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9348"/>
  </bookViews>
  <sheets>
    <sheet name="明細" sheetId="1" r:id="rId1"/>
    <sheet name="循環線-去程" sheetId="2" r:id="rId2"/>
    <sheet name="循環線-返程" sheetId="3" r:id="rId3"/>
    <sheet name="統計表" sheetId="4" r:id="rId4"/>
  </sheets>
  <definedNames>
    <definedName name="_xlnm._FilterDatabase" localSheetId="0" hidden="1">明細!$A$1:$AO$1</definedName>
    <definedName name="_xlnm._FilterDatabase" localSheetId="1" hidden="1">'循環線-去程'!$A$1:$W$990</definedName>
    <definedName name="_xlnm._FilterDatabase" localSheetId="2" hidden="1">'循環線-返程'!$A$1:$W$1736</definedName>
  </definedNames>
  <calcPr calcId="152511"/>
</workbook>
</file>

<file path=xl/calcChain.xml><?xml version="1.0" encoding="utf-8"?>
<calcChain xmlns="http://schemas.openxmlformats.org/spreadsheetml/2006/main">
  <c r="V1736" i="3" l="1"/>
  <c r="M1736" i="3"/>
  <c r="L1736" i="3"/>
  <c r="I1736" i="3"/>
  <c r="H1736" i="3"/>
  <c r="F1736" i="3"/>
  <c r="D1736" i="3"/>
  <c r="A1736" i="3"/>
  <c r="V1735" i="3"/>
  <c r="M1735" i="3"/>
  <c r="L1735" i="3"/>
  <c r="I1735" i="3"/>
  <c r="H1735" i="3"/>
  <c r="F1735" i="3"/>
  <c r="D1735" i="3"/>
  <c r="A1735" i="3"/>
  <c r="V1734" i="3"/>
  <c r="M1734" i="3"/>
  <c r="L1734" i="3"/>
  <c r="I1734" i="3"/>
  <c r="H1734" i="3"/>
  <c r="F1734" i="3"/>
  <c r="D1734" i="3"/>
  <c r="A1734" i="3"/>
  <c r="V1733" i="3"/>
  <c r="M1733" i="3"/>
  <c r="L1733" i="3"/>
  <c r="I1733" i="3"/>
  <c r="H1733" i="3"/>
  <c r="F1733" i="3"/>
  <c r="D1733" i="3"/>
  <c r="A1733" i="3"/>
  <c r="V1732" i="3"/>
  <c r="M1732" i="3"/>
  <c r="L1732" i="3"/>
  <c r="I1732" i="3"/>
  <c r="H1732" i="3"/>
  <c r="F1732" i="3"/>
  <c r="D1732" i="3"/>
  <c r="A1732" i="3"/>
  <c r="V1731" i="3"/>
  <c r="M1731" i="3"/>
  <c r="L1731" i="3"/>
  <c r="I1731" i="3"/>
  <c r="H1731" i="3"/>
  <c r="F1731" i="3"/>
  <c r="D1731" i="3"/>
  <c r="A1731" i="3"/>
  <c r="V1730" i="3"/>
  <c r="M1730" i="3"/>
  <c r="L1730" i="3"/>
  <c r="I1730" i="3"/>
  <c r="H1730" i="3"/>
  <c r="F1730" i="3"/>
  <c r="D1730" i="3"/>
  <c r="A1730" i="3"/>
  <c r="V1729" i="3"/>
  <c r="M1729" i="3"/>
  <c r="L1729" i="3"/>
  <c r="I1729" i="3"/>
  <c r="H1729" i="3"/>
  <c r="F1729" i="3"/>
  <c r="D1729" i="3"/>
  <c r="A1729" i="3"/>
  <c r="V1728" i="3"/>
  <c r="M1728" i="3"/>
  <c r="L1728" i="3"/>
  <c r="I1728" i="3"/>
  <c r="H1728" i="3"/>
  <c r="F1728" i="3"/>
  <c r="D1728" i="3"/>
  <c r="A1728" i="3"/>
  <c r="V1727" i="3"/>
  <c r="M1727" i="3"/>
  <c r="L1727" i="3"/>
  <c r="I1727" i="3"/>
  <c r="H1727" i="3"/>
  <c r="F1727" i="3"/>
  <c r="D1727" i="3"/>
  <c r="A1727" i="3"/>
  <c r="V1726" i="3"/>
  <c r="M1726" i="3"/>
  <c r="L1726" i="3"/>
  <c r="I1726" i="3"/>
  <c r="H1726" i="3"/>
  <c r="F1726" i="3"/>
  <c r="D1726" i="3"/>
  <c r="A1726" i="3"/>
  <c r="V1725" i="3"/>
  <c r="M1725" i="3"/>
  <c r="L1725" i="3"/>
  <c r="I1725" i="3"/>
  <c r="H1725" i="3"/>
  <c r="F1725" i="3"/>
  <c r="D1725" i="3"/>
  <c r="A1725" i="3"/>
  <c r="V1724" i="3"/>
  <c r="M1724" i="3"/>
  <c r="L1724" i="3"/>
  <c r="I1724" i="3"/>
  <c r="H1724" i="3"/>
  <c r="F1724" i="3"/>
  <c r="D1724" i="3"/>
  <c r="A1724" i="3"/>
  <c r="V1723" i="3"/>
  <c r="M1723" i="3"/>
  <c r="L1723" i="3"/>
  <c r="I1723" i="3"/>
  <c r="H1723" i="3"/>
  <c r="F1723" i="3"/>
  <c r="D1723" i="3"/>
  <c r="A1723" i="3"/>
  <c r="V1722" i="3"/>
  <c r="M1722" i="3"/>
  <c r="L1722" i="3"/>
  <c r="I1722" i="3"/>
  <c r="H1722" i="3"/>
  <c r="F1722" i="3"/>
  <c r="D1722" i="3"/>
  <c r="A1722" i="3"/>
  <c r="V1721" i="3"/>
  <c r="M1721" i="3"/>
  <c r="L1721" i="3"/>
  <c r="I1721" i="3"/>
  <c r="H1721" i="3"/>
  <c r="F1721" i="3"/>
  <c r="D1721" i="3"/>
  <c r="A1721" i="3"/>
  <c r="V1720" i="3"/>
  <c r="M1720" i="3"/>
  <c r="L1720" i="3"/>
  <c r="I1720" i="3"/>
  <c r="H1720" i="3"/>
  <c r="F1720" i="3"/>
  <c r="D1720" i="3"/>
  <c r="A1720" i="3"/>
  <c r="V1719" i="3"/>
  <c r="M1719" i="3"/>
  <c r="L1719" i="3"/>
  <c r="I1719" i="3"/>
  <c r="H1719" i="3"/>
  <c r="F1719" i="3"/>
  <c r="D1719" i="3"/>
  <c r="A1719" i="3"/>
  <c r="V1718" i="3"/>
  <c r="M1718" i="3"/>
  <c r="L1718" i="3"/>
  <c r="I1718" i="3"/>
  <c r="H1718" i="3"/>
  <c r="F1718" i="3"/>
  <c r="D1718" i="3"/>
  <c r="A1718" i="3"/>
  <c r="V1717" i="3"/>
  <c r="M1717" i="3"/>
  <c r="L1717" i="3"/>
  <c r="I1717" i="3"/>
  <c r="H1717" i="3"/>
  <c r="F1717" i="3"/>
  <c r="D1717" i="3"/>
  <c r="A1717" i="3"/>
  <c r="V1716" i="3"/>
  <c r="M1716" i="3"/>
  <c r="L1716" i="3"/>
  <c r="I1716" i="3"/>
  <c r="H1716" i="3"/>
  <c r="F1716" i="3"/>
  <c r="D1716" i="3"/>
  <c r="A1716" i="3"/>
  <c r="V1715" i="3"/>
  <c r="M1715" i="3"/>
  <c r="L1715" i="3"/>
  <c r="I1715" i="3"/>
  <c r="H1715" i="3"/>
  <c r="F1715" i="3"/>
  <c r="D1715" i="3"/>
  <c r="A1715" i="3"/>
  <c r="V1714" i="3"/>
  <c r="M1714" i="3"/>
  <c r="L1714" i="3"/>
  <c r="I1714" i="3"/>
  <c r="H1714" i="3"/>
  <c r="F1714" i="3"/>
  <c r="D1714" i="3"/>
  <c r="A1714" i="3"/>
  <c r="V1713" i="3"/>
  <c r="M1713" i="3"/>
  <c r="L1713" i="3"/>
  <c r="I1713" i="3"/>
  <c r="H1713" i="3"/>
  <c r="F1713" i="3"/>
  <c r="D1713" i="3"/>
  <c r="A1713" i="3"/>
  <c r="V1712" i="3"/>
  <c r="M1712" i="3"/>
  <c r="L1712" i="3"/>
  <c r="I1712" i="3"/>
  <c r="H1712" i="3"/>
  <c r="F1712" i="3"/>
  <c r="D1712" i="3"/>
  <c r="A1712" i="3"/>
  <c r="V1711" i="3"/>
  <c r="M1711" i="3"/>
  <c r="L1711" i="3"/>
  <c r="I1711" i="3"/>
  <c r="H1711" i="3"/>
  <c r="F1711" i="3"/>
  <c r="D1711" i="3"/>
  <c r="A1711" i="3"/>
  <c r="V1710" i="3"/>
  <c r="M1710" i="3"/>
  <c r="L1710" i="3"/>
  <c r="I1710" i="3"/>
  <c r="H1710" i="3"/>
  <c r="F1710" i="3"/>
  <c r="D1710" i="3"/>
  <c r="A1710" i="3"/>
  <c r="V1709" i="3"/>
  <c r="M1709" i="3"/>
  <c r="L1709" i="3"/>
  <c r="I1709" i="3"/>
  <c r="H1709" i="3"/>
  <c r="F1709" i="3"/>
  <c r="D1709" i="3"/>
  <c r="A1709" i="3"/>
  <c r="V1708" i="3"/>
  <c r="M1708" i="3"/>
  <c r="L1708" i="3"/>
  <c r="I1708" i="3"/>
  <c r="H1708" i="3"/>
  <c r="F1708" i="3"/>
  <c r="D1708" i="3"/>
  <c r="A1708" i="3"/>
  <c r="V1707" i="3"/>
  <c r="M1707" i="3"/>
  <c r="L1707" i="3"/>
  <c r="I1707" i="3"/>
  <c r="H1707" i="3"/>
  <c r="F1707" i="3"/>
  <c r="D1707" i="3"/>
  <c r="A1707" i="3"/>
  <c r="V1706" i="3"/>
  <c r="M1706" i="3"/>
  <c r="L1706" i="3"/>
  <c r="I1706" i="3"/>
  <c r="H1706" i="3"/>
  <c r="F1706" i="3"/>
  <c r="D1706" i="3"/>
  <c r="A1706" i="3"/>
  <c r="V1705" i="3"/>
  <c r="M1705" i="3"/>
  <c r="L1705" i="3"/>
  <c r="I1705" i="3"/>
  <c r="H1705" i="3"/>
  <c r="F1705" i="3"/>
  <c r="D1705" i="3"/>
  <c r="A1705" i="3"/>
  <c r="V1704" i="3"/>
  <c r="M1704" i="3"/>
  <c r="L1704" i="3"/>
  <c r="I1704" i="3"/>
  <c r="H1704" i="3"/>
  <c r="F1704" i="3"/>
  <c r="D1704" i="3"/>
  <c r="A1704" i="3"/>
  <c r="V1703" i="3"/>
  <c r="M1703" i="3"/>
  <c r="L1703" i="3"/>
  <c r="I1703" i="3"/>
  <c r="H1703" i="3"/>
  <c r="F1703" i="3"/>
  <c r="D1703" i="3"/>
  <c r="A1703" i="3"/>
  <c r="V1702" i="3"/>
  <c r="M1702" i="3"/>
  <c r="L1702" i="3"/>
  <c r="I1702" i="3"/>
  <c r="H1702" i="3"/>
  <c r="F1702" i="3"/>
  <c r="D1702" i="3"/>
  <c r="A1702" i="3"/>
  <c r="V1701" i="3"/>
  <c r="M1701" i="3"/>
  <c r="L1701" i="3"/>
  <c r="I1701" i="3"/>
  <c r="H1701" i="3"/>
  <c r="F1701" i="3"/>
  <c r="D1701" i="3"/>
  <c r="A1701" i="3"/>
  <c r="V1700" i="3"/>
  <c r="M1700" i="3"/>
  <c r="L1700" i="3"/>
  <c r="I1700" i="3"/>
  <c r="H1700" i="3"/>
  <c r="F1700" i="3"/>
  <c r="D1700" i="3"/>
  <c r="A1700" i="3"/>
  <c r="V1699" i="3"/>
  <c r="M1699" i="3"/>
  <c r="L1699" i="3"/>
  <c r="I1699" i="3"/>
  <c r="H1699" i="3"/>
  <c r="F1699" i="3"/>
  <c r="D1699" i="3"/>
  <c r="A1699" i="3"/>
  <c r="V1698" i="3"/>
  <c r="M1698" i="3"/>
  <c r="L1698" i="3"/>
  <c r="I1698" i="3"/>
  <c r="H1698" i="3"/>
  <c r="F1698" i="3"/>
  <c r="D1698" i="3"/>
  <c r="A1698" i="3"/>
  <c r="V1697" i="3"/>
  <c r="M1697" i="3"/>
  <c r="L1697" i="3"/>
  <c r="I1697" i="3"/>
  <c r="H1697" i="3"/>
  <c r="F1697" i="3"/>
  <c r="D1697" i="3"/>
  <c r="A1697" i="3"/>
  <c r="V1696" i="3"/>
  <c r="M1696" i="3"/>
  <c r="L1696" i="3"/>
  <c r="I1696" i="3"/>
  <c r="H1696" i="3"/>
  <c r="F1696" i="3"/>
  <c r="D1696" i="3"/>
  <c r="A1696" i="3"/>
  <c r="V1695" i="3"/>
  <c r="M1695" i="3"/>
  <c r="L1695" i="3"/>
  <c r="I1695" i="3"/>
  <c r="H1695" i="3"/>
  <c r="F1695" i="3"/>
  <c r="D1695" i="3"/>
  <c r="A1695" i="3"/>
  <c r="V1694" i="3"/>
  <c r="M1694" i="3"/>
  <c r="L1694" i="3"/>
  <c r="I1694" i="3"/>
  <c r="H1694" i="3"/>
  <c r="F1694" i="3"/>
  <c r="D1694" i="3"/>
  <c r="A1694" i="3"/>
  <c r="V1693" i="3"/>
  <c r="M1693" i="3"/>
  <c r="L1693" i="3"/>
  <c r="I1693" i="3"/>
  <c r="H1693" i="3"/>
  <c r="F1693" i="3"/>
  <c r="D1693" i="3"/>
  <c r="A1693" i="3"/>
  <c r="V1692" i="3"/>
  <c r="M1692" i="3"/>
  <c r="L1692" i="3"/>
  <c r="I1692" i="3"/>
  <c r="H1692" i="3"/>
  <c r="F1692" i="3"/>
  <c r="D1692" i="3"/>
  <c r="A1692" i="3"/>
  <c r="V1691" i="3"/>
  <c r="M1691" i="3"/>
  <c r="L1691" i="3"/>
  <c r="I1691" i="3"/>
  <c r="H1691" i="3"/>
  <c r="F1691" i="3"/>
  <c r="D1691" i="3"/>
  <c r="A1691" i="3"/>
  <c r="V1690" i="3"/>
  <c r="M1690" i="3"/>
  <c r="L1690" i="3"/>
  <c r="I1690" i="3"/>
  <c r="H1690" i="3"/>
  <c r="F1690" i="3"/>
  <c r="D1690" i="3"/>
  <c r="A1690" i="3"/>
  <c r="V1689" i="3"/>
  <c r="M1689" i="3"/>
  <c r="L1689" i="3"/>
  <c r="I1689" i="3"/>
  <c r="H1689" i="3"/>
  <c r="F1689" i="3"/>
  <c r="D1689" i="3"/>
  <c r="A1689" i="3"/>
  <c r="V1688" i="3"/>
  <c r="M1688" i="3"/>
  <c r="L1688" i="3"/>
  <c r="I1688" i="3"/>
  <c r="H1688" i="3"/>
  <c r="F1688" i="3"/>
  <c r="D1688" i="3"/>
  <c r="A1688" i="3"/>
  <c r="V1687" i="3"/>
  <c r="M1687" i="3"/>
  <c r="L1687" i="3"/>
  <c r="I1687" i="3"/>
  <c r="H1687" i="3"/>
  <c r="F1687" i="3"/>
  <c r="D1687" i="3"/>
  <c r="A1687" i="3"/>
  <c r="V1686" i="3"/>
  <c r="M1686" i="3"/>
  <c r="L1686" i="3"/>
  <c r="I1686" i="3"/>
  <c r="H1686" i="3"/>
  <c r="F1686" i="3"/>
  <c r="D1686" i="3"/>
  <c r="A1686" i="3"/>
  <c r="V1685" i="3"/>
  <c r="M1685" i="3"/>
  <c r="L1685" i="3"/>
  <c r="I1685" i="3"/>
  <c r="H1685" i="3"/>
  <c r="F1685" i="3"/>
  <c r="D1685" i="3"/>
  <c r="A1685" i="3"/>
  <c r="V1684" i="3"/>
  <c r="M1684" i="3"/>
  <c r="L1684" i="3"/>
  <c r="I1684" i="3"/>
  <c r="H1684" i="3"/>
  <c r="F1684" i="3"/>
  <c r="D1684" i="3"/>
  <c r="A1684" i="3"/>
  <c r="V1683" i="3"/>
  <c r="M1683" i="3"/>
  <c r="L1683" i="3"/>
  <c r="I1683" i="3"/>
  <c r="H1683" i="3"/>
  <c r="F1683" i="3"/>
  <c r="D1683" i="3"/>
  <c r="A1683" i="3"/>
  <c r="V1682" i="3"/>
  <c r="M1682" i="3"/>
  <c r="L1682" i="3"/>
  <c r="I1682" i="3"/>
  <c r="H1682" i="3"/>
  <c r="F1682" i="3"/>
  <c r="D1682" i="3"/>
  <c r="A1682" i="3"/>
  <c r="V1681" i="3"/>
  <c r="M1681" i="3"/>
  <c r="L1681" i="3"/>
  <c r="I1681" i="3"/>
  <c r="H1681" i="3"/>
  <c r="F1681" i="3"/>
  <c r="D1681" i="3"/>
  <c r="A1681" i="3"/>
  <c r="V1680" i="3"/>
  <c r="M1680" i="3"/>
  <c r="L1680" i="3"/>
  <c r="I1680" i="3"/>
  <c r="H1680" i="3"/>
  <c r="F1680" i="3"/>
  <c r="D1680" i="3"/>
  <c r="A1680" i="3"/>
  <c r="V1679" i="3"/>
  <c r="M1679" i="3"/>
  <c r="L1679" i="3"/>
  <c r="I1679" i="3"/>
  <c r="H1679" i="3"/>
  <c r="F1679" i="3"/>
  <c r="D1679" i="3"/>
  <c r="A1679" i="3"/>
  <c r="V1678" i="3"/>
  <c r="M1678" i="3"/>
  <c r="L1678" i="3"/>
  <c r="I1678" i="3"/>
  <c r="H1678" i="3"/>
  <c r="F1678" i="3"/>
  <c r="D1678" i="3"/>
  <c r="A1678" i="3"/>
  <c r="V1677" i="3"/>
  <c r="M1677" i="3"/>
  <c r="L1677" i="3"/>
  <c r="I1677" i="3"/>
  <c r="H1677" i="3"/>
  <c r="F1677" i="3"/>
  <c r="D1677" i="3"/>
  <c r="A1677" i="3"/>
  <c r="V1676" i="3"/>
  <c r="M1676" i="3"/>
  <c r="L1676" i="3"/>
  <c r="I1676" i="3"/>
  <c r="H1676" i="3"/>
  <c r="F1676" i="3"/>
  <c r="D1676" i="3"/>
  <c r="A1676" i="3"/>
  <c r="V1675" i="3"/>
  <c r="M1675" i="3"/>
  <c r="L1675" i="3"/>
  <c r="I1675" i="3"/>
  <c r="H1675" i="3"/>
  <c r="F1675" i="3"/>
  <c r="D1675" i="3"/>
  <c r="A1675" i="3"/>
  <c r="V1674" i="3"/>
  <c r="M1674" i="3"/>
  <c r="L1674" i="3"/>
  <c r="I1674" i="3"/>
  <c r="H1674" i="3"/>
  <c r="F1674" i="3"/>
  <c r="D1674" i="3"/>
  <c r="A1674" i="3"/>
  <c r="V1673" i="3"/>
  <c r="M1673" i="3"/>
  <c r="L1673" i="3"/>
  <c r="I1673" i="3"/>
  <c r="H1673" i="3"/>
  <c r="F1673" i="3"/>
  <c r="D1673" i="3"/>
  <c r="A1673" i="3"/>
  <c r="V1672" i="3"/>
  <c r="M1672" i="3"/>
  <c r="L1672" i="3"/>
  <c r="I1672" i="3"/>
  <c r="H1672" i="3"/>
  <c r="F1672" i="3"/>
  <c r="D1672" i="3"/>
  <c r="A1672" i="3"/>
  <c r="V1671" i="3"/>
  <c r="M1671" i="3"/>
  <c r="L1671" i="3"/>
  <c r="I1671" i="3"/>
  <c r="H1671" i="3"/>
  <c r="F1671" i="3"/>
  <c r="D1671" i="3"/>
  <c r="A1671" i="3"/>
  <c r="V1670" i="3"/>
  <c r="M1670" i="3"/>
  <c r="L1670" i="3"/>
  <c r="I1670" i="3"/>
  <c r="H1670" i="3"/>
  <c r="F1670" i="3"/>
  <c r="D1670" i="3"/>
  <c r="A1670" i="3"/>
  <c r="V1669" i="3"/>
  <c r="M1669" i="3"/>
  <c r="L1669" i="3"/>
  <c r="I1669" i="3"/>
  <c r="H1669" i="3"/>
  <c r="F1669" i="3"/>
  <c r="D1669" i="3"/>
  <c r="A1669" i="3"/>
  <c r="V1668" i="3"/>
  <c r="M1668" i="3"/>
  <c r="L1668" i="3"/>
  <c r="I1668" i="3"/>
  <c r="H1668" i="3"/>
  <c r="F1668" i="3"/>
  <c r="D1668" i="3"/>
  <c r="A1668" i="3"/>
  <c r="V1667" i="3"/>
  <c r="M1667" i="3"/>
  <c r="L1667" i="3"/>
  <c r="I1667" i="3"/>
  <c r="H1667" i="3"/>
  <c r="F1667" i="3"/>
  <c r="D1667" i="3"/>
  <c r="A1667" i="3"/>
  <c r="V1666" i="3"/>
  <c r="M1666" i="3"/>
  <c r="L1666" i="3"/>
  <c r="I1666" i="3"/>
  <c r="H1666" i="3"/>
  <c r="F1666" i="3"/>
  <c r="D1666" i="3"/>
  <c r="A1666" i="3"/>
  <c r="V1665" i="3"/>
  <c r="M1665" i="3"/>
  <c r="L1665" i="3"/>
  <c r="I1665" i="3"/>
  <c r="H1665" i="3"/>
  <c r="F1665" i="3"/>
  <c r="D1665" i="3"/>
  <c r="A1665" i="3"/>
  <c r="V1664" i="3"/>
  <c r="M1664" i="3"/>
  <c r="L1664" i="3"/>
  <c r="I1664" i="3"/>
  <c r="H1664" i="3"/>
  <c r="F1664" i="3"/>
  <c r="D1664" i="3"/>
  <c r="A1664" i="3"/>
  <c r="V1663" i="3"/>
  <c r="M1663" i="3"/>
  <c r="L1663" i="3"/>
  <c r="I1663" i="3"/>
  <c r="H1663" i="3"/>
  <c r="F1663" i="3"/>
  <c r="D1663" i="3"/>
  <c r="A1663" i="3"/>
  <c r="V1662" i="3"/>
  <c r="M1662" i="3"/>
  <c r="L1662" i="3"/>
  <c r="I1662" i="3"/>
  <c r="H1662" i="3"/>
  <c r="F1662" i="3"/>
  <c r="D1662" i="3"/>
  <c r="A1662" i="3"/>
  <c r="V1661" i="3"/>
  <c r="M1661" i="3"/>
  <c r="L1661" i="3"/>
  <c r="I1661" i="3"/>
  <c r="H1661" i="3"/>
  <c r="F1661" i="3"/>
  <c r="D1661" i="3"/>
  <c r="A1661" i="3"/>
  <c r="V1660" i="3"/>
  <c r="M1660" i="3"/>
  <c r="L1660" i="3"/>
  <c r="I1660" i="3"/>
  <c r="H1660" i="3"/>
  <c r="F1660" i="3"/>
  <c r="D1660" i="3"/>
  <c r="A1660" i="3"/>
  <c r="V1659" i="3"/>
  <c r="M1659" i="3"/>
  <c r="L1659" i="3"/>
  <c r="I1659" i="3"/>
  <c r="H1659" i="3"/>
  <c r="F1659" i="3"/>
  <c r="D1659" i="3"/>
  <c r="A1659" i="3"/>
  <c r="V1658" i="3"/>
  <c r="M1658" i="3"/>
  <c r="L1658" i="3"/>
  <c r="I1658" i="3"/>
  <c r="H1658" i="3"/>
  <c r="F1658" i="3"/>
  <c r="D1658" i="3"/>
  <c r="A1658" i="3"/>
  <c r="V1657" i="3"/>
  <c r="M1657" i="3"/>
  <c r="L1657" i="3"/>
  <c r="I1657" i="3"/>
  <c r="H1657" i="3"/>
  <c r="F1657" i="3"/>
  <c r="D1657" i="3"/>
  <c r="A1657" i="3"/>
  <c r="V1656" i="3"/>
  <c r="M1656" i="3"/>
  <c r="L1656" i="3"/>
  <c r="I1656" i="3"/>
  <c r="H1656" i="3"/>
  <c r="F1656" i="3"/>
  <c r="D1656" i="3"/>
  <c r="A1656" i="3"/>
  <c r="V1655" i="3"/>
  <c r="M1655" i="3"/>
  <c r="L1655" i="3"/>
  <c r="I1655" i="3"/>
  <c r="H1655" i="3"/>
  <c r="F1655" i="3"/>
  <c r="D1655" i="3"/>
  <c r="A1655" i="3"/>
  <c r="V1654" i="3"/>
  <c r="M1654" i="3"/>
  <c r="L1654" i="3"/>
  <c r="I1654" i="3"/>
  <c r="H1654" i="3"/>
  <c r="F1654" i="3"/>
  <c r="D1654" i="3"/>
  <c r="A1654" i="3"/>
  <c r="V1653" i="3"/>
  <c r="M1653" i="3"/>
  <c r="L1653" i="3"/>
  <c r="I1653" i="3"/>
  <c r="H1653" i="3"/>
  <c r="F1653" i="3"/>
  <c r="D1653" i="3"/>
  <c r="A1653" i="3"/>
  <c r="V1652" i="3"/>
  <c r="M1652" i="3"/>
  <c r="L1652" i="3"/>
  <c r="I1652" i="3"/>
  <c r="H1652" i="3"/>
  <c r="F1652" i="3"/>
  <c r="D1652" i="3"/>
  <c r="A1652" i="3"/>
  <c r="V1651" i="3"/>
  <c r="M1651" i="3"/>
  <c r="L1651" i="3"/>
  <c r="I1651" i="3"/>
  <c r="H1651" i="3"/>
  <c r="F1651" i="3"/>
  <c r="D1651" i="3"/>
  <c r="A1651" i="3"/>
  <c r="V1650" i="3"/>
  <c r="M1650" i="3"/>
  <c r="L1650" i="3"/>
  <c r="I1650" i="3"/>
  <c r="H1650" i="3"/>
  <c r="F1650" i="3"/>
  <c r="D1650" i="3"/>
  <c r="A1650" i="3"/>
  <c r="V1649" i="3"/>
  <c r="M1649" i="3"/>
  <c r="L1649" i="3"/>
  <c r="I1649" i="3"/>
  <c r="H1649" i="3"/>
  <c r="F1649" i="3"/>
  <c r="D1649" i="3"/>
  <c r="A1649" i="3"/>
  <c r="V1648" i="3"/>
  <c r="M1648" i="3"/>
  <c r="L1648" i="3"/>
  <c r="I1648" i="3"/>
  <c r="H1648" i="3"/>
  <c r="F1648" i="3"/>
  <c r="D1648" i="3"/>
  <c r="A1648" i="3"/>
  <c r="V1647" i="3"/>
  <c r="M1647" i="3"/>
  <c r="L1647" i="3"/>
  <c r="I1647" i="3"/>
  <c r="H1647" i="3"/>
  <c r="F1647" i="3"/>
  <c r="D1647" i="3"/>
  <c r="A1647" i="3"/>
  <c r="V1646" i="3"/>
  <c r="M1646" i="3"/>
  <c r="L1646" i="3"/>
  <c r="I1646" i="3"/>
  <c r="H1646" i="3"/>
  <c r="F1646" i="3"/>
  <c r="D1646" i="3"/>
  <c r="A1646" i="3"/>
  <c r="V1645" i="3"/>
  <c r="M1645" i="3"/>
  <c r="L1645" i="3"/>
  <c r="I1645" i="3"/>
  <c r="H1645" i="3"/>
  <c r="F1645" i="3"/>
  <c r="D1645" i="3"/>
  <c r="A1645" i="3"/>
  <c r="V1644" i="3"/>
  <c r="M1644" i="3"/>
  <c r="L1644" i="3"/>
  <c r="I1644" i="3"/>
  <c r="H1644" i="3"/>
  <c r="F1644" i="3"/>
  <c r="D1644" i="3"/>
  <c r="A1644" i="3"/>
  <c r="V1643" i="3"/>
  <c r="M1643" i="3"/>
  <c r="L1643" i="3"/>
  <c r="I1643" i="3"/>
  <c r="H1643" i="3"/>
  <c r="F1643" i="3"/>
  <c r="D1643" i="3"/>
  <c r="A1643" i="3"/>
  <c r="V1642" i="3"/>
  <c r="M1642" i="3"/>
  <c r="L1642" i="3"/>
  <c r="I1642" i="3"/>
  <c r="H1642" i="3"/>
  <c r="F1642" i="3"/>
  <c r="D1642" i="3"/>
  <c r="A1642" i="3"/>
  <c r="V1641" i="3"/>
  <c r="M1641" i="3"/>
  <c r="L1641" i="3"/>
  <c r="I1641" i="3"/>
  <c r="H1641" i="3"/>
  <c r="F1641" i="3"/>
  <c r="D1641" i="3"/>
  <c r="A1641" i="3"/>
  <c r="V1640" i="3"/>
  <c r="M1640" i="3"/>
  <c r="L1640" i="3"/>
  <c r="I1640" i="3"/>
  <c r="H1640" i="3"/>
  <c r="F1640" i="3"/>
  <c r="D1640" i="3"/>
  <c r="A1640" i="3"/>
  <c r="V1639" i="3"/>
  <c r="M1639" i="3"/>
  <c r="L1639" i="3"/>
  <c r="I1639" i="3"/>
  <c r="H1639" i="3"/>
  <c r="F1639" i="3"/>
  <c r="D1639" i="3"/>
  <c r="A1639" i="3"/>
  <c r="V1638" i="3"/>
  <c r="M1638" i="3"/>
  <c r="L1638" i="3"/>
  <c r="I1638" i="3"/>
  <c r="H1638" i="3"/>
  <c r="F1638" i="3"/>
  <c r="D1638" i="3"/>
  <c r="A1638" i="3"/>
  <c r="V1637" i="3"/>
  <c r="M1637" i="3"/>
  <c r="L1637" i="3"/>
  <c r="I1637" i="3"/>
  <c r="H1637" i="3"/>
  <c r="F1637" i="3"/>
  <c r="D1637" i="3"/>
  <c r="A1637" i="3"/>
  <c r="V1636" i="3"/>
  <c r="M1636" i="3"/>
  <c r="L1636" i="3"/>
  <c r="I1636" i="3"/>
  <c r="H1636" i="3"/>
  <c r="F1636" i="3"/>
  <c r="D1636" i="3"/>
  <c r="A1636" i="3"/>
  <c r="V1635" i="3"/>
  <c r="M1635" i="3"/>
  <c r="L1635" i="3"/>
  <c r="I1635" i="3"/>
  <c r="H1635" i="3"/>
  <c r="F1635" i="3"/>
  <c r="D1635" i="3"/>
  <c r="A1635" i="3"/>
  <c r="V1634" i="3"/>
  <c r="M1634" i="3"/>
  <c r="L1634" i="3"/>
  <c r="I1634" i="3"/>
  <c r="H1634" i="3"/>
  <c r="F1634" i="3"/>
  <c r="D1634" i="3"/>
  <c r="A1634" i="3"/>
  <c r="V1633" i="3"/>
  <c r="M1633" i="3"/>
  <c r="L1633" i="3"/>
  <c r="I1633" i="3"/>
  <c r="H1633" i="3"/>
  <c r="F1633" i="3"/>
  <c r="D1633" i="3"/>
  <c r="A1633" i="3"/>
  <c r="V1632" i="3"/>
  <c r="M1632" i="3"/>
  <c r="L1632" i="3"/>
  <c r="I1632" i="3"/>
  <c r="H1632" i="3"/>
  <c r="F1632" i="3"/>
  <c r="D1632" i="3"/>
  <c r="A1632" i="3"/>
  <c r="V1631" i="3"/>
  <c r="M1631" i="3"/>
  <c r="L1631" i="3"/>
  <c r="I1631" i="3"/>
  <c r="H1631" i="3"/>
  <c r="F1631" i="3"/>
  <c r="D1631" i="3"/>
  <c r="A1631" i="3"/>
  <c r="V1630" i="3"/>
  <c r="M1630" i="3"/>
  <c r="L1630" i="3"/>
  <c r="I1630" i="3"/>
  <c r="H1630" i="3"/>
  <c r="F1630" i="3"/>
  <c r="D1630" i="3"/>
  <c r="A1630" i="3"/>
  <c r="V1629" i="3"/>
  <c r="M1629" i="3"/>
  <c r="L1629" i="3"/>
  <c r="I1629" i="3"/>
  <c r="H1629" i="3"/>
  <c r="F1629" i="3"/>
  <c r="D1629" i="3"/>
  <c r="A1629" i="3"/>
  <c r="V1628" i="3"/>
  <c r="M1628" i="3"/>
  <c r="L1628" i="3"/>
  <c r="I1628" i="3"/>
  <c r="H1628" i="3"/>
  <c r="F1628" i="3"/>
  <c r="D1628" i="3"/>
  <c r="A1628" i="3"/>
  <c r="V1627" i="3"/>
  <c r="M1627" i="3"/>
  <c r="L1627" i="3"/>
  <c r="I1627" i="3"/>
  <c r="H1627" i="3"/>
  <c r="F1627" i="3"/>
  <c r="D1627" i="3"/>
  <c r="A1627" i="3"/>
  <c r="V1626" i="3"/>
  <c r="M1626" i="3"/>
  <c r="L1626" i="3"/>
  <c r="I1626" i="3"/>
  <c r="H1626" i="3"/>
  <c r="F1626" i="3"/>
  <c r="D1626" i="3"/>
  <c r="A1626" i="3"/>
  <c r="V1625" i="3"/>
  <c r="M1625" i="3"/>
  <c r="L1625" i="3"/>
  <c r="I1625" i="3"/>
  <c r="H1625" i="3"/>
  <c r="F1625" i="3"/>
  <c r="D1625" i="3"/>
  <c r="A1625" i="3"/>
  <c r="V1624" i="3"/>
  <c r="M1624" i="3"/>
  <c r="L1624" i="3"/>
  <c r="I1624" i="3"/>
  <c r="H1624" i="3"/>
  <c r="F1624" i="3"/>
  <c r="D1624" i="3"/>
  <c r="A1624" i="3"/>
  <c r="V1623" i="3"/>
  <c r="M1623" i="3"/>
  <c r="L1623" i="3"/>
  <c r="I1623" i="3"/>
  <c r="H1623" i="3"/>
  <c r="F1623" i="3"/>
  <c r="D1623" i="3"/>
  <c r="A1623" i="3"/>
  <c r="V1622" i="3"/>
  <c r="M1622" i="3"/>
  <c r="L1622" i="3"/>
  <c r="I1622" i="3"/>
  <c r="H1622" i="3"/>
  <c r="F1622" i="3"/>
  <c r="D1622" i="3"/>
  <c r="A1622" i="3"/>
  <c r="V1621" i="3"/>
  <c r="M1621" i="3"/>
  <c r="L1621" i="3"/>
  <c r="I1621" i="3"/>
  <c r="H1621" i="3"/>
  <c r="F1621" i="3"/>
  <c r="D1621" i="3"/>
  <c r="A1621" i="3"/>
  <c r="V1620" i="3"/>
  <c r="M1620" i="3"/>
  <c r="L1620" i="3"/>
  <c r="I1620" i="3"/>
  <c r="H1620" i="3"/>
  <c r="F1620" i="3"/>
  <c r="D1620" i="3"/>
  <c r="A1620" i="3"/>
  <c r="V1619" i="3"/>
  <c r="M1619" i="3"/>
  <c r="L1619" i="3"/>
  <c r="I1619" i="3"/>
  <c r="H1619" i="3"/>
  <c r="F1619" i="3"/>
  <c r="D1619" i="3"/>
  <c r="A1619" i="3"/>
  <c r="V1618" i="3"/>
  <c r="M1618" i="3"/>
  <c r="L1618" i="3"/>
  <c r="I1618" i="3"/>
  <c r="H1618" i="3"/>
  <c r="F1618" i="3"/>
  <c r="D1618" i="3"/>
  <c r="A1618" i="3"/>
  <c r="V1617" i="3"/>
  <c r="M1617" i="3"/>
  <c r="L1617" i="3"/>
  <c r="I1617" i="3"/>
  <c r="H1617" i="3"/>
  <c r="F1617" i="3"/>
  <c r="D1617" i="3"/>
  <c r="A1617" i="3"/>
  <c r="V1616" i="3"/>
  <c r="M1616" i="3"/>
  <c r="L1616" i="3"/>
  <c r="I1616" i="3"/>
  <c r="H1616" i="3"/>
  <c r="F1616" i="3"/>
  <c r="D1616" i="3"/>
  <c r="A1616" i="3"/>
  <c r="V1615" i="3"/>
  <c r="M1615" i="3"/>
  <c r="L1615" i="3"/>
  <c r="I1615" i="3"/>
  <c r="H1615" i="3"/>
  <c r="F1615" i="3"/>
  <c r="D1615" i="3"/>
  <c r="A1615" i="3"/>
  <c r="V1614" i="3"/>
  <c r="M1614" i="3"/>
  <c r="L1614" i="3"/>
  <c r="I1614" i="3"/>
  <c r="H1614" i="3"/>
  <c r="F1614" i="3"/>
  <c r="D1614" i="3"/>
  <c r="A1614" i="3"/>
  <c r="V1613" i="3"/>
  <c r="M1613" i="3"/>
  <c r="L1613" i="3"/>
  <c r="I1613" i="3"/>
  <c r="H1613" i="3"/>
  <c r="F1613" i="3"/>
  <c r="D1613" i="3"/>
  <c r="A1613" i="3"/>
  <c r="V1612" i="3"/>
  <c r="M1612" i="3"/>
  <c r="L1612" i="3"/>
  <c r="I1612" i="3"/>
  <c r="H1612" i="3"/>
  <c r="F1612" i="3"/>
  <c r="D1612" i="3"/>
  <c r="A1612" i="3"/>
  <c r="V1611" i="3"/>
  <c r="M1611" i="3"/>
  <c r="L1611" i="3"/>
  <c r="I1611" i="3"/>
  <c r="H1611" i="3"/>
  <c r="F1611" i="3"/>
  <c r="D1611" i="3"/>
  <c r="A1611" i="3"/>
  <c r="V1610" i="3"/>
  <c r="M1610" i="3"/>
  <c r="L1610" i="3"/>
  <c r="I1610" i="3"/>
  <c r="H1610" i="3"/>
  <c r="F1610" i="3"/>
  <c r="D1610" i="3"/>
  <c r="A1610" i="3"/>
  <c r="V1609" i="3"/>
  <c r="M1609" i="3"/>
  <c r="L1609" i="3"/>
  <c r="I1609" i="3"/>
  <c r="H1609" i="3"/>
  <c r="F1609" i="3"/>
  <c r="D1609" i="3"/>
  <c r="A1609" i="3"/>
  <c r="V1608" i="3"/>
  <c r="M1608" i="3"/>
  <c r="L1608" i="3"/>
  <c r="I1608" i="3"/>
  <c r="H1608" i="3"/>
  <c r="F1608" i="3"/>
  <c r="D1608" i="3"/>
  <c r="A1608" i="3"/>
  <c r="V1607" i="3"/>
  <c r="M1607" i="3"/>
  <c r="L1607" i="3"/>
  <c r="I1607" i="3"/>
  <c r="H1607" i="3"/>
  <c r="F1607" i="3"/>
  <c r="D1607" i="3"/>
  <c r="A1607" i="3"/>
  <c r="V1606" i="3"/>
  <c r="M1606" i="3"/>
  <c r="L1606" i="3"/>
  <c r="I1606" i="3"/>
  <c r="H1606" i="3"/>
  <c r="F1606" i="3"/>
  <c r="D1606" i="3"/>
  <c r="A1606" i="3"/>
  <c r="V1605" i="3"/>
  <c r="M1605" i="3"/>
  <c r="L1605" i="3"/>
  <c r="I1605" i="3"/>
  <c r="H1605" i="3"/>
  <c r="F1605" i="3"/>
  <c r="D1605" i="3"/>
  <c r="A1605" i="3"/>
  <c r="V1604" i="3"/>
  <c r="M1604" i="3"/>
  <c r="L1604" i="3"/>
  <c r="I1604" i="3"/>
  <c r="H1604" i="3"/>
  <c r="F1604" i="3"/>
  <c r="D1604" i="3"/>
  <c r="A1604" i="3"/>
  <c r="V1603" i="3"/>
  <c r="M1603" i="3"/>
  <c r="L1603" i="3"/>
  <c r="I1603" i="3"/>
  <c r="H1603" i="3"/>
  <c r="F1603" i="3"/>
  <c r="D1603" i="3"/>
  <c r="A1603" i="3"/>
  <c r="V1602" i="3"/>
  <c r="M1602" i="3"/>
  <c r="L1602" i="3"/>
  <c r="I1602" i="3"/>
  <c r="H1602" i="3"/>
  <c r="F1602" i="3"/>
  <c r="D1602" i="3"/>
  <c r="A1602" i="3"/>
  <c r="V1601" i="3"/>
  <c r="M1601" i="3"/>
  <c r="L1601" i="3"/>
  <c r="I1601" i="3"/>
  <c r="H1601" i="3"/>
  <c r="F1601" i="3"/>
  <c r="D1601" i="3"/>
  <c r="A1601" i="3"/>
  <c r="V1600" i="3"/>
  <c r="M1600" i="3"/>
  <c r="L1600" i="3"/>
  <c r="I1600" i="3"/>
  <c r="H1600" i="3"/>
  <c r="F1600" i="3"/>
  <c r="D1600" i="3"/>
  <c r="A1600" i="3"/>
  <c r="V1599" i="3"/>
  <c r="M1599" i="3"/>
  <c r="L1599" i="3"/>
  <c r="I1599" i="3"/>
  <c r="H1599" i="3"/>
  <c r="F1599" i="3"/>
  <c r="D1599" i="3"/>
  <c r="A1599" i="3"/>
  <c r="V1598" i="3"/>
  <c r="M1598" i="3"/>
  <c r="L1598" i="3"/>
  <c r="I1598" i="3"/>
  <c r="H1598" i="3"/>
  <c r="F1598" i="3"/>
  <c r="D1598" i="3"/>
  <c r="A1598" i="3"/>
  <c r="V1597" i="3"/>
  <c r="M1597" i="3"/>
  <c r="L1597" i="3"/>
  <c r="I1597" i="3"/>
  <c r="H1597" i="3"/>
  <c r="F1597" i="3"/>
  <c r="D1597" i="3"/>
  <c r="A1597" i="3"/>
  <c r="V1596" i="3"/>
  <c r="M1596" i="3"/>
  <c r="L1596" i="3"/>
  <c r="I1596" i="3"/>
  <c r="H1596" i="3"/>
  <c r="F1596" i="3"/>
  <c r="D1596" i="3"/>
  <c r="A1596" i="3"/>
  <c r="V1595" i="3"/>
  <c r="M1595" i="3"/>
  <c r="L1595" i="3"/>
  <c r="I1595" i="3"/>
  <c r="H1595" i="3"/>
  <c r="F1595" i="3"/>
  <c r="D1595" i="3"/>
  <c r="A1595" i="3"/>
  <c r="V1594" i="3"/>
  <c r="M1594" i="3"/>
  <c r="L1594" i="3"/>
  <c r="I1594" i="3"/>
  <c r="H1594" i="3"/>
  <c r="F1594" i="3"/>
  <c r="D1594" i="3"/>
  <c r="A1594" i="3"/>
  <c r="V1593" i="3"/>
  <c r="M1593" i="3"/>
  <c r="L1593" i="3"/>
  <c r="I1593" i="3"/>
  <c r="H1593" i="3"/>
  <c r="F1593" i="3"/>
  <c r="D1593" i="3"/>
  <c r="A1593" i="3"/>
  <c r="V1592" i="3"/>
  <c r="M1592" i="3"/>
  <c r="L1592" i="3"/>
  <c r="I1592" i="3"/>
  <c r="H1592" i="3"/>
  <c r="F1592" i="3"/>
  <c r="D1592" i="3"/>
  <c r="A1592" i="3"/>
  <c r="V1591" i="3"/>
  <c r="M1591" i="3"/>
  <c r="L1591" i="3"/>
  <c r="I1591" i="3"/>
  <c r="H1591" i="3"/>
  <c r="F1591" i="3"/>
  <c r="D1591" i="3"/>
  <c r="A1591" i="3"/>
  <c r="V1590" i="3"/>
  <c r="M1590" i="3"/>
  <c r="L1590" i="3"/>
  <c r="I1590" i="3"/>
  <c r="H1590" i="3"/>
  <c r="F1590" i="3"/>
  <c r="D1590" i="3"/>
  <c r="A1590" i="3"/>
  <c r="V1589" i="3"/>
  <c r="M1589" i="3"/>
  <c r="L1589" i="3"/>
  <c r="I1589" i="3"/>
  <c r="H1589" i="3"/>
  <c r="F1589" i="3"/>
  <c r="D1589" i="3"/>
  <c r="A1589" i="3"/>
  <c r="V1588" i="3"/>
  <c r="M1588" i="3"/>
  <c r="L1588" i="3"/>
  <c r="I1588" i="3"/>
  <c r="H1588" i="3"/>
  <c r="F1588" i="3"/>
  <c r="D1588" i="3"/>
  <c r="A1588" i="3"/>
  <c r="V1587" i="3"/>
  <c r="M1587" i="3"/>
  <c r="L1587" i="3"/>
  <c r="I1587" i="3"/>
  <c r="H1587" i="3"/>
  <c r="F1587" i="3"/>
  <c r="D1587" i="3"/>
  <c r="A1587" i="3"/>
  <c r="V1586" i="3"/>
  <c r="M1586" i="3"/>
  <c r="L1586" i="3"/>
  <c r="I1586" i="3"/>
  <c r="H1586" i="3"/>
  <c r="F1586" i="3"/>
  <c r="D1586" i="3"/>
  <c r="A1586" i="3"/>
  <c r="V1585" i="3"/>
  <c r="M1585" i="3"/>
  <c r="L1585" i="3"/>
  <c r="I1585" i="3"/>
  <c r="H1585" i="3"/>
  <c r="F1585" i="3"/>
  <c r="D1585" i="3"/>
  <c r="A1585" i="3"/>
  <c r="V1584" i="3"/>
  <c r="M1584" i="3"/>
  <c r="L1584" i="3"/>
  <c r="I1584" i="3"/>
  <c r="H1584" i="3"/>
  <c r="F1584" i="3"/>
  <c r="D1584" i="3"/>
  <c r="A1584" i="3"/>
  <c r="V1583" i="3"/>
  <c r="M1583" i="3"/>
  <c r="L1583" i="3"/>
  <c r="I1583" i="3"/>
  <c r="H1583" i="3"/>
  <c r="F1583" i="3"/>
  <c r="D1583" i="3"/>
  <c r="A1583" i="3"/>
  <c r="V1582" i="3"/>
  <c r="M1582" i="3"/>
  <c r="L1582" i="3"/>
  <c r="I1582" i="3"/>
  <c r="H1582" i="3"/>
  <c r="F1582" i="3"/>
  <c r="D1582" i="3"/>
  <c r="A1582" i="3"/>
  <c r="V1581" i="3"/>
  <c r="M1581" i="3"/>
  <c r="L1581" i="3"/>
  <c r="I1581" i="3"/>
  <c r="H1581" i="3"/>
  <c r="F1581" i="3"/>
  <c r="D1581" i="3"/>
  <c r="A1581" i="3"/>
  <c r="V1580" i="3"/>
  <c r="M1580" i="3"/>
  <c r="L1580" i="3"/>
  <c r="I1580" i="3"/>
  <c r="H1580" i="3"/>
  <c r="F1580" i="3"/>
  <c r="D1580" i="3"/>
  <c r="A1580" i="3"/>
  <c r="V1579" i="3"/>
  <c r="M1579" i="3"/>
  <c r="L1579" i="3"/>
  <c r="I1579" i="3"/>
  <c r="H1579" i="3"/>
  <c r="F1579" i="3"/>
  <c r="D1579" i="3"/>
  <c r="A1579" i="3"/>
  <c r="V1578" i="3"/>
  <c r="M1578" i="3"/>
  <c r="L1578" i="3"/>
  <c r="I1578" i="3"/>
  <c r="H1578" i="3"/>
  <c r="F1578" i="3"/>
  <c r="D1578" i="3"/>
  <c r="A1578" i="3"/>
  <c r="V1577" i="3"/>
  <c r="M1577" i="3"/>
  <c r="L1577" i="3"/>
  <c r="I1577" i="3"/>
  <c r="H1577" i="3"/>
  <c r="F1577" i="3"/>
  <c r="D1577" i="3"/>
  <c r="A1577" i="3"/>
  <c r="V1576" i="3"/>
  <c r="M1576" i="3"/>
  <c r="L1576" i="3"/>
  <c r="I1576" i="3"/>
  <c r="H1576" i="3"/>
  <c r="F1576" i="3"/>
  <c r="D1576" i="3"/>
  <c r="A1576" i="3"/>
  <c r="V1575" i="3"/>
  <c r="M1575" i="3"/>
  <c r="L1575" i="3"/>
  <c r="I1575" i="3"/>
  <c r="H1575" i="3"/>
  <c r="F1575" i="3"/>
  <c r="D1575" i="3"/>
  <c r="A1575" i="3"/>
  <c r="V1574" i="3"/>
  <c r="M1574" i="3"/>
  <c r="L1574" i="3"/>
  <c r="I1574" i="3"/>
  <c r="H1574" i="3"/>
  <c r="F1574" i="3"/>
  <c r="D1574" i="3"/>
  <c r="A1574" i="3"/>
  <c r="V1573" i="3"/>
  <c r="M1573" i="3"/>
  <c r="L1573" i="3"/>
  <c r="I1573" i="3"/>
  <c r="H1573" i="3"/>
  <c r="F1573" i="3"/>
  <c r="D1573" i="3"/>
  <c r="A1573" i="3"/>
  <c r="V1572" i="3"/>
  <c r="M1572" i="3"/>
  <c r="L1572" i="3"/>
  <c r="I1572" i="3"/>
  <c r="H1572" i="3"/>
  <c r="F1572" i="3"/>
  <c r="D1572" i="3"/>
  <c r="A1572" i="3"/>
  <c r="V1571" i="3"/>
  <c r="M1571" i="3"/>
  <c r="L1571" i="3"/>
  <c r="I1571" i="3"/>
  <c r="H1571" i="3"/>
  <c r="F1571" i="3"/>
  <c r="D1571" i="3"/>
  <c r="A1571" i="3"/>
  <c r="V1570" i="3"/>
  <c r="M1570" i="3"/>
  <c r="L1570" i="3"/>
  <c r="I1570" i="3"/>
  <c r="H1570" i="3"/>
  <c r="F1570" i="3"/>
  <c r="D1570" i="3"/>
  <c r="A1570" i="3"/>
  <c r="V1569" i="3"/>
  <c r="M1569" i="3"/>
  <c r="L1569" i="3"/>
  <c r="I1569" i="3"/>
  <c r="H1569" i="3"/>
  <c r="F1569" i="3"/>
  <c r="D1569" i="3"/>
  <c r="A1569" i="3"/>
  <c r="V1568" i="3"/>
  <c r="M1568" i="3"/>
  <c r="L1568" i="3"/>
  <c r="I1568" i="3"/>
  <c r="H1568" i="3"/>
  <c r="F1568" i="3"/>
  <c r="D1568" i="3"/>
  <c r="A1568" i="3"/>
  <c r="V1567" i="3"/>
  <c r="M1567" i="3"/>
  <c r="L1567" i="3"/>
  <c r="I1567" i="3"/>
  <c r="H1567" i="3"/>
  <c r="F1567" i="3"/>
  <c r="D1567" i="3"/>
  <c r="A1567" i="3"/>
  <c r="V1566" i="3"/>
  <c r="M1566" i="3"/>
  <c r="L1566" i="3"/>
  <c r="I1566" i="3"/>
  <c r="H1566" i="3"/>
  <c r="F1566" i="3"/>
  <c r="D1566" i="3"/>
  <c r="A1566" i="3"/>
  <c r="V1565" i="3"/>
  <c r="M1565" i="3"/>
  <c r="L1565" i="3"/>
  <c r="I1565" i="3"/>
  <c r="H1565" i="3"/>
  <c r="F1565" i="3"/>
  <c r="D1565" i="3"/>
  <c r="A1565" i="3"/>
  <c r="V1564" i="3"/>
  <c r="M1564" i="3"/>
  <c r="L1564" i="3"/>
  <c r="I1564" i="3"/>
  <c r="H1564" i="3"/>
  <c r="F1564" i="3"/>
  <c r="D1564" i="3"/>
  <c r="A1564" i="3"/>
  <c r="V1563" i="3"/>
  <c r="M1563" i="3"/>
  <c r="L1563" i="3"/>
  <c r="I1563" i="3"/>
  <c r="H1563" i="3"/>
  <c r="F1563" i="3"/>
  <c r="D1563" i="3"/>
  <c r="A1563" i="3"/>
  <c r="V1562" i="3"/>
  <c r="M1562" i="3"/>
  <c r="L1562" i="3"/>
  <c r="I1562" i="3"/>
  <c r="H1562" i="3"/>
  <c r="F1562" i="3"/>
  <c r="D1562" i="3"/>
  <c r="A1562" i="3"/>
  <c r="V1561" i="3"/>
  <c r="M1561" i="3"/>
  <c r="L1561" i="3"/>
  <c r="I1561" i="3"/>
  <c r="H1561" i="3"/>
  <c r="F1561" i="3"/>
  <c r="D1561" i="3"/>
  <c r="A1561" i="3"/>
  <c r="V1560" i="3"/>
  <c r="M1560" i="3"/>
  <c r="L1560" i="3"/>
  <c r="I1560" i="3"/>
  <c r="H1560" i="3"/>
  <c r="F1560" i="3"/>
  <c r="D1560" i="3"/>
  <c r="A1560" i="3"/>
  <c r="V1559" i="3"/>
  <c r="M1559" i="3"/>
  <c r="L1559" i="3"/>
  <c r="I1559" i="3"/>
  <c r="H1559" i="3"/>
  <c r="F1559" i="3"/>
  <c r="D1559" i="3"/>
  <c r="A1559" i="3"/>
  <c r="V1558" i="3"/>
  <c r="M1558" i="3"/>
  <c r="L1558" i="3"/>
  <c r="I1558" i="3"/>
  <c r="H1558" i="3"/>
  <c r="F1558" i="3"/>
  <c r="D1558" i="3"/>
  <c r="A1558" i="3"/>
  <c r="V1557" i="3"/>
  <c r="M1557" i="3"/>
  <c r="L1557" i="3"/>
  <c r="I1557" i="3"/>
  <c r="H1557" i="3"/>
  <c r="F1557" i="3"/>
  <c r="D1557" i="3"/>
  <c r="A1557" i="3"/>
  <c r="V1556" i="3"/>
  <c r="M1556" i="3"/>
  <c r="L1556" i="3"/>
  <c r="I1556" i="3"/>
  <c r="H1556" i="3"/>
  <c r="F1556" i="3"/>
  <c r="D1556" i="3"/>
  <c r="A1556" i="3"/>
  <c r="V1555" i="3"/>
  <c r="M1555" i="3"/>
  <c r="L1555" i="3"/>
  <c r="I1555" i="3"/>
  <c r="H1555" i="3"/>
  <c r="F1555" i="3"/>
  <c r="D1555" i="3"/>
  <c r="A1555" i="3"/>
  <c r="V1554" i="3"/>
  <c r="M1554" i="3"/>
  <c r="L1554" i="3"/>
  <c r="I1554" i="3"/>
  <c r="H1554" i="3"/>
  <c r="F1554" i="3"/>
  <c r="D1554" i="3"/>
  <c r="A1554" i="3"/>
  <c r="V1553" i="3"/>
  <c r="M1553" i="3"/>
  <c r="L1553" i="3"/>
  <c r="I1553" i="3"/>
  <c r="H1553" i="3"/>
  <c r="F1553" i="3"/>
  <c r="D1553" i="3"/>
  <c r="A1553" i="3"/>
  <c r="V1552" i="3"/>
  <c r="M1552" i="3"/>
  <c r="L1552" i="3"/>
  <c r="I1552" i="3"/>
  <c r="H1552" i="3"/>
  <c r="F1552" i="3"/>
  <c r="D1552" i="3"/>
  <c r="A1552" i="3"/>
  <c r="V1551" i="3"/>
  <c r="M1551" i="3"/>
  <c r="L1551" i="3"/>
  <c r="I1551" i="3"/>
  <c r="H1551" i="3"/>
  <c r="F1551" i="3"/>
  <c r="D1551" i="3"/>
  <c r="A1551" i="3"/>
  <c r="V1550" i="3"/>
  <c r="M1550" i="3"/>
  <c r="L1550" i="3"/>
  <c r="I1550" i="3"/>
  <c r="H1550" i="3"/>
  <c r="F1550" i="3"/>
  <c r="D1550" i="3"/>
  <c r="A1550" i="3"/>
  <c r="V1549" i="3"/>
  <c r="M1549" i="3"/>
  <c r="L1549" i="3"/>
  <c r="I1549" i="3"/>
  <c r="H1549" i="3"/>
  <c r="F1549" i="3"/>
  <c r="D1549" i="3"/>
  <c r="A1549" i="3"/>
  <c r="V1548" i="3"/>
  <c r="M1548" i="3"/>
  <c r="L1548" i="3"/>
  <c r="I1548" i="3"/>
  <c r="H1548" i="3"/>
  <c r="F1548" i="3"/>
  <c r="D1548" i="3"/>
  <c r="A1548" i="3"/>
  <c r="V1547" i="3"/>
  <c r="M1547" i="3"/>
  <c r="L1547" i="3"/>
  <c r="I1547" i="3"/>
  <c r="H1547" i="3"/>
  <c r="F1547" i="3"/>
  <c r="D1547" i="3"/>
  <c r="A1547" i="3"/>
  <c r="V1546" i="3"/>
  <c r="M1546" i="3"/>
  <c r="L1546" i="3"/>
  <c r="I1546" i="3"/>
  <c r="H1546" i="3"/>
  <c r="F1546" i="3"/>
  <c r="D1546" i="3"/>
  <c r="A1546" i="3"/>
  <c r="V1545" i="3"/>
  <c r="M1545" i="3"/>
  <c r="L1545" i="3"/>
  <c r="I1545" i="3"/>
  <c r="H1545" i="3"/>
  <c r="F1545" i="3"/>
  <c r="D1545" i="3"/>
  <c r="A1545" i="3"/>
  <c r="V1544" i="3"/>
  <c r="M1544" i="3"/>
  <c r="L1544" i="3"/>
  <c r="I1544" i="3"/>
  <c r="H1544" i="3"/>
  <c r="F1544" i="3"/>
  <c r="D1544" i="3"/>
  <c r="A1544" i="3"/>
  <c r="V1543" i="3"/>
  <c r="M1543" i="3"/>
  <c r="L1543" i="3"/>
  <c r="I1543" i="3"/>
  <c r="H1543" i="3"/>
  <c r="F1543" i="3"/>
  <c r="D1543" i="3"/>
  <c r="A1543" i="3"/>
  <c r="V1542" i="3"/>
  <c r="M1542" i="3"/>
  <c r="L1542" i="3"/>
  <c r="I1542" i="3"/>
  <c r="H1542" i="3"/>
  <c r="F1542" i="3"/>
  <c r="D1542" i="3"/>
  <c r="A1542" i="3"/>
  <c r="V1541" i="3"/>
  <c r="M1541" i="3"/>
  <c r="L1541" i="3"/>
  <c r="I1541" i="3"/>
  <c r="H1541" i="3"/>
  <c r="F1541" i="3"/>
  <c r="D1541" i="3"/>
  <c r="A1541" i="3"/>
  <c r="V1540" i="3"/>
  <c r="M1540" i="3"/>
  <c r="L1540" i="3"/>
  <c r="I1540" i="3"/>
  <c r="H1540" i="3"/>
  <c r="F1540" i="3"/>
  <c r="D1540" i="3"/>
  <c r="A1540" i="3"/>
  <c r="V1539" i="3"/>
  <c r="M1539" i="3"/>
  <c r="L1539" i="3"/>
  <c r="I1539" i="3"/>
  <c r="H1539" i="3"/>
  <c r="F1539" i="3"/>
  <c r="D1539" i="3"/>
  <c r="A1539" i="3"/>
  <c r="V1538" i="3"/>
  <c r="M1538" i="3"/>
  <c r="L1538" i="3"/>
  <c r="I1538" i="3"/>
  <c r="H1538" i="3"/>
  <c r="F1538" i="3"/>
  <c r="D1538" i="3"/>
  <c r="A1538" i="3"/>
  <c r="V1537" i="3"/>
  <c r="M1537" i="3"/>
  <c r="L1537" i="3"/>
  <c r="I1537" i="3"/>
  <c r="H1537" i="3"/>
  <c r="F1537" i="3"/>
  <c r="D1537" i="3"/>
  <c r="A1537" i="3"/>
  <c r="V1536" i="3"/>
  <c r="M1536" i="3"/>
  <c r="L1536" i="3"/>
  <c r="I1536" i="3"/>
  <c r="H1536" i="3"/>
  <c r="F1536" i="3"/>
  <c r="D1536" i="3"/>
  <c r="A1536" i="3"/>
  <c r="V1535" i="3"/>
  <c r="M1535" i="3"/>
  <c r="L1535" i="3"/>
  <c r="I1535" i="3"/>
  <c r="H1535" i="3"/>
  <c r="F1535" i="3"/>
  <c r="D1535" i="3"/>
  <c r="A1535" i="3"/>
  <c r="V1534" i="3"/>
  <c r="M1534" i="3"/>
  <c r="L1534" i="3"/>
  <c r="I1534" i="3"/>
  <c r="H1534" i="3"/>
  <c r="F1534" i="3"/>
  <c r="D1534" i="3"/>
  <c r="A1534" i="3"/>
  <c r="V1533" i="3"/>
  <c r="M1533" i="3"/>
  <c r="L1533" i="3"/>
  <c r="I1533" i="3"/>
  <c r="H1533" i="3"/>
  <c r="F1533" i="3"/>
  <c r="D1533" i="3"/>
  <c r="A1533" i="3"/>
  <c r="V1532" i="3"/>
  <c r="M1532" i="3"/>
  <c r="L1532" i="3"/>
  <c r="I1532" i="3"/>
  <c r="H1532" i="3"/>
  <c r="F1532" i="3"/>
  <c r="D1532" i="3"/>
  <c r="A1532" i="3"/>
  <c r="V1531" i="3"/>
  <c r="M1531" i="3"/>
  <c r="L1531" i="3"/>
  <c r="I1531" i="3"/>
  <c r="H1531" i="3"/>
  <c r="F1531" i="3"/>
  <c r="D1531" i="3"/>
  <c r="A1531" i="3"/>
  <c r="V1530" i="3"/>
  <c r="M1530" i="3"/>
  <c r="L1530" i="3"/>
  <c r="I1530" i="3"/>
  <c r="H1530" i="3"/>
  <c r="F1530" i="3"/>
  <c r="D1530" i="3"/>
  <c r="A1530" i="3"/>
  <c r="V1529" i="3"/>
  <c r="M1529" i="3"/>
  <c r="L1529" i="3"/>
  <c r="I1529" i="3"/>
  <c r="H1529" i="3"/>
  <c r="F1529" i="3"/>
  <c r="D1529" i="3"/>
  <c r="A1529" i="3"/>
  <c r="V1528" i="3"/>
  <c r="M1528" i="3"/>
  <c r="L1528" i="3"/>
  <c r="I1528" i="3"/>
  <c r="H1528" i="3"/>
  <c r="F1528" i="3"/>
  <c r="D1528" i="3"/>
  <c r="A1528" i="3"/>
  <c r="V1527" i="3"/>
  <c r="M1527" i="3"/>
  <c r="L1527" i="3"/>
  <c r="I1527" i="3"/>
  <c r="H1527" i="3"/>
  <c r="F1527" i="3"/>
  <c r="D1527" i="3"/>
  <c r="A1527" i="3"/>
  <c r="V1526" i="3"/>
  <c r="M1526" i="3"/>
  <c r="L1526" i="3"/>
  <c r="I1526" i="3"/>
  <c r="H1526" i="3"/>
  <c r="F1526" i="3"/>
  <c r="D1526" i="3"/>
  <c r="A1526" i="3"/>
  <c r="V1525" i="3"/>
  <c r="M1525" i="3"/>
  <c r="L1525" i="3"/>
  <c r="I1525" i="3"/>
  <c r="H1525" i="3"/>
  <c r="F1525" i="3"/>
  <c r="D1525" i="3"/>
  <c r="A1525" i="3"/>
  <c r="V1524" i="3"/>
  <c r="M1524" i="3"/>
  <c r="L1524" i="3"/>
  <c r="I1524" i="3"/>
  <c r="H1524" i="3"/>
  <c r="F1524" i="3"/>
  <c r="D1524" i="3"/>
  <c r="A1524" i="3"/>
  <c r="V1523" i="3"/>
  <c r="M1523" i="3"/>
  <c r="L1523" i="3"/>
  <c r="I1523" i="3"/>
  <c r="H1523" i="3"/>
  <c r="F1523" i="3"/>
  <c r="D1523" i="3"/>
  <c r="A1523" i="3"/>
  <c r="V1522" i="3"/>
  <c r="M1522" i="3"/>
  <c r="L1522" i="3"/>
  <c r="I1522" i="3"/>
  <c r="H1522" i="3"/>
  <c r="F1522" i="3"/>
  <c r="D1522" i="3"/>
  <c r="A1522" i="3"/>
  <c r="V1521" i="3"/>
  <c r="M1521" i="3"/>
  <c r="L1521" i="3"/>
  <c r="I1521" i="3"/>
  <c r="H1521" i="3"/>
  <c r="F1521" i="3"/>
  <c r="D1521" i="3"/>
  <c r="A1521" i="3"/>
  <c r="V1520" i="3"/>
  <c r="M1520" i="3"/>
  <c r="L1520" i="3"/>
  <c r="I1520" i="3"/>
  <c r="H1520" i="3"/>
  <c r="F1520" i="3"/>
  <c r="D1520" i="3"/>
  <c r="A1520" i="3"/>
  <c r="V1519" i="3"/>
  <c r="M1519" i="3"/>
  <c r="L1519" i="3"/>
  <c r="I1519" i="3"/>
  <c r="H1519" i="3"/>
  <c r="F1519" i="3"/>
  <c r="D1519" i="3"/>
  <c r="A1519" i="3"/>
  <c r="V1518" i="3"/>
  <c r="M1518" i="3"/>
  <c r="L1518" i="3"/>
  <c r="I1518" i="3"/>
  <c r="H1518" i="3"/>
  <c r="F1518" i="3"/>
  <c r="D1518" i="3"/>
  <c r="A1518" i="3"/>
  <c r="V1517" i="3"/>
  <c r="M1517" i="3"/>
  <c r="L1517" i="3"/>
  <c r="I1517" i="3"/>
  <c r="H1517" i="3"/>
  <c r="F1517" i="3"/>
  <c r="D1517" i="3"/>
  <c r="A1517" i="3"/>
  <c r="V1516" i="3"/>
  <c r="M1516" i="3"/>
  <c r="L1516" i="3"/>
  <c r="I1516" i="3"/>
  <c r="H1516" i="3"/>
  <c r="F1516" i="3"/>
  <c r="D1516" i="3"/>
  <c r="A1516" i="3"/>
  <c r="V1515" i="3"/>
  <c r="M1515" i="3"/>
  <c r="L1515" i="3"/>
  <c r="I1515" i="3"/>
  <c r="H1515" i="3"/>
  <c r="F1515" i="3"/>
  <c r="D1515" i="3"/>
  <c r="A1515" i="3"/>
  <c r="V1514" i="3"/>
  <c r="M1514" i="3"/>
  <c r="L1514" i="3"/>
  <c r="I1514" i="3"/>
  <c r="H1514" i="3"/>
  <c r="F1514" i="3"/>
  <c r="D1514" i="3"/>
  <c r="A1514" i="3"/>
  <c r="V1513" i="3"/>
  <c r="M1513" i="3"/>
  <c r="L1513" i="3"/>
  <c r="I1513" i="3"/>
  <c r="H1513" i="3"/>
  <c r="F1513" i="3"/>
  <c r="D1513" i="3"/>
  <c r="A1513" i="3"/>
  <c r="V1512" i="3"/>
  <c r="M1512" i="3"/>
  <c r="L1512" i="3"/>
  <c r="I1512" i="3"/>
  <c r="H1512" i="3"/>
  <c r="F1512" i="3"/>
  <c r="D1512" i="3"/>
  <c r="A1512" i="3"/>
  <c r="V1511" i="3"/>
  <c r="M1511" i="3"/>
  <c r="L1511" i="3"/>
  <c r="I1511" i="3"/>
  <c r="H1511" i="3"/>
  <c r="F1511" i="3"/>
  <c r="D1511" i="3"/>
  <c r="A1511" i="3"/>
  <c r="V1510" i="3"/>
  <c r="M1510" i="3"/>
  <c r="L1510" i="3"/>
  <c r="I1510" i="3"/>
  <c r="H1510" i="3"/>
  <c r="F1510" i="3"/>
  <c r="D1510" i="3"/>
  <c r="A1510" i="3"/>
  <c r="V1509" i="3"/>
  <c r="M1509" i="3"/>
  <c r="L1509" i="3"/>
  <c r="I1509" i="3"/>
  <c r="H1509" i="3"/>
  <c r="F1509" i="3"/>
  <c r="D1509" i="3"/>
  <c r="A1509" i="3"/>
  <c r="V1508" i="3"/>
  <c r="M1508" i="3"/>
  <c r="L1508" i="3"/>
  <c r="I1508" i="3"/>
  <c r="H1508" i="3"/>
  <c r="F1508" i="3"/>
  <c r="D1508" i="3"/>
  <c r="A1508" i="3"/>
  <c r="V1507" i="3"/>
  <c r="M1507" i="3"/>
  <c r="L1507" i="3"/>
  <c r="I1507" i="3"/>
  <c r="H1507" i="3"/>
  <c r="F1507" i="3"/>
  <c r="D1507" i="3"/>
  <c r="A1507" i="3"/>
  <c r="V1506" i="3"/>
  <c r="M1506" i="3"/>
  <c r="L1506" i="3"/>
  <c r="I1506" i="3"/>
  <c r="H1506" i="3"/>
  <c r="F1506" i="3"/>
  <c r="D1506" i="3"/>
  <c r="A1506" i="3"/>
  <c r="V1505" i="3"/>
  <c r="M1505" i="3"/>
  <c r="L1505" i="3"/>
  <c r="I1505" i="3"/>
  <c r="H1505" i="3"/>
  <c r="F1505" i="3"/>
  <c r="D1505" i="3"/>
  <c r="A1505" i="3"/>
  <c r="V1504" i="3"/>
  <c r="M1504" i="3"/>
  <c r="L1504" i="3"/>
  <c r="I1504" i="3"/>
  <c r="H1504" i="3"/>
  <c r="F1504" i="3"/>
  <c r="D1504" i="3"/>
  <c r="A1504" i="3"/>
  <c r="V1503" i="3"/>
  <c r="M1503" i="3"/>
  <c r="L1503" i="3"/>
  <c r="I1503" i="3"/>
  <c r="H1503" i="3"/>
  <c r="F1503" i="3"/>
  <c r="D1503" i="3"/>
  <c r="A1503" i="3"/>
  <c r="V1502" i="3"/>
  <c r="M1502" i="3"/>
  <c r="L1502" i="3"/>
  <c r="I1502" i="3"/>
  <c r="H1502" i="3"/>
  <c r="F1502" i="3"/>
  <c r="D1502" i="3"/>
  <c r="A1502" i="3"/>
  <c r="V1501" i="3"/>
  <c r="M1501" i="3"/>
  <c r="L1501" i="3"/>
  <c r="I1501" i="3"/>
  <c r="H1501" i="3"/>
  <c r="F1501" i="3"/>
  <c r="D1501" i="3"/>
  <c r="A1501" i="3"/>
  <c r="V1500" i="3"/>
  <c r="M1500" i="3"/>
  <c r="L1500" i="3"/>
  <c r="I1500" i="3"/>
  <c r="H1500" i="3"/>
  <c r="F1500" i="3"/>
  <c r="D1500" i="3"/>
  <c r="A1500" i="3"/>
  <c r="V1499" i="3"/>
  <c r="M1499" i="3"/>
  <c r="L1499" i="3"/>
  <c r="I1499" i="3"/>
  <c r="H1499" i="3"/>
  <c r="F1499" i="3"/>
  <c r="D1499" i="3"/>
  <c r="A1499" i="3"/>
  <c r="V1498" i="3"/>
  <c r="M1498" i="3"/>
  <c r="L1498" i="3"/>
  <c r="I1498" i="3"/>
  <c r="H1498" i="3"/>
  <c r="F1498" i="3"/>
  <c r="D1498" i="3"/>
  <c r="A1498" i="3"/>
  <c r="V1497" i="3"/>
  <c r="M1497" i="3"/>
  <c r="L1497" i="3"/>
  <c r="I1497" i="3"/>
  <c r="H1497" i="3"/>
  <c r="F1497" i="3"/>
  <c r="D1497" i="3"/>
  <c r="A1497" i="3"/>
  <c r="V1496" i="3"/>
  <c r="M1496" i="3"/>
  <c r="L1496" i="3"/>
  <c r="I1496" i="3"/>
  <c r="H1496" i="3"/>
  <c r="F1496" i="3"/>
  <c r="D1496" i="3"/>
  <c r="A1496" i="3"/>
  <c r="V1495" i="3"/>
  <c r="M1495" i="3"/>
  <c r="L1495" i="3"/>
  <c r="I1495" i="3"/>
  <c r="H1495" i="3"/>
  <c r="F1495" i="3"/>
  <c r="D1495" i="3"/>
  <c r="A1495" i="3"/>
  <c r="V1494" i="3"/>
  <c r="M1494" i="3"/>
  <c r="L1494" i="3"/>
  <c r="I1494" i="3"/>
  <c r="H1494" i="3"/>
  <c r="F1494" i="3"/>
  <c r="D1494" i="3"/>
  <c r="A1494" i="3"/>
  <c r="V1493" i="3"/>
  <c r="M1493" i="3"/>
  <c r="L1493" i="3"/>
  <c r="I1493" i="3"/>
  <c r="H1493" i="3"/>
  <c r="F1493" i="3"/>
  <c r="D1493" i="3"/>
  <c r="A1493" i="3"/>
  <c r="V1492" i="3"/>
  <c r="M1492" i="3"/>
  <c r="L1492" i="3"/>
  <c r="I1492" i="3"/>
  <c r="H1492" i="3"/>
  <c r="F1492" i="3"/>
  <c r="D1492" i="3"/>
  <c r="A1492" i="3"/>
  <c r="V1491" i="3"/>
  <c r="M1491" i="3"/>
  <c r="L1491" i="3"/>
  <c r="I1491" i="3"/>
  <c r="H1491" i="3"/>
  <c r="F1491" i="3"/>
  <c r="D1491" i="3"/>
  <c r="A1491" i="3"/>
  <c r="V1490" i="3"/>
  <c r="M1490" i="3"/>
  <c r="L1490" i="3"/>
  <c r="I1490" i="3"/>
  <c r="H1490" i="3"/>
  <c r="F1490" i="3"/>
  <c r="D1490" i="3"/>
  <c r="A1490" i="3"/>
  <c r="V1489" i="3"/>
  <c r="M1489" i="3"/>
  <c r="L1489" i="3"/>
  <c r="I1489" i="3"/>
  <c r="H1489" i="3"/>
  <c r="F1489" i="3"/>
  <c r="D1489" i="3"/>
  <c r="A1489" i="3"/>
  <c r="V1488" i="3"/>
  <c r="M1488" i="3"/>
  <c r="L1488" i="3"/>
  <c r="I1488" i="3"/>
  <c r="H1488" i="3"/>
  <c r="F1488" i="3"/>
  <c r="D1488" i="3"/>
  <c r="A1488" i="3"/>
  <c r="V1487" i="3"/>
  <c r="M1487" i="3"/>
  <c r="L1487" i="3"/>
  <c r="I1487" i="3"/>
  <c r="H1487" i="3"/>
  <c r="F1487" i="3"/>
  <c r="D1487" i="3"/>
  <c r="A1487" i="3"/>
  <c r="V1486" i="3"/>
  <c r="M1486" i="3"/>
  <c r="L1486" i="3"/>
  <c r="I1486" i="3"/>
  <c r="H1486" i="3"/>
  <c r="F1486" i="3"/>
  <c r="D1486" i="3"/>
  <c r="A1486" i="3"/>
  <c r="V1485" i="3"/>
  <c r="M1485" i="3"/>
  <c r="L1485" i="3"/>
  <c r="I1485" i="3"/>
  <c r="H1485" i="3"/>
  <c r="F1485" i="3"/>
  <c r="D1485" i="3"/>
  <c r="A1485" i="3"/>
  <c r="V1484" i="3"/>
  <c r="M1484" i="3"/>
  <c r="L1484" i="3"/>
  <c r="I1484" i="3"/>
  <c r="H1484" i="3"/>
  <c r="F1484" i="3"/>
  <c r="D1484" i="3"/>
  <c r="A1484" i="3"/>
  <c r="V1483" i="3"/>
  <c r="M1483" i="3"/>
  <c r="L1483" i="3"/>
  <c r="I1483" i="3"/>
  <c r="H1483" i="3"/>
  <c r="F1483" i="3"/>
  <c r="D1483" i="3"/>
  <c r="A1483" i="3"/>
  <c r="V1482" i="3"/>
  <c r="M1482" i="3"/>
  <c r="L1482" i="3"/>
  <c r="I1482" i="3"/>
  <c r="H1482" i="3"/>
  <c r="F1482" i="3"/>
  <c r="D1482" i="3"/>
  <c r="A1482" i="3"/>
  <c r="V1481" i="3"/>
  <c r="M1481" i="3"/>
  <c r="L1481" i="3"/>
  <c r="I1481" i="3"/>
  <c r="H1481" i="3"/>
  <c r="F1481" i="3"/>
  <c r="D1481" i="3"/>
  <c r="A1481" i="3"/>
  <c r="V1480" i="3"/>
  <c r="M1480" i="3"/>
  <c r="L1480" i="3"/>
  <c r="I1480" i="3"/>
  <c r="H1480" i="3"/>
  <c r="F1480" i="3"/>
  <c r="D1480" i="3"/>
  <c r="A1480" i="3"/>
  <c r="V1479" i="3"/>
  <c r="M1479" i="3"/>
  <c r="L1479" i="3"/>
  <c r="I1479" i="3"/>
  <c r="H1479" i="3"/>
  <c r="F1479" i="3"/>
  <c r="D1479" i="3"/>
  <c r="A1479" i="3"/>
  <c r="V1478" i="3"/>
  <c r="M1478" i="3"/>
  <c r="L1478" i="3"/>
  <c r="I1478" i="3"/>
  <c r="H1478" i="3"/>
  <c r="F1478" i="3"/>
  <c r="D1478" i="3"/>
  <c r="A1478" i="3"/>
  <c r="V1477" i="3"/>
  <c r="M1477" i="3"/>
  <c r="L1477" i="3"/>
  <c r="I1477" i="3"/>
  <c r="H1477" i="3"/>
  <c r="F1477" i="3"/>
  <c r="D1477" i="3"/>
  <c r="A1477" i="3"/>
  <c r="V1476" i="3"/>
  <c r="M1476" i="3"/>
  <c r="L1476" i="3"/>
  <c r="I1476" i="3"/>
  <c r="H1476" i="3"/>
  <c r="F1476" i="3"/>
  <c r="D1476" i="3"/>
  <c r="A1476" i="3"/>
  <c r="V1475" i="3"/>
  <c r="M1475" i="3"/>
  <c r="L1475" i="3"/>
  <c r="I1475" i="3"/>
  <c r="H1475" i="3"/>
  <c r="F1475" i="3"/>
  <c r="D1475" i="3"/>
  <c r="A1475" i="3"/>
  <c r="V1474" i="3"/>
  <c r="M1474" i="3"/>
  <c r="L1474" i="3"/>
  <c r="I1474" i="3"/>
  <c r="H1474" i="3"/>
  <c r="F1474" i="3"/>
  <c r="D1474" i="3"/>
  <c r="A1474" i="3"/>
  <c r="V1473" i="3"/>
  <c r="M1473" i="3"/>
  <c r="L1473" i="3"/>
  <c r="I1473" i="3"/>
  <c r="H1473" i="3"/>
  <c r="F1473" i="3"/>
  <c r="D1473" i="3"/>
  <c r="A1473" i="3"/>
  <c r="V1472" i="3"/>
  <c r="M1472" i="3"/>
  <c r="L1472" i="3"/>
  <c r="I1472" i="3"/>
  <c r="H1472" i="3"/>
  <c r="F1472" i="3"/>
  <c r="D1472" i="3"/>
  <c r="A1472" i="3"/>
  <c r="V1471" i="3"/>
  <c r="M1471" i="3"/>
  <c r="L1471" i="3"/>
  <c r="I1471" i="3"/>
  <c r="H1471" i="3"/>
  <c r="F1471" i="3"/>
  <c r="D1471" i="3"/>
  <c r="A1471" i="3"/>
  <c r="V1470" i="3"/>
  <c r="M1470" i="3"/>
  <c r="L1470" i="3"/>
  <c r="I1470" i="3"/>
  <c r="H1470" i="3"/>
  <c r="F1470" i="3"/>
  <c r="D1470" i="3"/>
  <c r="A1470" i="3"/>
  <c r="V1469" i="3"/>
  <c r="M1469" i="3"/>
  <c r="L1469" i="3"/>
  <c r="I1469" i="3"/>
  <c r="H1469" i="3"/>
  <c r="F1469" i="3"/>
  <c r="D1469" i="3"/>
  <c r="A1469" i="3"/>
  <c r="V1468" i="3"/>
  <c r="M1468" i="3"/>
  <c r="L1468" i="3"/>
  <c r="I1468" i="3"/>
  <c r="H1468" i="3"/>
  <c r="F1468" i="3"/>
  <c r="D1468" i="3"/>
  <c r="A1468" i="3"/>
  <c r="V1467" i="3"/>
  <c r="M1467" i="3"/>
  <c r="L1467" i="3"/>
  <c r="I1467" i="3"/>
  <c r="H1467" i="3"/>
  <c r="F1467" i="3"/>
  <c r="D1467" i="3"/>
  <c r="A1467" i="3"/>
  <c r="V1466" i="3"/>
  <c r="M1466" i="3"/>
  <c r="L1466" i="3"/>
  <c r="I1466" i="3"/>
  <c r="H1466" i="3"/>
  <c r="F1466" i="3"/>
  <c r="D1466" i="3"/>
  <c r="A1466" i="3"/>
  <c r="V1465" i="3"/>
  <c r="M1465" i="3"/>
  <c r="L1465" i="3"/>
  <c r="I1465" i="3"/>
  <c r="H1465" i="3"/>
  <c r="F1465" i="3"/>
  <c r="D1465" i="3"/>
  <c r="A1465" i="3"/>
  <c r="V1464" i="3"/>
  <c r="M1464" i="3"/>
  <c r="L1464" i="3"/>
  <c r="I1464" i="3"/>
  <c r="H1464" i="3"/>
  <c r="F1464" i="3"/>
  <c r="D1464" i="3"/>
  <c r="A1464" i="3"/>
  <c r="V1463" i="3"/>
  <c r="M1463" i="3"/>
  <c r="L1463" i="3"/>
  <c r="I1463" i="3"/>
  <c r="H1463" i="3"/>
  <c r="F1463" i="3"/>
  <c r="D1463" i="3"/>
  <c r="A1463" i="3"/>
  <c r="V1462" i="3"/>
  <c r="M1462" i="3"/>
  <c r="L1462" i="3"/>
  <c r="I1462" i="3"/>
  <c r="H1462" i="3"/>
  <c r="F1462" i="3"/>
  <c r="D1462" i="3"/>
  <c r="A1462" i="3"/>
  <c r="V1461" i="3"/>
  <c r="M1461" i="3"/>
  <c r="L1461" i="3"/>
  <c r="I1461" i="3"/>
  <c r="H1461" i="3"/>
  <c r="F1461" i="3"/>
  <c r="D1461" i="3"/>
  <c r="A1461" i="3"/>
  <c r="V1460" i="3"/>
  <c r="M1460" i="3"/>
  <c r="L1460" i="3"/>
  <c r="I1460" i="3"/>
  <c r="H1460" i="3"/>
  <c r="F1460" i="3"/>
  <c r="D1460" i="3"/>
  <c r="A1460" i="3"/>
  <c r="V1459" i="3"/>
  <c r="M1459" i="3"/>
  <c r="L1459" i="3"/>
  <c r="I1459" i="3"/>
  <c r="H1459" i="3"/>
  <c r="F1459" i="3"/>
  <c r="D1459" i="3"/>
  <c r="A1459" i="3"/>
  <c r="V1458" i="3"/>
  <c r="M1458" i="3"/>
  <c r="L1458" i="3"/>
  <c r="I1458" i="3"/>
  <c r="H1458" i="3"/>
  <c r="F1458" i="3"/>
  <c r="D1458" i="3"/>
  <c r="A1458" i="3"/>
  <c r="V1457" i="3"/>
  <c r="M1457" i="3"/>
  <c r="L1457" i="3"/>
  <c r="I1457" i="3"/>
  <c r="H1457" i="3"/>
  <c r="F1457" i="3"/>
  <c r="D1457" i="3"/>
  <c r="A1457" i="3"/>
  <c r="V1456" i="3"/>
  <c r="M1456" i="3"/>
  <c r="L1456" i="3"/>
  <c r="I1456" i="3"/>
  <c r="H1456" i="3"/>
  <c r="F1456" i="3"/>
  <c r="D1456" i="3"/>
  <c r="A1456" i="3"/>
  <c r="V1455" i="3"/>
  <c r="M1455" i="3"/>
  <c r="L1455" i="3"/>
  <c r="I1455" i="3"/>
  <c r="H1455" i="3"/>
  <c r="F1455" i="3"/>
  <c r="D1455" i="3"/>
  <c r="A1455" i="3"/>
  <c r="V1454" i="3"/>
  <c r="M1454" i="3"/>
  <c r="L1454" i="3"/>
  <c r="I1454" i="3"/>
  <c r="H1454" i="3"/>
  <c r="F1454" i="3"/>
  <c r="D1454" i="3"/>
  <c r="A1454" i="3"/>
  <c r="V1453" i="3"/>
  <c r="M1453" i="3"/>
  <c r="L1453" i="3"/>
  <c r="I1453" i="3"/>
  <c r="H1453" i="3"/>
  <c r="F1453" i="3"/>
  <c r="D1453" i="3"/>
  <c r="A1453" i="3"/>
  <c r="V1452" i="3"/>
  <c r="M1452" i="3"/>
  <c r="L1452" i="3"/>
  <c r="I1452" i="3"/>
  <c r="H1452" i="3"/>
  <c r="F1452" i="3"/>
  <c r="D1452" i="3"/>
  <c r="A1452" i="3"/>
  <c r="V1451" i="3"/>
  <c r="M1451" i="3"/>
  <c r="L1451" i="3"/>
  <c r="I1451" i="3"/>
  <c r="H1451" i="3"/>
  <c r="F1451" i="3"/>
  <c r="D1451" i="3"/>
  <c r="A1451" i="3"/>
  <c r="V1450" i="3"/>
  <c r="M1450" i="3"/>
  <c r="L1450" i="3"/>
  <c r="I1450" i="3"/>
  <c r="H1450" i="3"/>
  <c r="F1450" i="3"/>
  <c r="D1450" i="3"/>
  <c r="A1450" i="3"/>
  <c r="V1449" i="3"/>
  <c r="M1449" i="3"/>
  <c r="L1449" i="3"/>
  <c r="I1449" i="3"/>
  <c r="H1449" i="3"/>
  <c r="F1449" i="3"/>
  <c r="D1449" i="3"/>
  <c r="A1449" i="3"/>
  <c r="V1448" i="3"/>
  <c r="M1448" i="3"/>
  <c r="L1448" i="3"/>
  <c r="I1448" i="3"/>
  <c r="H1448" i="3"/>
  <c r="F1448" i="3"/>
  <c r="D1448" i="3"/>
  <c r="A1448" i="3"/>
  <c r="V1447" i="3"/>
  <c r="M1447" i="3"/>
  <c r="L1447" i="3"/>
  <c r="I1447" i="3"/>
  <c r="H1447" i="3"/>
  <c r="F1447" i="3"/>
  <c r="D1447" i="3"/>
  <c r="A1447" i="3"/>
  <c r="V1446" i="3"/>
  <c r="M1446" i="3"/>
  <c r="L1446" i="3"/>
  <c r="I1446" i="3"/>
  <c r="H1446" i="3"/>
  <c r="F1446" i="3"/>
  <c r="D1446" i="3"/>
  <c r="A1446" i="3"/>
  <c r="V1445" i="3"/>
  <c r="M1445" i="3"/>
  <c r="L1445" i="3"/>
  <c r="I1445" i="3"/>
  <c r="H1445" i="3"/>
  <c r="F1445" i="3"/>
  <c r="D1445" i="3"/>
  <c r="A1445" i="3"/>
  <c r="V1444" i="3"/>
  <c r="M1444" i="3"/>
  <c r="L1444" i="3"/>
  <c r="I1444" i="3"/>
  <c r="H1444" i="3"/>
  <c r="F1444" i="3"/>
  <c r="D1444" i="3"/>
  <c r="A1444" i="3"/>
  <c r="V1443" i="3"/>
  <c r="M1443" i="3"/>
  <c r="L1443" i="3"/>
  <c r="I1443" i="3"/>
  <c r="H1443" i="3"/>
  <c r="F1443" i="3"/>
  <c r="D1443" i="3"/>
  <c r="A1443" i="3"/>
  <c r="V1442" i="3"/>
  <c r="M1442" i="3"/>
  <c r="L1442" i="3"/>
  <c r="I1442" i="3"/>
  <c r="H1442" i="3"/>
  <c r="F1442" i="3"/>
  <c r="D1442" i="3"/>
  <c r="A1442" i="3"/>
  <c r="V1441" i="3"/>
  <c r="M1441" i="3"/>
  <c r="L1441" i="3"/>
  <c r="I1441" i="3"/>
  <c r="H1441" i="3"/>
  <c r="F1441" i="3"/>
  <c r="D1441" i="3"/>
  <c r="A1441" i="3"/>
  <c r="V1440" i="3"/>
  <c r="M1440" i="3"/>
  <c r="L1440" i="3"/>
  <c r="I1440" i="3"/>
  <c r="H1440" i="3"/>
  <c r="F1440" i="3"/>
  <c r="D1440" i="3"/>
  <c r="A1440" i="3"/>
  <c r="V1439" i="3"/>
  <c r="M1439" i="3"/>
  <c r="L1439" i="3"/>
  <c r="I1439" i="3"/>
  <c r="H1439" i="3"/>
  <c r="F1439" i="3"/>
  <c r="D1439" i="3"/>
  <c r="A1439" i="3"/>
  <c r="V1438" i="3"/>
  <c r="M1438" i="3"/>
  <c r="L1438" i="3"/>
  <c r="I1438" i="3"/>
  <c r="H1438" i="3"/>
  <c r="F1438" i="3"/>
  <c r="D1438" i="3"/>
  <c r="A1438" i="3"/>
  <c r="V1437" i="3"/>
  <c r="M1437" i="3"/>
  <c r="L1437" i="3"/>
  <c r="I1437" i="3"/>
  <c r="H1437" i="3"/>
  <c r="F1437" i="3"/>
  <c r="D1437" i="3"/>
  <c r="A1437" i="3"/>
  <c r="V1436" i="3"/>
  <c r="M1436" i="3"/>
  <c r="L1436" i="3"/>
  <c r="I1436" i="3"/>
  <c r="H1436" i="3"/>
  <c r="F1436" i="3"/>
  <c r="D1436" i="3"/>
  <c r="A1436" i="3"/>
  <c r="V1435" i="3"/>
  <c r="M1435" i="3"/>
  <c r="L1435" i="3"/>
  <c r="I1435" i="3"/>
  <c r="H1435" i="3"/>
  <c r="F1435" i="3"/>
  <c r="D1435" i="3"/>
  <c r="A1435" i="3"/>
  <c r="V1434" i="3"/>
  <c r="M1434" i="3"/>
  <c r="L1434" i="3"/>
  <c r="I1434" i="3"/>
  <c r="H1434" i="3"/>
  <c r="F1434" i="3"/>
  <c r="D1434" i="3"/>
  <c r="A1434" i="3"/>
  <c r="V1433" i="3"/>
  <c r="M1433" i="3"/>
  <c r="L1433" i="3"/>
  <c r="I1433" i="3"/>
  <c r="H1433" i="3"/>
  <c r="F1433" i="3"/>
  <c r="D1433" i="3"/>
  <c r="A1433" i="3"/>
  <c r="V1432" i="3"/>
  <c r="M1432" i="3"/>
  <c r="L1432" i="3"/>
  <c r="I1432" i="3"/>
  <c r="H1432" i="3"/>
  <c r="F1432" i="3"/>
  <c r="D1432" i="3"/>
  <c r="A1432" i="3"/>
  <c r="V1431" i="3"/>
  <c r="M1431" i="3"/>
  <c r="L1431" i="3"/>
  <c r="I1431" i="3"/>
  <c r="H1431" i="3"/>
  <c r="F1431" i="3"/>
  <c r="D1431" i="3"/>
  <c r="A1431" i="3"/>
  <c r="V1430" i="3"/>
  <c r="M1430" i="3"/>
  <c r="L1430" i="3"/>
  <c r="I1430" i="3"/>
  <c r="H1430" i="3"/>
  <c r="F1430" i="3"/>
  <c r="D1430" i="3"/>
  <c r="A1430" i="3"/>
  <c r="V1429" i="3"/>
  <c r="M1429" i="3"/>
  <c r="L1429" i="3"/>
  <c r="I1429" i="3"/>
  <c r="H1429" i="3"/>
  <c r="F1429" i="3"/>
  <c r="D1429" i="3"/>
  <c r="A1429" i="3"/>
  <c r="V1428" i="3"/>
  <c r="M1428" i="3"/>
  <c r="L1428" i="3"/>
  <c r="I1428" i="3"/>
  <c r="H1428" i="3"/>
  <c r="F1428" i="3"/>
  <c r="D1428" i="3"/>
  <c r="A1428" i="3"/>
  <c r="V1427" i="3"/>
  <c r="M1427" i="3"/>
  <c r="L1427" i="3"/>
  <c r="I1427" i="3"/>
  <c r="H1427" i="3"/>
  <c r="F1427" i="3"/>
  <c r="D1427" i="3"/>
  <c r="A1427" i="3"/>
  <c r="V1426" i="3"/>
  <c r="M1426" i="3"/>
  <c r="L1426" i="3"/>
  <c r="I1426" i="3"/>
  <c r="H1426" i="3"/>
  <c r="F1426" i="3"/>
  <c r="D1426" i="3"/>
  <c r="A1426" i="3"/>
  <c r="V1425" i="3"/>
  <c r="M1425" i="3"/>
  <c r="L1425" i="3"/>
  <c r="I1425" i="3"/>
  <c r="H1425" i="3"/>
  <c r="F1425" i="3"/>
  <c r="D1425" i="3"/>
  <c r="A1425" i="3"/>
  <c r="V1424" i="3"/>
  <c r="M1424" i="3"/>
  <c r="L1424" i="3"/>
  <c r="I1424" i="3"/>
  <c r="H1424" i="3"/>
  <c r="F1424" i="3"/>
  <c r="D1424" i="3"/>
  <c r="A1424" i="3"/>
  <c r="V1423" i="3"/>
  <c r="M1423" i="3"/>
  <c r="L1423" i="3"/>
  <c r="I1423" i="3"/>
  <c r="H1423" i="3"/>
  <c r="F1423" i="3"/>
  <c r="D1423" i="3"/>
  <c r="A1423" i="3"/>
  <c r="V1422" i="3"/>
  <c r="M1422" i="3"/>
  <c r="L1422" i="3"/>
  <c r="I1422" i="3"/>
  <c r="H1422" i="3"/>
  <c r="F1422" i="3"/>
  <c r="D1422" i="3"/>
  <c r="A1422" i="3"/>
  <c r="V1421" i="3"/>
  <c r="M1421" i="3"/>
  <c r="L1421" i="3"/>
  <c r="I1421" i="3"/>
  <c r="H1421" i="3"/>
  <c r="F1421" i="3"/>
  <c r="D1421" i="3"/>
  <c r="A1421" i="3"/>
  <c r="V1420" i="3"/>
  <c r="M1420" i="3"/>
  <c r="L1420" i="3"/>
  <c r="I1420" i="3"/>
  <c r="H1420" i="3"/>
  <c r="F1420" i="3"/>
  <c r="D1420" i="3"/>
  <c r="A1420" i="3"/>
  <c r="V1419" i="3"/>
  <c r="M1419" i="3"/>
  <c r="L1419" i="3"/>
  <c r="I1419" i="3"/>
  <c r="H1419" i="3"/>
  <c r="F1419" i="3"/>
  <c r="D1419" i="3"/>
  <c r="A1419" i="3"/>
  <c r="V1418" i="3"/>
  <c r="M1418" i="3"/>
  <c r="L1418" i="3"/>
  <c r="I1418" i="3"/>
  <c r="H1418" i="3"/>
  <c r="F1418" i="3"/>
  <c r="D1418" i="3"/>
  <c r="A1418" i="3"/>
  <c r="V1417" i="3"/>
  <c r="M1417" i="3"/>
  <c r="L1417" i="3"/>
  <c r="I1417" i="3"/>
  <c r="H1417" i="3"/>
  <c r="F1417" i="3"/>
  <c r="D1417" i="3"/>
  <c r="A1417" i="3"/>
  <c r="V1416" i="3"/>
  <c r="M1416" i="3"/>
  <c r="L1416" i="3"/>
  <c r="I1416" i="3"/>
  <c r="H1416" i="3"/>
  <c r="F1416" i="3"/>
  <c r="D1416" i="3"/>
  <c r="A1416" i="3"/>
  <c r="V1415" i="3"/>
  <c r="M1415" i="3"/>
  <c r="L1415" i="3"/>
  <c r="I1415" i="3"/>
  <c r="H1415" i="3"/>
  <c r="F1415" i="3"/>
  <c r="D1415" i="3"/>
  <c r="A1415" i="3"/>
  <c r="V1414" i="3"/>
  <c r="M1414" i="3"/>
  <c r="L1414" i="3"/>
  <c r="I1414" i="3"/>
  <c r="H1414" i="3"/>
  <c r="F1414" i="3"/>
  <c r="D1414" i="3"/>
  <c r="A1414" i="3"/>
  <c r="V1413" i="3"/>
  <c r="M1413" i="3"/>
  <c r="L1413" i="3"/>
  <c r="I1413" i="3"/>
  <c r="H1413" i="3"/>
  <c r="F1413" i="3"/>
  <c r="D1413" i="3"/>
  <c r="A1413" i="3"/>
  <c r="V1412" i="3"/>
  <c r="M1412" i="3"/>
  <c r="L1412" i="3"/>
  <c r="I1412" i="3"/>
  <c r="H1412" i="3"/>
  <c r="F1412" i="3"/>
  <c r="D1412" i="3"/>
  <c r="A1412" i="3"/>
  <c r="V1411" i="3"/>
  <c r="M1411" i="3"/>
  <c r="L1411" i="3"/>
  <c r="I1411" i="3"/>
  <c r="H1411" i="3"/>
  <c r="F1411" i="3"/>
  <c r="D1411" i="3"/>
  <c r="A1411" i="3"/>
  <c r="V1410" i="3"/>
  <c r="M1410" i="3"/>
  <c r="L1410" i="3"/>
  <c r="I1410" i="3"/>
  <c r="H1410" i="3"/>
  <c r="F1410" i="3"/>
  <c r="D1410" i="3"/>
  <c r="A1410" i="3"/>
  <c r="V1409" i="3"/>
  <c r="M1409" i="3"/>
  <c r="L1409" i="3"/>
  <c r="I1409" i="3"/>
  <c r="H1409" i="3"/>
  <c r="F1409" i="3"/>
  <c r="D1409" i="3"/>
  <c r="A1409" i="3"/>
  <c r="V1408" i="3"/>
  <c r="M1408" i="3"/>
  <c r="L1408" i="3"/>
  <c r="I1408" i="3"/>
  <c r="H1408" i="3"/>
  <c r="F1408" i="3"/>
  <c r="D1408" i="3"/>
  <c r="A1408" i="3"/>
  <c r="V1407" i="3"/>
  <c r="M1407" i="3"/>
  <c r="L1407" i="3"/>
  <c r="I1407" i="3"/>
  <c r="H1407" i="3"/>
  <c r="F1407" i="3"/>
  <c r="D1407" i="3"/>
  <c r="A1407" i="3"/>
  <c r="V1406" i="3"/>
  <c r="M1406" i="3"/>
  <c r="L1406" i="3"/>
  <c r="I1406" i="3"/>
  <c r="H1406" i="3"/>
  <c r="F1406" i="3"/>
  <c r="D1406" i="3"/>
  <c r="A1406" i="3"/>
  <c r="V1405" i="3"/>
  <c r="M1405" i="3"/>
  <c r="L1405" i="3"/>
  <c r="I1405" i="3"/>
  <c r="H1405" i="3"/>
  <c r="F1405" i="3"/>
  <c r="D1405" i="3"/>
  <c r="A1405" i="3"/>
  <c r="V1404" i="3"/>
  <c r="M1404" i="3"/>
  <c r="L1404" i="3"/>
  <c r="I1404" i="3"/>
  <c r="H1404" i="3"/>
  <c r="F1404" i="3"/>
  <c r="D1404" i="3"/>
  <c r="A1404" i="3"/>
  <c r="V1403" i="3"/>
  <c r="M1403" i="3"/>
  <c r="L1403" i="3"/>
  <c r="I1403" i="3"/>
  <c r="H1403" i="3"/>
  <c r="F1403" i="3"/>
  <c r="D1403" i="3"/>
  <c r="A1403" i="3"/>
  <c r="V1402" i="3"/>
  <c r="M1402" i="3"/>
  <c r="L1402" i="3"/>
  <c r="I1402" i="3"/>
  <c r="H1402" i="3"/>
  <c r="F1402" i="3"/>
  <c r="D1402" i="3"/>
  <c r="A1402" i="3"/>
  <c r="V1401" i="3"/>
  <c r="M1401" i="3"/>
  <c r="L1401" i="3"/>
  <c r="I1401" i="3"/>
  <c r="H1401" i="3"/>
  <c r="F1401" i="3"/>
  <c r="D1401" i="3"/>
  <c r="A1401" i="3"/>
  <c r="V1400" i="3"/>
  <c r="M1400" i="3"/>
  <c r="L1400" i="3"/>
  <c r="I1400" i="3"/>
  <c r="H1400" i="3"/>
  <c r="F1400" i="3"/>
  <c r="D1400" i="3"/>
  <c r="A1400" i="3"/>
  <c r="V1399" i="3"/>
  <c r="M1399" i="3"/>
  <c r="L1399" i="3"/>
  <c r="I1399" i="3"/>
  <c r="H1399" i="3"/>
  <c r="F1399" i="3"/>
  <c r="D1399" i="3"/>
  <c r="A1399" i="3"/>
  <c r="V1398" i="3"/>
  <c r="M1398" i="3"/>
  <c r="L1398" i="3"/>
  <c r="I1398" i="3"/>
  <c r="H1398" i="3"/>
  <c r="F1398" i="3"/>
  <c r="D1398" i="3"/>
  <c r="A1398" i="3"/>
  <c r="V1397" i="3"/>
  <c r="M1397" i="3"/>
  <c r="L1397" i="3"/>
  <c r="I1397" i="3"/>
  <c r="H1397" i="3"/>
  <c r="F1397" i="3"/>
  <c r="D1397" i="3"/>
  <c r="A1397" i="3"/>
  <c r="V1396" i="3"/>
  <c r="M1396" i="3"/>
  <c r="L1396" i="3"/>
  <c r="I1396" i="3"/>
  <c r="H1396" i="3"/>
  <c r="F1396" i="3"/>
  <c r="D1396" i="3"/>
  <c r="A1396" i="3"/>
  <c r="V1395" i="3"/>
  <c r="M1395" i="3"/>
  <c r="L1395" i="3"/>
  <c r="I1395" i="3"/>
  <c r="H1395" i="3"/>
  <c r="F1395" i="3"/>
  <c r="D1395" i="3"/>
  <c r="A1395" i="3"/>
  <c r="V1394" i="3"/>
  <c r="M1394" i="3"/>
  <c r="L1394" i="3"/>
  <c r="I1394" i="3"/>
  <c r="H1394" i="3"/>
  <c r="F1394" i="3"/>
  <c r="D1394" i="3"/>
  <c r="A1394" i="3"/>
  <c r="V1393" i="3"/>
  <c r="M1393" i="3"/>
  <c r="L1393" i="3"/>
  <c r="I1393" i="3"/>
  <c r="H1393" i="3"/>
  <c r="F1393" i="3"/>
  <c r="D1393" i="3"/>
  <c r="A1393" i="3"/>
  <c r="V1392" i="3"/>
  <c r="M1392" i="3"/>
  <c r="L1392" i="3"/>
  <c r="I1392" i="3"/>
  <c r="H1392" i="3"/>
  <c r="F1392" i="3"/>
  <c r="D1392" i="3"/>
  <c r="A1392" i="3"/>
  <c r="V1391" i="3"/>
  <c r="M1391" i="3"/>
  <c r="L1391" i="3"/>
  <c r="I1391" i="3"/>
  <c r="H1391" i="3"/>
  <c r="F1391" i="3"/>
  <c r="D1391" i="3"/>
  <c r="A1391" i="3"/>
  <c r="V1390" i="3"/>
  <c r="M1390" i="3"/>
  <c r="L1390" i="3"/>
  <c r="I1390" i="3"/>
  <c r="H1390" i="3"/>
  <c r="F1390" i="3"/>
  <c r="D1390" i="3"/>
  <c r="A1390" i="3"/>
  <c r="V1389" i="3"/>
  <c r="M1389" i="3"/>
  <c r="L1389" i="3"/>
  <c r="I1389" i="3"/>
  <c r="H1389" i="3"/>
  <c r="F1389" i="3"/>
  <c r="D1389" i="3"/>
  <c r="A1389" i="3"/>
  <c r="V1388" i="3"/>
  <c r="M1388" i="3"/>
  <c r="L1388" i="3"/>
  <c r="I1388" i="3"/>
  <c r="H1388" i="3"/>
  <c r="F1388" i="3"/>
  <c r="D1388" i="3"/>
  <c r="A1388" i="3"/>
  <c r="V1387" i="3"/>
  <c r="M1387" i="3"/>
  <c r="L1387" i="3"/>
  <c r="I1387" i="3"/>
  <c r="H1387" i="3"/>
  <c r="F1387" i="3"/>
  <c r="D1387" i="3"/>
  <c r="A1387" i="3"/>
  <c r="V1386" i="3"/>
  <c r="M1386" i="3"/>
  <c r="L1386" i="3"/>
  <c r="I1386" i="3"/>
  <c r="H1386" i="3"/>
  <c r="F1386" i="3"/>
  <c r="D1386" i="3"/>
  <c r="A1386" i="3"/>
  <c r="V1385" i="3"/>
  <c r="M1385" i="3"/>
  <c r="L1385" i="3"/>
  <c r="I1385" i="3"/>
  <c r="H1385" i="3"/>
  <c r="F1385" i="3"/>
  <c r="D1385" i="3"/>
  <c r="A1385" i="3"/>
  <c r="V1384" i="3"/>
  <c r="M1384" i="3"/>
  <c r="L1384" i="3"/>
  <c r="I1384" i="3"/>
  <c r="H1384" i="3"/>
  <c r="F1384" i="3"/>
  <c r="D1384" i="3"/>
  <c r="A1384" i="3"/>
  <c r="V1383" i="3"/>
  <c r="M1383" i="3"/>
  <c r="L1383" i="3"/>
  <c r="I1383" i="3"/>
  <c r="H1383" i="3"/>
  <c r="F1383" i="3"/>
  <c r="D1383" i="3"/>
  <c r="A1383" i="3"/>
  <c r="V1382" i="3"/>
  <c r="M1382" i="3"/>
  <c r="L1382" i="3"/>
  <c r="I1382" i="3"/>
  <c r="H1382" i="3"/>
  <c r="F1382" i="3"/>
  <c r="D1382" i="3"/>
  <c r="A1382" i="3"/>
  <c r="V1381" i="3"/>
  <c r="M1381" i="3"/>
  <c r="L1381" i="3"/>
  <c r="I1381" i="3"/>
  <c r="H1381" i="3"/>
  <c r="F1381" i="3"/>
  <c r="D1381" i="3"/>
  <c r="A1381" i="3"/>
  <c r="V1380" i="3"/>
  <c r="M1380" i="3"/>
  <c r="L1380" i="3"/>
  <c r="I1380" i="3"/>
  <c r="H1380" i="3"/>
  <c r="F1380" i="3"/>
  <c r="D1380" i="3"/>
  <c r="A1380" i="3"/>
  <c r="V1379" i="3"/>
  <c r="M1379" i="3"/>
  <c r="L1379" i="3"/>
  <c r="I1379" i="3"/>
  <c r="H1379" i="3"/>
  <c r="F1379" i="3"/>
  <c r="D1379" i="3"/>
  <c r="A1379" i="3"/>
  <c r="V1378" i="3"/>
  <c r="M1378" i="3"/>
  <c r="L1378" i="3"/>
  <c r="I1378" i="3"/>
  <c r="H1378" i="3"/>
  <c r="F1378" i="3"/>
  <c r="D1378" i="3"/>
  <c r="A1378" i="3"/>
  <c r="V1377" i="3"/>
  <c r="M1377" i="3"/>
  <c r="L1377" i="3"/>
  <c r="I1377" i="3"/>
  <c r="H1377" i="3"/>
  <c r="F1377" i="3"/>
  <c r="D1377" i="3"/>
  <c r="A1377" i="3"/>
  <c r="V1376" i="3"/>
  <c r="M1376" i="3"/>
  <c r="L1376" i="3"/>
  <c r="I1376" i="3"/>
  <c r="H1376" i="3"/>
  <c r="F1376" i="3"/>
  <c r="D1376" i="3"/>
  <c r="A1376" i="3"/>
  <c r="V1375" i="3"/>
  <c r="M1375" i="3"/>
  <c r="L1375" i="3"/>
  <c r="I1375" i="3"/>
  <c r="H1375" i="3"/>
  <c r="F1375" i="3"/>
  <c r="D1375" i="3"/>
  <c r="A1375" i="3"/>
  <c r="V1374" i="3"/>
  <c r="M1374" i="3"/>
  <c r="L1374" i="3"/>
  <c r="I1374" i="3"/>
  <c r="H1374" i="3"/>
  <c r="F1374" i="3"/>
  <c r="D1374" i="3"/>
  <c r="A1374" i="3"/>
  <c r="V1373" i="3"/>
  <c r="M1373" i="3"/>
  <c r="L1373" i="3"/>
  <c r="I1373" i="3"/>
  <c r="H1373" i="3"/>
  <c r="F1373" i="3"/>
  <c r="D1373" i="3"/>
  <c r="A1373" i="3"/>
  <c r="V1372" i="3"/>
  <c r="M1372" i="3"/>
  <c r="L1372" i="3"/>
  <c r="I1372" i="3"/>
  <c r="H1372" i="3"/>
  <c r="F1372" i="3"/>
  <c r="D1372" i="3"/>
  <c r="A1372" i="3"/>
  <c r="V1371" i="3"/>
  <c r="M1371" i="3"/>
  <c r="L1371" i="3"/>
  <c r="I1371" i="3"/>
  <c r="H1371" i="3"/>
  <c r="F1371" i="3"/>
  <c r="D1371" i="3"/>
  <c r="A1371" i="3"/>
  <c r="V1370" i="3"/>
  <c r="M1370" i="3"/>
  <c r="L1370" i="3"/>
  <c r="I1370" i="3"/>
  <c r="H1370" i="3"/>
  <c r="F1370" i="3"/>
  <c r="D1370" i="3"/>
  <c r="A1370" i="3"/>
  <c r="V1369" i="3"/>
  <c r="M1369" i="3"/>
  <c r="L1369" i="3"/>
  <c r="I1369" i="3"/>
  <c r="H1369" i="3"/>
  <c r="F1369" i="3"/>
  <c r="D1369" i="3"/>
  <c r="A1369" i="3"/>
  <c r="V1368" i="3"/>
  <c r="M1368" i="3"/>
  <c r="L1368" i="3"/>
  <c r="I1368" i="3"/>
  <c r="H1368" i="3"/>
  <c r="F1368" i="3"/>
  <c r="D1368" i="3"/>
  <c r="A1368" i="3"/>
  <c r="V1367" i="3"/>
  <c r="M1367" i="3"/>
  <c r="L1367" i="3"/>
  <c r="I1367" i="3"/>
  <c r="H1367" i="3"/>
  <c r="F1367" i="3"/>
  <c r="D1367" i="3"/>
  <c r="A1367" i="3"/>
  <c r="V1366" i="3"/>
  <c r="M1366" i="3"/>
  <c r="L1366" i="3"/>
  <c r="I1366" i="3"/>
  <c r="H1366" i="3"/>
  <c r="F1366" i="3"/>
  <c r="D1366" i="3"/>
  <c r="A1366" i="3"/>
  <c r="V1365" i="3"/>
  <c r="M1365" i="3"/>
  <c r="L1365" i="3"/>
  <c r="I1365" i="3"/>
  <c r="H1365" i="3"/>
  <c r="F1365" i="3"/>
  <c r="D1365" i="3"/>
  <c r="A1365" i="3"/>
  <c r="V1364" i="3"/>
  <c r="M1364" i="3"/>
  <c r="L1364" i="3"/>
  <c r="I1364" i="3"/>
  <c r="H1364" i="3"/>
  <c r="F1364" i="3"/>
  <c r="D1364" i="3"/>
  <c r="A1364" i="3"/>
  <c r="V1363" i="3"/>
  <c r="M1363" i="3"/>
  <c r="L1363" i="3"/>
  <c r="I1363" i="3"/>
  <c r="H1363" i="3"/>
  <c r="F1363" i="3"/>
  <c r="D1363" i="3"/>
  <c r="A1363" i="3"/>
  <c r="V1362" i="3"/>
  <c r="M1362" i="3"/>
  <c r="L1362" i="3"/>
  <c r="I1362" i="3"/>
  <c r="H1362" i="3"/>
  <c r="F1362" i="3"/>
  <c r="D1362" i="3"/>
  <c r="A1362" i="3"/>
  <c r="V1361" i="3"/>
  <c r="M1361" i="3"/>
  <c r="L1361" i="3"/>
  <c r="I1361" i="3"/>
  <c r="H1361" i="3"/>
  <c r="F1361" i="3"/>
  <c r="D1361" i="3"/>
  <c r="A1361" i="3"/>
  <c r="V1360" i="3"/>
  <c r="M1360" i="3"/>
  <c r="L1360" i="3"/>
  <c r="I1360" i="3"/>
  <c r="H1360" i="3"/>
  <c r="F1360" i="3"/>
  <c r="D1360" i="3"/>
  <c r="A1360" i="3"/>
  <c r="V1359" i="3"/>
  <c r="M1359" i="3"/>
  <c r="L1359" i="3"/>
  <c r="I1359" i="3"/>
  <c r="H1359" i="3"/>
  <c r="F1359" i="3"/>
  <c r="D1359" i="3"/>
  <c r="A1359" i="3"/>
  <c r="V1358" i="3"/>
  <c r="M1358" i="3"/>
  <c r="L1358" i="3"/>
  <c r="I1358" i="3"/>
  <c r="H1358" i="3"/>
  <c r="F1358" i="3"/>
  <c r="D1358" i="3"/>
  <c r="A1358" i="3"/>
  <c r="V1357" i="3"/>
  <c r="M1357" i="3"/>
  <c r="L1357" i="3"/>
  <c r="I1357" i="3"/>
  <c r="H1357" i="3"/>
  <c r="F1357" i="3"/>
  <c r="D1357" i="3"/>
  <c r="A1357" i="3"/>
  <c r="V1356" i="3"/>
  <c r="M1356" i="3"/>
  <c r="L1356" i="3"/>
  <c r="I1356" i="3"/>
  <c r="H1356" i="3"/>
  <c r="F1356" i="3"/>
  <c r="D1356" i="3"/>
  <c r="A1356" i="3"/>
  <c r="V1355" i="3"/>
  <c r="M1355" i="3"/>
  <c r="L1355" i="3"/>
  <c r="I1355" i="3"/>
  <c r="H1355" i="3"/>
  <c r="F1355" i="3"/>
  <c r="D1355" i="3"/>
  <c r="A1355" i="3"/>
  <c r="V1354" i="3"/>
  <c r="M1354" i="3"/>
  <c r="L1354" i="3"/>
  <c r="I1354" i="3"/>
  <c r="H1354" i="3"/>
  <c r="F1354" i="3"/>
  <c r="D1354" i="3"/>
  <c r="A1354" i="3"/>
  <c r="V1353" i="3"/>
  <c r="M1353" i="3"/>
  <c r="L1353" i="3"/>
  <c r="I1353" i="3"/>
  <c r="H1353" i="3"/>
  <c r="F1353" i="3"/>
  <c r="D1353" i="3"/>
  <c r="A1353" i="3"/>
  <c r="V1352" i="3"/>
  <c r="M1352" i="3"/>
  <c r="L1352" i="3"/>
  <c r="I1352" i="3"/>
  <c r="H1352" i="3"/>
  <c r="F1352" i="3"/>
  <c r="D1352" i="3"/>
  <c r="A1352" i="3"/>
  <c r="V1351" i="3"/>
  <c r="M1351" i="3"/>
  <c r="L1351" i="3"/>
  <c r="I1351" i="3"/>
  <c r="H1351" i="3"/>
  <c r="F1351" i="3"/>
  <c r="D1351" i="3"/>
  <c r="A1351" i="3"/>
  <c r="V1350" i="3"/>
  <c r="M1350" i="3"/>
  <c r="L1350" i="3"/>
  <c r="I1350" i="3"/>
  <c r="H1350" i="3"/>
  <c r="F1350" i="3"/>
  <c r="D1350" i="3"/>
  <c r="A1350" i="3"/>
  <c r="V1349" i="3"/>
  <c r="M1349" i="3"/>
  <c r="L1349" i="3"/>
  <c r="I1349" i="3"/>
  <c r="H1349" i="3"/>
  <c r="F1349" i="3"/>
  <c r="D1349" i="3"/>
  <c r="A1349" i="3"/>
  <c r="V1348" i="3"/>
  <c r="M1348" i="3"/>
  <c r="L1348" i="3"/>
  <c r="I1348" i="3"/>
  <c r="H1348" i="3"/>
  <c r="F1348" i="3"/>
  <c r="D1348" i="3"/>
  <c r="A1348" i="3"/>
  <c r="V1347" i="3"/>
  <c r="M1347" i="3"/>
  <c r="L1347" i="3"/>
  <c r="I1347" i="3"/>
  <c r="H1347" i="3"/>
  <c r="F1347" i="3"/>
  <c r="D1347" i="3"/>
  <c r="A1347" i="3"/>
  <c r="V1346" i="3"/>
  <c r="M1346" i="3"/>
  <c r="L1346" i="3"/>
  <c r="I1346" i="3"/>
  <c r="H1346" i="3"/>
  <c r="F1346" i="3"/>
  <c r="D1346" i="3"/>
  <c r="A1346" i="3"/>
  <c r="V1345" i="3"/>
  <c r="M1345" i="3"/>
  <c r="L1345" i="3"/>
  <c r="I1345" i="3"/>
  <c r="H1345" i="3"/>
  <c r="F1345" i="3"/>
  <c r="D1345" i="3"/>
  <c r="A1345" i="3"/>
  <c r="V1344" i="3"/>
  <c r="M1344" i="3"/>
  <c r="L1344" i="3"/>
  <c r="I1344" i="3"/>
  <c r="H1344" i="3"/>
  <c r="F1344" i="3"/>
  <c r="D1344" i="3"/>
  <c r="A1344" i="3"/>
  <c r="V1343" i="3"/>
  <c r="M1343" i="3"/>
  <c r="L1343" i="3"/>
  <c r="I1343" i="3"/>
  <c r="H1343" i="3"/>
  <c r="F1343" i="3"/>
  <c r="D1343" i="3"/>
  <c r="A1343" i="3"/>
  <c r="V1342" i="3"/>
  <c r="M1342" i="3"/>
  <c r="L1342" i="3"/>
  <c r="I1342" i="3"/>
  <c r="H1342" i="3"/>
  <c r="F1342" i="3"/>
  <c r="D1342" i="3"/>
  <c r="A1342" i="3"/>
  <c r="V1341" i="3"/>
  <c r="M1341" i="3"/>
  <c r="L1341" i="3"/>
  <c r="I1341" i="3"/>
  <c r="H1341" i="3"/>
  <c r="F1341" i="3"/>
  <c r="D1341" i="3"/>
  <c r="A1341" i="3"/>
  <c r="V1340" i="3"/>
  <c r="M1340" i="3"/>
  <c r="L1340" i="3"/>
  <c r="I1340" i="3"/>
  <c r="H1340" i="3"/>
  <c r="F1340" i="3"/>
  <c r="D1340" i="3"/>
  <c r="A1340" i="3"/>
  <c r="V1339" i="3"/>
  <c r="M1339" i="3"/>
  <c r="L1339" i="3"/>
  <c r="I1339" i="3"/>
  <c r="H1339" i="3"/>
  <c r="F1339" i="3"/>
  <c r="D1339" i="3"/>
  <c r="A1339" i="3"/>
  <c r="V1338" i="3"/>
  <c r="M1338" i="3"/>
  <c r="L1338" i="3"/>
  <c r="I1338" i="3"/>
  <c r="H1338" i="3"/>
  <c r="F1338" i="3"/>
  <c r="D1338" i="3"/>
  <c r="A1338" i="3"/>
  <c r="V1337" i="3"/>
  <c r="M1337" i="3"/>
  <c r="L1337" i="3"/>
  <c r="I1337" i="3"/>
  <c r="H1337" i="3"/>
  <c r="F1337" i="3"/>
  <c r="D1337" i="3"/>
  <c r="A1337" i="3"/>
  <c r="V1336" i="3"/>
  <c r="M1336" i="3"/>
  <c r="L1336" i="3"/>
  <c r="I1336" i="3"/>
  <c r="H1336" i="3"/>
  <c r="F1336" i="3"/>
  <c r="D1336" i="3"/>
  <c r="A1336" i="3"/>
  <c r="V1335" i="3"/>
  <c r="M1335" i="3"/>
  <c r="L1335" i="3"/>
  <c r="I1335" i="3"/>
  <c r="H1335" i="3"/>
  <c r="F1335" i="3"/>
  <c r="D1335" i="3"/>
  <c r="A1335" i="3"/>
  <c r="V1334" i="3"/>
  <c r="M1334" i="3"/>
  <c r="L1334" i="3"/>
  <c r="I1334" i="3"/>
  <c r="H1334" i="3"/>
  <c r="F1334" i="3"/>
  <c r="D1334" i="3"/>
  <c r="A1334" i="3"/>
  <c r="V1333" i="3"/>
  <c r="M1333" i="3"/>
  <c r="L1333" i="3"/>
  <c r="I1333" i="3"/>
  <c r="H1333" i="3"/>
  <c r="F1333" i="3"/>
  <c r="D1333" i="3"/>
  <c r="A1333" i="3"/>
  <c r="V1332" i="3"/>
  <c r="M1332" i="3"/>
  <c r="L1332" i="3"/>
  <c r="I1332" i="3"/>
  <c r="H1332" i="3"/>
  <c r="F1332" i="3"/>
  <c r="D1332" i="3"/>
  <c r="A1332" i="3"/>
  <c r="V1331" i="3"/>
  <c r="M1331" i="3"/>
  <c r="L1331" i="3"/>
  <c r="I1331" i="3"/>
  <c r="H1331" i="3"/>
  <c r="F1331" i="3"/>
  <c r="D1331" i="3"/>
  <c r="A1331" i="3"/>
  <c r="V1330" i="3"/>
  <c r="M1330" i="3"/>
  <c r="L1330" i="3"/>
  <c r="I1330" i="3"/>
  <c r="H1330" i="3"/>
  <c r="F1330" i="3"/>
  <c r="D1330" i="3"/>
  <c r="A1330" i="3"/>
  <c r="V1329" i="3"/>
  <c r="M1329" i="3"/>
  <c r="L1329" i="3"/>
  <c r="I1329" i="3"/>
  <c r="H1329" i="3"/>
  <c r="F1329" i="3"/>
  <c r="D1329" i="3"/>
  <c r="A1329" i="3"/>
  <c r="V1328" i="3"/>
  <c r="M1328" i="3"/>
  <c r="L1328" i="3"/>
  <c r="I1328" i="3"/>
  <c r="H1328" i="3"/>
  <c r="F1328" i="3"/>
  <c r="D1328" i="3"/>
  <c r="A1328" i="3"/>
  <c r="V1327" i="3"/>
  <c r="M1327" i="3"/>
  <c r="L1327" i="3"/>
  <c r="I1327" i="3"/>
  <c r="H1327" i="3"/>
  <c r="F1327" i="3"/>
  <c r="D1327" i="3"/>
  <c r="A1327" i="3"/>
  <c r="V1326" i="3"/>
  <c r="M1326" i="3"/>
  <c r="L1326" i="3"/>
  <c r="I1326" i="3"/>
  <c r="H1326" i="3"/>
  <c r="F1326" i="3"/>
  <c r="D1326" i="3"/>
  <c r="A1326" i="3"/>
  <c r="V1325" i="3"/>
  <c r="M1325" i="3"/>
  <c r="L1325" i="3"/>
  <c r="I1325" i="3"/>
  <c r="H1325" i="3"/>
  <c r="F1325" i="3"/>
  <c r="D1325" i="3"/>
  <c r="A1325" i="3"/>
  <c r="V1324" i="3"/>
  <c r="M1324" i="3"/>
  <c r="L1324" i="3"/>
  <c r="I1324" i="3"/>
  <c r="H1324" i="3"/>
  <c r="F1324" i="3"/>
  <c r="D1324" i="3"/>
  <c r="A1324" i="3"/>
  <c r="V1323" i="3"/>
  <c r="M1323" i="3"/>
  <c r="L1323" i="3"/>
  <c r="I1323" i="3"/>
  <c r="H1323" i="3"/>
  <c r="F1323" i="3"/>
  <c r="D1323" i="3"/>
  <c r="A1323" i="3"/>
  <c r="V1322" i="3"/>
  <c r="M1322" i="3"/>
  <c r="L1322" i="3"/>
  <c r="I1322" i="3"/>
  <c r="H1322" i="3"/>
  <c r="F1322" i="3"/>
  <c r="D1322" i="3"/>
  <c r="A1322" i="3"/>
  <c r="V1321" i="3"/>
  <c r="M1321" i="3"/>
  <c r="L1321" i="3"/>
  <c r="I1321" i="3"/>
  <c r="H1321" i="3"/>
  <c r="F1321" i="3"/>
  <c r="D1321" i="3"/>
  <c r="A1321" i="3"/>
  <c r="V1320" i="3"/>
  <c r="M1320" i="3"/>
  <c r="L1320" i="3"/>
  <c r="I1320" i="3"/>
  <c r="H1320" i="3"/>
  <c r="F1320" i="3"/>
  <c r="D1320" i="3"/>
  <c r="A1320" i="3"/>
  <c r="V1319" i="3"/>
  <c r="M1319" i="3"/>
  <c r="L1319" i="3"/>
  <c r="I1319" i="3"/>
  <c r="H1319" i="3"/>
  <c r="F1319" i="3"/>
  <c r="D1319" i="3"/>
  <c r="A1319" i="3"/>
  <c r="V1318" i="3"/>
  <c r="M1318" i="3"/>
  <c r="L1318" i="3"/>
  <c r="I1318" i="3"/>
  <c r="H1318" i="3"/>
  <c r="F1318" i="3"/>
  <c r="D1318" i="3"/>
  <c r="A1318" i="3"/>
  <c r="V1317" i="3"/>
  <c r="M1317" i="3"/>
  <c r="L1317" i="3"/>
  <c r="I1317" i="3"/>
  <c r="H1317" i="3"/>
  <c r="F1317" i="3"/>
  <c r="D1317" i="3"/>
  <c r="A1317" i="3"/>
  <c r="V1316" i="3"/>
  <c r="M1316" i="3"/>
  <c r="L1316" i="3"/>
  <c r="I1316" i="3"/>
  <c r="H1316" i="3"/>
  <c r="F1316" i="3"/>
  <c r="D1316" i="3"/>
  <c r="A1316" i="3"/>
  <c r="V1315" i="3"/>
  <c r="M1315" i="3"/>
  <c r="L1315" i="3"/>
  <c r="I1315" i="3"/>
  <c r="H1315" i="3"/>
  <c r="F1315" i="3"/>
  <c r="D1315" i="3"/>
  <c r="A1315" i="3"/>
  <c r="V1314" i="3"/>
  <c r="M1314" i="3"/>
  <c r="L1314" i="3"/>
  <c r="I1314" i="3"/>
  <c r="H1314" i="3"/>
  <c r="F1314" i="3"/>
  <c r="D1314" i="3"/>
  <c r="A1314" i="3"/>
  <c r="V1313" i="3"/>
  <c r="M1313" i="3"/>
  <c r="L1313" i="3"/>
  <c r="I1313" i="3"/>
  <c r="H1313" i="3"/>
  <c r="F1313" i="3"/>
  <c r="D1313" i="3"/>
  <c r="A1313" i="3"/>
  <c r="V1312" i="3"/>
  <c r="M1312" i="3"/>
  <c r="L1312" i="3"/>
  <c r="I1312" i="3"/>
  <c r="H1312" i="3"/>
  <c r="F1312" i="3"/>
  <c r="D1312" i="3"/>
  <c r="A1312" i="3"/>
  <c r="V1311" i="3"/>
  <c r="M1311" i="3"/>
  <c r="L1311" i="3"/>
  <c r="I1311" i="3"/>
  <c r="H1311" i="3"/>
  <c r="F1311" i="3"/>
  <c r="D1311" i="3"/>
  <c r="A1311" i="3"/>
  <c r="V1310" i="3"/>
  <c r="M1310" i="3"/>
  <c r="L1310" i="3"/>
  <c r="I1310" i="3"/>
  <c r="H1310" i="3"/>
  <c r="F1310" i="3"/>
  <c r="D1310" i="3"/>
  <c r="A1310" i="3"/>
  <c r="V1309" i="3"/>
  <c r="M1309" i="3"/>
  <c r="L1309" i="3"/>
  <c r="I1309" i="3"/>
  <c r="H1309" i="3"/>
  <c r="F1309" i="3"/>
  <c r="D1309" i="3"/>
  <c r="A1309" i="3"/>
  <c r="V1308" i="3"/>
  <c r="M1308" i="3"/>
  <c r="L1308" i="3"/>
  <c r="I1308" i="3"/>
  <c r="H1308" i="3"/>
  <c r="F1308" i="3"/>
  <c r="D1308" i="3"/>
  <c r="A1308" i="3"/>
  <c r="V1307" i="3"/>
  <c r="M1307" i="3"/>
  <c r="L1307" i="3"/>
  <c r="I1307" i="3"/>
  <c r="H1307" i="3"/>
  <c r="F1307" i="3"/>
  <c r="D1307" i="3"/>
  <c r="A1307" i="3"/>
  <c r="V1306" i="3"/>
  <c r="M1306" i="3"/>
  <c r="L1306" i="3"/>
  <c r="I1306" i="3"/>
  <c r="H1306" i="3"/>
  <c r="F1306" i="3"/>
  <c r="D1306" i="3"/>
  <c r="A1306" i="3"/>
  <c r="V1305" i="3"/>
  <c r="M1305" i="3"/>
  <c r="L1305" i="3"/>
  <c r="I1305" i="3"/>
  <c r="H1305" i="3"/>
  <c r="F1305" i="3"/>
  <c r="D1305" i="3"/>
  <c r="A1305" i="3"/>
  <c r="V1304" i="3"/>
  <c r="M1304" i="3"/>
  <c r="L1304" i="3"/>
  <c r="I1304" i="3"/>
  <c r="H1304" i="3"/>
  <c r="F1304" i="3"/>
  <c r="D1304" i="3"/>
  <c r="A1304" i="3"/>
  <c r="V1303" i="3"/>
  <c r="M1303" i="3"/>
  <c r="L1303" i="3"/>
  <c r="I1303" i="3"/>
  <c r="H1303" i="3"/>
  <c r="F1303" i="3"/>
  <c r="D1303" i="3"/>
  <c r="A1303" i="3"/>
  <c r="V1302" i="3"/>
  <c r="M1302" i="3"/>
  <c r="L1302" i="3"/>
  <c r="I1302" i="3"/>
  <c r="H1302" i="3"/>
  <c r="F1302" i="3"/>
  <c r="D1302" i="3"/>
  <c r="A1302" i="3"/>
  <c r="V1301" i="3"/>
  <c r="M1301" i="3"/>
  <c r="L1301" i="3"/>
  <c r="I1301" i="3"/>
  <c r="H1301" i="3"/>
  <c r="F1301" i="3"/>
  <c r="D1301" i="3"/>
  <c r="A1301" i="3"/>
  <c r="V1300" i="3"/>
  <c r="M1300" i="3"/>
  <c r="L1300" i="3"/>
  <c r="I1300" i="3"/>
  <c r="H1300" i="3"/>
  <c r="F1300" i="3"/>
  <c r="D1300" i="3"/>
  <c r="A1300" i="3"/>
  <c r="V1299" i="3"/>
  <c r="M1299" i="3"/>
  <c r="L1299" i="3"/>
  <c r="I1299" i="3"/>
  <c r="H1299" i="3"/>
  <c r="F1299" i="3"/>
  <c r="D1299" i="3"/>
  <c r="A1299" i="3"/>
  <c r="V1298" i="3"/>
  <c r="M1298" i="3"/>
  <c r="L1298" i="3"/>
  <c r="I1298" i="3"/>
  <c r="H1298" i="3"/>
  <c r="F1298" i="3"/>
  <c r="D1298" i="3"/>
  <c r="A1298" i="3"/>
  <c r="V1297" i="3"/>
  <c r="M1297" i="3"/>
  <c r="L1297" i="3"/>
  <c r="I1297" i="3"/>
  <c r="H1297" i="3"/>
  <c r="F1297" i="3"/>
  <c r="D1297" i="3"/>
  <c r="A1297" i="3"/>
  <c r="V1296" i="3"/>
  <c r="M1296" i="3"/>
  <c r="L1296" i="3"/>
  <c r="I1296" i="3"/>
  <c r="H1296" i="3"/>
  <c r="F1296" i="3"/>
  <c r="D1296" i="3"/>
  <c r="A1296" i="3"/>
  <c r="V1295" i="3"/>
  <c r="M1295" i="3"/>
  <c r="L1295" i="3"/>
  <c r="I1295" i="3"/>
  <c r="H1295" i="3"/>
  <c r="F1295" i="3"/>
  <c r="D1295" i="3"/>
  <c r="A1295" i="3"/>
  <c r="V1294" i="3"/>
  <c r="M1294" i="3"/>
  <c r="L1294" i="3"/>
  <c r="I1294" i="3"/>
  <c r="H1294" i="3"/>
  <c r="F1294" i="3"/>
  <c r="D1294" i="3"/>
  <c r="A1294" i="3"/>
  <c r="V1293" i="3"/>
  <c r="M1293" i="3"/>
  <c r="L1293" i="3"/>
  <c r="I1293" i="3"/>
  <c r="H1293" i="3"/>
  <c r="F1293" i="3"/>
  <c r="D1293" i="3"/>
  <c r="A1293" i="3"/>
  <c r="V1292" i="3"/>
  <c r="M1292" i="3"/>
  <c r="L1292" i="3"/>
  <c r="I1292" i="3"/>
  <c r="H1292" i="3"/>
  <c r="F1292" i="3"/>
  <c r="D1292" i="3"/>
  <c r="A1292" i="3"/>
  <c r="V1291" i="3"/>
  <c r="M1291" i="3"/>
  <c r="L1291" i="3"/>
  <c r="I1291" i="3"/>
  <c r="H1291" i="3"/>
  <c r="F1291" i="3"/>
  <c r="D1291" i="3"/>
  <c r="A1291" i="3"/>
  <c r="V1290" i="3"/>
  <c r="M1290" i="3"/>
  <c r="L1290" i="3"/>
  <c r="I1290" i="3"/>
  <c r="H1290" i="3"/>
  <c r="F1290" i="3"/>
  <c r="D1290" i="3"/>
  <c r="A1290" i="3"/>
  <c r="V1289" i="3"/>
  <c r="M1289" i="3"/>
  <c r="L1289" i="3"/>
  <c r="I1289" i="3"/>
  <c r="H1289" i="3"/>
  <c r="F1289" i="3"/>
  <c r="D1289" i="3"/>
  <c r="A1289" i="3"/>
  <c r="V1288" i="3"/>
  <c r="M1288" i="3"/>
  <c r="L1288" i="3"/>
  <c r="I1288" i="3"/>
  <c r="H1288" i="3"/>
  <c r="F1288" i="3"/>
  <c r="D1288" i="3"/>
  <c r="A1288" i="3"/>
  <c r="V1287" i="3"/>
  <c r="M1287" i="3"/>
  <c r="L1287" i="3"/>
  <c r="I1287" i="3"/>
  <c r="H1287" i="3"/>
  <c r="F1287" i="3"/>
  <c r="D1287" i="3"/>
  <c r="A1287" i="3"/>
  <c r="V1286" i="3"/>
  <c r="M1286" i="3"/>
  <c r="L1286" i="3"/>
  <c r="I1286" i="3"/>
  <c r="H1286" i="3"/>
  <c r="F1286" i="3"/>
  <c r="D1286" i="3"/>
  <c r="A1286" i="3"/>
  <c r="V1285" i="3"/>
  <c r="M1285" i="3"/>
  <c r="L1285" i="3"/>
  <c r="I1285" i="3"/>
  <c r="H1285" i="3"/>
  <c r="F1285" i="3"/>
  <c r="D1285" i="3"/>
  <c r="A1285" i="3"/>
  <c r="V1284" i="3"/>
  <c r="M1284" i="3"/>
  <c r="L1284" i="3"/>
  <c r="I1284" i="3"/>
  <c r="H1284" i="3"/>
  <c r="F1284" i="3"/>
  <c r="D1284" i="3"/>
  <c r="A1284" i="3"/>
  <c r="V1283" i="3"/>
  <c r="M1283" i="3"/>
  <c r="L1283" i="3"/>
  <c r="I1283" i="3"/>
  <c r="H1283" i="3"/>
  <c r="F1283" i="3"/>
  <c r="D1283" i="3"/>
  <c r="A1283" i="3"/>
  <c r="V1282" i="3"/>
  <c r="M1282" i="3"/>
  <c r="L1282" i="3"/>
  <c r="I1282" i="3"/>
  <c r="H1282" i="3"/>
  <c r="F1282" i="3"/>
  <c r="D1282" i="3"/>
  <c r="A1282" i="3"/>
  <c r="V1281" i="3"/>
  <c r="M1281" i="3"/>
  <c r="L1281" i="3"/>
  <c r="I1281" i="3"/>
  <c r="H1281" i="3"/>
  <c r="F1281" i="3"/>
  <c r="D1281" i="3"/>
  <c r="A1281" i="3"/>
  <c r="V1280" i="3"/>
  <c r="M1280" i="3"/>
  <c r="L1280" i="3"/>
  <c r="I1280" i="3"/>
  <c r="H1280" i="3"/>
  <c r="F1280" i="3"/>
  <c r="D1280" i="3"/>
  <c r="A1280" i="3"/>
  <c r="V1279" i="3"/>
  <c r="M1279" i="3"/>
  <c r="L1279" i="3"/>
  <c r="I1279" i="3"/>
  <c r="H1279" i="3"/>
  <c r="F1279" i="3"/>
  <c r="D1279" i="3"/>
  <c r="A1279" i="3"/>
  <c r="V1278" i="3"/>
  <c r="M1278" i="3"/>
  <c r="L1278" i="3"/>
  <c r="I1278" i="3"/>
  <c r="H1278" i="3"/>
  <c r="F1278" i="3"/>
  <c r="D1278" i="3"/>
  <c r="A1278" i="3"/>
  <c r="V1277" i="3"/>
  <c r="M1277" i="3"/>
  <c r="L1277" i="3"/>
  <c r="I1277" i="3"/>
  <c r="H1277" i="3"/>
  <c r="F1277" i="3"/>
  <c r="D1277" i="3"/>
  <c r="A1277" i="3"/>
  <c r="V1276" i="3"/>
  <c r="M1276" i="3"/>
  <c r="L1276" i="3"/>
  <c r="I1276" i="3"/>
  <c r="H1276" i="3"/>
  <c r="F1276" i="3"/>
  <c r="D1276" i="3"/>
  <c r="A1276" i="3"/>
  <c r="V1275" i="3"/>
  <c r="M1275" i="3"/>
  <c r="L1275" i="3"/>
  <c r="I1275" i="3"/>
  <c r="H1275" i="3"/>
  <c r="F1275" i="3"/>
  <c r="D1275" i="3"/>
  <c r="A1275" i="3"/>
  <c r="V1274" i="3"/>
  <c r="M1274" i="3"/>
  <c r="L1274" i="3"/>
  <c r="I1274" i="3"/>
  <c r="H1274" i="3"/>
  <c r="F1274" i="3"/>
  <c r="D1274" i="3"/>
  <c r="A1274" i="3"/>
  <c r="V1273" i="3"/>
  <c r="M1273" i="3"/>
  <c r="L1273" i="3"/>
  <c r="I1273" i="3"/>
  <c r="H1273" i="3"/>
  <c r="F1273" i="3"/>
  <c r="D1273" i="3"/>
  <c r="A1273" i="3"/>
  <c r="V1272" i="3"/>
  <c r="M1272" i="3"/>
  <c r="L1272" i="3"/>
  <c r="I1272" i="3"/>
  <c r="H1272" i="3"/>
  <c r="F1272" i="3"/>
  <c r="D1272" i="3"/>
  <c r="A1272" i="3"/>
  <c r="V1271" i="3"/>
  <c r="M1271" i="3"/>
  <c r="L1271" i="3"/>
  <c r="I1271" i="3"/>
  <c r="H1271" i="3"/>
  <c r="F1271" i="3"/>
  <c r="D1271" i="3"/>
  <c r="A1271" i="3"/>
  <c r="V1270" i="3"/>
  <c r="M1270" i="3"/>
  <c r="L1270" i="3"/>
  <c r="I1270" i="3"/>
  <c r="H1270" i="3"/>
  <c r="F1270" i="3"/>
  <c r="D1270" i="3"/>
  <c r="A1270" i="3"/>
  <c r="V1269" i="3"/>
  <c r="M1269" i="3"/>
  <c r="L1269" i="3"/>
  <c r="I1269" i="3"/>
  <c r="H1269" i="3"/>
  <c r="F1269" i="3"/>
  <c r="D1269" i="3"/>
  <c r="A1269" i="3"/>
  <c r="V1268" i="3"/>
  <c r="M1268" i="3"/>
  <c r="L1268" i="3"/>
  <c r="I1268" i="3"/>
  <c r="H1268" i="3"/>
  <c r="F1268" i="3"/>
  <c r="D1268" i="3"/>
  <c r="A1268" i="3"/>
  <c r="V1267" i="3"/>
  <c r="M1267" i="3"/>
  <c r="L1267" i="3"/>
  <c r="I1267" i="3"/>
  <c r="H1267" i="3"/>
  <c r="F1267" i="3"/>
  <c r="D1267" i="3"/>
  <c r="A1267" i="3"/>
  <c r="V1266" i="3"/>
  <c r="M1266" i="3"/>
  <c r="L1266" i="3"/>
  <c r="I1266" i="3"/>
  <c r="H1266" i="3"/>
  <c r="F1266" i="3"/>
  <c r="D1266" i="3"/>
  <c r="A1266" i="3"/>
  <c r="V1265" i="3"/>
  <c r="M1265" i="3"/>
  <c r="L1265" i="3"/>
  <c r="I1265" i="3"/>
  <c r="H1265" i="3"/>
  <c r="F1265" i="3"/>
  <c r="D1265" i="3"/>
  <c r="A1265" i="3"/>
  <c r="V1264" i="3"/>
  <c r="M1264" i="3"/>
  <c r="L1264" i="3"/>
  <c r="I1264" i="3"/>
  <c r="H1264" i="3"/>
  <c r="F1264" i="3"/>
  <c r="D1264" i="3"/>
  <c r="A1264" i="3"/>
  <c r="V1263" i="3"/>
  <c r="M1263" i="3"/>
  <c r="L1263" i="3"/>
  <c r="I1263" i="3"/>
  <c r="H1263" i="3"/>
  <c r="F1263" i="3"/>
  <c r="D1263" i="3"/>
  <c r="A1263" i="3"/>
  <c r="V1262" i="3"/>
  <c r="M1262" i="3"/>
  <c r="L1262" i="3"/>
  <c r="I1262" i="3"/>
  <c r="H1262" i="3"/>
  <c r="F1262" i="3"/>
  <c r="D1262" i="3"/>
  <c r="A1262" i="3"/>
  <c r="V1261" i="3"/>
  <c r="M1261" i="3"/>
  <c r="L1261" i="3"/>
  <c r="I1261" i="3"/>
  <c r="H1261" i="3"/>
  <c r="F1261" i="3"/>
  <c r="D1261" i="3"/>
  <c r="A1261" i="3"/>
  <c r="V1260" i="3"/>
  <c r="M1260" i="3"/>
  <c r="L1260" i="3"/>
  <c r="I1260" i="3"/>
  <c r="H1260" i="3"/>
  <c r="F1260" i="3"/>
  <c r="D1260" i="3"/>
  <c r="A1260" i="3"/>
  <c r="V1259" i="3"/>
  <c r="M1259" i="3"/>
  <c r="L1259" i="3"/>
  <c r="I1259" i="3"/>
  <c r="H1259" i="3"/>
  <c r="F1259" i="3"/>
  <c r="D1259" i="3"/>
  <c r="A1259" i="3"/>
  <c r="V1258" i="3"/>
  <c r="M1258" i="3"/>
  <c r="L1258" i="3"/>
  <c r="I1258" i="3"/>
  <c r="H1258" i="3"/>
  <c r="F1258" i="3"/>
  <c r="D1258" i="3"/>
  <c r="A1258" i="3"/>
  <c r="V1257" i="3"/>
  <c r="M1257" i="3"/>
  <c r="L1257" i="3"/>
  <c r="I1257" i="3"/>
  <c r="H1257" i="3"/>
  <c r="F1257" i="3"/>
  <c r="D1257" i="3"/>
  <c r="A1257" i="3"/>
  <c r="V1256" i="3"/>
  <c r="M1256" i="3"/>
  <c r="L1256" i="3"/>
  <c r="I1256" i="3"/>
  <c r="H1256" i="3"/>
  <c r="F1256" i="3"/>
  <c r="D1256" i="3"/>
  <c r="A1256" i="3"/>
  <c r="V1255" i="3"/>
  <c r="M1255" i="3"/>
  <c r="L1255" i="3"/>
  <c r="I1255" i="3"/>
  <c r="H1255" i="3"/>
  <c r="F1255" i="3"/>
  <c r="D1255" i="3"/>
  <c r="A1255" i="3"/>
  <c r="V1254" i="3"/>
  <c r="M1254" i="3"/>
  <c r="L1254" i="3"/>
  <c r="I1254" i="3"/>
  <c r="H1254" i="3"/>
  <c r="F1254" i="3"/>
  <c r="D1254" i="3"/>
  <c r="A1254" i="3"/>
  <c r="V1253" i="3"/>
  <c r="M1253" i="3"/>
  <c r="L1253" i="3"/>
  <c r="I1253" i="3"/>
  <c r="H1253" i="3"/>
  <c r="F1253" i="3"/>
  <c r="D1253" i="3"/>
  <c r="A1253" i="3"/>
  <c r="V1252" i="3"/>
  <c r="M1252" i="3"/>
  <c r="L1252" i="3"/>
  <c r="I1252" i="3"/>
  <c r="H1252" i="3"/>
  <c r="F1252" i="3"/>
  <c r="D1252" i="3"/>
  <c r="A1252" i="3"/>
  <c r="V1251" i="3"/>
  <c r="M1251" i="3"/>
  <c r="L1251" i="3"/>
  <c r="I1251" i="3"/>
  <c r="H1251" i="3"/>
  <c r="F1251" i="3"/>
  <c r="D1251" i="3"/>
  <c r="A1251" i="3"/>
  <c r="V1250" i="3"/>
  <c r="M1250" i="3"/>
  <c r="L1250" i="3"/>
  <c r="I1250" i="3"/>
  <c r="H1250" i="3"/>
  <c r="F1250" i="3"/>
  <c r="D1250" i="3"/>
  <c r="A1250" i="3"/>
  <c r="V1249" i="3"/>
  <c r="M1249" i="3"/>
  <c r="L1249" i="3"/>
  <c r="I1249" i="3"/>
  <c r="H1249" i="3"/>
  <c r="F1249" i="3"/>
  <c r="D1249" i="3"/>
  <c r="A1249" i="3"/>
  <c r="V1248" i="3"/>
  <c r="M1248" i="3"/>
  <c r="L1248" i="3"/>
  <c r="I1248" i="3"/>
  <c r="H1248" i="3"/>
  <c r="F1248" i="3"/>
  <c r="D1248" i="3"/>
  <c r="A1248" i="3"/>
  <c r="V1247" i="3"/>
  <c r="M1247" i="3"/>
  <c r="L1247" i="3"/>
  <c r="I1247" i="3"/>
  <c r="H1247" i="3"/>
  <c r="F1247" i="3"/>
  <c r="D1247" i="3"/>
  <c r="A1247" i="3"/>
  <c r="V1246" i="3"/>
  <c r="M1246" i="3"/>
  <c r="L1246" i="3"/>
  <c r="I1246" i="3"/>
  <c r="H1246" i="3"/>
  <c r="F1246" i="3"/>
  <c r="D1246" i="3"/>
  <c r="A1246" i="3"/>
  <c r="V1245" i="3"/>
  <c r="M1245" i="3"/>
  <c r="L1245" i="3"/>
  <c r="I1245" i="3"/>
  <c r="H1245" i="3"/>
  <c r="F1245" i="3"/>
  <c r="D1245" i="3"/>
  <c r="A1245" i="3"/>
  <c r="V1244" i="3"/>
  <c r="M1244" i="3"/>
  <c r="L1244" i="3"/>
  <c r="I1244" i="3"/>
  <c r="H1244" i="3"/>
  <c r="F1244" i="3"/>
  <c r="D1244" i="3"/>
  <c r="A1244" i="3"/>
  <c r="V1243" i="3"/>
  <c r="M1243" i="3"/>
  <c r="L1243" i="3"/>
  <c r="I1243" i="3"/>
  <c r="H1243" i="3"/>
  <c r="F1243" i="3"/>
  <c r="D1243" i="3"/>
  <c r="A1243" i="3"/>
  <c r="V1242" i="3"/>
  <c r="M1242" i="3"/>
  <c r="L1242" i="3"/>
  <c r="I1242" i="3"/>
  <c r="H1242" i="3"/>
  <c r="F1242" i="3"/>
  <c r="D1242" i="3"/>
  <c r="A1242" i="3"/>
  <c r="V1241" i="3"/>
  <c r="M1241" i="3"/>
  <c r="L1241" i="3"/>
  <c r="I1241" i="3"/>
  <c r="H1241" i="3"/>
  <c r="F1241" i="3"/>
  <c r="D1241" i="3"/>
  <c r="A1241" i="3"/>
  <c r="V1240" i="3"/>
  <c r="M1240" i="3"/>
  <c r="L1240" i="3"/>
  <c r="I1240" i="3"/>
  <c r="H1240" i="3"/>
  <c r="F1240" i="3"/>
  <c r="D1240" i="3"/>
  <c r="A1240" i="3"/>
  <c r="V1239" i="3"/>
  <c r="M1239" i="3"/>
  <c r="L1239" i="3"/>
  <c r="I1239" i="3"/>
  <c r="H1239" i="3"/>
  <c r="F1239" i="3"/>
  <c r="D1239" i="3"/>
  <c r="A1239" i="3"/>
  <c r="V1238" i="3"/>
  <c r="M1238" i="3"/>
  <c r="L1238" i="3"/>
  <c r="I1238" i="3"/>
  <c r="H1238" i="3"/>
  <c r="F1238" i="3"/>
  <c r="D1238" i="3"/>
  <c r="A1238" i="3"/>
  <c r="V1237" i="3"/>
  <c r="M1237" i="3"/>
  <c r="L1237" i="3"/>
  <c r="I1237" i="3"/>
  <c r="H1237" i="3"/>
  <c r="F1237" i="3"/>
  <c r="D1237" i="3"/>
  <c r="A1237" i="3"/>
  <c r="V1236" i="3"/>
  <c r="M1236" i="3"/>
  <c r="L1236" i="3"/>
  <c r="I1236" i="3"/>
  <c r="H1236" i="3"/>
  <c r="F1236" i="3"/>
  <c r="D1236" i="3"/>
  <c r="A1236" i="3"/>
  <c r="V1235" i="3"/>
  <c r="M1235" i="3"/>
  <c r="L1235" i="3"/>
  <c r="I1235" i="3"/>
  <c r="H1235" i="3"/>
  <c r="F1235" i="3"/>
  <c r="D1235" i="3"/>
  <c r="A1235" i="3"/>
  <c r="V1234" i="3"/>
  <c r="M1234" i="3"/>
  <c r="L1234" i="3"/>
  <c r="I1234" i="3"/>
  <c r="H1234" i="3"/>
  <c r="F1234" i="3"/>
  <c r="D1234" i="3"/>
  <c r="A1234" i="3"/>
  <c r="V1233" i="3"/>
  <c r="M1233" i="3"/>
  <c r="L1233" i="3"/>
  <c r="I1233" i="3"/>
  <c r="H1233" i="3"/>
  <c r="F1233" i="3"/>
  <c r="D1233" i="3"/>
  <c r="A1233" i="3"/>
  <c r="V1232" i="3"/>
  <c r="M1232" i="3"/>
  <c r="L1232" i="3"/>
  <c r="I1232" i="3"/>
  <c r="H1232" i="3"/>
  <c r="F1232" i="3"/>
  <c r="D1232" i="3"/>
  <c r="A1232" i="3"/>
  <c r="V1231" i="3"/>
  <c r="M1231" i="3"/>
  <c r="L1231" i="3"/>
  <c r="I1231" i="3"/>
  <c r="H1231" i="3"/>
  <c r="F1231" i="3"/>
  <c r="D1231" i="3"/>
  <c r="A1231" i="3"/>
  <c r="V1230" i="3"/>
  <c r="M1230" i="3"/>
  <c r="L1230" i="3"/>
  <c r="I1230" i="3"/>
  <c r="H1230" i="3"/>
  <c r="F1230" i="3"/>
  <c r="D1230" i="3"/>
  <c r="A1230" i="3"/>
  <c r="V1229" i="3"/>
  <c r="M1229" i="3"/>
  <c r="L1229" i="3"/>
  <c r="I1229" i="3"/>
  <c r="H1229" i="3"/>
  <c r="F1229" i="3"/>
  <c r="D1229" i="3"/>
  <c r="A1229" i="3"/>
  <c r="V1228" i="3"/>
  <c r="M1228" i="3"/>
  <c r="L1228" i="3"/>
  <c r="I1228" i="3"/>
  <c r="H1228" i="3"/>
  <c r="F1228" i="3"/>
  <c r="D1228" i="3"/>
  <c r="A1228" i="3"/>
  <c r="V1227" i="3"/>
  <c r="M1227" i="3"/>
  <c r="L1227" i="3"/>
  <c r="I1227" i="3"/>
  <c r="H1227" i="3"/>
  <c r="F1227" i="3"/>
  <c r="D1227" i="3"/>
  <c r="A1227" i="3"/>
  <c r="V1226" i="3"/>
  <c r="M1226" i="3"/>
  <c r="L1226" i="3"/>
  <c r="I1226" i="3"/>
  <c r="H1226" i="3"/>
  <c r="F1226" i="3"/>
  <c r="D1226" i="3"/>
  <c r="A1226" i="3"/>
  <c r="V1225" i="3"/>
  <c r="M1225" i="3"/>
  <c r="L1225" i="3"/>
  <c r="I1225" i="3"/>
  <c r="H1225" i="3"/>
  <c r="F1225" i="3"/>
  <c r="D1225" i="3"/>
  <c r="A1225" i="3"/>
  <c r="V1224" i="3"/>
  <c r="M1224" i="3"/>
  <c r="L1224" i="3"/>
  <c r="I1224" i="3"/>
  <c r="H1224" i="3"/>
  <c r="F1224" i="3"/>
  <c r="D1224" i="3"/>
  <c r="A1224" i="3"/>
  <c r="V1223" i="3"/>
  <c r="M1223" i="3"/>
  <c r="L1223" i="3"/>
  <c r="I1223" i="3"/>
  <c r="H1223" i="3"/>
  <c r="F1223" i="3"/>
  <c r="D1223" i="3"/>
  <c r="A1223" i="3"/>
  <c r="V1222" i="3"/>
  <c r="M1222" i="3"/>
  <c r="L1222" i="3"/>
  <c r="I1222" i="3"/>
  <c r="H1222" i="3"/>
  <c r="F1222" i="3"/>
  <c r="D1222" i="3"/>
  <c r="A1222" i="3"/>
  <c r="V1221" i="3"/>
  <c r="M1221" i="3"/>
  <c r="L1221" i="3"/>
  <c r="I1221" i="3"/>
  <c r="H1221" i="3"/>
  <c r="F1221" i="3"/>
  <c r="D1221" i="3"/>
  <c r="A1221" i="3"/>
  <c r="V1220" i="3"/>
  <c r="M1220" i="3"/>
  <c r="L1220" i="3"/>
  <c r="I1220" i="3"/>
  <c r="H1220" i="3"/>
  <c r="F1220" i="3"/>
  <c r="D1220" i="3"/>
  <c r="A1220" i="3"/>
  <c r="V1219" i="3"/>
  <c r="M1219" i="3"/>
  <c r="L1219" i="3"/>
  <c r="I1219" i="3"/>
  <c r="H1219" i="3"/>
  <c r="F1219" i="3"/>
  <c r="D1219" i="3"/>
  <c r="A1219" i="3"/>
  <c r="V1218" i="3"/>
  <c r="M1218" i="3"/>
  <c r="L1218" i="3"/>
  <c r="I1218" i="3"/>
  <c r="H1218" i="3"/>
  <c r="F1218" i="3"/>
  <c r="D1218" i="3"/>
  <c r="A1218" i="3"/>
  <c r="V1217" i="3"/>
  <c r="M1217" i="3"/>
  <c r="L1217" i="3"/>
  <c r="I1217" i="3"/>
  <c r="H1217" i="3"/>
  <c r="F1217" i="3"/>
  <c r="D1217" i="3"/>
  <c r="A1217" i="3"/>
  <c r="V1216" i="3"/>
  <c r="M1216" i="3"/>
  <c r="L1216" i="3"/>
  <c r="I1216" i="3"/>
  <c r="H1216" i="3"/>
  <c r="F1216" i="3"/>
  <c r="D1216" i="3"/>
  <c r="A1216" i="3"/>
  <c r="V1215" i="3"/>
  <c r="M1215" i="3"/>
  <c r="L1215" i="3"/>
  <c r="I1215" i="3"/>
  <c r="H1215" i="3"/>
  <c r="F1215" i="3"/>
  <c r="D1215" i="3"/>
  <c r="A1215" i="3"/>
  <c r="V1214" i="3"/>
  <c r="M1214" i="3"/>
  <c r="L1214" i="3"/>
  <c r="I1214" i="3"/>
  <c r="H1214" i="3"/>
  <c r="F1214" i="3"/>
  <c r="D1214" i="3"/>
  <c r="A1214" i="3"/>
  <c r="V1213" i="3"/>
  <c r="M1213" i="3"/>
  <c r="L1213" i="3"/>
  <c r="I1213" i="3"/>
  <c r="H1213" i="3"/>
  <c r="F1213" i="3"/>
  <c r="D1213" i="3"/>
  <c r="A1213" i="3"/>
  <c r="V1212" i="3"/>
  <c r="M1212" i="3"/>
  <c r="L1212" i="3"/>
  <c r="I1212" i="3"/>
  <c r="H1212" i="3"/>
  <c r="F1212" i="3"/>
  <c r="D1212" i="3"/>
  <c r="A1212" i="3"/>
  <c r="V1211" i="3"/>
  <c r="M1211" i="3"/>
  <c r="L1211" i="3"/>
  <c r="I1211" i="3"/>
  <c r="H1211" i="3"/>
  <c r="F1211" i="3"/>
  <c r="D1211" i="3"/>
  <c r="A1211" i="3"/>
  <c r="V1210" i="3"/>
  <c r="M1210" i="3"/>
  <c r="L1210" i="3"/>
  <c r="I1210" i="3"/>
  <c r="H1210" i="3"/>
  <c r="F1210" i="3"/>
  <c r="D1210" i="3"/>
  <c r="A1210" i="3"/>
  <c r="V1209" i="3"/>
  <c r="M1209" i="3"/>
  <c r="L1209" i="3"/>
  <c r="I1209" i="3"/>
  <c r="H1209" i="3"/>
  <c r="F1209" i="3"/>
  <c r="D1209" i="3"/>
  <c r="A1209" i="3"/>
  <c r="V1208" i="3"/>
  <c r="M1208" i="3"/>
  <c r="L1208" i="3"/>
  <c r="I1208" i="3"/>
  <c r="H1208" i="3"/>
  <c r="F1208" i="3"/>
  <c r="D1208" i="3"/>
  <c r="A1208" i="3"/>
  <c r="V1207" i="3"/>
  <c r="M1207" i="3"/>
  <c r="L1207" i="3"/>
  <c r="I1207" i="3"/>
  <c r="H1207" i="3"/>
  <c r="F1207" i="3"/>
  <c r="D1207" i="3"/>
  <c r="A1207" i="3"/>
  <c r="V1206" i="3"/>
  <c r="M1206" i="3"/>
  <c r="L1206" i="3"/>
  <c r="I1206" i="3"/>
  <c r="H1206" i="3"/>
  <c r="F1206" i="3"/>
  <c r="D1206" i="3"/>
  <c r="A1206" i="3"/>
  <c r="V1205" i="3"/>
  <c r="M1205" i="3"/>
  <c r="L1205" i="3"/>
  <c r="I1205" i="3"/>
  <c r="H1205" i="3"/>
  <c r="F1205" i="3"/>
  <c r="D1205" i="3"/>
  <c r="A1205" i="3"/>
  <c r="V1204" i="3"/>
  <c r="M1204" i="3"/>
  <c r="L1204" i="3"/>
  <c r="I1204" i="3"/>
  <c r="H1204" i="3"/>
  <c r="F1204" i="3"/>
  <c r="D1204" i="3"/>
  <c r="A1204" i="3"/>
  <c r="V1203" i="3"/>
  <c r="M1203" i="3"/>
  <c r="L1203" i="3"/>
  <c r="I1203" i="3"/>
  <c r="H1203" i="3"/>
  <c r="F1203" i="3"/>
  <c r="D1203" i="3"/>
  <c r="A1203" i="3"/>
  <c r="V1202" i="3"/>
  <c r="M1202" i="3"/>
  <c r="L1202" i="3"/>
  <c r="I1202" i="3"/>
  <c r="H1202" i="3"/>
  <c r="F1202" i="3"/>
  <c r="D1202" i="3"/>
  <c r="A1202" i="3"/>
  <c r="V1201" i="3"/>
  <c r="M1201" i="3"/>
  <c r="L1201" i="3"/>
  <c r="I1201" i="3"/>
  <c r="H1201" i="3"/>
  <c r="F1201" i="3"/>
  <c r="D1201" i="3"/>
  <c r="A1201" i="3"/>
  <c r="V1200" i="3"/>
  <c r="M1200" i="3"/>
  <c r="L1200" i="3"/>
  <c r="I1200" i="3"/>
  <c r="H1200" i="3"/>
  <c r="F1200" i="3"/>
  <c r="D1200" i="3"/>
  <c r="A1200" i="3"/>
  <c r="V1199" i="3"/>
  <c r="M1199" i="3"/>
  <c r="L1199" i="3"/>
  <c r="I1199" i="3"/>
  <c r="H1199" i="3"/>
  <c r="F1199" i="3"/>
  <c r="D1199" i="3"/>
  <c r="A1199" i="3"/>
  <c r="V1198" i="3"/>
  <c r="M1198" i="3"/>
  <c r="L1198" i="3"/>
  <c r="I1198" i="3"/>
  <c r="H1198" i="3"/>
  <c r="F1198" i="3"/>
  <c r="D1198" i="3"/>
  <c r="A1198" i="3"/>
  <c r="V1197" i="3"/>
  <c r="M1197" i="3"/>
  <c r="L1197" i="3"/>
  <c r="I1197" i="3"/>
  <c r="H1197" i="3"/>
  <c r="F1197" i="3"/>
  <c r="D1197" i="3"/>
  <c r="A1197" i="3"/>
  <c r="V1196" i="3"/>
  <c r="M1196" i="3"/>
  <c r="L1196" i="3"/>
  <c r="I1196" i="3"/>
  <c r="H1196" i="3"/>
  <c r="F1196" i="3"/>
  <c r="D1196" i="3"/>
  <c r="A1196" i="3"/>
  <c r="V1195" i="3"/>
  <c r="M1195" i="3"/>
  <c r="L1195" i="3"/>
  <c r="I1195" i="3"/>
  <c r="H1195" i="3"/>
  <c r="F1195" i="3"/>
  <c r="D1195" i="3"/>
  <c r="A1195" i="3"/>
  <c r="V1194" i="3"/>
  <c r="M1194" i="3"/>
  <c r="L1194" i="3"/>
  <c r="I1194" i="3"/>
  <c r="H1194" i="3"/>
  <c r="F1194" i="3"/>
  <c r="D1194" i="3"/>
  <c r="A1194" i="3"/>
  <c r="V1193" i="3"/>
  <c r="M1193" i="3"/>
  <c r="L1193" i="3"/>
  <c r="I1193" i="3"/>
  <c r="H1193" i="3"/>
  <c r="F1193" i="3"/>
  <c r="D1193" i="3"/>
  <c r="A1193" i="3"/>
  <c r="V1192" i="3"/>
  <c r="M1192" i="3"/>
  <c r="L1192" i="3"/>
  <c r="I1192" i="3"/>
  <c r="H1192" i="3"/>
  <c r="F1192" i="3"/>
  <c r="D1192" i="3"/>
  <c r="A1192" i="3"/>
  <c r="V1191" i="3"/>
  <c r="M1191" i="3"/>
  <c r="L1191" i="3"/>
  <c r="I1191" i="3"/>
  <c r="H1191" i="3"/>
  <c r="F1191" i="3"/>
  <c r="D1191" i="3"/>
  <c r="A1191" i="3"/>
  <c r="V1190" i="3"/>
  <c r="M1190" i="3"/>
  <c r="L1190" i="3"/>
  <c r="I1190" i="3"/>
  <c r="H1190" i="3"/>
  <c r="F1190" i="3"/>
  <c r="D1190" i="3"/>
  <c r="A1190" i="3"/>
  <c r="V1189" i="3"/>
  <c r="M1189" i="3"/>
  <c r="L1189" i="3"/>
  <c r="I1189" i="3"/>
  <c r="H1189" i="3"/>
  <c r="F1189" i="3"/>
  <c r="D1189" i="3"/>
  <c r="A1189" i="3"/>
  <c r="V1188" i="3"/>
  <c r="M1188" i="3"/>
  <c r="L1188" i="3"/>
  <c r="I1188" i="3"/>
  <c r="H1188" i="3"/>
  <c r="F1188" i="3"/>
  <c r="D1188" i="3"/>
  <c r="A1188" i="3"/>
  <c r="V1187" i="3"/>
  <c r="M1187" i="3"/>
  <c r="L1187" i="3"/>
  <c r="I1187" i="3"/>
  <c r="H1187" i="3"/>
  <c r="F1187" i="3"/>
  <c r="D1187" i="3"/>
  <c r="A1187" i="3"/>
  <c r="V1186" i="3"/>
  <c r="M1186" i="3"/>
  <c r="L1186" i="3"/>
  <c r="I1186" i="3"/>
  <c r="H1186" i="3"/>
  <c r="F1186" i="3"/>
  <c r="D1186" i="3"/>
  <c r="A1186" i="3"/>
  <c r="V1185" i="3"/>
  <c r="M1185" i="3"/>
  <c r="L1185" i="3"/>
  <c r="I1185" i="3"/>
  <c r="H1185" i="3"/>
  <c r="F1185" i="3"/>
  <c r="D1185" i="3"/>
  <c r="A1185" i="3"/>
  <c r="V1184" i="3"/>
  <c r="M1184" i="3"/>
  <c r="L1184" i="3"/>
  <c r="I1184" i="3"/>
  <c r="H1184" i="3"/>
  <c r="F1184" i="3"/>
  <c r="D1184" i="3"/>
  <c r="A1184" i="3"/>
  <c r="V1183" i="3"/>
  <c r="M1183" i="3"/>
  <c r="L1183" i="3"/>
  <c r="I1183" i="3"/>
  <c r="H1183" i="3"/>
  <c r="F1183" i="3"/>
  <c r="D1183" i="3"/>
  <c r="A1183" i="3"/>
  <c r="V1182" i="3"/>
  <c r="M1182" i="3"/>
  <c r="L1182" i="3"/>
  <c r="I1182" i="3"/>
  <c r="H1182" i="3"/>
  <c r="F1182" i="3"/>
  <c r="D1182" i="3"/>
  <c r="A1182" i="3"/>
  <c r="V1181" i="3"/>
  <c r="M1181" i="3"/>
  <c r="L1181" i="3"/>
  <c r="I1181" i="3"/>
  <c r="H1181" i="3"/>
  <c r="F1181" i="3"/>
  <c r="D1181" i="3"/>
  <c r="A1181" i="3"/>
  <c r="V1180" i="3"/>
  <c r="M1180" i="3"/>
  <c r="L1180" i="3"/>
  <c r="I1180" i="3"/>
  <c r="H1180" i="3"/>
  <c r="F1180" i="3"/>
  <c r="D1180" i="3"/>
  <c r="A1180" i="3"/>
  <c r="V1179" i="3"/>
  <c r="M1179" i="3"/>
  <c r="L1179" i="3"/>
  <c r="I1179" i="3"/>
  <c r="H1179" i="3"/>
  <c r="F1179" i="3"/>
  <c r="D1179" i="3"/>
  <c r="A1179" i="3"/>
  <c r="V1178" i="3"/>
  <c r="M1178" i="3"/>
  <c r="L1178" i="3"/>
  <c r="I1178" i="3"/>
  <c r="H1178" i="3"/>
  <c r="F1178" i="3"/>
  <c r="D1178" i="3"/>
  <c r="A1178" i="3"/>
  <c r="V1177" i="3"/>
  <c r="M1177" i="3"/>
  <c r="L1177" i="3"/>
  <c r="I1177" i="3"/>
  <c r="H1177" i="3"/>
  <c r="F1177" i="3"/>
  <c r="D1177" i="3"/>
  <c r="A1177" i="3"/>
  <c r="V1176" i="3"/>
  <c r="M1176" i="3"/>
  <c r="L1176" i="3"/>
  <c r="I1176" i="3"/>
  <c r="H1176" i="3"/>
  <c r="F1176" i="3"/>
  <c r="D1176" i="3"/>
  <c r="A1176" i="3"/>
  <c r="V1175" i="3"/>
  <c r="M1175" i="3"/>
  <c r="L1175" i="3"/>
  <c r="I1175" i="3"/>
  <c r="H1175" i="3"/>
  <c r="F1175" i="3"/>
  <c r="D1175" i="3"/>
  <c r="A1175" i="3"/>
  <c r="V1174" i="3"/>
  <c r="M1174" i="3"/>
  <c r="L1174" i="3"/>
  <c r="I1174" i="3"/>
  <c r="H1174" i="3"/>
  <c r="F1174" i="3"/>
  <c r="D1174" i="3"/>
  <c r="A1174" i="3"/>
  <c r="V1173" i="3"/>
  <c r="M1173" i="3"/>
  <c r="L1173" i="3"/>
  <c r="I1173" i="3"/>
  <c r="H1173" i="3"/>
  <c r="F1173" i="3"/>
  <c r="D1173" i="3"/>
  <c r="A1173" i="3"/>
  <c r="V1172" i="3"/>
  <c r="M1172" i="3"/>
  <c r="L1172" i="3"/>
  <c r="I1172" i="3"/>
  <c r="H1172" i="3"/>
  <c r="F1172" i="3"/>
  <c r="D1172" i="3"/>
  <c r="A1172" i="3"/>
  <c r="V1171" i="3"/>
  <c r="M1171" i="3"/>
  <c r="L1171" i="3"/>
  <c r="I1171" i="3"/>
  <c r="H1171" i="3"/>
  <c r="F1171" i="3"/>
  <c r="D1171" i="3"/>
  <c r="A1171" i="3"/>
  <c r="V1170" i="3"/>
  <c r="M1170" i="3"/>
  <c r="L1170" i="3"/>
  <c r="I1170" i="3"/>
  <c r="H1170" i="3"/>
  <c r="F1170" i="3"/>
  <c r="D1170" i="3"/>
  <c r="A1170" i="3"/>
  <c r="V1169" i="3"/>
  <c r="M1169" i="3"/>
  <c r="L1169" i="3"/>
  <c r="I1169" i="3"/>
  <c r="H1169" i="3"/>
  <c r="F1169" i="3"/>
  <c r="D1169" i="3"/>
  <c r="A1169" i="3"/>
  <c r="V1168" i="3"/>
  <c r="M1168" i="3"/>
  <c r="L1168" i="3"/>
  <c r="I1168" i="3"/>
  <c r="H1168" i="3"/>
  <c r="F1168" i="3"/>
  <c r="D1168" i="3"/>
  <c r="A1168" i="3"/>
  <c r="V1167" i="3"/>
  <c r="M1167" i="3"/>
  <c r="L1167" i="3"/>
  <c r="I1167" i="3"/>
  <c r="H1167" i="3"/>
  <c r="F1167" i="3"/>
  <c r="D1167" i="3"/>
  <c r="A1167" i="3"/>
  <c r="V1166" i="3"/>
  <c r="M1166" i="3"/>
  <c r="L1166" i="3"/>
  <c r="I1166" i="3"/>
  <c r="H1166" i="3"/>
  <c r="F1166" i="3"/>
  <c r="D1166" i="3"/>
  <c r="A1166" i="3"/>
  <c r="V1165" i="3"/>
  <c r="M1165" i="3"/>
  <c r="L1165" i="3"/>
  <c r="I1165" i="3"/>
  <c r="H1165" i="3"/>
  <c r="F1165" i="3"/>
  <c r="D1165" i="3"/>
  <c r="A1165" i="3"/>
  <c r="V1164" i="3"/>
  <c r="M1164" i="3"/>
  <c r="L1164" i="3"/>
  <c r="I1164" i="3"/>
  <c r="H1164" i="3"/>
  <c r="F1164" i="3"/>
  <c r="D1164" i="3"/>
  <c r="A1164" i="3"/>
  <c r="V1163" i="3"/>
  <c r="M1163" i="3"/>
  <c r="L1163" i="3"/>
  <c r="I1163" i="3"/>
  <c r="H1163" i="3"/>
  <c r="F1163" i="3"/>
  <c r="D1163" i="3"/>
  <c r="A1163" i="3"/>
  <c r="V1162" i="3"/>
  <c r="M1162" i="3"/>
  <c r="L1162" i="3"/>
  <c r="I1162" i="3"/>
  <c r="H1162" i="3"/>
  <c r="F1162" i="3"/>
  <c r="D1162" i="3"/>
  <c r="A1162" i="3"/>
  <c r="V1161" i="3"/>
  <c r="M1161" i="3"/>
  <c r="L1161" i="3"/>
  <c r="I1161" i="3"/>
  <c r="H1161" i="3"/>
  <c r="F1161" i="3"/>
  <c r="D1161" i="3"/>
  <c r="A1161" i="3"/>
  <c r="V1160" i="3"/>
  <c r="M1160" i="3"/>
  <c r="L1160" i="3"/>
  <c r="I1160" i="3"/>
  <c r="H1160" i="3"/>
  <c r="F1160" i="3"/>
  <c r="D1160" i="3"/>
  <c r="A1160" i="3"/>
  <c r="V1159" i="3"/>
  <c r="M1159" i="3"/>
  <c r="L1159" i="3"/>
  <c r="I1159" i="3"/>
  <c r="H1159" i="3"/>
  <c r="F1159" i="3"/>
  <c r="D1159" i="3"/>
  <c r="A1159" i="3"/>
  <c r="V1158" i="3"/>
  <c r="M1158" i="3"/>
  <c r="L1158" i="3"/>
  <c r="I1158" i="3"/>
  <c r="H1158" i="3"/>
  <c r="F1158" i="3"/>
  <c r="D1158" i="3"/>
  <c r="A1158" i="3"/>
  <c r="V1157" i="3"/>
  <c r="M1157" i="3"/>
  <c r="L1157" i="3"/>
  <c r="I1157" i="3"/>
  <c r="H1157" i="3"/>
  <c r="F1157" i="3"/>
  <c r="D1157" i="3"/>
  <c r="A1157" i="3"/>
  <c r="V1156" i="3"/>
  <c r="M1156" i="3"/>
  <c r="L1156" i="3"/>
  <c r="I1156" i="3"/>
  <c r="H1156" i="3"/>
  <c r="F1156" i="3"/>
  <c r="D1156" i="3"/>
  <c r="A1156" i="3"/>
  <c r="V1155" i="3"/>
  <c r="M1155" i="3"/>
  <c r="L1155" i="3"/>
  <c r="I1155" i="3"/>
  <c r="H1155" i="3"/>
  <c r="F1155" i="3"/>
  <c r="D1155" i="3"/>
  <c r="A1155" i="3"/>
  <c r="V1154" i="3"/>
  <c r="M1154" i="3"/>
  <c r="L1154" i="3"/>
  <c r="I1154" i="3"/>
  <c r="H1154" i="3"/>
  <c r="F1154" i="3"/>
  <c r="D1154" i="3"/>
  <c r="A1154" i="3"/>
  <c r="V1153" i="3"/>
  <c r="M1153" i="3"/>
  <c r="L1153" i="3"/>
  <c r="I1153" i="3"/>
  <c r="H1153" i="3"/>
  <c r="F1153" i="3"/>
  <c r="D1153" i="3"/>
  <c r="A1153" i="3"/>
  <c r="V1152" i="3"/>
  <c r="M1152" i="3"/>
  <c r="L1152" i="3"/>
  <c r="I1152" i="3"/>
  <c r="H1152" i="3"/>
  <c r="F1152" i="3"/>
  <c r="D1152" i="3"/>
  <c r="A1152" i="3"/>
  <c r="V1151" i="3"/>
  <c r="M1151" i="3"/>
  <c r="L1151" i="3"/>
  <c r="I1151" i="3"/>
  <c r="H1151" i="3"/>
  <c r="F1151" i="3"/>
  <c r="D1151" i="3"/>
  <c r="A1151" i="3"/>
  <c r="V1150" i="3"/>
  <c r="M1150" i="3"/>
  <c r="L1150" i="3"/>
  <c r="I1150" i="3"/>
  <c r="H1150" i="3"/>
  <c r="F1150" i="3"/>
  <c r="D1150" i="3"/>
  <c r="A1150" i="3"/>
  <c r="V1149" i="3"/>
  <c r="M1149" i="3"/>
  <c r="L1149" i="3"/>
  <c r="I1149" i="3"/>
  <c r="H1149" i="3"/>
  <c r="F1149" i="3"/>
  <c r="D1149" i="3"/>
  <c r="A1149" i="3"/>
  <c r="V1148" i="3"/>
  <c r="M1148" i="3"/>
  <c r="L1148" i="3"/>
  <c r="I1148" i="3"/>
  <c r="H1148" i="3"/>
  <c r="F1148" i="3"/>
  <c r="D1148" i="3"/>
  <c r="A1148" i="3"/>
  <c r="V1147" i="3"/>
  <c r="M1147" i="3"/>
  <c r="L1147" i="3"/>
  <c r="I1147" i="3"/>
  <c r="H1147" i="3"/>
  <c r="F1147" i="3"/>
  <c r="D1147" i="3"/>
  <c r="A1147" i="3"/>
  <c r="V1146" i="3"/>
  <c r="M1146" i="3"/>
  <c r="L1146" i="3"/>
  <c r="I1146" i="3"/>
  <c r="H1146" i="3"/>
  <c r="F1146" i="3"/>
  <c r="D1146" i="3"/>
  <c r="A1146" i="3"/>
  <c r="V1145" i="3"/>
  <c r="M1145" i="3"/>
  <c r="L1145" i="3"/>
  <c r="I1145" i="3"/>
  <c r="H1145" i="3"/>
  <c r="F1145" i="3"/>
  <c r="D1145" i="3"/>
  <c r="A1145" i="3"/>
  <c r="V1144" i="3"/>
  <c r="M1144" i="3"/>
  <c r="L1144" i="3"/>
  <c r="I1144" i="3"/>
  <c r="H1144" i="3"/>
  <c r="F1144" i="3"/>
  <c r="D1144" i="3"/>
  <c r="A1144" i="3"/>
  <c r="V1143" i="3"/>
  <c r="M1143" i="3"/>
  <c r="L1143" i="3"/>
  <c r="I1143" i="3"/>
  <c r="H1143" i="3"/>
  <c r="F1143" i="3"/>
  <c r="D1143" i="3"/>
  <c r="A1143" i="3"/>
  <c r="V1142" i="3"/>
  <c r="M1142" i="3"/>
  <c r="L1142" i="3"/>
  <c r="I1142" i="3"/>
  <c r="H1142" i="3"/>
  <c r="F1142" i="3"/>
  <c r="D1142" i="3"/>
  <c r="A1142" i="3"/>
  <c r="V1141" i="3"/>
  <c r="M1141" i="3"/>
  <c r="L1141" i="3"/>
  <c r="I1141" i="3"/>
  <c r="H1141" i="3"/>
  <c r="F1141" i="3"/>
  <c r="D1141" i="3"/>
  <c r="A1141" i="3"/>
  <c r="V1140" i="3"/>
  <c r="M1140" i="3"/>
  <c r="L1140" i="3"/>
  <c r="I1140" i="3"/>
  <c r="H1140" i="3"/>
  <c r="F1140" i="3"/>
  <c r="D1140" i="3"/>
  <c r="A1140" i="3"/>
  <c r="V1139" i="3"/>
  <c r="M1139" i="3"/>
  <c r="L1139" i="3"/>
  <c r="I1139" i="3"/>
  <c r="H1139" i="3"/>
  <c r="F1139" i="3"/>
  <c r="D1139" i="3"/>
  <c r="A1139" i="3"/>
  <c r="V1138" i="3"/>
  <c r="M1138" i="3"/>
  <c r="L1138" i="3"/>
  <c r="I1138" i="3"/>
  <c r="H1138" i="3"/>
  <c r="F1138" i="3"/>
  <c r="D1138" i="3"/>
  <c r="A1138" i="3"/>
  <c r="V1137" i="3"/>
  <c r="M1137" i="3"/>
  <c r="L1137" i="3"/>
  <c r="I1137" i="3"/>
  <c r="H1137" i="3"/>
  <c r="F1137" i="3"/>
  <c r="D1137" i="3"/>
  <c r="A1137" i="3"/>
  <c r="V1136" i="3"/>
  <c r="M1136" i="3"/>
  <c r="L1136" i="3"/>
  <c r="I1136" i="3"/>
  <c r="H1136" i="3"/>
  <c r="F1136" i="3"/>
  <c r="D1136" i="3"/>
  <c r="A1136" i="3"/>
  <c r="V1135" i="3"/>
  <c r="M1135" i="3"/>
  <c r="L1135" i="3"/>
  <c r="I1135" i="3"/>
  <c r="H1135" i="3"/>
  <c r="F1135" i="3"/>
  <c r="D1135" i="3"/>
  <c r="A1135" i="3"/>
  <c r="V1134" i="3"/>
  <c r="M1134" i="3"/>
  <c r="L1134" i="3"/>
  <c r="I1134" i="3"/>
  <c r="H1134" i="3"/>
  <c r="F1134" i="3"/>
  <c r="D1134" i="3"/>
  <c r="A1134" i="3"/>
  <c r="V1133" i="3"/>
  <c r="M1133" i="3"/>
  <c r="L1133" i="3"/>
  <c r="I1133" i="3"/>
  <c r="H1133" i="3"/>
  <c r="F1133" i="3"/>
  <c r="D1133" i="3"/>
  <c r="A1133" i="3"/>
  <c r="V1132" i="3"/>
  <c r="M1132" i="3"/>
  <c r="L1132" i="3"/>
  <c r="I1132" i="3"/>
  <c r="H1132" i="3"/>
  <c r="F1132" i="3"/>
  <c r="D1132" i="3"/>
  <c r="A1132" i="3"/>
  <c r="V1131" i="3"/>
  <c r="M1131" i="3"/>
  <c r="L1131" i="3"/>
  <c r="I1131" i="3"/>
  <c r="H1131" i="3"/>
  <c r="F1131" i="3"/>
  <c r="D1131" i="3"/>
  <c r="A1131" i="3"/>
  <c r="V1130" i="3"/>
  <c r="M1130" i="3"/>
  <c r="L1130" i="3"/>
  <c r="I1130" i="3"/>
  <c r="H1130" i="3"/>
  <c r="F1130" i="3"/>
  <c r="D1130" i="3"/>
  <c r="A1130" i="3"/>
  <c r="V1129" i="3"/>
  <c r="M1129" i="3"/>
  <c r="L1129" i="3"/>
  <c r="I1129" i="3"/>
  <c r="H1129" i="3"/>
  <c r="F1129" i="3"/>
  <c r="D1129" i="3"/>
  <c r="A1129" i="3"/>
  <c r="V1128" i="3"/>
  <c r="M1128" i="3"/>
  <c r="L1128" i="3"/>
  <c r="I1128" i="3"/>
  <c r="H1128" i="3"/>
  <c r="F1128" i="3"/>
  <c r="D1128" i="3"/>
  <c r="A1128" i="3"/>
  <c r="V1127" i="3"/>
  <c r="M1127" i="3"/>
  <c r="L1127" i="3"/>
  <c r="I1127" i="3"/>
  <c r="H1127" i="3"/>
  <c r="F1127" i="3"/>
  <c r="D1127" i="3"/>
  <c r="A1127" i="3"/>
  <c r="V1126" i="3"/>
  <c r="M1126" i="3"/>
  <c r="L1126" i="3"/>
  <c r="I1126" i="3"/>
  <c r="H1126" i="3"/>
  <c r="F1126" i="3"/>
  <c r="D1126" i="3"/>
  <c r="A1126" i="3"/>
  <c r="V1125" i="3"/>
  <c r="M1125" i="3"/>
  <c r="L1125" i="3"/>
  <c r="I1125" i="3"/>
  <c r="H1125" i="3"/>
  <c r="F1125" i="3"/>
  <c r="D1125" i="3"/>
  <c r="A1125" i="3"/>
  <c r="V1124" i="3"/>
  <c r="M1124" i="3"/>
  <c r="L1124" i="3"/>
  <c r="I1124" i="3"/>
  <c r="H1124" i="3"/>
  <c r="F1124" i="3"/>
  <c r="D1124" i="3"/>
  <c r="A1124" i="3"/>
  <c r="V1123" i="3"/>
  <c r="M1123" i="3"/>
  <c r="L1123" i="3"/>
  <c r="I1123" i="3"/>
  <c r="H1123" i="3"/>
  <c r="F1123" i="3"/>
  <c r="D1123" i="3"/>
  <c r="A1123" i="3"/>
  <c r="V1122" i="3"/>
  <c r="M1122" i="3"/>
  <c r="L1122" i="3"/>
  <c r="I1122" i="3"/>
  <c r="H1122" i="3"/>
  <c r="F1122" i="3"/>
  <c r="D1122" i="3"/>
  <c r="A1122" i="3"/>
  <c r="V1121" i="3"/>
  <c r="M1121" i="3"/>
  <c r="L1121" i="3"/>
  <c r="I1121" i="3"/>
  <c r="H1121" i="3"/>
  <c r="F1121" i="3"/>
  <c r="D1121" i="3"/>
  <c r="A1121" i="3"/>
  <c r="V1120" i="3"/>
  <c r="M1120" i="3"/>
  <c r="L1120" i="3"/>
  <c r="I1120" i="3"/>
  <c r="H1120" i="3"/>
  <c r="F1120" i="3"/>
  <c r="D1120" i="3"/>
  <c r="A1120" i="3"/>
  <c r="V1119" i="3"/>
  <c r="M1119" i="3"/>
  <c r="L1119" i="3"/>
  <c r="I1119" i="3"/>
  <c r="H1119" i="3"/>
  <c r="F1119" i="3"/>
  <c r="D1119" i="3"/>
  <c r="A1119" i="3"/>
  <c r="V1118" i="3"/>
  <c r="M1118" i="3"/>
  <c r="L1118" i="3"/>
  <c r="I1118" i="3"/>
  <c r="H1118" i="3"/>
  <c r="F1118" i="3"/>
  <c r="D1118" i="3"/>
  <c r="A1118" i="3"/>
  <c r="V1117" i="3"/>
  <c r="M1117" i="3"/>
  <c r="L1117" i="3"/>
  <c r="I1117" i="3"/>
  <c r="H1117" i="3"/>
  <c r="F1117" i="3"/>
  <c r="D1117" i="3"/>
  <c r="A1117" i="3"/>
  <c r="V1116" i="3"/>
  <c r="M1116" i="3"/>
  <c r="L1116" i="3"/>
  <c r="I1116" i="3"/>
  <c r="H1116" i="3"/>
  <c r="F1116" i="3"/>
  <c r="D1116" i="3"/>
  <c r="A1116" i="3"/>
  <c r="V1115" i="3"/>
  <c r="M1115" i="3"/>
  <c r="L1115" i="3"/>
  <c r="I1115" i="3"/>
  <c r="H1115" i="3"/>
  <c r="F1115" i="3"/>
  <c r="D1115" i="3"/>
  <c r="A1115" i="3"/>
  <c r="V1114" i="3"/>
  <c r="M1114" i="3"/>
  <c r="L1114" i="3"/>
  <c r="I1114" i="3"/>
  <c r="H1114" i="3"/>
  <c r="F1114" i="3"/>
  <c r="D1114" i="3"/>
  <c r="A1114" i="3"/>
  <c r="V1113" i="3"/>
  <c r="M1113" i="3"/>
  <c r="L1113" i="3"/>
  <c r="I1113" i="3"/>
  <c r="H1113" i="3"/>
  <c r="F1113" i="3"/>
  <c r="D1113" i="3"/>
  <c r="A1113" i="3"/>
  <c r="V1112" i="3"/>
  <c r="M1112" i="3"/>
  <c r="L1112" i="3"/>
  <c r="I1112" i="3"/>
  <c r="H1112" i="3"/>
  <c r="F1112" i="3"/>
  <c r="D1112" i="3"/>
  <c r="A1112" i="3"/>
  <c r="V1111" i="3"/>
  <c r="M1111" i="3"/>
  <c r="L1111" i="3"/>
  <c r="I1111" i="3"/>
  <c r="H1111" i="3"/>
  <c r="F1111" i="3"/>
  <c r="D1111" i="3"/>
  <c r="A1111" i="3"/>
  <c r="V1110" i="3"/>
  <c r="M1110" i="3"/>
  <c r="L1110" i="3"/>
  <c r="I1110" i="3"/>
  <c r="H1110" i="3"/>
  <c r="F1110" i="3"/>
  <c r="D1110" i="3"/>
  <c r="A1110" i="3"/>
  <c r="V1109" i="3"/>
  <c r="M1109" i="3"/>
  <c r="L1109" i="3"/>
  <c r="I1109" i="3"/>
  <c r="H1109" i="3"/>
  <c r="F1109" i="3"/>
  <c r="D1109" i="3"/>
  <c r="A1109" i="3"/>
  <c r="V1108" i="3"/>
  <c r="M1108" i="3"/>
  <c r="L1108" i="3"/>
  <c r="I1108" i="3"/>
  <c r="H1108" i="3"/>
  <c r="F1108" i="3"/>
  <c r="D1108" i="3"/>
  <c r="A1108" i="3"/>
  <c r="V1107" i="3"/>
  <c r="M1107" i="3"/>
  <c r="L1107" i="3"/>
  <c r="I1107" i="3"/>
  <c r="H1107" i="3"/>
  <c r="F1107" i="3"/>
  <c r="D1107" i="3"/>
  <c r="A1107" i="3"/>
  <c r="V1106" i="3"/>
  <c r="M1106" i="3"/>
  <c r="L1106" i="3"/>
  <c r="I1106" i="3"/>
  <c r="H1106" i="3"/>
  <c r="F1106" i="3"/>
  <c r="D1106" i="3"/>
  <c r="A1106" i="3"/>
  <c r="V1105" i="3"/>
  <c r="M1105" i="3"/>
  <c r="L1105" i="3"/>
  <c r="I1105" i="3"/>
  <c r="H1105" i="3"/>
  <c r="F1105" i="3"/>
  <c r="D1105" i="3"/>
  <c r="A1105" i="3"/>
  <c r="V1104" i="3"/>
  <c r="M1104" i="3"/>
  <c r="L1104" i="3"/>
  <c r="I1104" i="3"/>
  <c r="H1104" i="3"/>
  <c r="F1104" i="3"/>
  <c r="D1104" i="3"/>
  <c r="A1104" i="3"/>
  <c r="V1103" i="3"/>
  <c r="M1103" i="3"/>
  <c r="L1103" i="3"/>
  <c r="I1103" i="3"/>
  <c r="H1103" i="3"/>
  <c r="F1103" i="3"/>
  <c r="D1103" i="3"/>
  <c r="A1103" i="3"/>
  <c r="V1102" i="3"/>
  <c r="M1102" i="3"/>
  <c r="L1102" i="3"/>
  <c r="I1102" i="3"/>
  <c r="H1102" i="3"/>
  <c r="F1102" i="3"/>
  <c r="D1102" i="3"/>
  <c r="A1102" i="3"/>
  <c r="V1101" i="3"/>
  <c r="M1101" i="3"/>
  <c r="L1101" i="3"/>
  <c r="I1101" i="3"/>
  <c r="H1101" i="3"/>
  <c r="F1101" i="3"/>
  <c r="D1101" i="3"/>
  <c r="A1101" i="3"/>
  <c r="V1100" i="3"/>
  <c r="M1100" i="3"/>
  <c r="L1100" i="3"/>
  <c r="I1100" i="3"/>
  <c r="H1100" i="3"/>
  <c r="F1100" i="3"/>
  <c r="D1100" i="3"/>
  <c r="A1100" i="3"/>
  <c r="V1099" i="3"/>
  <c r="M1099" i="3"/>
  <c r="L1099" i="3"/>
  <c r="I1099" i="3"/>
  <c r="H1099" i="3"/>
  <c r="F1099" i="3"/>
  <c r="D1099" i="3"/>
  <c r="A1099" i="3"/>
  <c r="V1098" i="3"/>
  <c r="M1098" i="3"/>
  <c r="L1098" i="3"/>
  <c r="I1098" i="3"/>
  <c r="H1098" i="3"/>
  <c r="F1098" i="3"/>
  <c r="D1098" i="3"/>
  <c r="A1098" i="3"/>
  <c r="V1097" i="3"/>
  <c r="M1097" i="3"/>
  <c r="L1097" i="3"/>
  <c r="I1097" i="3"/>
  <c r="H1097" i="3"/>
  <c r="F1097" i="3"/>
  <c r="D1097" i="3"/>
  <c r="A1097" i="3"/>
  <c r="V1096" i="3"/>
  <c r="M1096" i="3"/>
  <c r="L1096" i="3"/>
  <c r="I1096" i="3"/>
  <c r="H1096" i="3"/>
  <c r="F1096" i="3"/>
  <c r="D1096" i="3"/>
  <c r="A1096" i="3"/>
  <c r="V1095" i="3"/>
  <c r="M1095" i="3"/>
  <c r="L1095" i="3"/>
  <c r="I1095" i="3"/>
  <c r="H1095" i="3"/>
  <c r="F1095" i="3"/>
  <c r="D1095" i="3"/>
  <c r="A1095" i="3"/>
  <c r="V1094" i="3"/>
  <c r="M1094" i="3"/>
  <c r="L1094" i="3"/>
  <c r="I1094" i="3"/>
  <c r="H1094" i="3"/>
  <c r="F1094" i="3"/>
  <c r="D1094" i="3"/>
  <c r="A1094" i="3"/>
  <c r="V1093" i="3"/>
  <c r="M1093" i="3"/>
  <c r="L1093" i="3"/>
  <c r="I1093" i="3"/>
  <c r="H1093" i="3"/>
  <c r="F1093" i="3"/>
  <c r="D1093" i="3"/>
  <c r="A1093" i="3"/>
  <c r="V1092" i="3"/>
  <c r="M1092" i="3"/>
  <c r="L1092" i="3"/>
  <c r="I1092" i="3"/>
  <c r="H1092" i="3"/>
  <c r="F1092" i="3"/>
  <c r="D1092" i="3"/>
  <c r="A1092" i="3"/>
  <c r="V1091" i="3"/>
  <c r="M1091" i="3"/>
  <c r="L1091" i="3"/>
  <c r="I1091" i="3"/>
  <c r="H1091" i="3"/>
  <c r="F1091" i="3"/>
  <c r="D1091" i="3"/>
  <c r="A1091" i="3"/>
  <c r="V1090" i="3"/>
  <c r="M1090" i="3"/>
  <c r="L1090" i="3"/>
  <c r="I1090" i="3"/>
  <c r="H1090" i="3"/>
  <c r="F1090" i="3"/>
  <c r="D1090" i="3"/>
  <c r="A1090" i="3"/>
  <c r="V1089" i="3"/>
  <c r="M1089" i="3"/>
  <c r="L1089" i="3"/>
  <c r="I1089" i="3"/>
  <c r="H1089" i="3"/>
  <c r="F1089" i="3"/>
  <c r="D1089" i="3"/>
  <c r="A1089" i="3"/>
  <c r="V1088" i="3"/>
  <c r="M1088" i="3"/>
  <c r="L1088" i="3"/>
  <c r="I1088" i="3"/>
  <c r="H1088" i="3"/>
  <c r="F1088" i="3"/>
  <c r="D1088" i="3"/>
  <c r="A1088" i="3"/>
  <c r="V1087" i="3"/>
  <c r="M1087" i="3"/>
  <c r="L1087" i="3"/>
  <c r="I1087" i="3"/>
  <c r="H1087" i="3"/>
  <c r="F1087" i="3"/>
  <c r="D1087" i="3"/>
  <c r="A1087" i="3"/>
  <c r="V1086" i="3"/>
  <c r="M1086" i="3"/>
  <c r="L1086" i="3"/>
  <c r="I1086" i="3"/>
  <c r="H1086" i="3"/>
  <c r="F1086" i="3"/>
  <c r="D1086" i="3"/>
  <c r="A1086" i="3"/>
  <c r="V1085" i="3"/>
  <c r="M1085" i="3"/>
  <c r="L1085" i="3"/>
  <c r="I1085" i="3"/>
  <c r="H1085" i="3"/>
  <c r="F1085" i="3"/>
  <c r="D1085" i="3"/>
  <c r="A1085" i="3"/>
  <c r="V1084" i="3"/>
  <c r="M1084" i="3"/>
  <c r="L1084" i="3"/>
  <c r="I1084" i="3"/>
  <c r="H1084" i="3"/>
  <c r="F1084" i="3"/>
  <c r="D1084" i="3"/>
  <c r="A1084" i="3"/>
  <c r="V1083" i="3"/>
  <c r="M1083" i="3"/>
  <c r="L1083" i="3"/>
  <c r="I1083" i="3"/>
  <c r="H1083" i="3"/>
  <c r="F1083" i="3"/>
  <c r="D1083" i="3"/>
  <c r="A1083" i="3"/>
  <c r="V1082" i="3"/>
  <c r="M1082" i="3"/>
  <c r="L1082" i="3"/>
  <c r="I1082" i="3"/>
  <c r="H1082" i="3"/>
  <c r="F1082" i="3"/>
  <c r="D1082" i="3"/>
  <c r="A1082" i="3"/>
  <c r="V1081" i="3"/>
  <c r="M1081" i="3"/>
  <c r="L1081" i="3"/>
  <c r="I1081" i="3"/>
  <c r="H1081" i="3"/>
  <c r="F1081" i="3"/>
  <c r="D1081" i="3"/>
  <c r="A1081" i="3"/>
  <c r="V1080" i="3"/>
  <c r="M1080" i="3"/>
  <c r="L1080" i="3"/>
  <c r="I1080" i="3"/>
  <c r="H1080" i="3"/>
  <c r="F1080" i="3"/>
  <c r="D1080" i="3"/>
  <c r="A1080" i="3"/>
  <c r="V1079" i="3"/>
  <c r="M1079" i="3"/>
  <c r="L1079" i="3"/>
  <c r="I1079" i="3"/>
  <c r="H1079" i="3"/>
  <c r="F1079" i="3"/>
  <c r="D1079" i="3"/>
  <c r="A1079" i="3"/>
  <c r="V1078" i="3"/>
  <c r="M1078" i="3"/>
  <c r="L1078" i="3"/>
  <c r="I1078" i="3"/>
  <c r="H1078" i="3"/>
  <c r="F1078" i="3"/>
  <c r="D1078" i="3"/>
  <c r="A1078" i="3"/>
  <c r="V1077" i="3"/>
  <c r="M1077" i="3"/>
  <c r="L1077" i="3"/>
  <c r="I1077" i="3"/>
  <c r="H1077" i="3"/>
  <c r="F1077" i="3"/>
  <c r="D1077" i="3"/>
  <c r="A1077" i="3"/>
  <c r="V1076" i="3"/>
  <c r="M1076" i="3"/>
  <c r="L1076" i="3"/>
  <c r="I1076" i="3"/>
  <c r="H1076" i="3"/>
  <c r="F1076" i="3"/>
  <c r="D1076" i="3"/>
  <c r="A1076" i="3"/>
  <c r="V1075" i="3"/>
  <c r="M1075" i="3"/>
  <c r="L1075" i="3"/>
  <c r="I1075" i="3"/>
  <c r="H1075" i="3"/>
  <c r="F1075" i="3"/>
  <c r="D1075" i="3"/>
  <c r="A1075" i="3"/>
  <c r="V1074" i="3"/>
  <c r="M1074" i="3"/>
  <c r="L1074" i="3"/>
  <c r="I1074" i="3"/>
  <c r="H1074" i="3"/>
  <c r="F1074" i="3"/>
  <c r="D1074" i="3"/>
  <c r="A1074" i="3"/>
  <c r="V1073" i="3"/>
  <c r="M1073" i="3"/>
  <c r="L1073" i="3"/>
  <c r="I1073" i="3"/>
  <c r="H1073" i="3"/>
  <c r="F1073" i="3"/>
  <c r="D1073" i="3"/>
  <c r="A1073" i="3"/>
  <c r="V1072" i="3"/>
  <c r="M1072" i="3"/>
  <c r="L1072" i="3"/>
  <c r="I1072" i="3"/>
  <c r="H1072" i="3"/>
  <c r="F1072" i="3"/>
  <c r="D1072" i="3"/>
  <c r="A1072" i="3"/>
  <c r="V1071" i="3"/>
  <c r="M1071" i="3"/>
  <c r="L1071" i="3"/>
  <c r="I1071" i="3"/>
  <c r="H1071" i="3"/>
  <c r="F1071" i="3"/>
  <c r="D1071" i="3"/>
  <c r="A1071" i="3"/>
  <c r="V1070" i="3"/>
  <c r="M1070" i="3"/>
  <c r="L1070" i="3"/>
  <c r="I1070" i="3"/>
  <c r="H1070" i="3"/>
  <c r="F1070" i="3"/>
  <c r="D1070" i="3"/>
  <c r="A1070" i="3"/>
  <c r="V1069" i="3"/>
  <c r="M1069" i="3"/>
  <c r="L1069" i="3"/>
  <c r="I1069" i="3"/>
  <c r="H1069" i="3"/>
  <c r="F1069" i="3"/>
  <c r="D1069" i="3"/>
  <c r="A1069" i="3"/>
  <c r="V1068" i="3"/>
  <c r="M1068" i="3"/>
  <c r="L1068" i="3"/>
  <c r="I1068" i="3"/>
  <c r="H1068" i="3"/>
  <c r="F1068" i="3"/>
  <c r="D1068" i="3"/>
  <c r="A1068" i="3"/>
  <c r="V1067" i="3"/>
  <c r="M1067" i="3"/>
  <c r="L1067" i="3"/>
  <c r="I1067" i="3"/>
  <c r="H1067" i="3"/>
  <c r="F1067" i="3"/>
  <c r="D1067" i="3"/>
  <c r="A1067" i="3"/>
  <c r="V1066" i="3"/>
  <c r="M1066" i="3"/>
  <c r="L1066" i="3"/>
  <c r="I1066" i="3"/>
  <c r="H1066" i="3"/>
  <c r="F1066" i="3"/>
  <c r="D1066" i="3"/>
  <c r="A1066" i="3"/>
  <c r="V1065" i="3"/>
  <c r="M1065" i="3"/>
  <c r="L1065" i="3"/>
  <c r="I1065" i="3"/>
  <c r="H1065" i="3"/>
  <c r="F1065" i="3"/>
  <c r="D1065" i="3"/>
  <c r="A1065" i="3"/>
  <c r="V1064" i="3"/>
  <c r="M1064" i="3"/>
  <c r="L1064" i="3"/>
  <c r="I1064" i="3"/>
  <c r="H1064" i="3"/>
  <c r="F1064" i="3"/>
  <c r="D1064" i="3"/>
  <c r="A1064" i="3"/>
  <c r="V1063" i="3"/>
  <c r="M1063" i="3"/>
  <c r="L1063" i="3"/>
  <c r="I1063" i="3"/>
  <c r="H1063" i="3"/>
  <c r="F1063" i="3"/>
  <c r="D1063" i="3"/>
  <c r="A1063" i="3"/>
  <c r="V1062" i="3"/>
  <c r="M1062" i="3"/>
  <c r="L1062" i="3"/>
  <c r="I1062" i="3"/>
  <c r="H1062" i="3"/>
  <c r="F1062" i="3"/>
  <c r="D1062" i="3"/>
  <c r="A1062" i="3"/>
  <c r="V1061" i="3"/>
  <c r="M1061" i="3"/>
  <c r="L1061" i="3"/>
  <c r="I1061" i="3"/>
  <c r="H1061" i="3"/>
  <c r="F1061" i="3"/>
  <c r="D1061" i="3"/>
  <c r="A1061" i="3"/>
  <c r="V1060" i="3"/>
  <c r="M1060" i="3"/>
  <c r="L1060" i="3"/>
  <c r="I1060" i="3"/>
  <c r="H1060" i="3"/>
  <c r="F1060" i="3"/>
  <c r="D1060" i="3"/>
  <c r="A1060" i="3"/>
  <c r="V1059" i="3"/>
  <c r="M1059" i="3"/>
  <c r="L1059" i="3"/>
  <c r="I1059" i="3"/>
  <c r="H1059" i="3"/>
  <c r="F1059" i="3"/>
  <c r="D1059" i="3"/>
  <c r="A1059" i="3"/>
  <c r="V1058" i="3"/>
  <c r="M1058" i="3"/>
  <c r="L1058" i="3"/>
  <c r="I1058" i="3"/>
  <c r="H1058" i="3"/>
  <c r="F1058" i="3"/>
  <c r="D1058" i="3"/>
  <c r="A1058" i="3"/>
  <c r="V1057" i="3"/>
  <c r="M1057" i="3"/>
  <c r="L1057" i="3"/>
  <c r="I1057" i="3"/>
  <c r="H1057" i="3"/>
  <c r="F1057" i="3"/>
  <c r="D1057" i="3"/>
  <c r="A1057" i="3"/>
  <c r="V1056" i="3"/>
  <c r="M1056" i="3"/>
  <c r="L1056" i="3"/>
  <c r="I1056" i="3"/>
  <c r="H1056" i="3"/>
  <c r="F1056" i="3"/>
  <c r="D1056" i="3"/>
  <c r="A1056" i="3"/>
  <c r="V1055" i="3"/>
  <c r="M1055" i="3"/>
  <c r="L1055" i="3"/>
  <c r="I1055" i="3"/>
  <c r="H1055" i="3"/>
  <c r="F1055" i="3"/>
  <c r="D1055" i="3"/>
  <c r="A1055" i="3"/>
  <c r="V1054" i="3"/>
  <c r="M1054" i="3"/>
  <c r="L1054" i="3"/>
  <c r="I1054" i="3"/>
  <c r="H1054" i="3"/>
  <c r="F1054" i="3"/>
  <c r="D1054" i="3"/>
  <c r="A1054" i="3"/>
  <c r="V1053" i="3"/>
  <c r="M1053" i="3"/>
  <c r="L1053" i="3"/>
  <c r="I1053" i="3"/>
  <c r="H1053" i="3"/>
  <c r="F1053" i="3"/>
  <c r="D1053" i="3"/>
  <c r="A1053" i="3"/>
  <c r="V1052" i="3"/>
  <c r="M1052" i="3"/>
  <c r="L1052" i="3"/>
  <c r="I1052" i="3"/>
  <c r="H1052" i="3"/>
  <c r="F1052" i="3"/>
  <c r="D1052" i="3"/>
  <c r="A1052" i="3"/>
  <c r="V1051" i="3"/>
  <c r="M1051" i="3"/>
  <c r="L1051" i="3"/>
  <c r="I1051" i="3"/>
  <c r="H1051" i="3"/>
  <c r="F1051" i="3"/>
  <c r="D1051" i="3"/>
  <c r="A1051" i="3"/>
  <c r="V1050" i="3"/>
  <c r="M1050" i="3"/>
  <c r="L1050" i="3"/>
  <c r="I1050" i="3"/>
  <c r="H1050" i="3"/>
  <c r="F1050" i="3"/>
  <c r="D1050" i="3"/>
  <c r="A1050" i="3"/>
  <c r="V1049" i="3"/>
  <c r="M1049" i="3"/>
  <c r="L1049" i="3"/>
  <c r="I1049" i="3"/>
  <c r="H1049" i="3"/>
  <c r="F1049" i="3"/>
  <c r="D1049" i="3"/>
  <c r="A1049" i="3"/>
  <c r="V1048" i="3"/>
  <c r="M1048" i="3"/>
  <c r="L1048" i="3"/>
  <c r="I1048" i="3"/>
  <c r="H1048" i="3"/>
  <c r="F1048" i="3"/>
  <c r="D1048" i="3"/>
  <c r="A1048" i="3"/>
  <c r="V1047" i="3"/>
  <c r="M1047" i="3"/>
  <c r="L1047" i="3"/>
  <c r="I1047" i="3"/>
  <c r="H1047" i="3"/>
  <c r="F1047" i="3"/>
  <c r="D1047" i="3"/>
  <c r="A1047" i="3"/>
  <c r="V1046" i="3"/>
  <c r="M1046" i="3"/>
  <c r="L1046" i="3"/>
  <c r="I1046" i="3"/>
  <c r="H1046" i="3"/>
  <c r="F1046" i="3"/>
  <c r="D1046" i="3"/>
  <c r="A1046" i="3"/>
  <c r="V1045" i="3"/>
  <c r="M1045" i="3"/>
  <c r="L1045" i="3"/>
  <c r="I1045" i="3"/>
  <c r="H1045" i="3"/>
  <c r="F1045" i="3"/>
  <c r="D1045" i="3"/>
  <c r="A1045" i="3"/>
  <c r="V1044" i="3"/>
  <c r="M1044" i="3"/>
  <c r="L1044" i="3"/>
  <c r="I1044" i="3"/>
  <c r="H1044" i="3"/>
  <c r="F1044" i="3"/>
  <c r="D1044" i="3"/>
  <c r="A1044" i="3"/>
  <c r="V1043" i="3"/>
  <c r="M1043" i="3"/>
  <c r="L1043" i="3"/>
  <c r="I1043" i="3"/>
  <c r="H1043" i="3"/>
  <c r="F1043" i="3"/>
  <c r="D1043" i="3"/>
  <c r="A1043" i="3"/>
  <c r="V1042" i="3"/>
  <c r="M1042" i="3"/>
  <c r="L1042" i="3"/>
  <c r="I1042" i="3"/>
  <c r="H1042" i="3"/>
  <c r="F1042" i="3"/>
  <c r="D1042" i="3"/>
  <c r="A1042" i="3"/>
  <c r="V1041" i="3"/>
  <c r="M1041" i="3"/>
  <c r="L1041" i="3"/>
  <c r="I1041" i="3"/>
  <c r="H1041" i="3"/>
  <c r="F1041" i="3"/>
  <c r="D1041" i="3"/>
  <c r="A1041" i="3"/>
  <c r="V1040" i="3"/>
  <c r="M1040" i="3"/>
  <c r="L1040" i="3"/>
  <c r="I1040" i="3"/>
  <c r="H1040" i="3"/>
  <c r="F1040" i="3"/>
  <c r="D1040" i="3"/>
  <c r="A1040" i="3"/>
  <c r="V1039" i="3"/>
  <c r="M1039" i="3"/>
  <c r="L1039" i="3"/>
  <c r="I1039" i="3"/>
  <c r="H1039" i="3"/>
  <c r="F1039" i="3"/>
  <c r="D1039" i="3"/>
  <c r="A1039" i="3"/>
  <c r="V1038" i="3"/>
  <c r="M1038" i="3"/>
  <c r="L1038" i="3"/>
  <c r="I1038" i="3"/>
  <c r="H1038" i="3"/>
  <c r="F1038" i="3"/>
  <c r="D1038" i="3"/>
  <c r="A1038" i="3"/>
  <c r="V1037" i="3"/>
  <c r="M1037" i="3"/>
  <c r="L1037" i="3"/>
  <c r="I1037" i="3"/>
  <c r="H1037" i="3"/>
  <c r="F1037" i="3"/>
  <c r="D1037" i="3"/>
  <c r="A1037" i="3"/>
  <c r="V1036" i="3"/>
  <c r="M1036" i="3"/>
  <c r="L1036" i="3"/>
  <c r="I1036" i="3"/>
  <c r="H1036" i="3"/>
  <c r="F1036" i="3"/>
  <c r="D1036" i="3"/>
  <c r="A1036" i="3"/>
  <c r="V1035" i="3"/>
  <c r="M1035" i="3"/>
  <c r="L1035" i="3"/>
  <c r="I1035" i="3"/>
  <c r="H1035" i="3"/>
  <c r="F1035" i="3"/>
  <c r="D1035" i="3"/>
  <c r="A1035" i="3"/>
  <c r="V1034" i="3"/>
  <c r="M1034" i="3"/>
  <c r="L1034" i="3"/>
  <c r="I1034" i="3"/>
  <c r="H1034" i="3"/>
  <c r="F1034" i="3"/>
  <c r="D1034" i="3"/>
  <c r="A1034" i="3"/>
  <c r="V1033" i="3"/>
  <c r="M1033" i="3"/>
  <c r="L1033" i="3"/>
  <c r="I1033" i="3"/>
  <c r="H1033" i="3"/>
  <c r="F1033" i="3"/>
  <c r="D1033" i="3"/>
  <c r="A1033" i="3"/>
  <c r="V1032" i="3"/>
  <c r="M1032" i="3"/>
  <c r="L1032" i="3"/>
  <c r="I1032" i="3"/>
  <c r="H1032" i="3"/>
  <c r="F1032" i="3"/>
  <c r="D1032" i="3"/>
  <c r="A1032" i="3"/>
  <c r="V1031" i="3"/>
  <c r="M1031" i="3"/>
  <c r="L1031" i="3"/>
  <c r="I1031" i="3"/>
  <c r="H1031" i="3"/>
  <c r="F1031" i="3"/>
  <c r="D1031" i="3"/>
  <c r="A1031" i="3"/>
  <c r="V1030" i="3"/>
  <c r="M1030" i="3"/>
  <c r="L1030" i="3"/>
  <c r="I1030" i="3"/>
  <c r="H1030" i="3"/>
  <c r="F1030" i="3"/>
  <c r="D1030" i="3"/>
  <c r="A1030" i="3"/>
  <c r="V1029" i="3"/>
  <c r="M1029" i="3"/>
  <c r="L1029" i="3"/>
  <c r="I1029" i="3"/>
  <c r="H1029" i="3"/>
  <c r="F1029" i="3"/>
  <c r="D1029" i="3"/>
  <c r="A1029" i="3"/>
  <c r="V1028" i="3"/>
  <c r="M1028" i="3"/>
  <c r="L1028" i="3"/>
  <c r="I1028" i="3"/>
  <c r="H1028" i="3"/>
  <c r="F1028" i="3"/>
  <c r="D1028" i="3"/>
  <c r="A1028" i="3"/>
  <c r="V1027" i="3"/>
  <c r="M1027" i="3"/>
  <c r="L1027" i="3"/>
  <c r="I1027" i="3"/>
  <c r="H1027" i="3"/>
  <c r="F1027" i="3"/>
  <c r="D1027" i="3"/>
  <c r="A1027" i="3"/>
  <c r="V1026" i="3"/>
  <c r="M1026" i="3"/>
  <c r="L1026" i="3"/>
  <c r="I1026" i="3"/>
  <c r="H1026" i="3"/>
  <c r="F1026" i="3"/>
  <c r="D1026" i="3"/>
  <c r="A1026" i="3"/>
  <c r="V1025" i="3"/>
  <c r="M1025" i="3"/>
  <c r="L1025" i="3"/>
  <c r="I1025" i="3"/>
  <c r="H1025" i="3"/>
  <c r="F1025" i="3"/>
  <c r="D1025" i="3"/>
  <c r="A1025" i="3"/>
  <c r="V1024" i="3"/>
  <c r="M1024" i="3"/>
  <c r="L1024" i="3"/>
  <c r="I1024" i="3"/>
  <c r="H1024" i="3"/>
  <c r="F1024" i="3"/>
  <c r="D1024" i="3"/>
  <c r="A1024" i="3"/>
  <c r="V1023" i="3"/>
  <c r="M1023" i="3"/>
  <c r="L1023" i="3"/>
  <c r="I1023" i="3"/>
  <c r="H1023" i="3"/>
  <c r="F1023" i="3"/>
  <c r="D1023" i="3"/>
  <c r="A1023" i="3"/>
  <c r="V1022" i="3"/>
  <c r="M1022" i="3"/>
  <c r="L1022" i="3"/>
  <c r="I1022" i="3"/>
  <c r="H1022" i="3"/>
  <c r="F1022" i="3"/>
  <c r="D1022" i="3"/>
  <c r="A1022" i="3"/>
  <c r="V1021" i="3"/>
  <c r="M1021" i="3"/>
  <c r="L1021" i="3"/>
  <c r="I1021" i="3"/>
  <c r="H1021" i="3"/>
  <c r="F1021" i="3"/>
  <c r="D1021" i="3"/>
  <c r="A1021" i="3"/>
  <c r="V1020" i="3"/>
  <c r="M1020" i="3"/>
  <c r="L1020" i="3"/>
  <c r="I1020" i="3"/>
  <c r="H1020" i="3"/>
  <c r="F1020" i="3"/>
  <c r="D1020" i="3"/>
  <c r="A1020" i="3"/>
  <c r="V1019" i="3"/>
  <c r="M1019" i="3"/>
  <c r="L1019" i="3"/>
  <c r="I1019" i="3"/>
  <c r="H1019" i="3"/>
  <c r="F1019" i="3"/>
  <c r="D1019" i="3"/>
  <c r="A1019" i="3"/>
  <c r="V1018" i="3"/>
  <c r="M1018" i="3"/>
  <c r="L1018" i="3"/>
  <c r="I1018" i="3"/>
  <c r="H1018" i="3"/>
  <c r="F1018" i="3"/>
  <c r="D1018" i="3"/>
  <c r="A1018" i="3"/>
  <c r="V1017" i="3"/>
  <c r="M1017" i="3"/>
  <c r="L1017" i="3"/>
  <c r="I1017" i="3"/>
  <c r="H1017" i="3"/>
  <c r="F1017" i="3"/>
  <c r="D1017" i="3"/>
  <c r="A1017" i="3"/>
  <c r="V1016" i="3"/>
  <c r="M1016" i="3"/>
  <c r="L1016" i="3"/>
  <c r="I1016" i="3"/>
  <c r="H1016" i="3"/>
  <c r="F1016" i="3"/>
  <c r="D1016" i="3"/>
  <c r="A1016" i="3"/>
  <c r="V1015" i="3"/>
  <c r="M1015" i="3"/>
  <c r="L1015" i="3"/>
  <c r="I1015" i="3"/>
  <c r="H1015" i="3"/>
  <c r="F1015" i="3"/>
  <c r="D1015" i="3"/>
  <c r="A1015" i="3"/>
  <c r="V1014" i="3"/>
  <c r="M1014" i="3"/>
  <c r="L1014" i="3"/>
  <c r="I1014" i="3"/>
  <c r="H1014" i="3"/>
  <c r="F1014" i="3"/>
  <c r="D1014" i="3"/>
  <c r="A1014" i="3"/>
  <c r="V1013" i="3"/>
  <c r="M1013" i="3"/>
  <c r="L1013" i="3"/>
  <c r="I1013" i="3"/>
  <c r="H1013" i="3"/>
  <c r="F1013" i="3"/>
  <c r="D1013" i="3"/>
  <c r="A1013" i="3"/>
  <c r="V1012" i="3"/>
  <c r="M1012" i="3"/>
  <c r="L1012" i="3"/>
  <c r="I1012" i="3"/>
  <c r="H1012" i="3"/>
  <c r="F1012" i="3"/>
  <c r="D1012" i="3"/>
  <c r="A1012" i="3"/>
  <c r="V1011" i="3"/>
  <c r="M1011" i="3"/>
  <c r="L1011" i="3"/>
  <c r="I1011" i="3"/>
  <c r="H1011" i="3"/>
  <c r="F1011" i="3"/>
  <c r="D1011" i="3"/>
  <c r="A1011" i="3"/>
  <c r="V1010" i="3"/>
  <c r="M1010" i="3"/>
  <c r="L1010" i="3"/>
  <c r="I1010" i="3"/>
  <c r="H1010" i="3"/>
  <c r="F1010" i="3"/>
  <c r="D1010" i="3"/>
  <c r="A1010" i="3"/>
  <c r="V1009" i="3"/>
  <c r="M1009" i="3"/>
  <c r="L1009" i="3"/>
  <c r="I1009" i="3"/>
  <c r="H1009" i="3"/>
  <c r="F1009" i="3"/>
  <c r="D1009" i="3"/>
  <c r="A1009" i="3"/>
  <c r="V1008" i="3"/>
  <c r="M1008" i="3"/>
  <c r="L1008" i="3"/>
  <c r="I1008" i="3"/>
  <c r="H1008" i="3"/>
  <c r="F1008" i="3"/>
  <c r="D1008" i="3"/>
  <c r="A1008" i="3"/>
  <c r="V1007" i="3"/>
  <c r="M1007" i="3"/>
  <c r="L1007" i="3"/>
  <c r="I1007" i="3"/>
  <c r="H1007" i="3"/>
  <c r="F1007" i="3"/>
  <c r="D1007" i="3"/>
  <c r="A1007" i="3"/>
  <c r="V1006" i="3"/>
  <c r="M1006" i="3"/>
  <c r="L1006" i="3"/>
  <c r="I1006" i="3"/>
  <c r="H1006" i="3"/>
  <c r="F1006" i="3"/>
  <c r="D1006" i="3"/>
  <c r="A1006" i="3"/>
  <c r="V1005" i="3"/>
  <c r="M1005" i="3"/>
  <c r="L1005" i="3"/>
  <c r="I1005" i="3"/>
  <c r="H1005" i="3"/>
  <c r="F1005" i="3"/>
  <c r="D1005" i="3"/>
  <c r="A1005" i="3"/>
  <c r="V1004" i="3"/>
  <c r="M1004" i="3"/>
  <c r="L1004" i="3"/>
  <c r="I1004" i="3"/>
  <c r="H1004" i="3"/>
  <c r="F1004" i="3"/>
  <c r="D1004" i="3"/>
  <c r="A1004" i="3"/>
  <c r="V1003" i="3"/>
  <c r="M1003" i="3"/>
  <c r="L1003" i="3"/>
  <c r="I1003" i="3"/>
  <c r="H1003" i="3"/>
  <c r="F1003" i="3"/>
  <c r="D1003" i="3"/>
  <c r="A1003" i="3"/>
  <c r="V1002" i="3"/>
  <c r="M1002" i="3"/>
  <c r="L1002" i="3"/>
  <c r="I1002" i="3"/>
  <c r="H1002" i="3"/>
  <c r="F1002" i="3"/>
  <c r="D1002" i="3"/>
  <c r="A1002" i="3"/>
  <c r="V1001" i="3"/>
  <c r="M1001" i="3"/>
  <c r="L1001" i="3"/>
  <c r="I1001" i="3"/>
  <c r="H1001" i="3"/>
  <c r="F1001" i="3"/>
  <c r="D1001" i="3"/>
  <c r="A1001" i="3"/>
  <c r="V1000" i="3"/>
  <c r="M1000" i="3"/>
  <c r="L1000" i="3"/>
  <c r="I1000" i="3"/>
  <c r="H1000" i="3"/>
  <c r="F1000" i="3"/>
  <c r="D1000" i="3"/>
  <c r="A1000" i="3"/>
  <c r="V999" i="3"/>
  <c r="M999" i="3"/>
  <c r="L999" i="3"/>
  <c r="I999" i="3"/>
  <c r="H999" i="3"/>
  <c r="F999" i="3"/>
  <c r="D999" i="3"/>
  <c r="A999" i="3"/>
  <c r="V998" i="3"/>
  <c r="M998" i="3"/>
  <c r="L998" i="3"/>
  <c r="I998" i="3"/>
  <c r="H998" i="3"/>
  <c r="F998" i="3"/>
  <c r="D998" i="3"/>
  <c r="A998" i="3"/>
  <c r="V997" i="3"/>
  <c r="M997" i="3"/>
  <c r="L997" i="3"/>
  <c r="I997" i="3"/>
  <c r="H997" i="3"/>
  <c r="F997" i="3"/>
  <c r="D997" i="3"/>
  <c r="A997" i="3"/>
  <c r="V996" i="3"/>
  <c r="M996" i="3"/>
  <c r="L996" i="3"/>
  <c r="I996" i="3"/>
  <c r="H996" i="3"/>
  <c r="F996" i="3"/>
  <c r="D996" i="3"/>
  <c r="A996" i="3"/>
  <c r="V995" i="3"/>
  <c r="M995" i="3"/>
  <c r="L995" i="3"/>
  <c r="I995" i="3"/>
  <c r="H995" i="3"/>
  <c r="F995" i="3"/>
  <c r="D995" i="3"/>
  <c r="A995" i="3"/>
  <c r="V994" i="3"/>
  <c r="M994" i="3"/>
  <c r="L994" i="3"/>
  <c r="I994" i="3"/>
  <c r="H994" i="3"/>
  <c r="F994" i="3"/>
  <c r="D994" i="3"/>
  <c r="A994" i="3"/>
  <c r="V993" i="3"/>
  <c r="M993" i="3"/>
  <c r="L993" i="3"/>
  <c r="I993" i="3"/>
  <c r="H993" i="3"/>
  <c r="F993" i="3"/>
  <c r="D993" i="3"/>
  <c r="A993" i="3"/>
  <c r="V992" i="3"/>
  <c r="M992" i="3"/>
  <c r="L992" i="3"/>
  <c r="I992" i="3"/>
  <c r="H992" i="3"/>
  <c r="F992" i="3"/>
  <c r="D992" i="3"/>
  <c r="A992" i="3"/>
  <c r="V991" i="3"/>
  <c r="M991" i="3"/>
  <c r="L991" i="3"/>
  <c r="I991" i="3"/>
  <c r="H991" i="3"/>
  <c r="F991" i="3"/>
  <c r="D991" i="3"/>
  <c r="A991" i="3"/>
  <c r="V990" i="3"/>
  <c r="M990" i="3"/>
  <c r="L990" i="3"/>
  <c r="I990" i="3"/>
  <c r="H990" i="3"/>
  <c r="F990" i="3"/>
  <c r="D990" i="3"/>
  <c r="A990" i="3"/>
  <c r="V989" i="3"/>
  <c r="M989" i="3"/>
  <c r="L989" i="3"/>
  <c r="I989" i="3"/>
  <c r="H989" i="3"/>
  <c r="F989" i="3"/>
  <c r="D989" i="3"/>
  <c r="A989" i="3"/>
  <c r="V988" i="3"/>
  <c r="M988" i="3"/>
  <c r="L988" i="3"/>
  <c r="I988" i="3"/>
  <c r="H988" i="3"/>
  <c r="F988" i="3"/>
  <c r="D988" i="3"/>
  <c r="A988" i="3"/>
  <c r="V987" i="3"/>
  <c r="M987" i="3"/>
  <c r="L987" i="3"/>
  <c r="I987" i="3"/>
  <c r="H987" i="3"/>
  <c r="F987" i="3"/>
  <c r="D987" i="3"/>
  <c r="A987" i="3"/>
  <c r="V986" i="3"/>
  <c r="M986" i="3"/>
  <c r="L986" i="3"/>
  <c r="I986" i="3"/>
  <c r="H986" i="3"/>
  <c r="F986" i="3"/>
  <c r="D986" i="3"/>
  <c r="A986" i="3"/>
  <c r="V985" i="3"/>
  <c r="M985" i="3"/>
  <c r="L985" i="3"/>
  <c r="I985" i="3"/>
  <c r="H985" i="3"/>
  <c r="F985" i="3"/>
  <c r="D985" i="3"/>
  <c r="A985" i="3"/>
  <c r="V984" i="3"/>
  <c r="M984" i="3"/>
  <c r="L984" i="3"/>
  <c r="I984" i="3"/>
  <c r="H984" i="3"/>
  <c r="F984" i="3"/>
  <c r="D984" i="3"/>
  <c r="A984" i="3"/>
  <c r="V983" i="3"/>
  <c r="M983" i="3"/>
  <c r="L983" i="3"/>
  <c r="I983" i="3"/>
  <c r="H983" i="3"/>
  <c r="F983" i="3"/>
  <c r="D983" i="3"/>
  <c r="A983" i="3"/>
  <c r="V982" i="3"/>
  <c r="M982" i="3"/>
  <c r="L982" i="3"/>
  <c r="I982" i="3"/>
  <c r="H982" i="3"/>
  <c r="F982" i="3"/>
  <c r="D982" i="3"/>
  <c r="A982" i="3"/>
  <c r="V981" i="3"/>
  <c r="M981" i="3"/>
  <c r="L981" i="3"/>
  <c r="I981" i="3"/>
  <c r="H981" i="3"/>
  <c r="F981" i="3"/>
  <c r="D981" i="3"/>
  <c r="A981" i="3"/>
  <c r="V980" i="3"/>
  <c r="M980" i="3"/>
  <c r="L980" i="3"/>
  <c r="I980" i="3"/>
  <c r="H980" i="3"/>
  <c r="F980" i="3"/>
  <c r="D980" i="3"/>
  <c r="A980" i="3"/>
  <c r="V979" i="3"/>
  <c r="M979" i="3"/>
  <c r="L979" i="3"/>
  <c r="I979" i="3"/>
  <c r="H979" i="3"/>
  <c r="F979" i="3"/>
  <c r="D979" i="3"/>
  <c r="A979" i="3"/>
  <c r="V978" i="3"/>
  <c r="M978" i="3"/>
  <c r="L978" i="3"/>
  <c r="I978" i="3"/>
  <c r="H978" i="3"/>
  <c r="F978" i="3"/>
  <c r="D978" i="3"/>
  <c r="A978" i="3"/>
  <c r="V977" i="3"/>
  <c r="M977" i="3"/>
  <c r="L977" i="3"/>
  <c r="I977" i="3"/>
  <c r="H977" i="3"/>
  <c r="F977" i="3"/>
  <c r="D977" i="3"/>
  <c r="A977" i="3"/>
  <c r="V976" i="3"/>
  <c r="M976" i="3"/>
  <c r="L976" i="3"/>
  <c r="I976" i="3"/>
  <c r="H976" i="3"/>
  <c r="F976" i="3"/>
  <c r="D976" i="3"/>
  <c r="A976" i="3"/>
  <c r="V975" i="3"/>
  <c r="M975" i="3"/>
  <c r="L975" i="3"/>
  <c r="I975" i="3"/>
  <c r="H975" i="3"/>
  <c r="F975" i="3"/>
  <c r="D975" i="3"/>
  <c r="A975" i="3"/>
  <c r="V974" i="3"/>
  <c r="M974" i="3"/>
  <c r="L974" i="3"/>
  <c r="I974" i="3"/>
  <c r="H974" i="3"/>
  <c r="F974" i="3"/>
  <c r="D974" i="3"/>
  <c r="A974" i="3"/>
  <c r="V973" i="3"/>
  <c r="M973" i="3"/>
  <c r="L973" i="3"/>
  <c r="I973" i="3"/>
  <c r="H973" i="3"/>
  <c r="F973" i="3"/>
  <c r="D973" i="3"/>
  <c r="A973" i="3"/>
  <c r="V972" i="3"/>
  <c r="M972" i="3"/>
  <c r="L972" i="3"/>
  <c r="I972" i="3"/>
  <c r="H972" i="3"/>
  <c r="F972" i="3"/>
  <c r="D972" i="3"/>
  <c r="A972" i="3"/>
  <c r="V971" i="3"/>
  <c r="M971" i="3"/>
  <c r="L971" i="3"/>
  <c r="I971" i="3"/>
  <c r="H971" i="3"/>
  <c r="F971" i="3"/>
  <c r="D971" i="3"/>
  <c r="A971" i="3"/>
  <c r="V970" i="3"/>
  <c r="M970" i="3"/>
  <c r="L970" i="3"/>
  <c r="I970" i="3"/>
  <c r="H970" i="3"/>
  <c r="F970" i="3"/>
  <c r="D970" i="3"/>
  <c r="A970" i="3"/>
  <c r="V969" i="3"/>
  <c r="M969" i="3"/>
  <c r="L969" i="3"/>
  <c r="I969" i="3"/>
  <c r="H969" i="3"/>
  <c r="F969" i="3"/>
  <c r="D969" i="3"/>
  <c r="A969" i="3"/>
  <c r="V968" i="3"/>
  <c r="M968" i="3"/>
  <c r="L968" i="3"/>
  <c r="I968" i="3"/>
  <c r="H968" i="3"/>
  <c r="F968" i="3"/>
  <c r="D968" i="3"/>
  <c r="A968" i="3"/>
  <c r="V967" i="3"/>
  <c r="M967" i="3"/>
  <c r="L967" i="3"/>
  <c r="I967" i="3"/>
  <c r="H967" i="3"/>
  <c r="F967" i="3"/>
  <c r="D967" i="3"/>
  <c r="A967" i="3"/>
  <c r="V966" i="3"/>
  <c r="M966" i="3"/>
  <c r="L966" i="3"/>
  <c r="I966" i="3"/>
  <c r="H966" i="3"/>
  <c r="F966" i="3"/>
  <c r="D966" i="3"/>
  <c r="A966" i="3"/>
  <c r="V965" i="3"/>
  <c r="M965" i="3"/>
  <c r="L965" i="3"/>
  <c r="I965" i="3"/>
  <c r="H965" i="3"/>
  <c r="F965" i="3"/>
  <c r="D965" i="3"/>
  <c r="A965" i="3"/>
  <c r="V964" i="3"/>
  <c r="M964" i="3"/>
  <c r="L964" i="3"/>
  <c r="I964" i="3"/>
  <c r="H964" i="3"/>
  <c r="F964" i="3"/>
  <c r="D964" i="3"/>
  <c r="A964" i="3"/>
  <c r="V963" i="3"/>
  <c r="M963" i="3"/>
  <c r="L963" i="3"/>
  <c r="I963" i="3"/>
  <c r="H963" i="3"/>
  <c r="F963" i="3"/>
  <c r="D963" i="3"/>
  <c r="A963" i="3"/>
  <c r="V962" i="3"/>
  <c r="M962" i="3"/>
  <c r="L962" i="3"/>
  <c r="I962" i="3"/>
  <c r="H962" i="3"/>
  <c r="F962" i="3"/>
  <c r="D962" i="3"/>
  <c r="A962" i="3"/>
  <c r="V961" i="3"/>
  <c r="M961" i="3"/>
  <c r="L961" i="3"/>
  <c r="I961" i="3"/>
  <c r="H961" i="3"/>
  <c r="F961" i="3"/>
  <c r="D961" i="3"/>
  <c r="A961" i="3"/>
  <c r="V960" i="3"/>
  <c r="M960" i="3"/>
  <c r="L960" i="3"/>
  <c r="I960" i="3"/>
  <c r="H960" i="3"/>
  <c r="F960" i="3"/>
  <c r="D960" i="3"/>
  <c r="A960" i="3"/>
  <c r="V959" i="3"/>
  <c r="M959" i="3"/>
  <c r="L959" i="3"/>
  <c r="I959" i="3"/>
  <c r="H959" i="3"/>
  <c r="F959" i="3"/>
  <c r="D959" i="3"/>
  <c r="A959" i="3"/>
  <c r="V958" i="3"/>
  <c r="M958" i="3"/>
  <c r="L958" i="3"/>
  <c r="I958" i="3"/>
  <c r="H958" i="3"/>
  <c r="F958" i="3"/>
  <c r="D958" i="3"/>
  <c r="A958" i="3"/>
  <c r="V957" i="3"/>
  <c r="M957" i="3"/>
  <c r="L957" i="3"/>
  <c r="I957" i="3"/>
  <c r="H957" i="3"/>
  <c r="F957" i="3"/>
  <c r="D957" i="3"/>
  <c r="A957" i="3"/>
  <c r="V956" i="3"/>
  <c r="M956" i="3"/>
  <c r="L956" i="3"/>
  <c r="I956" i="3"/>
  <c r="H956" i="3"/>
  <c r="F956" i="3"/>
  <c r="D956" i="3"/>
  <c r="A956" i="3"/>
  <c r="V955" i="3"/>
  <c r="M955" i="3"/>
  <c r="L955" i="3"/>
  <c r="I955" i="3"/>
  <c r="H955" i="3"/>
  <c r="F955" i="3"/>
  <c r="D955" i="3"/>
  <c r="A955" i="3"/>
  <c r="V954" i="3"/>
  <c r="M954" i="3"/>
  <c r="L954" i="3"/>
  <c r="I954" i="3"/>
  <c r="H954" i="3"/>
  <c r="F954" i="3"/>
  <c r="D954" i="3"/>
  <c r="A954" i="3"/>
  <c r="V953" i="3"/>
  <c r="M953" i="3"/>
  <c r="L953" i="3"/>
  <c r="I953" i="3"/>
  <c r="H953" i="3"/>
  <c r="F953" i="3"/>
  <c r="D953" i="3"/>
  <c r="A953" i="3"/>
  <c r="V952" i="3"/>
  <c r="M952" i="3"/>
  <c r="L952" i="3"/>
  <c r="I952" i="3"/>
  <c r="H952" i="3"/>
  <c r="F952" i="3"/>
  <c r="D952" i="3"/>
  <c r="A952" i="3"/>
  <c r="V951" i="3"/>
  <c r="M951" i="3"/>
  <c r="L951" i="3"/>
  <c r="I951" i="3"/>
  <c r="H951" i="3"/>
  <c r="F951" i="3"/>
  <c r="D951" i="3"/>
  <c r="A951" i="3"/>
  <c r="V950" i="3"/>
  <c r="M950" i="3"/>
  <c r="L950" i="3"/>
  <c r="I950" i="3"/>
  <c r="H950" i="3"/>
  <c r="F950" i="3"/>
  <c r="D950" i="3"/>
  <c r="A950" i="3"/>
  <c r="V949" i="3"/>
  <c r="M949" i="3"/>
  <c r="L949" i="3"/>
  <c r="I949" i="3"/>
  <c r="H949" i="3"/>
  <c r="F949" i="3"/>
  <c r="D949" i="3"/>
  <c r="A949" i="3"/>
  <c r="V948" i="3"/>
  <c r="M948" i="3"/>
  <c r="L948" i="3"/>
  <c r="I948" i="3"/>
  <c r="H948" i="3"/>
  <c r="F948" i="3"/>
  <c r="D948" i="3"/>
  <c r="A948" i="3"/>
  <c r="V947" i="3"/>
  <c r="M947" i="3"/>
  <c r="L947" i="3"/>
  <c r="I947" i="3"/>
  <c r="H947" i="3"/>
  <c r="F947" i="3"/>
  <c r="D947" i="3"/>
  <c r="A947" i="3"/>
  <c r="V946" i="3"/>
  <c r="M946" i="3"/>
  <c r="L946" i="3"/>
  <c r="I946" i="3"/>
  <c r="H946" i="3"/>
  <c r="F946" i="3"/>
  <c r="D946" i="3"/>
  <c r="A946" i="3"/>
  <c r="V945" i="3"/>
  <c r="M945" i="3"/>
  <c r="L945" i="3"/>
  <c r="I945" i="3"/>
  <c r="H945" i="3"/>
  <c r="F945" i="3"/>
  <c r="D945" i="3"/>
  <c r="A945" i="3"/>
  <c r="V944" i="3"/>
  <c r="M944" i="3"/>
  <c r="L944" i="3"/>
  <c r="I944" i="3"/>
  <c r="H944" i="3"/>
  <c r="F944" i="3"/>
  <c r="D944" i="3"/>
  <c r="A944" i="3"/>
  <c r="V943" i="3"/>
  <c r="M943" i="3"/>
  <c r="L943" i="3"/>
  <c r="I943" i="3"/>
  <c r="H943" i="3"/>
  <c r="F943" i="3"/>
  <c r="D943" i="3"/>
  <c r="A943" i="3"/>
  <c r="V942" i="3"/>
  <c r="M942" i="3"/>
  <c r="L942" i="3"/>
  <c r="I942" i="3"/>
  <c r="H942" i="3"/>
  <c r="F942" i="3"/>
  <c r="D942" i="3"/>
  <c r="A942" i="3"/>
  <c r="V941" i="3"/>
  <c r="M941" i="3"/>
  <c r="L941" i="3"/>
  <c r="I941" i="3"/>
  <c r="H941" i="3"/>
  <c r="F941" i="3"/>
  <c r="D941" i="3"/>
  <c r="A941" i="3"/>
  <c r="V940" i="3"/>
  <c r="M940" i="3"/>
  <c r="L940" i="3"/>
  <c r="I940" i="3"/>
  <c r="H940" i="3"/>
  <c r="F940" i="3"/>
  <c r="D940" i="3"/>
  <c r="A940" i="3"/>
  <c r="V939" i="3"/>
  <c r="M939" i="3"/>
  <c r="L939" i="3"/>
  <c r="I939" i="3"/>
  <c r="H939" i="3"/>
  <c r="F939" i="3"/>
  <c r="D939" i="3"/>
  <c r="A939" i="3"/>
  <c r="V938" i="3"/>
  <c r="M938" i="3"/>
  <c r="L938" i="3"/>
  <c r="I938" i="3"/>
  <c r="H938" i="3"/>
  <c r="F938" i="3"/>
  <c r="D938" i="3"/>
  <c r="A938" i="3"/>
  <c r="V937" i="3"/>
  <c r="M937" i="3"/>
  <c r="L937" i="3"/>
  <c r="I937" i="3"/>
  <c r="H937" i="3"/>
  <c r="F937" i="3"/>
  <c r="D937" i="3"/>
  <c r="A937" i="3"/>
  <c r="V936" i="3"/>
  <c r="M936" i="3"/>
  <c r="L936" i="3"/>
  <c r="I936" i="3"/>
  <c r="H936" i="3"/>
  <c r="F936" i="3"/>
  <c r="D936" i="3"/>
  <c r="A936" i="3"/>
  <c r="V935" i="3"/>
  <c r="M935" i="3"/>
  <c r="L935" i="3"/>
  <c r="I935" i="3"/>
  <c r="H935" i="3"/>
  <c r="F935" i="3"/>
  <c r="D935" i="3"/>
  <c r="A935" i="3"/>
  <c r="V934" i="3"/>
  <c r="M934" i="3"/>
  <c r="L934" i="3"/>
  <c r="I934" i="3"/>
  <c r="H934" i="3"/>
  <c r="F934" i="3"/>
  <c r="D934" i="3"/>
  <c r="A934" i="3"/>
  <c r="V933" i="3"/>
  <c r="M933" i="3"/>
  <c r="L933" i="3"/>
  <c r="I933" i="3"/>
  <c r="H933" i="3"/>
  <c r="F933" i="3"/>
  <c r="D933" i="3"/>
  <c r="A933" i="3"/>
  <c r="V932" i="3"/>
  <c r="M932" i="3"/>
  <c r="L932" i="3"/>
  <c r="I932" i="3"/>
  <c r="H932" i="3"/>
  <c r="F932" i="3"/>
  <c r="D932" i="3"/>
  <c r="A932" i="3"/>
  <c r="V931" i="3"/>
  <c r="M931" i="3"/>
  <c r="L931" i="3"/>
  <c r="I931" i="3"/>
  <c r="H931" i="3"/>
  <c r="F931" i="3"/>
  <c r="D931" i="3"/>
  <c r="A931" i="3"/>
  <c r="V930" i="3"/>
  <c r="M930" i="3"/>
  <c r="L930" i="3"/>
  <c r="I930" i="3"/>
  <c r="H930" i="3"/>
  <c r="F930" i="3"/>
  <c r="D930" i="3"/>
  <c r="A930" i="3"/>
  <c r="V929" i="3"/>
  <c r="M929" i="3"/>
  <c r="L929" i="3"/>
  <c r="I929" i="3"/>
  <c r="H929" i="3"/>
  <c r="F929" i="3"/>
  <c r="D929" i="3"/>
  <c r="A929" i="3"/>
  <c r="V928" i="3"/>
  <c r="M928" i="3"/>
  <c r="L928" i="3"/>
  <c r="I928" i="3"/>
  <c r="H928" i="3"/>
  <c r="F928" i="3"/>
  <c r="D928" i="3"/>
  <c r="A928" i="3"/>
  <c r="V927" i="3"/>
  <c r="M927" i="3"/>
  <c r="L927" i="3"/>
  <c r="I927" i="3"/>
  <c r="H927" i="3"/>
  <c r="F927" i="3"/>
  <c r="D927" i="3"/>
  <c r="A927" i="3"/>
  <c r="V926" i="3"/>
  <c r="M926" i="3"/>
  <c r="L926" i="3"/>
  <c r="I926" i="3"/>
  <c r="H926" i="3"/>
  <c r="F926" i="3"/>
  <c r="D926" i="3"/>
  <c r="A926" i="3"/>
  <c r="V925" i="3"/>
  <c r="M925" i="3"/>
  <c r="L925" i="3"/>
  <c r="I925" i="3"/>
  <c r="H925" i="3"/>
  <c r="F925" i="3"/>
  <c r="D925" i="3"/>
  <c r="A925" i="3"/>
  <c r="V924" i="3"/>
  <c r="M924" i="3"/>
  <c r="L924" i="3"/>
  <c r="I924" i="3"/>
  <c r="H924" i="3"/>
  <c r="F924" i="3"/>
  <c r="D924" i="3"/>
  <c r="A924" i="3"/>
  <c r="V923" i="3"/>
  <c r="M923" i="3"/>
  <c r="L923" i="3"/>
  <c r="I923" i="3"/>
  <c r="H923" i="3"/>
  <c r="F923" i="3"/>
  <c r="D923" i="3"/>
  <c r="A923" i="3"/>
  <c r="V922" i="3"/>
  <c r="M922" i="3"/>
  <c r="L922" i="3"/>
  <c r="I922" i="3"/>
  <c r="H922" i="3"/>
  <c r="F922" i="3"/>
  <c r="D922" i="3"/>
  <c r="A922" i="3"/>
  <c r="V921" i="3"/>
  <c r="M921" i="3"/>
  <c r="L921" i="3"/>
  <c r="I921" i="3"/>
  <c r="H921" i="3"/>
  <c r="F921" i="3"/>
  <c r="D921" i="3"/>
  <c r="A921" i="3"/>
  <c r="V920" i="3"/>
  <c r="M920" i="3"/>
  <c r="L920" i="3"/>
  <c r="I920" i="3"/>
  <c r="H920" i="3"/>
  <c r="F920" i="3"/>
  <c r="D920" i="3"/>
  <c r="A920" i="3"/>
  <c r="V919" i="3"/>
  <c r="M919" i="3"/>
  <c r="L919" i="3"/>
  <c r="I919" i="3"/>
  <c r="H919" i="3"/>
  <c r="F919" i="3"/>
  <c r="D919" i="3"/>
  <c r="A919" i="3"/>
  <c r="V918" i="3"/>
  <c r="M918" i="3"/>
  <c r="L918" i="3"/>
  <c r="I918" i="3"/>
  <c r="H918" i="3"/>
  <c r="F918" i="3"/>
  <c r="D918" i="3"/>
  <c r="A918" i="3"/>
  <c r="V917" i="3"/>
  <c r="M917" i="3"/>
  <c r="L917" i="3"/>
  <c r="I917" i="3"/>
  <c r="H917" i="3"/>
  <c r="F917" i="3"/>
  <c r="D917" i="3"/>
  <c r="A917" i="3"/>
  <c r="V916" i="3"/>
  <c r="M916" i="3"/>
  <c r="L916" i="3"/>
  <c r="I916" i="3"/>
  <c r="H916" i="3"/>
  <c r="F916" i="3"/>
  <c r="D916" i="3"/>
  <c r="A916" i="3"/>
  <c r="V915" i="3"/>
  <c r="M915" i="3"/>
  <c r="L915" i="3"/>
  <c r="I915" i="3"/>
  <c r="H915" i="3"/>
  <c r="F915" i="3"/>
  <c r="D915" i="3"/>
  <c r="A915" i="3"/>
  <c r="V914" i="3"/>
  <c r="M914" i="3"/>
  <c r="L914" i="3"/>
  <c r="I914" i="3"/>
  <c r="H914" i="3"/>
  <c r="F914" i="3"/>
  <c r="D914" i="3"/>
  <c r="A914" i="3"/>
  <c r="V913" i="3"/>
  <c r="M913" i="3"/>
  <c r="L913" i="3"/>
  <c r="I913" i="3"/>
  <c r="H913" i="3"/>
  <c r="F913" i="3"/>
  <c r="D913" i="3"/>
  <c r="A913" i="3"/>
  <c r="V912" i="3"/>
  <c r="M912" i="3"/>
  <c r="L912" i="3"/>
  <c r="I912" i="3"/>
  <c r="H912" i="3"/>
  <c r="F912" i="3"/>
  <c r="D912" i="3"/>
  <c r="A912" i="3"/>
  <c r="V911" i="3"/>
  <c r="M911" i="3"/>
  <c r="L911" i="3"/>
  <c r="I911" i="3"/>
  <c r="H911" i="3"/>
  <c r="F911" i="3"/>
  <c r="D911" i="3"/>
  <c r="A911" i="3"/>
  <c r="V910" i="3"/>
  <c r="M910" i="3"/>
  <c r="L910" i="3"/>
  <c r="I910" i="3"/>
  <c r="H910" i="3"/>
  <c r="F910" i="3"/>
  <c r="D910" i="3"/>
  <c r="A910" i="3"/>
  <c r="V909" i="3"/>
  <c r="M909" i="3"/>
  <c r="L909" i="3"/>
  <c r="I909" i="3"/>
  <c r="H909" i="3"/>
  <c r="F909" i="3"/>
  <c r="D909" i="3"/>
  <c r="A909" i="3"/>
  <c r="V908" i="3"/>
  <c r="M908" i="3"/>
  <c r="L908" i="3"/>
  <c r="I908" i="3"/>
  <c r="H908" i="3"/>
  <c r="F908" i="3"/>
  <c r="D908" i="3"/>
  <c r="A908" i="3"/>
  <c r="V907" i="3"/>
  <c r="M907" i="3"/>
  <c r="L907" i="3"/>
  <c r="I907" i="3"/>
  <c r="H907" i="3"/>
  <c r="F907" i="3"/>
  <c r="D907" i="3"/>
  <c r="A907" i="3"/>
  <c r="V906" i="3"/>
  <c r="M906" i="3"/>
  <c r="L906" i="3"/>
  <c r="I906" i="3"/>
  <c r="H906" i="3"/>
  <c r="F906" i="3"/>
  <c r="D906" i="3"/>
  <c r="A906" i="3"/>
  <c r="V905" i="3"/>
  <c r="M905" i="3"/>
  <c r="L905" i="3"/>
  <c r="I905" i="3"/>
  <c r="H905" i="3"/>
  <c r="F905" i="3"/>
  <c r="D905" i="3"/>
  <c r="A905" i="3"/>
  <c r="V904" i="3"/>
  <c r="M904" i="3"/>
  <c r="L904" i="3"/>
  <c r="I904" i="3"/>
  <c r="H904" i="3"/>
  <c r="F904" i="3"/>
  <c r="D904" i="3"/>
  <c r="A904" i="3"/>
  <c r="V903" i="3"/>
  <c r="M903" i="3"/>
  <c r="L903" i="3"/>
  <c r="I903" i="3"/>
  <c r="H903" i="3"/>
  <c r="F903" i="3"/>
  <c r="D903" i="3"/>
  <c r="A903" i="3"/>
  <c r="V902" i="3"/>
  <c r="M902" i="3"/>
  <c r="L902" i="3"/>
  <c r="I902" i="3"/>
  <c r="H902" i="3"/>
  <c r="F902" i="3"/>
  <c r="D902" i="3"/>
  <c r="A902" i="3"/>
  <c r="V901" i="3"/>
  <c r="M901" i="3"/>
  <c r="L901" i="3"/>
  <c r="I901" i="3"/>
  <c r="H901" i="3"/>
  <c r="F901" i="3"/>
  <c r="D901" i="3"/>
  <c r="A901" i="3"/>
  <c r="V900" i="3"/>
  <c r="M900" i="3"/>
  <c r="L900" i="3"/>
  <c r="I900" i="3"/>
  <c r="H900" i="3"/>
  <c r="F900" i="3"/>
  <c r="D900" i="3"/>
  <c r="A900" i="3"/>
  <c r="V899" i="3"/>
  <c r="M899" i="3"/>
  <c r="L899" i="3"/>
  <c r="I899" i="3"/>
  <c r="H899" i="3"/>
  <c r="F899" i="3"/>
  <c r="D899" i="3"/>
  <c r="A899" i="3"/>
  <c r="V898" i="3"/>
  <c r="M898" i="3"/>
  <c r="L898" i="3"/>
  <c r="I898" i="3"/>
  <c r="H898" i="3"/>
  <c r="F898" i="3"/>
  <c r="D898" i="3"/>
  <c r="A898" i="3"/>
  <c r="V897" i="3"/>
  <c r="M897" i="3"/>
  <c r="L897" i="3"/>
  <c r="I897" i="3"/>
  <c r="H897" i="3"/>
  <c r="F897" i="3"/>
  <c r="D897" i="3"/>
  <c r="A897" i="3"/>
  <c r="V896" i="3"/>
  <c r="M896" i="3"/>
  <c r="L896" i="3"/>
  <c r="I896" i="3"/>
  <c r="H896" i="3"/>
  <c r="F896" i="3"/>
  <c r="D896" i="3"/>
  <c r="A896" i="3"/>
  <c r="V895" i="3"/>
  <c r="M895" i="3"/>
  <c r="L895" i="3"/>
  <c r="I895" i="3"/>
  <c r="H895" i="3"/>
  <c r="F895" i="3"/>
  <c r="D895" i="3"/>
  <c r="A895" i="3"/>
  <c r="V894" i="3"/>
  <c r="M894" i="3"/>
  <c r="L894" i="3"/>
  <c r="I894" i="3"/>
  <c r="H894" i="3"/>
  <c r="F894" i="3"/>
  <c r="D894" i="3"/>
  <c r="A894" i="3"/>
  <c r="V893" i="3"/>
  <c r="M893" i="3"/>
  <c r="L893" i="3"/>
  <c r="I893" i="3"/>
  <c r="H893" i="3"/>
  <c r="F893" i="3"/>
  <c r="D893" i="3"/>
  <c r="A893" i="3"/>
  <c r="V892" i="3"/>
  <c r="M892" i="3"/>
  <c r="L892" i="3"/>
  <c r="I892" i="3"/>
  <c r="H892" i="3"/>
  <c r="F892" i="3"/>
  <c r="D892" i="3"/>
  <c r="A892" i="3"/>
  <c r="V891" i="3"/>
  <c r="M891" i="3"/>
  <c r="L891" i="3"/>
  <c r="I891" i="3"/>
  <c r="H891" i="3"/>
  <c r="F891" i="3"/>
  <c r="D891" i="3"/>
  <c r="A891" i="3"/>
  <c r="V890" i="3"/>
  <c r="M890" i="3"/>
  <c r="L890" i="3"/>
  <c r="I890" i="3"/>
  <c r="H890" i="3"/>
  <c r="F890" i="3"/>
  <c r="D890" i="3"/>
  <c r="A890" i="3"/>
  <c r="V889" i="3"/>
  <c r="M889" i="3"/>
  <c r="L889" i="3"/>
  <c r="I889" i="3"/>
  <c r="H889" i="3"/>
  <c r="F889" i="3"/>
  <c r="D889" i="3"/>
  <c r="A889" i="3"/>
  <c r="V888" i="3"/>
  <c r="M888" i="3"/>
  <c r="L888" i="3"/>
  <c r="I888" i="3"/>
  <c r="H888" i="3"/>
  <c r="F888" i="3"/>
  <c r="D888" i="3"/>
  <c r="A888" i="3"/>
  <c r="V887" i="3"/>
  <c r="M887" i="3"/>
  <c r="L887" i="3"/>
  <c r="I887" i="3"/>
  <c r="H887" i="3"/>
  <c r="F887" i="3"/>
  <c r="D887" i="3"/>
  <c r="A887" i="3"/>
  <c r="V886" i="3"/>
  <c r="M886" i="3"/>
  <c r="L886" i="3"/>
  <c r="I886" i="3"/>
  <c r="H886" i="3"/>
  <c r="F886" i="3"/>
  <c r="D886" i="3"/>
  <c r="A886" i="3"/>
  <c r="V885" i="3"/>
  <c r="M885" i="3"/>
  <c r="L885" i="3"/>
  <c r="I885" i="3"/>
  <c r="H885" i="3"/>
  <c r="F885" i="3"/>
  <c r="D885" i="3"/>
  <c r="A885" i="3"/>
  <c r="V884" i="3"/>
  <c r="M884" i="3"/>
  <c r="L884" i="3"/>
  <c r="I884" i="3"/>
  <c r="H884" i="3"/>
  <c r="F884" i="3"/>
  <c r="D884" i="3"/>
  <c r="A884" i="3"/>
  <c r="V883" i="3"/>
  <c r="M883" i="3"/>
  <c r="L883" i="3"/>
  <c r="I883" i="3"/>
  <c r="H883" i="3"/>
  <c r="F883" i="3"/>
  <c r="D883" i="3"/>
  <c r="A883" i="3"/>
  <c r="V882" i="3"/>
  <c r="M882" i="3"/>
  <c r="L882" i="3"/>
  <c r="I882" i="3"/>
  <c r="H882" i="3"/>
  <c r="F882" i="3"/>
  <c r="D882" i="3"/>
  <c r="A882" i="3"/>
  <c r="V881" i="3"/>
  <c r="M881" i="3"/>
  <c r="L881" i="3"/>
  <c r="I881" i="3"/>
  <c r="H881" i="3"/>
  <c r="F881" i="3"/>
  <c r="D881" i="3"/>
  <c r="A881" i="3"/>
  <c r="V880" i="3"/>
  <c r="M880" i="3"/>
  <c r="L880" i="3"/>
  <c r="I880" i="3"/>
  <c r="H880" i="3"/>
  <c r="F880" i="3"/>
  <c r="D880" i="3"/>
  <c r="A880" i="3"/>
  <c r="V879" i="3"/>
  <c r="M879" i="3"/>
  <c r="L879" i="3"/>
  <c r="I879" i="3"/>
  <c r="H879" i="3"/>
  <c r="F879" i="3"/>
  <c r="D879" i="3"/>
  <c r="A879" i="3"/>
  <c r="V878" i="3"/>
  <c r="M878" i="3"/>
  <c r="L878" i="3"/>
  <c r="I878" i="3"/>
  <c r="H878" i="3"/>
  <c r="F878" i="3"/>
  <c r="D878" i="3"/>
  <c r="A878" i="3"/>
  <c r="V877" i="3"/>
  <c r="M877" i="3"/>
  <c r="L877" i="3"/>
  <c r="I877" i="3"/>
  <c r="H877" i="3"/>
  <c r="F877" i="3"/>
  <c r="D877" i="3"/>
  <c r="A877" i="3"/>
  <c r="V876" i="3"/>
  <c r="M876" i="3"/>
  <c r="L876" i="3"/>
  <c r="I876" i="3"/>
  <c r="H876" i="3"/>
  <c r="F876" i="3"/>
  <c r="D876" i="3"/>
  <c r="A876" i="3"/>
  <c r="V875" i="3"/>
  <c r="M875" i="3"/>
  <c r="L875" i="3"/>
  <c r="I875" i="3"/>
  <c r="H875" i="3"/>
  <c r="F875" i="3"/>
  <c r="D875" i="3"/>
  <c r="A875" i="3"/>
  <c r="V874" i="3"/>
  <c r="M874" i="3"/>
  <c r="L874" i="3"/>
  <c r="I874" i="3"/>
  <c r="H874" i="3"/>
  <c r="F874" i="3"/>
  <c r="D874" i="3"/>
  <c r="A874" i="3"/>
  <c r="V873" i="3"/>
  <c r="M873" i="3"/>
  <c r="L873" i="3"/>
  <c r="I873" i="3"/>
  <c r="H873" i="3"/>
  <c r="F873" i="3"/>
  <c r="D873" i="3"/>
  <c r="A873" i="3"/>
  <c r="V872" i="3"/>
  <c r="M872" i="3"/>
  <c r="L872" i="3"/>
  <c r="I872" i="3"/>
  <c r="H872" i="3"/>
  <c r="F872" i="3"/>
  <c r="D872" i="3"/>
  <c r="A872" i="3"/>
  <c r="V871" i="3"/>
  <c r="M871" i="3"/>
  <c r="L871" i="3"/>
  <c r="I871" i="3"/>
  <c r="H871" i="3"/>
  <c r="F871" i="3"/>
  <c r="D871" i="3"/>
  <c r="A871" i="3"/>
  <c r="V870" i="3"/>
  <c r="M870" i="3"/>
  <c r="L870" i="3"/>
  <c r="I870" i="3"/>
  <c r="H870" i="3"/>
  <c r="F870" i="3"/>
  <c r="D870" i="3"/>
  <c r="A870" i="3"/>
  <c r="V869" i="3"/>
  <c r="M869" i="3"/>
  <c r="L869" i="3"/>
  <c r="I869" i="3"/>
  <c r="H869" i="3"/>
  <c r="F869" i="3"/>
  <c r="D869" i="3"/>
  <c r="A869" i="3"/>
  <c r="V868" i="3"/>
  <c r="M868" i="3"/>
  <c r="L868" i="3"/>
  <c r="I868" i="3"/>
  <c r="H868" i="3"/>
  <c r="F868" i="3"/>
  <c r="D868" i="3"/>
  <c r="A868" i="3"/>
  <c r="V867" i="3"/>
  <c r="M867" i="3"/>
  <c r="L867" i="3"/>
  <c r="I867" i="3"/>
  <c r="H867" i="3"/>
  <c r="F867" i="3"/>
  <c r="D867" i="3"/>
  <c r="A867" i="3"/>
  <c r="V866" i="3"/>
  <c r="M866" i="3"/>
  <c r="L866" i="3"/>
  <c r="I866" i="3"/>
  <c r="H866" i="3"/>
  <c r="F866" i="3"/>
  <c r="D866" i="3"/>
  <c r="A866" i="3"/>
  <c r="V865" i="3"/>
  <c r="M865" i="3"/>
  <c r="L865" i="3"/>
  <c r="I865" i="3"/>
  <c r="H865" i="3"/>
  <c r="F865" i="3"/>
  <c r="D865" i="3"/>
  <c r="A865" i="3"/>
  <c r="V864" i="3"/>
  <c r="M864" i="3"/>
  <c r="L864" i="3"/>
  <c r="I864" i="3"/>
  <c r="H864" i="3"/>
  <c r="F864" i="3"/>
  <c r="D864" i="3"/>
  <c r="A864" i="3"/>
  <c r="V863" i="3"/>
  <c r="M863" i="3"/>
  <c r="L863" i="3"/>
  <c r="I863" i="3"/>
  <c r="H863" i="3"/>
  <c r="F863" i="3"/>
  <c r="D863" i="3"/>
  <c r="A863" i="3"/>
  <c r="V862" i="3"/>
  <c r="M862" i="3"/>
  <c r="L862" i="3"/>
  <c r="I862" i="3"/>
  <c r="H862" i="3"/>
  <c r="F862" i="3"/>
  <c r="D862" i="3"/>
  <c r="A862" i="3"/>
  <c r="V861" i="3"/>
  <c r="M861" i="3"/>
  <c r="L861" i="3"/>
  <c r="I861" i="3"/>
  <c r="H861" i="3"/>
  <c r="F861" i="3"/>
  <c r="D861" i="3"/>
  <c r="A861" i="3"/>
  <c r="V860" i="3"/>
  <c r="M860" i="3"/>
  <c r="L860" i="3"/>
  <c r="I860" i="3"/>
  <c r="H860" i="3"/>
  <c r="F860" i="3"/>
  <c r="D860" i="3"/>
  <c r="A860" i="3"/>
  <c r="V859" i="3"/>
  <c r="M859" i="3"/>
  <c r="L859" i="3"/>
  <c r="I859" i="3"/>
  <c r="H859" i="3"/>
  <c r="F859" i="3"/>
  <c r="D859" i="3"/>
  <c r="A859" i="3"/>
  <c r="V858" i="3"/>
  <c r="M858" i="3"/>
  <c r="L858" i="3"/>
  <c r="I858" i="3"/>
  <c r="H858" i="3"/>
  <c r="F858" i="3"/>
  <c r="D858" i="3"/>
  <c r="A858" i="3"/>
  <c r="V857" i="3"/>
  <c r="M857" i="3"/>
  <c r="L857" i="3"/>
  <c r="I857" i="3"/>
  <c r="H857" i="3"/>
  <c r="F857" i="3"/>
  <c r="D857" i="3"/>
  <c r="A857" i="3"/>
  <c r="V856" i="3"/>
  <c r="M856" i="3"/>
  <c r="L856" i="3"/>
  <c r="I856" i="3"/>
  <c r="H856" i="3"/>
  <c r="F856" i="3"/>
  <c r="D856" i="3"/>
  <c r="A856" i="3"/>
  <c r="V855" i="3"/>
  <c r="M855" i="3"/>
  <c r="L855" i="3"/>
  <c r="I855" i="3"/>
  <c r="H855" i="3"/>
  <c r="F855" i="3"/>
  <c r="D855" i="3"/>
  <c r="A855" i="3"/>
  <c r="V854" i="3"/>
  <c r="M854" i="3"/>
  <c r="L854" i="3"/>
  <c r="I854" i="3"/>
  <c r="H854" i="3"/>
  <c r="F854" i="3"/>
  <c r="D854" i="3"/>
  <c r="A854" i="3"/>
  <c r="V853" i="3"/>
  <c r="M853" i="3"/>
  <c r="L853" i="3"/>
  <c r="I853" i="3"/>
  <c r="H853" i="3"/>
  <c r="F853" i="3"/>
  <c r="D853" i="3"/>
  <c r="A853" i="3"/>
  <c r="V852" i="3"/>
  <c r="M852" i="3"/>
  <c r="L852" i="3"/>
  <c r="I852" i="3"/>
  <c r="H852" i="3"/>
  <c r="F852" i="3"/>
  <c r="D852" i="3"/>
  <c r="A852" i="3"/>
  <c r="V851" i="3"/>
  <c r="M851" i="3"/>
  <c r="L851" i="3"/>
  <c r="I851" i="3"/>
  <c r="H851" i="3"/>
  <c r="F851" i="3"/>
  <c r="D851" i="3"/>
  <c r="A851" i="3"/>
  <c r="V850" i="3"/>
  <c r="M850" i="3"/>
  <c r="L850" i="3"/>
  <c r="I850" i="3"/>
  <c r="H850" i="3"/>
  <c r="F850" i="3"/>
  <c r="D850" i="3"/>
  <c r="A850" i="3"/>
  <c r="V849" i="3"/>
  <c r="M849" i="3"/>
  <c r="L849" i="3"/>
  <c r="I849" i="3"/>
  <c r="H849" i="3"/>
  <c r="F849" i="3"/>
  <c r="D849" i="3"/>
  <c r="A849" i="3"/>
  <c r="V848" i="3"/>
  <c r="M848" i="3"/>
  <c r="L848" i="3"/>
  <c r="I848" i="3"/>
  <c r="H848" i="3"/>
  <c r="F848" i="3"/>
  <c r="D848" i="3"/>
  <c r="A848" i="3"/>
  <c r="V847" i="3"/>
  <c r="M847" i="3"/>
  <c r="L847" i="3"/>
  <c r="I847" i="3"/>
  <c r="H847" i="3"/>
  <c r="F847" i="3"/>
  <c r="D847" i="3"/>
  <c r="A847" i="3"/>
  <c r="V846" i="3"/>
  <c r="M846" i="3"/>
  <c r="L846" i="3"/>
  <c r="I846" i="3"/>
  <c r="H846" i="3"/>
  <c r="F846" i="3"/>
  <c r="D846" i="3"/>
  <c r="A846" i="3"/>
  <c r="V845" i="3"/>
  <c r="M845" i="3"/>
  <c r="L845" i="3"/>
  <c r="I845" i="3"/>
  <c r="H845" i="3"/>
  <c r="F845" i="3"/>
  <c r="D845" i="3"/>
  <c r="A845" i="3"/>
  <c r="V844" i="3"/>
  <c r="M844" i="3"/>
  <c r="L844" i="3"/>
  <c r="I844" i="3"/>
  <c r="H844" i="3"/>
  <c r="F844" i="3"/>
  <c r="D844" i="3"/>
  <c r="A844" i="3"/>
  <c r="V843" i="3"/>
  <c r="M843" i="3"/>
  <c r="L843" i="3"/>
  <c r="I843" i="3"/>
  <c r="H843" i="3"/>
  <c r="F843" i="3"/>
  <c r="D843" i="3"/>
  <c r="A843" i="3"/>
  <c r="V842" i="3"/>
  <c r="M842" i="3"/>
  <c r="L842" i="3"/>
  <c r="I842" i="3"/>
  <c r="H842" i="3"/>
  <c r="F842" i="3"/>
  <c r="D842" i="3"/>
  <c r="A842" i="3"/>
  <c r="V841" i="3"/>
  <c r="M841" i="3"/>
  <c r="L841" i="3"/>
  <c r="I841" i="3"/>
  <c r="H841" i="3"/>
  <c r="F841" i="3"/>
  <c r="D841" i="3"/>
  <c r="A841" i="3"/>
  <c r="V840" i="3"/>
  <c r="M840" i="3"/>
  <c r="L840" i="3"/>
  <c r="I840" i="3"/>
  <c r="H840" i="3"/>
  <c r="F840" i="3"/>
  <c r="D840" i="3"/>
  <c r="A840" i="3"/>
  <c r="V839" i="3"/>
  <c r="M839" i="3"/>
  <c r="L839" i="3"/>
  <c r="I839" i="3"/>
  <c r="H839" i="3"/>
  <c r="F839" i="3"/>
  <c r="D839" i="3"/>
  <c r="A839" i="3"/>
  <c r="V838" i="3"/>
  <c r="M838" i="3"/>
  <c r="L838" i="3"/>
  <c r="I838" i="3"/>
  <c r="H838" i="3"/>
  <c r="F838" i="3"/>
  <c r="D838" i="3"/>
  <c r="A838" i="3"/>
  <c r="V837" i="3"/>
  <c r="M837" i="3"/>
  <c r="L837" i="3"/>
  <c r="I837" i="3"/>
  <c r="H837" i="3"/>
  <c r="F837" i="3"/>
  <c r="D837" i="3"/>
  <c r="A837" i="3"/>
  <c r="V836" i="3"/>
  <c r="M836" i="3"/>
  <c r="L836" i="3"/>
  <c r="I836" i="3"/>
  <c r="H836" i="3"/>
  <c r="F836" i="3"/>
  <c r="D836" i="3"/>
  <c r="A836" i="3"/>
  <c r="V835" i="3"/>
  <c r="M835" i="3"/>
  <c r="L835" i="3"/>
  <c r="I835" i="3"/>
  <c r="H835" i="3"/>
  <c r="F835" i="3"/>
  <c r="D835" i="3"/>
  <c r="A835" i="3"/>
  <c r="V834" i="3"/>
  <c r="M834" i="3"/>
  <c r="L834" i="3"/>
  <c r="I834" i="3"/>
  <c r="H834" i="3"/>
  <c r="F834" i="3"/>
  <c r="D834" i="3"/>
  <c r="A834" i="3"/>
  <c r="V833" i="3"/>
  <c r="M833" i="3"/>
  <c r="L833" i="3"/>
  <c r="I833" i="3"/>
  <c r="H833" i="3"/>
  <c r="F833" i="3"/>
  <c r="D833" i="3"/>
  <c r="A833" i="3"/>
  <c r="V832" i="3"/>
  <c r="M832" i="3"/>
  <c r="L832" i="3"/>
  <c r="I832" i="3"/>
  <c r="H832" i="3"/>
  <c r="F832" i="3"/>
  <c r="D832" i="3"/>
  <c r="A832" i="3"/>
  <c r="V831" i="3"/>
  <c r="M831" i="3"/>
  <c r="L831" i="3"/>
  <c r="I831" i="3"/>
  <c r="H831" i="3"/>
  <c r="F831" i="3"/>
  <c r="D831" i="3"/>
  <c r="A831" i="3"/>
  <c r="V830" i="3"/>
  <c r="M830" i="3"/>
  <c r="L830" i="3"/>
  <c r="I830" i="3"/>
  <c r="H830" i="3"/>
  <c r="F830" i="3"/>
  <c r="D830" i="3"/>
  <c r="A830" i="3"/>
  <c r="V829" i="3"/>
  <c r="M829" i="3"/>
  <c r="L829" i="3"/>
  <c r="I829" i="3"/>
  <c r="H829" i="3"/>
  <c r="F829" i="3"/>
  <c r="D829" i="3"/>
  <c r="A829" i="3"/>
  <c r="V828" i="3"/>
  <c r="M828" i="3"/>
  <c r="L828" i="3"/>
  <c r="I828" i="3"/>
  <c r="H828" i="3"/>
  <c r="F828" i="3"/>
  <c r="D828" i="3"/>
  <c r="A828" i="3"/>
  <c r="V827" i="3"/>
  <c r="M827" i="3"/>
  <c r="L827" i="3"/>
  <c r="I827" i="3"/>
  <c r="H827" i="3"/>
  <c r="F827" i="3"/>
  <c r="D827" i="3"/>
  <c r="A827" i="3"/>
  <c r="V826" i="3"/>
  <c r="M826" i="3"/>
  <c r="L826" i="3"/>
  <c r="I826" i="3"/>
  <c r="H826" i="3"/>
  <c r="F826" i="3"/>
  <c r="D826" i="3"/>
  <c r="A826" i="3"/>
  <c r="V825" i="3"/>
  <c r="M825" i="3"/>
  <c r="L825" i="3"/>
  <c r="I825" i="3"/>
  <c r="H825" i="3"/>
  <c r="F825" i="3"/>
  <c r="D825" i="3"/>
  <c r="A825" i="3"/>
  <c r="V824" i="3"/>
  <c r="M824" i="3"/>
  <c r="L824" i="3"/>
  <c r="I824" i="3"/>
  <c r="H824" i="3"/>
  <c r="F824" i="3"/>
  <c r="D824" i="3"/>
  <c r="A824" i="3"/>
  <c r="V823" i="3"/>
  <c r="M823" i="3"/>
  <c r="L823" i="3"/>
  <c r="I823" i="3"/>
  <c r="H823" i="3"/>
  <c r="F823" i="3"/>
  <c r="D823" i="3"/>
  <c r="A823" i="3"/>
  <c r="V822" i="3"/>
  <c r="M822" i="3"/>
  <c r="L822" i="3"/>
  <c r="I822" i="3"/>
  <c r="H822" i="3"/>
  <c r="F822" i="3"/>
  <c r="D822" i="3"/>
  <c r="A822" i="3"/>
  <c r="V821" i="3"/>
  <c r="M821" i="3"/>
  <c r="L821" i="3"/>
  <c r="I821" i="3"/>
  <c r="H821" i="3"/>
  <c r="F821" i="3"/>
  <c r="D821" i="3"/>
  <c r="A821" i="3"/>
  <c r="V820" i="3"/>
  <c r="M820" i="3"/>
  <c r="L820" i="3"/>
  <c r="I820" i="3"/>
  <c r="H820" i="3"/>
  <c r="F820" i="3"/>
  <c r="D820" i="3"/>
  <c r="A820" i="3"/>
  <c r="V819" i="3"/>
  <c r="M819" i="3"/>
  <c r="L819" i="3"/>
  <c r="I819" i="3"/>
  <c r="H819" i="3"/>
  <c r="F819" i="3"/>
  <c r="D819" i="3"/>
  <c r="A819" i="3"/>
  <c r="V818" i="3"/>
  <c r="M818" i="3"/>
  <c r="L818" i="3"/>
  <c r="I818" i="3"/>
  <c r="H818" i="3"/>
  <c r="F818" i="3"/>
  <c r="D818" i="3"/>
  <c r="A818" i="3"/>
  <c r="V817" i="3"/>
  <c r="M817" i="3"/>
  <c r="L817" i="3"/>
  <c r="I817" i="3"/>
  <c r="H817" i="3"/>
  <c r="F817" i="3"/>
  <c r="D817" i="3"/>
  <c r="A817" i="3"/>
  <c r="V816" i="3"/>
  <c r="M816" i="3"/>
  <c r="L816" i="3"/>
  <c r="I816" i="3"/>
  <c r="H816" i="3"/>
  <c r="F816" i="3"/>
  <c r="D816" i="3"/>
  <c r="A816" i="3"/>
  <c r="V815" i="3"/>
  <c r="M815" i="3"/>
  <c r="L815" i="3"/>
  <c r="I815" i="3"/>
  <c r="H815" i="3"/>
  <c r="F815" i="3"/>
  <c r="D815" i="3"/>
  <c r="A815" i="3"/>
  <c r="V814" i="3"/>
  <c r="M814" i="3"/>
  <c r="L814" i="3"/>
  <c r="I814" i="3"/>
  <c r="H814" i="3"/>
  <c r="F814" i="3"/>
  <c r="D814" i="3"/>
  <c r="A814" i="3"/>
  <c r="V813" i="3"/>
  <c r="M813" i="3"/>
  <c r="L813" i="3"/>
  <c r="I813" i="3"/>
  <c r="H813" i="3"/>
  <c r="F813" i="3"/>
  <c r="D813" i="3"/>
  <c r="A813" i="3"/>
  <c r="V812" i="3"/>
  <c r="M812" i="3"/>
  <c r="L812" i="3"/>
  <c r="I812" i="3"/>
  <c r="H812" i="3"/>
  <c r="F812" i="3"/>
  <c r="D812" i="3"/>
  <c r="A812" i="3"/>
  <c r="V811" i="3"/>
  <c r="M811" i="3"/>
  <c r="L811" i="3"/>
  <c r="I811" i="3"/>
  <c r="H811" i="3"/>
  <c r="F811" i="3"/>
  <c r="D811" i="3"/>
  <c r="A811" i="3"/>
  <c r="V810" i="3"/>
  <c r="M810" i="3"/>
  <c r="L810" i="3"/>
  <c r="I810" i="3"/>
  <c r="H810" i="3"/>
  <c r="F810" i="3"/>
  <c r="D810" i="3"/>
  <c r="A810" i="3"/>
  <c r="V809" i="3"/>
  <c r="M809" i="3"/>
  <c r="L809" i="3"/>
  <c r="I809" i="3"/>
  <c r="H809" i="3"/>
  <c r="F809" i="3"/>
  <c r="D809" i="3"/>
  <c r="A809" i="3"/>
  <c r="V808" i="3"/>
  <c r="M808" i="3"/>
  <c r="L808" i="3"/>
  <c r="I808" i="3"/>
  <c r="H808" i="3"/>
  <c r="F808" i="3"/>
  <c r="D808" i="3"/>
  <c r="A808" i="3"/>
  <c r="V807" i="3"/>
  <c r="M807" i="3"/>
  <c r="L807" i="3"/>
  <c r="I807" i="3"/>
  <c r="H807" i="3"/>
  <c r="F807" i="3"/>
  <c r="D807" i="3"/>
  <c r="A807" i="3"/>
  <c r="V806" i="3"/>
  <c r="M806" i="3"/>
  <c r="L806" i="3"/>
  <c r="I806" i="3"/>
  <c r="H806" i="3"/>
  <c r="F806" i="3"/>
  <c r="D806" i="3"/>
  <c r="A806" i="3"/>
  <c r="V805" i="3"/>
  <c r="M805" i="3"/>
  <c r="L805" i="3"/>
  <c r="I805" i="3"/>
  <c r="H805" i="3"/>
  <c r="F805" i="3"/>
  <c r="D805" i="3"/>
  <c r="A805" i="3"/>
  <c r="V804" i="3"/>
  <c r="M804" i="3"/>
  <c r="L804" i="3"/>
  <c r="I804" i="3"/>
  <c r="H804" i="3"/>
  <c r="F804" i="3"/>
  <c r="D804" i="3"/>
  <c r="A804" i="3"/>
  <c r="V803" i="3"/>
  <c r="M803" i="3"/>
  <c r="L803" i="3"/>
  <c r="I803" i="3"/>
  <c r="H803" i="3"/>
  <c r="F803" i="3"/>
  <c r="D803" i="3"/>
  <c r="A803" i="3"/>
  <c r="V802" i="3"/>
  <c r="M802" i="3"/>
  <c r="L802" i="3"/>
  <c r="I802" i="3"/>
  <c r="H802" i="3"/>
  <c r="F802" i="3"/>
  <c r="D802" i="3"/>
  <c r="A802" i="3"/>
  <c r="V801" i="3"/>
  <c r="M801" i="3"/>
  <c r="L801" i="3"/>
  <c r="I801" i="3"/>
  <c r="H801" i="3"/>
  <c r="F801" i="3"/>
  <c r="D801" i="3"/>
  <c r="A801" i="3"/>
  <c r="V800" i="3"/>
  <c r="M800" i="3"/>
  <c r="L800" i="3"/>
  <c r="I800" i="3"/>
  <c r="H800" i="3"/>
  <c r="F800" i="3"/>
  <c r="D800" i="3"/>
  <c r="A800" i="3"/>
  <c r="V799" i="3"/>
  <c r="M799" i="3"/>
  <c r="L799" i="3"/>
  <c r="I799" i="3"/>
  <c r="H799" i="3"/>
  <c r="F799" i="3"/>
  <c r="D799" i="3"/>
  <c r="A799" i="3"/>
  <c r="V798" i="3"/>
  <c r="M798" i="3"/>
  <c r="L798" i="3"/>
  <c r="I798" i="3"/>
  <c r="H798" i="3"/>
  <c r="F798" i="3"/>
  <c r="D798" i="3"/>
  <c r="A798" i="3"/>
  <c r="V797" i="3"/>
  <c r="M797" i="3"/>
  <c r="L797" i="3"/>
  <c r="I797" i="3"/>
  <c r="H797" i="3"/>
  <c r="F797" i="3"/>
  <c r="D797" i="3"/>
  <c r="A797" i="3"/>
  <c r="V796" i="3"/>
  <c r="M796" i="3"/>
  <c r="L796" i="3"/>
  <c r="I796" i="3"/>
  <c r="H796" i="3"/>
  <c r="F796" i="3"/>
  <c r="D796" i="3"/>
  <c r="A796" i="3"/>
  <c r="V795" i="3"/>
  <c r="M795" i="3"/>
  <c r="L795" i="3"/>
  <c r="I795" i="3"/>
  <c r="H795" i="3"/>
  <c r="F795" i="3"/>
  <c r="D795" i="3"/>
  <c r="A795" i="3"/>
  <c r="V794" i="3"/>
  <c r="M794" i="3"/>
  <c r="L794" i="3"/>
  <c r="I794" i="3"/>
  <c r="H794" i="3"/>
  <c r="F794" i="3"/>
  <c r="D794" i="3"/>
  <c r="A794" i="3"/>
  <c r="V793" i="3"/>
  <c r="M793" i="3"/>
  <c r="L793" i="3"/>
  <c r="I793" i="3"/>
  <c r="H793" i="3"/>
  <c r="F793" i="3"/>
  <c r="D793" i="3"/>
  <c r="A793" i="3"/>
  <c r="V792" i="3"/>
  <c r="M792" i="3"/>
  <c r="L792" i="3"/>
  <c r="I792" i="3"/>
  <c r="H792" i="3"/>
  <c r="F792" i="3"/>
  <c r="D792" i="3"/>
  <c r="A792" i="3"/>
  <c r="V791" i="3"/>
  <c r="M791" i="3"/>
  <c r="L791" i="3"/>
  <c r="I791" i="3"/>
  <c r="H791" i="3"/>
  <c r="F791" i="3"/>
  <c r="D791" i="3"/>
  <c r="A791" i="3"/>
  <c r="V790" i="3"/>
  <c r="M790" i="3"/>
  <c r="L790" i="3"/>
  <c r="I790" i="3"/>
  <c r="H790" i="3"/>
  <c r="F790" i="3"/>
  <c r="D790" i="3"/>
  <c r="A790" i="3"/>
  <c r="V789" i="3"/>
  <c r="M789" i="3"/>
  <c r="L789" i="3"/>
  <c r="I789" i="3"/>
  <c r="H789" i="3"/>
  <c r="F789" i="3"/>
  <c r="D789" i="3"/>
  <c r="A789" i="3"/>
  <c r="V788" i="3"/>
  <c r="M788" i="3"/>
  <c r="L788" i="3"/>
  <c r="I788" i="3"/>
  <c r="H788" i="3"/>
  <c r="F788" i="3"/>
  <c r="D788" i="3"/>
  <c r="A788" i="3"/>
  <c r="V787" i="3"/>
  <c r="M787" i="3"/>
  <c r="L787" i="3"/>
  <c r="I787" i="3"/>
  <c r="H787" i="3"/>
  <c r="F787" i="3"/>
  <c r="D787" i="3"/>
  <c r="A787" i="3"/>
  <c r="V786" i="3"/>
  <c r="M786" i="3"/>
  <c r="L786" i="3"/>
  <c r="I786" i="3"/>
  <c r="H786" i="3"/>
  <c r="F786" i="3"/>
  <c r="D786" i="3"/>
  <c r="A786" i="3"/>
  <c r="V785" i="3"/>
  <c r="M785" i="3"/>
  <c r="L785" i="3"/>
  <c r="I785" i="3"/>
  <c r="H785" i="3"/>
  <c r="F785" i="3"/>
  <c r="D785" i="3"/>
  <c r="A785" i="3"/>
  <c r="V784" i="3"/>
  <c r="M784" i="3"/>
  <c r="L784" i="3"/>
  <c r="I784" i="3"/>
  <c r="H784" i="3"/>
  <c r="F784" i="3"/>
  <c r="D784" i="3"/>
  <c r="A784" i="3"/>
  <c r="V783" i="3"/>
  <c r="M783" i="3"/>
  <c r="L783" i="3"/>
  <c r="I783" i="3"/>
  <c r="H783" i="3"/>
  <c r="F783" i="3"/>
  <c r="D783" i="3"/>
  <c r="A783" i="3"/>
  <c r="V782" i="3"/>
  <c r="M782" i="3"/>
  <c r="L782" i="3"/>
  <c r="I782" i="3"/>
  <c r="H782" i="3"/>
  <c r="F782" i="3"/>
  <c r="D782" i="3"/>
  <c r="A782" i="3"/>
  <c r="V781" i="3"/>
  <c r="M781" i="3"/>
  <c r="L781" i="3"/>
  <c r="I781" i="3"/>
  <c r="H781" i="3"/>
  <c r="F781" i="3"/>
  <c r="D781" i="3"/>
  <c r="A781" i="3"/>
  <c r="V780" i="3"/>
  <c r="M780" i="3"/>
  <c r="L780" i="3"/>
  <c r="I780" i="3"/>
  <c r="H780" i="3"/>
  <c r="F780" i="3"/>
  <c r="D780" i="3"/>
  <c r="A780" i="3"/>
  <c r="V779" i="3"/>
  <c r="M779" i="3"/>
  <c r="L779" i="3"/>
  <c r="I779" i="3"/>
  <c r="H779" i="3"/>
  <c r="F779" i="3"/>
  <c r="D779" i="3"/>
  <c r="A779" i="3"/>
  <c r="V778" i="3"/>
  <c r="M778" i="3"/>
  <c r="L778" i="3"/>
  <c r="I778" i="3"/>
  <c r="H778" i="3"/>
  <c r="F778" i="3"/>
  <c r="D778" i="3"/>
  <c r="A778" i="3"/>
  <c r="V777" i="3"/>
  <c r="M777" i="3"/>
  <c r="L777" i="3"/>
  <c r="I777" i="3"/>
  <c r="H777" i="3"/>
  <c r="F777" i="3"/>
  <c r="D777" i="3"/>
  <c r="A777" i="3"/>
  <c r="V776" i="3"/>
  <c r="M776" i="3"/>
  <c r="L776" i="3"/>
  <c r="I776" i="3"/>
  <c r="H776" i="3"/>
  <c r="F776" i="3"/>
  <c r="D776" i="3"/>
  <c r="A776" i="3"/>
  <c r="V775" i="3"/>
  <c r="M775" i="3"/>
  <c r="L775" i="3"/>
  <c r="I775" i="3"/>
  <c r="H775" i="3"/>
  <c r="F775" i="3"/>
  <c r="D775" i="3"/>
  <c r="A775" i="3"/>
  <c r="V774" i="3"/>
  <c r="M774" i="3"/>
  <c r="L774" i="3"/>
  <c r="I774" i="3"/>
  <c r="H774" i="3"/>
  <c r="F774" i="3"/>
  <c r="D774" i="3"/>
  <c r="A774" i="3"/>
  <c r="V773" i="3"/>
  <c r="M773" i="3"/>
  <c r="L773" i="3"/>
  <c r="I773" i="3"/>
  <c r="H773" i="3"/>
  <c r="F773" i="3"/>
  <c r="D773" i="3"/>
  <c r="A773" i="3"/>
  <c r="V772" i="3"/>
  <c r="M772" i="3"/>
  <c r="L772" i="3"/>
  <c r="I772" i="3"/>
  <c r="H772" i="3"/>
  <c r="F772" i="3"/>
  <c r="D772" i="3"/>
  <c r="A772" i="3"/>
  <c r="V771" i="3"/>
  <c r="M771" i="3"/>
  <c r="L771" i="3"/>
  <c r="I771" i="3"/>
  <c r="H771" i="3"/>
  <c r="F771" i="3"/>
  <c r="D771" i="3"/>
  <c r="A771" i="3"/>
  <c r="V770" i="3"/>
  <c r="M770" i="3"/>
  <c r="L770" i="3"/>
  <c r="I770" i="3"/>
  <c r="H770" i="3"/>
  <c r="F770" i="3"/>
  <c r="D770" i="3"/>
  <c r="A770" i="3"/>
  <c r="V769" i="3"/>
  <c r="M769" i="3"/>
  <c r="L769" i="3"/>
  <c r="I769" i="3"/>
  <c r="H769" i="3"/>
  <c r="F769" i="3"/>
  <c r="D769" i="3"/>
  <c r="A769" i="3"/>
  <c r="V768" i="3"/>
  <c r="M768" i="3"/>
  <c r="L768" i="3"/>
  <c r="I768" i="3"/>
  <c r="H768" i="3"/>
  <c r="F768" i="3"/>
  <c r="D768" i="3"/>
  <c r="A768" i="3"/>
  <c r="V767" i="3"/>
  <c r="M767" i="3"/>
  <c r="L767" i="3"/>
  <c r="I767" i="3"/>
  <c r="H767" i="3"/>
  <c r="F767" i="3"/>
  <c r="D767" i="3"/>
  <c r="A767" i="3"/>
  <c r="V766" i="3"/>
  <c r="M766" i="3"/>
  <c r="L766" i="3"/>
  <c r="I766" i="3"/>
  <c r="H766" i="3"/>
  <c r="F766" i="3"/>
  <c r="D766" i="3"/>
  <c r="A766" i="3"/>
  <c r="V765" i="3"/>
  <c r="M765" i="3"/>
  <c r="L765" i="3"/>
  <c r="I765" i="3"/>
  <c r="H765" i="3"/>
  <c r="F765" i="3"/>
  <c r="D765" i="3"/>
  <c r="A765" i="3"/>
  <c r="V764" i="3"/>
  <c r="M764" i="3"/>
  <c r="L764" i="3"/>
  <c r="I764" i="3"/>
  <c r="H764" i="3"/>
  <c r="F764" i="3"/>
  <c r="D764" i="3"/>
  <c r="A764" i="3"/>
  <c r="V763" i="3"/>
  <c r="M763" i="3"/>
  <c r="L763" i="3"/>
  <c r="I763" i="3"/>
  <c r="H763" i="3"/>
  <c r="F763" i="3"/>
  <c r="D763" i="3"/>
  <c r="A763" i="3"/>
  <c r="V762" i="3"/>
  <c r="M762" i="3"/>
  <c r="L762" i="3"/>
  <c r="I762" i="3"/>
  <c r="H762" i="3"/>
  <c r="F762" i="3"/>
  <c r="D762" i="3"/>
  <c r="A762" i="3"/>
  <c r="V761" i="3"/>
  <c r="M761" i="3"/>
  <c r="L761" i="3"/>
  <c r="I761" i="3"/>
  <c r="H761" i="3"/>
  <c r="F761" i="3"/>
  <c r="D761" i="3"/>
  <c r="A761" i="3"/>
  <c r="V760" i="3"/>
  <c r="M760" i="3"/>
  <c r="L760" i="3"/>
  <c r="I760" i="3"/>
  <c r="H760" i="3"/>
  <c r="F760" i="3"/>
  <c r="D760" i="3"/>
  <c r="A760" i="3"/>
  <c r="V759" i="3"/>
  <c r="M759" i="3"/>
  <c r="L759" i="3"/>
  <c r="I759" i="3"/>
  <c r="H759" i="3"/>
  <c r="F759" i="3"/>
  <c r="D759" i="3"/>
  <c r="A759" i="3"/>
  <c r="V758" i="3"/>
  <c r="M758" i="3"/>
  <c r="L758" i="3"/>
  <c r="I758" i="3"/>
  <c r="H758" i="3"/>
  <c r="F758" i="3"/>
  <c r="D758" i="3"/>
  <c r="A758" i="3"/>
  <c r="V757" i="3"/>
  <c r="M757" i="3"/>
  <c r="L757" i="3"/>
  <c r="I757" i="3"/>
  <c r="H757" i="3"/>
  <c r="F757" i="3"/>
  <c r="D757" i="3"/>
  <c r="A757" i="3"/>
  <c r="V756" i="3"/>
  <c r="M756" i="3"/>
  <c r="L756" i="3"/>
  <c r="I756" i="3"/>
  <c r="H756" i="3"/>
  <c r="F756" i="3"/>
  <c r="D756" i="3"/>
  <c r="A756" i="3"/>
  <c r="V755" i="3"/>
  <c r="M755" i="3"/>
  <c r="L755" i="3"/>
  <c r="I755" i="3"/>
  <c r="H755" i="3"/>
  <c r="F755" i="3"/>
  <c r="D755" i="3"/>
  <c r="A755" i="3"/>
  <c r="V754" i="3"/>
  <c r="M754" i="3"/>
  <c r="L754" i="3"/>
  <c r="I754" i="3"/>
  <c r="H754" i="3"/>
  <c r="F754" i="3"/>
  <c r="D754" i="3"/>
  <c r="A754" i="3"/>
  <c r="V753" i="3"/>
  <c r="M753" i="3"/>
  <c r="L753" i="3"/>
  <c r="I753" i="3"/>
  <c r="H753" i="3"/>
  <c r="F753" i="3"/>
  <c r="D753" i="3"/>
  <c r="A753" i="3"/>
  <c r="V752" i="3"/>
  <c r="M752" i="3"/>
  <c r="L752" i="3"/>
  <c r="I752" i="3"/>
  <c r="H752" i="3"/>
  <c r="F752" i="3"/>
  <c r="D752" i="3"/>
  <c r="A752" i="3"/>
  <c r="V751" i="3"/>
  <c r="M751" i="3"/>
  <c r="L751" i="3"/>
  <c r="I751" i="3"/>
  <c r="H751" i="3"/>
  <c r="F751" i="3"/>
  <c r="D751" i="3"/>
  <c r="A751" i="3"/>
  <c r="V750" i="3"/>
  <c r="M750" i="3"/>
  <c r="L750" i="3"/>
  <c r="I750" i="3"/>
  <c r="H750" i="3"/>
  <c r="F750" i="3"/>
  <c r="D750" i="3"/>
  <c r="A750" i="3"/>
  <c r="V749" i="3"/>
  <c r="M749" i="3"/>
  <c r="L749" i="3"/>
  <c r="I749" i="3"/>
  <c r="H749" i="3"/>
  <c r="F749" i="3"/>
  <c r="D749" i="3"/>
  <c r="A749" i="3"/>
  <c r="V748" i="3"/>
  <c r="M748" i="3"/>
  <c r="L748" i="3"/>
  <c r="I748" i="3"/>
  <c r="H748" i="3"/>
  <c r="F748" i="3"/>
  <c r="D748" i="3"/>
  <c r="A748" i="3"/>
  <c r="V747" i="3"/>
  <c r="M747" i="3"/>
  <c r="L747" i="3"/>
  <c r="I747" i="3"/>
  <c r="H747" i="3"/>
  <c r="F747" i="3"/>
  <c r="D747" i="3"/>
  <c r="A747" i="3"/>
  <c r="V746" i="3"/>
  <c r="M746" i="3"/>
  <c r="L746" i="3"/>
  <c r="I746" i="3"/>
  <c r="H746" i="3"/>
  <c r="F746" i="3"/>
  <c r="D746" i="3"/>
  <c r="A746" i="3"/>
  <c r="V745" i="3"/>
  <c r="M745" i="3"/>
  <c r="L745" i="3"/>
  <c r="I745" i="3"/>
  <c r="H745" i="3"/>
  <c r="F745" i="3"/>
  <c r="D745" i="3"/>
  <c r="A745" i="3"/>
  <c r="V744" i="3"/>
  <c r="M744" i="3"/>
  <c r="L744" i="3"/>
  <c r="I744" i="3"/>
  <c r="H744" i="3"/>
  <c r="F744" i="3"/>
  <c r="D744" i="3"/>
  <c r="A744" i="3"/>
  <c r="V743" i="3"/>
  <c r="M743" i="3"/>
  <c r="L743" i="3"/>
  <c r="I743" i="3"/>
  <c r="H743" i="3"/>
  <c r="F743" i="3"/>
  <c r="D743" i="3"/>
  <c r="A743" i="3"/>
  <c r="V742" i="3"/>
  <c r="M742" i="3"/>
  <c r="L742" i="3"/>
  <c r="I742" i="3"/>
  <c r="H742" i="3"/>
  <c r="F742" i="3"/>
  <c r="D742" i="3"/>
  <c r="A742" i="3"/>
  <c r="V741" i="3"/>
  <c r="M741" i="3"/>
  <c r="L741" i="3"/>
  <c r="I741" i="3"/>
  <c r="H741" i="3"/>
  <c r="F741" i="3"/>
  <c r="D741" i="3"/>
  <c r="A741" i="3"/>
  <c r="V740" i="3"/>
  <c r="M740" i="3"/>
  <c r="L740" i="3"/>
  <c r="I740" i="3"/>
  <c r="H740" i="3"/>
  <c r="F740" i="3"/>
  <c r="D740" i="3"/>
  <c r="A740" i="3"/>
  <c r="V739" i="3"/>
  <c r="M739" i="3"/>
  <c r="L739" i="3"/>
  <c r="I739" i="3"/>
  <c r="H739" i="3"/>
  <c r="F739" i="3"/>
  <c r="D739" i="3"/>
  <c r="A739" i="3"/>
  <c r="V738" i="3"/>
  <c r="M738" i="3"/>
  <c r="L738" i="3"/>
  <c r="I738" i="3"/>
  <c r="H738" i="3"/>
  <c r="F738" i="3"/>
  <c r="D738" i="3"/>
  <c r="A738" i="3"/>
  <c r="V737" i="3"/>
  <c r="M737" i="3"/>
  <c r="L737" i="3"/>
  <c r="I737" i="3"/>
  <c r="H737" i="3"/>
  <c r="F737" i="3"/>
  <c r="D737" i="3"/>
  <c r="A737" i="3"/>
  <c r="V736" i="3"/>
  <c r="M736" i="3"/>
  <c r="L736" i="3"/>
  <c r="I736" i="3"/>
  <c r="H736" i="3"/>
  <c r="F736" i="3"/>
  <c r="D736" i="3"/>
  <c r="A736" i="3"/>
  <c r="V735" i="3"/>
  <c r="M735" i="3"/>
  <c r="L735" i="3"/>
  <c r="I735" i="3"/>
  <c r="H735" i="3"/>
  <c r="F735" i="3"/>
  <c r="D735" i="3"/>
  <c r="A735" i="3"/>
  <c r="V734" i="3"/>
  <c r="M734" i="3"/>
  <c r="L734" i="3"/>
  <c r="I734" i="3"/>
  <c r="H734" i="3"/>
  <c r="F734" i="3"/>
  <c r="D734" i="3"/>
  <c r="A734" i="3"/>
  <c r="V733" i="3"/>
  <c r="M733" i="3"/>
  <c r="L733" i="3"/>
  <c r="I733" i="3"/>
  <c r="H733" i="3"/>
  <c r="F733" i="3"/>
  <c r="D733" i="3"/>
  <c r="A733" i="3"/>
  <c r="V732" i="3"/>
  <c r="M732" i="3"/>
  <c r="L732" i="3"/>
  <c r="I732" i="3"/>
  <c r="H732" i="3"/>
  <c r="F732" i="3"/>
  <c r="D732" i="3"/>
  <c r="A732" i="3"/>
  <c r="V731" i="3"/>
  <c r="M731" i="3"/>
  <c r="L731" i="3"/>
  <c r="I731" i="3"/>
  <c r="H731" i="3"/>
  <c r="F731" i="3"/>
  <c r="D731" i="3"/>
  <c r="A731" i="3"/>
  <c r="V730" i="3"/>
  <c r="M730" i="3"/>
  <c r="L730" i="3"/>
  <c r="I730" i="3"/>
  <c r="H730" i="3"/>
  <c r="F730" i="3"/>
  <c r="D730" i="3"/>
  <c r="A730" i="3"/>
  <c r="V729" i="3"/>
  <c r="M729" i="3"/>
  <c r="L729" i="3"/>
  <c r="I729" i="3"/>
  <c r="H729" i="3"/>
  <c r="F729" i="3"/>
  <c r="D729" i="3"/>
  <c r="A729" i="3"/>
  <c r="V728" i="3"/>
  <c r="M728" i="3"/>
  <c r="L728" i="3"/>
  <c r="I728" i="3"/>
  <c r="H728" i="3"/>
  <c r="F728" i="3"/>
  <c r="D728" i="3"/>
  <c r="A728" i="3"/>
  <c r="V727" i="3"/>
  <c r="M727" i="3"/>
  <c r="L727" i="3"/>
  <c r="I727" i="3"/>
  <c r="H727" i="3"/>
  <c r="F727" i="3"/>
  <c r="D727" i="3"/>
  <c r="A727" i="3"/>
  <c r="V726" i="3"/>
  <c r="M726" i="3"/>
  <c r="L726" i="3"/>
  <c r="I726" i="3"/>
  <c r="H726" i="3"/>
  <c r="F726" i="3"/>
  <c r="D726" i="3"/>
  <c r="A726" i="3"/>
  <c r="V725" i="3"/>
  <c r="M725" i="3"/>
  <c r="L725" i="3"/>
  <c r="I725" i="3"/>
  <c r="H725" i="3"/>
  <c r="F725" i="3"/>
  <c r="D725" i="3"/>
  <c r="A725" i="3"/>
  <c r="V724" i="3"/>
  <c r="M724" i="3"/>
  <c r="L724" i="3"/>
  <c r="I724" i="3"/>
  <c r="H724" i="3"/>
  <c r="F724" i="3"/>
  <c r="D724" i="3"/>
  <c r="A724" i="3"/>
  <c r="V723" i="3"/>
  <c r="M723" i="3"/>
  <c r="L723" i="3"/>
  <c r="I723" i="3"/>
  <c r="H723" i="3"/>
  <c r="F723" i="3"/>
  <c r="D723" i="3"/>
  <c r="A723" i="3"/>
  <c r="V722" i="3"/>
  <c r="M722" i="3"/>
  <c r="L722" i="3"/>
  <c r="I722" i="3"/>
  <c r="H722" i="3"/>
  <c r="F722" i="3"/>
  <c r="D722" i="3"/>
  <c r="A722" i="3"/>
  <c r="V721" i="3"/>
  <c r="M721" i="3"/>
  <c r="L721" i="3"/>
  <c r="I721" i="3"/>
  <c r="H721" i="3"/>
  <c r="F721" i="3"/>
  <c r="D721" i="3"/>
  <c r="A721" i="3"/>
  <c r="V720" i="3"/>
  <c r="M720" i="3"/>
  <c r="L720" i="3"/>
  <c r="I720" i="3"/>
  <c r="H720" i="3"/>
  <c r="F720" i="3"/>
  <c r="D720" i="3"/>
  <c r="A720" i="3"/>
  <c r="V719" i="3"/>
  <c r="M719" i="3"/>
  <c r="L719" i="3"/>
  <c r="I719" i="3"/>
  <c r="H719" i="3"/>
  <c r="F719" i="3"/>
  <c r="D719" i="3"/>
  <c r="A719" i="3"/>
  <c r="V718" i="3"/>
  <c r="M718" i="3"/>
  <c r="L718" i="3"/>
  <c r="I718" i="3"/>
  <c r="H718" i="3"/>
  <c r="F718" i="3"/>
  <c r="D718" i="3"/>
  <c r="A718" i="3"/>
  <c r="V717" i="3"/>
  <c r="M717" i="3"/>
  <c r="L717" i="3"/>
  <c r="I717" i="3"/>
  <c r="H717" i="3"/>
  <c r="F717" i="3"/>
  <c r="D717" i="3"/>
  <c r="A717" i="3"/>
  <c r="V716" i="3"/>
  <c r="M716" i="3"/>
  <c r="L716" i="3"/>
  <c r="I716" i="3"/>
  <c r="H716" i="3"/>
  <c r="F716" i="3"/>
  <c r="D716" i="3"/>
  <c r="A716" i="3"/>
  <c r="V715" i="3"/>
  <c r="M715" i="3"/>
  <c r="L715" i="3"/>
  <c r="I715" i="3"/>
  <c r="H715" i="3"/>
  <c r="F715" i="3"/>
  <c r="D715" i="3"/>
  <c r="A715" i="3"/>
  <c r="V714" i="3"/>
  <c r="M714" i="3"/>
  <c r="L714" i="3"/>
  <c r="I714" i="3"/>
  <c r="H714" i="3"/>
  <c r="F714" i="3"/>
  <c r="D714" i="3"/>
  <c r="A714" i="3"/>
  <c r="V713" i="3"/>
  <c r="M713" i="3"/>
  <c r="L713" i="3"/>
  <c r="I713" i="3"/>
  <c r="H713" i="3"/>
  <c r="F713" i="3"/>
  <c r="D713" i="3"/>
  <c r="A713" i="3"/>
  <c r="V712" i="3"/>
  <c r="M712" i="3"/>
  <c r="L712" i="3"/>
  <c r="I712" i="3"/>
  <c r="H712" i="3"/>
  <c r="F712" i="3"/>
  <c r="D712" i="3"/>
  <c r="A712" i="3"/>
  <c r="V711" i="3"/>
  <c r="M711" i="3"/>
  <c r="L711" i="3"/>
  <c r="I711" i="3"/>
  <c r="H711" i="3"/>
  <c r="F711" i="3"/>
  <c r="D711" i="3"/>
  <c r="A711" i="3"/>
  <c r="V710" i="3"/>
  <c r="M710" i="3"/>
  <c r="L710" i="3"/>
  <c r="I710" i="3"/>
  <c r="H710" i="3"/>
  <c r="F710" i="3"/>
  <c r="D710" i="3"/>
  <c r="A710" i="3"/>
  <c r="V709" i="3"/>
  <c r="M709" i="3"/>
  <c r="L709" i="3"/>
  <c r="I709" i="3"/>
  <c r="H709" i="3"/>
  <c r="F709" i="3"/>
  <c r="D709" i="3"/>
  <c r="A709" i="3"/>
  <c r="V708" i="3"/>
  <c r="M708" i="3"/>
  <c r="L708" i="3"/>
  <c r="I708" i="3"/>
  <c r="H708" i="3"/>
  <c r="F708" i="3"/>
  <c r="D708" i="3"/>
  <c r="A708" i="3"/>
  <c r="V707" i="3"/>
  <c r="M707" i="3"/>
  <c r="L707" i="3"/>
  <c r="I707" i="3"/>
  <c r="H707" i="3"/>
  <c r="F707" i="3"/>
  <c r="D707" i="3"/>
  <c r="A707" i="3"/>
  <c r="V706" i="3"/>
  <c r="M706" i="3"/>
  <c r="L706" i="3"/>
  <c r="I706" i="3"/>
  <c r="H706" i="3"/>
  <c r="F706" i="3"/>
  <c r="D706" i="3"/>
  <c r="A706" i="3"/>
  <c r="V705" i="3"/>
  <c r="M705" i="3"/>
  <c r="L705" i="3"/>
  <c r="I705" i="3"/>
  <c r="H705" i="3"/>
  <c r="F705" i="3"/>
  <c r="D705" i="3"/>
  <c r="A705" i="3"/>
  <c r="V704" i="3"/>
  <c r="M704" i="3"/>
  <c r="L704" i="3"/>
  <c r="I704" i="3"/>
  <c r="H704" i="3"/>
  <c r="F704" i="3"/>
  <c r="D704" i="3"/>
  <c r="A704" i="3"/>
  <c r="V703" i="3"/>
  <c r="M703" i="3"/>
  <c r="L703" i="3"/>
  <c r="I703" i="3"/>
  <c r="H703" i="3"/>
  <c r="F703" i="3"/>
  <c r="D703" i="3"/>
  <c r="A703" i="3"/>
  <c r="V702" i="3"/>
  <c r="M702" i="3"/>
  <c r="L702" i="3"/>
  <c r="I702" i="3"/>
  <c r="H702" i="3"/>
  <c r="F702" i="3"/>
  <c r="D702" i="3"/>
  <c r="A702" i="3"/>
  <c r="V701" i="3"/>
  <c r="M701" i="3"/>
  <c r="L701" i="3"/>
  <c r="I701" i="3"/>
  <c r="H701" i="3"/>
  <c r="F701" i="3"/>
  <c r="D701" i="3"/>
  <c r="A701" i="3"/>
  <c r="V700" i="3"/>
  <c r="M700" i="3"/>
  <c r="L700" i="3"/>
  <c r="I700" i="3"/>
  <c r="H700" i="3"/>
  <c r="F700" i="3"/>
  <c r="D700" i="3"/>
  <c r="A700" i="3"/>
  <c r="V699" i="3"/>
  <c r="M699" i="3"/>
  <c r="L699" i="3"/>
  <c r="I699" i="3"/>
  <c r="H699" i="3"/>
  <c r="F699" i="3"/>
  <c r="D699" i="3"/>
  <c r="A699" i="3"/>
  <c r="V698" i="3"/>
  <c r="M698" i="3"/>
  <c r="L698" i="3"/>
  <c r="I698" i="3"/>
  <c r="H698" i="3"/>
  <c r="F698" i="3"/>
  <c r="D698" i="3"/>
  <c r="A698" i="3"/>
  <c r="V697" i="3"/>
  <c r="M697" i="3"/>
  <c r="L697" i="3"/>
  <c r="I697" i="3"/>
  <c r="H697" i="3"/>
  <c r="F697" i="3"/>
  <c r="D697" i="3"/>
  <c r="A697" i="3"/>
  <c r="V696" i="3"/>
  <c r="M696" i="3"/>
  <c r="L696" i="3"/>
  <c r="I696" i="3"/>
  <c r="H696" i="3"/>
  <c r="F696" i="3"/>
  <c r="D696" i="3"/>
  <c r="A696" i="3"/>
  <c r="V695" i="3"/>
  <c r="M695" i="3"/>
  <c r="L695" i="3"/>
  <c r="I695" i="3"/>
  <c r="H695" i="3"/>
  <c r="F695" i="3"/>
  <c r="D695" i="3"/>
  <c r="A695" i="3"/>
  <c r="V694" i="3"/>
  <c r="M694" i="3"/>
  <c r="L694" i="3"/>
  <c r="I694" i="3"/>
  <c r="H694" i="3"/>
  <c r="F694" i="3"/>
  <c r="D694" i="3"/>
  <c r="A694" i="3"/>
  <c r="V693" i="3"/>
  <c r="M693" i="3"/>
  <c r="L693" i="3"/>
  <c r="I693" i="3"/>
  <c r="H693" i="3"/>
  <c r="F693" i="3"/>
  <c r="D693" i="3"/>
  <c r="A693" i="3"/>
  <c r="V692" i="3"/>
  <c r="M692" i="3"/>
  <c r="L692" i="3"/>
  <c r="I692" i="3"/>
  <c r="H692" i="3"/>
  <c r="F692" i="3"/>
  <c r="D692" i="3"/>
  <c r="A692" i="3"/>
  <c r="V691" i="3"/>
  <c r="M691" i="3"/>
  <c r="L691" i="3"/>
  <c r="I691" i="3"/>
  <c r="H691" i="3"/>
  <c r="F691" i="3"/>
  <c r="D691" i="3"/>
  <c r="A691" i="3"/>
  <c r="V690" i="3"/>
  <c r="M690" i="3"/>
  <c r="L690" i="3"/>
  <c r="I690" i="3"/>
  <c r="H690" i="3"/>
  <c r="F690" i="3"/>
  <c r="D690" i="3"/>
  <c r="A690" i="3"/>
  <c r="V689" i="3"/>
  <c r="M689" i="3"/>
  <c r="L689" i="3"/>
  <c r="I689" i="3"/>
  <c r="H689" i="3"/>
  <c r="F689" i="3"/>
  <c r="D689" i="3"/>
  <c r="A689" i="3"/>
  <c r="V688" i="3"/>
  <c r="M688" i="3"/>
  <c r="L688" i="3"/>
  <c r="I688" i="3"/>
  <c r="H688" i="3"/>
  <c r="F688" i="3"/>
  <c r="D688" i="3"/>
  <c r="A688" i="3"/>
  <c r="V687" i="3"/>
  <c r="M687" i="3"/>
  <c r="L687" i="3"/>
  <c r="I687" i="3"/>
  <c r="H687" i="3"/>
  <c r="F687" i="3"/>
  <c r="D687" i="3"/>
  <c r="A687" i="3"/>
  <c r="V686" i="3"/>
  <c r="M686" i="3"/>
  <c r="L686" i="3"/>
  <c r="I686" i="3"/>
  <c r="H686" i="3"/>
  <c r="F686" i="3"/>
  <c r="D686" i="3"/>
  <c r="A686" i="3"/>
  <c r="V685" i="3"/>
  <c r="M685" i="3"/>
  <c r="L685" i="3"/>
  <c r="I685" i="3"/>
  <c r="H685" i="3"/>
  <c r="F685" i="3"/>
  <c r="D685" i="3"/>
  <c r="A685" i="3"/>
  <c r="V684" i="3"/>
  <c r="M684" i="3"/>
  <c r="L684" i="3"/>
  <c r="I684" i="3"/>
  <c r="H684" i="3"/>
  <c r="F684" i="3"/>
  <c r="D684" i="3"/>
  <c r="A684" i="3"/>
  <c r="V683" i="3"/>
  <c r="M683" i="3"/>
  <c r="L683" i="3"/>
  <c r="I683" i="3"/>
  <c r="H683" i="3"/>
  <c r="F683" i="3"/>
  <c r="D683" i="3"/>
  <c r="A683" i="3"/>
  <c r="V682" i="3"/>
  <c r="M682" i="3"/>
  <c r="L682" i="3"/>
  <c r="I682" i="3"/>
  <c r="H682" i="3"/>
  <c r="F682" i="3"/>
  <c r="D682" i="3"/>
  <c r="A682" i="3"/>
  <c r="V681" i="3"/>
  <c r="M681" i="3"/>
  <c r="L681" i="3"/>
  <c r="I681" i="3"/>
  <c r="H681" i="3"/>
  <c r="F681" i="3"/>
  <c r="D681" i="3"/>
  <c r="A681" i="3"/>
  <c r="V680" i="3"/>
  <c r="M680" i="3"/>
  <c r="L680" i="3"/>
  <c r="I680" i="3"/>
  <c r="H680" i="3"/>
  <c r="F680" i="3"/>
  <c r="D680" i="3"/>
  <c r="A680" i="3"/>
  <c r="V679" i="3"/>
  <c r="M679" i="3"/>
  <c r="L679" i="3"/>
  <c r="I679" i="3"/>
  <c r="H679" i="3"/>
  <c r="F679" i="3"/>
  <c r="D679" i="3"/>
  <c r="A679" i="3"/>
  <c r="V678" i="3"/>
  <c r="M678" i="3"/>
  <c r="L678" i="3"/>
  <c r="I678" i="3"/>
  <c r="H678" i="3"/>
  <c r="F678" i="3"/>
  <c r="D678" i="3"/>
  <c r="A678" i="3"/>
  <c r="V677" i="3"/>
  <c r="M677" i="3"/>
  <c r="L677" i="3"/>
  <c r="I677" i="3"/>
  <c r="H677" i="3"/>
  <c r="F677" i="3"/>
  <c r="D677" i="3"/>
  <c r="A677" i="3"/>
  <c r="V676" i="3"/>
  <c r="M676" i="3"/>
  <c r="L676" i="3"/>
  <c r="I676" i="3"/>
  <c r="H676" i="3"/>
  <c r="F676" i="3"/>
  <c r="D676" i="3"/>
  <c r="A676" i="3"/>
  <c r="V675" i="3"/>
  <c r="M675" i="3"/>
  <c r="L675" i="3"/>
  <c r="I675" i="3"/>
  <c r="H675" i="3"/>
  <c r="F675" i="3"/>
  <c r="D675" i="3"/>
  <c r="A675" i="3"/>
  <c r="V674" i="3"/>
  <c r="M674" i="3"/>
  <c r="L674" i="3"/>
  <c r="I674" i="3"/>
  <c r="H674" i="3"/>
  <c r="F674" i="3"/>
  <c r="D674" i="3"/>
  <c r="A674" i="3"/>
  <c r="V673" i="3"/>
  <c r="M673" i="3"/>
  <c r="L673" i="3"/>
  <c r="I673" i="3"/>
  <c r="H673" i="3"/>
  <c r="F673" i="3"/>
  <c r="D673" i="3"/>
  <c r="A673" i="3"/>
  <c r="V672" i="3"/>
  <c r="M672" i="3"/>
  <c r="L672" i="3"/>
  <c r="I672" i="3"/>
  <c r="H672" i="3"/>
  <c r="F672" i="3"/>
  <c r="D672" i="3"/>
  <c r="A672" i="3"/>
  <c r="V671" i="3"/>
  <c r="M671" i="3"/>
  <c r="L671" i="3"/>
  <c r="I671" i="3"/>
  <c r="H671" i="3"/>
  <c r="F671" i="3"/>
  <c r="D671" i="3"/>
  <c r="A671" i="3"/>
  <c r="V670" i="3"/>
  <c r="M670" i="3"/>
  <c r="L670" i="3"/>
  <c r="I670" i="3"/>
  <c r="H670" i="3"/>
  <c r="F670" i="3"/>
  <c r="D670" i="3"/>
  <c r="A670" i="3"/>
  <c r="V669" i="3"/>
  <c r="M669" i="3"/>
  <c r="L669" i="3"/>
  <c r="I669" i="3"/>
  <c r="H669" i="3"/>
  <c r="F669" i="3"/>
  <c r="D669" i="3"/>
  <c r="A669" i="3"/>
  <c r="V668" i="3"/>
  <c r="M668" i="3"/>
  <c r="L668" i="3"/>
  <c r="I668" i="3"/>
  <c r="H668" i="3"/>
  <c r="F668" i="3"/>
  <c r="D668" i="3"/>
  <c r="A668" i="3"/>
  <c r="V667" i="3"/>
  <c r="M667" i="3"/>
  <c r="L667" i="3"/>
  <c r="I667" i="3"/>
  <c r="H667" i="3"/>
  <c r="F667" i="3"/>
  <c r="D667" i="3"/>
  <c r="A667" i="3"/>
  <c r="V666" i="3"/>
  <c r="M666" i="3"/>
  <c r="L666" i="3"/>
  <c r="I666" i="3"/>
  <c r="H666" i="3"/>
  <c r="F666" i="3"/>
  <c r="D666" i="3"/>
  <c r="A666" i="3"/>
  <c r="V665" i="3"/>
  <c r="M665" i="3"/>
  <c r="L665" i="3"/>
  <c r="I665" i="3"/>
  <c r="H665" i="3"/>
  <c r="F665" i="3"/>
  <c r="D665" i="3"/>
  <c r="A665" i="3"/>
  <c r="V664" i="3"/>
  <c r="M664" i="3"/>
  <c r="L664" i="3"/>
  <c r="I664" i="3"/>
  <c r="H664" i="3"/>
  <c r="F664" i="3"/>
  <c r="D664" i="3"/>
  <c r="A664" i="3"/>
  <c r="V663" i="3"/>
  <c r="M663" i="3"/>
  <c r="L663" i="3"/>
  <c r="I663" i="3"/>
  <c r="H663" i="3"/>
  <c r="F663" i="3"/>
  <c r="D663" i="3"/>
  <c r="A663" i="3"/>
  <c r="V662" i="3"/>
  <c r="M662" i="3"/>
  <c r="L662" i="3"/>
  <c r="I662" i="3"/>
  <c r="H662" i="3"/>
  <c r="F662" i="3"/>
  <c r="D662" i="3"/>
  <c r="A662" i="3"/>
  <c r="V661" i="3"/>
  <c r="M661" i="3"/>
  <c r="L661" i="3"/>
  <c r="I661" i="3"/>
  <c r="H661" i="3"/>
  <c r="F661" i="3"/>
  <c r="D661" i="3"/>
  <c r="A661" i="3"/>
  <c r="V660" i="3"/>
  <c r="M660" i="3"/>
  <c r="L660" i="3"/>
  <c r="I660" i="3"/>
  <c r="H660" i="3"/>
  <c r="F660" i="3"/>
  <c r="D660" i="3"/>
  <c r="A660" i="3"/>
  <c r="V659" i="3"/>
  <c r="M659" i="3"/>
  <c r="L659" i="3"/>
  <c r="I659" i="3"/>
  <c r="H659" i="3"/>
  <c r="F659" i="3"/>
  <c r="D659" i="3"/>
  <c r="A659" i="3"/>
  <c r="V658" i="3"/>
  <c r="M658" i="3"/>
  <c r="L658" i="3"/>
  <c r="I658" i="3"/>
  <c r="H658" i="3"/>
  <c r="F658" i="3"/>
  <c r="D658" i="3"/>
  <c r="A658" i="3"/>
  <c r="V657" i="3"/>
  <c r="M657" i="3"/>
  <c r="L657" i="3"/>
  <c r="I657" i="3"/>
  <c r="H657" i="3"/>
  <c r="F657" i="3"/>
  <c r="D657" i="3"/>
  <c r="A657" i="3"/>
  <c r="V656" i="3"/>
  <c r="M656" i="3"/>
  <c r="L656" i="3"/>
  <c r="I656" i="3"/>
  <c r="H656" i="3"/>
  <c r="F656" i="3"/>
  <c r="D656" i="3"/>
  <c r="A656" i="3"/>
  <c r="V655" i="3"/>
  <c r="M655" i="3"/>
  <c r="L655" i="3"/>
  <c r="I655" i="3"/>
  <c r="H655" i="3"/>
  <c r="F655" i="3"/>
  <c r="D655" i="3"/>
  <c r="A655" i="3"/>
  <c r="V654" i="3"/>
  <c r="M654" i="3"/>
  <c r="L654" i="3"/>
  <c r="I654" i="3"/>
  <c r="H654" i="3"/>
  <c r="F654" i="3"/>
  <c r="D654" i="3"/>
  <c r="A654" i="3"/>
  <c r="V653" i="3"/>
  <c r="M653" i="3"/>
  <c r="L653" i="3"/>
  <c r="I653" i="3"/>
  <c r="H653" i="3"/>
  <c r="F653" i="3"/>
  <c r="D653" i="3"/>
  <c r="A653" i="3"/>
  <c r="V652" i="3"/>
  <c r="M652" i="3"/>
  <c r="L652" i="3"/>
  <c r="I652" i="3"/>
  <c r="H652" i="3"/>
  <c r="F652" i="3"/>
  <c r="D652" i="3"/>
  <c r="A652" i="3"/>
  <c r="V651" i="3"/>
  <c r="M651" i="3"/>
  <c r="L651" i="3"/>
  <c r="I651" i="3"/>
  <c r="H651" i="3"/>
  <c r="F651" i="3"/>
  <c r="D651" i="3"/>
  <c r="A651" i="3"/>
  <c r="V650" i="3"/>
  <c r="M650" i="3"/>
  <c r="L650" i="3"/>
  <c r="I650" i="3"/>
  <c r="H650" i="3"/>
  <c r="F650" i="3"/>
  <c r="D650" i="3"/>
  <c r="A650" i="3"/>
  <c r="V649" i="3"/>
  <c r="M649" i="3"/>
  <c r="L649" i="3"/>
  <c r="I649" i="3"/>
  <c r="H649" i="3"/>
  <c r="F649" i="3"/>
  <c r="D649" i="3"/>
  <c r="A649" i="3"/>
  <c r="V648" i="3"/>
  <c r="M648" i="3"/>
  <c r="L648" i="3"/>
  <c r="I648" i="3"/>
  <c r="H648" i="3"/>
  <c r="F648" i="3"/>
  <c r="D648" i="3"/>
  <c r="A648" i="3"/>
  <c r="V647" i="3"/>
  <c r="M647" i="3"/>
  <c r="L647" i="3"/>
  <c r="I647" i="3"/>
  <c r="H647" i="3"/>
  <c r="F647" i="3"/>
  <c r="D647" i="3"/>
  <c r="A647" i="3"/>
  <c r="V646" i="3"/>
  <c r="M646" i="3"/>
  <c r="L646" i="3"/>
  <c r="I646" i="3"/>
  <c r="H646" i="3"/>
  <c r="F646" i="3"/>
  <c r="D646" i="3"/>
  <c r="A646" i="3"/>
  <c r="V645" i="3"/>
  <c r="M645" i="3"/>
  <c r="L645" i="3"/>
  <c r="I645" i="3"/>
  <c r="H645" i="3"/>
  <c r="F645" i="3"/>
  <c r="D645" i="3"/>
  <c r="A645" i="3"/>
  <c r="V644" i="3"/>
  <c r="M644" i="3"/>
  <c r="L644" i="3"/>
  <c r="I644" i="3"/>
  <c r="H644" i="3"/>
  <c r="F644" i="3"/>
  <c r="D644" i="3"/>
  <c r="A644" i="3"/>
  <c r="V643" i="3"/>
  <c r="M643" i="3"/>
  <c r="L643" i="3"/>
  <c r="I643" i="3"/>
  <c r="H643" i="3"/>
  <c r="F643" i="3"/>
  <c r="D643" i="3"/>
  <c r="A643" i="3"/>
  <c r="V642" i="3"/>
  <c r="M642" i="3"/>
  <c r="L642" i="3"/>
  <c r="I642" i="3"/>
  <c r="H642" i="3"/>
  <c r="F642" i="3"/>
  <c r="D642" i="3"/>
  <c r="A642" i="3"/>
  <c r="V641" i="3"/>
  <c r="M641" i="3"/>
  <c r="L641" i="3"/>
  <c r="I641" i="3"/>
  <c r="H641" i="3"/>
  <c r="F641" i="3"/>
  <c r="D641" i="3"/>
  <c r="A641" i="3"/>
  <c r="V640" i="3"/>
  <c r="M640" i="3"/>
  <c r="L640" i="3"/>
  <c r="I640" i="3"/>
  <c r="H640" i="3"/>
  <c r="F640" i="3"/>
  <c r="D640" i="3"/>
  <c r="A640" i="3"/>
  <c r="V639" i="3"/>
  <c r="M639" i="3"/>
  <c r="L639" i="3"/>
  <c r="I639" i="3"/>
  <c r="H639" i="3"/>
  <c r="F639" i="3"/>
  <c r="D639" i="3"/>
  <c r="A639" i="3"/>
  <c r="V638" i="3"/>
  <c r="M638" i="3"/>
  <c r="L638" i="3"/>
  <c r="I638" i="3"/>
  <c r="H638" i="3"/>
  <c r="F638" i="3"/>
  <c r="D638" i="3"/>
  <c r="A638" i="3"/>
  <c r="V637" i="3"/>
  <c r="M637" i="3"/>
  <c r="L637" i="3"/>
  <c r="I637" i="3"/>
  <c r="H637" i="3"/>
  <c r="F637" i="3"/>
  <c r="D637" i="3"/>
  <c r="A637" i="3"/>
  <c r="V636" i="3"/>
  <c r="M636" i="3"/>
  <c r="L636" i="3"/>
  <c r="I636" i="3"/>
  <c r="H636" i="3"/>
  <c r="F636" i="3"/>
  <c r="D636" i="3"/>
  <c r="A636" i="3"/>
  <c r="V635" i="3"/>
  <c r="M635" i="3"/>
  <c r="L635" i="3"/>
  <c r="I635" i="3"/>
  <c r="H635" i="3"/>
  <c r="F635" i="3"/>
  <c r="D635" i="3"/>
  <c r="A635" i="3"/>
  <c r="V634" i="3"/>
  <c r="M634" i="3"/>
  <c r="L634" i="3"/>
  <c r="I634" i="3"/>
  <c r="H634" i="3"/>
  <c r="F634" i="3"/>
  <c r="D634" i="3"/>
  <c r="A634" i="3"/>
  <c r="V633" i="3"/>
  <c r="M633" i="3"/>
  <c r="L633" i="3"/>
  <c r="I633" i="3"/>
  <c r="H633" i="3"/>
  <c r="F633" i="3"/>
  <c r="D633" i="3"/>
  <c r="A633" i="3"/>
  <c r="V632" i="3"/>
  <c r="M632" i="3"/>
  <c r="L632" i="3"/>
  <c r="I632" i="3"/>
  <c r="H632" i="3"/>
  <c r="F632" i="3"/>
  <c r="D632" i="3"/>
  <c r="A632" i="3"/>
  <c r="V631" i="3"/>
  <c r="M631" i="3"/>
  <c r="L631" i="3"/>
  <c r="I631" i="3"/>
  <c r="H631" i="3"/>
  <c r="F631" i="3"/>
  <c r="D631" i="3"/>
  <c r="A631" i="3"/>
  <c r="V630" i="3"/>
  <c r="M630" i="3"/>
  <c r="L630" i="3"/>
  <c r="I630" i="3"/>
  <c r="H630" i="3"/>
  <c r="F630" i="3"/>
  <c r="D630" i="3"/>
  <c r="A630" i="3"/>
  <c r="V629" i="3"/>
  <c r="M629" i="3"/>
  <c r="L629" i="3"/>
  <c r="I629" i="3"/>
  <c r="H629" i="3"/>
  <c r="F629" i="3"/>
  <c r="D629" i="3"/>
  <c r="A629" i="3"/>
  <c r="V628" i="3"/>
  <c r="M628" i="3"/>
  <c r="L628" i="3"/>
  <c r="I628" i="3"/>
  <c r="H628" i="3"/>
  <c r="F628" i="3"/>
  <c r="D628" i="3"/>
  <c r="A628" i="3"/>
  <c r="V627" i="3"/>
  <c r="M627" i="3"/>
  <c r="L627" i="3"/>
  <c r="I627" i="3"/>
  <c r="H627" i="3"/>
  <c r="F627" i="3"/>
  <c r="D627" i="3"/>
  <c r="A627" i="3"/>
  <c r="V626" i="3"/>
  <c r="M626" i="3"/>
  <c r="L626" i="3"/>
  <c r="I626" i="3"/>
  <c r="H626" i="3"/>
  <c r="F626" i="3"/>
  <c r="D626" i="3"/>
  <c r="A626" i="3"/>
  <c r="V625" i="3"/>
  <c r="M625" i="3"/>
  <c r="L625" i="3"/>
  <c r="I625" i="3"/>
  <c r="H625" i="3"/>
  <c r="F625" i="3"/>
  <c r="D625" i="3"/>
  <c r="A625" i="3"/>
  <c r="V624" i="3"/>
  <c r="M624" i="3"/>
  <c r="L624" i="3"/>
  <c r="I624" i="3"/>
  <c r="H624" i="3"/>
  <c r="F624" i="3"/>
  <c r="D624" i="3"/>
  <c r="A624" i="3"/>
  <c r="V623" i="3"/>
  <c r="M623" i="3"/>
  <c r="L623" i="3"/>
  <c r="I623" i="3"/>
  <c r="H623" i="3"/>
  <c r="F623" i="3"/>
  <c r="D623" i="3"/>
  <c r="A623" i="3"/>
  <c r="V622" i="3"/>
  <c r="M622" i="3"/>
  <c r="L622" i="3"/>
  <c r="I622" i="3"/>
  <c r="H622" i="3"/>
  <c r="F622" i="3"/>
  <c r="D622" i="3"/>
  <c r="A622" i="3"/>
  <c r="V621" i="3"/>
  <c r="M621" i="3"/>
  <c r="L621" i="3"/>
  <c r="I621" i="3"/>
  <c r="H621" i="3"/>
  <c r="F621" i="3"/>
  <c r="D621" i="3"/>
  <c r="A621" i="3"/>
  <c r="V620" i="3"/>
  <c r="M620" i="3"/>
  <c r="L620" i="3"/>
  <c r="I620" i="3"/>
  <c r="H620" i="3"/>
  <c r="F620" i="3"/>
  <c r="D620" i="3"/>
  <c r="A620" i="3"/>
  <c r="V619" i="3"/>
  <c r="M619" i="3"/>
  <c r="L619" i="3"/>
  <c r="I619" i="3"/>
  <c r="H619" i="3"/>
  <c r="F619" i="3"/>
  <c r="D619" i="3"/>
  <c r="A619" i="3"/>
  <c r="V618" i="3"/>
  <c r="M618" i="3"/>
  <c r="L618" i="3"/>
  <c r="I618" i="3"/>
  <c r="H618" i="3"/>
  <c r="F618" i="3"/>
  <c r="D618" i="3"/>
  <c r="A618" i="3"/>
  <c r="V617" i="3"/>
  <c r="M617" i="3"/>
  <c r="L617" i="3"/>
  <c r="I617" i="3"/>
  <c r="H617" i="3"/>
  <c r="F617" i="3"/>
  <c r="D617" i="3"/>
  <c r="A617" i="3"/>
  <c r="V616" i="3"/>
  <c r="M616" i="3"/>
  <c r="L616" i="3"/>
  <c r="I616" i="3"/>
  <c r="H616" i="3"/>
  <c r="F616" i="3"/>
  <c r="D616" i="3"/>
  <c r="A616" i="3"/>
  <c r="V615" i="3"/>
  <c r="M615" i="3"/>
  <c r="L615" i="3"/>
  <c r="I615" i="3"/>
  <c r="H615" i="3"/>
  <c r="F615" i="3"/>
  <c r="D615" i="3"/>
  <c r="A615" i="3"/>
  <c r="V614" i="3"/>
  <c r="M614" i="3"/>
  <c r="L614" i="3"/>
  <c r="I614" i="3"/>
  <c r="H614" i="3"/>
  <c r="F614" i="3"/>
  <c r="D614" i="3"/>
  <c r="A614" i="3"/>
  <c r="V613" i="3"/>
  <c r="M613" i="3"/>
  <c r="L613" i="3"/>
  <c r="I613" i="3"/>
  <c r="H613" i="3"/>
  <c r="F613" i="3"/>
  <c r="D613" i="3"/>
  <c r="A613" i="3"/>
  <c r="V612" i="3"/>
  <c r="M612" i="3"/>
  <c r="L612" i="3"/>
  <c r="I612" i="3"/>
  <c r="H612" i="3"/>
  <c r="F612" i="3"/>
  <c r="D612" i="3"/>
  <c r="A612" i="3"/>
  <c r="V611" i="3"/>
  <c r="M611" i="3"/>
  <c r="L611" i="3"/>
  <c r="I611" i="3"/>
  <c r="H611" i="3"/>
  <c r="F611" i="3"/>
  <c r="D611" i="3"/>
  <c r="A611" i="3"/>
  <c r="V610" i="3"/>
  <c r="M610" i="3"/>
  <c r="L610" i="3"/>
  <c r="I610" i="3"/>
  <c r="H610" i="3"/>
  <c r="F610" i="3"/>
  <c r="D610" i="3"/>
  <c r="A610" i="3"/>
  <c r="V609" i="3"/>
  <c r="M609" i="3"/>
  <c r="L609" i="3"/>
  <c r="I609" i="3"/>
  <c r="H609" i="3"/>
  <c r="F609" i="3"/>
  <c r="D609" i="3"/>
  <c r="A609" i="3"/>
  <c r="V608" i="3"/>
  <c r="M608" i="3"/>
  <c r="L608" i="3"/>
  <c r="I608" i="3"/>
  <c r="H608" i="3"/>
  <c r="F608" i="3"/>
  <c r="D608" i="3"/>
  <c r="A608" i="3"/>
  <c r="V607" i="3"/>
  <c r="M607" i="3"/>
  <c r="L607" i="3"/>
  <c r="I607" i="3"/>
  <c r="H607" i="3"/>
  <c r="F607" i="3"/>
  <c r="D607" i="3"/>
  <c r="A607" i="3"/>
  <c r="V606" i="3"/>
  <c r="M606" i="3"/>
  <c r="L606" i="3"/>
  <c r="I606" i="3"/>
  <c r="H606" i="3"/>
  <c r="F606" i="3"/>
  <c r="D606" i="3"/>
  <c r="A606" i="3"/>
  <c r="V605" i="3"/>
  <c r="M605" i="3"/>
  <c r="L605" i="3"/>
  <c r="I605" i="3"/>
  <c r="H605" i="3"/>
  <c r="F605" i="3"/>
  <c r="D605" i="3"/>
  <c r="A605" i="3"/>
  <c r="V604" i="3"/>
  <c r="M604" i="3"/>
  <c r="L604" i="3"/>
  <c r="I604" i="3"/>
  <c r="H604" i="3"/>
  <c r="F604" i="3"/>
  <c r="D604" i="3"/>
  <c r="A604" i="3"/>
  <c r="V603" i="3"/>
  <c r="M603" i="3"/>
  <c r="L603" i="3"/>
  <c r="I603" i="3"/>
  <c r="H603" i="3"/>
  <c r="F603" i="3"/>
  <c r="D603" i="3"/>
  <c r="A603" i="3"/>
  <c r="V602" i="3"/>
  <c r="M602" i="3"/>
  <c r="L602" i="3"/>
  <c r="I602" i="3"/>
  <c r="H602" i="3"/>
  <c r="F602" i="3"/>
  <c r="D602" i="3"/>
  <c r="A602" i="3"/>
  <c r="V601" i="3"/>
  <c r="M601" i="3"/>
  <c r="L601" i="3"/>
  <c r="I601" i="3"/>
  <c r="H601" i="3"/>
  <c r="F601" i="3"/>
  <c r="D601" i="3"/>
  <c r="A601" i="3"/>
  <c r="V600" i="3"/>
  <c r="M600" i="3"/>
  <c r="L600" i="3"/>
  <c r="I600" i="3"/>
  <c r="H600" i="3"/>
  <c r="F600" i="3"/>
  <c r="D600" i="3"/>
  <c r="A600" i="3"/>
  <c r="V599" i="3"/>
  <c r="M599" i="3"/>
  <c r="L599" i="3"/>
  <c r="I599" i="3"/>
  <c r="H599" i="3"/>
  <c r="F599" i="3"/>
  <c r="D599" i="3"/>
  <c r="A599" i="3"/>
  <c r="V598" i="3"/>
  <c r="M598" i="3"/>
  <c r="L598" i="3"/>
  <c r="I598" i="3"/>
  <c r="H598" i="3"/>
  <c r="F598" i="3"/>
  <c r="D598" i="3"/>
  <c r="A598" i="3"/>
  <c r="V597" i="3"/>
  <c r="M597" i="3"/>
  <c r="L597" i="3"/>
  <c r="I597" i="3"/>
  <c r="H597" i="3"/>
  <c r="F597" i="3"/>
  <c r="D597" i="3"/>
  <c r="A597" i="3"/>
  <c r="V596" i="3"/>
  <c r="M596" i="3"/>
  <c r="L596" i="3"/>
  <c r="I596" i="3"/>
  <c r="H596" i="3"/>
  <c r="F596" i="3"/>
  <c r="D596" i="3"/>
  <c r="A596" i="3"/>
  <c r="V595" i="3"/>
  <c r="M595" i="3"/>
  <c r="L595" i="3"/>
  <c r="I595" i="3"/>
  <c r="H595" i="3"/>
  <c r="F595" i="3"/>
  <c r="D595" i="3"/>
  <c r="A595" i="3"/>
  <c r="V594" i="3"/>
  <c r="M594" i="3"/>
  <c r="L594" i="3"/>
  <c r="I594" i="3"/>
  <c r="H594" i="3"/>
  <c r="F594" i="3"/>
  <c r="D594" i="3"/>
  <c r="A594" i="3"/>
  <c r="V593" i="3"/>
  <c r="M593" i="3"/>
  <c r="L593" i="3"/>
  <c r="I593" i="3"/>
  <c r="H593" i="3"/>
  <c r="F593" i="3"/>
  <c r="D593" i="3"/>
  <c r="A593" i="3"/>
  <c r="V592" i="3"/>
  <c r="M592" i="3"/>
  <c r="L592" i="3"/>
  <c r="I592" i="3"/>
  <c r="H592" i="3"/>
  <c r="F592" i="3"/>
  <c r="D592" i="3"/>
  <c r="A592" i="3"/>
  <c r="V591" i="3"/>
  <c r="M591" i="3"/>
  <c r="L591" i="3"/>
  <c r="I591" i="3"/>
  <c r="H591" i="3"/>
  <c r="F591" i="3"/>
  <c r="D591" i="3"/>
  <c r="A591" i="3"/>
  <c r="V590" i="3"/>
  <c r="M590" i="3"/>
  <c r="L590" i="3"/>
  <c r="I590" i="3"/>
  <c r="H590" i="3"/>
  <c r="F590" i="3"/>
  <c r="D590" i="3"/>
  <c r="A590" i="3"/>
  <c r="V589" i="3"/>
  <c r="M589" i="3"/>
  <c r="L589" i="3"/>
  <c r="I589" i="3"/>
  <c r="H589" i="3"/>
  <c r="F589" i="3"/>
  <c r="D589" i="3"/>
  <c r="A589" i="3"/>
  <c r="V588" i="3"/>
  <c r="M588" i="3"/>
  <c r="L588" i="3"/>
  <c r="I588" i="3"/>
  <c r="H588" i="3"/>
  <c r="F588" i="3"/>
  <c r="D588" i="3"/>
  <c r="A588" i="3"/>
  <c r="V587" i="3"/>
  <c r="M587" i="3"/>
  <c r="L587" i="3"/>
  <c r="I587" i="3"/>
  <c r="H587" i="3"/>
  <c r="F587" i="3"/>
  <c r="D587" i="3"/>
  <c r="A587" i="3"/>
  <c r="V586" i="3"/>
  <c r="M586" i="3"/>
  <c r="L586" i="3"/>
  <c r="I586" i="3"/>
  <c r="H586" i="3"/>
  <c r="F586" i="3"/>
  <c r="D586" i="3"/>
  <c r="A586" i="3"/>
  <c r="V585" i="3"/>
  <c r="M585" i="3"/>
  <c r="L585" i="3"/>
  <c r="I585" i="3"/>
  <c r="H585" i="3"/>
  <c r="F585" i="3"/>
  <c r="D585" i="3"/>
  <c r="A585" i="3"/>
  <c r="V584" i="3"/>
  <c r="M584" i="3"/>
  <c r="L584" i="3"/>
  <c r="I584" i="3"/>
  <c r="H584" i="3"/>
  <c r="F584" i="3"/>
  <c r="D584" i="3"/>
  <c r="A584" i="3"/>
  <c r="V583" i="3"/>
  <c r="M583" i="3"/>
  <c r="L583" i="3"/>
  <c r="I583" i="3"/>
  <c r="H583" i="3"/>
  <c r="F583" i="3"/>
  <c r="D583" i="3"/>
  <c r="A583" i="3"/>
  <c r="V582" i="3"/>
  <c r="M582" i="3"/>
  <c r="L582" i="3"/>
  <c r="I582" i="3"/>
  <c r="H582" i="3"/>
  <c r="F582" i="3"/>
  <c r="D582" i="3"/>
  <c r="A582" i="3"/>
  <c r="V581" i="3"/>
  <c r="M581" i="3"/>
  <c r="L581" i="3"/>
  <c r="I581" i="3"/>
  <c r="H581" i="3"/>
  <c r="F581" i="3"/>
  <c r="D581" i="3"/>
  <c r="A581" i="3"/>
  <c r="V580" i="3"/>
  <c r="M580" i="3"/>
  <c r="L580" i="3"/>
  <c r="I580" i="3"/>
  <c r="H580" i="3"/>
  <c r="F580" i="3"/>
  <c r="D580" i="3"/>
  <c r="A580" i="3"/>
  <c r="V579" i="3"/>
  <c r="M579" i="3"/>
  <c r="L579" i="3"/>
  <c r="I579" i="3"/>
  <c r="H579" i="3"/>
  <c r="F579" i="3"/>
  <c r="D579" i="3"/>
  <c r="A579" i="3"/>
  <c r="V578" i="3"/>
  <c r="M578" i="3"/>
  <c r="L578" i="3"/>
  <c r="I578" i="3"/>
  <c r="H578" i="3"/>
  <c r="F578" i="3"/>
  <c r="D578" i="3"/>
  <c r="A578" i="3"/>
  <c r="V577" i="3"/>
  <c r="M577" i="3"/>
  <c r="L577" i="3"/>
  <c r="I577" i="3"/>
  <c r="H577" i="3"/>
  <c r="F577" i="3"/>
  <c r="D577" i="3"/>
  <c r="A577" i="3"/>
  <c r="V576" i="3"/>
  <c r="M576" i="3"/>
  <c r="L576" i="3"/>
  <c r="I576" i="3"/>
  <c r="H576" i="3"/>
  <c r="F576" i="3"/>
  <c r="D576" i="3"/>
  <c r="A576" i="3"/>
  <c r="V575" i="3"/>
  <c r="M575" i="3"/>
  <c r="L575" i="3"/>
  <c r="I575" i="3"/>
  <c r="H575" i="3"/>
  <c r="F575" i="3"/>
  <c r="D575" i="3"/>
  <c r="A575" i="3"/>
  <c r="V574" i="3"/>
  <c r="M574" i="3"/>
  <c r="L574" i="3"/>
  <c r="I574" i="3"/>
  <c r="H574" i="3"/>
  <c r="F574" i="3"/>
  <c r="D574" i="3"/>
  <c r="A574" i="3"/>
  <c r="V573" i="3"/>
  <c r="M573" i="3"/>
  <c r="L573" i="3"/>
  <c r="I573" i="3"/>
  <c r="H573" i="3"/>
  <c r="F573" i="3"/>
  <c r="D573" i="3"/>
  <c r="A573" i="3"/>
  <c r="V572" i="3"/>
  <c r="M572" i="3"/>
  <c r="L572" i="3"/>
  <c r="I572" i="3"/>
  <c r="H572" i="3"/>
  <c r="F572" i="3"/>
  <c r="D572" i="3"/>
  <c r="A572" i="3"/>
  <c r="V571" i="3"/>
  <c r="M571" i="3"/>
  <c r="L571" i="3"/>
  <c r="I571" i="3"/>
  <c r="H571" i="3"/>
  <c r="F571" i="3"/>
  <c r="D571" i="3"/>
  <c r="A571" i="3"/>
  <c r="V570" i="3"/>
  <c r="M570" i="3"/>
  <c r="L570" i="3"/>
  <c r="I570" i="3"/>
  <c r="H570" i="3"/>
  <c r="F570" i="3"/>
  <c r="D570" i="3"/>
  <c r="A570" i="3"/>
  <c r="V569" i="3"/>
  <c r="M569" i="3"/>
  <c r="L569" i="3"/>
  <c r="I569" i="3"/>
  <c r="H569" i="3"/>
  <c r="F569" i="3"/>
  <c r="D569" i="3"/>
  <c r="A569" i="3"/>
  <c r="V568" i="3"/>
  <c r="M568" i="3"/>
  <c r="L568" i="3"/>
  <c r="I568" i="3"/>
  <c r="H568" i="3"/>
  <c r="F568" i="3"/>
  <c r="D568" i="3"/>
  <c r="A568" i="3"/>
  <c r="V567" i="3"/>
  <c r="M567" i="3"/>
  <c r="L567" i="3"/>
  <c r="I567" i="3"/>
  <c r="H567" i="3"/>
  <c r="F567" i="3"/>
  <c r="D567" i="3"/>
  <c r="A567" i="3"/>
  <c r="V566" i="3"/>
  <c r="M566" i="3"/>
  <c r="L566" i="3"/>
  <c r="I566" i="3"/>
  <c r="H566" i="3"/>
  <c r="F566" i="3"/>
  <c r="D566" i="3"/>
  <c r="A566" i="3"/>
  <c r="V565" i="3"/>
  <c r="M565" i="3"/>
  <c r="L565" i="3"/>
  <c r="I565" i="3"/>
  <c r="H565" i="3"/>
  <c r="F565" i="3"/>
  <c r="D565" i="3"/>
  <c r="A565" i="3"/>
  <c r="V564" i="3"/>
  <c r="M564" i="3"/>
  <c r="L564" i="3"/>
  <c r="I564" i="3"/>
  <c r="H564" i="3"/>
  <c r="F564" i="3"/>
  <c r="D564" i="3"/>
  <c r="A564" i="3"/>
  <c r="V563" i="3"/>
  <c r="M563" i="3"/>
  <c r="L563" i="3"/>
  <c r="I563" i="3"/>
  <c r="H563" i="3"/>
  <c r="F563" i="3"/>
  <c r="D563" i="3"/>
  <c r="A563" i="3"/>
  <c r="V562" i="3"/>
  <c r="M562" i="3"/>
  <c r="L562" i="3"/>
  <c r="I562" i="3"/>
  <c r="H562" i="3"/>
  <c r="F562" i="3"/>
  <c r="D562" i="3"/>
  <c r="A562" i="3"/>
  <c r="V561" i="3"/>
  <c r="M561" i="3"/>
  <c r="L561" i="3"/>
  <c r="I561" i="3"/>
  <c r="H561" i="3"/>
  <c r="F561" i="3"/>
  <c r="D561" i="3"/>
  <c r="A561" i="3"/>
  <c r="V560" i="3"/>
  <c r="M560" i="3"/>
  <c r="L560" i="3"/>
  <c r="I560" i="3"/>
  <c r="H560" i="3"/>
  <c r="F560" i="3"/>
  <c r="D560" i="3"/>
  <c r="A560" i="3"/>
  <c r="V559" i="3"/>
  <c r="M559" i="3"/>
  <c r="L559" i="3"/>
  <c r="I559" i="3"/>
  <c r="H559" i="3"/>
  <c r="F559" i="3"/>
  <c r="D559" i="3"/>
  <c r="A559" i="3"/>
  <c r="V558" i="3"/>
  <c r="M558" i="3"/>
  <c r="L558" i="3"/>
  <c r="I558" i="3"/>
  <c r="H558" i="3"/>
  <c r="F558" i="3"/>
  <c r="D558" i="3"/>
  <c r="A558" i="3"/>
  <c r="V557" i="3"/>
  <c r="M557" i="3"/>
  <c r="L557" i="3"/>
  <c r="I557" i="3"/>
  <c r="H557" i="3"/>
  <c r="F557" i="3"/>
  <c r="D557" i="3"/>
  <c r="A557" i="3"/>
  <c r="V556" i="3"/>
  <c r="M556" i="3"/>
  <c r="L556" i="3"/>
  <c r="I556" i="3"/>
  <c r="H556" i="3"/>
  <c r="F556" i="3"/>
  <c r="D556" i="3"/>
  <c r="A556" i="3"/>
  <c r="V555" i="3"/>
  <c r="M555" i="3"/>
  <c r="L555" i="3"/>
  <c r="I555" i="3"/>
  <c r="H555" i="3"/>
  <c r="F555" i="3"/>
  <c r="D555" i="3"/>
  <c r="A555" i="3"/>
  <c r="V554" i="3"/>
  <c r="M554" i="3"/>
  <c r="L554" i="3"/>
  <c r="I554" i="3"/>
  <c r="H554" i="3"/>
  <c r="F554" i="3"/>
  <c r="D554" i="3"/>
  <c r="A554" i="3"/>
  <c r="V553" i="3"/>
  <c r="M553" i="3"/>
  <c r="L553" i="3"/>
  <c r="I553" i="3"/>
  <c r="H553" i="3"/>
  <c r="F553" i="3"/>
  <c r="D553" i="3"/>
  <c r="A553" i="3"/>
  <c r="V552" i="3"/>
  <c r="M552" i="3"/>
  <c r="L552" i="3"/>
  <c r="I552" i="3"/>
  <c r="H552" i="3"/>
  <c r="F552" i="3"/>
  <c r="D552" i="3"/>
  <c r="A552" i="3"/>
  <c r="V551" i="3"/>
  <c r="M551" i="3"/>
  <c r="L551" i="3"/>
  <c r="I551" i="3"/>
  <c r="H551" i="3"/>
  <c r="F551" i="3"/>
  <c r="D551" i="3"/>
  <c r="A551" i="3"/>
  <c r="V550" i="3"/>
  <c r="M550" i="3"/>
  <c r="L550" i="3"/>
  <c r="I550" i="3"/>
  <c r="H550" i="3"/>
  <c r="F550" i="3"/>
  <c r="D550" i="3"/>
  <c r="A550" i="3"/>
  <c r="V549" i="3"/>
  <c r="M549" i="3"/>
  <c r="L549" i="3"/>
  <c r="I549" i="3"/>
  <c r="H549" i="3"/>
  <c r="F549" i="3"/>
  <c r="D549" i="3"/>
  <c r="A549" i="3"/>
  <c r="V548" i="3"/>
  <c r="M548" i="3"/>
  <c r="L548" i="3"/>
  <c r="I548" i="3"/>
  <c r="H548" i="3"/>
  <c r="F548" i="3"/>
  <c r="D548" i="3"/>
  <c r="A548" i="3"/>
  <c r="V547" i="3"/>
  <c r="M547" i="3"/>
  <c r="L547" i="3"/>
  <c r="I547" i="3"/>
  <c r="H547" i="3"/>
  <c r="F547" i="3"/>
  <c r="D547" i="3"/>
  <c r="A547" i="3"/>
  <c r="V546" i="3"/>
  <c r="M546" i="3"/>
  <c r="L546" i="3"/>
  <c r="I546" i="3"/>
  <c r="H546" i="3"/>
  <c r="F546" i="3"/>
  <c r="D546" i="3"/>
  <c r="A546" i="3"/>
  <c r="V545" i="3"/>
  <c r="M545" i="3"/>
  <c r="L545" i="3"/>
  <c r="I545" i="3"/>
  <c r="H545" i="3"/>
  <c r="F545" i="3"/>
  <c r="D545" i="3"/>
  <c r="A545" i="3"/>
  <c r="V544" i="3"/>
  <c r="M544" i="3"/>
  <c r="L544" i="3"/>
  <c r="I544" i="3"/>
  <c r="H544" i="3"/>
  <c r="F544" i="3"/>
  <c r="D544" i="3"/>
  <c r="A544" i="3"/>
  <c r="V543" i="3"/>
  <c r="M543" i="3"/>
  <c r="L543" i="3"/>
  <c r="I543" i="3"/>
  <c r="H543" i="3"/>
  <c r="F543" i="3"/>
  <c r="D543" i="3"/>
  <c r="A543" i="3"/>
  <c r="V542" i="3"/>
  <c r="M542" i="3"/>
  <c r="L542" i="3"/>
  <c r="I542" i="3"/>
  <c r="H542" i="3"/>
  <c r="F542" i="3"/>
  <c r="D542" i="3"/>
  <c r="A542" i="3"/>
  <c r="V541" i="3"/>
  <c r="M541" i="3"/>
  <c r="L541" i="3"/>
  <c r="I541" i="3"/>
  <c r="H541" i="3"/>
  <c r="F541" i="3"/>
  <c r="D541" i="3"/>
  <c r="A541" i="3"/>
  <c r="V540" i="3"/>
  <c r="M540" i="3"/>
  <c r="L540" i="3"/>
  <c r="I540" i="3"/>
  <c r="H540" i="3"/>
  <c r="F540" i="3"/>
  <c r="D540" i="3"/>
  <c r="A540" i="3"/>
  <c r="V539" i="3"/>
  <c r="M539" i="3"/>
  <c r="L539" i="3"/>
  <c r="I539" i="3"/>
  <c r="H539" i="3"/>
  <c r="F539" i="3"/>
  <c r="D539" i="3"/>
  <c r="A539" i="3"/>
  <c r="V538" i="3"/>
  <c r="M538" i="3"/>
  <c r="L538" i="3"/>
  <c r="I538" i="3"/>
  <c r="H538" i="3"/>
  <c r="F538" i="3"/>
  <c r="D538" i="3"/>
  <c r="A538" i="3"/>
  <c r="V537" i="3"/>
  <c r="M537" i="3"/>
  <c r="L537" i="3"/>
  <c r="I537" i="3"/>
  <c r="H537" i="3"/>
  <c r="F537" i="3"/>
  <c r="D537" i="3"/>
  <c r="A537" i="3"/>
  <c r="V536" i="3"/>
  <c r="M536" i="3"/>
  <c r="L536" i="3"/>
  <c r="I536" i="3"/>
  <c r="H536" i="3"/>
  <c r="F536" i="3"/>
  <c r="D536" i="3"/>
  <c r="A536" i="3"/>
  <c r="V535" i="3"/>
  <c r="M535" i="3"/>
  <c r="L535" i="3"/>
  <c r="I535" i="3"/>
  <c r="H535" i="3"/>
  <c r="F535" i="3"/>
  <c r="D535" i="3"/>
  <c r="A535" i="3"/>
  <c r="V534" i="3"/>
  <c r="M534" i="3"/>
  <c r="L534" i="3"/>
  <c r="I534" i="3"/>
  <c r="H534" i="3"/>
  <c r="F534" i="3"/>
  <c r="D534" i="3"/>
  <c r="A534" i="3"/>
  <c r="V533" i="3"/>
  <c r="M533" i="3"/>
  <c r="L533" i="3"/>
  <c r="I533" i="3"/>
  <c r="H533" i="3"/>
  <c r="F533" i="3"/>
  <c r="D533" i="3"/>
  <c r="A533" i="3"/>
  <c r="V532" i="3"/>
  <c r="M532" i="3"/>
  <c r="L532" i="3"/>
  <c r="I532" i="3"/>
  <c r="H532" i="3"/>
  <c r="F532" i="3"/>
  <c r="D532" i="3"/>
  <c r="A532" i="3"/>
  <c r="V531" i="3"/>
  <c r="M531" i="3"/>
  <c r="L531" i="3"/>
  <c r="I531" i="3"/>
  <c r="H531" i="3"/>
  <c r="F531" i="3"/>
  <c r="D531" i="3"/>
  <c r="A531" i="3"/>
  <c r="V530" i="3"/>
  <c r="M530" i="3"/>
  <c r="L530" i="3"/>
  <c r="I530" i="3"/>
  <c r="H530" i="3"/>
  <c r="F530" i="3"/>
  <c r="D530" i="3"/>
  <c r="A530" i="3"/>
  <c r="V529" i="3"/>
  <c r="M529" i="3"/>
  <c r="L529" i="3"/>
  <c r="I529" i="3"/>
  <c r="H529" i="3"/>
  <c r="F529" i="3"/>
  <c r="D529" i="3"/>
  <c r="A529" i="3"/>
  <c r="V528" i="3"/>
  <c r="M528" i="3"/>
  <c r="L528" i="3"/>
  <c r="I528" i="3"/>
  <c r="H528" i="3"/>
  <c r="F528" i="3"/>
  <c r="D528" i="3"/>
  <c r="A528" i="3"/>
  <c r="V527" i="3"/>
  <c r="M527" i="3"/>
  <c r="L527" i="3"/>
  <c r="I527" i="3"/>
  <c r="H527" i="3"/>
  <c r="F527" i="3"/>
  <c r="D527" i="3"/>
  <c r="A527" i="3"/>
  <c r="V526" i="3"/>
  <c r="M526" i="3"/>
  <c r="L526" i="3"/>
  <c r="I526" i="3"/>
  <c r="H526" i="3"/>
  <c r="F526" i="3"/>
  <c r="D526" i="3"/>
  <c r="A526" i="3"/>
  <c r="V525" i="3"/>
  <c r="M525" i="3"/>
  <c r="L525" i="3"/>
  <c r="I525" i="3"/>
  <c r="H525" i="3"/>
  <c r="F525" i="3"/>
  <c r="D525" i="3"/>
  <c r="A525" i="3"/>
  <c r="V524" i="3"/>
  <c r="M524" i="3"/>
  <c r="L524" i="3"/>
  <c r="I524" i="3"/>
  <c r="H524" i="3"/>
  <c r="F524" i="3"/>
  <c r="D524" i="3"/>
  <c r="A524" i="3"/>
  <c r="V523" i="3"/>
  <c r="M523" i="3"/>
  <c r="L523" i="3"/>
  <c r="I523" i="3"/>
  <c r="H523" i="3"/>
  <c r="F523" i="3"/>
  <c r="D523" i="3"/>
  <c r="A523" i="3"/>
  <c r="V522" i="3"/>
  <c r="M522" i="3"/>
  <c r="L522" i="3"/>
  <c r="I522" i="3"/>
  <c r="H522" i="3"/>
  <c r="F522" i="3"/>
  <c r="D522" i="3"/>
  <c r="A522" i="3"/>
  <c r="V521" i="3"/>
  <c r="M521" i="3"/>
  <c r="L521" i="3"/>
  <c r="I521" i="3"/>
  <c r="H521" i="3"/>
  <c r="F521" i="3"/>
  <c r="D521" i="3"/>
  <c r="A521" i="3"/>
  <c r="V520" i="3"/>
  <c r="M520" i="3"/>
  <c r="L520" i="3"/>
  <c r="I520" i="3"/>
  <c r="H520" i="3"/>
  <c r="F520" i="3"/>
  <c r="D520" i="3"/>
  <c r="A520" i="3"/>
  <c r="V519" i="3"/>
  <c r="M519" i="3"/>
  <c r="L519" i="3"/>
  <c r="I519" i="3"/>
  <c r="H519" i="3"/>
  <c r="F519" i="3"/>
  <c r="D519" i="3"/>
  <c r="A519" i="3"/>
  <c r="V518" i="3"/>
  <c r="M518" i="3"/>
  <c r="L518" i="3"/>
  <c r="I518" i="3"/>
  <c r="H518" i="3"/>
  <c r="F518" i="3"/>
  <c r="D518" i="3"/>
  <c r="A518" i="3"/>
  <c r="V517" i="3"/>
  <c r="M517" i="3"/>
  <c r="L517" i="3"/>
  <c r="I517" i="3"/>
  <c r="H517" i="3"/>
  <c r="F517" i="3"/>
  <c r="D517" i="3"/>
  <c r="A517" i="3"/>
  <c r="V516" i="3"/>
  <c r="M516" i="3"/>
  <c r="L516" i="3"/>
  <c r="I516" i="3"/>
  <c r="H516" i="3"/>
  <c r="F516" i="3"/>
  <c r="D516" i="3"/>
  <c r="A516" i="3"/>
  <c r="V515" i="3"/>
  <c r="M515" i="3"/>
  <c r="L515" i="3"/>
  <c r="I515" i="3"/>
  <c r="H515" i="3"/>
  <c r="F515" i="3"/>
  <c r="D515" i="3"/>
  <c r="A515" i="3"/>
  <c r="V514" i="3"/>
  <c r="M514" i="3"/>
  <c r="L514" i="3"/>
  <c r="I514" i="3"/>
  <c r="H514" i="3"/>
  <c r="F514" i="3"/>
  <c r="D514" i="3"/>
  <c r="A514" i="3"/>
  <c r="V513" i="3"/>
  <c r="M513" i="3"/>
  <c r="L513" i="3"/>
  <c r="I513" i="3"/>
  <c r="H513" i="3"/>
  <c r="F513" i="3"/>
  <c r="D513" i="3"/>
  <c r="A513" i="3"/>
  <c r="V512" i="3"/>
  <c r="M512" i="3"/>
  <c r="L512" i="3"/>
  <c r="I512" i="3"/>
  <c r="H512" i="3"/>
  <c r="F512" i="3"/>
  <c r="D512" i="3"/>
  <c r="A512" i="3"/>
  <c r="V511" i="3"/>
  <c r="M511" i="3"/>
  <c r="L511" i="3"/>
  <c r="I511" i="3"/>
  <c r="H511" i="3"/>
  <c r="F511" i="3"/>
  <c r="D511" i="3"/>
  <c r="A511" i="3"/>
  <c r="V510" i="3"/>
  <c r="M510" i="3"/>
  <c r="L510" i="3"/>
  <c r="I510" i="3"/>
  <c r="H510" i="3"/>
  <c r="F510" i="3"/>
  <c r="D510" i="3"/>
  <c r="A510" i="3"/>
  <c r="V509" i="3"/>
  <c r="M509" i="3"/>
  <c r="L509" i="3"/>
  <c r="I509" i="3"/>
  <c r="H509" i="3"/>
  <c r="F509" i="3"/>
  <c r="D509" i="3"/>
  <c r="A509" i="3"/>
  <c r="V508" i="3"/>
  <c r="M508" i="3"/>
  <c r="L508" i="3"/>
  <c r="I508" i="3"/>
  <c r="H508" i="3"/>
  <c r="F508" i="3"/>
  <c r="D508" i="3"/>
  <c r="A508" i="3"/>
  <c r="V507" i="3"/>
  <c r="M507" i="3"/>
  <c r="L507" i="3"/>
  <c r="I507" i="3"/>
  <c r="H507" i="3"/>
  <c r="F507" i="3"/>
  <c r="D507" i="3"/>
  <c r="A507" i="3"/>
  <c r="V506" i="3"/>
  <c r="M506" i="3"/>
  <c r="L506" i="3"/>
  <c r="I506" i="3"/>
  <c r="H506" i="3"/>
  <c r="F506" i="3"/>
  <c r="D506" i="3"/>
  <c r="A506" i="3"/>
  <c r="V505" i="3"/>
  <c r="M505" i="3"/>
  <c r="L505" i="3"/>
  <c r="I505" i="3"/>
  <c r="H505" i="3"/>
  <c r="F505" i="3"/>
  <c r="D505" i="3"/>
  <c r="A505" i="3"/>
  <c r="V504" i="3"/>
  <c r="M504" i="3"/>
  <c r="L504" i="3"/>
  <c r="I504" i="3"/>
  <c r="H504" i="3"/>
  <c r="F504" i="3"/>
  <c r="D504" i="3"/>
  <c r="A504" i="3"/>
  <c r="V503" i="3"/>
  <c r="M503" i="3"/>
  <c r="L503" i="3"/>
  <c r="I503" i="3"/>
  <c r="H503" i="3"/>
  <c r="F503" i="3"/>
  <c r="D503" i="3"/>
  <c r="A503" i="3"/>
  <c r="V502" i="3"/>
  <c r="M502" i="3"/>
  <c r="L502" i="3"/>
  <c r="I502" i="3"/>
  <c r="H502" i="3"/>
  <c r="F502" i="3"/>
  <c r="D502" i="3"/>
  <c r="A502" i="3"/>
  <c r="V501" i="3"/>
  <c r="M501" i="3"/>
  <c r="L501" i="3"/>
  <c r="I501" i="3"/>
  <c r="H501" i="3"/>
  <c r="F501" i="3"/>
  <c r="D501" i="3"/>
  <c r="A501" i="3"/>
  <c r="V500" i="3"/>
  <c r="M500" i="3"/>
  <c r="L500" i="3"/>
  <c r="I500" i="3"/>
  <c r="H500" i="3"/>
  <c r="F500" i="3"/>
  <c r="D500" i="3"/>
  <c r="A500" i="3"/>
  <c r="V499" i="3"/>
  <c r="M499" i="3"/>
  <c r="L499" i="3"/>
  <c r="I499" i="3"/>
  <c r="H499" i="3"/>
  <c r="F499" i="3"/>
  <c r="D499" i="3"/>
  <c r="A499" i="3"/>
  <c r="V498" i="3"/>
  <c r="M498" i="3"/>
  <c r="L498" i="3"/>
  <c r="I498" i="3"/>
  <c r="H498" i="3"/>
  <c r="F498" i="3"/>
  <c r="D498" i="3"/>
  <c r="A498" i="3"/>
  <c r="V497" i="3"/>
  <c r="M497" i="3"/>
  <c r="L497" i="3"/>
  <c r="I497" i="3"/>
  <c r="H497" i="3"/>
  <c r="F497" i="3"/>
  <c r="D497" i="3"/>
  <c r="A497" i="3"/>
  <c r="V496" i="3"/>
  <c r="M496" i="3"/>
  <c r="L496" i="3"/>
  <c r="I496" i="3"/>
  <c r="H496" i="3"/>
  <c r="F496" i="3"/>
  <c r="D496" i="3"/>
  <c r="A496" i="3"/>
  <c r="V495" i="3"/>
  <c r="M495" i="3"/>
  <c r="L495" i="3"/>
  <c r="I495" i="3"/>
  <c r="H495" i="3"/>
  <c r="F495" i="3"/>
  <c r="D495" i="3"/>
  <c r="A495" i="3"/>
  <c r="V494" i="3"/>
  <c r="M494" i="3"/>
  <c r="L494" i="3"/>
  <c r="I494" i="3"/>
  <c r="H494" i="3"/>
  <c r="F494" i="3"/>
  <c r="D494" i="3"/>
  <c r="A494" i="3"/>
  <c r="V493" i="3"/>
  <c r="M493" i="3"/>
  <c r="L493" i="3"/>
  <c r="I493" i="3"/>
  <c r="H493" i="3"/>
  <c r="F493" i="3"/>
  <c r="D493" i="3"/>
  <c r="A493" i="3"/>
  <c r="V492" i="3"/>
  <c r="M492" i="3"/>
  <c r="L492" i="3"/>
  <c r="I492" i="3"/>
  <c r="H492" i="3"/>
  <c r="F492" i="3"/>
  <c r="D492" i="3"/>
  <c r="A492" i="3"/>
  <c r="V491" i="3"/>
  <c r="M491" i="3"/>
  <c r="L491" i="3"/>
  <c r="I491" i="3"/>
  <c r="H491" i="3"/>
  <c r="F491" i="3"/>
  <c r="D491" i="3"/>
  <c r="A491" i="3"/>
  <c r="V490" i="3"/>
  <c r="M490" i="3"/>
  <c r="L490" i="3"/>
  <c r="I490" i="3"/>
  <c r="H490" i="3"/>
  <c r="F490" i="3"/>
  <c r="D490" i="3"/>
  <c r="A490" i="3"/>
  <c r="V489" i="3"/>
  <c r="M489" i="3"/>
  <c r="L489" i="3"/>
  <c r="I489" i="3"/>
  <c r="H489" i="3"/>
  <c r="F489" i="3"/>
  <c r="D489" i="3"/>
  <c r="A489" i="3"/>
  <c r="V488" i="3"/>
  <c r="M488" i="3"/>
  <c r="L488" i="3"/>
  <c r="I488" i="3"/>
  <c r="H488" i="3"/>
  <c r="F488" i="3"/>
  <c r="D488" i="3"/>
  <c r="A488" i="3"/>
  <c r="V487" i="3"/>
  <c r="M487" i="3"/>
  <c r="L487" i="3"/>
  <c r="I487" i="3"/>
  <c r="H487" i="3"/>
  <c r="F487" i="3"/>
  <c r="D487" i="3"/>
  <c r="A487" i="3"/>
  <c r="V486" i="3"/>
  <c r="M486" i="3"/>
  <c r="L486" i="3"/>
  <c r="I486" i="3"/>
  <c r="H486" i="3"/>
  <c r="F486" i="3"/>
  <c r="D486" i="3"/>
  <c r="A486" i="3"/>
  <c r="V485" i="3"/>
  <c r="M485" i="3"/>
  <c r="L485" i="3"/>
  <c r="I485" i="3"/>
  <c r="H485" i="3"/>
  <c r="F485" i="3"/>
  <c r="D485" i="3"/>
  <c r="A485" i="3"/>
  <c r="V484" i="3"/>
  <c r="M484" i="3"/>
  <c r="L484" i="3"/>
  <c r="I484" i="3"/>
  <c r="H484" i="3"/>
  <c r="F484" i="3"/>
  <c r="D484" i="3"/>
  <c r="A484" i="3"/>
  <c r="V483" i="3"/>
  <c r="M483" i="3"/>
  <c r="L483" i="3"/>
  <c r="I483" i="3"/>
  <c r="H483" i="3"/>
  <c r="F483" i="3"/>
  <c r="D483" i="3"/>
  <c r="A483" i="3"/>
  <c r="V482" i="3"/>
  <c r="M482" i="3"/>
  <c r="L482" i="3"/>
  <c r="I482" i="3"/>
  <c r="H482" i="3"/>
  <c r="F482" i="3"/>
  <c r="D482" i="3"/>
  <c r="A482" i="3"/>
  <c r="V481" i="3"/>
  <c r="M481" i="3"/>
  <c r="L481" i="3"/>
  <c r="I481" i="3"/>
  <c r="H481" i="3"/>
  <c r="F481" i="3"/>
  <c r="D481" i="3"/>
  <c r="A481" i="3"/>
  <c r="V480" i="3"/>
  <c r="M480" i="3"/>
  <c r="L480" i="3"/>
  <c r="I480" i="3"/>
  <c r="H480" i="3"/>
  <c r="F480" i="3"/>
  <c r="D480" i="3"/>
  <c r="A480" i="3"/>
  <c r="V479" i="3"/>
  <c r="M479" i="3"/>
  <c r="L479" i="3"/>
  <c r="I479" i="3"/>
  <c r="H479" i="3"/>
  <c r="F479" i="3"/>
  <c r="D479" i="3"/>
  <c r="A479" i="3"/>
  <c r="V478" i="3"/>
  <c r="M478" i="3"/>
  <c r="L478" i="3"/>
  <c r="I478" i="3"/>
  <c r="H478" i="3"/>
  <c r="F478" i="3"/>
  <c r="D478" i="3"/>
  <c r="A478" i="3"/>
  <c r="V477" i="3"/>
  <c r="M477" i="3"/>
  <c r="L477" i="3"/>
  <c r="I477" i="3"/>
  <c r="H477" i="3"/>
  <c r="F477" i="3"/>
  <c r="D477" i="3"/>
  <c r="A477" i="3"/>
  <c r="V476" i="3"/>
  <c r="M476" i="3"/>
  <c r="L476" i="3"/>
  <c r="I476" i="3"/>
  <c r="H476" i="3"/>
  <c r="F476" i="3"/>
  <c r="D476" i="3"/>
  <c r="A476" i="3"/>
  <c r="V475" i="3"/>
  <c r="M475" i="3"/>
  <c r="L475" i="3"/>
  <c r="I475" i="3"/>
  <c r="H475" i="3"/>
  <c r="F475" i="3"/>
  <c r="D475" i="3"/>
  <c r="A475" i="3"/>
  <c r="V474" i="3"/>
  <c r="M474" i="3"/>
  <c r="L474" i="3"/>
  <c r="I474" i="3"/>
  <c r="H474" i="3"/>
  <c r="F474" i="3"/>
  <c r="D474" i="3"/>
  <c r="A474" i="3"/>
  <c r="V473" i="3"/>
  <c r="M473" i="3"/>
  <c r="L473" i="3"/>
  <c r="I473" i="3"/>
  <c r="H473" i="3"/>
  <c r="F473" i="3"/>
  <c r="D473" i="3"/>
  <c r="A473" i="3"/>
  <c r="V472" i="3"/>
  <c r="M472" i="3"/>
  <c r="L472" i="3"/>
  <c r="I472" i="3"/>
  <c r="H472" i="3"/>
  <c r="F472" i="3"/>
  <c r="D472" i="3"/>
  <c r="A472" i="3"/>
  <c r="V471" i="3"/>
  <c r="M471" i="3"/>
  <c r="L471" i="3"/>
  <c r="I471" i="3"/>
  <c r="H471" i="3"/>
  <c r="F471" i="3"/>
  <c r="D471" i="3"/>
  <c r="A471" i="3"/>
  <c r="V470" i="3"/>
  <c r="M470" i="3"/>
  <c r="L470" i="3"/>
  <c r="I470" i="3"/>
  <c r="H470" i="3"/>
  <c r="F470" i="3"/>
  <c r="D470" i="3"/>
  <c r="A470" i="3"/>
  <c r="V469" i="3"/>
  <c r="M469" i="3"/>
  <c r="L469" i="3"/>
  <c r="I469" i="3"/>
  <c r="H469" i="3"/>
  <c r="F469" i="3"/>
  <c r="D469" i="3"/>
  <c r="A469" i="3"/>
  <c r="V468" i="3"/>
  <c r="M468" i="3"/>
  <c r="L468" i="3"/>
  <c r="I468" i="3"/>
  <c r="H468" i="3"/>
  <c r="F468" i="3"/>
  <c r="D468" i="3"/>
  <c r="A468" i="3"/>
  <c r="V467" i="3"/>
  <c r="M467" i="3"/>
  <c r="L467" i="3"/>
  <c r="I467" i="3"/>
  <c r="H467" i="3"/>
  <c r="F467" i="3"/>
  <c r="D467" i="3"/>
  <c r="A467" i="3"/>
  <c r="V466" i="3"/>
  <c r="M466" i="3"/>
  <c r="L466" i="3"/>
  <c r="I466" i="3"/>
  <c r="H466" i="3"/>
  <c r="F466" i="3"/>
  <c r="D466" i="3"/>
  <c r="A466" i="3"/>
  <c r="V465" i="3"/>
  <c r="M465" i="3"/>
  <c r="L465" i="3"/>
  <c r="I465" i="3"/>
  <c r="H465" i="3"/>
  <c r="F465" i="3"/>
  <c r="D465" i="3"/>
  <c r="A465" i="3"/>
  <c r="V464" i="3"/>
  <c r="M464" i="3"/>
  <c r="L464" i="3"/>
  <c r="I464" i="3"/>
  <c r="H464" i="3"/>
  <c r="F464" i="3"/>
  <c r="D464" i="3"/>
  <c r="A464" i="3"/>
  <c r="V463" i="3"/>
  <c r="M463" i="3"/>
  <c r="L463" i="3"/>
  <c r="I463" i="3"/>
  <c r="H463" i="3"/>
  <c r="F463" i="3"/>
  <c r="D463" i="3"/>
  <c r="A463" i="3"/>
  <c r="V462" i="3"/>
  <c r="M462" i="3"/>
  <c r="L462" i="3"/>
  <c r="I462" i="3"/>
  <c r="H462" i="3"/>
  <c r="F462" i="3"/>
  <c r="D462" i="3"/>
  <c r="A462" i="3"/>
  <c r="V461" i="3"/>
  <c r="M461" i="3"/>
  <c r="L461" i="3"/>
  <c r="I461" i="3"/>
  <c r="H461" i="3"/>
  <c r="F461" i="3"/>
  <c r="D461" i="3"/>
  <c r="A461" i="3"/>
  <c r="V460" i="3"/>
  <c r="M460" i="3"/>
  <c r="L460" i="3"/>
  <c r="I460" i="3"/>
  <c r="H460" i="3"/>
  <c r="F460" i="3"/>
  <c r="D460" i="3"/>
  <c r="A460" i="3"/>
  <c r="V459" i="3"/>
  <c r="M459" i="3"/>
  <c r="L459" i="3"/>
  <c r="I459" i="3"/>
  <c r="H459" i="3"/>
  <c r="F459" i="3"/>
  <c r="D459" i="3"/>
  <c r="A459" i="3"/>
  <c r="V458" i="3"/>
  <c r="M458" i="3"/>
  <c r="L458" i="3"/>
  <c r="I458" i="3"/>
  <c r="H458" i="3"/>
  <c r="F458" i="3"/>
  <c r="D458" i="3"/>
  <c r="A458" i="3"/>
  <c r="V457" i="3"/>
  <c r="M457" i="3"/>
  <c r="L457" i="3"/>
  <c r="I457" i="3"/>
  <c r="H457" i="3"/>
  <c r="F457" i="3"/>
  <c r="D457" i="3"/>
  <c r="A457" i="3"/>
  <c r="V456" i="3"/>
  <c r="M456" i="3"/>
  <c r="L456" i="3"/>
  <c r="I456" i="3"/>
  <c r="H456" i="3"/>
  <c r="F456" i="3"/>
  <c r="D456" i="3"/>
  <c r="A456" i="3"/>
  <c r="V455" i="3"/>
  <c r="M455" i="3"/>
  <c r="L455" i="3"/>
  <c r="I455" i="3"/>
  <c r="H455" i="3"/>
  <c r="F455" i="3"/>
  <c r="D455" i="3"/>
  <c r="A455" i="3"/>
  <c r="V454" i="3"/>
  <c r="M454" i="3"/>
  <c r="L454" i="3"/>
  <c r="I454" i="3"/>
  <c r="H454" i="3"/>
  <c r="F454" i="3"/>
  <c r="D454" i="3"/>
  <c r="A454" i="3"/>
  <c r="V453" i="3"/>
  <c r="M453" i="3"/>
  <c r="L453" i="3"/>
  <c r="I453" i="3"/>
  <c r="H453" i="3"/>
  <c r="F453" i="3"/>
  <c r="D453" i="3"/>
  <c r="A453" i="3"/>
  <c r="V452" i="3"/>
  <c r="M452" i="3"/>
  <c r="L452" i="3"/>
  <c r="I452" i="3"/>
  <c r="H452" i="3"/>
  <c r="F452" i="3"/>
  <c r="D452" i="3"/>
  <c r="A452" i="3"/>
  <c r="V451" i="3"/>
  <c r="M451" i="3"/>
  <c r="L451" i="3"/>
  <c r="I451" i="3"/>
  <c r="H451" i="3"/>
  <c r="F451" i="3"/>
  <c r="D451" i="3"/>
  <c r="A451" i="3"/>
  <c r="V450" i="3"/>
  <c r="M450" i="3"/>
  <c r="L450" i="3"/>
  <c r="I450" i="3"/>
  <c r="H450" i="3"/>
  <c r="F450" i="3"/>
  <c r="D450" i="3"/>
  <c r="A450" i="3"/>
  <c r="V449" i="3"/>
  <c r="M449" i="3"/>
  <c r="L449" i="3"/>
  <c r="I449" i="3"/>
  <c r="H449" i="3"/>
  <c r="F449" i="3"/>
  <c r="D449" i="3"/>
  <c r="A449" i="3"/>
  <c r="V448" i="3"/>
  <c r="M448" i="3"/>
  <c r="L448" i="3"/>
  <c r="I448" i="3"/>
  <c r="H448" i="3"/>
  <c r="F448" i="3"/>
  <c r="D448" i="3"/>
  <c r="A448" i="3"/>
  <c r="V447" i="3"/>
  <c r="M447" i="3"/>
  <c r="L447" i="3"/>
  <c r="I447" i="3"/>
  <c r="H447" i="3"/>
  <c r="F447" i="3"/>
  <c r="D447" i="3"/>
  <c r="A447" i="3"/>
  <c r="V446" i="3"/>
  <c r="M446" i="3"/>
  <c r="L446" i="3"/>
  <c r="I446" i="3"/>
  <c r="H446" i="3"/>
  <c r="F446" i="3"/>
  <c r="D446" i="3"/>
  <c r="A446" i="3"/>
  <c r="V445" i="3"/>
  <c r="M445" i="3"/>
  <c r="L445" i="3"/>
  <c r="I445" i="3"/>
  <c r="H445" i="3"/>
  <c r="F445" i="3"/>
  <c r="D445" i="3"/>
  <c r="A445" i="3"/>
  <c r="V444" i="3"/>
  <c r="M444" i="3"/>
  <c r="L444" i="3"/>
  <c r="I444" i="3"/>
  <c r="H444" i="3"/>
  <c r="F444" i="3"/>
  <c r="D444" i="3"/>
  <c r="A444" i="3"/>
  <c r="V443" i="3"/>
  <c r="M443" i="3"/>
  <c r="L443" i="3"/>
  <c r="I443" i="3"/>
  <c r="H443" i="3"/>
  <c r="F443" i="3"/>
  <c r="D443" i="3"/>
  <c r="A443" i="3"/>
  <c r="V442" i="3"/>
  <c r="M442" i="3"/>
  <c r="L442" i="3"/>
  <c r="I442" i="3"/>
  <c r="H442" i="3"/>
  <c r="F442" i="3"/>
  <c r="D442" i="3"/>
  <c r="A442" i="3"/>
  <c r="V441" i="3"/>
  <c r="M441" i="3"/>
  <c r="L441" i="3"/>
  <c r="I441" i="3"/>
  <c r="H441" i="3"/>
  <c r="F441" i="3"/>
  <c r="D441" i="3"/>
  <c r="A441" i="3"/>
  <c r="V440" i="3"/>
  <c r="M440" i="3"/>
  <c r="L440" i="3"/>
  <c r="I440" i="3"/>
  <c r="H440" i="3"/>
  <c r="F440" i="3"/>
  <c r="D440" i="3"/>
  <c r="A440" i="3"/>
  <c r="V439" i="3"/>
  <c r="M439" i="3"/>
  <c r="L439" i="3"/>
  <c r="I439" i="3"/>
  <c r="H439" i="3"/>
  <c r="F439" i="3"/>
  <c r="D439" i="3"/>
  <c r="A439" i="3"/>
  <c r="V438" i="3"/>
  <c r="M438" i="3"/>
  <c r="L438" i="3"/>
  <c r="I438" i="3"/>
  <c r="H438" i="3"/>
  <c r="F438" i="3"/>
  <c r="D438" i="3"/>
  <c r="A438" i="3"/>
  <c r="V437" i="3"/>
  <c r="M437" i="3"/>
  <c r="L437" i="3"/>
  <c r="I437" i="3"/>
  <c r="H437" i="3"/>
  <c r="F437" i="3"/>
  <c r="D437" i="3"/>
  <c r="A437" i="3"/>
  <c r="V436" i="3"/>
  <c r="M436" i="3"/>
  <c r="L436" i="3"/>
  <c r="I436" i="3"/>
  <c r="H436" i="3"/>
  <c r="F436" i="3"/>
  <c r="D436" i="3"/>
  <c r="A436" i="3"/>
  <c r="V435" i="3"/>
  <c r="M435" i="3"/>
  <c r="L435" i="3"/>
  <c r="I435" i="3"/>
  <c r="H435" i="3"/>
  <c r="F435" i="3"/>
  <c r="D435" i="3"/>
  <c r="A435" i="3"/>
  <c r="V434" i="3"/>
  <c r="M434" i="3"/>
  <c r="L434" i="3"/>
  <c r="I434" i="3"/>
  <c r="H434" i="3"/>
  <c r="F434" i="3"/>
  <c r="D434" i="3"/>
  <c r="A434" i="3"/>
  <c r="V433" i="3"/>
  <c r="M433" i="3"/>
  <c r="L433" i="3"/>
  <c r="I433" i="3"/>
  <c r="H433" i="3"/>
  <c r="F433" i="3"/>
  <c r="D433" i="3"/>
  <c r="A433" i="3"/>
  <c r="V432" i="3"/>
  <c r="M432" i="3"/>
  <c r="L432" i="3"/>
  <c r="I432" i="3"/>
  <c r="H432" i="3"/>
  <c r="F432" i="3"/>
  <c r="D432" i="3"/>
  <c r="A432" i="3"/>
  <c r="V431" i="3"/>
  <c r="M431" i="3"/>
  <c r="L431" i="3"/>
  <c r="I431" i="3"/>
  <c r="H431" i="3"/>
  <c r="F431" i="3"/>
  <c r="D431" i="3"/>
  <c r="A431" i="3"/>
  <c r="V430" i="3"/>
  <c r="M430" i="3"/>
  <c r="L430" i="3"/>
  <c r="I430" i="3"/>
  <c r="H430" i="3"/>
  <c r="F430" i="3"/>
  <c r="D430" i="3"/>
  <c r="A430" i="3"/>
  <c r="V429" i="3"/>
  <c r="M429" i="3"/>
  <c r="L429" i="3"/>
  <c r="I429" i="3"/>
  <c r="H429" i="3"/>
  <c r="F429" i="3"/>
  <c r="D429" i="3"/>
  <c r="A429" i="3"/>
  <c r="V428" i="3"/>
  <c r="M428" i="3"/>
  <c r="L428" i="3"/>
  <c r="I428" i="3"/>
  <c r="H428" i="3"/>
  <c r="F428" i="3"/>
  <c r="D428" i="3"/>
  <c r="A428" i="3"/>
  <c r="V427" i="3"/>
  <c r="M427" i="3"/>
  <c r="L427" i="3"/>
  <c r="I427" i="3"/>
  <c r="H427" i="3"/>
  <c r="F427" i="3"/>
  <c r="D427" i="3"/>
  <c r="A427" i="3"/>
  <c r="V426" i="3"/>
  <c r="M426" i="3"/>
  <c r="L426" i="3"/>
  <c r="I426" i="3"/>
  <c r="H426" i="3"/>
  <c r="F426" i="3"/>
  <c r="D426" i="3"/>
  <c r="A426" i="3"/>
  <c r="V425" i="3"/>
  <c r="M425" i="3"/>
  <c r="L425" i="3"/>
  <c r="I425" i="3"/>
  <c r="H425" i="3"/>
  <c r="F425" i="3"/>
  <c r="D425" i="3"/>
  <c r="A425" i="3"/>
  <c r="V424" i="3"/>
  <c r="M424" i="3"/>
  <c r="L424" i="3"/>
  <c r="I424" i="3"/>
  <c r="H424" i="3"/>
  <c r="F424" i="3"/>
  <c r="D424" i="3"/>
  <c r="A424" i="3"/>
  <c r="V423" i="3"/>
  <c r="M423" i="3"/>
  <c r="L423" i="3"/>
  <c r="I423" i="3"/>
  <c r="H423" i="3"/>
  <c r="F423" i="3"/>
  <c r="D423" i="3"/>
  <c r="A423" i="3"/>
  <c r="V422" i="3"/>
  <c r="M422" i="3"/>
  <c r="L422" i="3"/>
  <c r="I422" i="3"/>
  <c r="H422" i="3"/>
  <c r="F422" i="3"/>
  <c r="D422" i="3"/>
  <c r="A422" i="3"/>
  <c r="V421" i="3"/>
  <c r="M421" i="3"/>
  <c r="L421" i="3"/>
  <c r="I421" i="3"/>
  <c r="H421" i="3"/>
  <c r="F421" i="3"/>
  <c r="D421" i="3"/>
  <c r="A421" i="3"/>
  <c r="V420" i="3"/>
  <c r="M420" i="3"/>
  <c r="L420" i="3"/>
  <c r="I420" i="3"/>
  <c r="H420" i="3"/>
  <c r="F420" i="3"/>
  <c r="D420" i="3"/>
  <c r="A420" i="3"/>
  <c r="V419" i="3"/>
  <c r="M419" i="3"/>
  <c r="L419" i="3"/>
  <c r="I419" i="3"/>
  <c r="H419" i="3"/>
  <c r="F419" i="3"/>
  <c r="D419" i="3"/>
  <c r="A419" i="3"/>
  <c r="V418" i="3"/>
  <c r="M418" i="3"/>
  <c r="L418" i="3"/>
  <c r="I418" i="3"/>
  <c r="H418" i="3"/>
  <c r="F418" i="3"/>
  <c r="D418" i="3"/>
  <c r="A418" i="3"/>
  <c r="V417" i="3"/>
  <c r="M417" i="3"/>
  <c r="L417" i="3"/>
  <c r="I417" i="3"/>
  <c r="H417" i="3"/>
  <c r="F417" i="3"/>
  <c r="D417" i="3"/>
  <c r="A417" i="3"/>
  <c r="V416" i="3"/>
  <c r="M416" i="3"/>
  <c r="L416" i="3"/>
  <c r="I416" i="3"/>
  <c r="H416" i="3"/>
  <c r="F416" i="3"/>
  <c r="D416" i="3"/>
  <c r="A416" i="3"/>
  <c r="V415" i="3"/>
  <c r="M415" i="3"/>
  <c r="L415" i="3"/>
  <c r="I415" i="3"/>
  <c r="H415" i="3"/>
  <c r="F415" i="3"/>
  <c r="D415" i="3"/>
  <c r="A415" i="3"/>
  <c r="V414" i="3"/>
  <c r="M414" i="3"/>
  <c r="L414" i="3"/>
  <c r="I414" i="3"/>
  <c r="H414" i="3"/>
  <c r="F414" i="3"/>
  <c r="D414" i="3"/>
  <c r="A414" i="3"/>
  <c r="V413" i="3"/>
  <c r="M413" i="3"/>
  <c r="L413" i="3"/>
  <c r="I413" i="3"/>
  <c r="H413" i="3"/>
  <c r="F413" i="3"/>
  <c r="D413" i="3"/>
  <c r="A413" i="3"/>
  <c r="V412" i="3"/>
  <c r="M412" i="3"/>
  <c r="L412" i="3"/>
  <c r="I412" i="3"/>
  <c r="H412" i="3"/>
  <c r="F412" i="3"/>
  <c r="D412" i="3"/>
  <c r="A412" i="3"/>
  <c r="V411" i="3"/>
  <c r="M411" i="3"/>
  <c r="L411" i="3"/>
  <c r="I411" i="3"/>
  <c r="H411" i="3"/>
  <c r="F411" i="3"/>
  <c r="D411" i="3"/>
  <c r="A411" i="3"/>
  <c r="V410" i="3"/>
  <c r="M410" i="3"/>
  <c r="L410" i="3"/>
  <c r="I410" i="3"/>
  <c r="H410" i="3"/>
  <c r="F410" i="3"/>
  <c r="D410" i="3"/>
  <c r="A410" i="3"/>
  <c r="V409" i="3"/>
  <c r="M409" i="3"/>
  <c r="L409" i="3"/>
  <c r="I409" i="3"/>
  <c r="H409" i="3"/>
  <c r="F409" i="3"/>
  <c r="D409" i="3"/>
  <c r="A409" i="3"/>
  <c r="V408" i="3"/>
  <c r="M408" i="3"/>
  <c r="L408" i="3"/>
  <c r="I408" i="3"/>
  <c r="H408" i="3"/>
  <c r="F408" i="3"/>
  <c r="D408" i="3"/>
  <c r="A408" i="3"/>
  <c r="V407" i="3"/>
  <c r="M407" i="3"/>
  <c r="L407" i="3"/>
  <c r="I407" i="3"/>
  <c r="H407" i="3"/>
  <c r="F407" i="3"/>
  <c r="D407" i="3"/>
  <c r="A407" i="3"/>
  <c r="V406" i="3"/>
  <c r="M406" i="3"/>
  <c r="L406" i="3"/>
  <c r="I406" i="3"/>
  <c r="H406" i="3"/>
  <c r="F406" i="3"/>
  <c r="D406" i="3"/>
  <c r="A406" i="3"/>
  <c r="V405" i="3"/>
  <c r="M405" i="3"/>
  <c r="L405" i="3"/>
  <c r="I405" i="3"/>
  <c r="H405" i="3"/>
  <c r="F405" i="3"/>
  <c r="D405" i="3"/>
  <c r="A405" i="3"/>
  <c r="V404" i="3"/>
  <c r="M404" i="3"/>
  <c r="L404" i="3"/>
  <c r="I404" i="3"/>
  <c r="H404" i="3"/>
  <c r="F404" i="3"/>
  <c r="D404" i="3"/>
  <c r="A404" i="3"/>
  <c r="V403" i="3"/>
  <c r="M403" i="3"/>
  <c r="L403" i="3"/>
  <c r="I403" i="3"/>
  <c r="H403" i="3"/>
  <c r="F403" i="3"/>
  <c r="D403" i="3"/>
  <c r="A403" i="3"/>
  <c r="V402" i="3"/>
  <c r="M402" i="3"/>
  <c r="L402" i="3"/>
  <c r="I402" i="3"/>
  <c r="H402" i="3"/>
  <c r="F402" i="3"/>
  <c r="D402" i="3"/>
  <c r="A402" i="3"/>
  <c r="V401" i="3"/>
  <c r="M401" i="3"/>
  <c r="L401" i="3"/>
  <c r="I401" i="3"/>
  <c r="H401" i="3"/>
  <c r="F401" i="3"/>
  <c r="D401" i="3"/>
  <c r="A401" i="3"/>
  <c r="V400" i="3"/>
  <c r="M400" i="3"/>
  <c r="L400" i="3"/>
  <c r="I400" i="3"/>
  <c r="H400" i="3"/>
  <c r="F400" i="3"/>
  <c r="D400" i="3"/>
  <c r="A400" i="3"/>
  <c r="V399" i="3"/>
  <c r="M399" i="3"/>
  <c r="L399" i="3"/>
  <c r="I399" i="3"/>
  <c r="H399" i="3"/>
  <c r="F399" i="3"/>
  <c r="D399" i="3"/>
  <c r="A399" i="3"/>
  <c r="V398" i="3"/>
  <c r="M398" i="3"/>
  <c r="L398" i="3"/>
  <c r="I398" i="3"/>
  <c r="H398" i="3"/>
  <c r="F398" i="3"/>
  <c r="D398" i="3"/>
  <c r="A398" i="3"/>
  <c r="V397" i="3"/>
  <c r="M397" i="3"/>
  <c r="L397" i="3"/>
  <c r="I397" i="3"/>
  <c r="H397" i="3"/>
  <c r="F397" i="3"/>
  <c r="D397" i="3"/>
  <c r="A397" i="3"/>
  <c r="V396" i="3"/>
  <c r="M396" i="3"/>
  <c r="L396" i="3"/>
  <c r="I396" i="3"/>
  <c r="H396" i="3"/>
  <c r="F396" i="3"/>
  <c r="D396" i="3"/>
  <c r="A396" i="3"/>
  <c r="V395" i="3"/>
  <c r="M395" i="3"/>
  <c r="L395" i="3"/>
  <c r="I395" i="3"/>
  <c r="H395" i="3"/>
  <c r="F395" i="3"/>
  <c r="D395" i="3"/>
  <c r="A395" i="3"/>
  <c r="V394" i="3"/>
  <c r="M394" i="3"/>
  <c r="L394" i="3"/>
  <c r="I394" i="3"/>
  <c r="H394" i="3"/>
  <c r="F394" i="3"/>
  <c r="D394" i="3"/>
  <c r="A394" i="3"/>
  <c r="V393" i="3"/>
  <c r="M393" i="3"/>
  <c r="L393" i="3"/>
  <c r="I393" i="3"/>
  <c r="H393" i="3"/>
  <c r="F393" i="3"/>
  <c r="D393" i="3"/>
  <c r="A393" i="3"/>
  <c r="V392" i="3"/>
  <c r="M392" i="3"/>
  <c r="L392" i="3"/>
  <c r="I392" i="3"/>
  <c r="H392" i="3"/>
  <c r="F392" i="3"/>
  <c r="D392" i="3"/>
  <c r="A392" i="3"/>
  <c r="V391" i="3"/>
  <c r="M391" i="3"/>
  <c r="L391" i="3"/>
  <c r="I391" i="3"/>
  <c r="H391" i="3"/>
  <c r="F391" i="3"/>
  <c r="D391" i="3"/>
  <c r="A391" i="3"/>
  <c r="V390" i="3"/>
  <c r="M390" i="3"/>
  <c r="L390" i="3"/>
  <c r="I390" i="3"/>
  <c r="H390" i="3"/>
  <c r="F390" i="3"/>
  <c r="D390" i="3"/>
  <c r="A390" i="3"/>
  <c r="V389" i="3"/>
  <c r="M389" i="3"/>
  <c r="L389" i="3"/>
  <c r="I389" i="3"/>
  <c r="H389" i="3"/>
  <c r="F389" i="3"/>
  <c r="D389" i="3"/>
  <c r="A389" i="3"/>
  <c r="V388" i="3"/>
  <c r="M388" i="3"/>
  <c r="L388" i="3"/>
  <c r="I388" i="3"/>
  <c r="H388" i="3"/>
  <c r="F388" i="3"/>
  <c r="D388" i="3"/>
  <c r="A388" i="3"/>
  <c r="V387" i="3"/>
  <c r="M387" i="3"/>
  <c r="L387" i="3"/>
  <c r="I387" i="3"/>
  <c r="H387" i="3"/>
  <c r="F387" i="3"/>
  <c r="D387" i="3"/>
  <c r="A387" i="3"/>
  <c r="V386" i="3"/>
  <c r="M386" i="3"/>
  <c r="L386" i="3"/>
  <c r="I386" i="3"/>
  <c r="H386" i="3"/>
  <c r="F386" i="3"/>
  <c r="D386" i="3"/>
  <c r="A386" i="3"/>
  <c r="V385" i="3"/>
  <c r="M385" i="3"/>
  <c r="L385" i="3"/>
  <c r="I385" i="3"/>
  <c r="H385" i="3"/>
  <c r="F385" i="3"/>
  <c r="D385" i="3"/>
  <c r="A385" i="3"/>
  <c r="V384" i="3"/>
  <c r="M384" i="3"/>
  <c r="L384" i="3"/>
  <c r="I384" i="3"/>
  <c r="H384" i="3"/>
  <c r="F384" i="3"/>
  <c r="D384" i="3"/>
  <c r="A384" i="3"/>
  <c r="V383" i="3"/>
  <c r="M383" i="3"/>
  <c r="L383" i="3"/>
  <c r="I383" i="3"/>
  <c r="H383" i="3"/>
  <c r="F383" i="3"/>
  <c r="D383" i="3"/>
  <c r="A383" i="3"/>
  <c r="V382" i="3"/>
  <c r="M382" i="3"/>
  <c r="L382" i="3"/>
  <c r="I382" i="3"/>
  <c r="H382" i="3"/>
  <c r="F382" i="3"/>
  <c r="D382" i="3"/>
  <c r="A382" i="3"/>
  <c r="V381" i="3"/>
  <c r="M381" i="3"/>
  <c r="L381" i="3"/>
  <c r="I381" i="3"/>
  <c r="H381" i="3"/>
  <c r="F381" i="3"/>
  <c r="D381" i="3"/>
  <c r="A381" i="3"/>
  <c r="V380" i="3"/>
  <c r="M380" i="3"/>
  <c r="L380" i="3"/>
  <c r="I380" i="3"/>
  <c r="H380" i="3"/>
  <c r="F380" i="3"/>
  <c r="D380" i="3"/>
  <c r="A380" i="3"/>
  <c r="V379" i="3"/>
  <c r="M379" i="3"/>
  <c r="L379" i="3"/>
  <c r="I379" i="3"/>
  <c r="H379" i="3"/>
  <c r="F379" i="3"/>
  <c r="D379" i="3"/>
  <c r="A379" i="3"/>
  <c r="V378" i="3"/>
  <c r="M378" i="3"/>
  <c r="L378" i="3"/>
  <c r="I378" i="3"/>
  <c r="H378" i="3"/>
  <c r="F378" i="3"/>
  <c r="D378" i="3"/>
  <c r="A378" i="3"/>
  <c r="V377" i="3"/>
  <c r="M377" i="3"/>
  <c r="L377" i="3"/>
  <c r="I377" i="3"/>
  <c r="H377" i="3"/>
  <c r="F377" i="3"/>
  <c r="D377" i="3"/>
  <c r="A377" i="3"/>
  <c r="V376" i="3"/>
  <c r="M376" i="3"/>
  <c r="L376" i="3"/>
  <c r="I376" i="3"/>
  <c r="H376" i="3"/>
  <c r="F376" i="3"/>
  <c r="D376" i="3"/>
  <c r="A376" i="3"/>
  <c r="V375" i="3"/>
  <c r="M375" i="3"/>
  <c r="L375" i="3"/>
  <c r="I375" i="3"/>
  <c r="H375" i="3"/>
  <c r="F375" i="3"/>
  <c r="D375" i="3"/>
  <c r="A375" i="3"/>
  <c r="V374" i="3"/>
  <c r="M374" i="3"/>
  <c r="L374" i="3"/>
  <c r="I374" i="3"/>
  <c r="H374" i="3"/>
  <c r="F374" i="3"/>
  <c r="D374" i="3"/>
  <c r="A374" i="3"/>
  <c r="V373" i="3"/>
  <c r="M373" i="3"/>
  <c r="L373" i="3"/>
  <c r="I373" i="3"/>
  <c r="H373" i="3"/>
  <c r="F373" i="3"/>
  <c r="D373" i="3"/>
  <c r="A373" i="3"/>
  <c r="V372" i="3"/>
  <c r="M372" i="3"/>
  <c r="L372" i="3"/>
  <c r="I372" i="3"/>
  <c r="H372" i="3"/>
  <c r="F372" i="3"/>
  <c r="D372" i="3"/>
  <c r="A372" i="3"/>
  <c r="V371" i="3"/>
  <c r="M371" i="3"/>
  <c r="L371" i="3"/>
  <c r="I371" i="3"/>
  <c r="H371" i="3"/>
  <c r="F371" i="3"/>
  <c r="D371" i="3"/>
  <c r="A371" i="3"/>
  <c r="V370" i="3"/>
  <c r="M370" i="3"/>
  <c r="L370" i="3"/>
  <c r="I370" i="3"/>
  <c r="H370" i="3"/>
  <c r="F370" i="3"/>
  <c r="D370" i="3"/>
  <c r="A370" i="3"/>
  <c r="V369" i="3"/>
  <c r="M369" i="3"/>
  <c r="L369" i="3"/>
  <c r="I369" i="3"/>
  <c r="H369" i="3"/>
  <c r="F369" i="3"/>
  <c r="D369" i="3"/>
  <c r="A369" i="3"/>
  <c r="V368" i="3"/>
  <c r="M368" i="3"/>
  <c r="L368" i="3"/>
  <c r="I368" i="3"/>
  <c r="H368" i="3"/>
  <c r="F368" i="3"/>
  <c r="D368" i="3"/>
  <c r="A368" i="3"/>
  <c r="V367" i="3"/>
  <c r="M367" i="3"/>
  <c r="L367" i="3"/>
  <c r="I367" i="3"/>
  <c r="H367" i="3"/>
  <c r="F367" i="3"/>
  <c r="D367" i="3"/>
  <c r="A367" i="3"/>
  <c r="V366" i="3"/>
  <c r="M366" i="3"/>
  <c r="L366" i="3"/>
  <c r="I366" i="3"/>
  <c r="H366" i="3"/>
  <c r="F366" i="3"/>
  <c r="D366" i="3"/>
  <c r="A366" i="3"/>
  <c r="V365" i="3"/>
  <c r="M365" i="3"/>
  <c r="L365" i="3"/>
  <c r="I365" i="3"/>
  <c r="H365" i="3"/>
  <c r="F365" i="3"/>
  <c r="D365" i="3"/>
  <c r="A365" i="3"/>
  <c r="V364" i="3"/>
  <c r="M364" i="3"/>
  <c r="L364" i="3"/>
  <c r="I364" i="3"/>
  <c r="H364" i="3"/>
  <c r="F364" i="3"/>
  <c r="D364" i="3"/>
  <c r="A364" i="3"/>
  <c r="V363" i="3"/>
  <c r="M363" i="3"/>
  <c r="L363" i="3"/>
  <c r="I363" i="3"/>
  <c r="H363" i="3"/>
  <c r="F363" i="3"/>
  <c r="D363" i="3"/>
  <c r="A363" i="3"/>
  <c r="V362" i="3"/>
  <c r="M362" i="3"/>
  <c r="L362" i="3"/>
  <c r="I362" i="3"/>
  <c r="H362" i="3"/>
  <c r="F362" i="3"/>
  <c r="D362" i="3"/>
  <c r="A362" i="3"/>
  <c r="V361" i="3"/>
  <c r="M361" i="3"/>
  <c r="L361" i="3"/>
  <c r="I361" i="3"/>
  <c r="H361" i="3"/>
  <c r="F361" i="3"/>
  <c r="D361" i="3"/>
  <c r="A361" i="3"/>
  <c r="V360" i="3"/>
  <c r="M360" i="3"/>
  <c r="L360" i="3"/>
  <c r="I360" i="3"/>
  <c r="H360" i="3"/>
  <c r="F360" i="3"/>
  <c r="D360" i="3"/>
  <c r="A360" i="3"/>
  <c r="V359" i="3"/>
  <c r="M359" i="3"/>
  <c r="L359" i="3"/>
  <c r="I359" i="3"/>
  <c r="H359" i="3"/>
  <c r="F359" i="3"/>
  <c r="D359" i="3"/>
  <c r="A359" i="3"/>
  <c r="V358" i="3"/>
  <c r="M358" i="3"/>
  <c r="L358" i="3"/>
  <c r="I358" i="3"/>
  <c r="H358" i="3"/>
  <c r="F358" i="3"/>
  <c r="D358" i="3"/>
  <c r="A358" i="3"/>
  <c r="V357" i="3"/>
  <c r="M357" i="3"/>
  <c r="L357" i="3"/>
  <c r="I357" i="3"/>
  <c r="H357" i="3"/>
  <c r="F357" i="3"/>
  <c r="D357" i="3"/>
  <c r="A357" i="3"/>
  <c r="V356" i="3"/>
  <c r="M356" i="3"/>
  <c r="L356" i="3"/>
  <c r="I356" i="3"/>
  <c r="H356" i="3"/>
  <c r="F356" i="3"/>
  <c r="D356" i="3"/>
  <c r="A356" i="3"/>
  <c r="V355" i="3"/>
  <c r="M355" i="3"/>
  <c r="L355" i="3"/>
  <c r="I355" i="3"/>
  <c r="H355" i="3"/>
  <c r="F355" i="3"/>
  <c r="D355" i="3"/>
  <c r="A355" i="3"/>
  <c r="V354" i="3"/>
  <c r="M354" i="3"/>
  <c r="L354" i="3"/>
  <c r="I354" i="3"/>
  <c r="H354" i="3"/>
  <c r="F354" i="3"/>
  <c r="D354" i="3"/>
  <c r="A354" i="3"/>
  <c r="V353" i="3"/>
  <c r="M353" i="3"/>
  <c r="L353" i="3"/>
  <c r="I353" i="3"/>
  <c r="H353" i="3"/>
  <c r="F353" i="3"/>
  <c r="D353" i="3"/>
  <c r="A353" i="3"/>
  <c r="V352" i="3"/>
  <c r="M352" i="3"/>
  <c r="L352" i="3"/>
  <c r="I352" i="3"/>
  <c r="H352" i="3"/>
  <c r="F352" i="3"/>
  <c r="D352" i="3"/>
  <c r="A352" i="3"/>
  <c r="V351" i="3"/>
  <c r="M351" i="3"/>
  <c r="L351" i="3"/>
  <c r="I351" i="3"/>
  <c r="H351" i="3"/>
  <c r="F351" i="3"/>
  <c r="D351" i="3"/>
  <c r="A351" i="3"/>
  <c r="V350" i="3"/>
  <c r="M350" i="3"/>
  <c r="L350" i="3"/>
  <c r="I350" i="3"/>
  <c r="H350" i="3"/>
  <c r="F350" i="3"/>
  <c r="D350" i="3"/>
  <c r="A350" i="3"/>
  <c r="V349" i="3"/>
  <c r="M349" i="3"/>
  <c r="L349" i="3"/>
  <c r="I349" i="3"/>
  <c r="H349" i="3"/>
  <c r="F349" i="3"/>
  <c r="D349" i="3"/>
  <c r="A349" i="3"/>
  <c r="V348" i="3"/>
  <c r="M348" i="3"/>
  <c r="L348" i="3"/>
  <c r="I348" i="3"/>
  <c r="H348" i="3"/>
  <c r="F348" i="3"/>
  <c r="D348" i="3"/>
  <c r="A348" i="3"/>
  <c r="V347" i="3"/>
  <c r="M347" i="3"/>
  <c r="L347" i="3"/>
  <c r="I347" i="3"/>
  <c r="H347" i="3"/>
  <c r="F347" i="3"/>
  <c r="D347" i="3"/>
  <c r="A347" i="3"/>
  <c r="V346" i="3"/>
  <c r="M346" i="3"/>
  <c r="L346" i="3"/>
  <c r="I346" i="3"/>
  <c r="H346" i="3"/>
  <c r="F346" i="3"/>
  <c r="D346" i="3"/>
  <c r="A346" i="3"/>
  <c r="V345" i="3"/>
  <c r="M345" i="3"/>
  <c r="L345" i="3"/>
  <c r="I345" i="3"/>
  <c r="H345" i="3"/>
  <c r="F345" i="3"/>
  <c r="D345" i="3"/>
  <c r="A345" i="3"/>
  <c r="V344" i="3"/>
  <c r="M344" i="3"/>
  <c r="L344" i="3"/>
  <c r="I344" i="3"/>
  <c r="H344" i="3"/>
  <c r="F344" i="3"/>
  <c r="D344" i="3"/>
  <c r="A344" i="3"/>
  <c r="V343" i="3"/>
  <c r="M343" i="3"/>
  <c r="L343" i="3"/>
  <c r="I343" i="3"/>
  <c r="H343" i="3"/>
  <c r="F343" i="3"/>
  <c r="D343" i="3"/>
  <c r="A343" i="3"/>
  <c r="V342" i="3"/>
  <c r="M342" i="3"/>
  <c r="L342" i="3"/>
  <c r="I342" i="3"/>
  <c r="H342" i="3"/>
  <c r="F342" i="3"/>
  <c r="D342" i="3"/>
  <c r="A342" i="3"/>
  <c r="V341" i="3"/>
  <c r="M341" i="3"/>
  <c r="L341" i="3"/>
  <c r="I341" i="3"/>
  <c r="H341" i="3"/>
  <c r="F341" i="3"/>
  <c r="D341" i="3"/>
  <c r="A341" i="3"/>
  <c r="V340" i="3"/>
  <c r="M340" i="3"/>
  <c r="L340" i="3"/>
  <c r="I340" i="3"/>
  <c r="H340" i="3"/>
  <c r="F340" i="3"/>
  <c r="D340" i="3"/>
  <c r="A340" i="3"/>
  <c r="V339" i="3"/>
  <c r="M339" i="3"/>
  <c r="L339" i="3"/>
  <c r="I339" i="3"/>
  <c r="H339" i="3"/>
  <c r="F339" i="3"/>
  <c r="D339" i="3"/>
  <c r="A339" i="3"/>
  <c r="V338" i="3"/>
  <c r="M338" i="3"/>
  <c r="L338" i="3"/>
  <c r="I338" i="3"/>
  <c r="H338" i="3"/>
  <c r="F338" i="3"/>
  <c r="D338" i="3"/>
  <c r="A338" i="3"/>
  <c r="V337" i="3"/>
  <c r="M337" i="3"/>
  <c r="L337" i="3"/>
  <c r="I337" i="3"/>
  <c r="H337" i="3"/>
  <c r="F337" i="3"/>
  <c r="D337" i="3"/>
  <c r="A337" i="3"/>
  <c r="V336" i="3"/>
  <c r="M336" i="3"/>
  <c r="L336" i="3"/>
  <c r="I336" i="3"/>
  <c r="H336" i="3"/>
  <c r="F336" i="3"/>
  <c r="D336" i="3"/>
  <c r="A336" i="3"/>
  <c r="V335" i="3"/>
  <c r="M335" i="3"/>
  <c r="L335" i="3"/>
  <c r="I335" i="3"/>
  <c r="H335" i="3"/>
  <c r="F335" i="3"/>
  <c r="D335" i="3"/>
  <c r="A335" i="3"/>
  <c r="V334" i="3"/>
  <c r="M334" i="3"/>
  <c r="L334" i="3"/>
  <c r="I334" i="3"/>
  <c r="H334" i="3"/>
  <c r="F334" i="3"/>
  <c r="D334" i="3"/>
  <c r="A334" i="3"/>
  <c r="V333" i="3"/>
  <c r="M333" i="3"/>
  <c r="L333" i="3"/>
  <c r="I333" i="3"/>
  <c r="H333" i="3"/>
  <c r="F333" i="3"/>
  <c r="D333" i="3"/>
  <c r="A333" i="3"/>
  <c r="V332" i="3"/>
  <c r="M332" i="3"/>
  <c r="L332" i="3"/>
  <c r="I332" i="3"/>
  <c r="H332" i="3"/>
  <c r="F332" i="3"/>
  <c r="D332" i="3"/>
  <c r="A332" i="3"/>
  <c r="V331" i="3"/>
  <c r="M331" i="3"/>
  <c r="L331" i="3"/>
  <c r="I331" i="3"/>
  <c r="H331" i="3"/>
  <c r="F331" i="3"/>
  <c r="D331" i="3"/>
  <c r="A331" i="3"/>
  <c r="V330" i="3"/>
  <c r="M330" i="3"/>
  <c r="L330" i="3"/>
  <c r="I330" i="3"/>
  <c r="H330" i="3"/>
  <c r="F330" i="3"/>
  <c r="D330" i="3"/>
  <c r="A330" i="3"/>
  <c r="V329" i="3"/>
  <c r="M329" i="3"/>
  <c r="L329" i="3"/>
  <c r="I329" i="3"/>
  <c r="H329" i="3"/>
  <c r="F329" i="3"/>
  <c r="D329" i="3"/>
  <c r="A329" i="3"/>
  <c r="V328" i="3"/>
  <c r="M328" i="3"/>
  <c r="L328" i="3"/>
  <c r="I328" i="3"/>
  <c r="H328" i="3"/>
  <c r="F328" i="3"/>
  <c r="D328" i="3"/>
  <c r="A328" i="3"/>
  <c r="V327" i="3"/>
  <c r="M327" i="3"/>
  <c r="L327" i="3"/>
  <c r="I327" i="3"/>
  <c r="H327" i="3"/>
  <c r="F327" i="3"/>
  <c r="D327" i="3"/>
  <c r="A327" i="3"/>
  <c r="V326" i="3"/>
  <c r="M326" i="3"/>
  <c r="L326" i="3"/>
  <c r="I326" i="3"/>
  <c r="H326" i="3"/>
  <c r="F326" i="3"/>
  <c r="D326" i="3"/>
  <c r="A326" i="3"/>
  <c r="V325" i="3"/>
  <c r="M325" i="3"/>
  <c r="L325" i="3"/>
  <c r="I325" i="3"/>
  <c r="H325" i="3"/>
  <c r="F325" i="3"/>
  <c r="D325" i="3"/>
  <c r="A325" i="3"/>
  <c r="V324" i="3"/>
  <c r="M324" i="3"/>
  <c r="L324" i="3"/>
  <c r="I324" i="3"/>
  <c r="H324" i="3"/>
  <c r="F324" i="3"/>
  <c r="D324" i="3"/>
  <c r="A324" i="3"/>
  <c r="V323" i="3"/>
  <c r="M323" i="3"/>
  <c r="L323" i="3"/>
  <c r="I323" i="3"/>
  <c r="H323" i="3"/>
  <c r="F323" i="3"/>
  <c r="D323" i="3"/>
  <c r="A323" i="3"/>
  <c r="V322" i="3"/>
  <c r="M322" i="3"/>
  <c r="L322" i="3"/>
  <c r="I322" i="3"/>
  <c r="H322" i="3"/>
  <c r="F322" i="3"/>
  <c r="D322" i="3"/>
  <c r="A322" i="3"/>
  <c r="V321" i="3"/>
  <c r="M321" i="3"/>
  <c r="L321" i="3"/>
  <c r="I321" i="3"/>
  <c r="H321" i="3"/>
  <c r="F321" i="3"/>
  <c r="D321" i="3"/>
  <c r="A321" i="3"/>
  <c r="V320" i="3"/>
  <c r="M320" i="3"/>
  <c r="L320" i="3"/>
  <c r="I320" i="3"/>
  <c r="H320" i="3"/>
  <c r="F320" i="3"/>
  <c r="D320" i="3"/>
  <c r="A320" i="3"/>
  <c r="V319" i="3"/>
  <c r="M319" i="3"/>
  <c r="L319" i="3"/>
  <c r="I319" i="3"/>
  <c r="H319" i="3"/>
  <c r="F319" i="3"/>
  <c r="D319" i="3"/>
  <c r="A319" i="3"/>
  <c r="V318" i="3"/>
  <c r="M318" i="3"/>
  <c r="L318" i="3"/>
  <c r="I318" i="3"/>
  <c r="H318" i="3"/>
  <c r="F318" i="3"/>
  <c r="D318" i="3"/>
  <c r="A318" i="3"/>
  <c r="V317" i="3"/>
  <c r="M317" i="3"/>
  <c r="L317" i="3"/>
  <c r="I317" i="3"/>
  <c r="H317" i="3"/>
  <c r="F317" i="3"/>
  <c r="D317" i="3"/>
  <c r="A317" i="3"/>
  <c r="V316" i="3"/>
  <c r="M316" i="3"/>
  <c r="L316" i="3"/>
  <c r="I316" i="3"/>
  <c r="H316" i="3"/>
  <c r="F316" i="3"/>
  <c r="D316" i="3"/>
  <c r="A316" i="3"/>
  <c r="V315" i="3"/>
  <c r="M315" i="3"/>
  <c r="L315" i="3"/>
  <c r="I315" i="3"/>
  <c r="H315" i="3"/>
  <c r="F315" i="3"/>
  <c r="D315" i="3"/>
  <c r="A315" i="3"/>
  <c r="V314" i="3"/>
  <c r="M314" i="3"/>
  <c r="L314" i="3"/>
  <c r="I314" i="3"/>
  <c r="H314" i="3"/>
  <c r="F314" i="3"/>
  <c r="D314" i="3"/>
  <c r="A314" i="3"/>
  <c r="V313" i="3"/>
  <c r="M313" i="3"/>
  <c r="L313" i="3"/>
  <c r="I313" i="3"/>
  <c r="H313" i="3"/>
  <c r="F313" i="3"/>
  <c r="D313" i="3"/>
  <c r="A313" i="3"/>
  <c r="V312" i="3"/>
  <c r="M312" i="3"/>
  <c r="L312" i="3"/>
  <c r="I312" i="3"/>
  <c r="H312" i="3"/>
  <c r="F312" i="3"/>
  <c r="D312" i="3"/>
  <c r="A312" i="3"/>
  <c r="V311" i="3"/>
  <c r="M311" i="3"/>
  <c r="L311" i="3"/>
  <c r="I311" i="3"/>
  <c r="H311" i="3"/>
  <c r="F311" i="3"/>
  <c r="D311" i="3"/>
  <c r="A311" i="3"/>
  <c r="V310" i="3"/>
  <c r="M310" i="3"/>
  <c r="L310" i="3"/>
  <c r="I310" i="3"/>
  <c r="H310" i="3"/>
  <c r="F310" i="3"/>
  <c r="D310" i="3"/>
  <c r="A310" i="3"/>
  <c r="V309" i="3"/>
  <c r="M309" i="3"/>
  <c r="L309" i="3"/>
  <c r="I309" i="3"/>
  <c r="H309" i="3"/>
  <c r="F309" i="3"/>
  <c r="D309" i="3"/>
  <c r="A309" i="3"/>
  <c r="V308" i="3"/>
  <c r="M308" i="3"/>
  <c r="L308" i="3"/>
  <c r="I308" i="3"/>
  <c r="H308" i="3"/>
  <c r="F308" i="3"/>
  <c r="D308" i="3"/>
  <c r="A308" i="3"/>
  <c r="V307" i="3"/>
  <c r="M307" i="3"/>
  <c r="L307" i="3"/>
  <c r="I307" i="3"/>
  <c r="H307" i="3"/>
  <c r="F307" i="3"/>
  <c r="D307" i="3"/>
  <c r="A307" i="3"/>
  <c r="V306" i="3"/>
  <c r="M306" i="3"/>
  <c r="L306" i="3"/>
  <c r="I306" i="3"/>
  <c r="H306" i="3"/>
  <c r="F306" i="3"/>
  <c r="D306" i="3"/>
  <c r="A306" i="3"/>
  <c r="V305" i="3"/>
  <c r="M305" i="3"/>
  <c r="L305" i="3"/>
  <c r="I305" i="3"/>
  <c r="H305" i="3"/>
  <c r="F305" i="3"/>
  <c r="D305" i="3"/>
  <c r="A305" i="3"/>
  <c r="V304" i="3"/>
  <c r="M304" i="3"/>
  <c r="L304" i="3"/>
  <c r="I304" i="3"/>
  <c r="H304" i="3"/>
  <c r="F304" i="3"/>
  <c r="D304" i="3"/>
  <c r="A304" i="3"/>
  <c r="V303" i="3"/>
  <c r="M303" i="3"/>
  <c r="L303" i="3"/>
  <c r="I303" i="3"/>
  <c r="H303" i="3"/>
  <c r="F303" i="3"/>
  <c r="D303" i="3"/>
  <c r="A303" i="3"/>
  <c r="V302" i="3"/>
  <c r="M302" i="3"/>
  <c r="L302" i="3"/>
  <c r="I302" i="3"/>
  <c r="H302" i="3"/>
  <c r="F302" i="3"/>
  <c r="D302" i="3"/>
  <c r="A302" i="3"/>
  <c r="V301" i="3"/>
  <c r="M301" i="3"/>
  <c r="L301" i="3"/>
  <c r="I301" i="3"/>
  <c r="H301" i="3"/>
  <c r="F301" i="3"/>
  <c r="D301" i="3"/>
  <c r="A301" i="3"/>
  <c r="V300" i="3"/>
  <c r="M300" i="3"/>
  <c r="L300" i="3"/>
  <c r="I300" i="3"/>
  <c r="H300" i="3"/>
  <c r="F300" i="3"/>
  <c r="D300" i="3"/>
  <c r="A300" i="3"/>
  <c r="V299" i="3"/>
  <c r="M299" i="3"/>
  <c r="L299" i="3"/>
  <c r="I299" i="3"/>
  <c r="H299" i="3"/>
  <c r="F299" i="3"/>
  <c r="D299" i="3"/>
  <c r="A299" i="3"/>
  <c r="V298" i="3"/>
  <c r="M298" i="3"/>
  <c r="L298" i="3"/>
  <c r="I298" i="3"/>
  <c r="H298" i="3"/>
  <c r="F298" i="3"/>
  <c r="D298" i="3"/>
  <c r="A298" i="3"/>
  <c r="V297" i="3"/>
  <c r="M297" i="3"/>
  <c r="L297" i="3"/>
  <c r="I297" i="3"/>
  <c r="H297" i="3"/>
  <c r="F297" i="3"/>
  <c r="D297" i="3"/>
  <c r="A297" i="3"/>
  <c r="V296" i="3"/>
  <c r="M296" i="3"/>
  <c r="L296" i="3"/>
  <c r="I296" i="3"/>
  <c r="H296" i="3"/>
  <c r="F296" i="3"/>
  <c r="D296" i="3"/>
  <c r="A296" i="3"/>
  <c r="V295" i="3"/>
  <c r="M295" i="3"/>
  <c r="L295" i="3"/>
  <c r="I295" i="3"/>
  <c r="H295" i="3"/>
  <c r="F295" i="3"/>
  <c r="D295" i="3"/>
  <c r="A295" i="3"/>
  <c r="V294" i="3"/>
  <c r="M294" i="3"/>
  <c r="L294" i="3"/>
  <c r="I294" i="3"/>
  <c r="H294" i="3"/>
  <c r="F294" i="3"/>
  <c r="D294" i="3"/>
  <c r="A294" i="3"/>
  <c r="V293" i="3"/>
  <c r="M293" i="3"/>
  <c r="L293" i="3"/>
  <c r="I293" i="3"/>
  <c r="H293" i="3"/>
  <c r="F293" i="3"/>
  <c r="D293" i="3"/>
  <c r="A293" i="3"/>
  <c r="V292" i="3"/>
  <c r="M292" i="3"/>
  <c r="L292" i="3"/>
  <c r="I292" i="3"/>
  <c r="H292" i="3"/>
  <c r="F292" i="3"/>
  <c r="D292" i="3"/>
  <c r="A292" i="3"/>
  <c r="V291" i="3"/>
  <c r="M291" i="3"/>
  <c r="L291" i="3"/>
  <c r="I291" i="3"/>
  <c r="H291" i="3"/>
  <c r="F291" i="3"/>
  <c r="D291" i="3"/>
  <c r="A291" i="3"/>
  <c r="V290" i="3"/>
  <c r="M290" i="3"/>
  <c r="L290" i="3"/>
  <c r="I290" i="3"/>
  <c r="H290" i="3"/>
  <c r="F290" i="3"/>
  <c r="D290" i="3"/>
  <c r="A290" i="3"/>
  <c r="V289" i="3"/>
  <c r="M289" i="3"/>
  <c r="L289" i="3"/>
  <c r="I289" i="3"/>
  <c r="H289" i="3"/>
  <c r="F289" i="3"/>
  <c r="D289" i="3"/>
  <c r="A289" i="3"/>
  <c r="V288" i="3"/>
  <c r="M288" i="3"/>
  <c r="L288" i="3"/>
  <c r="I288" i="3"/>
  <c r="H288" i="3"/>
  <c r="F288" i="3"/>
  <c r="D288" i="3"/>
  <c r="A288" i="3"/>
  <c r="V287" i="3"/>
  <c r="M287" i="3"/>
  <c r="L287" i="3"/>
  <c r="I287" i="3"/>
  <c r="H287" i="3"/>
  <c r="F287" i="3"/>
  <c r="D287" i="3"/>
  <c r="A287" i="3"/>
  <c r="V286" i="3"/>
  <c r="M286" i="3"/>
  <c r="L286" i="3"/>
  <c r="I286" i="3"/>
  <c r="H286" i="3"/>
  <c r="F286" i="3"/>
  <c r="D286" i="3"/>
  <c r="A286" i="3"/>
  <c r="V285" i="3"/>
  <c r="M285" i="3"/>
  <c r="L285" i="3"/>
  <c r="I285" i="3"/>
  <c r="H285" i="3"/>
  <c r="F285" i="3"/>
  <c r="D285" i="3"/>
  <c r="A285" i="3"/>
  <c r="V284" i="3"/>
  <c r="M284" i="3"/>
  <c r="L284" i="3"/>
  <c r="I284" i="3"/>
  <c r="H284" i="3"/>
  <c r="F284" i="3"/>
  <c r="D284" i="3"/>
  <c r="A284" i="3"/>
  <c r="V283" i="3"/>
  <c r="M283" i="3"/>
  <c r="L283" i="3"/>
  <c r="I283" i="3"/>
  <c r="H283" i="3"/>
  <c r="F283" i="3"/>
  <c r="D283" i="3"/>
  <c r="A283" i="3"/>
  <c r="V282" i="3"/>
  <c r="M282" i="3"/>
  <c r="L282" i="3"/>
  <c r="I282" i="3"/>
  <c r="H282" i="3"/>
  <c r="F282" i="3"/>
  <c r="D282" i="3"/>
  <c r="A282" i="3"/>
  <c r="V281" i="3"/>
  <c r="M281" i="3"/>
  <c r="L281" i="3"/>
  <c r="I281" i="3"/>
  <c r="H281" i="3"/>
  <c r="F281" i="3"/>
  <c r="D281" i="3"/>
  <c r="A281" i="3"/>
  <c r="V280" i="3"/>
  <c r="M280" i="3"/>
  <c r="L280" i="3"/>
  <c r="I280" i="3"/>
  <c r="H280" i="3"/>
  <c r="F280" i="3"/>
  <c r="D280" i="3"/>
  <c r="A280" i="3"/>
  <c r="V279" i="3"/>
  <c r="M279" i="3"/>
  <c r="L279" i="3"/>
  <c r="I279" i="3"/>
  <c r="H279" i="3"/>
  <c r="F279" i="3"/>
  <c r="D279" i="3"/>
  <c r="A279" i="3"/>
  <c r="V278" i="3"/>
  <c r="M278" i="3"/>
  <c r="L278" i="3"/>
  <c r="I278" i="3"/>
  <c r="H278" i="3"/>
  <c r="F278" i="3"/>
  <c r="D278" i="3"/>
  <c r="A278" i="3"/>
  <c r="V277" i="3"/>
  <c r="M277" i="3"/>
  <c r="L277" i="3"/>
  <c r="I277" i="3"/>
  <c r="H277" i="3"/>
  <c r="F277" i="3"/>
  <c r="D277" i="3"/>
  <c r="A277" i="3"/>
  <c r="V276" i="3"/>
  <c r="M276" i="3"/>
  <c r="L276" i="3"/>
  <c r="I276" i="3"/>
  <c r="H276" i="3"/>
  <c r="F276" i="3"/>
  <c r="D276" i="3"/>
  <c r="A276" i="3"/>
  <c r="V275" i="3"/>
  <c r="M275" i="3"/>
  <c r="L275" i="3"/>
  <c r="I275" i="3"/>
  <c r="H275" i="3"/>
  <c r="F275" i="3"/>
  <c r="D275" i="3"/>
  <c r="A275" i="3"/>
  <c r="V274" i="3"/>
  <c r="M274" i="3"/>
  <c r="L274" i="3"/>
  <c r="I274" i="3"/>
  <c r="H274" i="3"/>
  <c r="F274" i="3"/>
  <c r="D274" i="3"/>
  <c r="A274" i="3"/>
  <c r="V273" i="3"/>
  <c r="M273" i="3"/>
  <c r="L273" i="3"/>
  <c r="I273" i="3"/>
  <c r="H273" i="3"/>
  <c r="F273" i="3"/>
  <c r="D273" i="3"/>
  <c r="A273" i="3"/>
  <c r="V272" i="3"/>
  <c r="M272" i="3"/>
  <c r="L272" i="3"/>
  <c r="I272" i="3"/>
  <c r="H272" i="3"/>
  <c r="F272" i="3"/>
  <c r="D272" i="3"/>
  <c r="A272" i="3"/>
  <c r="V271" i="3"/>
  <c r="M271" i="3"/>
  <c r="L271" i="3"/>
  <c r="I271" i="3"/>
  <c r="H271" i="3"/>
  <c r="F271" i="3"/>
  <c r="D271" i="3"/>
  <c r="A271" i="3"/>
  <c r="V270" i="3"/>
  <c r="M270" i="3"/>
  <c r="L270" i="3"/>
  <c r="I270" i="3"/>
  <c r="H270" i="3"/>
  <c r="F270" i="3"/>
  <c r="D270" i="3"/>
  <c r="A270" i="3"/>
  <c r="V269" i="3"/>
  <c r="M269" i="3"/>
  <c r="L269" i="3"/>
  <c r="I269" i="3"/>
  <c r="H269" i="3"/>
  <c r="F269" i="3"/>
  <c r="D269" i="3"/>
  <c r="A269" i="3"/>
  <c r="V268" i="3"/>
  <c r="M268" i="3"/>
  <c r="L268" i="3"/>
  <c r="I268" i="3"/>
  <c r="H268" i="3"/>
  <c r="F268" i="3"/>
  <c r="D268" i="3"/>
  <c r="A268" i="3"/>
  <c r="V267" i="3"/>
  <c r="M267" i="3"/>
  <c r="L267" i="3"/>
  <c r="I267" i="3"/>
  <c r="H267" i="3"/>
  <c r="F267" i="3"/>
  <c r="D267" i="3"/>
  <c r="A267" i="3"/>
  <c r="V266" i="3"/>
  <c r="M266" i="3"/>
  <c r="L266" i="3"/>
  <c r="I266" i="3"/>
  <c r="H266" i="3"/>
  <c r="F266" i="3"/>
  <c r="D266" i="3"/>
  <c r="A266" i="3"/>
  <c r="V265" i="3"/>
  <c r="M265" i="3"/>
  <c r="L265" i="3"/>
  <c r="I265" i="3"/>
  <c r="H265" i="3"/>
  <c r="F265" i="3"/>
  <c r="D265" i="3"/>
  <c r="A265" i="3"/>
  <c r="V264" i="3"/>
  <c r="M264" i="3"/>
  <c r="L264" i="3"/>
  <c r="I264" i="3"/>
  <c r="H264" i="3"/>
  <c r="F264" i="3"/>
  <c r="D264" i="3"/>
  <c r="A264" i="3"/>
  <c r="V263" i="3"/>
  <c r="M263" i="3"/>
  <c r="L263" i="3"/>
  <c r="I263" i="3"/>
  <c r="H263" i="3"/>
  <c r="F263" i="3"/>
  <c r="D263" i="3"/>
  <c r="A263" i="3"/>
  <c r="V262" i="3"/>
  <c r="M262" i="3"/>
  <c r="L262" i="3"/>
  <c r="I262" i="3"/>
  <c r="H262" i="3"/>
  <c r="F262" i="3"/>
  <c r="D262" i="3"/>
  <c r="A262" i="3"/>
  <c r="V261" i="3"/>
  <c r="M261" i="3"/>
  <c r="L261" i="3"/>
  <c r="I261" i="3"/>
  <c r="H261" i="3"/>
  <c r="F261" i="3"/>
  <c r="D261" i="3"/>
  <c r="A261" i="3"/>
  <c r="V260" i="3"/>
  <c r="M260" i="3"/>
  <c r="L260" i="3"/>
  <c r="I260" i="3"/>
  <c r="H260" i="3"/>
  <c r="F260" i="3"/>
  <c r="D260" i="3"/>
  <c r="A260" i="3"/>
  <c r="V259" i="3"/>
  <c r="M259" i="3"/>
  <c r="L259" i="3"/>
  <c r="I259" i="3"/>
  <c r="H259" i="3"/>
  <c r="F259" i="3"/>
  <c r="D259" i="3"/>
  <c r="A259" i="3"/>
  <c r="V258" i="3"/>
  <c r="M258" i="3"/>
  <c r="L258" i="3"/>
  <c r="I258" i="3"/>
  <c r="H258" i="3"/>
  <c r="F258" i="3"/>
  <c r="D258" i="3"/>
  <c r="A258" i="3"/>
  <c r="V257" i="3"/>
  <c r="M257" i="3"/>
  <c r="L257" i="3"/>
  <c r="I257" i="3"/>
  <c r="H257" i="3"/>
  <c r="F257" i="3"/>
  <c r="D257" i="3"/>
  <c r="A257" i="3"/>
  <c r="V256" i="3"/>
  <c r="M256" i="3"/>
  <c r="L256" i="3"/>
  <c r="I256" i="3"/>
  <c r="H256" i="3"/>
  <c r="F256" i="3"/>
  <c r="D256" i="3"/>
  <c r="A256" i="3"/>
  <c r="V255" i="3"/>
  <c r="M255" i="3"/>
  <c r="L255" i="3"/>
  <c r="I255" i="3"/>
  <c r="H255" i="3"/>
  <c r="F255" i="3"/>
  <c r="D255" i="3"/>
  <c r="A255" i="3"/>
  <c r="V254" i="3"/>
  <c r="M254" i="3"/>
  <c r="L254" i="3"/>
  <c r="I254" i="3"/>
  <c r="H254" i="3"/>
  <c r="F254" i="3"/>
  <c r="D254" i="3"/>
  <c r="A254" i="3"/>
  <c r="V253" i="3"/>
  <c r="M253" i="3"/>
  <c r="L253" i="3"/>
  <c r="I253" i="3"/>
  <c r="H253" i="3"/>
  <c r="F253" i="3"/>
  <c r="D253" i="3"/>
  <c r="A253" i="3"/>
  <c r="V252" i="3"/>
  <c r="M252" i="3"/>
  <c r="L252" i="3"/>
  <c r="I252" i="3"/>
  <c r="H252" i="3"/>
  <c r="F252" i="3"/>
  <c r="D252" i="3"/>
  <c r="A252" i="3"/>
  <c r="V251" i="3"/>
  <c r="M251" i="3"/>
  <c r="L251" i="3"/>
  <c r="I251" i="3"/>
  <c r="H251" i="3"/>
  <c r="F251" i="3"/>
  <c r="D251" i="3"/>
  <c r="A251" i="3"/>
  <c r="V250" i="3"/>
  <c r="M250" i="3"/>
  <c r="L250" i="3"/>
  <c r="I250" i="3"/>
  <c r="H250" i="3"/>
  <c r="F250" i="3"/>
  <c r="D250" i="3"/>
  <c r="A250" i="3"/>
  <c r="V249" i="3"/>
  <c r="M249" i="3"/>
  <c r="L249" i="3"/>
  <c r="I249" i="3"/>
  <c r="H249" i="3"/>
  <c r="F249" i="3"/>
  <c r="D249" i="3"/>
  <c r="A249" i="3"/>
  <c r="V248" i="3"/>
  <c r="M248" i="3"/>
  <c r="L248" i="3"/>
  <c r="I248" i="3"/>
  <c r="H248" i="3"/>
  <c r="F248" i="3"/>
  <c r="D248" i="3"/>
  <c r="A248" i="3"/>
  <c r="V247" i="3"/>
  <c r="M247" i="3"/>
  <c r="L247" i="3"/>
  <c r="I247" i="3"/>
  <c r="H247" i="3"/>
  <c r="F247" i="3"/>
  <c r="D247" i="3"/>
  <c r="A247" i="3"/>
  <c r="V246" i="3"/>
  <c r="M246" i="3"/>
  <c r="L246" i="3"/>
  <c r="I246" i="3"/>
  <c r="H246" i="3"/>
  <c r="F246" i="3"/>
  <c r="D246" i="3"/>
  <c r="A246" i="3"/>
  <c r="V245" i="3"/>
  <c r="M245" i="3"/>
  <c r="L245" i="3"/>
  <c r="I245" i="3"/>
  <c r="H245" i="3"/>
  <c r="F245" i="3"/>
  <c r="D245" i="3"/>
  <c r="A245" i="3"/>
  <c r="V244" i="3"/>
  <c r="M244" i="3"/>
  <c r="L244" i="3"/>
  <c r="I244" i="3"/>
  <c r="H244" i="3"/>
  <c r="F244" i="3"/>
  <c r="D244" i="3"/>
  <c r="A244" i="3"/>
  <c r="V243" i="3"/>
  <c r="M243" i="3"/>
  <c r="L243" i="3"/>
  <c r="I243" i="3"/>
  <c r="H243" i="3"/>
  <c r="F243" i="3"/>
  <c r="D243" i="3"/>
  <c r="A243" i="3"/>
  <c r="V242" i="3"/>
  <c r="M242" i="3"/>
  <c r="L242" i="3"/>
  <c r="I242" i="3"/>
  <c r="H242" i="3"/>
  <c r="F242" i="3"/>
  <c r="D242" i="3"/>
  <c r="A242" i="3"/>
  <c r="V241" i="3"/>
  <c r="M241" i="3"/>
  <c r="L241" i="3"/>
  <c r="I241" i="3"/>
  <c r="H241" i="3"/>
  <c r="F241" i="3"/>
  <c r="D241" i="3"/>
  <c r="A241" i="3"/>
  <c r="V240" i="3"/>
  <c r="M240" i="3"/>
  <c r="L240" i="3"/>
  <c r="I240" i="3"/>
  <c r="H240" i="3"/>
  <c r="F240" i="3"/>
  <c r="D240" i="3"/>
  <c r="A240" i="3"/>
  <c r="V239" i="3"/>
  <c r="M239" i="3"/>
  <c r="L239" i="3"/>
  <c r="I239" i="3"/>
  <c r="H239" i="3"/>
  <c r="F239" i="3"/>
  <c r="D239" i="3"/>
  <c r="A239" i="3"/>
  <c r="V238" i="3"/>
  <c r="M238" i="3"/>
  <c r="L238" i="3"/>
  <c r="I238" i="3"/>
  <c r="H238" i="3"/>
  <c r="F238" i="3"/>
  <c r="D238" i="3"/>
  <c r="A238" i="3"/>
  <c r="V237" i="3"/>
  <c r="M237" i="3"/>
  <c r="L237" i="3"/>
  <c r="I237" i="3"/>
  <c r="H237" i="3"/>
  <c r="F237" i="3"/>
  <c r="D237" i="3"/>
  <c r="A237" i="3"/>
  <c r="V236" i="3"/>
  <c r="M236" i="3"/>
  <c r="L236" i="3"/>
  <c r="I236" i="3"/>
  <c r="H236" i="3"/>
  <c r="F236" i="3"/>
  <c r="D236" i="3"/>
  <c r="A236" i="3"/>
  <c r="V235" i="3"/>
  <c r="M235" i="3"/>
  <c r="L235" i="3"/>
  <c r="I235" i="3"/>
  <c r="H235" i="3"/>
  <c r="F235" i="3"/>
  <c r="D235" i="3"/>
  <c r="A235" i="3"/>
  <c r="V234" i="3"/>
  <c r="M234" i="3"/>
  <c r="L234" i="3"/>
  <c r="I234" i="3"/>
  <c r="H234" i="3"/>
  <c r="F234" i="3"/>
  <c r="D234" i="3"/>
  <c r="A234" i="3"/>
  <c r="V233" i="3"/>
  <c r="M233" i="3"/>
  <c r="L233" i="3"/>
  <c r="I233" i="3"/>
  <c r="H233" i="3"/>
  <c r="F233" i="3"/>
  <c r="D233" i="3"/>
  <c r="A233" i="3"/>
  <c r="V232" i="3"/>
  <c r="M232" i="3"/>
  <c r="L232" i="3"/>
  <c r="I232" i="3"/>
  <c r="H232" i="3"/>
  <c r="F232" i="3"/>
  <c r="D232" i="3"/>
  <c r="A232" i="3"/>
  <c r="V231" i="3"/>
  <c r="M231" i="3"/>
  <c r="L231" i="3"/>
  <c r="I231" i="3"/>
  <c r="H231" i="3"/>
  <c r="F231" i="3"/>
  <c r="D231" i="3"/>
  <c r="A231" i="3"/>
  <c r="V230" i="3"/>
  <c r="M230" i="3"/>
  <c r="L230" i="3"/>
  <c r="I230" i="3"/>
  <c r="H230" i="3"/>
  <c r="F230" i="3"/>
  <c r="D230" i="3"/>
  <c r="A230" i="3"/>
  <c r="V229" i="3"/>
  <c r="M229" i="3"/>
  <c r="L229" i="3"/>
  <c r="I229" i="3"/>
  <c r="H229" i="3"/>
  <c r="F229" i="3"/>
  <c r="D229" i="3"/>
  <c r="A229" i="3"/>
  <c r="V228" i="3"/>
  <c r="M228" i="3"/>
  <c r="L228" i="3"/>
  <c r="I228" i="3"/>
  <c r="H228" i="3"/>
  <c r="F228" i="3"/>
  <c r="D228" i="3"/>
  <c r="A228" i="3"/>
  <c r="V227" i="3"/>
  <c r="M227" i="3"/>
  <c r="L227" i="3"/>
  <c r="I227" i="3"/>
  <c r="H227" i="3"/>
  <c r="F227" i="3"/>
  <c r="D227" i="3"/>
  <c r="A227" i="3"/>
  <c r="V226" i="3"/>
  <c r="M226" i="3"/>
  <c r="L226" i="3"/>
  <c r="I226" i="3"/>
  <c r="H226" i="3"/>
  <c r="F226" i="3"/>
  <c r="D226" i="3"/>
  <c r="A226" i="3"/>
  <c r="V225" i="3"/>
  <c r="M225" i="3"/>
  <c r="L225" i="3"/>
  <c r="I225" i="3"/>
  <c r="H225" i="3"/>
  <c r="F225" i="3"/>
  <c r="D225" i="3"/>
  <c r="A225" i="3"/>
  <c r="V224" i="3"/>
  <c r="M224" i="3"/>
  <c r="L224" i="3"/>
  <c r="I224" i="3"/>
  <c r="H224" i="3"/>
  <c r="F224" i="3"/>
  <c r="D224" i="3"/>
  <c r="A224" i="3"/>
  <c r="V223" i="3"/>
  <c r="M223" i="3"/>
  <c r="L223" i="3"/>
  <c r="I223" i="3"/>
  <c r="H223" i="3"/>
  <c r="F223" i="3"/>
  <c r="D223" i="3"/>
  <c r="A223" i="3"/>
  <c r="V222" i="3"/>
  <c r="M222" i="3"/>
  <c r="L222" i="3"/>
  <c r="I222" i="3"/>
  <c r="H222" i="3"/>
  <c r="F222" i="3"/>
  <c r="D222" i="3"/>
  <c r="A222" i="3"/>
  <c r="V221" i="3"/>
  <c r="M221" i="3"/>
  <c r="L221" i="3"/>
  <c r="I221" i="3"/>
  <c r="H221" i="3"/>
  <c r="F221" i="3"/>
  <c r="D221" i="3"/>
  <c r="A221" i="3"/>
  <c r="V220" i="3"/>
  <c r="M220" i="3"/>
  <c r="L220" i="3"/>
  <c r="I220" i="3"/>
  <c r="H220" i="3"/>
  <c r="F220" i="3"/>
  <c r="D220" i="3"/>
  <c r="A220" i="3"/>
  <c r="V219" i="3"/>
  <c r="M219" i="3"/>
  <c r="L219" i="3"/>
  <c r="I219" i="3"/>
  <c r="H219" i="3"/>
  <c r="F219" i="3"/>
  <c r="D219" i="3"/>
  <c r="A219" i="3"/>
  <c r="V218" i="3"/>
  <c r="M218" i="3"/>
  <c r="L218" i="3"/>
  <c r="I218" i="3"/>
  <c r="H218" i="3"/>
  <c r="F218" i="3"/>
  <c r="D218" i="3"/>
  <c r="A218" i="3"/>
  <c r="V217" i="3"/>
  <c r="M217" i="3"/>
  <c r="L217" i="3"/>
  <c r="I217" i="3"/>
  <c r="H217" i="3"/>
  <c r="F217" i="3"/>
  <c r="D217" i="3"/>
  <c r="A217" i="3"/>
  <c r="V216" i="3"/>
  <c r="M216" i="3"/>
  <c r="L216" i="3"/>
  <c r="I216" i="3"/>
  <c r="H216" i="3"/>
  <c r="F216" i="3"/>
  <c r="D216" i="3"/>
  <c r="A216" i="3"/>
  <c r="V215" i="3"/>
  <c r="M215" i="3"/>
  <c r="L215" i="3"/>
  <c r="I215" i="3"/>
  <c r="H215" i="3"/>
  <c r="F215" i="3"/>
  <c r="D215" i="3"/>
  <c r="A215" i="3"/>
  <c r="V214" i="3"/>
  <c r="M214" i="3"/>
  <c r="L214" i="3"/>
  <c r="I214" i="3"/>
  <c r="H214" i="3"/>
  <c r="F214" i="3"/>
  <c r="D214" i="3"/>
  <c r="A214" i="3"/>
  <c r="V213" i="3"/>
  <c r="I213" i="3"/>
  <c r="H213" i="3"/>
  <c r="F213" i="3"/>
  <c r="D213" i="3"/>
  <c r="A213" i="3"/>
  <c r="V212" i="3"/>
  <c r="M212" i="3"/>
  <c r="L212" i="3"/>
  <c r="I212" i="3"/>
  <c r="H212" i="3"/>
  <c r="F212" i="3"/>
  <c r="D212" i="3"/>
  <c r="A212" i="3"/>
  <c r="V211" i="3"/>
  <c r="M211" i="3"/>
  <c r="L211" i="3"/>
  <c r="I211" i="3"/>
  <c r="H211" i="3"/>
  <c r="F211" i="3"/>
  <c r="D211" i="3"/>
  <c r="A211" i="3"/>
  <c r="V210" i="3"/>
  <c r="M210" i="3"/>
  <c r="L210" i="3"/>
  <c r="I210" i="3"/>
  <c r="H210" i="3"/>
  <c r="F210" i="3"/>
  <c r="D210" i="3"/>
  <c r="A210" i="3"/>
  <c r="V209" i="3"/>
  <c r="M209" i="3"/>
  <c r="L209" i="3"/>
  <c r="I209" i="3"/>
  <c r="H209" i="3"/>
  <c r="F209" i="3"/>
  <c r="D209" i="3"/>
  <c r="A209" i="3"/>
  <c r="V208" i="3"/>
  <c r="M208" i="3"/>
  <c r="L208" i="3"/>
  <c r="I208" i="3"/>
  <c r="H208" i="3"/>
  <c r="F208" i="3"/>
  <c r="D208" i="3"/>
  <c r="A208" i="3"/>
  <c r="V207" i="3"/>
  <c r="M207" i="3"/>
  <c r="L207" i="3"/>
  <c r="I207" i="3"/>
  <c r="H207" i="3"/>
  <c r="F207" i="3"/>
  <c r="D207" i="3"/>
  <c r="A207" i="3"/>
  <c r="V206" i="3"/>
  <c r="M206" i="3"/>
  <c r="L206" i="3"/>
  <c r="I206" i="3"/>
  <c r="H206" i="3"/>
  <c r="F206" i="3"/>
  <c r="D206" i="3"/>
  <c r="A206" i="3"/>
  <c r="V205" i="3"/>
  <c r="M205" i="3"/>
  <c r="L205" i="3"/>
  <c r="I205" i="3"/>
  <c r="H205" i="3"/>
  <c r="F205" i="3"/>
  <c r="D205" i="3"/>
  <c r="A205" i="3"/>
  <c r="V204" i="3"/>
  <c r="M204" i="3"/>
  <c r="L204" i="3"/>
  <c r="I204" i="3"/>
  <c r="H204" i="3"/>
  <c r="F204" i="3"/>
  <c r="D204" i="3"/>
  <c r="A204" i="3"/>
  <c r="V203" i="3"/>
  <c r="M203" i="3"/>
  <c r="L203" i="3"/>
  <c r="I203" i="3"/>
  <c r="H203" i="3"/>
  <c r="F203" i="3"/>
  <c r="D203" i="3"/>
  <c r="A203" i="3"/>
  <c r="V202" i="3"/>
  <c r="M202" i="3"/>
  <c r="L202" i="3"/>
  <c r="I202" i="3"/>
  <c r="H202" i="3"/>
  <c r="F202" i="3"/>
  <c r="D202" i="3"/>
  <c r="A202" i="3"/>
  <c r="V201" i="3"/>
  <c r="M201" i="3"/>
  <c r="L201" i="3"/>
  <c r="I201" i="3"/>
  <c r="H201" i="3"/>
  <c r="F201" i="3"/>
  <c r="D201" i="3"/>
  <c r="A201" i="3"/>
  <c r="V200" i="3"/>
  <c r="M200" i="3"/>
  <c r="L200" i="3"/>
  <c r="I200" i="3"/>
  <c r="H200" i="3"/>
  <c r="F200" i="3"/>
  <c r="D200" i="3"/>
  <c r="A200" i="3"/>
  <c r="V199" i="3"/>
  <c r="M199" i="3"/>
  <c r="L199" i="3"/>
  <c r="I199" i="3"/>
  <c r="H199" i="3"/>
  <c r="F199" i="3"/>
  <c r="D199" i="3"/>
  <c r="A199" i="3"/>
  <c r="V198" i="3"/>
  <c r="M198" i="3"/>
  <c r="L198" i="3"/>
  <c r="I198" i="3"/>
  <c r="H198" i="3"/>
  <c r="F198" i="3"/>
  <c r="D198" i="3"/>
  <c r="A198" i="3"/>
  <c r="V197" i="3"/>
  <c r="M197" i="3"/>
  <c r="L197" i="3"/>
  <c r="I197" i="3"/>
  <c r="H197" i="3"/>
  <c r="F197" i="3"/>
  <c r="D197" i="3"/>
  <c r="A197" i="3"/>
  <c r="V196" i="3"/>
  <c r="M196" i="3"/>
  <c r="L196" i="3"/>
  <c r="I196" i="3"/>
  <c r="H196" i="3"/>
  <c r="F196" i="3"/>
  <c r="D196" i="3"/>
  <c r="A196" i="3"/>
  <c r="V195" i="3"/>
  <c r="M195" i="3"/>
  <c r="L195" i="3"/>
  <c r="I195" i="3"/>
  <c r="H195" i="3"/>
  <c r="F195" i="3"/>
  <c r="D195" i="3"/>
  <c r="A195" i="3"/>
  <c r="V194" i="3"/>
  <c r="M194" i="3"/>
  <c r="L194" i="3"/>
  <c r="I194" i="3"/>
  <c r="H194" i="3"/>
  <c r="F194" i="3"/>
  <c r="D194" i="3"/>
  <c r="A194" i="3"/>
  <c r="V193" i="3"/>
  <c r="M193" i="3"/>
  <c r="L193" i="3"/>
  <c r="I193" i="3"/>
  <c r="H193" i="3"/>
  <c r="F193" i="3"/>
  <c r="D193" i="3"/>
  <c r="A193" i="3"/>
  <c r="V192" i="3"/>
  <c r="M192" i="3"/>
  <c r="L192" i="3"/>
  <c r="I192" i="3"/>
  <c r="H192" i="3"/>
  <c r="F192" i="3"/>
  <c r="D192" i="3"/>
  <c r="A192" i="3"/>
  <c r="V191" i="3"/>
  <c r="M191" i="3"/>
  <c r="L191" i="3"/>
  <c r="I191" i="3"/>
  <c r="H191" i="3"/>
  <c r="F191" i="3"/>
  <c r="D191" i="3"/>
  <c r="A191" i="3"/>
  <c r="V190" i="3"/>
  <c r="M190" i="3"/>
  <c r="L190" i="3"/>
  <c r="I190" i="3"/>
  <c r="H190" i="3"/>
  <c r="F190" i="3"/>
  <c r="D190" i="3"/>
  <c r="A190" i="3"/>
  <c r="V189" i="3"/>
  <c r="M189" i="3"/>
  <c r="L189" i="3"/>
  <c r="I189" i="3"/>
  <c r="H189" i="3"/>
  <c r="F189" i="3"/>
  <c r="D189" i="3"/>
  <c r="A189" i="3"/>
  <c r="V188" i="3"/>
  <c r="M188" i="3"/>
  <c r="L188" i="3"/>
  <c r="I188" i="3"/>
  <c r="H188" i="3"/>
  <c r="F188" i="3"/>
  <c r="D188" i="3"/>
  <c r="A188" i="3"/>
  <c r="V187" i="3"/>
  <c r="M187" i="3"/>
  <c r="L187" i="3"/>
  <c r="I187" i="3"/>
  <c r="H187" i="3"/>
  <c r="F187" i="3"/>
  <c r="D187" i="3"/>
  <c r="A187" i="3"/>
  <c r="V186" i="3"/>
  <c r="M186" i="3"/>
  <c r="L186" i="3"/>
  <c r="I186" i="3"/>
  <c r="H186" i="3"/>
  <c r="F186" i="3"/>
  <c r="D186" i="3"/>
  <c r="A186" i="3"/>
  <c r="V185" i="3"/>
  <c r="M185" i="3"/>
  <c r="L185" i="3"/>
  <c r="I185" i="3"/>
  <c r="H185" i="3"/>
  <c r="F185" i="3"/>
  <c r="D185" i="3"/>
  <c r="A185" i="3"/>
  <c r="V184" i="3"/>
  <c r="M184" i="3"/>
  <c r="L184" i="3"/>
  <c r="I184" i="3"/>
  <c r="H184" i="3"/>
  <c r="F184" i="3"/>
  <c r="D184" i="3"/>
  <c r="A184" i="3"/>
  <c r="V183" i="3"/>
  <c r="M183" i="3"/>
  <c r="L183" i="3"/>
  <c r="I183" i="3"/>
  <c r="H183" i="3"/>
  <c r="F183" i="3"/>
  <c r="D183" i="3"/>
  <c r="A183" i="3"/>
  <c r="V182" i="3"/>
  <c r="M182" i="3"/>
  <c r="L182" i="3"/>
  <c r="I182" i="3"/>
  <c r="H182" i="3"/>
  <c r="F182" i="3"/>
  <c r="D182" i="3"/>
  <c r="A182" i="3"/>
  <c r="V181" i="3"/>
  <c r="M181" i="3"/>
  <c r="L181" i="3"/>
  <c r="I181" i="3"/>
  <c r="H181" i="3"/>
  <c r="F181" i="3"/>
  <c r="D181" i="3"/>
  <c r="A181" i="3"/>
  <c r="V180" i="3"/>
  <c r="M180" i="3"/>
  <c r="L180" i="3"/>
  <c r="I180" i="3"/>
  <c r="H180" i="3"/>
  <c r="F180" i="3"/>
  <c r="D180" i="3"/>
  <c r="A180" i="3"/>
  <c r="V179" i="3"/>
  <c r="M179" i="3"/>
  <c r="L179" i="3"/>
  <c r="I179" i="3"/>
  <c r="H179" i="3"/>
  <c r="F179" i="3"/>
  <c r="D179" i="3"/>
  <c r="A179" i="3"/>
  <c r="V178" i="3"/>
  <c r="M178" i="3"/>
  <c r="L178" i="3"/>
  <c r="I178" i="3"/>
  <c r="H178" i="3"/>
  <c r="F178" i="3"/>
  <c r="D178" i="3"/>
  <c r="A178" i="3"/>
  <c r="V177" i="3"/>
  <c r="M177" i="3"/>
  <c r="L177" i="3"/>
  <c r="I177" i="3"/>
  <c r="H177" i="3"/>
  <c r="F177" i="3"/>
  <c r="D177" i="3"/>
  <c r="A177" i="3"/>
  <c r="V176" i="3"/>
  <c r="M176" i="3"/>
  <c r="L176" i="3"/>
  <c r="I176" i="3"/>
  <c r="H176" i="3"/>
  <c r="F176" i="3"/>
  <c r="D176" i="3"/>
  <c r="A176" i="3"/>
  <c r="V175" i="3"/>
  <c r="M175" i="3"/>
  <c r="L175" i="3"/>
  <c r="I175" i="3"/>
  <c r="H175" i="3"/>
  <c r="F175" i="3"/>
  <c r="D175" i="3"/>
  <c r="A175" i="3"/>
  <c r="V174" i="3"/>
  <c r="M174" i="3"/>
  <c r="L174" i="3"/>
  <c r="I174" i="3"/>
  <c r="H174" i="3"/>
  <c r="F174" i="3"/>
  <c r="D174" i="3"/>
  <c r="A174" i="3"/>
  <c r="V173" i="3"/>
  <c r="M173" i="3"/>
  <c r="L173" i="3"/>
  <c r="I173" i="3"/>
  <c r="H173" i="3"/>
  <c r="F173" i="3"/>
  <c r="D173" i="3"/>
  <c r="A173" i="3"/>
  <c r="V172" i="3"/>
  <c r="M172" i="3"/>
  <c r="L172" i="3"/>
  <c r="I172" i="3"/>
  <c r="H172" i="3"/>
  <c r="F172" i="3"/>
  <c r="D172" i="3"/>
  <c r="A172" i="3"/>
  <c r="V171" i="3"/>
  <c r="M171" i="3"/>
  <c r="L171" i="3"/>
  <c r="I171" i="3"/>
  <c r="H171" i="3"/>
  <c r="F171" i="3"/>
  <c r="D171" i="3"/>
  <c r="A171" i="3"/>
  <c r="V170" i="3"/>
  <c r="M170" i="3"/>
  <c r="L170" i="3"/>
  <c r="I170" i="3"/>
  <c r="H170" i="3"/>
  <c r="F170" i="3"/>
  <c r="D170" i="3"/>
  <c r="A170" i="3"/>
  <c r="V169" i="3"/>
  <c r="M169" i="3"/>
  <c r="L169" i="3"/>
  <c r="I169" i="3"/>
  <c r="H169" i="3"/>
  <c r="F169" i="3"/>
  <c r="D169" i="3"/>
  <c r="A169" i="3"/>
  <c r="V168" i="3"/>
  <c r="M168" i="3"/>
  <c r="L168" i="3"/>
  <c r="I168" i="3"/>
  <c r="H168" i="3"/>
  <c r="F168" i="3"/>
  <c r="D168" i="3"/>
  <c r="A168" i="3"/>
  <c r="V167" i="3"/>
  <c r="M167" i="3"/>
  <c r="L167" i="3"/>
  <c r="I167" i="3"/>
  <c r="H167" i="3"/>
  <c r="F167" i="3"/>
  <c r="D167" i="3"/>
  <c r="A167" i="3"/>
  <c r="V166" i="3"/>
  <c r="M166" i="3"/>
  <c r="L166" i="3"/>
  <c r="I166" i="3"/>
  <c r="H166" i="3"/>
  <c r="F166" i="3"/>
  <c r="D166" i="3"/>
  <c r="A166" i="3"/>
  <c r="V165" i="3"/>
  <c r="M165" i="3"/>
  <c r="L165" i="3"/>
  <c r="I165" i="3"/>
  <c r="H165" i="3"/>
  <c r="F165" i="3"/>
  <c r="D165" i="3"/>
  <c r="A165" i="3"/>
  <c r="V164" i="3"/>
  <c r="M164" i="3"/>
  <c r="L164" i="3"/>
  <c r="I164" i="3"/>
  <c r="H164" i="3"/>
  <c r="F164" i="3"/>
  <c r="D164" i="3"/>
  <c r="A164" i="3"/>
  <c r="V163" i="3"/>
  <c r="M163" i="3"/>
  <c r="L163" i="3"/>
  <c r="I163" i="3"/>
  <c r="H163" i="3"/>
  <c r="F163" i="3"/>
  <c r="D163" i="3"/>
  <c r="A163" i="3"/>
  <c r="V162" i="3"/>
  <c r="M162" i="3"/>
  <c r="L162" i="3"/>
  <c r="I162" i="3"/>
  <c r="H162" i="3"/>
  <c r="F162" i="3"/>
  <c r="D162" i="3"/>
  <c r="A162" i="3"/>
  <c r="V161" i="3"/>
  <c r="M161" i="3"/>
  <c r="L161" i="3"/>
  <c r="I161" i="3"/>
  <c r="H161" i="3"/>
  <c r="F161" i="3"/>
  <c r="D161" i="3"/>
  <c r="A161" i="3"/>
  <c r="V160" i="3"/>
  <c r="M160" i="3"/>
  <c r="L160" i="3"/>
  <c r="I160" i="3"/>
  <c r="H160" i="3"/>
  <c r="F160" i="3"/>
  <c r="D160" i="3"/>
  <c r="A160" i="3"/>
  <c r="V159" i="3"/>
  <c r="M159" i="3"/>
  <c r="L159" i="3"/>
  <c r="I159" i="3"/>
  <c r="H159" i="3"/>
  <c r="F159" i="3"/>
  <c r="D159" i="3"/>
  <c r="A159" i="3"/>
  <c r="V158" i="3"/>
  <c r="M158" i="3"/>
  <c r="L158" i="3"/>
  <c r="I158" i="3"/>
  <c r="H158" i="3"/>
  <c r="F158" i="3"/>
  <c r="D158" i="3"/>
  <c r="A158" i="3"/>
  <c r="V157" i="3"/>
  <c r="M157" i="3"/>
  <c r="L157" i="3"/>
  <c r="I157" i="3"/>
  <c r="H157" i="3"/>
  <c r="F157" i="3"/>
  <c r="D157" i="3"/>
  <c r="A157" i="3"/>
  <c r="V156" i="3"/>
  <c r="M156" i="3"/>
  <c r="L156" i="3"/>
  <c r="I156" i="3"/>
  <c r="H156" i="3"/>
  <c r="F156" i="3"/>
  <c r="D156" i="3"/>
  <c r="A156" i="3"/>
  <c r="V155" i="3"/>
  <c r="M155" i="3"/>
  <c r="L155" i="3"/>
  <c r="I155" i="3"/>
  <c r="H155" i="3"/>
  <c r="F155" i="3"/>
  <c r="D155" i="3"/>
  <c r="A155" i="3"/>
  <c r="V154" i="3"/>
  <c r="M154" i="3"/>
  <c r="L154" i="3"/>
  <c r="I154" i="3"/>
  <c r="H154" i="3"/>
  <c r="F154" i="3"/>
  <c r="D154" i="3"/>
  <c r="A154" i="3"/>
  <c r="V153" i="3"/>
  <c r="M153" i="3"/>
  <c r="L153" i="3"/>
  <c r="I153" i="3"/>
  <c r="H153" i="3"/>
  <c r="F153" i="3"/>
  <c r="D153" i="3"/>
  <c r="A153" i="3"/>
  <c r="V152" i="3"/>
  <c r="M152" i="3"/>
  <c r="L152" i="3"/>
  <c r="I152" i="3"/>
  <c r="H152" i="3"/>
  <c r="F152" i="3"/>
  <c r="D152" i="3"/>
  <c r="A152" i="3"/>
  <c r="V151" i="3"/>
  <c r="M151" i="3"/>
  <c r="L151" i="3"/>
  <c r="I151" i="3"/>
  <c r="H151" i="3"/>
  <c r="F151" i="3"/>
  <c r="D151" i="3"/>
  <c r="A151" i="3"/>
  <c r="V150" i="3"/>
  <c r="M150" i="3"/>
  <c r="L150" i="3"/>
  <c r="I150" i="3"/>
  <c r="H150" i="3"/>
  <c r="F150" i="3"/>
  <c r="D150" i="3"/>
  <c r="A150" i="3"/>
  <c r="V149" i="3"/>
  <c r="M149" i="3"/>
  <c r="L149" i="3"/>
  <c r="I149" i="3"/>
  <c r="H149" i="3"/>
  <c r="F149" i="3"/>
  <c r="D149" i="3"/>
  <c r="A149" i="3"/>
  <c r="V148" i="3"/>
  <c r="M148" i="3"/>
  <c r="L148" i="3"/>
  <c r="I148" i="3"/>
  <c r="H148" i="3"/>
  <c r="F148" i="3"/>
  <c r="D148" i="3"/>
  <c r="A148" i="3"/>
  <c r="V147" i="3"/>
  <c r="M147" i="3"/>
  <c r="L147" i="3"/>
  <c r="I147" i="3"/>
  <c r="H147" i="3"/>
  <c r="F147" i="3"/>
  <c r="D147" i="3"/>
  <c r="A147" i="3"/>
  <c r="V146" i="3"/>
  <c r="M146" i="3"/>
  <c r="L146" i="3"/>
  <c r="I146" i="3"/>
  <c r="H146" i="3"/>
  <c r="F146" i="3"/>
  <c r="D146" i="3"/>
  <c r="A146" i="3"/>
  <c r="V145" i="3"/>
  <c r="M145" i="3"/>
  <c r="L145" i="3"/>
  <c r="I145" i="3"/>
  <c r="H145" i="3"/>
  <c r="F145" i="3"/>
  <c r="D145" i="3"/>
  <c r="A145" i="3"/>
  <c r="V144" i="3"/>
  <c r="M144" i="3"/>
  <c r="L144" i="3"/>
  <c r="I144" i="3"/>
  <c r="H144" i="3"/>
  <c r="F144" i="3"/>
  <c r="D144" i="3"/>
  <c r="A144" i="3"/>
  <c r="V143" i="3"/>
  <c r="M143" i="3"/>
  <c r="L143" i="3"/>
  <c r="I143" i="3"/>
  <c r="H143" i="3"/>
  <c r="F143" i="3"/>
  <c r="D143" i="3"/>
  <c r="A143" i="3"/>
  <c r="V142" i="3"/>
  <c r="M142" i="3"/>
  <c r="L142" i="3"/>
  <c r="I142" i="3"/>
  <c r="H142" i="3"/>
  <c r="F142" i="3"/>
  <c r="D142" i="3"/>
  <c r="A142" i="3"/>
  <c r="V141" i="3"/>
  <c r="M141" i="3"/>
  <c r="L141" i="3"/>
  <c r="I141" i="3"/>
  <c r="H141" i="3"/>
  <c r="F141" i="3"/>
  <c r="D141" i="3"/>
  <c r="A141" i="3"/>
  <c r="V140" i="3"/>
  <c r="M140" i="3"/>
  <c r="L140" i="3"/>
  <c r="I140" i="3"/>
  <c r="H140" i="3"/>
  <c r="F140" i="3"/>
  <c r="D140" i="3"/>
  <c r="A140" i="3"/>
  <c r="V139" i="3"/>
  <c r="M139" i="3"/>
  <c r="L139" i="3"/>
  <c r="I139" i="3"/>
  <c r="H139" i="3"/>
  <c r="F139" i="3"/>
  <c r="D139" i="3"/>
  <c r="A139" i="3"/>
  <c r="V138" i="3"/>
  <c r="M138" i="3"/>
  <c r="L138" i="3"/>
  <c r="I138" i="3"/>
  <c r="H138" i="3"/>
  <c r="F138" i="3"/>
  <c r="D138" i="3"/>
  <c r="A138" i="3"/>
  <c r="V137" i="3"/>
  <c r="M137" i="3"/>
  <c r="L137" i="3"/>
  <c r="I137" i="3"/>
  <c r="H137" i="3"/>
  <c r="F137" i="3"/>
  <c r="D137" i="3"/>
  <c r="A137" i="3"/>
  <c r="V136" i="3"/>
  <c r="M136" i="3"/>
  <c r="L136" i="3"/>
  <c r="I136" i="3"/>
  <c r="H136" i="3"/>
  <c r="F136" i="3"/>
  <c r="D136" i="3"/>
  <c r="A136" i="3"/>
  <c r="V135" i="3"/>
  <c r="M135" i="3"/>
  <c r="L135" i="3"/>
  <c r="I135" i="3"/>
  <c r="H135" i="3"/>
  <c r="F135" i="3"/>
  <c r="D135" i="3"/>
  <c r="A135" i="3"/>
  <c r="V134" i="3"/>
  <c r="M134" i="3"/>
  <c r="L134" i="3"/>
  <c r="I134" i="3"/>
  <c r="H134" i="3"/>
  <c r="F134" i="3"/>
  <c r="D134" i="3"/>
  <c r="A134" i="3"/>
  <c r="V133" i="3"/>
  <c r="M133" i="3"/>
  <c r="L133" i="3"/>
  <c r="I133" i="3"/>
  <c r="H133" i="3"/>
  <c r="F133" i="3"/>
  <c r="D133" i="3"/>
  <c r="A133" i="3"/>
  <c r="V132" i="3"/>
  <c r="M132" i="3"/>
  <c r="L132" i="3"/>
  <c r="I132" i="3"/>
  <c r="H132" i="3"/>
  <c r="F132" i="3"/>
  <c r="D132" i="3"/>
  <c r="A132" i="3"/>
  <c r="V131" i="3"/>
  <c r="M131" i="3"/>
  <c r="L131" i="3"/>
  <c r="I131" i="3"/>
  <c r="H131" i="3"/>
  <c r="F131" i="3"/>
  <c r="D131" i="3"/>
  <c r="A131" i="3"/>
  <c r="V130" i="3"/>
  <c r="M130" i="3"/>
  <c r="L130" i="3"/>
  <c r="I130" i="3"/>
  <c r="H130" i="3"/>
  <c r="F130" i="3"/>
  <c r="D130" i="3"/>
  <c r="A130" i="3"/>
  <c r="V129" i="3"/>
  <c r="M129" i="3"/>
  <c r="L129" i="3"/>
  <c r="I129" i="3"/>
  <c r="H129" i="3"/>
  <c r="F129" i="3"/>
  <c r="D129" i="3"/>
  <c r="A129" i="3"/>
  <c r="V128" i="3"/>
  <c r="M128" i="3"/>
  <c r="L128" i="3"/>
  <c r="I128" i="3"/>
  <c r="H128" i="3"/>
  <c r="F128" i="3"/>
  <c r="D128" i="3"/>
  <c r="A128" i="3"/>
  <c r="V127" i="3"/>
  <c r="M127" i="3"/>
  <c r="L127" i="3"/>
  <c r="I127" i="3"/>
  <c r="H127" i="3"/>
  <c r="F127" i="3"/>
  <c r="D127" i="3"/>
  <c r="A127" i="3"/>
  <c r="V126" i="3"/>
  <c r="M126" i="3"/>
  <c r="L126" i="3"/>
  <c r="I126" i="3"/>
  <c r="H126" i="3"/>
  <c r="F126" i="3"/>
  <c r="D126" i="3"/>
  <c r="A126" i="3"/>
  <c r="V125" i="3"/>
  <c r="M125" i="3"/>
  <c r="L125" i="3"/>
  <c r="I125" i="3"/>
  <c r="H125" i="3"/>
  <c r="F125" i="3"/>
  <c r="D125" i="3"/>
  <c r="A125" i="3"/>
  <c r="V124" i="3"/>
  <c r="M124" i="3"/>
  <c r="L124" i="3"/>
  <c r="I124" i="3"/>
  <c r="H124" i="3"/>
  <c r="F124" i="3"/>
  <c r="D124" i="3"/>
  <c r="A124" i="3"/>
  <c r="V123" i="3"/>
  <c r="M123" i="3"/>
  <c r="L123" i="3"/>
  <c r="I123" i="3"/>
  <c r="H123" i="3"/>
  <c r="F123" i="3"/>
  <c r="D123" i="3"/>
  <c r="A123" i="3"/>
  <c r="V122" i="3"/>
  <c r="M122" i="3"/>
  <c r="L122" i="3"/>
  <c r="I122" i="3"/>
  <c r="H122" i="3"/>
  <c r="F122" i="3"/>
  <c r="D122" i="3"/>
  <c r="A122" i="3"/>
  <c r="V121" i="3"/>
  <c r="M121" i="3"/>
  <c r="L121" i="3"/>
  <c r="I121" i="3"/>
  <c r="H121" i="3"/>
  <c r="F121" i="3"/>
  <c r="D121" i="3"/>
  <c r="A121" i="3"/>
  <c r="V120" i="3"/>
  <c r="M120" i="3"/>
  <c r="L120" i="3"/>
  <c r="I120" i="3"/>
  <c r="H120" i="3"/>
  <c r="F120" i="3"/>
  <c r="D120" i="3"/>
  <c r="A120" i="3"/>
  <c r="V119" i="3"/>
  <c r="M119" i="3"/>
  <c r="L119" i="3"/>
  <c r="I119" i="3"/>
  <c r="H119" i="3"/>
  <c r="F119" i="3"/>
  <c r="D119" i="3"/>
  <c r="A119" i="3"/>
  <c r="V118" i="3"/>
  <c r="M118" i="3"/>
  <c r="L118" i="3"/>
  <c r="I118" i="3"/>
  <c r="H118" i="3"/>
  <c r="F118" i="3"/>
  <c r="D118" i="3"/>
  <c r="A118" i="3"/>
  <c r="V117" i="3"/>
  <c r="M117" i="3"/>
  <c r="L117" i="3"/>
  <c r="I117" i="3"/>
  <c r="H117" i="3"/>
  <c r="F117" i="3"/>
  <c r="D117" i="3"/>
  <c r="A117" i="3"/>
  <c r="V116" i="3"/>
  <c r="M116" i="3"/>
  <c r="L116" i="3"/>
  <c r="I116" i="3"/>
  <c r="H116" i="3"/>
  <c r="F116" i="3"/>
  <c r="D116" i="3"/>
  <c r="A116" i="3"/>
  <c r="V115" i="3"/>
  <c r="M115" i="3"/>
  <c r="L115" i="3"/>
  <c r="I115" i="3"/>
  <c r="H115" i="3"/>
  <c r="F115" i="3"/>
  <c r="D115" i="3"/>
  <c r="A115" i="3"/>
  <c r="V114" i="3"/>
  <c r="M114" i="3"/>
  <c r="L114" i="3"/>
  <c r="I114" i="3"/>
  <c r="H114" i="3"/>
  <c r="F114" i="3"/>
  <c r="D114" i="3"/>
  <c r="A114" i="3"/>
  <c r="V113" i="3"/>
  <c r="M113" i="3"/>
  <c r="L113" i="3"/>
  <c r="I113" i="3"/>
  <c r="H113" i="3"/>
  <c r="F113" i="3"/>
  <c r="D113" i="3"/>
  <c r="A113" i="3"/>
  <c r="V112" i="3"/>
  <c r="M112" i="3"/>
  <c r="L112" i="3"/>
  <c r="I112" i="3"/>
  <c r="H112" i="3"/>
  <c r="F112" i="3"/>
  <c r="D112" i="3"/>
  <c r="A112" i="3"/>
  <c r="V111" i="3"/>
  <c r="M111" i="3"/>
  <c r="L111" i="3"/>
  <c r="I111" i="3"/>
  <c r="H111" i="3"/>
  <c r="F111" i="3"/>
  <c r="D111" i="3"/>
  <c r="A111" i="3"/>
  <c r="V110" i="3"/>
  <c r="M110" i="3"/>
  <c r="L110" i="3"/>
  <c r="I110" i="3"/>
  <c r="H110" i="3"/>
  <c r="F110" i="3"/>
  <c r="D110" i="3"/>
  <c r="A110" i="3"/>
  <c r="V109" i="3"/>
  <c r="M109" i="3"/>
  <c r="L109" i="3"/>
  <c r="I109" i="3"/>
  <c r="H109" i="3"/>
  <c r="F109" i="3"/>
  <c r="D109" i="3"/>
  <c r="A109" i="3"/>
  <c r="V108" i="3"/>
  <c r="M108" i="3"/>
  <c r="L108" i="3"/>
  <c r="I108" i="3"/>
  <c r="H108" i="3"/>
  <c r="F108" i="3"/>
  <c r="D108" i="3"/>
  <c r="A108" i="3"/>
  <c r="V107" i="3"/>
  <c r="M107" i="3"/>
  <c r="L107" i="3"/>
  <c r="I107" i="3"/>
  <c r="H107" i="3"/>
  <c r="F107" i="3"/>
  <c r="D107" i="3"/>
  <c r="A107" i="3"/>
  <c r="V106" i="3"/>
  <c r="M106" i="3"/>
  <c r="L106" i="3"/>
  <c r="I106" i="3"/>
  <c r="H106" i="3"/>
  <c r="F106" i="3"/>
  <c r="D106" i="3"/>
  <c r="A106" i="3"/>
  <c r="V105" i="3"/>
  <c r="M105" i="3"/>
  <c r="L105" i="3"/>
  <c r="I105" i="3"/>
  <c r="H105" i="3"/>
  <c r="F105" i="3"/>
  <c r="D105" i="3"/>
  <c r="A105" i="3"/>
  <c r="V104" i="3"/>
  <c r="M104" i="3"/>
  <c r="L104" i="3"/>
  <c r="I104" i="3"/>
  <c r="H104" i="3"/>
  <c r="F104" i="3"/>
  <c r="D104" i="3"/>
  <c r="A104" i="3"/>
  <c r="V103" i="3"/>
  <c r="M103" i="3"/>
  <c r="L103" i="3"/>
  <c r="I103" i="3"/>
  <c r="H103" i="3"/>
  <c r="F103" i="3"/>
  <c r="D103" i="3"/>
  <c r="A103" i="3"/>
  <c r="V102" i="3"/>
  <c r="M102" i="3"/>
  <c r="L102" i="3"/>
  <c r="I102" i="3"/>
  <c r="H102" i="3"/>
  <c r="F102" i="3"/>
  <c r="D102" i="3"/>
  <c r="A102" i="3"/>
  <c r="V101" i="3"/>
  <c r="M101" i="3"/>
  <c r="L101" i="3"/>
  <c r="I101" i="3"/>
  <c r="H101" i="3"/>
  <c r="F101" i="3"/>
  <c r="D101" i="3"/>
  <c r="A101" i="3"/>
  <c r="V100" i="3"/>
  <c r="M100" i="3"/>
  <c r="L100" i="3"/>
  <c r="I100" i="3"/>
  <c r="H100" i="3"/>
  <c r="F100" i="3"/>
  <c r="D100" i="3"/>
  <c r="A100" i="3"/>
  <c r="V99" i="3"/>
  <c r="M99" i="3"/>
  <c r="L99" i="3"/>
  <c r="I99" i="3"/>
  <c r="H99" i="3"/>
  <c r="F99" i="3"/>
  <c r="D99" i="3"/>
  <c r="A99" i="3"/>
  <c r="V98" i="3"/>
  <c r="M98" i="3"/>
  <c r="L98" i="3"/>
  <c r="I98" i="3"/>
  <c r="H98" i="3"/>
  <c r="F98" i="3"/>
  <c r="D98" i="3"/>
  <c r="A98" i="3"/>
  <c r="V97" i="3"/>
  <c r="M97" i="3"/>
  <c r="L97" i="3"/>
  <c r="I97" i="3"/>
  <c r="H97" i="3"/>
  <c r="F97" i="3"/>
  <c r="D97" i="3"/>
  <c r="A97" i="3"/>
  <c r="V96" i="3"/>
  <c r="M96" i="3"/>
  <c r="L96" i="3"/>
  <c r="I96" i="3"/>
  <c r="H96" i="3"/>
  <c r="F96" i="3"/>
  <c r="D96" i="3"/>
  <c r="A96" i="3"/>
  <c r="V95" i="3"/>
  <c r="M95" i="3"/>
  <c r="L95" i="3"/>
  <c r="I95" i="3"/>
  <c r="H95" i="3"/>
  <c r="F95" i="3"/>
  <c r="D95" i="3"/>
  <c r="A95" i="3"/>
  <c r="V94" i="3"/>
  <c r="M94" i="3"/>
  <c r="L94" i="3"/>
  <c r="I94" i="3"/>
  <c r="H94" i="3"/>
  <c r="F94" i="3"/>
  <c r="D94" i="3"/>
  <c r="A94" i="3"/>
  <c r="V93" i="3"/>
  <c r="M93" i="3"/>
  <c r="L93" i="3"/>
  <c r="I93" i="3"/>
  <c r="H93" i="3"/>
  <c r="F93" i="3"/>
  <c r="D93" i="3"/>
  <c r="A93" i="3"/>
  <c r="V92" i="3"/>
  <c r="M92" i="3"/>
  <c r="L92" i="3"/>
  <c r="I92" i="3"/>
  <c r="H92" i="3"/>
  <c r="F92" i="3"/>
  <c r="D92" i="3"/>
  <c r="A92" i="3"/>
  <c r="V91" i="3"/>
  <c r="M91" i="3"/>
  <c r="L91" i="3"/>
  <c r="I91" i="3"/>
  <c r="H91" i="3"/>
  <c r="F91" i="3"/>
  <c r="D91" i="3"/>
  <c r="A91" i="3"/>
  <c r="V90" i="3"/>
  <c r="M90" i="3"/>
  <c r="L90" i="3"/>
  <c r="I90" i="3"/>
  <c r="H90" i="3"/>
  <c r="F90" i="3"/>
  <c r="D90" i="3"/>
  <c r="A90" i="3"/>
  <c r="V89" i="3"/>
  <c r="M89" i="3"/>
  <c r="L89" i="3"/>
  <c r="I89" i="3"/>
  <c r="H89" i="3"/>
  <c r="F89" i="3"/>
  <c r="D89" i="3"/>
  <c r="A89" i="3"/>
  <c r="V88" i="3"/>
  <c r="M88" i="3"/>
  <c r="L88" i="3"/>
  <c r="I88" i="3"/>
  <c r="H88" i="3"/>
  <c r="F88" i="3"/>
  <c r="D88" i="3"/>
  <c r="A88" i="3"/>
  <c r="V87" i="3"/>
  <c r="M87" i="3"/>
  <c r="L87" i="3"/>
  <c r="I87" i="3"/>
  <c r="H87" i="3"/>
  <c r="F87" i="3"/>
  <c r="D87" i="3"/>
  <c r="A87" i="3"/>
  <c r="V86" i="3"/>
  <c r="M86" i="3"/>
  <c r="L86" i="3"/>
  <c r="I86" i="3"/>
  <c r="H86" i="3"/>
  <c r="F86" i="3"/>
  <c r="D86" i="3"/>
  <c r="A86" i="3"/>
  <c r="V85" i="3"/>
  <c r="M85" i="3"/>
  <c r="L85" i="3"/>
  <c r="I85" i="3"/>
  <c r="H85" i="3"/>
  <c r="F85" i="3"/>
  <c r="D85" i="3"/>
  <c r="A85" i="3"/>
  <c r="V84" i="3"/>
  <c r="M84" i="3"/>
  <c r="L84" i="3"/>
  <c r="I84" i="3"/>
  <c r="H84" i="3"/>
  <c r="F84" i="3"/>
  <c r="D84" i="3"/>
  <c r="A84" i="3"/>
  <c r="V83" i="3"/>
  <c r="M83" i="3"/>
  <c r="L83" i="3"/>
  <c r="I83" i="3"/>
  <c r="H83" i="3"/>
  <c r="F83" i="3"/>
  <c r="D83" i="3"/>
  <c r="A83" i="3"/>
  <c r="V82" i="3"/>
  <c r="M82" i="3"/>
  <c r="L82" i="3"/>
  <c r="I82" i="3"/>
  <c r="H82" i="3"/>
  <c r="F82" i="3"/>
  <c r="D82" i="3"/>
  <c r="A82" i="3"/>
  <c r="V81" i="3"/>
  <c r="M81" i="3"/>
  <c r="L81" i="3"/>
  <c r="I81" i="3"/>
  <c r="H81" i="3"/>
  <c r="F81" i="3"/>
  <c r="D81" i="3"/>
  <c r="A81" i="3"/>
  <c r="V80" i="3"/>
  <c r="M80" i="3"/>
  <c r="L80" i="3"/>
  <c r="I80" i="3"/>
  <c r="H80" i="3"/>
  <c r="F80" i="3"/>
  <c r="D80" i="3"/>
  <c r="A80" i="3"/>
  <c r="V79" i="3"/>
  <c r="M79" i="3"/>
  <c r="L79" i="3"/>
  <c r="I79" i="3"/>
  <c r="H79" i="3"/>
  <c r="F79" i="3"/>
  <c r="D79" i="3"/>
  <c r="A79" i="3"/>
  <c r="V78" i="3"/>
  <c r="M78" i="3"/>
  <c r="L78" i="3"/>
  <c r="I78" i="3"/>
  <c r="H78" i="3"/>
  <c r="F78" i="3"/>
  <c r="D78" i="3"/>
  <c r="A78" i="3"/>
  <c r="V77" i="3"/>
  <c r="M77" i="3"/>
  <c r="L77" i="3"/>
  <c r="I77" i="3"/>
  <c r="H77" i="3"/>
  <c r="F77" i="3"/>
  <c r="D77" i="3"/>
  <c r="A77" i="3"/>
  <c r="V76" i="3"/>
  <c r="M76" i="3"/>
  <c r="L76" i="3"/>
  <c r="I76" i="3"/>
  <c r="H76" i="3"/>
  <c r="F76" i="3"/>
  <c r="D76" i="3"/>
  <c r="A76" i="3"/>
  <c r="V75" i="3"/>
  <c r="M75" i="3"/>
  <c r="L75" i="3"/>
  <c r="I75" i="3"/>
  <c r="H75" i="3"/>
  <c r="F75" i="3"/>
  <c r="D75" i="3"/>
  <c r="A75" i="3"/>
  <c r="V74" i="3"/>
  <c r="M74" i="3"/>
  <c r="L74" i="3"/>
  <c r="I74" i="3"/>
  <c r="H74" i="3"/>
  <c r="F74" i="3"/>
  <c r="D74" i="3"/>
  <c r="A74" i="3"/>
  <c r="V73" i="3"/>
  <c r="M73" i="3"/>
  <c r="L73" i="3"/>
  <c r="I73" i="3"/>
  <c r="H73" i="3"/>
  <c r="F73" i="3"/>
  <c r="D73" i="3"/>
  <c r="A73" i="3"/>
  <c r="V72" i="3"/>
  <c r="M72" i="3"/>
  <c r="L72" i="3"/>
  <c r="I72" i="3"/>
  <c r="H72" i="3"/>
  <c r="F72" i="3"/>
  <c r="D72" i="3"/>
  <c r="A72" i="3"/>
  <c r="V71" i="3"/>
  <c r="M71" i="3"/>
  <c r="L71" i="3"/>
  <c r="I71" i="3"/>
  <c r="H71" i="3"/>
  <c r="F71" i="3"/>
  <c r="D71" i="3"/>
  <c r="A71" i="3"/>
  <c r="V70" i="3"/>
  <c r="M70" i="3"/>
  <c r="L70" i="3"/>
  <c r="I70" i="3"/>
  <c r="H70" i="3"/>
  <c r="F70" i="3"/>
  <c r="D70" i="3"/>
  <c r="A70" i="3"/>
  <c r="V69" i="3"/>
  <c r="M69" i="3"/>
  <c r="L69" i="3"/>
  <c r="I69" i="3"/>
  <c r="H69" i="3"/>
  <c r="F69" i="3"/>
  <c r="D69" i="3"/>
  <c r="A69" i="3"/>
  <c r="V68" i="3"/>
  <c r="M68" i="3"/>
  <c r="L68" i="3"/>
  <c r="I68" i="3"/>
  <c r="H68" i="3"/>
  <c r="F68" i="3"/>
  <c r="D68" i="3"/>
  <c r="A68" i="3"/>
  <c r="V67" i="3"/>
  <c r="M67" i="3"/>
  <c r="L67" i="3"/>
  <c r="I67" i="3"/>
  <c r="H67" i="3"/>
  <c r="F67" i="3"/>
  <c r="D67" i="3"/>
  <c r="A67" i="3"/>
  <c r="V66" i="3"/>
  <c r="M66" i="3"/>
  <c r="L66" i="3"/>
  <c r="I66" i="3"/>
  <c r="H66" i="3"/>
  <c r="F66" i="3"/>
  <c r="D66" i="3"/>
  <c r="A66" i="3"/>
  <c r="V65" i="3"/>
  <c r="M65" i="3"/>
  <c r="L65" i="3"/>
  <c r="I65" i="3"/>
  <c r="H65" i="3"/>
  <c r="F65" i="3"/>
  <c r="D65" i="3"/>
  <c r="A65" i="3"/>
  <c r="V64" i="3"/>
  <c r="M64" i="3"/>
  <c r="L64" i="3"/>
  <c r="I64" i="3"/>
  <c r="H64" i="3"/>
  <c r="F64" i="3"/>
  <c r="D64" i="3"/>
  <c r="A64" i="3"/>
  <c r="V63" i="3"/>
  <c r="M63" i="3"/>
  <c r="L63" i="3"/>
  <c r="I63" i="3"/>
  <c r="H63" i="3"/>
  <c r="F63" i="3"/>
  <c r="D63" i="3"/>
  <c r="A63" i="3"/>
  <c r="V62" i="3"/>
  <c r="M62" i="3"/>
  <c r="L62" i="3"/>
  <c r="I62" i="3"/>
  <c r="H62" i="3"/>
  <c r="F62" i="3"/>
  <c r="D62" i="3"/>
  <c r="A62" i="3"/>
  <c r="V61" i="3"/>
  <c r="M61" i="3"/>
  <c r="L61" i="3"/>
  <c r="I61" i="3"/>
  <c r="H61" i="3"/>
  <c r="F61" i="3"/>
  <c r="D61" i="3"/>
  <c r="A61" i="3"/>
  <c r="V60" i="3"/>
  <c r="M60" i="3"/>
  <c r="L60" i="3"/>
  <c r="I60" i="3"/>
  <c r="H60" i="3"/>
  <c r="F60" i="3"/>
  <c r="D60" i="3"/>
  <c r="A60" i="3"/>
  <c r="V59" i="3"/>
  <c r="M59" i="3"/>
  <c r="L59" i="3"/>
  <c r="I59" i="3"/>
  <c r="H59" i="3"/>
  <c r="F59" i="3"/>
  <c r="D59" i="3"/>
  <c r="A59" i="3"/>
  <c r="V58" i="3"/>
  <c r="M58" i="3"/>
  <c r="L58" i="3"/>
  <c r="I58" i="3"/>
  <c r="H58" i="3"/>
  <c r="F58" i="3"/>
  <c r="D58" i="3"/>
  <c r="A58" i="3"/>
  <c r="V57" i="3"/>
  <c r="M57" i="3"/>
  <c r="L57" i="3"/>
  <c r="I57" i="3"/>
  <c r="H57" i="3"/>
  <c r="F57" i="3"/>
  <c r="D57" i="3"/>
  <c r="A57" i="3"/>
  <c r="V56" i="3"/>
  <c r="M56" i="3"/>
  <c r="L56" i="3"/>
  <c r="I56" i="3"/>
  <c r="H56" i="3"/>
  <c r="F56" i="3"/>
  <c r="D56" i="3"/>
  <c r="A56" i="3"/>
  <c r="V55" i="3"/>
  <c r="M55" i="3"/>
  <c r="L55" i="3"/>
  <c r="I55" i="3"/>
  <c r="H55" i="3"/>
  <c r="F55" i="3"/>
  <c r="D55" i="3"/>
  <c r="A55" i="3"/>
  <c r="V54" i="3"/>
  <c r="M54" i="3"/>
  <c r="L54" i="3"/>
  <c r="I54" i="3"/>
  <c r="H54" i="3"/>
  <c r="F54" i="3"/>
  <c r="D54" i="3"/>
  <c r="A54" i="3"/>
  <c r="V53" i="3"/>
  <c r="M53" i="3"/>
  <c r="L53" i="3"/>
  <c r="I53" i="3"/>
  <c r="H53" i="3"/>
  <c r="F53" i="3"/>
  <c r="D53" i="3"/>
  <c r="A53" i="3"/>
  <c r="V52" i="3"/>
  <c r="M52" i="3"/>
  <c r="L52" i="3"/>
  <c r="I52" i="3"/>
  <c r="H52" i="3"/>
  <c r="F52" i="3"/>
  <c r="D52" i="3"/>
  <c r="A52" i="3"/>
  <c r="V51" i="3"/>
  <c r="M51" i="3"/>
  <c r="L51" i="3"/>
  <c r="I51" i="3"/>
  <c r="H51" i="3"/>
  <c r="F51" i="3"/>
  <c r="D51" i="3"/>
  <c r="A51" i="3"/>
  <c r="V50" i="3"/>
  <c r="M50" i="3"/>
  <c r="L50" i="3"/>
  <c r="I50" i="3"/>
  <c r="H50" i="3"/>
  <c r="F50" i="3"/>
  <c r="D50" i="3"/>
  <c r="A50" i="3"/>
  <c r="V49" i="3"/>
  <c r="M49" i="3"/>
  <c r="L49" i="3"/>
  <c r="I49" i="3"/>
  <c r="H49" i="3"/>
  <c r="F49" i="3"/>
  <c r="D49" i="3"/>
  <c r="A49" i="3"/>
  <c r="V48" i="3"/>
  <c r="M48" i="3"/>
  <c r="L48" i="3"/>
  <c r="I48" i="3"/>
  <c r="H48" i="3"/>
  <c r="F48" i="3"/>
  <c r="D48" i="3"/>
  <c r="A48" i="3"/>
  <c r="V47" i="3"/>
  <c r="M47" i="3"/>
  <c r="L47" i="3"/>
  <c r="I47" i="3"/>
  <c r="H47" i="3"/>
  <c r="F47" i="3"/>
  <c r="D47" i="3"/>
  <c r="A47" i="3"/>
  <c r="V46" i="3"/>
  <c r="M46" i="3"/>
  <c r="L46" i="3"/>
  <c r="I46" i="3"/>
  <c r="H46" i="3"/>
  <c r="F46" i="3"/>
  <c r="D46" i="3"/>
  <c r="A46" i="3"/>
  <c r="V45" i="3"/>
  <c r="M45" i="3"/>
  <c r="L45" i="3"/>
  <c r="I45" i="3"/>
  <c r="H45" i="3"/>
  <c r="F45" i="3"/>
  <c r="D45" i="3"/>
  <c r="A45" i="3"/>
  <c r="V44" i="3"/>
  <c r="M44" i="3"/>
  <c r="L44" i="3"/>
  <c r="I44" i="3"/>
  <c r="H44" i="3"/>
  <c r="F44" i="3"/>
  <c r="D44" i="3"/>
  <c r="A44" i="3"/>
  <c r="V43" i="3"/>
  <c r="M43" i="3"/>
  <c r="L43" i="3"/>
  <c r="I43" i="3"/>
  <c r="H43" i="3"/>
  <c r="F43" i="3"/>
  <c r="D43" i="3"/>
  <c r="A43" i="3"/>
  <c r="V42" i="3"/>
  <c r="M42" i="3"/>
  <c r="L42" i="3"/>
  <c r="I42" i="3"/>
  <c r="H42" i="3"/>
  <c r="F42" i="3"/>
  <c r="D42" i="3"/>
  <c r="A42" i="3"/>
  <c r="V41" i="3"/>
  <c r="M41" i="3"/>
  <c r="L41" i="3"/>
  <c r="I41" i="3"/>
  <c r="H41" i="3"/>
  <c r="F41" i="3"/>
  <c r="D41" i="3"/>
  <c r="A41" i="3"/>
  <c r="V40" i="3"/>
  <c r="M40" i="3"/>
  <c r="L40" i="3"/>
  <c r="I40" i="3"/>
  <c r="H40" i="3"/>
  <c r="F40" i="3"/>
  <c r="D40" i="3"/>
  <c r="A40" i="3"/>
  <c r="V39" i="3"/>
  <c r="M39" i="3"/>
  <c r="L39" i="3"/>
  <c r="I39" i="3"/>
  <c r="H39" i="3"/>
  <c r="F39" i="3"/>
  <c r="D39" i="3"/>
  <c r="A39" i="3"/>
  <c r="V38" i="3"/>
  <c r="M38" i="3"/>
  <c r="L38" i="3"/>
  <c r="I38" i="3"/>
  <c r="H38" i="3"/>
  <c r="F38" i="3"/>
  <c r="D38" i="3"/>
  <c r="A38" i="3"/>
  <c r="V37" i="3"/>
  <c r="M37" i="3"/>
  <c r="L37" i="3"/>
  <c r="I37" i="3"/>
  <c r="H37" i="3"/>
  <c r="F37" i="3"/>
  <c r="D37" i="3"/>
  <c r="A37" i="3"/>
  <c r="V36" i="3"/>
  <c r="M36" i="3"/>
  <c r="L36" i="3"/>
  <c r="I36" i="3"/>
  <c r="H36" i="3"/>
  <c r="F36" i="3"/>
  <c r="D36" i="3"/>
  <c r="A36" i="3"/>
  <c r="V35" i="3"/>
  <c r="M35" i="3"/>
  <c r="L35" i="3"/>
  <c r="I35" i="3"/>
  <c r="H35" i="3"/>
  <c r="F35" i="3"/>
  <c r="D35" i="3"/>
  <c r="A35" i="3"/>
  <c r="V34" i="3"/>
  <c r="M34" i="3"/>
  <c r="L34" i="3"/>
  <c r="I34" i="3"/>
  <c r="H34" i="3"/>
  <c r="F34" i="3"/>
  <c r="D34" i="3"/>
  <c r="A34" i="3"/>
  <c r="V33" i="3"/>
  <c r="M33" i="3"/>
  <c r="L33" i="3"/>
  <c r="I33" i="3"/>
  <c r="H33" i="3"/>
  <c r="F33" i="3"/>
  <c r="D33" i="3"/>
  <c r="A33" i="3"/>
  <c r="V32" i="3"/>
  <c r="M32" i="3"/>
  <c r="L32" i="3"/>
  <c r="I32" i="3"/>
  <c r="H32" i="3"/>
  <c r="F32" i="3"/>
  <c r="D32" i="3"/>
  <c r="A32" i="3"/>
  <c r="V31" i="3"/>
  <c r="M31" i="3"/>
  <c r="L31" i="3"/>
  <c r="I31" i="3"/>
  <c r="H31" i="3"/>
  <c r="F31" i="3"/>
  <c r="D31" i="3"/>
  <c r="A31" i="3"/>
  <c r="V30" i="3"/>
  <c r="M30" i="3"/>
  <c r="L30" i="3"/>
  <c r="I30" i="3"/>
  <c r="H30" i="3"/>
  <c r="F30" i="3"/>
  <c r="D30" i="3"/>
  <c r="A30" i="3"/>
  <c r="V29" i="3"/>
  <c r="M29" i="3"/>
  <c r="L29" i="3"/>
  <c r="I29" i="3"/>
  <c r="H29" i="3"/>
  <c r="F29" i="3"/>
  <c r="D29" i="3"/>
  <c r="A29" i="3"/>
  <c r="V28" i="3"/>
  <c r="M28" i="3"/>
  <c r="L28" i="3"/>
  <c r="I28" i="3"/>
  <c r="H28" i="3"/>
  <c r="F28" i="3"/>
  <c r="D28" i="3"/>
  <c r="A28" i="3"/>
  <c r="V27" i="3"/>
  <c r="M27" i="3"/>
  <c r="L27" i="3"/>
  <c r="I27" i="3"/>
  <c r="H27" i="3"/>
  <c r="F27" i="3"/>
  <c r="D27" i="3"/>
  <c r="A27" i="3"/>
  <c r="V26" i="3"/>
  <c r="M26" i="3"/>
  <c r="L26" i="3"/>
  <c r="I26" i="3"/>
  <c r="H26" i="3"/>
  <c r="F26" i="3"/>
  <c r="D26" i="3"/>
  <c r="A26" i="3"/>
  <c r="V25" i="3"/>
  <c r="M25" i="3"/>
  <c r="L25" i="3"/>
  <c r="I25" i="3"/>
  <c r="H25" i="3"/>
  <c r="F25" i="3"/>
  <c r="D25" i="3"/>
  <c r="A25" i="3"/>
  <c r="V24" i="3"/>
  <c r="M24" i="3"/>
  <c r="L24" i="3"/>
  <c r="I24" i="3"/>
  <c r="H24" i="3"/>
  <c r="F24" i="3"/>
  <c r="D24" i="3"/>
  <c r="A24" i="3"/>
  <c r="V23" i="3"/>
  <c r="M23" i="3"/>
  <c r="L23" i="3"/>
  <c r="I23" i="3"/>
  <c r="H23" i="3"/>
  <c r="F23" i="3"/>
  <c r="D23" i="3"/>
  <c r="A23" i="3"/>
  <c r="V22" i="3"/>
  <c r="M22" i="3"/>
  <c r="L22" i="3"/>
  <c r="I22" i="3"/>
  <c r="H22" i="3"/>
  <c r="F22" i="3"/>
  <c r="D22" i="3"/>
  <c r="A22" i="3"/>
  <c r="V21" i="3"/>
  <c r="M21" i="3"/>
  <c r="L21" i="3"/>
  <c r="I21" i="3"/>
  <c r="H21" i="3"/>
  <c r="F21" i="3"/>
  <c r="D21" i="3"/>
  <c r="A21" i="3"/>
  <c r="V20" i="3"/>
  <c r="M20" i="3"/>
  <c r="L20" i="3"/>
  <c r="I20" i="3"/>
  <c r="H20" i="3"/>
  <c r="F20" i="3"/>
  <c r="D20" i="3"/>
  <c r="A20" i="3"/>
  <c r="V19" i="3"/>
  <c r="M19" i="3"/>
  <c r="L19" i="3"/>
  <c r="I19" i="3"/>
  <c r="H19" i="3"/>
  <c r="F19" i="3"/>
  <c r="D19" i="3"/>
  <c r="A19" i="3"/>
  <c r="V18" i="3"/>
  <c r="M18" i="3"/>
  <c r="L18" i="3"/>
  <c r="I18" i="3"/>
  <c r="H18" i="3"/>
  <c r="F18" i="3"/>
  <c r="D18" i="3"/>
  <c r="A18" i="3"/>
  <c r="V17" i="3"/>
  <c r="M17" i="3"/>
  <c r="L17" i="3"/>
  <c r="I17" i="3"/>
  <c r="H17" i="3"/>
  <c r="F17" i="3"/>
  <c r="D17" i="3"/>
  <c r="A17" i="3"/>
  <c r="V16" i="3"/>
  <c r="M16" i="3"/>
  <c r="L16" i="3"/>
  <c r="I16" i="3"/>
  <c r="H16" i="3"/>
  <c r="F16" i="3"/>
  <c r="D16" i="3"/>
  <c r="A16" i="3"/>
  <c r="V15" i="3"/>
  <c r="M15" i="3"/>
  <c r="L15" i="3"/>
  <c r="I15" i="3"/>
  <c r="H15" i="3"/>
  <c r="F15" i="3"/>
  <c r="D15" i="3"/>
  <c r="A15" i="3"/>
  <c r="V14" i="3"/>
  <c r="M14" i="3"/>
  <c r="L14" i="3"/>
  <c r="I14" i="3"/>
  <c r="H14" i="3"/>
  <c r="F14" i="3"/>
  <c r="D14" i="3"/>
  <c r="A14" i="3"/>
  <c r="V13" i="3"/>
  <c r="M13" i="3"/>
  <c r="L13" i="3"/>
  <c r="I13" i="3"/>
  <c r="H13" i="3"/>
  <c r="F13" i="3"/>
  <c r="D13" i="3"/>
  <c r="A13" i="3"/>
  <c r="V12" i="3"/>
  <c r="M12" i="3"/>
  <c r="L12" i="3"/>
  <c r="I12" i="3"/>
  <c r="H12" i="3"/>
  <c r="F12" i="3"/>
  <c r="D12" i="3"/>
  <c r="A12" i="3"/>
  <c r="V11" i="3"/>
  <c r="M11" i="3"/>
  <c r="L11" i="3"/>
  <c r="I11" i="3"/>
  <c r="H11" i="3"/>
  <c r="F11" i="3"/>
  <c r="D11" i="3"/>
  <c r="A11" i="3"/>
  <c r="V10" i="3"/>
  <c r="M10" i="3"/>
  <c r="L10" i="3"/>
  <c r="I10" i="3"/>
  <c r="H10" i="3"/>
  <c r="F10" i="3"/>
  <c r="D10" i="3"/>
  <c r="A10" i="3"/>
  <c r="V9" i="3"/>
  <c r="M9" i="3"/>
  <c r="L9" i="3"/>
  <c r="I9" i="3"/>
  <c r="H9" i="3"/>
  <c r="F9" i="3"/>
  <c r="D9" i="3"/>
  <c r="A9" i="3"/>
  <c r="V8" i="3"/>
  <c r="M8" i="3"/>
  <c r="L8" i="3"/>
  <c r="I8" i="3"/>
  <c r="H8" i="3"/>
  <c r="F8" i="3"/>
  <c r="D8" i="3"/>
  <c r="A8" i="3"/>
  <c r="V7" i="3"/>
  <c r="M7" i="3"/>
  <c r="L7" i="3"/>
  <c r="I7" i="3"/>
  <c r="H7" i="3"/>
  <c r="F7" i="3"/>
  <c r="D7" i="3"/>
  <c r="A7" i="3"/>
  <c r="V6" i="3"/>
  <c r="M6" i="3"/>
  <c r="L6" i="3"/>
  <c r="I6" i="3"/>
  <c r="H6" i="3"/>
  <c r="F6" i="3"/>
  <c r="D6" i="3"/>
  <c r="A6" i="3"/>
  <c r="V5" i="3"/>
  <c r="M5" i="3"/>
  <c r="L5" i="3"/>
  <c r="I5" i="3"/>
  <c r="H5" i="3"/>
  <c r="F5" i="3"/>
  <c r="D5" i="3"/>
  <c r="A5" i="3"/>
  <c r="V4" i="3"/>
  <c r="M4" i="3"/>
  <c r="L4" i="3"/>
  <c r="I4" i="3"/>
  <c r="H4" i="3"/>
  <c r="F4" i="3"/>
  <c r="D4" i="3"/>
  <c r="A4" i="3"/>
  <c r="V3" i="3"/>
  <c r="M3" i="3"/>
  <c r="L3" i="3"/>
  <c r="I3" i="3"/>
  <c r="H3" i="3"/>
  <c r="F3" i="3"/>
  <c r="D3" i="3"/>
  <c r="A3" i="3"/>
  <c r="V2" i="3"/>
  <c r="M2" i="3"/>
  <c r="L2" i="3"/>
  <c r="I2" i="3"/>
  <c r="H2" i="3"/>
  <c r="F2" i="3"/>
  <c r="D2" i="3"/>
  <c r="A2" i="3"/>
  <c r="V990" i="2"/>
  <c r="M990" i="2"/>
  <c r="L990" i="2"/>
  <c r="I990" i="2"/>
  <c r="H990" i="2"/>
  <c r="F990" i="2"/>
  <c r="D990" i="2"/>
  <c r="A990" i="2"/>
  <c r="V989" i="2"/>
  <c r="M989" i="2"/>
  <c r="L989" i="2"/>
  <c r="I989" i="2"/>
  <c r="H989" i="2"/>
  <c r="F989" i="2"/>
  <c r="D989" i="2"/>
  <c r="A989" i="2"/>
  <c r="V988" i="2"/>
  <c r="M988" i="2"/>
  <c r="L988" i="2"/>
  <c r="I988" i="2"/>
  <c r="H988" i="2"/>
  <c r="F988" i="2"/>
  <c r="D988" i="2"/>
  <c r="A988" i="2"/>
  <c r="V987" i="2"/>
  <c r="M987" i="2"/>
  <c r="L987" i="2"/>
  <c r="I987" i="2"/>
  <c r="H987" i="2"/>
  <c r="F987" i="2"/>
  <c r="D987" i="2"/>
  <c r="A987" i="2"/>
  <c r="V986" i="2"/>
  <c r="M986" i="2"/>
  <c r="L986" i="2"/>
  <c r="I986" i="2"/>
  <c r="H986" i="2"/>
  <c r="F986" i="2"/>
  <c r="D986" i="2"/>
  <c r="A986" i="2"/>
  <c r="V985" i="2"/>
  <c r="M985" i="2"/>
  <c r="L985" i="2"/>
  <c r="I985" i="2"/>
  <c r="H985" i="2"/>
  <c r="F985" i="2"/>
  <c r="D985" i="2"/>
  <c r="A985" i="2"/>
  <c r="V984" i="2"/>
  <c r="M984" i="2"/>
  <c r="L984" i="2"/>
  <c r="I984" i="2"/>
  <c r="H984" i="2"/>
  <c r="F984" i="2"/>
  <c r="D984" i="2"/>
  <c r="A984" i="2"/>
  <c r="V983" i="2"/>
  <c r="M983" i="2"/>
  <c r="L983" i="2"/>
  <c r="I983" i="2"/>
  <c r="H983" i="2"/>
  <c r="F983" i="2"/>
  <c r="D983" i="2"/>
  <c r="A983" i="2"/>
  <c r="V982" i="2"/>
  <c r="M982" i="2"/>
  <c r="L982" i="2"/>
  <c r="I982" i="2"/>
  <c r="H982" i="2"/>
  <c r="F982" i="2"/>
  <c r="D982" i="2"/>
  <c r="A982" i="2"/>
  <c r="V981" i="2"/>
  <c r="M981" i="2"/>
  <c r="L981" i="2"/>
  <c r="I981" i="2"/>
  <c r="H981" i="2"/>
  <c r="F981" i="2"/>
  <c r="D981" i="2"/>
  <c r="A981" i="2"/>
  <c r="V980" i="2"/>
  <c r="M980" i="2"/>
  <c r="L980" i="2"/>
  <c r="I980" i="2"/>
  <c r="H980" i="2"/>
  <c r="F980" i="2"/>
  <c r="D980" i="2"/>
  <c r="A980" i="2"/>
  <c r="V979" i="2"/>
  <c r="M979" i="2"/>
  <c r="L979" i="2"/>
  <c r="I979" i="2"/>
  <c r="H979" i="2"/>
  <c r="F979" i="2"/>
  <c r="D979" i="2"/>
  <c r="A979" i="2"/>
  <c r="V978" i="2"/>
  <c r="M978" i="2"/>
  <c r="L978" i="2"/>
  <c r="I978" i="2"/>
  <c r="H978" i="2"/>
  <c r="F978" i="2"/>
  <c r="D978" i="2"/>
  <c r="A978" i="2"/>
  <c r="V977" i="2"/>
  <c r="M977" i="2"/>
  <c r="L977" i="2"/>
  <c r="I977" i="2"/>
  <c r="H977" i="2"/>
  <c r="F977" i="2"/>
  <c r="D977" i="2"/>
  <c r="A977" i="2"/>
  <c r="V976" i="2"/>
  <c r="M976" i="2"/>
  <c r="L976" i="2"/>
  <c r="I976" i="2"/>
  <c r="H976" i="2"/>
  <c r="F976" i="2"/>
  <c r="D976" i="2"/>
  <c r="A976" i="2"/>
  <c r="V975" i="2"/>
  <c r="M975" i="2"/>
  <c r="L975" i="2"/>
  <c r="I975" i="2"/>
  <c r="H975" i="2"/>
  <c r="F975" i="2"/>
  <c r="D975" i="2"/>
  <c r="A975" i="2"/>
  <c r="V974" i="2"/>
  <c r="M974" i="2"/>
  <c r="L974" i="2"/>
  <c r="I974" i="2"/>
  <c r="H974" i="2"/>
  <c r="F974" i="2"/>
  <c r="D974" i="2"/>
  <c r="A974" i="2"/>
  <c r="V973" i="2"/>
  <c r="M973" i="2"/>
  <c r="L973" i="2"/>
  <c r="I973" i="2"/>
  <c r="H973" i="2"/>
  <c r="F973" i="2"/>
  <c r="D973" i="2"/>
  <c r="A973" i="2"/>
  <c r="V972" i="2"/>
  <c r="M972" i="2"/>
  <c r="L972" i="2"/>
  <c r="I972" i="2"/>
  <c r="H972" i="2"/>
  <c r="F972" i="2"/>
  <c r="D972" i="2"/>
  <c r="A972" i="2"/>
  <c r="V971" i="2"/>
  <c r="M971" i="2"/>
  <c r="L971" i="2"/>
  <c r="I971" i="2"/>
  <c r="H971" i="2"/>
  <c r="F971" i="2"/>
  <c r="D971" i="2"/>
  <c r="A971" i="2"/>
  <c r="V970" i="2"/>
  <c r="M970" i="2"/>
  <c r="L970" i="2"/>
  <c r="I970" i="2"/>
  <c r="H970" i="2"/>
  <c r="F970" i="2"/>
  <c r="D970" i="2"/>
  <c r="A970" i="2"/>
  <c r="V969" i="2"/>
  <c r="M969" i="2"/>
  <c r="L969" i="2"/>
  <c r="I969" i="2"/>
  <c r="H969" i="2"/>
  <c r="F969" i="2"/>
  <c r="D969" i="2"/>
  <c r="A969" i="2"/>
  <c r="V968" i="2"/>
  <c r="M968" i="2"/>
  <c r="L968" i="2"/>
  <c r="I968" i="2"/>
  <c r="H968" i="2"/>
  <c r="F968" i="2"/>
  <c r="D968" i="2"/>
  <c r="A968" i="2"/>
  <c r="V967" i="2"/>
  <c r="M967" i="2"/>
  <c r="L967" i="2"/>
  <c r="I967" i="2"/>
  <c r="H967" i="2"/>
  <c r="F967" i="2"/>
  <c r="D967" i="2"/>
  <c r="A967" i="2"/>
  <c r="V966" i="2"/>
  <c r="M966" i="2"/>
  <c r="L966" i="2"/>
  <c r="I966" i="2"/>
  <c r="H966" i="2"/>
  <c r="F966" i="2"/>
  <c r="D966" i="2"/>
  <c r="A966" i="2"/>
  <c r="V965" i="2"/>
  <c r="M965" i="2"/>
  <c r="L965" i="2"/>
  <c r="I965" i="2"/>
  <c r="H965" i="2"/>
  <c r="F965" i="2"/>
  <c r="D965" i="2"/>
  <c r="A965" i="2"/>
  <c r="V964" i="2"/>
  <c r="M964" i="2"/>
  <c r="L964" i="2"/>
  <c r="I964" i="2"/>
  <c r="H964" i="2"/>
  <c r="F964" i="2"/>
  <c r="D964" i="2"/>
  <c r="A964" i="2"/>
  <c r="V963" i="2"/>
  <c r="M963" i="2"/>
  <c r="L963" i="2"/>
  <c r="I963" i="2"/>
  <c r="H963" i="2"/>
  <c r="F963" i="2"/>
  <c r="D963" i="2"/>
  <c r="A963" i="2"/>
  <c r="V962" i="2"/>
  <c r="M962" i="2"/>
  <c r="L962" i="2"/>
  <c r="I962" i="2"/>
  <c r="H962" i="2"/>
  <c r="F962" i="2"/>
  <c r="D962" i="2"/>
  <c r="A962" i="2"/>
  <c r="V961" i="2"/>
  <c r="M961" i="2"/>
  <c r="L961" i="2"/>
  <c r="I961" i="2"/>
  <c r="H961" i="2"/>
  <c r="F961" i="2"/>
  <c r="D961" i="2"/>
  <c r="A961" i="2"/>
  <c r="V960" i="2"/>
  <c r="M960" i="2"/>
  <c r="L960" i="2"/>
  <c r="I960" i="2"/>
  <c r="H960" i="2"/>
  <c r="F960" i="2"/>
  <c r="D960" i="2"/>
  <c r="A960" i="2"/>
  <c r="V959" i="2"/>
  <c r="M959" i="2"/>
  <c r="L959" i="2"/>
  <c r="I959" i="2"/>
  <c r="H959" i="2"/>
  <c r="F959" i="2"/>
  <c r="D959" i="2"/>
  <c r="A959" i="2"/>
  <c r="V958" i="2"/>
  <c r="M958" i="2"/>
  <c r="L958" i="2"/>
  <c r="I958" i="2"/>
  <c r="H958" i="2"/>
  <c r="F958" i="2"/>
  <c r="D958" i="2"/>
  <c r="A958" i="2"/>
  <c r="V957" i="2"/>
  <c r="M957" i="2"/>
  <c r="L957" i="2"/>
  <c r="I957" i="2"/>
  <c r="H957" i="2"/>
  <c r="F957" i="2"/>
  <c r="D957" i="2"/>
  <c r="A957" i="2"/>
  <c r="V956" i="2"/>
  <c r="M956" i="2"/>
  <c r="L956" i="2"/>
  <c r="I956" i="2"/>
  <c r="H956" i="2"/>
  <c r="F956" i="2"/>
  <c r="D956" i="2"/>
  <c r="A956" i="2"/>
  <c r="V955" i="2"/>
  <c r="M955" i="2"/>
  <c r="L955" i="2"/>
  <c r="I955" i="2"/>
  <c r="H955" i="2"/>
  <c r="F955" i="2"/>
  <c r="D955" i="2"/>
  <c r="A955" i="2"/>
  <c r="V954" i="2"/>
  <c r="M954" i="2"/>
  <c r="L954" i="2"/>
  <c r="I954" i="2"/>
  <c r="H954" i="2"/>
  <c r="F954" i="2"/>
  <c r="D954" i="2"/>
  <c r="A954" i="2"/>
  <c r="V953" i="2"/>
  <c r="M953" i="2"/>
  <c r="L953" i="2"/>
  <c r="I953" i="2"/>
  <c r="H953" i="2"/>
  <c r="F953" i="2"/>
  <c r="D953" i="2"/>
  <c r="A953" i="2"/>
  <c r="V952" i="2"/>
  <c r="M952" i="2"/>
  <c r="L952" i="2"/>
  <c r="I952" i="2"/>
  <c r="H952" i="2"/>
  <c r="F952" i="2"/>
  <c r="D952" i="2"/>
  <c r="A952" i="2"/>
  <c r="V951" i="2"/>
  <c r="M951" i="2"/>
  <c r="L951" i="2"/>
  <c r="I951" i="2"/>
  <c r="H951" i="2"/>
  <c r="F951" i="2"/>
  <c r="D951" i="2"/>
  <c r="A951" i="2"/>
  <c r="V950" i="2"/>
  <c r="M950" i="2"/>
  <c r="L950" i="2"/>
  <c r="I950" i="2"/>
  <c r="H950" i="2"/>
  <c r="F950" i="2"/>
  <c r="D950" i="2"/>
  <c r="A950" i="2"/>
  <c r="V949" i="2"/>
  <c r="M949" i="2"/>
  <c r="L949" i="2"/>
  <c r="I949" i="2"/>
  <c r="H949" i="2"/>
  <c r="F949" i="2"/>
  <c r="D949" i="2"/>
  <c r="A949" i="2"/>
  <c r="V948" i="2"/>
  <c r="M948" i="2"/>
  <c r="L948" i="2"/>
  <c r="I948" i="2"/>
  <c r="H948" i="2"/>
  <c r="F948" i="2"/>
  <c r="D948" i="2"/>
  <c r="A948" i="2"/>
  <c r="V947" i="2"/>
  <c r="M947" i="2"/>
  <c r="L947" i="2"/>
  <c r="I947" i="2"/>
  <c r="H947" i="2"/>
  <c r="F947" i="2"/>
  <c r="D947" i="2"/>
  <c r="A947" i="2"/>
  <c r="V946" i="2"/>
  <c r="M946" i="2"/>
  <c r="L946" i="2"/>
  <c r="I946" i="2"/>
  <c r="H946" i="2"/>
  <c r="F946" i="2"/>
  <c r="D946" i="2"/>
  <c r="A946" i="2"/>
  <c r="V945" i="2"/>
  <c r="M945" i="2"/>
  <c r="L945" i="2"/>
  <c r="I945" i="2"/>
  <c r="H945" i="2"/>
  <c r="F945" i="2"/>
  <c r="D945" i="2"/>
  <c r="A945" i="2"/>
  <c r="V944" i="2"/>
  <c r="M944" i="2"/>
  <c r="L944" i="2"/>
  <c r="I944" i="2"/>
  <c r="H944" i="2"/>
  <c r="F944" i="2"/>
  <c r="D944" i="2"/>
  <c r="A944" i="2"/>
  <c r="V943" i="2"/>
  <c r="M943" i="2"/>
  <c r="L943" i="2"/>
  <c r="I943" i="2"/>
  <c r="H943" i="2"/>
  <c r="F943" i="2"/>
  <c r="D943" i="2"/>
  <c r="A943" i="2"/>
  <c r="V942" i="2"/>
  <c r="M942" i="2"/>
  <c r="L942" i="2"/>
  <c r="I942" i="2"/>
  <c r="H942" i="2"/>
  <c r="F942" i="2"/>
  <c r="D942" i="2"/>
  <c r="A942" i="2"/>
  <c r="V941" i="2"/>
  <c r="M941" i="2"/>
  <c r="L941" i="2"/>
  <c r="I941" i="2"/>
  <c r="H941" i="2"/>
  <c r="F941" i="2"/>
  <c r="D941" i="2"/>
  <c r="A941" i="2"/>
  <c r="V940" i="2"/>
  <c r="M940" i="2"/>
  <c r="L940" i="2"/>
  <c r="I940" i="2"/>
  <c r="H940" i="2"/>
  <c r="F940" i="2"/>
  <c r="D940" i="2"/>
  <c r="A940" i="2"/>
  <c r="V939" i="2"/>
  <c r="M939" i="2"/>
  <c r="L939" i="2"/>
  <c r="I939" i="2"/>
  <c r="H939" i="2"/>
  <c r="F939" i="2"/>
  <c r="D939" i="2"/>
  <c r="A939" i="2"/>
  <c r="V938" i="2"/>
  <c r="M938" i="2"/>
  <c r="L938" i="2"/>
  <c r="I938" i="2"/>
  <c r="H938" i="2"/>
  <c r="F938" i="2"/>
  <c r="D938" i="2"/>
  <c r="A938" i="2"/>
  <c r="V937" i="2"/>
  <c r="M937" i="2"/>
  <c r="L937" i="2"/>
  <c r="I937" i="2"/>
  <c r="H937" i="2"/>
  <c r="F937" i="2"/>
  <c r="D937" i="2"/>
  <c r="A937" i="2"/>
  <c r="V936" i="2"/>
  <c r="M936" i="2"/>
  <c r="L936" i="2"/>
  <c r="I936" i="2"/>
  <c r="H936" i="2"/>
  <c r="F936" i="2"/>
  <c r="D936" i="2"/>
  <c r="A936" i="2"/>
  <c r="V935" i="2"/>
  <c r="M935" i="2"/>
  <c r="L935" i="2"/>
  <c r="I935" i="2"/>
  <c r="H935" i="2"/>
  <c r="F935" i="2"/>
  <c r="D935" i="2"/>
  <c r="A935" i="2"/>
  <c r="V934" i="2"/>
  <c r="M934" i="2"/>
  <c r="L934" i="2"/>
  <c r="I934" i="2"/>
  <c r="H934" i="2"/>
  <c r="F934" i="2"/>
  <c r="D934" i="2"/>
  <c r="A934" i="2"/>
  <c r="V933" i="2"/>
  <c r="M933" i="2"/>
  <c r="L933" i="2"/>
  <c r="I933" i="2"/>
  <c r="H933" i="2"/>
  <c r="F933" i="2"/>
  <c r="D933" i="2"/>
  <c r="A933" i="2"/>
  <c r="V932" i="2"/>
  <c r="M932" i="2"/>
  <c r="L932" i="2"/>
  <c r="I932" i="2"/>
  <c r="H932" i="2"/>
  <c r="F932" i="2"/>
  <c r="D932" i="2"/>
  <c r="A932" i="2"/>
  <c r="V931" i="2"/>
  <c r="M931" i="2"/>
  <c r="L931" i="2"/>
  <c r="I931" i="2"/>
  <c r="H931" i="2"/>
  <c r="F931" i="2"/>
  <c r="D931" i="2"/>
  <c r="A931" i="2"/>
  <c r="V930" i="2"/>
  <c r="M930" i="2"/>
  <c r="L930" i="2"/>
  <c r="I930" i="2"/>
  <c r="H930" i="2"/>
  <c r="F930" i="2"/>
  <c r="D930" i="2"/>
  <c r="A930" i="2"/>
  <c r="V929" i="2"/>
  <c r="M929" i="2"/>
  <c r="L929" i="2"/>
  <c r="I929" i="2"/>
  <c r="H929" i="2"/>
  <c r="F929" i="2"/>
  <c r="D929" i="2"/>
  <c r="A929" i="2"/>
  <c r="V928" i="2"/>
  <c r="M928" i="2"/>
  <c r="L928" i="2"/>
  <c r="I928" i="2"/>
  <c r="H928" i="2"/>
  <c r="F928" i="2"/>
  <c r="D928" i="2"/>
  <c r="A928" i="2"/>
  <c r="V927" i="2"/>
  <c r="M927" i="2"/>
  <c r="L927" i="2"/>
  <c r="I927" i="2"/>
  <c r="H927" i="2"/>
  <c r="F927" i="2"/>
  <c r="D927" i="2"/>
  <c r="A927" i="2"/>
  <c r="V926" i="2"/>
  <c r="M926" i="2"/>
  <c r="L926" i="2"/>
  <c r="I926" i="2"/>
  <c r="H926" i="2"/>
  <c r="F926" i="2"/>
  <c r="D926" i="2"/>
  <c r="A926" i="2"/>
  <c r="V925" i="2"/>
  <c r="M925" i="2"/>
  <c r="L925" i="2"/>
  <c r="I925" i="2"/>
  <c r="H925" i="2"/>
  <c r="F925" i="2"/>
  <c r="D925" i="2"/>
  <c r="A925" i="2"/>
  <c r="V924" i="2"/>
  <c r="M924" i="2"/>
  <c r="L924" i="2"/>
  <c r="I924" i="2"/>
  <c r="H924" i="2"/>
  <c r="F924" i="2"/>
  <c r="D924" i="2"/>
  <c r="A924" i="2"/>
  <c r="V923" i="2"/>
  <c r="M923" i="2"/>
  <c r="L923" i="2"/>
  <c r="I923" i="2"/>
  <c r="H923" i="2"/>
  <c r="F923" i="2"/>
  <c r="D923" i="2"/>
  <c r="A923" i="2"/>
  <c r="V922" i="2"/>
  <c r="M922" i="2"/>
  <c r="L922" i="2"/>
  <c r="I922" i="2"/>
  <c r="H922" i="2"/>
  <c r="F922" i="2"/>
  <c r="D922" i="2"/>
  <c r="A922" i="2"/>
  <c r="V921" i="2"/>
  <c r="M921" i="2"/>
  <c r="L921" i="2"/>
  <c r="I921" i="2"/>
  <c r="H921" i="2"/>
  <c r="F921" i="2"/>
  <c r="D921" i="2"/>
  <c r="A921" i="2"/>
  <c r="V920" i="2"/>
  <c r="M920" i="2"/>
  <c r="L920" i="2"/>
  <c r="I920" i="2"/>
  <c r="H920" i="2"/>
  <c r="F920" i="2"/>
  <c r="D920" i="2"/>
  <c r="A920" i="2"/>
  <c r="V919" i="2"/>
  <c r="M919" i="2"/>
  <c r="L919" i="2"/>
  <c r="I919" i="2"/>
  <c r="H919" i="2"/>
  <c r="F919" i="2"/>
  <c r="D919" i="2"/>
  <c r="A919" i="2"/>
  <c r="V918" i="2"/>
  <c r="M918" i="2"/>
  <c r="L918" i="2"/>
  <c r="I918" i="2"/>
  <c r="H918" i="2"/>
  <c r="F918" i="2"/>
  <c r="D918" i="2"/>
  <c r="A918" i="2"/>
  <c r="V917" i="2"/>
  <c r="M917" i="2"/>
  <c r="L917" i="2"/>
  <c r="I917" i="2"/>
  <c r="H917" i="2"/>
  <c r="F917" i="2"/>
  <c r="D917" i="2"/>
  <c r="A917" i="2"/>
  <c r="V916" i="2"/>
  <c r="M916" i="2"/>
  <c r="L916" i="2"/>
  <c r="I916" i="2"/>
  <c r="H916" i="2"/>
  <c r="F916" i="2"/>
  <c r="D916" i="2"/>
  <c r="A916" i="2"/>
  <c r="V915" i="2"/>
  <c r="M915" i="2"/>
  <c r="L915" i="2"/>
  <c r="I915" i="2"/>
  <c r="H915" i="2"/>
  <c r="F915" i="2"/>
  <c r="D915" i="2"/>
  <c r="A915" i="2"/>
  <c r="V914" i="2"/>
  <c r="M914" i="2"/>
  <c r="L914" i="2"/>
  <c r="I914" i="2"/>
  <c r="H914" i="2"/>
  <c r="F914" i="2"/>
  <c r="D914" i="2"/>
  <c r="A914" i="2"/>
  <c r="V913" i="2"/>
  <c r="M913" i="2"/>
  <c r="L913" i="2"/>
  <c r="I913" i="2"/>
  <c r="H913" i="2"/>
  <c r="F913" i="2"/>
  <c r="D913" i="2"/>
  <c r="A913" i="2"/>
  <c r="V912" i="2"/>
  <c r="M912" i="2"/>
  <c r="L912" i="2"/>
  <c r="I912" i="2"/>
  <c r="H912" i="2"/>
  <c r="F912" i="2"/>
  <c r="D912" i="2"/>
  <c r="A912" i="2"/>
  <c r="V911" i="2"/>
  <c r="M911" i="2"/>
  <c r="L911" i="2"/>
  <c r="I911" i="2"/>
  <c r="H911" i="2"/>
  <c r="F911" i="2"/>
  <c r="D911" i="2"/>
  <c r="A911" i="2"/>
  <c r="V910" i="2"/>
  <c r="M910" i="2"/>
  <c r="L910" i="2"/>
  <c r="I910" i="2"/>
  <c r="H910" i="2"/>
  <c r="F910" i="2"/>
  <c r="D910" i="2"/>
  <c r="A910" i="2"/>
  <c r="V909" i="2"/>
  <c r="M909" i="2"/>
  <c r="L909" i="2"/>
  <c r="I909" i="2"/>
  <c r="H909" i="2"/>
  <c r="F909" i="2"/>
  <c r="D909" i="2"/>
  <c r="A909" i="2"/>
  <c r="V908" i="2"/>
  <c r="M908" i="2"/>
  <c r="L908" i="2"/>
  <c r="I908" i="2"/>
  <c r="H908" i="2"/>
  <c r="F908" i="2"/>
  <c r="D908" i="2"/>
  <c r="A908" i="2"/>
  <c r="V907" i="2"/>
  <c r="M907" i="2"/>
  <c r="L907" i="2"/>
  <c r="I907" i="2"/>
  <c r="H907" i="2"/>
  <c r="F907" i="2"/>
  <c r="D907" i="2"/>
  <c r="A907" i="2"/>
  <c r="V906" i="2"/>
  <c r="M906" i="2"/>
  <c r="L906" i="2"/>
  <c r="I906" i="2"/>
  <c r="H906" i="2"/>
  <c r="F906" i="2"/>
  <c r="D906" i="2"/>
  <c r="A906" i="2"/>
  <c r="V905" i="2"/>
  <c r="M905" i="2"/>
  <c r="L905" i="2"/>
  <c r="I905" i="2"/>
  <c r="H905" i="2"/>
  <c r="F905" i="2"/>
  <c r="D905" i="2"/>
  <c r="A905" i="2"/>
  <c r="V904" i="2"/>
  <c r="M904" i="2"/>
  <c r="L904" i="2"/>
  <c r="I904" i="2"/>
  <c r="H904" i="2"/>
  <c r="F904" i="2"/>
  <c r="D904" i="2"/>
  <c r="A904" i="2"/>
  <c r="V903" i="2"/>
  <c r="M903" i="2"/>
  <c r="L903" i="2"/>
  <c r="I903" i="2"/>
  <c r="H903" i="2"/>
  <c r="F903" i="2"/>
  <c r="D903" i="2"/>
  <c r="A903" i="2"/>
  <c r="V902" i="2"/>
  <c r="M902" i="2"/>
  <c r="L902" i="2"/>
  <c r="I902" i="2"/>
  <c r="H902" i="2"/>
  <c r="F902" i="2"/>
  <c r="D902" i="2"/>
  <c r="A902" i="2"/>
  <c r="V901" i="2"/>
  <c r="M901" i="2"/>
  <c r="L901" i="2"/>
  <c r="I901" i="2"/>
  <c r="H901" i="2"/>
  <c r="F901" i="2"/>
  <c r="D901" i="2"/>
  <c r="A901" i="2"/>
  <c r="V900" i="2"/>
  <c r="M900" i="2"/>
  <c r="L900" i="2"/>
  <c r="I900" i="2"/>
  <c r="H900" i="2"/>
  <c r="F900" i="2"/>
  <c r="D900" i="2"/>
  <c r="A900" i="2"/>
  <c r="V899" i="2"/>
  <c r="M899" i="2"/>
  <c r="L899" i="2"/>
  <c r="I899" i="2"/>
  <c r="H899" i="2"/>
  <c r="F899" i="2"/>
  <c r="D899" i="2"/>
  <c r="A899" i="2"/>
  <c r="V898" i="2"/>
  <c r="M898" i="2"/>
  <c r="L898" i="2"/>
  <c r="I898" i="2"/>
  <c r="H898" i="2"/>
  <c r="F898" i="2"/>
  <c r="D898" i="2"/>
  <c r="A898" i="2"/>
  <c r="V897" i="2"/>
  <c r="M897" i="2"/>
  <c r="L897" i="2"/>
  <c r="I897" i="2"/>
  <c r="H897" i="2"/>
  <c r="F897" i="2"/>
  <c r="D897" i="2"/>
  <c r="A897" i="2"/>
  <c r="V896" i="2"/>
  <c r="M896" i="2"/>
  <c r="L896" i="2"/>
  <c r="I896" i="2"/>
  <c r="H896" i="2"/>
  <c r="F896" i="2"/>
  <c r="D896" i="2"/>
  <c r="A896" i="2"/>
  <c r="V895" i="2"/>
  <c r="M895" i="2"/>
  <c r="L895" i="2"/>
  <c r="I895" i="2"/>
  <c r="H895" i="2"/>
  <c r="F895" i="2"/>
  <c r="D895" i="2"/>
  <c r="A895" i="2"/>
  <c r="V894" i="2"/>
  <c r="M894" i="2"/>
  <c r="L894" i="2"/>
  <c r="I894" i="2"/>
  <c r="H894" i="2"/>
  <c r="F894" i="2"/>
  <c r="D894" i="2"/>
  <c r="A894" i="2"/>
  <c r="V893" i="2"/>
  <c r="M893" i="2"/>
  <c r="L893" i="2"/>
  <c r="I893" i="2"/>
  <c r="H893" i="2"/>
  <c r="F893" i="2"/>
  <c r="D893" i="2"/>
  <c r="A893" i="2"/>
  <c r="V892" i="2"/>
  <c r="M892" i="2"/>
  <c r="L892" i="2"/>
  <c r="I892" i="2"/>
  <c r="H892" i="2"/>
  <c r="F892" i="2"/>
  <c r="D892" i="2"/>
  <c r="A892" i="2"/>
  <c r="V891" i="2"/>
  <c r="M891" i="2"/>
  <c r="L891" i="2"/>
  <c r="I891" i="2"/>
  <c r="H891" i="2"/>
  <c r="F891" i="2"/>
  <c r="D891" i="2"/>
  <c r="A891" i="2"/>
  <c r="V890" i="2"/>
  <c r="M890" i="2"/>
  <c r="L890" i="2"/>
  <c r="I890" i="2"/>
  <c r="H890" i="2"/>
  <c r="F890" i="2"/>
  <c r="D890" i="2"/>
  <c r="A890" i="2"/>
  <c r="V889" i="2"/>
  <c r="M889" i="2"/>
  <c r="L889" i="2"/>
  <c r="I889" i="2"/>
  <c r="H889" i="2"/>
  <c r="F889" i="2"/>
  <c r="D889" i="2"/>
  <c r="A889" i="2"/>
  <c r="V888" i="2"/>
  <c r="M888" i="2"/>
  <c r="L888" i="2"/>
  <c r="I888" i="2"/>
  <c r="H888" i="2"/>
  <c r="F888" i="2"/>
  <c r="D888" i="2"/>
  <c r="A888" i="2"/>
  <c r="V887" i="2"/>
  <c r="M887" i="2"/>
  <c r="L887" i="2"/>
  <c r="I887" i="2"/>
  <c r="H887" i="2"/>
  <c r="F887" i="2"/>
  <c r="D887" i="2"/>
  <c r="A887" i="2"/>
  <c r="V886" i="2"/>
  <c r="M886" i="2"/>
  <c r="L886" i="2"/>
  <c r="I886" i="2"/>
  <c r="H886" i="2"/>
  <c r="F886" i="2"/>
  <c r="D886" i="2"/>
  <c r="A886" i="2"/>
  <c r="V885" i="2"/>
  <c r="M885" i="2"/>
  <c r="L885" i="2"/>
  <c r="I885" i="2"/>
  <c r="H885" i="2"/>
  <c r="F885" i="2"/>
  <c r="D885" i="2"/>
  <c r="A885" i="2"/>
  <c r="V884" i="2"/>
  <c r="M884" i="2"/>
  <c r="L884" i="2"/>
  <c r="I884" i="2"/>
  <c r="H884" i="2"/>
  <c r="F884" i="2"/>
  <c r="D884" i="2"/>
  <c r="A884" i="2"/>
  <c r="V883" i="2"/>
  <c r="M883" i="2"/>
  <c r="L883" i="2"/>
  <c r="I883" i="2"/>
  <c r="H883" i="2"/>
  <c r="F883" i="2"/>
  <c r="D883" i="2"/>
  <c r="A883" i="2"/>
  <c r="V882" i="2"/>
  <c r="M882" i="2"/>
  <c r="L882" i="2"/>
  <c r="I882" i="2"/>
  <c r="H882" i="2"/>
  <c r="F882" i="2"/>
  <c r="D882" i="2"/>
  <c r="A882" i="2"/>
  <c r="V881" i="2"/>
  <c r="M881" i="2"/>
  <c r="L881" i="2"/>
  <c r="I881" i="2"/>
  <c r="H881" i="2"/>
  <c r="F881" i="2"/>
  <c r="D881" i="2"/>
  <c r="A881" i="2"/>
  <c r="V880" i="2"/>
  <c r="M880" i="2"/>
  <c r="L880" i="2"/>
  <c r="I880" i="2"/>
  <c r="H880" i="2"/>
  <c r="F880" i="2"/>
  <c r="D880" i="2"/>
  <c r="A880" i="2"/>
  <c r="V879" i="2"/>
  <c r="M879" i="2"/>
  <c r="L879" i="2"/>
  <c r="I879" i="2"/>
  <c r="H879" i="2"/>
  <c r="F879" i="2"/>
  <c r="D879" i="2"/>
  <c r="A879" i="2"/>
  <c r="V878" i="2"/>
  <c r="M878" i="2"/>
  <c r="L878" i="2"/>
  <c r="I878" i="2"/>
  <c r="H878" i="2"/>
  <c r="F878" i="2"/>
  <c r="D878" i="2"/>
  <c r="A878" i="2"/>
  <c r="V877" i="2"/>
  <c r="M877" i="2"/>
  <c r="L877" i="2"/>
  <c r="I877" i="2"/>
  <c r="H877" i="2"/>
  <c r="F877" i="2"/>
  <c r="D877" i="2"/>
  <c r="A877" i="2"/>
  <c r="V876" i="2"/>
  <c r="M876" i="2"/>
  <c r="L876" i="2"/>
  <c r="I876" i="2"/>
  <c r="H876" i="2"/>
  <c r="F876" i="2"/>
  <c r="D876" i="2"/>
  <c r="A876" i="2"/>
  <c r="V875" i="2"/>
  <c r="M875" i="2"/>
  <c r="L875" i="2"/>
  <c r="I875" i="2"/>
  <c r="H875" i="2"/>
  <c r="F875" i="2"/>
  <c r="D875" i="2"/>
  <c r="A875" i="2"/>
  <c r="V874" i="2"/>
  <c r="M874" i="2"/>
  <c r="L874" i="2"/>
  <c r="I874" i="2"/>
  <c r="H874" i="2"/>
  <c r="F874" i="2"/>
  <c r="D874" i="2"/>
  <c r="A874" i="2"/>
  <c r="V873" i="2"/>
  <c r="M873" i="2"/>
  <c r="L873" i="2"/>
  <c r="I873" i="2"/>
  <c r="H873" i="2"/>
  <c r="F873" i="2"/>
  <c r="D873" i="2"/>
  <c r="A873" i="2"/>
  <c r="V872" i="2"/>
  <c r="M872" i="2"/>
  <c r="L872" i="2"/>
  <c r="I872" i="2"/>
  <c r="H872" i="2"/>
  <c r="F872" i="2"/>
  <c r="D872" i="2"/>
  <c r="A872" i="2"/>
  <c r="V871" i="2"/>
  <c r="M871" i="2"/>
  <c r="L871" i="2"/>
  <c r="I871" i="2"/>
  <c r="H871" i="2"/>
  <c r="F871" i="2"/>
  <c r="D871" i="2"/>
  <c r="A871" i="2"/>
  <c r="V870" i="2"/>
  <c r="M870" i="2"/>
  <c r="L870" i="2"/>
  <c r="I870" i="2"/>
  <c r="H870" i="2"/>
  <c r="F870" i="2"/>
  <c r="D870" i="2"/>
  <c r="A870" i="2"/>
  <c r="V869" i="2"/>
  <c r="M869" i="2"/>
  <c r="L869" i="2"/>
  <c r="I869" i="2"/>
  <c r="H869" i="2"/>
  <c r="F869" i="2"/>
  <c r="D869" i="2"/>
  <c r="A869" i="2"/>
  <c r="V868" i="2"/>
  <c r="M868" i="2"/>
  <c r="L868" i="2"/>
  <c r="I868" i="2"/>
  <c r="H868" i="2"/>
  <c r="F868" i="2"/>
  <c r="D868" i="2"/>
  <c r="A868" i="2"/>
  <c r="V867" i="2"/>
  <c r="M867" i="2"/>
  <c r="L867" i="2"/>
  <c r="I867" i="2"/>
  <c r="H867" i="2"/>
  <c r="F867" i="2"/>
  <c r="D867" i="2"/>
  <c r="A867" i="2"/>
  <c r="V866" i="2"/>
  <c r="M866" i="2"/>
  <c r="L866" i="2"/>
  <c r="I866" i="2"/>
  <c r="H866" i="2"/>
  <c r="F866" i="2"/>
  <c r="D866" i="2"/>
  <c r="A866" i="2"/>
  <c r="V865" i="2"/>
  <c r="M865" i="2"/>
  <c r="L865" i="2"/>
  <c r="I865" i="2"/>
  <c r="H865" i="2"/>
  <c r="F865" i="2"/>
  <c r="D865" i="2"/>
  <c r="A865" i="2"/>
  <c r="V864" i="2"/>
  <c r="M864" i="2"/>
  <c r="L864" i="2"/>
  <c r="I864" i="2"/>
  <c r="H864" i="2"/>
  <c r="F864" i="2"/>
  <c r="D864" i="2"/>
  <c r="A864" i="2"/>
  <c r="V863" i="2"/>
  <c r="M863" i="2"/>
  <c r="L863" i="2"/>
  <c r="I863" i="2"/>
  <c r="H863" i="2"/>
  <c r="F863" i="2"/>
  <c r="D863" i="2"/>
  <c r="A863" i="2"/>
  <c r="V862" i="2"/>
  <c r="M862" i="2"/>
  <c r="L862" i="2"/>
  <c r="I862" i="2"/>
  <c r="H862" i="2"/>
  <c r="F862" i="2"/>
  <c r="D862" i="2"/>
  <c r="A862" i="2"/>
  <c r="V861" i="2"/>
  <c r="M861" i="2"/>
  <c r="L861" i="2"/>
  <c r="I861" i="2"/>
  <c r="H861" i="2"/>
  <c r="F861" i="2"/>
  <c r="D861" i="2"/>
  <c r="A861" i="2"/>
  <c r="V860" i="2"/>
  <c r="M860" i="2"/>
  <c r="L860" i="2"/>
  <c r="I860" i="2"/>
  <c r="H860" i="2"/>
  <c r="F860" i="2"/>
  <c r="D860" i="2"/>
  <c r="A860" i="2"/>
  <c r="V859" i="2"/>
  <c r="M859" i="2"/>
  <c r="L859" i="2"/>
  <c r="I859" i="2"/>
  <c r="H859" i="2"/>
  <c r="F859" i="2"/>
  <c r="D859" i="2"/>
  <c r="A859" i="2"/>
  <c r="V858" i="2"/>
  <c r="M858" i="2"/>
  <c r="L858" i="2"/>
  <c r="I858" i="2"/>
  <c r="H858" i="2"/>
  <c r="F858" i="2"/>
  <c r="D858" i="2"/>
  <c r="A858" i="2"/>
  <c r="V857" i="2"/>
  <c r="M857" i="2"/>
  <c r="L857" i="2"/>
  <c r="I857" i="2"/>
  <c r="H857" i="2"/>
  <c r="F857" i="2"/>
  <c r="D857" i="2"/>
  <c r="A857" i="2"/>
  <c r="V856" i="2"/>
  <c r="M856" i="2"/>
  <c r="L856" i="2"/>
  <c r="I856" i="2"/>
  <c r="H856" i="2"/>
  <c r="F856" i="2"/>
  <c r="D856" i="2"/>
  <c r="A856" i="2"/>
  <c r="V855" i="2"/>
  <c r="M855" i="2"/>
  <c r="L855" i="2"/>
  <c r="I855" i="2"/>
  <c r="H855" i="2"/>
  <c r="F855" i="2"/>
  <c r="D855" i="2"/>
  <c r="A855" i="2"/>
  <c r="V854" i="2"/>
  <c r="M854" i="2"/>
  <c r="L854" i="2"/>
  <c r="I854" i="2"/>
  <c r="H854" i="2"/>
  <c r="F854" i="2"/>
  <c r="D854" i="2"/>
  <c r="A854" i="2"/>
  <c r="V853" i="2"/>
  <c r="M853" i="2"/>
  <c r="L853" i="2"/>
  <c r="I853" i="2"/>
  <c r="H853" i="2"/>
  <c r="F853" i="2"/>
  <c r="D853" i="2"/>
  <c r="A853" i="2"/>
  <c r="V852" i="2"/>
  <c r="M852" i="2"/>
  <c r="L852" i="2"/>
  <c r="I852" i="2"/>
  <c r="H852" i="2"/>
  <c r="F852" i="2"/>
  <c r="D852" i="2"/>
  <c r="A852" i="2"/>
  <c r="V851" i="2"/>
  <c r="M851" i="2"/>
  <c r="L851" i="2"/>
  <c r="I851" i="2"/>
  <c r="H851" i="2"/>
  <c r="F851" i="2"/>
  <c r="D851" i="2"/>
  <c r="A851" i="2"/>
  <c r="V850" i="2"/>
  <c r="M850" i="2"/>
  <c r="L850" i="2"/>
  <c r="I850" i="2"/>
  <c r="H850" i="2"/>
  <c r="F850" i="2"/>
  <c r="D850" i="2"/>
  <c r="A850" i="2"/>
  <c r="V849" i="2"/>
  <c r="M849" i="2"/>
  <c r="L849" i="2"/>
  <c r="I849" i="2"/>
  <c r="H849" i="2"/>
  <c r="F849" i="2"/>
  <c r="D849" i="2"/>
  <c r="A849" i="2"/>
  <c r="V848" i="2"/>
  <c r="M848" i="2"/>
  <c r="L848" i="2"/>
  <c r="I848" i="2"/>
  <c r="H848" i="2"/>
  <c r="F848" i="2"/>
  <c r="D848" i="2"/>
  <c r="A848" i="2"/>
  <c r="V847" i="2"/>
  <c r="M847" i="2"/>
  <c r="L847" i="2"/>
  <c r="I847" i="2"/>
  <c r="H847" i="2"/>
  <c r="F847" i="2"/>
  <c r="D847" i="2"/>
  <c r="A847" i="2"/>
  <c r="V846" i="2"/>
  <c r="M846" i="2"/>
  <c r="L846" i="2"/>
  <c r="I846" i="2"/>
  <c r="H846" i="2"/>
  <c r="F846" i="2"/>
  <c r="D846" i="2"/>
  <c r="A846" i="2"/>
  <c r="V845" i="2"/>
  <c r="M845" i="2"/>
  <c r="L845" i="2"/>
  <c r="I845" i="2"/>
  <c r="H845" i="2"/>
  <c r="F845" i="2"/>
  <c r="D845" i="2"/>
  <c r="A845" i="2"/>
  <c r="V844" i="2"/>
  <c r="M844" i="2"/>
  <c r="L844" i="2"/>
  <c r="I844" i="2"/>
  <c r="H844" i="2"/>
  <c r="F844" i="2"/>
  <c r="D844" i="2"/>
  <c r="A844" i="2"/>
  <c r="V843" i="2"/>
  <c r="M843" i="2"/>
  <c r="L843" i="2"/>
  <c r="I843" i="2"/>
  <c r="H843" i="2"/>
  <c r="F843" i="2"/>
  <c r="D843" i="2"/>
  <c r="A843" i="2"/>
  <c r="V842" i="2"/>
  <c r="M842" i="2"/>
  <c r="L842" i="2"/>
  <c r="I842" i="2"/>
  <c r="H842" i="2"/>
  <c r="F842" i="2"/>
  <c r="D842" i="2"/>
  <c r="A842" i="2"/>
  <c r="V841" i="2"/>
  <c r="M841" i="2"/>
  <c r="L841" i="2"/>
  <c r="I841" i="2"/>
  <c r="H841" i="2"/>
  <c r="F841" i="2"/>
  <c r="D841" i="2"/>
  <c r="A841" i="2"/>
  <c r="V840" i="2"/>
  <c r="M840" i="2"/>
  <c r="L840" i="2"/>
  <c r="I840" i="2"/>
  <c r="H840" i="2"/>
  <c r="F840" i="2"/>
  <c r="D840" i="2"/>
  <c r="A840" i="2"/>
  <c r="V839" i="2"/>
  <c r="M839" i="2"/>
  <c r="L839" i="2"/>
  <c r="I839" i="2"/>
  <c r="H839" i="2"/>
  <c r="F839" i="2"/>
  <c r="D839" i="2"/>
  <c r="A839" i="2"/>
  <c r="V838" i="2"/>
  <c r="M838" i="2"/>
  <c r="L838" i="2"/>
  <c r="I838" i="2"/>
  <c r="H838" i="2"/>
  <c r="F838" i="2"/>
  <c r="D838" i="2"/>
  <c r="A838" i="2"/>
  <c r="V837" i="2"/>
  <c r="M837" i="2"/>
  <c r="L837" i="2"/>
  <c r="I837" i="2"/>
  <c r="H837" i="2"/>
  <c r="F837" i="2"/>
  <c r="D837" i="2"/>
  <c r="A837" i="2"/>
  <c r="V836" i="2"/>
  <c r="M836" i="2"/>
  <c r="L836" i="2"/>
  <c r="I836" i="2"/>
  <c r="H836" i="2"/>
  <c r="F836" i="2"/>
  <c r="D836" i="2"/>
  <c r="A836" i="2"/>
  <c r="V835" i="2"/>
  <c r="M835" i="2"/>
  <c r="L835" i="2"/>
  <c r="I835" i="2"/>
  <c r="H835" i="2"/>
  <c r="F835" i="2"/>
  <c r="D835" i="2"/>
  <c r="A835" i="2"/>
  <c r="V834" i="2"/>
  <c r="M834" i="2"/>
  <c r="L834" i="2"/>
  <c r="I834" i="2"/>
  <c r="H834" i="2"/>
  <c r="F834" i="2"/>
  <c r="D834" i="2"/>
  <c r="A834" i="2"/>
  <c r="V833" i="2"/>
  <c r="M833" i="2"/>
  <c r="L833" i="2"/>
  <c r="I833" i="2"/>
  <c r="H833" i="2"/>
  <c r="F833" i="2"/>
  <c r="D833" i="2"/>
  <c r="A833" i="2"/>
  <c r="V832" i="2"/>
  <c r="M832" i="2"/>
  <c r="L832" i="2"/>
  <c r="I832" i="2"/>
  <c r="H832" i="2"/>
  <c r="F832" i="2"/>
  <c r="D832" i="2"/>
  <c r="A832" i="2"/>
  <c r="V831" i="2"/>
  <c r="M831" i="2"/>
  <c r="L831" i="2"/>
  <c r="I831" i="2"/>
  <c r="H831" i="2"/>
  <c r="F831" i="2"/>
  <c r="D831" i="2"/>
  <c r="A831" i="2"/>
  <c r="V830" i="2"/>
  <c r="M830" i="2"/>
  <c r="L830" i="2"/>
  <c r="I830" i="2"/>
  <c r="H830" i="2"/>
  <c r="F830" i="2"/>
  <c r="D830" i="2"/>
  <c r="A830" i="2"/>
  <c r="V829" i="2"/>
  <c r="M829" i="2"/>
  <c r="L829" i="2"/>
  <c r="I829" i="2"/>
  <c r="H829" i="2"/>
  <c r="F829" i="2"/>
  <c r="D829" i="2"/>
  <c r="A829" i="2"/>
  <c r="V828" i="2"/>
  <c r="M828" i="2"/>
  <c r="L828" i="2"/>
  <c r="I828" i="2"/>
  <c r="H828" i="2"/>
  <c r="F828" i="2"/>
  <c r="D828" i="2"/>
  <c r="A828" i="2"/>
  <c r="V827" i="2"/>
  <c r="M827" i="2"/>
  <c r="L827" i="2"/>
  <c r="I827" i="2"/>
  <c r="H827" i="2"/>
  <c r="F827" i="2"/>
  <c r="D827" i="2"/>
  <c r="A827" i="2"/>
  <c r="V826" i="2"/>
  <c r="M826" i="2"/>
  <c r="L826" i="2"/>
  <c r="I826" i="2"/>
  <c r="H826" i="2"/>
  <c r="F826" i="2"/>
  <c r="D826" i="2"/>
  <c r="A826" i="2"/>
  <c r="V825" i="2"/>
  <c r="M825" i="2"/>
  <c r="L825" i="2"/>
  <c r="I825" i="2"/>
  <c r="H825" i="2"/>
  <c r="F825" i="2"/>
  <c r="D825" i="2"/>
  <c r="A825" i="2"/>
  <c r="V824" i="2"/>
  <c r="M824" i="2"/>
  <c r="L824" i="2"/>
  <c r="I824" i="2"/>
  <c r="H824" i="2"/>
  <c r="F824" i="2"/>
  <c r="D824" i="2"/>
  <c r="A824" i="2"/>
  <c r="V823" i="2"/>
  <c r="M823" i="2"/>
  <c r="L823" i="2"/>
  <c r="I823" i="2"/>
  <c r="H823" i="2"/>
  <c r="F823" i="2"/>
  <c r="D823" i="2"/>
  <c r="A823" i="2"/>
  <c r="V822" i="2"/>
  <c r="M822" i="2"/>
  <c r="L822" i="2"/>
  <c r="I822" i="2"/>
  <c r="H822" i="2"/>
  <c r="F822" i="2"/>
  <c r="D822" i="2"/>
  <c r="A822" i="2"/>
  <c r="V821" i="2"/>
  <c r="M821" i="2"/>
  <c r="L821" i="2"/>
  <c r="I821" i="2"/>
  <c r="H821" i="2"/>
  <c r="F821" i="2"/>
  <c r="D821" i="2"/>
  <c r="A821" i="2"/>
  <c r="V820" i="2"/>
  <c r="M820" i="2"/>
  <c r="L820" i="2"/>
  <c r="I820" i="2"/>
  <c r="H820" i="2"/>
  <c r="F820" i="2"/>
  <c r="D820" i="2"/>
  <c r="A820" i="2"/>
  <c r="V819" i="2"/>
  <c r="M819" i="2"/>
  <c r="L819" i="2"/>
  <c r="I819" i="2"/>
  <c r="H819" i="2"/>
  <c r="F819" i="2"/>
  <c r="D819" i="2"/>
  <c r="A819" i="2"/>
  <c r="V818" i="2"/>
  <c r="M818" i="2"/>
  <c r="L818" i="2"/>
  <c r="I818" i="2"/>
  <c r="H818" i="2"/>
  <c r="F818" i="2"/>
  <c r="D818" i="2"/>
  <c r="A818" i="2"/>
  <c r="V817" i="2"/>
  <c r="M817" i="2"/>
  <c r="L817" i="2"/>
  <c r="I817" i="2"/>
  <c r="H817" i="2"/>
  <c r="F817" i="2"/>
  <c r="D817" i="2"/>
  <c r="A817" i="2"/>
  <c r="V816" i="2"/>
  <c r="M816" i="2"/>
  <c r="L816" i="2"/>
  <c r="I816" i="2"/>
  <c r="H816" i="2"/>
  <c r="F816" i="2"/>
  <c r="D816" i="2"/>
  <c r="A816" i="2"/>
  <c r="V815" i="2"/>
  <c r="M815" i="2"/>
  <c r="L815" i="2"/>
  <c r="I815" i="2"/>
  <c r="H815" i="2"/>
  <c r="F815" i="2"/>
  <c r="D815" i="2"/>
  <c r="A815" i="2"/>
  <c r="V814" i="2"/>
  <c r="M814" i="2"/>
  <c r="L814" i="2"/>
  <c r="I814" i="2"/>
  <c r="H814" i="2"/>
  <c r="F814" i="2"/>
  <c r="D814" i="2"/>
  <c r="A814" i="2"/>
  <c r="V813" i="2"/>
  <c r="M813" i="2"/>
  <c r="L813" i="2"/>
  <c r="I813" i="2"/>
  <c r="H813" i="2"/>
  <c r="F813" i="2"/>
  <c r="D813" i="2"/>
  <c r="A813" i="2"/>
  <c r="V812" i="2"/>
  <c r="M812" i="2"/>
  <c r="L812" i="2"/>
  <c r="I812" i="2"/>
  <c r="H812" i="2"/>
  <c r="F812" i="2"/>
  <c r="D812" i="2"/>
  <c r="A812" i="2"/>
  <c r="V811" i="2"/>
  <c r="M811" i="2"/>
  <c r="L811" i="2"/>
  <c r="I811" i="2"/>
  <c r="H811" i="2"/>
  <c r="F811" i="2"/>
  <c r="D811" i="2"/>
  <c r="A811" i="2"/>
  <c r="V810" i="2"/>
  <c r="M810" i="2"/>
  <c r="L810" i="2"/>
  <c r="I810" i="2"/>
  <c r="H810" i="2"/>
  <c r="F810" i="2"/>
  <c r="D810" i="2"/>
  <c r="A810" i="2"/>
  <c r="V809" i="2"/>
  <c r="M809" i="2"/>
  <c r="L809" i="2"/>
  <c r="I809" i="2"/>
  <c r="H809" i="2"/>
  <c r="F809" i="2"/>
  <c r="D809" i="2"/>
  <c r="A809" i="2"/>
  <c r="V808" i="2"/>
  <c r="M808" i="2"/>
  <c r="L808" i="2"/>
  <c r="I808" i="2"/>
  <c r="H808" i="2"/>
  <c r="F808" i="2"/>
  <c r="D808" i="2"/>
  <c r="A808" i="2"/>
  <c r="V807" i="2"/>
  <c r="M807" i="2"/>
  <c r="L807" i="2"/>
  <c r="I807" i="2"/>
  <c r="H807" i="2"/>
  <c r="F807" i="2"/>
  <c r="D807" i="2"/>
  <c r="A807" i="2"/>
  <c r="V806" i="2"/>
  <c r="M806" i="2"/>
  <c r="L806" i="2"/>
  <c r="I806" i="2"/>
  <c r="H806" i="2"/>
  <c r="F806" i="2"/>
  <c r="D806" i="2"/>
  <c r="A806" i="2"/>
  <c r="V805" i="2"/>
  <c r="M805" i="2"/>
  <c r="L805" i="2"/>
  <c r="I805" i="2"/>
  <c r="H805" i="2"/>
  <c r="F805" i="2"/>
  <c r="D805" i="2"/>
  <c r="A805" i="2"/>
  <c r="V804" i="2"/>
  <c r="M804" i="2"/>
  <c r="L804" i="2"/>
  <c r="I804" i="2"/>
  <c r="H804" i="2"/>
  <c r="F804" i="2"/>
  <c r="D804" i="2"/>
  <c r="A804" i="2"/>
  <c r="V803" i="2"/>
  <c r="M803" i="2"/>
  <c r="L803" i="2"/>
  <c r="I803" i="2"/>
  <c r="H803" i="2"/>
  <c r="F803" i="2"/>
  <c r="D803" i="2"/>
  <c r="A803" i="2"/>
  <c r="V802" i="2"/>
  <c r="M802" i="2"/>
  <c r="L802" i="2"/>
  <c r="I802" i="2"/>
  <c r="H802" i="2"/>
  <c r="F802" i="2"/>
  <c r="D802" i="2"/>
  <c r="A802" i="2"/>
  <c r="V801" i="2"/>
  <c r="M801" i="2"/>
  <c r="L801" i="2"/>
  <c r="I801" i="2"/>
  <c r="H801" i="2"/>
  <c r="F801" i="2"/>
  <c r="D801" i="2"/>
  <c r="A801" i="2"/>
  <c r="V800" i="2"/>
  <c r="M800" i="2"/>
  <c r="L800" i="2"/>
  <c r="I800" i="2"/>
  <c r="H800" i="2"/>
  <c r="F800" i="2"/>
  <c r="D800" i="2"/>
  <c r="A800" i="2"/>
  <c r="V799" i="2"/>
  <c r="M799" i="2"/>
  <c r="L799" i="2"/>
  <c r="I799" i="2"/>
  <c r="H799" i="2"/>
  <c r="F799" i="2"/>
  <c r="D799" i="2"/>
  <c r="A799" i="2"/>
  <c r="V798" i="2"/>
  <c r="M798" i="2"/>
  <c r="L798" i="2"/>
  <c r="I798" i="2"/>
  <c r="H798" i="2"/>
  <c r="F798" i="2"/>
  <c r="D798" i="2"/>
  <c r="A798" i="2"/>
  <c r="V797" i="2"/>
  <c r="M797" i="2"/>
  <c r="L797" i="2"/>
  <c r="I797" i="2"/>
  <c r="H797" i="2"/>
  <c r="F797" i="2"/>
  <c r="D797" i="2"/>
  <c r="A797" i="2"/>
  <c r="V796" i="2"/>
  <c r="M796" i="2"/>
  <c r="L796" i="2"/>
  <c r="I796" i="2"/>
  <c r="H796" i="2"/>
  <c r="F796" i="2"/>
  <c r="D796" i="2"/>
  <c r="A796" i="2"/>
  <c r="V795" i="2"/>
  <c r="M795" i="2"/>
  <c r="L795" i="2"/>
  <c r="I795" i="2"/>
  <c r="H795" i="2"/>
  <c r="F795" i="2"/>
  <c r="D795" i="2"/>
  <c r="A795" i="2"/>
  <c r="V794" i="2"/>
  <c r="M794" i="2"/>
  <c r="L794" i="2"/>
  <c r="I794" i="2"/>
  <c r="H794" i="2"/>
  <c r="F794" i="2"/>
  <c r="D794" i="2"/>
  <c r="A794" i="2"/>
  <c r="V793" i="2"/>
  <c r="M793" i="2"/>
  <c r="L793" i="2"/>
  <c r="I793" i="2"/>
  <c r="H793" i="2"/>
  <c r="F793" i="2"/>
  <c r="D793" i="2"/>
  <c r="A793" i="2"/>
  <c r="V792" i="2"/>
  <c r="M792" i="2"/>
  <c r="L792" i="2"/>
  <c r="I792" i="2"/>
  <c r="H792" i="2"/>
  <c r="F792" i="2"/>
  <c r="D792" i="2"/>
  <c r="A792" i="2"/>
  <c r="V791" i="2"/>
  <c r="M791" i="2"/>
  <c r="L791" i="2"/>
  <c r="I791" i="2"/>
  <c r="H791" i="2"/>
  <c r="F791" i="2"/>
  <c r="D791" i="2"/>
  <c r="A791" i="2"/>
  <c r="V790" i="2"/>
  <c r="M790" i="2"/>
  <c r="L790" i="2"/>
  <c r="I790" i="2"/>
  <c r="H790" i="2"/>
  <c r="F790" i="2"/>
  <c r="D790" i="2"/>
  <c r="A790" i="2"/>
  <c r="V789" i="2"/>
  <c r="M789" i="2"/>
  <c r="L789" i="2"/>
  <c r="I789" i="2"/>
  <c r="H789" i="2"/>
  <c r="F789" i="2"/>
  <c r="D789" i="2"/>
  <c r="A789" i="2"/>
  <c r="V788" i="2"/>
  <c r="M788" i="2"/>
  <c r="L788" i="2"/>
  <c r="I788" i="2"/>
  <c r="H788" i="2"/>
  <c r="F788" i="2"/>
  <c r="D788" i="2"/>
  <c r="A788" i="2"/>
  <c r="V787" i="2"/>
  <c r="M787" i="2"/>
  <c r="L787" i="2"/>
  <c r="I787" i="2"/>
  <c r="H787" i="2"/>
  <c r="F787" i="2"/>
  <c r="D787" i="2"/>
  <c r="A787" i="2"/>
  <c r="V786" i="2"/>
  <c r="M786" i="2"/>
  <c r="L786" i="2"/>
  <c r="I786" i="2"/>
  <c r="H786" i="2"/>
  <c r="F786" i="2"/>
  <c r="D786" i="2"/>
  <c r="A786" i="2"/>
  <c r="V785" i="2"/>
  <c r="M785" i="2"/>
  <c r="L785" i="2"/>
  <c r="I785" i="2"/>
  <c r="H785" i="2"/>
  <c r="F785" i="2"/>
  <c r="D785" i="2"/>
  <c r="A785" i="2"/>
  <c r="V784" i="2"/>
  <c r="M784" i="2"/>
  <c r="L784" i="2"/>
  <c r="I784" i="2"/>
  <c r="H784" i="2"/>
  <c r="F784" i="2"/>
  <c r="D784" i="2"/>
  <c r="A784" i="2"/>
  <c r="V783" i="2"/>
  <c r="M783" i="2"/>
  <c r="L783" i="2"/>
  <c r="I783" i="2"/>
  <c r="H783" i="2"/>
  <c r="F783" i="2"/>
  <c r="D783" i="2"/>
  <c r="A783" i="2"/>
  <c r="V782" i="2"/>
  <c r="M782" i="2"/>
  <c r="L782" i="2"/>
  <c r="I782" i="2"/>
  <c r="H782" i="2"/>
  <c r="F782" i="2"/>
  <c r="D782" i="2"/>
  <c r="A782" i="2"/>
  <c r="V781" i="2"/>
  <c r="M781" i="2"/>
  <c r="L781" i="2"/>
  <c r="I781" i="2"/>
  <c r="H781" i="2"/>
  <c r="F781" i="2"/>
  <c r="D781" i="2"/>
  <c r="A781" i="2"/>
  <c r="V780" i="2"/>
  <c r="M780" i="2"/>
  <c r="L780" i="2"/>
  <c r="I780" i="2"/>
  <c r="H780" i="2"/>
  <c r="F780" i="2"/>
  <c r="D780" i="2"/>
  <c r="A780" i="2"/>
  <c r="V779" i="2"/>
  <c r="M779" i="2"/>
  <c r="L779" i="2"/>
  <c r="I779" i="2"/>
  <c r="H779" i="2"/>
  <c r="F779" i="2"/>
  <c r="D779" i="2"/>
  <c r="A779" i="2"/>
  <c r="V778" i="2"/>
  <c r="M778" i="2"/>
  <c r="L778" i="2"/>
  <c r="I778" i="2"/>
  <c r="H778" i="2"/>
  <c r="F778" i="2"/>
  <c r="D778" i="2"/>
  <c r="A778" i="2"/>
  <c r="V777" i="2"/>
  <c r="M777" i="2"/>
  <c r="L777" i="2"/>
  <c r="I777" i="2"/>
  <c r="H777" i="2"/>
  <c r="F777" i="2"/>
  <c r="D777" i="2"/>
  <c r="A777" i="2"/>
  <c r="V776" i="2"/>
  <c r="M776" i="2"/>
  <c r="L776" i="2"/>
  <c r="I776" i="2"/>
  <c r="H776" i="2"/>
  <c r="F776" i="2"/>
  <c r="D776" i="2"/>
  <c r="A776" i="2"/>
  <c r="V775" i="2"/>
  <c r="M775" i="2"/>
  <c r="L775" i="2"/>
  <c r="I775" i="2"/>
  <c r="H775" i="2"/>
  <c r="F775" i="2"/>
  <c r="D775" i="2"/>
  <c r="A775" i="2"/>
  <c r="V774" i="2"/>
  <c r="M774" i="2"/>
  <c r="L774" i="2"/>
  <c r="I774" i="2"/>
  <c r="H774" i="2"/>
  <c r="F774" i="2"/>
  <c r="D774" i="2"/>
  <c r="A774" i="2"/>
  <c r="V773" i="2"/>
  <c r="M773" i="2"/>
  <c r="L773" i="2"/>
  <c r="I773" i="2"/>
  <c r="H773" i="2"/>
  <c r="F773" i="2"/>
  <c r="D773" i="2"/>
  <c r="A773" i="2"/>
  <c r="V772" i="2"/>
  <c r="M772" i="2"/>
  <c r="L772" i="2"/>
  <c r="I772" i="2"/>
  <c r="H772" i="2"/>
  <c r="F772" i="2"/>
  <c r="D772" i="2"/>
  <c r="A772" i="2"/>
  <c r="V771" i="2"/>
  <c r="M771" i="2"/>
  <c r="L771" i="2"/>
  <c r="I771" i="2"/>
  <c r="H771" i="2"/>
  <c r="F771" i="2"/>
  <c r="D771" i="2"/>
  <c r="A771" i="2"/>
  <c r="V770" i="2"/>
  <c r="M770" i="2"/>
  <c r="L770" i="2"/>
  <c r="I770" i="2"/>
  <c r="H770" i="2"/>
  <c r="F770" i="2"/>
  <c r="D770" i="2"/>
  <c r="A770" i="2"/>
  <c r="V769" i="2"/>
  <c r="M769" i="2"/>
  <c r="L769" i="2"/>
  <c r="I769" i="2"/>
  <c r="H769" i="2"/>
  <c r="F769" i="2"/>
  <c r="D769" i="2"/>
  <c r="A769" i="2"/>
  <c r="V768" i="2"/>
  <c r="M768" i="2"/>
  <c r="L768" i="2"/>
  <c r="I768" i="2"/>
  <c r="H768" i="2"/>
  <c r="F768" i="2"/>
  <c r="D768" i="2"/>
  <c r="A768" i="2"/>
  <c r="V767" i="2"/>
  <c r="M767" i="2"/>
  <c r="L767" i="2"/>
  <c r="I767" i="2"/>
  <c r="H767" i="2"/>
  <c r="F767" i="2"/>
  <c r="D767" i="2"/>
  <c r="A767" i="2"/>
  <c r="V766" i="2"/>
  <c r="M766" i="2"/>
  <c r="L766" i="2"/>
  <c r="I766" i="2"/>
  <c r="H766" i="2"/>
  <c r="F766" i="2"/>
  <c r="D766" i="2"/>
  <c r="A766" i="2"/>
  <c r="V765" i="2"/>
  <c r="M765" i="2"/>
  <c r="L765" i="2"/>
  <c r="I765" i="2"/>
  <c r="H765" i="2"/>
  <c r="F765" i="2"/>
  <c r="D765" i="2"/>
  <c r="A765" i="2"/>
  <c r="V764" i="2"/>
  <c r="M764" i="2"/>
  <c r="L764" i="2"/>
  <c r="I764" i="2"/>
  <c r="H764" i="2"/>
  <c r="F764" i="2"/>
  <c r="D764" i="2"/>
  <c r="A764" i="2"/>
  <c r="V763" i="2"/>
  <c r="M763" i="2"/>
  <c r="L763" i="2"/>
  <c r="I763" i="2"/>
  <c r="H763" i="2"/>
  <c r="F763" i="2"/>
  <c r="D763" i="2"/>
  <c r="A763" i="2"/>
  <c r="V762" i="2"/>
  <c r="M762" i="2"/>
  <c r="L762" i="2"/>
  <c r="I762" i="2"/>
  <c r="H762" i="2"/>
  <c r="F762" i="2"/>
  <c r="D762" i="2"/>
  <c r="A762" i="2"/>
  <c r="V761" i="2"/>
  <c r="M761" i="2"/>
  <c r="L761" i="2"/>
  <c r="I761" i="2"/>
  <c r="H761" i="2"/>
  <c r="F761" i="2"/>
  <c r="D761" i="2"/>
  <c r="A761" i="2"/>
  <c r="V760" i="2"/>
  <c r="M760" i="2"/>
  <c r="L760" i="2"/>
  <c r="I760" i="2"/>
  <c r="H760" i="2"/>
  <c r="F760" i="2"/>
  <c r="D760" i="2"/>
  <c r="A760" i="2"/>
  <c r="V759" i="2"/>
  <c r="M759" i="2"/>
  <c r="L759" i="2"/>
  <c r="I759" i="2"/>
  <c r="H759" i="2"/>
  <c r="F759" i="2"/>
  <c r="D759" i="2"/>
  <c r="A759" i="2"/>
  <c r="V758" i="2"/>
  <c r="M758" i="2"/>
  <c r="L758" i="2"/>
  <c r="I758" i="2"/>
  <c r="H758" i="2"/>
  <c r="F758" i="2"/>
  <c r="D758" i="2"/>
  <c r="A758" i="2"/>
  <c r="V757" i="2"/>
  <c r="M757" i="2"/>
  <c r="L757" i="2"/>
  <c r="I757" i="2"/>
  <c r="H757" i="2"/>
  <c r="F757" i="2"/>
  <c r="D757" i="2"/>
  <c r="A757" i="2"/>
  <c r="V756" i="2"/>
  <c r="M756" i="2"/>
  <c r="L756" i="2"/>
  <c r="I756" i="2"/>
  <c r="H756" i="2"/>
  <c r="F756" i="2"/>
  <c r="D756" i="2"/>
  <c r="A756" i="2"/>
  <c r="V755" i="2"/>
  <c r="M755" i="2"/>
  <c r="L755" i="2"/>
  <c r="I755" i="2"/>
  <c r="H755" i="2"/>
  <c r="F755" i="2"/>
  <c r="D755" i="2"/>
  <c r="A755" i="2"/>
  <c r="V754" i="2"/>
  <c r="M754" i="2"/>
  <c r="L754" i="2"/>
  <c r="I754" i="2"/>
  <c r="H754" i="2"/>
  <c r="F754" i="2"/>
  <c r="D754" i="2"/>
  <c r="A754" i="2"/>
  <c r="V753" i="2"/>
  <c r="M753" i="2"/>
  <c r="L753" i="2"/>
  <c r="I753" i="2"/>
  <c r="H753" i="2"/>
  <c r="F753" i="2"/>
  <c r="D753" i="2"/>
  <c r="A753" i="2"/>
  <c r="V752" i="2"/>
  <c r="M752" i="2"/>
  <c r="L752" i="2"/>
  <c r="I752" i="2"/>
  <c r="H752" i="2"/>
  <c r="F752" i="2"/>
  <c r="D752" i="2"/>
  <c r="A752" i="2"/>
  <c r="V751" i="2"/>
  <c r="M751" i="2"/>
  <c r="L751" i="2"/>
  <c r="I751" i="2"/>
  <c r="H751" i="2"/>
  <c r="F751" i="2"/>
  <c r="D751" i="2"/>
  <c r="A751" i="2"/>
  <c r="V750" i="2"/>
  <c r="M750" i="2"/>
  <c r="L750" i="2"/>
  <c r="I750" i="2"/>
  <c r="H750" i="2"/>
  <c r="F750" i="2"/>
  <c r="D750" i="2"/>
  <c r="A750" i="2"/>
  <c r="V749" i="2"/>
  <c r="M749" i="2"/>
  <c r="L749" i="2"/>
  <c r="I749" i="2"/>
  <c r="H749" i="2"/>
  <c r="F749" i="2"/>
  <c r="D749" i="2"/>
  <c r="A749" i="2"/>
  <c r="V748" i="2"/>
  <c r="M748" i="2"/>
  <c r="L748" i="2"/>
  <c r="I748" i="2"/>
  <c r="H748" i="2"/>
  <c r="F748" i="2"/>
  <c r="D748" i="2"/>
  <c r="A748" i="2"/>
  <c r="V747" i="2"/>
  <c r="M747" i="2"/>
  <c r="L747" i="2"/>
  <c r="I747" i="2"/>
  <c r="H747" i="2"/>
  <c r="F747" i="2"/>
  <c r="D747" i="2"/>
  <c r="A747" i="2"/>
  <c r="V746" i="2"/>
  <c r="M746" i="2"/>
  <c r="L746" i="2"/>
  <c r="I746" i="2"/>
  <c r="H746" i="2"/>
  <c r="F746" i="2"/>
  <c r="D746" i="2"/>
  <c r="A746" i="2"/>
  <c r="V745" i="2"/>
  <c r="M745" i="2"/>
  <c r="L745" i="2"/>
  <c r="I745" i="2"/>
  <c r="H745" i="2"/>
  <c r="F745" i="2"/>
  <c r="D745" i="2"/>
  <c r="A745" i="2"/>
  <c r="V744" i="2"/>
  <c r="M744" i="2"/>
  <c r="L744" i="2"/>
  <c r="I744" i="2"/>
  <c r="H744" i="2"/>
  <c r="F744" i="2"/>
  <c r="D744" i="2"/>
  <c r="A744" i="2"/>
  <c r="V743" i="2"/>
  <c r="M743" i="2"/>
  <c r="L743" i="2"/>
  <c r="I743" i="2"/>
  <c r="H743" i="2"/>
  <c r="F743" i="2"/>
  <c r="D743" i="2"/>
  <c r="A743" i="2"/>
  <c r="V742" i="2"/>
  <c r="M742" i="2"/>
  <c r="L742" i="2"/>
  <c r="I742" i="2"/>
  <c r="H742" i="2"/>
  <c r="F742" i="2"/>
  <c r="D742" i="2"/>
  <c r="A742" i="2"/>
  <c r="V741" i="2"/>
  <c r="M741" i="2"/>
  <c r="L741" i="2"/>
  <c r="I741" i="2"/>
  <c r="H741" i="2"/>
  <c r="F741" i="2"/>
  <c r="D741" i="2"/>
  <c r="A741" i="2"/>
  <c r="V740" i="2"/>
  <c r="M740" i="2"/>
  <c r="L740" i="2"/>
  <c r="I740" i="2"/>
  <c r="H740" i="2"/>
  <c r="F740" i="2"/>
  <c r="D740" i="2"/>
  <c r="A740" i="2"/>
  <c r="V739" i="2"/>
  <c r="M739" i="2"/>
  <c r="L739" i="2"/>
  <c r="I739" i="2"/>
  <c r="H739" i="2"/>
  <c r="F739" i="2"/>
  <c r="D739" i="2"/>
  <c r="A739" i="2"/>
  <c r="V738" i="2"/>
  <c r="M738" i="2"/>
  <c r="L738" i="2"/>
  <c r="I738" i="2"/>
  <c r="H738" i="2"/>
  <c r="F738" i="2"/>
  <c r="D738" i="2"/>
  <c r="A738" i="2"/>
  <c r="V737" i="2"/>
  <c r="M737" i="2"/>
  <c r="L737" i="2"/>
  <c r="I737" i="2"/>
  <c r="H737" i="2"/>
  <c r="F737" i="2"/>
  <c r="D737" i="2"/>
  <c r="A737" i="2"/>
  <c r="V736" i="2"/>
  <c r="M736" i="2"/>
  <c r="L736" i="2"/>
  <c r="I736" i="2"/>
  <c r="H736" i="2"/>
  <c r="F736" i="2"/>
  <c r="D736" i="2"/>
  <c r="A736" i="2"/>
  <c r="V735" i="2"/>
  <c r="M735" i="2"/>
  <c r="L735" i="2"/>
  <c r="I735" i="2"/>
  <c r="H735" i="2"/>
  <c r="F735" i="2"/>
  <c r="D735" i="2"/>
  <c r="A735" i="2"/>
  <c r="V734" i="2"/>
  <c r="M734" i="2"/>
  <c r="L734" i="2"/>
  <c r="I734" i="2"/>
  <c r="H734" i="2"/>
  <c r="F734" i="2"/>
  <c r="D734" i="2"/>
  <c r="A734" i="2"/>
  <c r="V733" i="2"/>
  <c r="M733" i="2"/>
  <c r="L733" i="2"/>
  <c r="I733" i="2"/>
  <c r="H733" i="2"/>
  <c r="F733" i="2"/>
  <c r="D733" i="2"/>
  <c r="A733" i="2"/>
  <c r="V732" i="2"/>
  <c r="M732" i="2"/>
  <c r="L732" i="2"/>
  <c r="I732" i="2"/>
  <c r="H732" i="2"/>
  <c r="F732" i="2"/>
  <c r="D732" i="2"/>
  <c r="A732" i="2"/>
  <c r="V731" i="2"/>
  <c r="M731" i="2"/>
  <c r="L731" i="2"/>
  <c r="I731" i="2"/>
  <c r="H731" i="2"/>
  <c r="F731" i="2"/>
  <c r="D731" i="2"/>
  <c r="A731" i="2"/>
  <c r="V730" i="2"/>
  <c r="M730" i="2"/>
  <c r="L730" i="2"/>
  <c r="I730" i="2"/>
  <c r="H730" i="2"/>
  <c r="F730" i="2"/>
  <c r="D730" i="2"/>
  <c r="A730" i="2"/>
  <c r="V729" i="2"/>
  <c r="M729" i="2"/>
  <c r="L729" i="2"/>
  <c r="I729" i="2"/>
  <c r="H729" i="2"/>
  <c r="F729" i="2"/>
  <c r="D729" i="2"/>
  <c r="A729" i="2"/>
  <c r="V728" i="2"/>
  <c r="M728" i="2"/>
  <c r="L728" i="2"/>
  <c r="I728" i="2"/>
  <c r="H728" i="2"/>
  <c r="F728" i="2"/>
  <c r="D728" i="2"/>
  <c r="A728" i="2"/>
  <c r="V727" i="2"/>
  <c r="M727" i="2"/>
  <c r="L727" i="2"/>
  <c r="I727" i="2"/>
  <c r="H727" i="2"/>
  <c r="F727" i="2"/>
  <c r="D727" i="2"/>
  <c r="A727" i="2"/>
  <c r="V726" i="2"/>
  <c r="M726" i="2"/>
  <c r="L726" i="2"/>
  <c r="I726" i="2"/>
  <c r="H726" i="2"/>
  <c r="F726" i="2"/>
  <c r="D726" i="2"/>
  <c r="A726" i="2"/>
  <c r="V725" i="2"/>
  <c r="M725" i="2"/>
  <c r="L725" i="2"/>
  <c r="I725" i="2"/>
  <c r="H725" i="2"/>
  <c r="F725" i="2"/>
  <c r="D725" i="2"/>
  <c r="A725" i="2"/>
  <c r="V724" i="2"/>
  <c r="M724" i="2"/>
  <c r="L724" i="2"/>
  <c r="I724" i="2"/>
  <c r="H724" i="2"/>
  <c r="F724" i="2"/>
  <c r="D724" i="2"/>
  <c r="A724" i="2"/>
  <c r="V723" i="2"/>
  <c r="M723" i="2"/>
  <c r="L723" i="2"/>
  <c r="I723" i="2"/>
  <c r="H723" i="2"/>
  <c r="F723" i="2"/>
  <c r="D723" i="2"/>
  <c r="A723" i="2"/>
  <c r="V722" i="2"/>
  <c r="M722" i="2"/>
  <c r="L722" i="2"/>
  <c r="I722" i="2"/>
  <c r="H722" i="2"/>
  <c r="F722" i="2"/>
  <c r="D722" i="2"/>
  <c r="A722" i="2"/>
  <c r="V721" i="2"/>
  <c r="M721" i="2"/>
  <c r="L721" i="2"/>
  <c r="I721" i="2"/>
  <c r="H721" i="2"/>
  <c r="F721" i="2"/>
  <c r="D721" i="2"/>
  <c r="A721" i="2"/>
  <c r="V720" i="2"/>
  <c r="M720" i="2"/>
  <c r="L720" i="2"/>
  <c r="I720" i="2"/>
  <c r="H720" i="2"/>
  <c r="F720" i="2"/>
  <c r="D720" i="2"/>
  <c r="A720" i="2"/>
  <c r="V719" i="2"/>
  <c r="M719" i="2"/>
  <c r="L719" i="2"/>
  <c r="I719" i="2"/>
  <c r="H719" i="2"/>
  <c r="F719" i="2"/>
  <c r="D719" i="2"/>
  <c r="A719" i="2"/>
  <c r="V718" i="2"/>
  <c r="M718" i="2"/>
  <c r="L718" i="2"/>
  <c r="I718" i="2"/>
  <c r="H718" i="2"/>
  <c r="F718" i="2"/>
  <c r="D718" i="2"/>
  <c r="A718" i="2"/>
  <c r="V717" i="2"/>
  <c r="M717" i="2"/>
  <c r="L717" i="2"/>
  <c r="I717" i="2"/>
  <c r="H717" i="2"/>
  <c r="F717" i="2"/>
  <c r="D717" i="2"/>
  <c r="A717" i="2"/>
  <c r="V716" i="2"/>
  <c r="M716" i="2"/>
  <c r="L716" i="2"/>
  <c r="I716" i="2"/>
  <c r="H716" i="2"/>
  <c r="F716" i="2"/>
  <c r="D716" i="2"/>
  <c r="A716" i="2"/>
  <c r="V715" i="2"/>
  <c r="M715" i="2"/>
  <c r="L715" i="2"/>
  <c r="I715" i="2"/>
  <c r="H715" i="2"/>
  <c r="F715" i="2"/>
  <c r="D715" i="2"/>
  <c r="A715" i="2"/>
  <c r="V714" i="2"/>
  <c r="M714" i="2"/>
  <c r="L714" i="2"/>
  <c r="I714" i="2"/>
  <c r="H714" i="2"/>
  <c r="F714" i="2"/>
  <c r="D714" i="2"/>
  <c r="A714" i="2"/>
  <c r="V713" i="2"/>
  <c r="M713" i="2"/>
  <c r="L713" i="2"/>
  <c r="I713" i="2"/>
  <c r="H713" i="2"/>
  <c r="F713" i="2"/>
  <c r="D713" i="2"/>
  <c r="A713" i="2"/>
  <c r="V712" i="2"/>
  <c r="M712" i="2"/>
  <c r="L712" i="2"/>
  <c r="I712" i="2"/>
  <c r="H712" i="2"/>
  <c r="F712" i="2"/>
  <c r="D712" i="2"/>
  <c r="A712" i="2"/>
  <c r="V711" i="2"/>
  <c r="M711" i="2"/>
  <c r="L711" i="2"/>
  <c r="I711" i="2"/>
  <c r="H711" i="2"/>
  <c r="F711" i="2"/>
  <c r="D711" i="2"/>
  <c r="A711" i="2"/>
  <c r="V710" i="2"/>
  <c r="M710" i="2"/>
  <c r="L710" i="2"/>
  <c r="I710" i="2"/>
  <c r="H710" i="2"/>
  <c r="F710" i="2"/>
  <c r="D710" i="2"/>
  <c r="A710" i="2"/>
  <c r="V709" i="2"/>
  <c r="M709" i="2"/>
  <c r="L709" i="2"/>
  <c r="I709" i="2"/>
  <c r="H709" i="2"/>
  <c r="F709" i="2"/>
  <c r="D709" i="2"/>
  <c r="A709" i="2"/>
  <c r="V708" i="2"/>
  <c r="M708" i="2"/>
  <c r="L708" i="2"/>
  <c r="I708" i="2"/>
  <c r="H708" i="2"/>
  <c r="F708" i="2"/>
  <c r="D708" i="2"/>
  <c r="A708" i="2"/>
  <c r="V707" i="2"/>
  <c r="M707" i="2"/>
  <c r="L707" i="2"/>
  <c r="I707" i="2"/>
  <c r="H707" i="2"/>
  <c r="F707" i="2"/>
  <c r="D707" i="2"/>
  <c r="A707" i="2"/>
  <c r="V706" i="2"/>
  <c r="M706" i="2"/>
  <c r="L706" i="2"/>
  <c r="I706" i="2"/>
  <c r="H706" i="2"/>
  <c r="F706" i="2"/>
  <c r="D706" i="2"/>
  <c r="A706" i="2"/>
  <c r="V705" i="2"/>
  <c r="M705" i="2"/>
  <c r="L705" i="2"/>
  <c r="I705" i="2"/>
  <c r="H705" i="2"/>
  <c r="F705" i="2"/>
  <c r="D705" i="2"/>
  <c r="A705" i="2"/>
  <c r="V704" i="2"/>
  <c r="M704" i="2"/>
  <c r="L704" i="2"/>
  <c r="I704" i="2"/>
  <c r="H704" i="2"/>
  <c r="F704" i="2"/>
  <c r="D704" i="2"/>
  <c r="A704" i="2"/>
  <c r="V703" i="2"/>
  <c r="M703" i="2"/>
  <c r="L703" i="2"/>
  <c r="I703" i="2"/>
  <c r="H703" i="2"/>
  <c r="F703" i="2"/>
  <c r="D703" i="2"/>
  <c r="A703" i="2"/>
  <c r="V702" i="2"/>
  <c r="M702" i="2"/>
  <c r="L702" i="2"/>
  <c r="I702" i="2"/>
  <c r="H702" i="2"/>
  <c r="F702" i="2"/>
  <c r="D702" i="2"/>
  <c r="A702" i="2"/>
  <c r="V701" i="2"/>
  <c r="M701" i="2"/>
  <c r="L701" i="2"/>
  <c r="I701" i="2"/>
  <c r="H701" i="2"/>
  <c r="F701" i="2"/>
  <c r="D701" i="2"/>
  <c r="A701" i="2"/>
  <c r="V700" i="2"/>
  <c r="M700" i="2"/>
  <c r="L700" i="2"/>
  <c r="I700" i="2"/>
  <c r="H700" i="2"/>
  <c r="F700" i="2"/>
  <c r="D700" i="2"/>
  <c r="A700" i="2"/>
  <c r="V699" i="2"/>
  <c r="M699" i="2"/>
  <c r="L699" i="2"/>
  <c r="I699" i="2"/>
  <c r="H699" i="2"/>
  <c r="F699" i="2"/>
  <c r="D699" i="2"/>
  <c r="A699" i="2"/>
  <c r="V698" i="2"/>
  <c r="M698" i="2"/>
  <c r="L698" i="2"/>
  <c r="I698" i="2"/>
  <c r="H698" i="2"/>
  <c r="F698" i="2"/>
  <c r="D698" i="2"/>
  <c r="A698" i="2"/>
  <c r="V697" i="2"/>
  <c r="M697" i="2"/>
  <c r="L697" i="2"/>
  <c r="I697" i="2"/>
  <c r="H697" i="2"/>
  <c r="F697" i="2"/>
  <c r="D697" i="2"/>
  <c r="A697" i="2"/>
  <c r="V696" i="2"/>
  <c r="M696" i="2"/>
  <c r="L696" i="2"/>
  <c r="I696" i="2"/>
  <c r="H696" i="2"/>
  <c r="F696" i="2"/>
  <c r="D696" i="2"/>
  <c r="A696" i="2"/>
  <c r="V695" i="2"/>
  <c r="M695" i="2"/>
  <c r="L695" i="2"/>
  <c r="I695" i="2"/>
  <c r="H695" i="2"/>
  <c r="F695" i="2"/>
  <c r="D695" i="2"/>
  <c r="A695" i="2"/>
  <c r="V694" i="2"/>
  <c r="M694" i="2"/>
  <c r="L694" i="2"/>
  <c r="I694" i="2"/>
  <c r="H694" i="2"/>
  <c r="F694" i="2"/>
  <c r="D694" i="2"/>
  <c r="A694" i="2"/>
  <c r="V693" i="2"/>
  <c r="M693" i="2"/>
  <c r="L693" i="2"/>
  <c r="I693" i="2"/>
  <c r="H693" i="2"/>
  <c r="F693" i="2"/>
  <c r="D693" i="2"/>
  <c r="A693" i="2"/>
  <c r="V692" i="2"/>
  <c r="M692" i="2"/>
  <c r="L692" i="2"/>
  <c r="I692" i="2"/>
  <c r="H692" i="2"/>
  <c r="F692" i="2"/>
  <c r="D692" i="2"/>
  <c r="A692" i="2"/>
  <c r="V691" i="2"/>
  <c r="M691" i="2"/>
  <c r="L691" i="2"/>
  <c r="I691" i="2"/>
  <c r="H691" i="2"/>
  <c r="F691" i="2"/>
  <c r="D691" i="2"/>
  <c r="A691" i="2"/>
  <c r="V690" i="2"/>
  <c r="M690" i="2"/>
  <c r="L690" i="2"/>
  <c r="I690" i="2"/>
  <c r="H690" i="2"/>
  <c r="F690" i="2"/>
  <c r="D690" i="2"/>
  <c r="A690" i="2"/>
  <c r="V689" i="2"/>
  <c r="M689" i="2"/>
  <c r="L689" i="2"/>
  <c r="I689" i="2"/>
  <c r="H689" i="2"/>
  <c r="F689" i="2"/>
  <c r="D689" i="2"/>
  <c r="A689" i="2"/>
  <c r="V688" i="2"/>
  <c r="M688" i="2"/>
  <c r="L688" i="2"/>
  <c r="I688" i="2"/>
  <c r="H688" i="2"/>
  <c r="F688" i="2"/>
  <c r="D688" i="2"/>
  <c r="A688" i="2"/>
  <c r="V687" i="2"/>
  <c r="M687" i="2"/>
  <c r="L687" i="2"/>
  <c r="I687" i="2"/>
  <c r="H687" i="2"/>
  <c r="F687" i="2"/>
  <c r="D687" i="2"/>
  <c r="A687" i="2"/>
  <c r="V686" i="2"/>
  <c r="M686" i="2"/>
  <c r="L686" i="2"/>
  <c r="I686" i="2"/>
  <c r="H686" i="2"/>
  <c r="F686" i="2"/>
  <c r="D686" i="2"/>
  <c r="A686" i="2"/>
  <c r="V685" i="2"/>
  <c r="M685" i="2"/>
  <c r="L685" i="2"/>
  <c r="I685" i="2"/>
  <c r="H685" i="2"/>
  <c r="F685" i="2"/>
  <c r="D685" i="2"/>
  <c r="A685" i="2"/>
  <c r="V684" i="2"/>
  <c r="M684" i="2"/>
  <c r="L684" i="2"/>
  <c r="I684" i="2"/>
  <c r="H684" i="2"/>
  <c r="F684" i="2"/>
  <c r="D684" i="2"/>
  <c r="A684" i="2"/>
  <c r="V683" i="2"/>
  <c r="M683" i="2"/>
  <c r="L683" i="2"/>
  <c r="I683" i="2"/>
  <c r="H683" i="2"/>
  <c r="F683" i="2"/>
  <c r="D683" i="2"/>
  <c r="A683" i="2"/>
  <c r="V682" i="2"/>
  <c r="M682" i="2"/>
  <c r="L682" i="2"/>
  <c r="I682" i="2"/>
  <c r="H682" i="2"/>
  <c r="F682" i="2"/>
  <c r="D682" i="2"/>
  <c r="A682" i="2"/>
  <c r="V681" i="2"/>
  <c r="M681" i="2"/>
  <c r="L681" i="2"/>
  <c r="I681" i="2"/>
  <c r="H681" i="2"/>
  <c r="F681" i="2"/>
  <c r="D681" i="2"/>
  <c r="A681" i="2"/>
  <c r="V680" i="2"/>
  <c r="M680" i="2"/>
  <c r="L680" i="2"/>
  <c r="I680" i="2"/>
  <c r="H680" i="2"/>
  <c r="F680" i="2"/>
  <c r="D680" i="2"/>
  <c r="A680" i="2"/>
  <c r="V679" i="2"/>
  <c r="M679" i="2"/>
  <c r="L679" i="2"/>
  <c r="I679" i="2"/>
  <c r="H679" i="2"/>
  <c r="F679" i="2"/>
  <c r="D679" i="2"/>
  <c r="A679" i="2"/>
  <c r="V678" i="2"/>
  <c r="M678" i="2"/>
  <c r="L678" i="2"/>
  <c r="I678" i="2"/>
  <c r="H678" i="2"/>
  <c r="F678" i="2"/>
  <c r="D678" i="2"/>
  <c r="A678" i="2"/>
  <c r="V677" i="2"/>
  <c r="M677" i="2"/>
  <c r="L677" i="2"/>
  <c r="I677" i="2"/>
  <c r="H677" i="2"/>
  <c r="F677" i="2"/>
  <c r="D677" i="2"/>
  <c r="A677" i="2"/>
  <c r="V676" i="2"/>
  <c r="M676" i="2"/>
  <c r="L676" i="2"/>
  <c r="I676" i="2"/>
  <c r="H676" i="2"/>
  <c r="F676" i="2"/>
  <c r="D676" i="2"/>
  <c r="A676" i="2"/>
  <c r="V675" i="2"/>
  <c r="M675" i="2"/>
  <c r="L675" i="2"/>
  <c r="I675" i="2"/>
  <c r="H675" i="2"/>
  <c r="F675" i="2"/>
  <c r="D675" i="2"/>
  <c r="A675" i="2"/>
  <c r="V674" i="2"/>
  <c r="M674" i="2"/>
  <c r="L674" i="2"/>
  <c r="I674" i="2"/>
  <c r="H674" i="2"/>
  <c r="F674" i="2"/>
  <c r="D674" i="2"/>
  <c r="A674" i="2"/>
  <c r="V673" i="2"/>
  <c r="M673" i="2"/>
  <c r="L673" i="2"/>
  <c r="I673" i="2"/>
  <c r="H673" i="2"/>
  <c r="F673" i="2"/>
  <c r="D673" i="2"/>
  <c r="A673" i="2"/>
  <c r="V672" i="2"/>
  <c r="M672" i="2"/>
  <c r="L672" i="2"/>
  <c r="I672" i="2"/>
  <c r="H672" i="2"/>
  <c r="F672" i="2"/>
  <c r="D672" i="2"/>
  <c r="A672" i="2"/>
  <c r="V671" i="2"/>
  <c r="M671" i="2"/>
  <c r="L671" i="2"/>
  <c r="I671" i="2"/>
  <c r="H671" i="2"/>
  <c r="F671" i="2"/>
  <c r="D671" i="2"/>
  <c r="A671" i="2"/>
  <c r="V670" i="2"/>
  <c r="M670" i="2"/>
  <c r="L670" i="2"/>
  <c r="I670" i="2"/>
  <c r="H670" i="2"/>
  <c r="F670" i="2"/>
  <c r="D670" i="2"/>
  <c r="A670" i="2"/>
  <c r="V669" i="2"/>
  <c r="M669" i="2"/>
  <c r="L669" i="2"/>
  <c r="I669" i="2"/>
  <c r="H669" i="2"/>
  <c r="F669" i="2"/>
  <c r="D669" i="2"/>
  <c r="A669" i="2"/>
  <c r="V668" i="2"/>
  <c r="M668" i="2"/>
  <c r="L668" i="2"/>
  <c r="I668" i="2"/>
  <c r="H668" i="2"/>
  <c r="F668" i="2"/>
  <c r="D668" i="2"/>
  <c r="A668" i="2"/>
  <c r="V667" i="2"/>
  <c r="M667" i="2"/>
  <c r="L667" i="2"/>
  <c r="I667" i="2"/>
  <c r="H667" i="2"/>
  <c r="F667" i="2"/>
  <c r="D667" i="2"/>
  <c r="A667" i="2"/>
  <c r="V666" i="2"/>
  <c r="M666" i="2"/>
  <c r="L666" i="2"/>
  <c r="I666" i="2"/>
  <c r="H666" i="2"/>
  <c r="F666" i="2"/>
  <c r="D666" i="2"/>
  <c r="A666" i="2"/>
  <c r="V665" i="2"/>
  <c r="M665" i="2"/>
  <c r="L665" i="2"/>
  <c r="I665" i="2"/>
  <c r="H665" i="2"/>
  <c r="F665" i="2"/>
  <c r="D665" i="2"/>
  <c r="A665" i="2"/>
  <c r="V664" i="2"/>
  <c r="M664" i="2"/>
  <c r="L664" i="2"/>
  <c r="I664" i="2"/>
  <c r="H664" i="2"/>
  <c r="F664" i="2"/>
  <c r="D664" i="2"/>
  <c r="A664" i="2"/>
  <c r="V663" i="2"/>
  <c r="M663" i="2"/>
  <c r="L663" i="2"/>
  <c r="I663" i="2"/>
  <c r="H663" i="2"/>
  <c r="F663" i="2"/>
  <c r="D663" i="2"/>
  <c r="A663" i="2"/>
  <c r="V662" i="2"/>
  <c r="M662" i="2"/>
  <c r="L662" i="2"/>
  <c r="I662" i="2"/>
  <c r="H662" i="2"/>
  <c r="F662" i="2"/>
  <c r="D662" i="2"/>
  <c r="A662" i="2"/>
  <c r="V661" i="2"/>
  <c r="M661" i="2"/>
  <c r="L661" i="2"/>
  <c r="I661" i="2"/>
  <c r="H661" i="2"/>
  <c r="F661" i="2"/>
  <c r="D661" i="2"/>
  <c r="A661" i="2"/>
  <c r="V660" i="2"/>
  <c r="M660" i="2"/>
  <c r="L660" i="2"/>
  <c r="I660" i="2"/>
  <c r="H660" i="2"/>
  <c r="F660" i="2"/>
  <c r="D660" i="2"/>
  <c r="A660" i="2"/>
  <c r="V659" i="2"/>
  <c r="M659" i="2"/>
  <c r="L659" i="2"/>
  <c r="I659" i="2"/>
  <c r="H659" i="2"/>
  <c r="F659" i="2"/>
  <c r="D659" i="2"/>
  <c r="A659" i="2"/>
  <c r="V658" i="2"/>
  <c r="M658" i="2"/>
  <c r="L658" i="2"/>
  <c r="I658" i="2"/>
  <c r="H658" i="2"/>
  <c r="F658" i="2"/>
  <c r="D658" i="2"/>
  <c r="A658" i="2"/>
  <c r="V657" i="2"/>
  <c r="M657" i="2"/>
  <c r="L657" i="2"/>
  <c r="I657" i="2"/>
  <c r="H657" i="2"/>
  <c r="F657" i="2"/>
  <c r="D657" i="2"/>
  <c r="A657" i="2"/>
  <c r="V656" i="2"/>
  <c r="M656" i="2"/>
  <c r="L656" i="2"/>
  <c r="I656" i="2"/>
  <c r="H656" i="2"/>
  <c r="F656" i="2"/>
  <c r="D656" i="2"/>
  <c r="A656" i="2"/>
  <c r="V655" i="2"/>
  <c r="M655" i="2"/>
  <c r="L655" i="2"/>
  <c r="I655" i="2"/>
  <c r="H655" i="2"/>
  <c r="F655" i="2"/>
  <c r="D655" i="2"/>
  <c r="A655" i="2"/>
  <c r="V654" i="2"/>
  <c r="M654" i="2"/>
  <c r="L654" i="2"/>
  <c r="I654" i="2"/>
  <c r="H654" i="2"/>
  <c r="F654" i="2"/>
  <c r="D654" i="2"/>
  <c r="A654" i="2"/>
  <c r="V653" i="2"/>
  <c r="M653" i="2"/>
  <c r="L653" i="2"/>
  <c r="I653" i="2"/>
  <c r="H653" i="2"/>
  <c r="F653" i="2"/>
  <c r="D653" i="2"/>
  <c r="A653" i="2"/>
  <c r="V652" i="2"/>
  <c r="M652" i="2"/>
  <c r="L652" i="2"/>
  <c r="I652" i="2"/>
  <c r="H652" i="2"/>
  <c r="F652" i="2"/>
  <c r="D652" i="2"/>
  <c r="A652" i="2"/>
  <c r="V651" i="2"/>
  <c r="M651" i="2"/>
  <c r="L651" i="2"/>
  <c r="I651" i="2"/>
  <c r="H651" i="2"/>
  <c r="F651" i="2"/>
  <c r="D651" i="2"/>
  <c r="A651" i="2"/>
  <c r="V650" i="2"/>
  <c r="M650" i="2"/>
  <c r="L650" i="2"/>
  <c r="I650" i="2"/>
  <c r="H650" i="2"/>
  <c r="F650" i="2"/>
  <c r="D650" i="2"/>
  <c r="A650" i="2"/>
  <c r="V649" i="2"/>
  <c r="M649" i="2"/>
  <c r="L649" i="2"/>
  <c r="I649" i="2"/>
  <c r="H649" i="2"/>
  <c r="F649" i="2"/>
  <c r="D649" i="2"/>
  <c r="A649" i="2"/>
  <c r="V648" i="2"/>
  <c r="M648" i="2"/>
  <c r="L648" i="2"/>
  <c r="I648" i="2"/>
  <c r="H648" i="2"/>
  <c r="F648" i="2"/>
  <c r="D648" i="2"/>
  <c r="A648" i="2"/>
  <c r="V647" i="2"/>
  <c r="M647" i="2"/>
  <c r="L647" i="2"/>
  <c r="I647" i="2"/>
  <c r="H647" i="2"/>
  <c r="F647" i="2"/>
  <c r="D647" i="2"/>
  <c r="A647" i="2"/>
  <c r="V646" i="2"/>
  <c r="M646" i="2"/>
  <c r="L646" i="2"/>
  <c r="I646" i="2"/>
  <c r="H646" i="2"/>
  <c r="F646" i="2"/>
  <c r="D646" i="2"/>
  <c r="A646" i="2"/>
  <c r="V645" i="2"/>
  <c r="M645" i="2"/>
  <c r="L645" i="2"/>
  <c r="I645" i="2"/>
  <c r="H645" i="2"/>
  <c r="F645" i="2"/>
  <c r="D645" i="2"/>
  <c r="A645" i="2"/>
  <c r="V644" i="2"/>
  <c r="M644" i="2"/>
  <c r="L644" i="2"/>
  <c r="I644" i="2"/>
  <c r="H644" i="2"/>
  <c r="F644" i="2"/>
  <c r="D644" i="2"/>
  <c r="A644" i="2"/>
  <c r="V643" i="2"/>
  <c r="M643" i="2"/>
  <c r="L643" i="2"/>
  <c r="I643" i="2"/>
  <c r="H643" i="2"/>
  <c r="F643" i="2"/>
  <c r="D643" i="2"/>
  <c r="A643" i="2"/>
  <c r="V642" i="2"/>
  <c r="M642" i="2"/>
  <c r="L642" i="2"/>
  <c r="I642" i="2"/>
  <c r="H642" i="2"/>
  <c r="F642" i="2"/>
  <c r="D642" i="2"/>
  <c r="A642" i="2"/>
  <c r="V641" i="2"/>
  <c r="M641" i="2"/>
  <c r="L641" i="2"/>
  <c r="I641" i="2"/>
  <c r="H641" i="2"/>
  <c r="F641" i="2"/>
  <c r="D641" i="2"/>
  <c r="A641" i="2"/>
  <c r="V640" i="2"/>
  <c r="M640" i="2"/>
  <c r="L640" i="2"/>
  <c r="I640" i="2"/>
  <c r="H640" i="2"/>
  <c r="F640" i="2"/>
  <c r="D640" i="2"/>
  <c r="A640" i="2"/>
  <c r="V639" i="2"/>
  <c r="M639" i="2"/>
  <c r="L639" i="2"/>
  <c r="I639" i="2"/>
  <c r="H639" i="2"/>
  <c r="F639" i="2"/>
  <c r="D639" i="2"/>
  <c r="A639" i="2"/>
  <c r="V638" i="2"/>
  <c r="M638" i="2"/>
  <c r="L638" i="2"/>
  <c r="I638" i="2"/>
  <c r="H638" i="2"/>
  <c r="F638" i="2"/>
  <c r="D638" i="2"/>
  <c r="A638" i="2"/>
  <c r="V637" i="2"/>
  <c r="M637" i="2"/>
  <c r="L637" i="2"/>
  <c r="I637" i="2"/>
  <c r="H637" i="2"/>
  <c r="F637" i="2"/>
  <c r="D637" i="2"/>
  <c r="A637" i="2"/>
  <c r="V636" i="2"/>
  <c r="M636" i="2"/>
  <c r="L636" i="2"/>
  <c r="I636" i="2"/>
  <c r="H636" i="2"/>
  <c r="F636" i="2"/>
  <c r="D636" i="2"/>
  <c r="A636" i="2"/>
  <c r="V635" i="2"/>
  <c r="M635" i="2"/>
  <c r="L635" i="2"/>
  <c r="I635" i="2"/>
  <c r="H635" i="2"/>
  <c r="F635" i="2"/>
  <c r="D635" i="2"/>
  <c r="A635" i="2"/>
  <c r="V634" i="2"/>
  <c r="M634" i="2"/>
  <c r="L634" i="2"/>
  <c r="I634" i="2"/>
  <c r="H634" i="2"/>
  <c r="F634" i="2"/>
  <c r="D634" i="2"/>
  <c r="A634" i="2"/>
  <c r="V633" i="2"/>
  <c r="M633" i="2"/>
  <c r="L633" i="2"/>
  <c r="I633" i="2"/>
  <c r="H633" i="2"/>
  <c r="F633" i="2"/>
  <c r="D633" i="2"/>
  <c r="A633" i="2"/>
  <c r="V632" i="2"/>
  <c r="M632" i="2"/>
  <c r="L632" i="2"/>
  <c r="I632" i="2"/>
  <c r="H632" i="2"/>
  <c r="F632" i="2"/>
  <c r="D632" i="2"/>
  <c r="A632" i="2"/>
  <c r="V631" i="2"/>
  <c r="M631" i="2"/>
  <c r="L631" i="2"/>
  <c r="I631" i="2"/>
  <c r="H631" i="2"/>
  <c r="F631" i="2"/>
  <c r="D631" i="2"/>
  <c r="A631" i="2"/>
  <c r="V630" i="2"/>
  <c r="M630" i="2"/>
  <c r="L630" i="2"/>
  <c r="I630" i="2"/>
  <c r="H630" i="2"/>
  <c r="F630" i="2"/>
  <c r="D630" i="2"/>
  <c r="A630" i="2"/>
  <c r="V629" i="2"/>
  <c r="M629" i="2"/>
  <c r="L629" i="2"/>
  <c r="I629" i="2"/>
  <c r="H629" i="2"/>
  <c r="F629" i="2"/>
  <c r="D629" i="2"/>
  <c r="A629" i="2"/>
  <c r="V628" i="2"/>
  <c r="M628" i="2"/>
  <c r="L628" i="2"/>
  <c r="I628" i="2"/>
  <c r="H628" i="2"/>
  <c r="F628" i="2"/>
  <c r="D628" i="2"/>
  <c r="A628" i="2"/>
  <c r="V627" i="2"/>
  <c r="M627" i="2"/>
  <c r="L627" i="2"/>
  <c r="I627" i="2"/>
  <c r="H627" i="2"/>
  <c r="F627" i="2"/>
  <c r="D627" i="2"/>
  <c r="A627" i="2"/>
  <c r="V626" i="2"/>
  <c r="M626" i="2"/>
  <c r="L626" i="2"/>
  <c r="I626" i="2"/>
  <c r="H626" i="2"/>
  <c r="F626" i="2"/>
  <c r="D626" i="2"/>
  <c r="A626" i="2"/>
  <c r="V625" i="2"/>
  <c r="M625" i="2"/>
  <c r="L625" i="2"/>
  <c r="I625" i="2"/>
  <c r="H625" i="2"/>
  <c r="F625" i="2"/>
  <c r="D625" i="2"/>
  <c r="A625" i="2"/>
  <c r="V624" i="2"/>
  <c r="M624" i="2"/>
  <c r="L624" i="2"/>
  <c r="I624" i="2"/>
  <c r="H624" i="2"/>
  <c r="F624" i="2"/>
  <c r="D624" i="2"/>
  <c r="A624" i="2"/>
  <c r="V623" i="2"/>
  <c r="M623" i="2"/>
  <c r="L623" i="2"/>
  <c r="I623" i="2"/>
  <c r="H623" i="2"/>
  <c r="F623" i="2"/>
  <c r="D623" i="2"/>
  <c r="A623" i="2"/>
  <c r="V622" i="2"/>
  <c r="M622" i="2"/>
  <c r="L622" i="2"/>
  <c r="I622" i="2"/>
  <c r="H622" i="2"/>
  <c r="F622" i="2"/>
  <c r="D622" i="2"/>
  <c r="A622" i="2"/>
  <c r="V621" i="2"/>
  <c r="M621" i="2"/>
  <c r="L621" i="2"/>
  <c r="I621" i="2"/>
  <c r="H621" i="2"/>
  <c r="F621" i="2"/>
  <c r="D621" i="2"/>
  <c r="A621" i="2"/>
  <c r="V620" i="2"/>
  <c r="M620" i="2"/>
  <c r="L620" i="2"/>
  <c r="I620" i="2"/>
  <c r="H620" i="2"/>
  <c r="F620" i="2"/>
  <c r="D620" i="2"/>
  <c r="A620" i="2"/>
  <c r="V619" i="2"/>
  <c r="M619" i="2"/>
  <c r="L619" i="2"/>
  <c r="I619" i="2"/>
  <c r="H619" i="2"/>
  <c r="F619" i="2"/>
  <c r="D619" i="2"/>
  <c r="A619" i="2"/>
  <c r="V618" i="2"/>
  <c r="M618" i="2"/>
  <c r="L618" i="2"/>
  <c r="I618" i="2"/>
  <c r="H618" i="2"/>
  <c r="F618" i="2"/>
  <c r="D618" i="2"/>
  <c r="A618" i="2"/>
  <c r="V617" i="2"/>
  <c r="M617" i="2"/>
  <c r="L617" i="2"/>
  <c r="I617" i="2"/>
  <c r="H617" i="2"/>
  <c r="F617" i="2"/>
  <c r="D617" i="2"/>
  <c r="A617" i="2"/>
  <c r="V616" i="2"/>
  <c r="M616" i="2"/>
  <c r="L616" i="2"/>
  <c r="I616" i="2"/>
  <c r="H616" i="2"/>
  <c r="F616" i="2"/>
  <c r="D616" i="2"/>
  <c r="A616" i="2"/>
  <c r="V615" i="2"/>
  <c r="M615" i="2"/>
  <c r="L615" i="2"/>
  <c r="I615" i="2"/>
  <c r="H615" i="2"/>
  <c r="F615" i="2"/>
  <c r="D615" i="2"/>
  <c r="A615" i="2"/>
  <c r="V614" i="2"/>
  <c r="M614" i="2"/>
  <c r="L614" i="2"/>
  <c r="I614" i="2"/>
  <c r="H614" i="2"/>
  <c r="F614" i="2"/>
  <c r="D614" i="2"/>
  <c r="A614" i="2"/>
  <c r="V613" i="2"/>
  <c r="M613" i="2"/>
  <c r="L613" i="2"/>
  <c r="I613" i="2"/>
  <c r="H613" i="2"/>
  <c r="F613" i="2"/>
  <c r="D613" i="2"/>
  <c r="A613" i="2"/>
  <c r="V612" i="2"/>
  <c r="M612" i="2"/>
  <c r="L612" i="2"/>
  <c r="I612" i="2"/>
  <c r="H612" i="2"/>
  <c r="F612" i="2"/>
  <c r="D612" i="2"/>
  <c r="A612" i="2"/>
  <c r="V611" i="2"/>
  <c r="M611" i="2"/>
  <c r="L611" i="2"/>
  <c r="I611" i="2"/>
  <c r="H611" i="2"/>
  <c r="F611" i="2"/>
  <c r="D611" i="2"/>
  <c r="A611" i="2"/>
  <c r="V610" i="2"/>
  <c r="M610" i="2"/>
  <c r="L610" i="2"/>
  <c r="I610" i="2"/>
  <c r="H610" i="2"/>
  <c r="F610" i="2"/>
  <c r="D610" i="2"/>
  <c r="A610" i="2"/>
  <c r="V609" i="2"/>
  <c r="M609" i="2"/>
  <c r="L609" i="2"/>
  <c r="I609" i="2"/>
  <c r="H609" i="2"/>
  <c r="F609" i="2"/>
  <c r="D609" i="2"/>
  <c r="A609" i="2"/>
  <c r="V608" i="2"/>
  <c r="M608" i="2"/>
  <c r="L608" i="2"/>
  <c r="I608" i="2"/>
  <c r="H608" i="2"/>
  <c r="F608" i="2"/>
  <c r="D608" i="2"/>
  <c r="A608" i="2"/>
  <c r="V607" i="2"/>
  <c r="M607" i="2"/>
  <c r="L607" i="2"/>
  <c r="I607" i="2"/>
  <c r="H607" i="2"/>
  <c r="F607" i="2"/>
  <c r="D607" i="2"/>
  <c r="A607" i="2"/>
  <c r="V606" i="2"/>
  <c r="M606" i="2"/>
  <c r="L606" i="2"/>
  <c r="I606" i="2"/>
  <c r="H606" i="2"/>
  <c r="F606" i="2"/>
  <c r="D606" i="2"/>
  <c r="A606" i="2"/>
  <c r="V605" i="2"/>
  <c r="M605" i="2"/>
  <c r="L605" i="2"/>
  <c r="I605" i="2"/>
  <c r="H605" i="2"/>
  <c r="F605" i="2"/>
  <c r="D605" i="2"/>
  <c r="A605" i="2"/>
  <c r="V604" i="2"/>
  <c r="M604" i="2"/>
  <c r="L604" i="2"/>
  <c r="I604" i="2"/>
  <c r="H604" i="2"/>
  <c r="F604" i="2"/>
  <c r="D604" i="2"/>
  <c r="A604" i="2"/>
  <c r="V603" i="2"/>
  <c r="M603" i="2"/>
  <c r="L603" i="2"/>
  <c r="I603" i="2"/>
  <c r="H603" i="2"/>
  <c r="F603" i="2"/>
  <c r="D603" i="2"/>
  <c r="A603" i="2"/>
  <c r="V602" i="2"/>
  <c r="M602" i="2"/>
  <c r="L602" i="2"/>
  <c r="I602" i="2"/>
  <c r="H602" i="2"/>
  <c r="F602" i="2"/>
  <c r="D602" i="2"/>
  <c r="A602" i="2"/>
  <c r="V601" i="2"/>
  <c r="M601" i="2"/>
  <c r="L601" i="2"/>
  <c r="I601" i="2"/>
  <c r="H601" i="2"/>
  <c r="F601" i="2"/>
  <c r="D601" i="2"/>
  <c r="A601" i="2"/>
  <c r="V600" i="2"/>
  <c r="M600" i="2"/>
  <c r="L600" i="2"/>
  <c r="I600" i="2"/>
  <c r="H600" i="2"/>
  <c r="F600" i="2"/>
  <c r="D600" i="2"/>
  <c r="A600" i="2"/>
  <c r="V599" i="2"/>
  <c r="M599" i="2"/>
  <c r="L599" i="2"/>
  <c r="I599" i="2"/>
  <c r="H599" i="2"/>
  <c r="F599" i="2"/>
  <c r="D599" i="2"/>
  <c r="A599" i="2"/>
  <c r="V598" i="2"/>
  <c r="M598" i="2"/>
  <c r="L598" i="2"/>
  <c r="I598" i="2"/>
  <c r="H598" i="2"/>
  <c r="F598" i="2"/>
  <c r="D598" i="2"/>
  <c r="A598" i="2"/>
  <c r="V597" i="2"/>
  <c r="M597" i="2"/>
  <c r="L597" i="2"/>
  <c r="I597" i="2"/>
  <c r="H597" i="2"/>
  <c r="F597" i="2"/>
  <c r="D597" i="2"/>
  <c r="A597" i="2"/>
  <c r="V596" i="2"/>
  <c r="M596" i="2"/>
  <c r="L596" i="2"/>
  <c r="I596" i="2"/>
  <c r="H596" i="2"/>
  <c r="F596" i="2"/>
  <c r="D596" i="2"/>
  <c r="A596" i="2"/>
  <c r="V595" i="2"/>
  <c r="M595" i="2"/>
  <c r="L595" i="2"/>
  <c r="I595" i="2"/>
  <c r="H595" i="2"/>
  <c r="F595" i="2"/>
  <c r="D595" i="2"/>
  <c r="A595" i="2"/>
  <c r="V594" i="2"/>
  <c r="M594" i="2"/>
  <c r="L594" i="2"/>
  <c r="I594" i="2"/>
  <c r="H594" i="2"/>
  <c r="F594" i="2"/>
  <c r="D594" i="2"/>
  <c r="A594" i="2"/>
  <c r="V593" i="2"/>
  <c r="M593" i="2"/>
  <c r="L593" i="2"/>
  <c r="I593" i="2"/>
  <c r="H593" i="2"/>
  <c r="F593" i="2"/>
  <c r="D593" i="2"/>
  <c r="A593" i="2"/>
  <c r="V592" i="2"/>
  <c r="M592" i="2"/>
  <c r="L592" i="2"/>
  <c r="I592" i="2"/>
  <c r="H592" i="2"/>
  <c r="F592" i="2"/>
  <c r="D592" i="2"/>
  <c r="A592" i="2"/>
  <c r="V591" i="2"/>
  <c r="M591" i="2"/>
  <c r="L591" i="2"/>
  <c r="I591" i="2"/>
  <c r="H591" i="2"/>
  <c r="F591" i="2"/>
  <c r="D591" i="2"/>
  <c r="A591" i="2"/>
  <c r="V590" i="2"/>
  <c r="M590" i="2"/>
  <c r="L590" i="2"/>
  <c r="I590" i="2"/>
  <c r="H590" i="2"/>
  <c r="F590" i="2"/>
  <c r="D590" i="2"/>
  <c r="A590" i="2"/>
  <c r="V589" i="2"/>
  <c r="M589" i="2"/>
  <c r="L589" i="2"/>
  <c r="I589" i="2"/>
  <c r="H589" i="2"/>
  <c r="F589" i="2"/>
  <c r="D589" i="2"/>
  <c r="A589" i="2"/>
  <c r="V588" i="2"/>
  <c r="M588" i="2"/>
  <c r="L588" i="2"/>
  <c r="I588" i="2"/>
  <c r="H588" i="2"/>
  <c r="F588" i="2"/>
  <c r="D588" i="2"/>
  <c r="A588" i="2"/>
  <c r="V587" i="2"/>
  <c r="M587" i="2"/>
  <c r="L587" i="2"/>
  <c r="I587" i="2"/>
  <c r="H587" i="2"/>
  <c r="F587" i="2"/>
  <c r="D587" i="2"/>
  <c r="A587" i="2"/>
  <c r="V586" i="2"/>
  <c r="M586" i="2"/>
  <c r="L586" i="2"/>
  <c r="I586" i="2"/>
  <c r="H586" i="2"/>
  <c r="F586" i="2"/>
  <c r="D586" i="2"/>
  <c r="A586" i="2"/>
  <c r="V585" i="2"/>
  <c r="M585" i="2"/>
  <c r="L585" i="2"/>
  <c r="I585" i="2"/>
  <c r="H585" i="2"/>
  <c r="F585" i="2"/>
  <c r="D585" i="2"/>
  <c r="A585" i="2"/>
  <c r="V584" i="2"/>
  <c r="M584" i="2"/>
  <c r="L584" i="2"/>
  <c r="I584" i="2"/>
  <c r="H584" i="2"/>
  <c r="F584" i="2"/>
  <c r="D584" i="2"/>
  <c r="A584" i="2"/>
  <c r="V583" i="2"/>
  <c r="M583" i="2"/>
  <c r="L583" i="2"/>
  <c r="I583" i="2"/>
  <c r="H583" i="2"/>
  <c r="F583" i="2"/>
  <c r="D583" i="2"/>
  <c r="A583" i="2"/>
  <c r="V582" i="2"/>
  <c r="M582" i="2"/>
  <c r="L582" i="2"/>
  <c r="I582" i="2"/>
  <c r="H582" i="2"/>
  <c r="F582" i="2"/>
  <c r="D582" i="2"/>
  <c r="A582" i="2"/>
  <c r="V581" i="2"/>
  <c r="M581" i="2"/>
  <c r="L581" i="2"/>
  <c r="I581" i="2"/>
  <c r="H581" i="2"/>
  <c r="F581" i="2"/>
  <c r="D581" i="2"/>
  <c r="A581" i="2"/>
  <c r="V580" i="2"/>
  <c r="M580" i="2"/>
  <c r="L580" i="2"/>
  <c r="I580" i="2"/>
  <c r="H580" i="2"/>
  <c r="F580" i="2"/>
  <c r="D580" i="2"/>
  <c r="A580" i="2"/>
  <c r="V579" i="2"/>
  <c r="M579" i="2"/>
  <c r="L579" i="2"/>
  <c r="I579" i="2"/>
  <c r="H579" i="2"/>
  <c r="F579" i="2"/>
  <c r="D579" i="2"/>
  <c r="A579" i="2"/>
  <c r="V578" i="2"/>
  <c r="M578" i="2"/>
  <c r="L578" i="2"/>
  <c r="I578" i="2"/>
  <c r="H578" i="2"/>
  <c r="F578" i="2"/>
  <c r="D578" i="2"/>
  <c r="A578" i="2"/>
  <c r="V577" i="2"/>
  <c r="M577" i="2"/>
  <c r="L577" i="2"/>
  <c r="I577" i="2"/>
  <c r="H577" i="2"/>
  <c r="F577" i="2"/>
  <c r="D577" i="2"/>
  <c r="A577" i="2"/>
  <c r="V576" i="2"/>
  <c r="M576" i="2"/>
  <c r="L576" i="2"/>
  <c r="I576" i="2"/>
  <c r="H576" i="2"/>
  <c r="F576" i="2"/>
  <c r="D576" i="2"/>
  <c r="A576" i="2"/>
  <c r="V575" i="2"/>
  <c r="M575" i="2"/>
  <c r="L575" i="2"/>
  <c r="I575" i="2"/>
  <c r="H575" i="2"/>
  <c r="F575" i="2"/>
  <c r="D575" i="2"/>
  <c r="A575" i="2"/>
  <c r="V574" i="2"/>
  <c r="M574" i="2"/>
  <c r="L574" i="2"/>
  <c r="I574" i="2"/>
  <c r="H574" i="2"/>
  <c r="F574" i="2"/>
  <c r="D574" i="2"/>
  <c r="A574" i="2"/>
  <c r="V573" i="2"/>
  <c r="M573" i="2"/>
  <c r="L573" i="2"/>
  <c r="I573" i="2"/>
  <c r="H573" i="2"/>
  <c r="F573" i="2"/>
  <c r="D573" i="2"/>
  <c r="A573" i="2"/>
  <c r="V572" i="2"/>
  <c r="M572" i="2"/>
  <c r="L572" i="2"/>
  <c r="I572" i="2"/>
  <c r="H572" i="2"/>
  <c r="F572" i="2"/>
  <c r="D572" i="2"/>
  <c r="A572" i="2"/>
  <c r="V571" i="2"/>
  <c r="M571" i="2"/>
  <c r="L571" i="2"/>
  <c r="I571" i="2"/>
  <c r="H571" i="2"/>
  <c r="F571" i="2"/>
  <c r="D571" i="2"/>
  <c r="A571" i="2"/>
  <c r="V570" i="2"/>
  <c r="M570" i="2"/>
  <c r="L570" i="2"/>
  <c r="I570" i="2"/>
  <c r="H570" i="2"/>
  <c r="F570" i="2"/>
  <c r="D570" i="2"/>
  <c r="A570" i="2"/>
  <c r="V569" i="2"/>
  <c r="M569" i="2"/>
  <c r="L569" i="2"/>
  <c r="I569" i="2"/>
  <c r="H569" i="2"/>
  <c r="F569" i="2"/>
  <c r="D569" i="2"/>
  <c r="A569" i="2"/>
  <c r="V568" i="2"/>
  <c r="M568" i="2"/>
  <c r="L568" i="2"/>
  <c r="I568" i="2"/>
  <c r="H568" i="2"/>
  <c r="F568" i="2"/>
  <c r="D568" i="2"/>
  <c r="A568" i="2"/>
  <c r="V567" i="2"/>
  <c r="M567" i="2"/>
  <c r="L567" i="2"/>
  <c r="I567" i="2"/>
  <c r="H567" i="2"/>
  <c r="F567" i="2"/>
  <c r="D567" i="2"/>
  <c r="A567" i="2"/>
  <c r="V566" i="2"/>
  <c r="M566" i="2"/>
  <c r="L566" i="2"/>
  <c r="I566" i="2"/>
  <c r="H566" i="2"/>
  <c r="F566" i="2"/>
  <c r="D566" i="2"/>
  <c r="A566" i="2"/>
  <c r="V565" i="2"/>
  <c r="M565" i="2"/>
  <c r="L565" i="2"/>
  <c r="I565" i="2"/>
  <c r="H565" i="2"/>
  <c r="F565" i="2"/>
  <c r="D565" i="2"/>
  <c r="A565" i="2"/>
  <c r="V564" i="2"/>
  <c r="M564" i="2"/>
  <c r="L564" i="2"/>
  <c r="I564" i="2"/>
  <c r="H564" i="2"/>
  <c r="F564" i="2"/>
  <c r="D564" i="2"/>
  <c r="A564" i="2"/>
  <c r="V563" i="2"/>
  <c r="M563" i="2"/>
  <c r="L563" i="2"/>
  <c r="I563" i="2"/>
  <c r="H563" i="2"/>
  <c r="F563" i="2"/>
  <c r="D563" i="2"/>
  <c r="A563" i="2"/>
  <c r="V562" i="2"/>
  <c r="M562" i="2"/>
  <c r="L562" i="2"/>
  <c r="I562" i="2"/>
  <c r="H562" i="2"/>
  <c r="F562" i="2"/>
  <c r="D562" i="2"/>
  <c r="A562" i="2"/>
  <c r="V561" i="2"/>
  <c r="M561" i="2"/>
  <c r="L561" i="2"/>
  <c r="I561" i="2"/>
  <c r="H561" i="2"/>
  <c r="F561" i="2"/>
  <c r="D561" i="2"/>
  <c r="A561" i="2"/>
  <c r="V560" i="2"/>
  <c r="M560" i="2"/>
  <c r="L560" i="2"/>
  <c r="I560" i="2"/>
  <c r="H560" i="2"/>
  <c r="F560" i="2"/>
  <c r="D560" i="2"/>
  <c r="A560" i="2"/>
  <c r="V559" i="2"/>
  <c r="M559" i="2"/>
  <c r="L559" i="2"/>
  <c r="I559" i="2"/>
  <c r="H559" i="2"/>
  <c r="F559" i="2"/>
  <c r="D559" i="2"/>
  <c r="A559" i="2"/>
  <c r="V558" i="2"/>
  <c r="M558" i="2"/>
  <c r="L558" i="2"/>
  <c r="I558" i="2"/>
  <c r="H558" i="2"/>
  <c r="F558" i="2"/>
  <c r="D558" i="2"/>
  <c r="A558" i="2"/>
  <c r="V557" i="2"/>
  <c r="M557" i="2"/>
  <c r="L557" i="2"/>
  <c r="I557" i="2"/>
  <c r="H557" i="2"/>
  <c r="F557" i="2"/>
  <c r="D557" i="2"/>
  <c r="A557" i="2"/>
  <c r="V556" i="2"/>
  <c r="M556" i="2"/>
  <c r="L556" i="2"/>
  <c r="I556" i="2"/>
  <c r="H556" i="2"/>
  <c r="F556" i="2"/>
  <c r="D556" i="2"/>
  <c r="A556" i="2"/>
  <c r="V555" i="2"/>
  <c r="M555" i="2"/>
  <c r="L555" i="2"/>
  <c r="I555" i="2"/>
  <c r="H555" i="2"/>
  <c r="F555" i="2"/>
  <c r="D555" i="2"/>
  <c r="A555" i="2"/>
  <c r="V554" i="2"/>
  <c r="M554" i="2"/>
  <c r="L554" i="2"/>
  <c r="I554" i="2"/>
  <c r="H554" i="2"/>
  <c r="F554" i="2"/>
  <c r="D554" i="2"/>
  <c r="A554" i="2"/>
  <c r="V553" i="2"/>
  <c r="M553" i="2"/>
  <c r="L553" i="2"/>
  <c r="I553" i="2"/>
  <c r="H553" i="2"/>
  <c r="F553" i="2"/>
  <c r="D553" i="2"/>
  <c r="A553" i="2"/>
  <c r="V552" i="2"/>
  <c r="M552" i="2"/>
  <c r="L552" i="2"/>
  <c r="I552" i="2"/>
  <c r="H552" i="2"/>
  <c r="F552" i="2"/>
  <c r="D552" i="2"/>
  <c r="A552" i="2"/>
  <c r="V551" i="2"/>
  <c r="M551" i="2"/>
  <c r="L551" i="2"/>
  <c r="I551" i="2"/>
  <c r="H551" i="2"/>
  <c r="F551" i="2"/>
  <c r="D551" i="2"/>
  <c r="A551" i="2"/>
  <c r="V550" i="2"/>
  <c r="M550" i="2"/>
  <c r="L550" i="2"/>
  <c r="I550" i="2"/>
  <c r="H550" i="2"/>
  <c r="F550" i="2"/>
  <c r="D550" i="2"/>
  <c r="A550" i="2"/>
  <c r="V549" i="2"/>
  <c r="M549" i="2"/>
  <c r="L549" i="2"/>
  <c r="I549" i="2"/>
  <c r="H549" i="2"/>
  <c r="F549" i="2"/>
  <c r="D549" i="2"/>
  <c r="A549" i="2"/>
  <c r="V548" i="2"/>
  <c r="M548" i="2"/>
  <c r="L548" i="2"/>
  <c r="I548" i="2"/>
  <c r="H548" i="2"/>
  <c r="F548" i="2"/>
  <c r="D548" i="2"/>
  <c r="A548" i="2"/>
  <c r="V547" i="2"/>
  <c r="M547" i="2"/>
  <c r="L547" i="2"/>
  <c r="I547" i="2"/>
  <c r="H547" i="2"/>
  <c r="F547" i="2"/>
  <c r="D547" i="2"/>
  <c r="A547" i="2"/>
  <c r="V546" i="2"/>
  <c r="M546" i="2"/>
  <c r="L546" i="2"/>
  <c r="I546" i="2"/>
  <c r="H546" i="2"/>
  <c r="F546" i="2"/>
  <c r="D546" i="2"/>
  <c r="A546" i="2"/>
  <c r="V545" i="2"/>
  <c r="M545" i="2"/>
  <c r="L545" i="2"/>
  <c r="I545" i="2"/>
  <c r="H545" i="2"/>
  <c r="F545" i="2"/>
  <c r="D545" i="2"/>
  <c r="A545" i="2"/>
  <c r="V544" i="2"/>
  <c r="M544" i="2"/>
  <c r="L544" i="2"/>
  <c r="I544" i="2"/>
  <c r="H544" i="2"/>
  <c r="F544" i="2"/>
  <c r="D544" i="2"/>
  <c r="A544" i="2"/>
  <c r="V543" i="2"/>
  <c r="M543" i="2"/>
  <c r="L543" i="2"/>
  <c r="I543" i="2"/>
  <c r="H543" i="2"/>
  <c r="F543" i="2"/>
  <c r="D543" i="2"/>
  <c r="A543" i="2"/>
  <c r="V542" i="2"/>
  <c r="M542" i="2"/>
  <c r="L542" i="2"/>
  <c r="I542" i="2"/>
  <c r="H542" i="2"/>
  <c r="F542" i="2"/>
  <c r="D542" i="2"/>
  <c r="A542" i="2"/>
  <c r="V541" i="2"/>
  <c r="M541" i="2"/>
  <c r="L541" i="2"/>
  <c r="I541" i="2"/>
  <c r="H541" i="2"/>
  <c r="F541" i="2"/>
  <c r="D541" i="2"/>
  <c r="A541" i="2"/>
  <c r="V540" i="2"/>
  <c r="M540" i="2"/>
  <c r="L540" i="2"/>
  <c r="I540" i="2"/>
  <c r="H540" i="2"/>
  <c r="F540" i="2"/>
  <c r="D540" i="2"/>
  <c r="A540" i="2"/>
  <c r="V539" i="2"/>
  <c r="M539" i="2"/>
  <c r="L539" i="2"/>
  <c r="I539" i="2"/>
  <c r="H539" i="2"/>
  <c r="F539" i="2"/>
  <c r="D539" i="2"/>
  <c r="A539" i="2"/>
  <c r="V538" i="2"/>
  <c r="M538" i="2"/>
  <c r="L538" i="2"/>
  <c r="I538" i="2"/>
  <c r="H538" i="2"/>
  <c r="F538" i="2"/>
  <c r="D538" i="2"/>
  <c r="A538" i="2"/>
  <c r="V537" i="2"/>
  <c r="M537" i="2"/>
  <c r="L537" i="2"/>
  <c r="I537" i="2"/>
  <c r="H537" i="2"/>
  <c r="F537" i="2"/>
  <c r="D537" i="2"/>
  <c r="A537" i="2"/>
  <c r="V536" i="2"/>
  <c r="M536" i="2"/>
  <c r="L536" i="2"/>
  <c r="I536" i="2"/>
  <c r="H536" i="2"/>
  <c r="F536" i="2"/>
  <c r="D536" i="2"/>
  <c r="A536" i="2"/>
  <c r="V535" i="2"/>
  <c r="M535" i="2"/>
  <c r="L535" i="2"/>
  <c r="I535" i="2"/>
  <c r="H535" i="2"/>
  <c r="F535" i="2"/>
  <c r="D535" i="2"/>
  <c r="A535" i="2"/>
  <c r="V534" i="2"/>
  <c r="M534" i="2"/>
  <c r="L534" i="2"/>
  <c r="I534" i="2"/>
  <c r="H534" i="2"/>
  <c r="F534" i="2"/>
  <c r="D534" i="2"/>
  <c r="A534" i="2"/>
  <c r="V533" i="2"/>
  <c r="M533" i="2"/>
  <c r="L533" i="2"/>
  <c r="I533" i="2"/>
  <c r="H533" i="2"/>
  <c r="F533" i="2"/>
  <c r="D533" i="2"/>
  <c r="A533" i="2"/>
  <c r="V532" i="2"/>
  <c r="M532" i="2"/>
  <c r="L532" i="2"/>
  <c r="I532" i="2"/>
  <c r="H532" i="2"/>
  <c r="F532" i="2"/>
  <c r="D532" i="2"/>
  <c r="A532" i="2"/>
  <c r="V531" i="2"/>
  <c r="M531" i="2"/>
  <c r="L531" i="2"/>
  <c r="I531" i="2"/>
  <c r="H531" i="2"/>
  <c r="F531" i="2"/>
  <c r="D531" i="2"/>
  <c r="A531" i="2"/>
  <c r="V530" i="2"/>
  <c r="M530" i="2"/>
  <c r="L530" i="2"/>
  <c r="I530" i="2"/>
  <c r="H530" i="2"/>
  <c r="F530" i="2"/>
  <c r="D530" i="2"/>
  <c r="A530" i="2"/>
  <c r="V529" i="2"/>
  <c r="M529" i="2"/>
  <c r="L529" i="2"/>
  <c r="I529" i="2"/>
  <c r="H529" i="2"/>
  <c r="F529" i="2"/>
  <c r="D529" i="2"/>
  <c r="A529" i="2"/>
  <c r="V528" i="2"/>
  <c r="M528" i="2"/>
  <c r="L528" i="2"/>
  <c r="I528" i="2"/>
  <c r="H528" i="2"/>
  <c r="F528" i="2"/>
  <c r="D528" i="2"/>
  <c r="A528" i="2"/>
  <c r="V527" i="2"/>
  <c r="M527" i="2"/>
  <c r="L527" i="2"/>
  <c r="I527" i="2"/>
  <c r="H527" i="2"/>
  <c r="F527" i="2"/>
  <c r="D527" i="2"/>
  <c r="A527" i="2"/>
  <c r="V526" i="2"/>
  <c r="M526" i="2"/>
  <c r="L526" i="2"/>
  <c r="I526" i="2"/>
  <c r="H526" i="2"/>
  <c r="F526" i="2"/>
  <c r="D526" i="2"/>
  <c r="A526" i="2"/>
  <c r="V525" i="2"/>
  <c r="M525" i="2"/>
  <c r="L525" i="2"/>
  <c r="I525" i="2"/>
  <c r="H525" i="2"/>
  <c r="F525" i="2"/>
  <c r="D525" i="2"/>
  <c r="A525" i="2"/>
  <c r="V524" i="2"/>
  <c r="M524" i="2"/>
  <c r="L524" i="2"/>
  <c r="I524" i="2"/>
  <c r="H524" i="2"/>
  <c r="F524" i="2"/>
  <c r="D524" i="2"/>
  <c r="A524" i="2"/>
  <c r="V523" i="2"/>
  <c r="M523" i="2"/>
  <c r="L523" i="2"/>
  <c r="I523" i="2"/>
  <c r="H523" i="2"/>
  <c r="F523" i="2"/>
  <c r="D523" i="2"/>
  <c r="A523" i="2"/>
  <c r="V522" i="2"/>
  <c r="M522" i="2"/>
  <c r="L522" i="2"/>
  <c r="I522" i="2"/>
  <c r="H522" i="2"/>
  <c r="F522" i="2"/>
  <c r="D522" i="2"/>
  <c r="A522" i="2"/>
  <c r="V521" i="2"/>
  <c r="M521" i="2"/>
  <c r="L521" i="2"/>
  <c r="I521" i="2"/>
  <c r="H521" i="2"/>
  <c r="F521" i="2"/>
  <c r="D521" i="2"/>
  <c r="A521" i="2"/>
  <c r="V520" i="2"/>
  <c r="M520" i="2"/>
  <c r="L520" i="2"/>
  <c r="I520" i="2"/>
  <c r="H520" i="2"/>
  <c r="F520" i="2"/>
  <c r="D520" i="2"/>
  <c r="A520" i="2"/>
  <c r="V519" i="2"/>
  <c r="M519" i="2"/>
  <c r="L519" i="2"/>
  <c r="I519" i="2"/>
  <c r="H519" i="2"/>
  <c r="F519" i="2"/>
  <c r="D519" i="2"/>
  <c r="A519" i="2"/>
  <c r="V518" i="2"/>
  <c r="M518" i="2"/>
  <c r="L518" i="2"/>
  <c r="I518" i="2"/>
  <c r="H518" i="2"/>
  <c r="F518" i="2"/>
  <c r="D518" i="2"/>
  <c r="A518" i="2"/>
  <c r="V517" i="2"/>
  <c r="M517" i="2"/>
  <c r="L517" i="2"/>
  <c r="I517" i="2"/>
  <c r="H517" i="2"/>
  <c r="F517" i="2"/>
  <c r="D517" i="2"/>
  <c r="A517" i="2"/>
  <c r="V516" i="2"/>
  <c r="M516" i="2"/>
  <c r="L516" i="2"/>
  <c r="I516" i="2"/>
  <c r="H516" i="2"/>
  <c r="F516" i="2"/>
  <c r="D516" i="2"/>
  <c r="A516" i="2"/>
  <c r="V515" i="2"/>
  <c r="M515" i="2"/>
  <c r="L515" i="2"/>
  <c r="I515" i="2"/>
  <c r="H515" i="2"/>
  <c r="F515" i="2"/>
  <c r="D515" i="2"/>
  <c r="A515" i="2"/>
  <c r="V514" i="2"/>
  <c r="M514" i="2"/>
  <c r="L514" i="2"/>
  <c r="I514" i="2"/>
  <c r="H514" i="2"/>
  <c r="F514" i="2"/>
  <c r="D514" i="2"/>
  <c r="A514" i="2"/>
  <c r="V513" i="2"/>
  <c r="M513" i="2"/>
  <c r="L513" i="2"/>
  <c r="I513" i="2"/>
  <c r="H513" i="2"/>
  <c r="F513" i="2"/>
  <c r="D513" i="2"/>
  <c r="A513" i="2"/>
  <c r="V512" i="2"/>
  <c r="M512" i="2"/>
  <c r="L512" i="2"/>
  <c r="I512" i="2"/>
  <c r="H512" i="2"/>
  <c r="F512" i="2"/>
  <c r="D512" i="2"/>
  <c r="A512" i="2"/>
  <c r="V511" i="2"/>
  <c r="M511" i="2"/>
  <c r="L511" i="2"/>
  <c r="I511" i="2"/>
  <c r="H511" i="2"/>
  <c r="F511" i="2"/>
  <c r="D511" i="2"/>
  <c r="A511" i="2"/>
  <c r="V510" i="2"/>
  <c r="M510" i="2"/>
  <c r="L510" i="2"/>
  <c r="I510" i="2"/>
  <c r="H510" i="2"/>
  <c r="F510" i="2"/>
  <c r="D510" i="2"/>
  <c r="A510" i="2"/>
  <c r="V509" i="2"/>
  <c r="M509" i="2"/>
  <c r="L509" i="2"/>
  <c r="I509" i="2"/>
  <c r="H509" i="2"/>
  <c r="F509" i="2"/>
  <c r="D509" i="2"/>
  <c r="A509" i="2"/>
  <c r="V508" i="2"/>
  <c r="M508" i="2"/>
  <c r="L508" i="2"/>
  <c r="I508" i="2"/>
  <c r="H508" i="2"/>
  <c r="F508" i="2"/>
  <c r="D508" i="2"/>
  <c r="A508" i="2"/>
  <c r="V507" i="2"/>
  <c r="M507" i="2"/>
  <c r="L507" i="2"/>
  <c r="I507" i="2"/>
  <c r="H507" i="2"/>
  <c r="F507" i="2"/>
  <c r="D507" i="2"/>
  <c r="A507" i="2"/>
  <c r="V506" i="2"/>
  <c r="M506" i="2"/>
  <c r="L506" i="2"/>
  <c r="I506" i="2"/>
  <c r="H506" i="2"/>
  <c r="F506" i="2"/>
  <c r="D506" i="2"/>
  <c r="A506" i="2"/>
  <c r="V505" i="2"/>
  <c r="M505" i="2"/>
  <c r="L505" i="2"/>
  <c r="I505" i="2"/>
  <c r="H505" i="2"/>
  <c r="F505" i="2"/>
  <c r="D505" i="2"/>
  <c r="A505" i="2"/>
  <c r="V504" i="2"/>
  <c r="M504" i="2"/>
  <c r="L504" i="2"/>
  <c r="I504" i="2"/>
  <c r="H504" i="2"/>
  <c r="F504" i="2"/>
  <c r="D504" i="2"/>
  <c r="A504" i="2"/>
  <c r="V503" i="2"/>
  <c r="M503" i="2"/>
  <c r="L503" i="2"/>
  <c r="I503" i="2"/>
  <c r="H503" i="2"/>
  <c r="F503" i="2"/>
  <c r="D503" i="2"/>
  <c r="A503" i="2"/>
  <c r="V502" i="2"/>
  <c r="M502" i="2"/>
  <c r="L502" i="2"/>
  <c r="I502" i="2"/>
  <c r="H502" i="2"/>
  <c r="F502" i="2"/>
  <c r="D502" i="2"/>
  <c r="A502" i="2"/>
  <c r="V501" i="2"/>
  <c r="M501" i="2"/>
  <c r="L501" i="2"/>
  <c r="I501" i="2"/>
  <c r="H501" i="2"/>
  <c r="F501" i="2"/>
  <c r="D501" i="2"/>
  <c r="A501" i="2"/>
  <c r="V500" i="2"/>
  <c r="M500" i="2"/>
  <c r="L500" i="2"/>
  <c r="I500" i="2"/>
  <c r="H500" i="2"/>
  <c r="F500" i="2"/>
  <c r="D500" i="2"/>
  <c r="A500" i="2"/>
  <c r="V499" i="2"/>
  <c r="M499" i="2"/>
  <c r="L499" i="2"/>
  <c r="I499" i="2"/>
  <c r="H499" i="2"/>
  <c r="F499" i="2"/>
  <c r="D499" i="2"/>
  <c r="A499" i="2"/>
  <c r="V498" i="2"/>
  <c r="M498" i="2"/>
  <c r="L498" i="2"/>
  <c r="I498" i="2"/>
  <c r="H498" i="2"/>
  <c r="F498" i="2"/>
  <c r="D498" i="2"/>
  <c r="A498" i="2"/>
  <c r="V497" i="2"/>
  <c r="M497" i="2"/>
  <c r="L497" i="2"/>
  <c r="I497" i="2"/>
  <c r="H497" i="2"/>
  <c r="F497" i="2"/>
  <c r="D497" i="2"/>
  <c r="A497" i="2"/>
  <c r="V496" i="2"/>
  <c r="M496" i="2"/>
  <c r="L496" i="2"/>
  <c r="I496" i="2"/>
  <c r="H496" i="2"/>
  <c r="F496" i="2"/>
  <c r="D496" i="2"/>
  <c r="A496" i="2"/>
  <c r="V495" i="2"/>
  <c r="M495" i="2"/>
  <c r="L495" i="2"/>
  <c r="I495" i="2"/>
  <c r="H495" i="2"/>
  <c r="F495" i="2"/>
  <c r="D495" i="2"/>
  <c r="A495" i="2"/>
  <c r="V494" i="2"/>
  <c r="M494" i="2"/>
  <c r="L494" i="2"/>
  <c r="I494" i="2"/>
  <c r="H494" i="2"/>
  <c r="F494" i="2"/>
  <c r="D494" i="2"/>
  <c r="A494" i="2"/>
  <c r="V493" i="2"/>
  <c r="M493" i="2"/>
  <c r="L493" i="2"/>
  <c r="I493" i="2"/>
  <c r="H493" i="2"/>
  <c r="F493" i="2"/>
  <c r="D493" i="2"/>
  <c r="A493" i="2"/>
  <c r="V492" i="2"/>
  <c r="M492" i="2"/>
  <c r="L492" i="2"/>
  <c r="I492" i="2"/>
  <c r="H492" i="2"/>
  <c r="F492" i="2"/>
  <c r="D492" i="2"/>
  <c r="A492" i="2"/>
  <c r="V491" i="2"/>
  <c r="M491" i="2"/>
  <c r="L491" i="2"/>
  <c r="I491" i="2"/>
  <c r="H491" i="2"/>
  <c r="F491" i="2"/>
  <c r="D491" i="2"/>
  <c r="A491" i="2"/>
  <c r="V490" i="2"/>
  <c r="M490" i="2"/>
  <c r="L490" i="2"/>
  <c r="I490" i="2"/>
  <c r="H490" i="2"/>
  <c r="F490" i="2"/>
  <c r="D490" i="2"/>
  <c r="A490" i="2"/>
  <c r="V489" i="2"/>
  <c r="M489" i="2"/>
  <c r="L489" i="2"/>
  <c r="I489" i="2"/>
  <c r="H489" i="2"/>
  <c r="F489" i="2"/>
  <c r="D489" i="2"/>
  <c r="A489" i="2"/>
  <c r="V488" i="2"/>
  <c r="M488" i="2"/>
  <c r="L488" i="2"/>
  <c r="I488" i="2"/>
  <c r="H488" i="2"/>
  <c r="F488" i="2"/>
  <c r="D488" i="2"/>
  <c r="A488" i="2"/>
  <c r="V487" i="2"/>
  <c r="M487" i="2"/>
  <c r="L487" i="2"/>
  <c r="I487" i="2"/>
  <c r="H487" i="2"/>
  <c r="F487" i="2"/>
  <c r="D487" i="2"/>
  <c r="A487" i="2"/>
  <c r="V486" i="2"/>
  <c r="M486" i="2"/>
  <c r="L486" i="2"/>
  <c r="I486" i="2"/>
  <c r="H486" i="2"/>
  <c r="F486" i="2"/>
  <c r="D486" i="2"/>
  <c r="A486" i="2"/>
  <c r="V485" i="2"/>
  <c r="M485" i="2"/>
  <c r="L485" i="2"/>
  <c r="I485" i="2"/>
  <c r="H485" i="2"/>
  <c r="F485" i="2"/>
  <c r="D485" i="2"/>
  <c r="A485" i="2"/>
  <c r="V484" i="2"/>
  <c r="M484" i="2"/>
  <c r="L484" i="2"/>
  <c r="I484" i="2"/>
  <c r="H484" i="2"/>
  <c r="F484" i="2"/>
  <c r="D484" i="2"/>
  <c r="A484" i="2"/>
  <c r="V483" i="2"/>
  <c r="M483" i="2"/>
  <c r="L483" i="2"/>
  <c r="I483" i="2"/>
  <c r="H483" i="2"/>
  <c r="F483" i="2"/>
  <c r="D483" i="2"/>
  <c r="A483" i="2"/>
  <c r="V482" i="2"/>
  <c r="M482" i="2"/>
  <c r="L482" i="2"/>
  <c r="I482" i="2"/>
  <c r="H482" i="2"/>
  <c r="F482" i="2"/>
  <c r="D482" i="2"/>
  <c r="A482" i="2"/>
  <c r="V481" i="2"/>
  <c r="M481" i="2"/>
  <c r="L481" i="2"/>
  <c r="I481" i="2"/>
  <c r="H481" i="2"/>
  <c r="F481" i="2"/>
  <c r="D481" i="2"/>
  <c r="A481" i="2"/>
  <c r="V480" i="2"/>
  <c r="M480" i="2"/>
  <c r="L480" i="2"/>
  <c r="I480" i="2"/>
  <c r="H480" i="2"/>
  <c r="F480" i="2"/>
  <c r="D480" i="2"/>
  <c r="A480" i="2"/>
  <c r="V479" i="2"/>
  <c r="M479" i="2"/>
  <c r="L479" i="2"/>
  <c r="I479" i="2"/>
  <c r="H479" i="2"/>
  <c r="F479" i="2"/>
  <c r="D479" i="2"/>
  <c r="A479" i="2"/>
  <c r="V478" i="2"/>
  <c r="M478" i="2"/>
  <c r="L478" i="2"/>
  <c r="I478" i="2"/>
  <c r="H478" i="2"/>
  <c r="F478" i="2"/>
  <c r="D478" i="2"/>
  <c r="A478" i="2"/>
  <c r="V477" i="2"/>
  <c r="M477" i="2"/>
  <c r="L477" i="2"/>
  <c r="I477" i="2"/>
  <c r="H477" i="2"/>
  <c r="F477" i="2"/>
  <c r="D477" i="2"/>
  <c r="A477" i="2"/>
  <c r="V476" i="2"/>
  <c r="M476" i="2"/>
  <c r="L476" i="2"/>
  <c r="I476" i="2"/>
  <c r="H476" i="2"/>
  <c r="F476" i="2"/>
  <c r="D476" i="2"/>
  <c r="A476" i="2"/>
  <c r="V475" i="2"/>
  <c r="M475" i="2"/>
  <c r="L475" i="2"/>
  <c r="I475" i="2"/>
  <c r="H475" i="2"/>
  <c r="F475" i="2"/>
  <c r="D475" i="2"/>
  <c r="A475" i="2"/>
  <c r="V474" i="2"/>
  <c r="M474" i="2"/>
  <c r="L474" i="2"/>
  <c r="I474" i="2"/>
  <c r="H474" i="2"/>
  <c r="F474" i="2"/>
  <c r="D474" i="2"/>
  <c r="A474" i="2"/>
  <c r="V473" i="2"/>
  <c r="M473" i="2"/>
  <c r="L473" i="2"/>
  <c r="I473" i="2"/>
  <c r="H473" i="2"/>
  <c r="F473" i="2"/>
  <c r="D473" i="2"/>
  <c r="A473" i="2"/>
  <c r="V472" i="2"/>
  <c r="M472" i="2"/>
  <c r="L472" i="2"/>
  <c r="I472" i="2"/>
  <c r="H472" i="2"/>
  <c r="F472" i="2"/>
  <c r="D472" i="2"/>
  <c r="A472" i="2"/>
  <c r="V471" i="2"/>
  <c r="M471" i="2"/>
  <c r="L471" i="2"/>
  <c r="I471" i="2"/>
  <c r="H471" i="2"/>
  <c r="F471" i="2"/>
  <c r="D471" i="2"/>
  <c r="A471" i="2"/>
  <c r="V470" i="2"/>
  <c r="M470" i="2"/>
  <c r="L470" i="2"/>
  <c r="I470" i="2"/>
  <c r="H470" i="2"/>
  <c r="F470" i="2"/>
  <c r="D470" i="2"/>
  <c r="A470" i="2"/>
  <c r="V469" i="2"/>
  <c r="M469" i="2"/>
  <c r="L469" i="2"/>
  <c r="I469" i="2"/>
  <c r="H469" i="2"/>
  <c r="F469" i="2"/>
  <c r="D469" i="2"/>
  <c r="A469" i="2"/>
  <c r="V468" i="2"/>
  <c r="M468" i="2"/>
  <c r="L468" i="2"/>
  <c r="I468" i="2"/>
  <c r="H468" i="2"/>
  <c r="F468" i="2"/>
  <c r="D468" i="2"/>
  <c r="A468" i="2"/>
  <c r="V467" i="2"/>
  <c r="M467" i="2"/>
  <c r="L467" i="2"/>
  <c r="I467" i="2"/>
  <c r="H467" i="2"/>
  <c r="F467" i="2"/>
  <c r="D467" i="2"/>
  <c r="A467" i="2"/>
  <c r="V466" i="2"/>
  <c r="M466" i="2"/>
  <c r="L466" i="2"/>
  <c r="I466" i="2"/>
  <c r="H466" i="2"/>
  <c r="F466" i="2"/>
  <c r="D466" i="2"/>
  <c r="A466" i="2"/>
  <c r="V465" i="2"/>
  <c r="M465" i="2"/>
  <c r="L465" i="2"/>
  <c r="I465" i="2"/>
  <c r="H465" i="2"/>
  <c r="F465" i="2"/>
  <c r="D465" i="2"/>
  <c r="A465" i="2"/>
  <c r="V464" i="2"/>
  <c r="M464" i="2"/>
  <c r="L464" i="2"/>
  <c r="I464" i="2"/>
  <c r="H464" i="2"/>
  <c r="F464" i="2"/>
  <c r="D464" i="2"/>
  <c r="A464" i="2"/>
  <c r="V463" i="2"/>
  <c r="M463" i="2"/>
  <c r="L463" i="2"/>
  <c r="I463" i="2"/>
  <c r="H463" i="2"/>
  <c r="F463" i="2"/>
  <c r="D463" i="2"/>
  <c r="A463" i="2"/>
  <c r="V462" i="2"/>
  <c r="M462" i="2"/>
  <c r="L462" i="2"/>
  <c r="I462" i="2"/>
  <c r="H462" i="2"/>
  <c r="F462" i="2"/>
  <c r="D462" i="2"/>
  <c r="A462" i="2"/>
  <c r="V461" i="2"/>
  <c r="M461" i="2"/>
  <c r="L461" i="2"/>
  <c r="I461" i="2"/>
  <c r="H461" i="2"/>
  <c r="F461" i="2"/>
  <c r="D461" i="2"/>
  <c r="A461" i="2"/>
  <c r="V460" i="2"/>
  <c r="M460" i="2"/>
  <c r="L460" i="2"/>
  <c r="I460" i="2"/>
  <c r="H460" i="2"/>
  <c r="F460" i="2"/>
  <c r="D460" i="2"/>
  <c r="A460" i="2"/>
  <c r="V459" i="2"/>
  <c r="M459" i="2"/>
  <c r="L459" i="2"/>
  <c r="I459" i="2"/>
  <c r="H459" i="2"/>
  <c r="F459" i="2"/>
  <c r="D459" i="2"/>
  <c r="A459" i="2"/>
  <c r="V458" i="2"/>
  <c r="M458" i="2"/>
  <c r="L458" i="2"/>
  <c r="I458" i="2"/>
  <c r="H458" i="2"/>
  <c r="F458" i="2"/>
  <c r="D458" i="2"/>
  <c r="A458" i="2"/>
  <c r="V457" i="2"/>
  <c r="M457" i="2"/>
  <c r="L457" i="2"/>
  <c r="I457" i="2"/>
  <c r="H457" i="2"/>
  <c r="F457" i="2"/>
  <c r="D457" i="2"/>
  <c r="A457" i="2"/>
  <c r="V456" i="2"/>
  <c r="M456" i="2"/>
  <c r="L456" i="2"/>
  <c r="I456" i="2"/>
  <c r="H456" i="2"/>
  <c r="F456" i="2"/>
  <c r="D456" i="2"/>
  <c r="A456" i="2"/>
  <c r="V455" i="2"/>
  <c r="M455" i="2"/>
  <c r="L455" i="2"/>
  <c r="I455" i="2"/>
  <c r="H455" i="2"/>
  <c r="F455" i="2"/>
  <c r="D455" i="2"/>
  <c r="A455" i="2"/>
  <c r="V454" i="2"/>
  <c r="M454" i="2"/>
  <c r="L454" i="2"/>
  <c r="I454" i="2"/>
  <c r="H454" i="2"/>
  <c r="F454" i="2"/>
  <c r="D454" i="2"/>
  <c r="A454" i="2"/>
  <c r="V453" i="2"/>
  <c r="M453" i="2"/>
  <c r="L453" i="2"/>
  <c r="I453" i="2"/>
  <c r="H453" i="2"/>
  <c r="F453" i="2"/>
  <c r="D453" i="2"/>
  <c r="A453" i="2"/>
  <c r="V452" i="2"/>
  <c r="M452" i="2"/>
  <c r="L452" i="2"/>
  <c r="I452" i="2"/>
  <c r="H452" i="2"/>
  <c r="F452" i="2"/>
  <c r="D452" i="2"/>
  <c r="A452" i="2"/>
  <c r="V451" i="2"/>
  <c r="M451" i="2"/>
  <c r="L451" i="2"/>
  <c r="I451" i="2"/>
  <c r="H451" i="2"/>
  <c r="F451" i="2"/>
  <c r="D451" i="2"/>
  <c r="A451" i="2"/>
  <c r="V450" i="2"/>
  <c r="M450" i="2"/>
  <c r="L450" i="2"/>
  <c r="I450" i="2"/>
  <c r="H450" i="2"/>
  <c r="F450" i="2"/>
  <c r="D450" i="2"/>
  <c r="A450" i="2"/>
  <c r="V449" i="2"/>
  <c r="M449" i="2"/>
  <c r="L449" i="2"/>
  <c r="I449" i="2"/>
  <c r="H449" i="2"/>
  <c r="F449" i="2"/>
  <c r="D449" i="2"/>
  <c r="A449" i="2"/>
  <c r="V448" i="2"/>
  <c r="M448" i="2"/>
  <c r="L448" i="2"/>
  <c r="I448" i="2"/>
  <c r="H448" i="2"/>
  <c r="F448" i="2"/>
  <c r="D448" i="2"/>
  <c r="A448" i="2"/>
  <c r="V447" i="2"/>
  <c r="M447" i="2"/>
  <c r="L447" i="2"/>
  <c r="I447" i="2"/>
  <c r="H447" i="2"/>
  <c r="F447" i="2"/>
  <c r="D447" i="2"/>
  <c r="A447" i="2"/>
  <c r="V446" i="2"/>
  <c r="M446" i="2"/>
  <c r="L446" i="2"/>
  <c r="I446" i="2"/>
  <c r="H446" i="2"/>
  <c r="F446" i="2"/>
  <c r="D446" i="2"/>
  <c r="A446" i="2"/>
  <c r="V445" i="2"/>
  <c r="M445" i="2"/>
  <c r="L445" i="2"/>
  <c r="I445" i="2"/>
  <c r="H445" i="2"/>
  <c r="F445" i="2"/>
  <c r="D445" i="2"/>
  <c r="A445" i="2"/>
  <c r="V444" i="2"/>
  <c r="M444" i="2"/>
  <c r="L444" i="2"/>
  <c r="I444" i="2"/>
  <c r="H444" i="2"/>
  <c r="F444" i="2"/>
  <c r="D444" i="2"/>
  <c r="A444" i="2"/>
  <c r="V443" i="2"/>
  <c r="M443" i="2"/>
  <c r="L443" i="2"/>
  <c r="I443" i="2"/>
  <c r="H443" i="2"/>
  <c r="F443" i="2"/>
  <c r="D443" i="2"/>
  <c r="A443" i="2"/>
  <c r="V442" i="2"/>
  <c r="M442" i="2"/>
  <c r="L442" i="2"/>
  <c r="I442" i="2"/>
  <c r="H442" i="2"/>
  <c r="F442" i="2"/>
  <c r="D442" i="2"/>
  <c r="A442" i="2"/>
  <c r="V441" i="2"/>
  <c r="M441" i="2"/>
  <c r="L441" i="2"/>
  <c r="I441" i="2"/>
  <c r="H441" i="2"/>
  <c r="F441" i="2"/>
  <c r="D441" i="2"/>
  <c r="A441" i="2"/>
  <c r="V440" i="2"/>
  <c r="M440" i="2"/>
  <c r="L440" i="2"/>
  <c r="I440" i="2"/>
  <c r="H440" i="2"/>
  <c r="F440" i="2"/>
  <c r="D440" i="2"/>
  <c r="A440" i="2"/>
  <c r="V439" i="2"/>
  <c r="M439" i="2"/>
  <c r="L439" i="2"/>
  <c r="I439" i="2"/>
  <c r="H439" i="2"/>
  <c r="F439" i="2"/>
  <c r="D439" i="2"/>
  <c r="A439" i="2"/>
  <c r="V438" i="2"/>
  <c r="M438" i="2"/>
  <c r="L438" i="2"/>
  <c r="I438" i="2"/>
  <c r="H438" i="2"/>
  <c r="F438" i="2"/>
  <c r="D438" i="2"/>
  <c r="A438" i="2"/>
  <c r="V437" i="2"/>
  <c r="M437" i="2"/>
  <c r="L437" i="2"/>
  <c r="I437" i="2"/>
  <c r="H437" i="2"/>
  <c r="F437" i="2"/>
  <c r="D437" i="2"/>
  <c r="A437" i="2"/>
  <c r="V436" i="2"/>
  <c r="M436" i="2"/>
  <c r="L436" i="2"/>
  <c r="I436" i="2"/>
  <c r="H436" i="2"/>
  <c r="F436" i="2"/>
  <c r="D436" i="2"/>
  <c r="A436" i="2"/>
  <c r="V435" i="2"/>
  <c r="M435" i="2"/>
  <c r="L435" i="2"/>
  <c r="I435" i="2"/>
  <c r="H435" i="2"/>
  <c r="F435" i="2"/>
  <c r="D435" i="2"/>
  <c r="A435" i="2"/>
  <c r="V434" i="2"/>
  <c r="M434" i="2"/>
  <c r="L434" i="2"/>
  <c r="I434" i="2"/>
  <c r="H434" i="2"/>
  <c r="F434" i="2"/>
  <c r="D434" i="2"/>
  <c r="A434" i="2"/>
  <c r="V433" i="2"/>
  <c r="M433" i="2"/>
  <c r="L433" i="2"/>
  <c r="I433" i="2"/>
  <c r="H433" i="2"/>
  <c r="F433" i="2"/>
  <c r="D433" i="2"/>
  <c r="A433" i="2"/>
  <c r="V432" i="2"/>
  <c r="M432" i="2"/>
  <c r="L432" i="2"/>
  <c r="I432" i="2"/>
  <c r="H432" i="2"/>
  <c r="F432" i="2"/>
  <c r="D432" i="2"/>
  <c r="A432" i="2"/>
  <c r="V431" i="2"/>
  <c r="M431" i="2"/>
  <c r="L431" i="2"/>
  <c r="I431" i="2"/>
  <c r="H431" i="2"/>
  <c r="F431" i="2"/>
  <c r="D431" i="2"/>
  <c r="A431" i="2"/>
  <c r="V430" i="2"/>
  <c r="M430" i="2"/>
  <c r="L430" i="2"/>
  <c r="I430" i="2"/>
  <c r="H430" i="2"/>
  <c r="F430" i="2"/>
  <c r="D430" i="2"/>
  <c r="A430" i="2"/>
  <c r="V429" i="2"/>
  <c r="M429" i="2"/>
  <c r="L429" i="2"/>
  <c r="I429" i="2"/>
  <c r="H429" i="2"/>
  <c r="F429" i="2"/>
  <c r="D429" i="2"/>
  <c r="A429" i="2"/>
  <c r="V428" i="2"/>
  <c r="M428" i="2"/>
  <c r="L428" i="2"/>
  <c r="I428" i="2"/>
  <c r="H428" i="2"/>
  <c r="F428" i="2"/>
  <c r="D428" i="2"/>
  <c r="A428" i="2"/>
  <c r="V427" i="2"/>
  <c r="M427" i="2"/>
  <c r="L427" i="2"/>
  <c r="I427" i="2"/>
  <c r="H427" i="2"/>
  <c r="F427" i="2"/>
  <c r="D427" i="2"/>
  <c r="A427" i="2"/>
  <c r="V426" i="2"/>
  <c r="M426" i="2"/>
  <c r="L426" i="2"/>
  <c r="I426" i="2"/>
  <c r="H426" i="2"/>
  <c r="F426" i="2"/>
  <c r="D426" i="2"/>
  <c r="A426" i="2"/>
  <c r="V425" i="2"/>
  <c r="M425" i="2"/>
  <c r="L425" i="2"/>
  <c r="I425" i="2"/>
  <c r="H425" i="2"/>
  <c r="F425" i="2"/>
  <c r="D425" i="2"/>
  <c r="A425" i="2"/>
  <c r="V424" i="2"/>
  <c r="M424" i="2"/>
  <c r="L424" i="2"/>
  <c r="I424" i="2"/>
  <c r="H424" i="2"/>
  <c r="F424" i="2"/>
  <c r="D424" i="2"/>
  <c r="A424" i="2"/>
  <c r="V423" i="2"/>
  <c r="M423" i="2"/>
  <c r="L423" i="2"/>
  <c r="I423" i="2"/>
  <c r="H423" i="2"/>
  <c r="F423" i="2"/>
  <c r="D423" i="2"/>
  <c r="A423" i="2"/>
  <c r="V422" i="2"/>
  <c r="M422" i="2"/>
  <c r="L422" i="2"/>
  <c r="I422" i="2"/>
  <c r="H422" i="2"/>
  <c r="F422" i="2"/>
  <c r="D422" i="2"/>
  <c r="A422" i="2"/>
  <c r="V421" i="2"/>
  <c r="M421" i="2"/>
  <c r="L421" i="2"/>
  <c r="I421" i="2"/>
  <c r="H421" i="2"/>
  <c r="F421" i="2"/>
  <c r="D421" i="2"/>
  <c r="A421" i="2"/>
  <c r="V420" i="2"/>
  <c r="M420" i="2"/>
  <c r="L420" i="2"/>
  <c r="I420" i="2"/>
  <c r="H420" i="2"/>
  <c r="F420" i="2"/>
  <c r="D420" i="2"/>
  <c r="A420" i="2"/>
  <c r="V419" i="2"/>
  <c r="M419" i="2"/>
  <c r="L419" i="2"/>
  <c r="I419" i="2"/>
  <c r="H419" i="2"/>
  <c r="F419" i="2"/>
  <c r="D419" i="2"/>
  <c r="A419" i="2"/>
  <c r="V418" i="2"/>
  <c r="M418" i="2"/>
  <c r="L418" i="2"/>
  <c r="I418" i="2"/>
  <c r="H418" i="2"/>
  <c r="F418" i="2"/>
  <c r="D418" i="2"/>
  <c r="A418" i="2"/>
  <c r="V417" i="2"/>
  <c r="M417" i="2"/>
  <c r="L417" i="2"/>
  <c r="I417" i="2"/>
  <c r="H417" i="2"/>
  <c r="F417" i="2"/>
  <c r="D417" i="2"/>
  <c r="A417" i="2"/>
  <c r="V416" i="2"/>
  <c r="M416" i="2"/>
  <c r="L416" i="2"/>
  <c r="I416" i="2"/>
  <c r="H416" i="2"/>
  <c r="F416" i="2"/>
  <c r="D416" i="2"/>
  <c r="A416" i="2"/>
  <c r="V415" i="2"/>
  <c r="M415" i="2"/>
  <c r="L415" i="2"/>
  <c r="I415" i="2"/>
  <c r="H415" i="2"/>
  <c r="F415" i="2"/>
  <c r="D415" i="2"/>
  <c r="A415" i="2"/>
  <c r="V414" i="2"/>
  <c r="M414" i="2"/>
  <c r="L414" i="2"/>
  <c r="I414" i="2"/>
  <c r="H414" i="2"/>
  <c r="F414" i="2"/>
  <c r="D414" i="2"/>
  <c r="A414" i="2"/>
  <c r="V413" i="2"/>
  <c r="M413" i="2"/>
  <c r="L413" i="2"/>
  <c r="I413" i="2"/>
  <c r="H413" i="2"/>
  <c r="F413" i="2"/>
  <c r="D413" i="2"/>
  <c r="A413" i="2"/>
  <c r="V412" i="2"/>
  <c r="M412" i="2"/>
  <c r="L412" i="2"/>
  <c r="I412" i="2"/>
  <c r="H412" i="2"/>
  <c r="F412" i="2"/>
  <c r="D412" i="2"/>
  <c r="A412" i="2"/>
  <c r="V411" i="2"/>
  <c r="M411" i="2"/>
  <c r="L411" i="2"/>
  <c r="I411" i="2"/>
  <c r="H411" i="2"/>
  <c r="F411" i="2"/>
  <c r="D411" i="2"/>
  <c r="A411" i="2"/>
  <c r="V410" i="2"/>
  <c r="M410" i="2"/>
  <c r="L410" i="2"/>
  <c r="I410" i="2"/>
  <c r="H410" i="2"/>
  <c r="F410" i="2"/>
  <c r="D410" i="2"/>
  <c r="A410" i="2"/>
  <c r="V409" i="2"/>
  <c r="M409" i="2"/>
  <c r="L409" i="2"/>
  <c r="I409" i="2"/>
  <c r="H409" i="2"/>
  <c r="F409" i="2"/>
  <c r="D409" i="2"/>
  <c r="A409" i="2"/>
  <c r="V408" i="2"/>
  <c r="M408" i="2"/>
  <c r="L408" i="2"/>
  <c r="I408" i="2"/>
  <c r="H408" i="2"/>
  <c r="F408" i="2"/>
  <c r="D408" i="2"/>
  <c r="A408" i="2"/>
  <c r="V407" i="2"/>
  <c r="M407" i="2"/>
  <c r="L407" i="2"/>
  <c r="I407" i="2"/>
  <c r="H407" i="2"/>
  <c r="F407" i="2"/>
  <c r="D407" i="2"/>
  <c r="A407" i="2"/>
  <c r="V406" i="2"/>
  <c r="M406" i="2"/>
  <c r="L406" i="2"/>
  <c r="I406" i="2"/>
  <c r="H406" i="2"/>
  <c r="F406" i="2"/>
  <c r="D406" i="2"/>
  <c r="A406" i="2"/>
  <c r="V405" i="2"/>
  <c r="M405" i="2"/>
  <c r="L405" i="2"/>
  <c r="I405" i="2"/>
  <c r="H405" i="2"/>
  <c r="F405" i="2"/>
  <c r="D405" i="2"/>
  <c r="A405" i="2"/>
  <c r="V404" i="2"/>
  <c r="M404" i="2"/>
  <c r="L404" i="2"/>
  <c r="I404" i="2"/>
  <c r="H404" i="2"/>
  <c r="F404" i="2"/>
  <c r="D404" i="2"/>
  <c r="A404" i="2"/>
  <c r="V403" i="2"/>
  <c r="M403" i="2"/>
  <c r="L403" i="2"/>
  <c r="I403" i="2"/>
  <c r="H403" i="2"/>
  <c r="F403" i="2"/>
  <c r="D403" i="2"/>
  <c r="A403" i="2"/>
  <c r="V402" i="2"/>
  <c r="M402" i="2"/>
  <c r="L402" i="2"/>
  <c r="I402" i="2"/>
  <c r="H402" i="2"/>
  <c r="F402" i="2"/>
  <c r="D402" i="2"/>
  <c r="A402" i="2"/>
  <c r="V401" i="2"/>
  <c r="M401" i="2"/>
  <c r="L401" i="2"/>
  <c r="I401" i="2"/>
  <c r="H401" i="2"/>
  <c r="F401" i="2"/>
  <c r="D401" i="2"/>
  <c r="A401" i="2"/>
  <c r="V400" i="2"/>
  <c r="M400" i="2"/>
  <c r="L400" i="2"/>
  <c r="I400" i="2"/>
  <c r="H400" i="2"/>
  <c r="F400" i="2"/>
  <c r="D400" i="2"/>
  <c r="A400" i="2"/>
  <c r="V399" i="2"/>
  <c r="M399" i="2"/>
  <c r="L399" i="2"/>
  <c r="I399" i="2"/>
  <c r="H399" i="2"/>
  <c r="F399" i="2"/>
  <c r="D399" i="2"/>
  <c r="A399" i="2"/>
  <c r="V398" i="2"/>
  <c r="M398" i="2"/>
  <c r="L398" i="2"/>
  <c r="I398" i="2"/>
  <c r="H398" i="2"/>
  <c r="F398" i="2"/>
  <c r="D398" i="2"/>
  <c r="A398" i="2"/>
  <c r="V397" i="2"/>
  <c r="M397" i="2"/>
  <c r="L397" i="2"/>
  <c r="I397" i="2"/>
  <c r="H397" i="2"/>
  <c r="F397" i="2"/>
  <c r="D397" i="2"/>
  <c r="A397" i="2"/>
  <c r="V396" i="2"/>
  <c r="M396" i="2"/>
  <c r="L396" i="2"/>
  <c r="I396" i="2"/>
  <c r="H396" i="2"/>
  <c r="F396" i="2"/>
  <c r="D396" i="2"/>
  <c r="A396" i="2"/>
  <c r="V395" i="2"/>
  <c r="M395" i="2"/>
  <c r="L395" i="2"/>
  <c r="I395" i="2"/>
  <c r="H395" i="2"/>
  <c r="F395" i="2"/>
  <c r="D395" i="2"/>
  <c r="A395" i="2"/>
  <c r="V394" i="2"/>
  <c r="M394" i="2"/>
  <c r="L394" i="2"/>
  <c r="I394" i="2"/>
  <c r="H394" i="2"/>
  <c r="F394" i="2"/>
  <c r="D394" i="2"/>
  <c r="A394" i="2"/>
  <c r="V393" i="2"/>
  <c r="M393" i="2"/>
  <c r="L393" i="2"/>
  <c r="I393" i="2"/>
  <c r="H393" i="2"/>
  <c r="F393" i="2"/>
  <c r="D393" i="2"/>
  <c r="A393" i="2"/>
  <c r="V392" i="2"/>
  <c r="M392" i="2"/>
  <c r="L392" i="2"/>
  <c r="I392" i="2"/>
  <c r="H392" i="2"/>
  <c r="F392" i="2"/>
  <c r="D392" i="2"/>
  <c r="A392" i="2"/>
  <c r="V391" i="2"/>
  <c r="M391" i="2"/>
  <c r="L391" i="2"/>
  <c r="I391" i="2"/>
  <c r="H391" i="2"/>
  <c r="F391" i="2"/>
  <c r="D391" i="2"/>
  <c r="A391" i="2"/>
  <c r="V390" i="2"/>
  <c r="M390" i="2"/>
  <c r="L390" i="2"/>
  <c r="I390" i="2"/>
  <c r="H390" i="2"/>
  <c r="F390" i="2"/>
  <c r="D390" i="2"/>
  <c r="A390" i="2"/>
  <c r="V389" i="2"/>
  <c r="M389" i="2"/>
  <c r="L389" i="2"/>
  <c r="I389" i="2"/>
  <c r="H389" i="2"/>
  <c r="F389" i="2"/>
  <c r="D389" i="2"/>
  <c r="A389" i="2"/>
  <c r="V388" i="2"/>
  <c r="M388" i="2"/>
  <c r="L388" i="2"/>
  <c r="I388" i="2"/>
  <c r="H388" i="2"/>
  <c r="F388" i="2"/>
  <c r="D388" i="2"/>
  <c r="A388" i="2"/>
  <c r="V387" i="2"/>
  <c r="M387" i="2"/>
  <c r="L387" i="2"/>
  <c r="I387" i="2"/>
  <c r="H387" i="2"/>
  <c r="F387" i="2"/>
  <c r="D387" i="2"/>
  <c r="A387" i="2"/>
  <c r="V386" i="2"/>
  <c r="M386" i="2"/>
  <c r="L386" i="2"/>
  <c r="I386" i="2"/>
  <c r="H386" i="2"/>
  <c r="F386" i="2"/>
  <c r="D386" i="2"/>
  <c r="A386" i="2"/>
  <c r="V385" i="2"/>
  <c r="M385" i="2"/>
  <c r="L385" i="2"/>
  <c r="I385" i="2"/>
  <c r="H385" i="2"/>
  <c r="F385" i="2"/>
  <c r="D385" i="2"/>
  <c r="A385" i="2"/>
  <c r="V384" i="2"/>
  <c r="M384" i="2"/>
  <c r="L384" i="2"/>
  <c r="I384" i="2"/>
  <c r="H384" i="2"/>
  <c r="F384" i="2"/>
  <c r="D384" i="2"/>
  <c r="A384" i="2"/>
  <c r="V383" i="2"/>
  <c r="M383" i="2"/>
  <c r="L383" i="2"/>
  <c r="I383" i="2"/>
  <c r="H383" i="2"/>
  <c r="F383" i="2"/>
  <c r="D383" i="2"/>
  <c r="A383" i="2"/>
  <c r="V382" i="2"/>
  <c r="M382" i="2"/>
  <c r="L382" i="2"/>
  <c r="I382" i="2"/>
  <c r="H382" i="2"/>
  <c r="F382" i="2"/>
  <c r="D382" i="2"/>
  <c r="A382" i="2"/>
  <c r="V381" i="2"/>
  <c r="M381" i="2"/>
  <c r="L381" i="2"/>
  <c r="I381" i="2"/>
  <c r="H381" i="2"/>
  <c r="F381" i="2"/>
  <c r="D381" i="2"/>
  <c r="A381" i="2"/>
  <c r="V380" i="2"/>
  <c r="M380" i="2"/>
  <c r="L380" i="2"/>
  <c r="I380" i="2"/>
  <c r="H380" i="2"/>
  <c r="F380" i="2"/>
  <c r="D380" i="2"/>
  <c r="A380" i="2"/>
  <c r="V379" i="2"/>
  <c r="M379" i="2"/>
  <c r="L379" i="2"/>
  <c r="I379" i="2"/>
  <c r="H379" i="2"/>
  <c r="F379" i="2"/>
  <c r="D379" i="2"/>
  <c r="A379" i="2"/>
  <c r="V378" i="2"/>
  <c r="M378" i="2"/>
  <c r="L378" i="2"/>
  <c r="I378" i="2"/>
  <c r="H378" i="2"/>
  <c r="F378" i="2"/>
  <c r="D378" i="2"/>
  <c r="A378" i="2"/>
  <c r="V377" i="2"/>
  <c r="M377" i="2"/>
  <c r="L377" i="2"/>
  <c r="I377" i="2"/>
  <c r="H377" i="2"/>
  <c r="F377" i="2"/>
  <c r="D377" i="2"/>
  <c r="A377" i="2"/>
  <c r="V376" i="2"/>
  <c r="M376" i="2"/>
  <c r="L376" i="2"/>
  <c r="I376" i="2"/>
  <c r="H376" i="2"/>
  <c r="F376" i="2"/>
  <c r="D376" i="2"/>
  <c r="A376" i="2"/>
  <c r="V375" i="2"/>
  <c r="M375" i="2"/>
  <c r="L375" i="2"/>
  <c r="I375" i="2"/>
  <c r="H375" i="2"/>
  <c r="F375" i="2"/>
  <c r="D375" i="2"/>
  <c r="A375" i="2"/>
  <c r="V374" i="2"/>
  <c r="M374" i="2"/>
  <c r="L374" i="2"/>
  <c r="I374" i="2"/>
  <c r="H374" i="2"/>
  <c r="F374" i="2"/>
  <c r="D374" i="2"/>
  <c r="A374" i="2"/>
  <c r="V373" i="2"/>
  <c r="M373" i="2"/>
  <c r="L373" i="2"/>
  <c r="I373" i="2"/>
  <c r="H373" i="2"/>
  <c r="F373" i="2"/>
  <c r="D373" i="2"/>
  <c r="A373" i="2"/>
  <c r="V372" i="2"/>
  <c r="M372" i="2"/>
  <c r="L372" i="2"/>
  <c r="I372" i="2"/>
  <c r="H372" i="2"/>
  <c r="F372" i="2"/>
  <c r="D372" i="2"/>
  <c r="A372" i="2"/>
  <c r="V371" i="2"/>
  <c r="M371" i="2"/>
  <c r="L371" i="2"/>
  <c r="I371" i="2"/>
  <c r="H371" i="2"/>
  <c r="F371" i="2"/>
  <c r="D371" i="2"/>
  <c r="A371" i="2"/>
  <c r="V370" i="2"/>
  <c r="M370" i="2"/>
  <c r="L370" i="2"/>
  <c r="I370" i="2"/>
  <c r="H370" i="2"/>
  <c r="F370" i="2"/>
  <c r="D370" i="2"/>
  <c r="A370" i="2"/>
  <c r="V369" i="2"/>
  <c r="M369" i="2"/>
  <c r="L369" i="2"/>
  <c r="I369" i="2"/>
  <c r="H369" i="2"/>
  <c r="F369" i="2"/>
  <c r="D369" i="2"/>
  <c r="A369" i="2"/>
  <c r="V368" i="2"/>
  <c r="M368" i="2"/>
  <c r="L368" i="2"/>
  <c r="I368" i="2"/>
  <c r="H368" i="2"/>
  <c r="F368" i="2"/>
  <c r="D368" i="2"/>
  <c r="A368" i="2"/>
  <c r="V367" i="2"/>
  <c r="M367" i="2"/>
  <c r="L367" i="2"/>
  <c r="I367" i="2"/>
  <c r="H367" i="2"/>
  <c r="F367" i="2"/>
  <c r="D367" i="2"/>
  <c r="A367" i="2"/>
  <c r="V366" i="2"/>
  <c r="F366" i="2"/>
  <c r="D366" i="2"/>
  <c r="A366" i="2"/>
  <c r="V365" i="2"/>
  <c r="M365" i="2"/>
  <c r="L365" i="2"/>
  <c r="I365" i="2"/>
  <c r="H365" i="2"/>
  <c r="F365" i="2"/>
  <c r="D365" i="2"/>
  <c r="A365" i="2"/>
  <c r="V364" i="2"/>
  <c r="M364" i="2"/>
  <c r="L364" i="2"/>
  <c r="I364" i="2"/>
  <c r="H364" i="2"/>
  <c r="F364" i="2"/>
  <c r="D364" i="2"/>
  <c r="A364" i="2"/>
  <c r="V363" i="2"/>
  <c r="M363" i="2"/>
  <c r="L363" i="2"/>
  <c r="I363" i="2"/>
  <c r="H363" i="2"/>
  <c r="F363" i="2"/>
  <c r="D363" i="2"/>
  <c r="A363" i="2"/>
  <c r="V362" i="2"/>
  <c r="M362" i="2"/>
  <c r="L362" i="2"/>
  <c r="I362" i="2"/>
  <c r="H362" i="2"/>
  <c r="F362" i="2"/>
  <c r="D362" i="2"/>
  <c r="A362" i="2"/>
  <c r="V361" i="2"/>
  <c r="M361" i="2"/>
  <c r="L361" i="2"/>
  <c r="I361" i="2"/>
  <c r="H361" i="2"/>
  <c r="F361" i="2"/>
  <c r="D361" i="2"/>
  <c r="A361" i="2"/>
  <c r="V360" i="2"/>
  <c r="M360" i="2"/>
  <c r="L360" i="2"/>
  <c r="I360" i="2"/>
  <c r="H360" i="2"/>
  <c r="F360" i="2"/>
  <c r="D360" i="2"/>
  <c r="A360" i="2"/>
  <c r="V359" i="2"/>
  <c r="M359" i="2"/>
  <c r="L359" i="2"/>
  <c r="I359" i="2"/>
  <c r="H359" i="2"/>
  <c r="F359" i="2"/>
  <c r="D359" i="2"/>
  <c r="A359" i="2"/>
  <c r="V358" i="2"/>
  <c r="M358" i="2"/>
  <c r="L358" i="2"/>
  <c r="I358" i="2"/>
  <c r="H358" i="2"/>
  <c r="F358" i="2"/>
  <c r="D358" i="2"/>
  <c r="A358" i="2"/>
  <c r="V357" i="2"/>
  <c r="M357" i="2"/>
  <c r="L357" i="2"/>
  <c r="I357" i="2"/>
  <c r="H357" i="2"/>
  <c r="F357" i="2"/>
  <c r="D357" i="2"/>
  <c r="A357" i="2"/>
  <c r="V356" i="2"/>
  <c r="M356" i="2"/>
  <c r="L356" i="2"/>
  <c r="I356" i="2"/>
  <c r="H356" i="2"/>
  <c r="F356" i="2"/>
  <c r="D356" i="2"/>
  <c r="A356" i="2"/>
  <c r="V355" i="2"/>
  <c r="M355" i="2"/>
  <c r="L355" i="2"/>
  <c r="I355" i="2"/>
  <c r="H355" i="2"/>
  <c r="F355" i="2"/>
  <c r="D355" i="2"/>
  <c r="A355" i="2"/>
  <c r="V354" i="2"/>
  <c r="M354" i="2"/>
  <c r="L354" i="2"/>
  <c r="I354" i="2"/>
  <c r="H354" i="2"/>
  <c r="F354" i="2"/>
  <c r="D354" i="2"/>
  <c r="A354" i="2"/>
  <c r="V353" i="2"/>
  <c r="M353" i="2"/>
  <c r="L353" i="2"/>
  <c r="I353" i="2"/>
  <c r="H353" i="2"/>
  <c r="F353" i="2"/>
  <c r="D353" i="2"/>
  <c r="A353" i="2"/>
  <c r="V352" i="2"/>
  <c r="M352" i="2"/>
  <c r="L352" i="2"/>
  <c r="I352" i="2"/>
  <c r="H352" i="2"/>
  <c r="F352" i="2"/>
  <c r="D352" i="2"/>
  <c r="A352" i="2"/>
  <c r="V351" i="2"/>
  <c r="M351" i="2"/>
  <c r="L351" i="2"/>
  <c r="I351" i="2"/>
  <c r="H351" i="2"/>
  <c r="F351" i="2"/>
  <c r="D351" i="2"/>
  <c r="A351" i="2"/>
  <c r="V350" i="2"/>
  <c r="M350" i="2"/>
  <c r="L350" i="2"/>
  <c r="I350" i="2"/>
  <c r="H350" i="2"/>
  <c r="F350" i="2"/>
  <c r="D350" i="2"/>
  <c r="A350" i="2"/>
  <c r="V349" i="2"/>
  <c r="M349" i="2"/>
  <c r="L349" i="2"/>
  <c r="I349" i="2"/>
  <c r="H349" i="2"/>
  <c r="F349" i="2"/>
  <c r="D349" i="2"/>
  <c r="A349" i="2"/>
  <c r="V348" i="2"/>
  <c r="M348" i="2"/>
  <c r="L348" i="2"/>
  <c r="I348" i="2"/>
  <c r="H348" i="2"/>
  <c r="F348" i="2"/>
  <c r="D348" i="2"/>
  <c r="A348" i="2"/>
  <c r="V347" i="2"/>
  <c r="M347" i="2"/>
  <c r="L347" i="2"/>
  <c r="I347" i="2"/>
  <c r="H347" i="2"/>
  <c r="F347" i="2"/>
  <c r="D347" i="2"/>
  <c r="A347" i="2"/>
  <c r="V346" i="2"/>
  <c r="M346" i="2"/>
  <c r="L346" i="2"/>
  <c r="I346" i="2"/>
  <c r="H346" i="2"/>
  <c r="F346" i="2"/>
  <c r="D346" i="2"/>
  <c r="A346" i="2"/>
  <c r="V345" i="2"/>
  <c r="M345" i="2"/>
  <c r="L345" i="2"/>
  <c r="I345" i="2"/>
  <c r="H345" i="2"/>
  <c r="F345" i="2"/>
  <c r="D345" i="2"/>
  <c r="A345" i="2"/>
  <c r="V344" i="2"/>
  <c r="M344" i="2"/>
  <c r="L344" i="2"/>
  <c r="I344" i="2"/>
  <c r="H344" i="2"/>
  <c r="F344" i="2"/>
  <c r="D344" i="2"/>
  <c r="A344" i="2"/>
  <c r="V343" i="2"/>
  <c r="M343" i="2"/>
  <c r="L343" i="2"/>
  <c r="I343" i="2"/>
  <c r="H343" i="2"/>
  <c r="F343" i="2"/>
  <c r="D343" i="2"/>
  <c r="A343" i="2"/>
  <c r="V342" i="2"/>
  <c r="M342" i="2"/>
  <c r="L342" i="2"/>
  <c r="I342" i="2"/>
  <c r="H342" i="2"/>
  <c r="F342" i="2"/>
  <c r="D342" i="2"/>
  <c r="A342" i="2"/>
  <c r="V341" i="2"/>
  <c r="M341" i="2"/>
  <c r="L341" i="2"/>
  <c r="I341" i="2"/>
  <c r="H341" i="2"/>
  <c r="F341" i="2"/>
  <c r="D341" i="2"/>
  <c r="A341" i="2"/>
  <c r="V340" i="2"/>
  <c r="M340" i="2"/>
  <c r="L340" i="2"/>
  <c r="I340" i="2"/>
  <c r="H340" i="2"/>
  <c r="F340" i="2"/>
  <c r="D340" i="2"/>
  <c r="A340" i="2"/>
  <c r="V339" i="2"/>
  <c r="M339" i="2"/>
  <c r="L339" i="2"/>
  <c r="I339" i="2"/>
  <c r="H339" i="2"/>
  <c r="F339" i="2"/>
  <c r="D339" i="2"/>
  <c r="A339" i="2"/>
  <c r="V338" i="2"/>
  <c r="M338" i="2"/>
  <c r="L338" i="2"/>
  <c r="I338" i="2"/>
  <c r="H338" i="2"/>
  <c r="F338" i="2"/>
  <c r="D338" i="2"/>
  <c r="A338" i="2"/>
  <c r="V337" i="2"/>
  <c r="M337" i="2"/>
  <c r="L337" i="2"/>
  <c r="I337" i="2"/>
  <c r="H337" i="2"/>
  <c r="F337" i="2"/>
  <c r="D337" i="2"/>
  <c r="A337" i="2"/>
  <c r="V336" i="2"/>
  <c r="M336" i="2"/>
  <c r="L336" i="2"/>
  <c r="I336" i="2"/>
  <c r="H336" i="2"/>
  <c r="F336" i="2"/>
  <c r="D336" i="2"/>
  <c r="A336" i="2"/>
  <c r="V335" i="2"/>
  <c r="M335" i="2"/>
  <c r="L335" i="2"/>
  <c r="I335" i="2"/>
  <c r="H335" i="2"/>
  <c r="F335" i="2"/>
  <c r="D335" i="2"/>
  <c r="A335" i="2"/>
  <c r="V334" i="2"/>
  <c r="M334" i="2"/>
  <c r="L334" i="2"/>
  <c r="I334" i="2"/>
  <c r="H334" i="2"/>
  <c r="F334" i="2"/>
  <c r="D334" i="2"/>
  <c r="A334" i="2"/>
  <c r="V333" i="2"/>
  <c r="M333" i="2"/>
  <c r="L333" i="2"/>
  <c r="I333" i="2"/>
  <c r="H333" i="2"/>
  <c r="F333" i="2"/>
  <c r="D333" i="2"/>
  <c r="A333" i="2"/>
  <c r="V332" i="2"/>
  <c r="M332" i="2"/>
  <c r="L332" i="2"/>
  <c r="I332" i="2"/>
  <c r="H332" i="2"/>
  <c r="F332" i="2"/>
  <c r="D332" i="2"/>
  <c r="A332" i="2"/>
  <c r="V331" i="2"/>
  <c r="M331" i="2"/>
  <c r="L331" i="2"/>
  <c r="I331" i="2"/>
  <c r="H331" i="2"/>
  <c r="F331" i="2"/>
  <c r="D331" i="2"/>
  <c r="A331" i="2"/>
  <c r="V330" i="2"/>
  <c r="M330" i="2"/>
  <c r="L330" i="2"/>
  <c r="I330" i="2"/>
  <c r="H330" i="2"/>
  <c r="F330" i="2"/>
  <c r="D330" i="2"/>
  <c r="A330" i="2"/>
  <c r="V329" i="2"/>
  <c r="M329" i="2"/>
  <c r="L329" i="2"/>
  <c r="I329" i="2"/>
  <c r="H329" i="2"/>
  <c r="F329" i="2"/>
  <c r="D329" i="2"/>
  <c r="A329" i="2"/>
  <c r="V328" i="2"/>
  <c r="M328" i="2"/>
  <c r="L328" i="2"/>
  <c r="I328" i="2"/>
  <c r="H328" i="2"/>
  <c r="F328" i="2"/>
  <c r="D328" i="2"/>
  <c r="A328" i="2"/>
  <c r="V327" i="2"/>
  <c r="M327" i="2"/>
  <c r="L327" i="2"/>
  <c r="I327" i="2"/>
  <c r="H327" i="2"/>
  <c r="F327" i="2"/>
  <c r="D327" i="2"/>
  <c r="A327" i="2"/>
  <c r="V326" i="2"/>
  <c r="M326" i="2"/>
  <c r="L326" i="2"/>
  <c r="I326" i="2"/>
  <c r="H326" i="2"/>
  <c r="F326" i="2"/>
  <c r="D326" i="2"/>
  <c r="A326" i="2"/>
  <c r="V325" i="2"/>
  <c r="M325" i="2"/>
  <c r="L325" i="2"/>
  <c r="I325" i="2"/>
  <c r="H325" i="2"/>
  <c r="F325" i="2"/>
  <c r="D325" i="2"/>
  <c r="A325" i="2"/>
  <c r="V324" i="2"/>
  <c r="M324" i="2"/>
  <c r="L324" i="2"/>
  <c r="I324" i="2"/>
  <c r="H324" i="2"/>
  <c r="F324" i="2"/>
  <c r="D324" i="2"/>
  <c r="A324" i="2"/>
  <c r="V323" i="2"/>
  <c r="M323" i="2"/>
  <c r="L323" i="2"/>
  <c r="I323" i="2"/>
  <c r="H323" i="2"/>
  <c r="F323" i="2"/>
  <c r="D323" i="2"/>
  <c r="A323" i="2"/>
  <c r="V322" i="2"/>
  <c r="M322" i="2"/>
  <c r="L322" i="2"/>
  <c r="I322" i="2"/>
  <c r="H322" i="2"/>
  <c r="F322" i="2"/>
  <c r="D322" i="2"/>
  <c r="A322" i="2"/>
  <c r="V321" i="2"/>
  <c r="M321" i="2"/>
  <c r="L321" i="2"/>
  <c r="I321" i="2"/>
  <c r="H321" i="2"/>
  <c r="F321" i="2"/>
  <c r="D321" i="2"/>
  <c r="A321" i="2"/>
  <c r="V320" i="2"/>
  <c r="M320" i="2"/>
  <c r="L320" i="2"/>
  <c r="I320" i="2"/>
  <c r="H320" i="2"/>
  <c r="F320" i="2"/>
  <c r="D320" i="2"/>
  <c r="A320" i="2"/>
  <c r="V319" i="2"/>
  <c r="M319" i="2"/>
  <c r="L319" i="2"/>
  <c r="I319" i="2"/>
  <c r="H319" i="2"/>
  <c r="F319" i="2"/>
  <c r="D319" i="2"/>
  <c r="A319" i="2"/>
  <c r="V318" i="2"/>
  <c r="M318" i="2"/>
  <c r="L318" i="2"/>
  <c r="I318" i="2"/>
  <c r="H318" i="2"/>
  <c r="F318" i="2"/>
  <c r="D318" i="2"/>
  <c r="A318" i="2"/>
  <c r="V317" i="2"/>
  <c r="M317" i="2"/>
  <c r="L317" i="2"/>
  <c r="I317" i="2"/>
  <c r="H317" i="2"/>
  <c r="F317" i="2"/>
  <c r="D317" i="2"/>
  <c r="A317" i="2"/>
  <c r="V316" i="2"/>
  <c r="M316" i="2"/>
  <c r="L316" i="2"/>
  <c r="I316" i="2"/>
  <c r="H316" i="2"/>
  <c r="F316" i="2"/>
  <c r="D316" i="2"/>
  <c r="A316" i="2"/>
  <c r="V315" i="2"/>
  <c r="M315" i="2"/>
  <c r="L315" i="2"/>
  <c r="I315" i="2"/>
  <c r="H315" i="2"/>
  <c r="F315" i="2"/>
  <c r="D315" i="2"/>
  <c r="A315" i="2"/>
  <c r="V314" i="2"/>
  <c r="M314" i="2"/>
  <c r="L314" i="2"/>
  <c r="I314" i="2"/>
  <c r="H314" i="2"/>
  <c r="F314" i="2"/>
  <c r="D314" i="2"/>
  <c r="A314" i="2"/>
  <c r="V313" i="2"/>
  <c r="M313" i="2"/>
  <c r="L313" i="2"/>
  <c r="I313" i="2"/>
  <c r="H313" i="2"/>
  <c r="F313" i="2"/>
  <c r="D313" i="2"/>
  <c r="A313" i="2"/>
  <c r="V312" i="2"/>
  <c r="M312" i="2"/>
  <c r="L312" i="2"/>
  <c r="I312" i="2"/>
  <c r="H312" i="2"/>
  <c r="F312" i="2"/>
  <c r="D312" i="2"/>
  <c r="A312" i="2"/>
  <c r="V311" i="2"/>
  <c r="M311" i="2"/>
  <c r="L311" i="2"/>
  <c r="I311" i="2"/>
  <c r="H311" i="2"/>
  <c r="F311" i="2"/>
  <c r="D311" i="2"/>
  <c r="A311" i="2"/>
  <c r="V310" i="2"/>
  <c r="M310" i="2"/>
  <c r="L310" i="2"/>
  <c r="I310" i="2"/>
  <c r="H310" i="2"/>
  <c r="F310" i="2"/>
  <c r="D310" i="2"/>
  <c r="A310" i="2"/>
  <c r="V309" i="2"/>
  <c r="M309" i="2"/>
  <c r="L309" i="2"/>
  <c r="I309" i="2"/>
  <c r="H309" i="2"/>
  <c r="F309" i="2"/>
  <c r="D309" i="2"/>
  <c r="A309" i="2"/>
  <c r="V308" i="2"/>
  <c r="M308" i="2"/>
  <c r="L308" i="2"/>
  <c r="I308" i="2"/>
  <c r="H308" i="2"/>
  <c r="F308" i="2"/>
  <c r="D308" i="2"/>
  <c r="A308" i="2"/>
  <c r="V307" i="2"/>
  <c r="M307" i="2"/>
  <c r="L307" i="2"/>
  <c r="I307" i="2"/>
  <c r="H307" i="2"/>
  <c r="F307" i="2"/>
  <c r="D307" i="2"/>
  <c r="A307" i="2"/>
  <c r="V306" i="2"/>
  <c r="M306" i="2"/>
  <c r="L306" i="2"/>
  <c r="I306" i="2"/>
  <c r="H306" i="2"/>
  <c r="F306" i="2"/>
  <c r="D306" i="2"/>
  <c r="A306" i="2"/>
  <c r="V305" i="2"/>
  <c r="M305" i="2"/>
  <c r="L305" i="2"/>
  <c r="I305" i="2"/>
  <c r="H305" i="2"/>
  <c r="F305" i="2"/>
  <c r="D305" i="2"/>
  <c r="A305" i="2"/>
  <c r="V304" i="2"/>
  <c r="M304" i="2"/>
  <c r="L304" i="2"/>
  <c r="I304" i="2"/>
  <c r="H304" i="2"/>
  <c r="F304" i="2"/>
  <c r="D304" i="2"/>
  <c r="A304" i="2"/>
  <c r="V303" i="2"/>
  <c r="M303" i="2"/>
  <c r="L303" i="2"/>
  <c r="I303" i="2"/>
  <c r="H303" i="2"/>
  <c r="F303" i="2"/>
  <c r="D303" i="2"/>
  <c r="A303" i="2"/>
  <c r="V302" i="2"/>
  <c r="M302" i="2"/>
  <c r="L302" i="2"/>
  <c r="I302" i="2"/>
  <c r="H302" i="2"/>
  <c r="F302" i="2"/>
  <c r="D302" i="2"/>
  <c r="A302" i="2"/>
  <c r="V301" i="2"/>
  <c r="M301" i="2"/>
  <c r="L301" i="2"/>
  <c r="I301" i="2"/>
  <c r="H301" i="2"/>
  <c r="F301" i="2"/>
  <c r="D301" i="2"/>
  <c r="A301" i="2"/>
  <c r="V300" i="2"/>
  <c r="M300" i="2"/>
  <c r="L300" i="2"/>
  <c r="I300" i="2"/>
  <c r="H300" i="2"/>
  <c r="F300" i="2"/>
  <c r="D300" i="2"/>
  <c r="A300" i="2"/>
  <c r="V299" i="2"/>
  <c r="M299" i="2"/>
  <c r="L299" i="2"/>
  <c r="I299" i="2"/>
  <c r="H299" i="2"/>
  <c r="F299" i="2"/>
  <c r="D299" i="2"/>
  <c r="A299" i="2"/>
  <c r="V298" i="2"/>
  <c r="M298" i="2"/>
  <c r="L298" i="2"/>
  <c r="I298" i="2"/>
  <c r="H298" i="2"/>
  <c r="F298" i="2"/>
  <c r="D298" i="2"/>
  <c r="A298" i="2"/>
  <c r="V297" i="2"/>
  <c r="M297" i="2"/>
  <c r="L297" i="2"/>
  <c r="I297" i="2"/>
  <c r="H297" i="2"/>
  <c r="F297" i="2"/>
  <c r="D297" i="2"/>
  <c r="A297" i="2"/>
  <c r="V296" i="2"/>
  <c r="M296" i="2"/>
  <c r="L296" i="2"/>
  <c r="I296" i="2"/>
  <c r="H296" i="2"/>
  <c r="F296" i="2"/>
  <c r="D296" i="2"/>
  <c r="A296" i="2"/>
  <c r="V295" i="2"/>
  <c r="M295" i="2"/>
  <c r="L295" i="2"/>
  <c r="I295" i="2"/>
  <c r="H295" i="2"/>
  <c r="F295" i="2"/>
  <c r="D295" i="2"/>
  <c r="A295" i="2"/>
  <c r="V294" i="2"/>
  <c r="M294" i="2"/>
  <c r="L294" i="2"/>
  <c r="I294" i="2"/>
  <c r="H294" i="2"/>
  <c r="F294" i="2"/>
  <c r="D294" i="2"/>
  <c r="A294" i="2"/>
  <c r="V293" i="2"/>
  <c r="M293" i="2"/>
  <c r="L293" i="2"/>
  <c r="I293" i="2"/>
  <c r="H293" i="2"/>
  <c r="F293" i="2"/>
  <c r="D293" i="2"/>
  <c r="A293" i="2"/>
  <c r="V292" i="2"/>
  <c r="M292" i="2"/>
  <c r="L292" i="2"/>
  <c r="I292" i="2"/>
  <c r="H292" i="2"/>
  <c r="F292" i="2"/>
  <c r="D292" i="2"/>
  <c r="A292" i="2"/>
  <c r="V291" i="2"/>
  <c r="M291" i="2"/>
  <c r="L291" i="2"/>
  <c r="I291" i="2"/>
  <c r="H291" i="2"/>
  <c r="F291" i="2"/>
  <c r="D291" i="2"/>
  <c r="A291" i="2"/>
  <c r="V290" i="2"/>
  <c r="M290" i="2"/>
  <c r="L290" i="2"/>
  <c r="I290" i="2"/>
  <c r="H290" i="2"/>
  <c r="F290" i="2"/>
  <c r="D290" i="2"/>
  <c r="A290" i="2"/>
  <c r="V289" i="2"/>
  <c r="M289" i="2"/>
  <c r="L289" i="2"/>
  <c r="I289" i="2"/>
  <c r="H289" i="2"/>
  <c r="F289" i="2"/>
  <c r="D289" i="2"/>
  <c r="A289" i="2"/>
  <c r="V288" i="2"/>
  <c r="M288" i="2"/>
  <c r="L288" i="2"/>
  <c r="I288" i="2"/>
  <c r="H288" i="2"/>
  <c r="F288" i="2"/>
  <c r="D288" i="2"/>
  <c r="A288" i="2"/>
  <c r="V287" i="2"/>
  <c r="M287" i="2"/>
  <c r="L287" i="2"/>
  <c r="I287" i="2"/>
  <c r="H287" i="2"/>
  <c r="F287" i="2"/>
  <c r="D287" i="2"/>
  <c r="A287" i="2"/>
  <c r="V286" i="2"/>
  <c r="M286" i="2"/>
  <c r="L286" i="2"/>
  <c r="I286" i="2"/>
  <c r="H286" i="2"/>
  <c r="F286" i="2"/>
  <c r="D286" i="2"/>
  <c r="A286" i="2"/>
  <c r="V285" i="2"/>
  <c r="M285" i="2"/>
  <c r="L285" i="2"/>
  <c r="I285" i="2"/>
  <c r="H285" i="2"/>
  <c r="F285" i="2"/>
  <c r="D285" i="2"/>
  <c r="A285" i="2"/>
  <c r="V284" i="2"/>
  <c r="M284" i="2"/>
  <c r="L284" i="2"/>
  <c r="I284" i="2"/>
  <c r="H284" i="2"/>
  <c r="F284" i="2"/>
  <c r="D284" i="2"/>
  <c r="A284" i="2"/>
  <c r="V283" i="2"/>
  <c r="M283" i="2"/>
  <c r="L283" i="2"/>
  <c r="I283" i="2"/>
  <c r="H283" i="2"/>
  <c r="F283" i="2"/>
  <c r="D283" i="2"/>
  <c r="A283" i="2"/>
  <c r="V282" i="2"/>
  <c r="M282" i="2"/>
  <c r="L282" i="2"/>
  <c r="I282" i="2"/>
  <c r="H282" i="2"/>
  <c r="F282" i="2"/>
  <c r="D282" i="2"/>
  <c r="A282" i="2"/>
  <c r="V281" i="2"/>
  <c r="M281" i="2"/>
  <c r="L281" i="2"/>
  <c r="I281" i="2"/>
  <c r="H281" i="2"/>
  <c r="F281" i="2"/>
  <c r="D281" i="2"/>
  <c r="A281" i="2"/>
  <c r="V280" i="2"/>
  <c r="M280" i="2"/>
  <c r="L280" i="2"/>
  <c r="I280" i="2"/>
  <c r="H280" i="2"/>
  <c r="F280" i="2"/>
  <c r="D280" i="2"/>
  <c r="A280" i="2"/>
  <c r="V279" i="2"/>
  <c r="M279" i="2"/>
  <c r="L279" i="2"/>
  <c r="I279" i="2"/>
  <c r="H279" i="2"/>
  <c r="F279" i="2"/>
  <c r="D279" i="2"/>
  <c r="A279" i="2"/>
  <c r="V278" i="2"/>
  <c r="M278" i="2"/>
  <c r="L278" i="2"/>
  <c r="I278" i="2"/>
  <c r="H278" i="2"/>
  <c r="F278" i="2"/>
  <c r="D278" i="2"/>
  <c r="A278" i="2"/>
  <c r="V277" i="2"/>
  <c r="M277" i="2"/>
  <c r="L277" i="2"/>
  <c r="I277" i="2"/>
  <c r="H277" i="2"/>
  <c r="F277" i="2"/>
  <c r="D277" i="2"/>
  <c r="A277" i="2"/>
  <c r="V276" i="2"/>
  <c r="M276" i="2"/>
  <c r="L276" i="2"/>
  <c r="I276" i="2"/>
  <c r="H276" i="2"/>
  <c r="F276" i="2"/>
  <c r="D276" i="2"/>
  <c r="A276" i="2"/>
  <c r="V275" i="2"/>
  <c r="M275" i="2"/>
  <c r="L275" i="2"/>
  <c r="I275" i="2"/>
  <c r="H275" i="2"/>
  <c r="F275" i="2"/>
  <c r="D275" i="2"/>
  <c r="A275" i="2"/>
  <c r="V274" i="2"/>
  <c r="M274" i="2"/>
  <c r="L274" i="2"/>
  <c r="I274" i="2"/>
  <c r="H274" i="2"/>
  <c r="F274" i="2"/>
  <c r="D274" i="2"/>
  <c r="A274" i="2"/>
  <c r="V273" i="2"/>
  <c r="M273" i="2"/>
  <c r="L273" i="2"/>
  <c r="I273" i="2"/>
  <c r="H273" i="2"/>
  <c r="F273" i="2"/>
  <c r="D273" i="2"/>
  <c r="A273" i="2"/>
  <c r="V272" i="2"/>
  <c r="M272" i="2"/>
  <c r="L272" i="2"/>
  <c r="I272" i="2"/>
  <c r="H272" i="2"/>
  <c r="F272" i="2"/>
  <c r="D272" i="2"/>
  <c r="A272" i="2"/>
  <c r="V271" i="2"/>
  <c r="M271" i="2"/>
  <c r="L271" i="2"/>
  <c r="I271" i="2"/>
  <c r="H271" i="2"/>
  <c r="F271" i="2"/>
  <c r="D271" i="2"/>
  <c r="A271" i="2"/>
  <c r="V270" i="2"/>
  <c r="M270" i="2"/>
  <c r="L270" i="2"/>
  <c r="I270" i="2"/>
  <c r="H270" i="2"/>
  <c r="F270" i="2"/>
  <c r="D270" i="2"/>
  <c r="A270" i="2"/>
  <c r="V269" i="2"/>
  <c r="M269" i="2"/>
  <c r="L269" i="2"/>
  <c r="I269" i="2"/>
  <c r="H269" i="2"/>
  <c r="F269" i="2"/>
  <c r="D269" i="2"/>
  <c r="A269" i="2"/>
  <c r="V268" i="2"/>
  <c r="M268" i="2"/>
  <c r="L268" i="2"/>
  <c r="I268" i="2"/>
  <c r="H268" i="2"/>
  <c r="F268" i="2"/>
  <c r="D268" i="2"/>
  <c r="A268" i="2"/>
  <c r="V267" i="2"/>
  <c r="M267" i="2"/>
  <c r="L267" i="2"/>
  <c r="I267" i="2"/>
  <c r="H267" i="2"/>
  <c r="F267" i="2"/>
  <c r="D267" i="2"/>
  <c r="A267" i="2"/>
  <c r="V266" i="2"/>
  <c r="M266" i="2"/>
  <c r="L266" i="2"/>
  <c r="I266" i="2"/>
  <c r="H266" i="2"/>
  <c r="F266" i="2"/>
  <c r="D266" i="2"/>
  <c r="A266" i="2"/>
  <c r="V265" i="2"/>
  <c r="M265" i="2"/>
  <c r="L265" i="2"/>
  <c r="I265" i="2"/>
  <c r="H265" i="2"/>
  <c r="F265" i="2"/>
  <c r="D265" i="2"/>
  <c r="A265" i="2"/>
  <c r="V264" i="2"/>
  <c r="M264" i="2"/>
  <c r="L264" i="2"/>
  <c r="I264" i="2"/>
  <c r="H264" i="2"/>
  <c r="F264" i="2"/>
  <c r="D264" i="2"/>
  <c r="A264" i="2"/>
  <c r="V263" i="2"/>
  <c r="M263" i="2"/>
  <c r="L263" i="2"/>
  <c r="I263" i="2"/>
  <c r="H263" i="2"/>
  <c r="F263" i="2"/>
  <c r="D263" i="2"/>
  <c r="A263" i="2"/>
  <c r="V262" i="2"/>
  <c r="M262" i="2"/>
  <c r="L262" i="2"/>
  <c r="I262" i="2"/>
  <c r="H262" i="2"/>
  <c r="F262" i="2"/>
  <c r="D262" i="2"/>
  <c r="A262" i="2"/>
  <c r="V261" i="2"/>
  <c r="M261" i="2"/>
  <c r="L261" i="2"/>
  <c r="I261" i="2"/>
  <c r="H261" i="2"/>
  <c r="F261" i="2"/>
  <c r="D261" i="2"/>
  <c r="A261" i="2"/>
  <c r="V260" i="2"/>
  <c r="M260" i="2"/>
  <c r="L260" i="2"/>
  <c r="I260" i="2"/>
  <c r="H260" i="2"/>
  <c r="F260" i="2"/>
  <c r="D260" i="2"/>
  <c r="A260" i="2"/>
  <c r="V259" i="2"/>
  <c r="M259" i="2"/>
  <c r="L259" i="2"/>
  <c r="I259" i="2"/>
  <c r="H259" i="2"/>
  <c r="F259" i="2"/>
  <c r="D259" i="2"/>
  <c r="A259" i="2"/>
  <c r="V258" i="2"/>
  <c r="M258" i="2"/>
  <c r="L258" i="2"/>
  <c r="I258" i="2"/>
  <c r="H258" i="2"/>
  <c r="F258" i="2"/>
  <c r="D258" i="2"/>
  <c r="A258" i="2"/>
  <c r="V257" i="2"/>
  <c r="M257" i="2"/>
  <c r="L257" i="2"/>
  <c r="I257" i="2"/>
  <c r="H257" i="2"/>
  <c r="F257" i="2"/>
  <c r="D257" i="2"/>
  <c r="A257" i="2"/>
  <c r="V256" i="2"/>
  <c r="M256" i="2"/>
  <c r="L256" i="2"/>
  <c r="I256" i="2"/>
  <c r="H256" i="2"/>
  <c r="F256" i="2"/>
  <c r="D256" i="2"/>
  <c r="A256" i="2"/>
  <c r="V255" i="2"/>
  <c r="M255" i="2"/>
  <c r="L255" i="2"/>
  <c r="I255" i="2"/>
  <c r="H255" i="2"/>
  <c r="F255" i="2"/>
  <c r="D255" i="2"/>
  <c r="A255" i="2"/>
  <c r="V254" i="2"/>
  <c r="M254" i="2"/>
  <c r="L254" i="2"/>
  <c r="I254" i="2"/>
  <c r="H254" i="2"/>
  <c r="F254" i="2"/>
  <c r="D254" i="2"/>
  <c r="A254" i="2"/>
  <c r="V253" i="2"/>
  <c r="M253" i="2"/>
  <c r="L253" i="2"/>
  <c r="I253" i="2"/>
  <c r="H253" i="2"/>
  <c r="F253" i="2"/>
  <c r="D253" i="2"/>
  <c r="A253" i="2"/>
  <c r="V252" i="2"/>
  <c r="M252" i="2"/>
  <c r="L252" i="2"/>
  <c r="I252" i="2"/>
  <c r="H252" i="2"/>
  <c r="F252" i="2"/>
  <c r="D252" i="2"/>
  <c r="A252" i="2"/>
  <c r="V251" i="2"/>
  <c r="M251" i="2"/>
  <c r="L251" i="2"/>
  <c r="I251" i="2"/>
  <c r="H251" i="2"/>
  <c r="F251" i="2"/>
  <c r="D251" i="2"/>
  <c r="A251" i="2"/>
  <c r="V250" i="2"/>
  <c r="M250" i="2"/>
  <c r="L250" i="2"/>
  <c r="I250" i="2"/>
  <c r="H250" i="2"/>
  <c r="F250" i="2"/>
  <c r="D250" i="2"/>
  <c r="A250" i="2"/>
  <c r="V249" i="2"/>
  <c r="M249" i="2"/>
  <c r="L249" i="2"/>
  <c r="I249" i="2"/>
  <c r="H249" i="2"/>
  <c r="F249" i="2"/>
  <c r="D249" i="2"/>
  <c r="A249" i="2"/>
  <c r="V248" i="2"/>
  <c r="M248" i="2"/>
  <c r="L248" i="2"/>
  <c r="I248" i="2"/>
  <c r="H248" i="2"/>
  <c r="F248" i="2"/>
  <c r="D248" i="2"/>
  <c r="A248" i="2"/>
  <c r="V247" i="2"/>
  <c r="M247" i="2"/>
  <c r="L247" i="2"/>
  <c r="I247" i="2"/>
  <c r="H247" i="2"/>
  <c r="F247" i="2"/>
  <c r="D247" i="2"/>
  <c r="A247" i="2"/>
  <c r="V246" i="2"/>
  <c r="M246" i="2"/>
  <c r="L246" i="2"/>
  <c r="I246" i="2"/>
  <c r="H246" i="2"/>
  <c r="F246" i="2"/>
  <c r="D246" i="2"/>
  <c r="A246" i="2"/>
  <c r="V245" i="2"/>
  <c r="M245" i="2"/>
  <c r="L245" i="2"/>
  <c r="I245" i="2"/>
  <c r="H245" i="2"/>
  <c r="F245" i="2"/>
  <c r="D245" i="2"/>
  <c r="A245" i="2"/>
  <c r="V244" i="2"/>
  <c r="M244" i="2"/>
  <c r="L244" i="2"/>
  <c r="I244" i="2"/>
  <c r="H244" i="2"/>
  <c r="F244" i="2"/>
  <c r="D244" i="2"/>
  <c r="A244" i="2"/>
  <c r="V243" i="2"/>
  <c r="M243" i="2"/>
  <c r="L243" i="2"/>
  <c r="I243" i="2"/>
  <c r="H243" i="2"/>
  <c r="F243" i="2"/>
  <c r="D243" i="2"/>
  <c r="A243" i="2"/>
  <c r="V242" i="2"/>
  <c r="M242" i="2"/>
  <c r="L242" i="2"/>
  <c r="I242" i="2"/>
  <c r="H242" i="2"/>
  <c r="F242" i="2"/>
  <c r="D242" i="2"/>
  <c r="A242" i="2"/>
  <c r="V241" i="2"/>
  <c r="M241" i="2"/>
  <c r="L241" i="2"/>
  <c r="I241" i="2"/>
  <c r="H241" i="2"/>
  <c r="F241" i="2"/>
  <c r="D241" i="2"/>
  <c r="A241" i="2"/>
  <c r="V240" i="2"/>
  <c r="M240" i="2"/>
  <c r="L240" i="2"/>
  <c r="I240" i="2"/>
  <c r="H240" i="2"/>
  <c r="F240" i="2"/>
  <c r="D240" i="2"/>
  <c r="A240" i="2"/>
  <c r="V239" i="2"/>
  <c r="M239" i="2"/>
  <c r="L239" i="2"/>
  <c r="I239" i="2"/>
  <c r="H239" i="2"/>
  <c r="F239" i="2"/>
  <c r="D239" i="2"/>
  <c r="A239" i="2"/>
  <c r="V238" i="2"/>
  <c r="M238" i="2"/>
  <c r="L238" i="2"/>
  <c r="I238" i="2"/>
  <c r="H238" i="2"/>
  <c r="F238" i="2"/>
  <c r="D238" i="2"/>
  <c r="A238" i="2"/>
  <c r="V237" i="2"/>
  <c r="M237" i="2"/>
  <c r="L237" i="2"/>
  <c r="I237" i="2"/>
  <c r="H237" i="2"/>
  <c r="F237" i="2"/>
  <c r="D237" i="2"/>
  <c r="A237" i="2"/>
  <c r="V236" i="2"/>
  <c r="M236" i="2"/>
  <c r="L236" i="2"/>
  <c r="I236" i="2"/>
  <c r="H236" i="2"/>
  <c r="F236" i="2"/>
  <c r="D236" i="2"/>
  <c r="A236" i="2"/>
  <c r="V235" i="2"/>
  <c r="M235" i="2"/>
  <c r="L235" i="2"/>
  <c r="I235" i="2"/>
  <c r="H235" i="2"/>
  <c r="F235" i="2"/>
  <c r="D235" i="2"/>
  <c r="A235" i="2"/>
  <c r="V234" i="2"/>
  <c r="M234" i="2"/>
  <c r="L234" i="2"/>
  <c r="I234" i="2"/>
  <c r="H234" i="2"/>
  <c r="F234" i="2"/>
  <c r="D234" i="2"/>
  <c r="A234" i="2"/>
  <c r="V233" i="2"/>
  <c r="M233" i="2"/>
  <c r="L233" i="2"/>
  <c r="I233" i="2"/>
  <c r="H233" i="2"/>
  <c r="F233" i="2"/>
  <c r="D233" i="2"/>
  <c r="A233" i="2"/>
  <c r="V232" i="2"/>
  <c r="M232" i="2"/>
  <c r="L232" i="2"/>
  <c r="I232" i="2"/>
  <c r="H232" i="2"/>
  <c r="F232" i="2"/>
  <c r="D232" i="2"/>
  <c r="A232" i="2"/>
  <c r="V231" i="2"/>
  <c r="M231" i="2"/>
  <c r="L231" i="2"/>
  <c r="I231" i="2"/>
  <c r="H231" i="2"/>
  <c r="F231" i="2"/>
  <c r="D231" i="2"/>
  <c r="A231" i="2"/>
  <c r="V230" i="2"/>
  <c r="M230" i="2"/>
  <c r="L230" i="2"/>
  <c r="I230" i="2"/>
  <c r="H230" i="2"/>
  <c r="F230" i="2"/>
  <c r="D230" i="2"/>
  <c r="A230" i="2"/>
  <c r="V229" i="2"/>
  <c r="M229" i="2"/>
  <c r="L229" i="2"/>
  <c r="I229" i="2"/>
  <c r="H229" i="2"/>
  <c r="F229" i="2"/>
  <c r="D229" i="2"/>
  <c r="A229" i="2"/>
  <c r="V228" i="2"/>
  <c r="M228" i="2"/>
  <c r="L228" i="2"/>
  <c r="I228" i="2"/>
  <c r="H228" i="2"/>
  <c r="F228" i="2"/>
  <c r="D228" i="2"/>
  <c r="A228" i="2"/>
  <c r="V227" i="2"/>
  <c r="M227" i="2"/>
  <c r="L227" i="2"/>
  <c r="I227" i="2"/>
  <c r="H227" i="2"/>
  <c r="F227" i="2"/>
  <c r="D227" i="2"/>
  <c r="A227" i="2"/>
  <c r="V226" i="2"/>
  <c r="M226" i="2"/>
  <c r="L226" i="2"/>
  <c r="I226" i="2"/>
  <c r="H226" i="2"/>
  <c r="F226" i="2"/>
  <c r="D226" i="2"/>
  <c r="A226" i="2"/>
  <c r="V225" i="2"/>
  <c r="M225" i="2"/>
  <c r="L225" i="2"/>
  <c r="I225" i="2"/>
  <c r="H225" i="2"/>
  <c r="F225" i="2"/>
  <c r="D225" i="2"/>
  <c r="A225" i="2"/>
  <c r="V224" i="2"/>
  <c r="M224" i="2"/>
  <c r="L224" i="2"/>
  <c r="I224" i="2"/>
  <c r="H224" i="2"/>
  <c r="F224" i="2"/>
  <c r="D224" i="2"/>
  <c r="A224" i="2"/>
  <c r="V223" i="2"/>
  <c r="M223" i="2"/>
  <c r="L223" i="2"/>
  <c r="I223" i="2"/>
  <c r="H223" i="2"/>
  <c r="F223" i="2"/>
  <c r="D223" i="2"/>
  <c r="A223" i="2"/>
  <c r="V222" i="2"/>
  <c r="M222" i="2"/>
  <c r="L222" i="2"/>
  <c r="I222" i="2"/>
  <c r="H222" i="2"/>
  <c r="F222" i="2"/>
  <c r="D222" i="2"/>
  <c r="A222" i="2"/>
  <c r="V221" i="2"/>
  <c r="M221" i="2"/>
  <c r="L221" i="2"/>
  <c r="I221" i="2"/>
  <c r="H221" i="2"/>
  <c r="F221" i="2"/>
  <c r="D221" i="2"/>
  <c r="A221" i="2"/>
  <c r="V220" i="2"/>
  <c r="M220" i="2"/>
  <c r="L220" i="2"/>
  <c r="I220" i="2"/>
  <c r="H220" i="2"/>
  <c r="F220" i="2"/>
  <c r="D220" i="2"/>
  <c r="A220" i="2"/>
  <c r="V219" i="2"/>
  <c r="M219" i="2"/>
  <c r="L219" i="2"/>
  <c r="I219" i="2"/>
  <c r="H219" i="2"/>
  <c r="F219" i="2"/>
  <c r="D219" i="2"/>
  <c r="A219" i="2"/>
  <c r="V218" i="2"/>
  <c r="M218" i="2"/>
  <c r="L218" i="2"/>
  <c r="I218" i="2"/>
  <c r="H218" i="2"/>
  <c r="F218" i="2"/>
  <c r="D218" i="2"/>
  <c r="A218" i="2"/>
  <c r="V217" i="2"/>
  <c r="M217" i="2"/>
  <c r="L217" i="2"/>
  <c r="I217" i="2"/>
  <c r="H217" i="2"/>
  <c r="F217" i="2"/>
  <c r="D217" i="2"/>
  <c r="A217" i="2"/>
  <c r="V216" i="2"/>
  <c r="M216" i="2"/>
  <c r="L216" i="2"/>
  <c r="I216" i="2"/>
  <c r="H216" i="2"/>
  <c r="F216" i="2"/>
  <c r="D216" i="2"/>
  <c r="A216" i="2"/>
  <c r="V215" i="2"/>
  <c r="M215" i="2"/>
  <c r="L215" i="2"/>
  <c r="I215" i="2"/>
  <c r="H215" i="2"/>
  <c r="F215" i="2"/>
  <c r="D215" i="2"/>
  <c r="A215" i="2"/>
  <c r="V214" i="2"/>
  <c r="M214" i="2"/>
  <c r="L214" i="2"/>
  <c r="I214" i="2"/>
  <c r="H214" i="2"/>
  <c r="F214" i="2"/>
  <c r="D214" i="2"/>
  <c r="A214" i="2"/>
  <c r="V213" i="2"/>
  <c r="M213" i="2"/>
  <c r="L213" i="2"/>
  <c r="I213" i="2"/>
  <c r="H213" i="2"/>
  <c r="F213" i="2"/>
  <c r="D213" i="2"/>
  <c r="A213" i="2"/>
  <c r="V212" i="2"/>
  <c r="M212" i="2"/>
  <c r="L212" i="2"/>
  <c r="I212" i="2"/>
  <c r="H212" i="2"/>
  <c r="F212" i="2"/>
  <c r="D212" i="2"/>
  <c r="A212" i="2"/>
  <c r="V211" i="2"/>
  <c r="M211" i="2"/>
  <c r="L211" i="2"/>
  <c r="I211" i="2"/>
  <c r="H211" i="2"/>
  <c r="F211" i="2"/>
  <c r="D211" i="2"/>
  <c r="A211" i="2"/>
  <c r="V210" i="2"/>
  <c r="M210" i="2"/>
  <c r="L210" i="2"/>
  <c r="I210" i="2"/>
  <c r="H210" i="2"/>
  <c r="F210" i="2"/>
  <c r="D210" i="2"/>
  <c r="A210" i="2"/>
  <c r="V209" i="2"/>
  <c r="M209" i="2"/>
  <c r="L209" i="2"/>
  <c r="I209" i="2"/>
  <c r="H209" i="2"/>
  <c r="F209" i="2"/>
  <c r="D209" i="2"/>
  <c r="A209" i="2"/>
  <c r="V208" i="2"/>
  <c r="M208" i="2"/>
  <c r="L208" i="2"/>
  <c r="I208" i="2"/>
  <c r="H208" i="2"/>
  <c r="F208" i="2"/>
  <c r="D208" i="2"/>
  <c r="A208" i="2"/>
  <c r="V207" i="2"/>
  <c r="M207" i="2"/>
  <c r="L207" i="2"/>
  <c r="I207" i="2"/>
  <c r="H207" i="2"/>
  <c r="F207" i="2"/>
  <c r="D207" i="2"/>
  <c r="A207" i="2"/>
  <c r="V206" i="2"/>
  <c r="M206" i="2"/>
  <c r="L206" i="2"/>
  <c r="I206" i="2"/>
  <c r="H206" i="2"/>
  <c r="F206" i="2"/>
  <c r="D206" i="2"/>
  <c r="A206" i="2"/>
  <c r="V205" i="2"/>
  <c r="M205" i="2"/>
  <c r="L205" i="2"/>
  <c r="I205" i="2"/>
  <c r="H205" i="2"/>
  <c r="F205" i="2"/>
  <c r="D205" i="2"/>
  <c r="A205" i="2"/>
  <c r="V204" i="2"/>
  <c r="M204" i="2"/>
  <c r="L204" i="2"/>
  <c r="I204" i="2"/>
  <c r="H204" i="2"/>
  <c r="F204" i="2"/>
  <c r="D204" i="2"/>
  <c r="A204" i="2"/>
  <c r="V203" i="2"/>
  <c r="M203" i="2"/>
  <c r="L203" i="2"/>
  <c r="I203" i="2"/>
  <c r="H203" i="2"/>
  <c r="F203" i="2"/>
  <c r="D203" i="2"/>
  <c r="A203" i="2"/>
  <c r="V202" i="2"/>
  <c r="M202" i="2"/>
  <c r="L202" i="2"/>
  <c r="I202" i="2"/>
  <c r="H202" i="2"/>
  <c r="F202" i="2"/>
  <c r="D202" i="2"/>
  <c r="A202" i="2"/>
  <c r="V201" i="2"/>
  <c r="M201" i="2"/>
  <c r="L201" i="2"/>
  <c r="I201" i="2"/>
  <c r="H201" i="2"/>
  <c r="F201" i="2"/>
  <c r="D201" i="2"/>
  <c r="A201" i="2"/>
  <c r="V200" i="2"/>
  <c r="M200" i="2"/>
  <c r="L200" i="2"/>
  <c r="I200" i="2"/>
  <c r="H200" i="2"/>
  <c r="F200" i="2"/>
  <c r="D200" i="2"/>
  <c r="A200" i="2"/>
  <c r="V199" i="2"/>
  <c r="M199" i="2"/>
  <c r="L199" i="2"/>
  <c r="I199" i="2"/>
  <c r="H199" i="2"/>
  <c r="F199" i="2"/>
  <c r="D199" i="2"/>
  <c r="A199" i="2"/>
  <c r="V198" i="2"/>
  <c r="M198" i="2"/>
  <c r="L198" i="2"/>
  <c r="I198" i="2"/>
  <c r="H198" i="2"/>
  <c r="F198" i="2"/>
  <c r="D198" i="2"/>
  <c r="A198" i="2"/>
  <c r="V197" i="2"/>
  <c r="M197" i="2"/>
  <c r="L197" i="2"/>
  <c r="I197" i="2"/>
  <c r="H197" i="2"/>
  <c r="F197" i="2"/>
  <c r="D197" i="2"/>
  <c r="A197" i="2"/>
  <c r="V196" i="2"/>
  <c r="M196" i="2"/>
  <c r="L196" i="2"/>
  <c r="I196" i="2"/>
  <c r="H196" i="2"/>
  <c r="F196" i="2"/>
  <c r="D196" i="2"/>
  <c r="A196" i="2"/>
  <c r="V195" i="2"/>
  <c r="M195" i="2"/>
  <c r="L195" i="2"/>
  <c r="I195" i="2"/>
  <c r="H195" i="2"/>
  <c r="F195" i="2"/>
  <c r="D195" i="2"/>
  <c r="A195" i="2"/>
  <c r="V194" i="2"/>
  <c r="M194" i="2"/>
  <c r="L194" i="2"/>
  <c r="I194" i="2"/>
  <c r="H194" i="2"/>
  <c r="F194" i="2"/>
  <c r="D194" i="2"/>
  <c r="A194" i="2"/>
  <c r="V193" i="2"/>
  <c r="M193" i="2"/>
  <c r="L193" i="2"/>
  <c r="I193" i="2"/>
  <c r="H193" i="2"/>
  <c r="F193" i="2"/>
  <c r="D193" i="2"/>
  <c r="A193" i="2"/>
  <c r="V192" i="2"/>
  <c r="M192" i="2"/>
  <c r="L192" i="2"/>
  <c r="I192" i="2"/>
  <c r="H192" i="2"/>
  <c r="F192" i="2"/>
  <c r="D192" i="2"/>
  <c r="A192" i="2"/>
  <c r="V191" i="2"/>
  <c r="M191" i="2"/>
  <c r="L191" i="2"/>
  <c r="I191" i="2"/>
  <c r="H191" i="2"/>
  <c r="F191" i="2"/>
  <c r="D191" i="2"/>
  <c r="A191" i="2"/>
  <c r="V190" i="2"/>
  <c r="M190" i="2"/>
  <c r="L190" i="2"/>
  <c r="I190" i="2"/>
  <c r="H190" i="2"/>
  <c r="F190" i="2"/>
  <c r="D190" i="2"/>
  <c r="A190" i="2"/>
  <c r="V189" i="2"/>
  <c r="M189" i="2"/>
  <c r="L189" i="2"/>
  <c r="I189" i="2"/>
  <c r="H189" i="2"/>
  <c r="F189" i="2"/>
  <c r="D189" i="2"/>
  <c r="A189" i="2"/>
  <c r="V188" i="2"/>
  <c r="M188" i="2"/>
  <c r="L188" i="2"/>
  <c r="I188" i="2"/>
  <c r="H188" i="2"/>
  <c r="F188" i="2"/>
  <c r="D188" i="2"/>
  <c r="A188" i="2"/>
  <c r="V187" i="2"/>
  <c r="M187" i="2"/>
  <c r="L187" i="2"/>
  <c r="I187" i="2"/>
  <c r="H187" i="2"/>
  <c r="F187" i="2"/>
  <c r="D187" i="2"/>
  <c r="A187" i="2"/>
  <c r="V186" i="2"/>
  <c r="M186" i="2"/>
  <c r="L186" i="2"/>
  <c r="I186" i="2"/>
  <c r="H186" i="2"/>
  <c r="F186" i="2"/>
  <c r="D186" i="2"/>
  <c r="A186" i="2"/>
  <c r="V185" i="2"/>
  <c r="M185" i="2"/>
  <c r="L185" i="2"/>
  <c r="I185" i="2"/>
  <c r="H185" i="2"/>
  <c r="F185" i="2"/>
  <c r="D185" i="2"/>
  <c r="A185" i="2"/>
  <c r="V184" i="2"/>
  <c r="M184" i="2"/>
  <c r="L184" i="2"/>
  <c r="I184" i="2"/>
  <c r="H184" i="2"/>
  <c r="F184" i="2"/>
  <c r="D184" i="2"/>
  <c r="A184" i="2"/>
  <c r="V183" i="2"/>
  <c r="M183" i="2"/>
  <c r="L183" i="2"/>
  <c r="I183" i="2"/>
  <c r="H183" i="2"/>
  <c r="F183" i="2"/>
  <c r="D183" i="2"/>
  <c r="A183" i="2"/>
  <c r="V182" i="2"/>
  <c r="M182" i="2"/>
  <c r="L182" i="2"/>
  <c r="I182" i="2"/>
  <c r="H182" i="2"/>
  <c r="F182" i="2"/>
  <c r="D182" i="2"/>
  <c r="A182" i="2"/>
  <c r="V181" i="2"/>
  <c r="M181" i="2"/>
  <c r="L181" i="2"/>
  <c r="I181" i="2"/>
  <c r="H181" i="2"/>
  <c r="F181" i="2"/>
  <c r="D181" i="2"/>
  <c r="A181" i="2"/>
  <c r="V180" i="2"/>
  <c r="M180" i="2"/>
  <c r="L180" i="2"/>
  <c r="I180" i="2"/>
  <c r="H180" i="2"/>
  <c r="F180" i="2"/>
  <c r="D180" i="2"/>
  <c r="A180" i="2"/>
  <c r="V179" i="2"/>
  <c r="M179" i="2"/>
  <c r="L179" i="2"/>
  <c r="I179" i="2"/>
  <c r="H179" i="2"/>
  <c r="F179" i="2"/>
  <c r="D179" i="2"/>
  <c r="A179" i="2"/>
  <c r="V178" i="2"/>
  <c r="M178" i="2"/>
  <c r="L178" i="2"/>
  <c r="I178" i="2"/>
  <c r="H178" i="2"/>
  <c r="F178" i="2"/>
  <c r="D178" i="2"/>
  <c r="A178" i="2"/>
  <c r="V177" i="2"/>
  <c r="M177" i="2"/>
  <c r="L177" i="2"/>
  <c r="I177" i="2"/>
  <c r="H177" i="2"/>
  <c r="F177" i="2"/>
  <c r="D177" i="2"/>
  <c r="A177" i="2"/>
  <c r="V176" i="2"/>
  <c r="M176" i="2"/>
  <c r="L176" i="2"/>
  <c r="I176" i="2"/>
  <c r="H176" i="2"/>
  <c r="F176" i="2"/>
  <c r="D176" i="2"/>
  <c r="A176" i="2"/>
  <c r="V175" i="2"/>
  <c r="M175" i="2"/>
  <c r="L175" i="2"/>
  <c r="I175" i="2"/>
  <c r="H175" i="2"/>
  <c r="F175" i="2"/>
  <c r="D175" i="2"/>
  <c r="A175" i="2"/>
  <c r="V174" i="2"/>
  <c r="M174" i="2"/>
  <c r="L174" i="2"/>
  <c r="I174" i="2"/>
  <c r="H174" i="2"/>
  <c r="F174" i="2"/>
  <c r="D174" i="2"/>
  <c r="A174" i="2"/>
  <c r="V173" i="2"/>
  <c r="M173" i="2"/>
  <c r="L173" i="2"/>
  <c r="I173" i="2"/>
  <c r="H173" i="2"/>
  <c r="F173" i="2"/>
  <c r="D173" i="2"/>
  <c r="A173" i="2"/>
  <c r="V172" i="2"/>
  <c r="M172" i="2"/>
  <c r="L172" i="2"/>
  <c r="I172" i="2"/>
  <c r="H172" i="2"/>
  <c r="F172" i="2"/>
  <c r="D172" i="2"/>
  <c r="A172" i="2"/>
  <c r="V171" i="2"/>
  <c r="M171" i="2"/>
  <c r="L171" i="2"/>
  <c r="I171" i="2"/>
  <c r="H171" i="2"/>
  <c r="F171" i="2"/>
  <c r="D171" i="2"/>
  <c r="A171" i="2"/>
  <c r="V170" i="2"/>
  <c r="M170" i="2"/>
  <c r="L170" i="2"/>
  <c r="I170" i="2"/>
  <c r="H170" i="2"/>
  <c r="F170" i="2"/>
  <c r="D170" i="2"/>
  <c r="A170" i="2"/>
  <c r="V169" i="2"/>
  <c r="M169" i="2"/>
  <c r="L169" i="2"/>
  <c r="I169" i="2"/>
  <c r="H169" i="2"/>
  <c r="F169" i="2"/>
  <c r="D169" i="2"/>
  <c r="A169" i="2"/>
  <c r="V168" i="2"/>
  <c r="M168" i="2"/>
  <c r="L168" i="2"/>
  <c r="I168" i="2"/>
  <c r="H168" i="2"/>
  <c r="F168" i="2"/>
  <c r="D168" i="2"/>
  <c r="A168" i="2"/>
  <c r="V167" i="2"/>
  <c r="M167" i="2"/>
  <c r="L167" i="2"/>
  <c r="I167" i="2"/>
  <c r="H167" i="2"/>
  <c r="F167" i="2"/>
  <c r="D167" i="2"/>
  <c r="A167" i="2"/>
  <c r="V166" i="2"/>
  <c r="M166" i="2"/>
  <c r="L166" i="2"/>
  <c r="I166" i="2"/>
  <c r="H166" i="2"/>
  <c r="F166" i="2"/>
  <c r="D166" i="2"/>
  <c r="A166" i="2"/>
  <c r="V165" i="2"/>
  <c r="M165" i="2"/>
  <c r="L165" i="2"/>
  <c r="I165" i="2"/>
  <c r="H165" i="2"/>
  <c r="F165" i="2"/>
  <c r="D165" i="2"/>
  <c r="A165" i="2"/>
  <c r="V164" i="2"/>
  <c r="M164" i="2"/>
  <c r="L164" i="2"/>
  <c r="I164" i="2"/>
  <c r="H164" i="2"/>
  <c r="F164" i="2"/>
  <c r="D164" i="2"/>
  <c r="A164" i="2"/>
  <c r="V163" i="2"/>
  <c r="M163" i="2"/>
  <c r="L163" i="2"/>
  <c r="I163" i="2"/>
  <c r="H163" i="2"/>
  <c r="F163" i="2"/>
  <c r="D163" i="2"/>
  <c r="A163" i="2"/>
  <c r="V162" i="2"/>
  <c r="M162" i="2"/>
  <c r="L162" i="2"/>
  <c r="I162" i="2"/>
  <c r="H162" i="2"/>
  <c r="F162" i="2"/>
  <c r="D162" i="2"/>
  <c r="A162" i="2"/>
  <c r="V161" i="2"/>
  <c r="M161" i="2"/>
  <c r="L161" i="2"/>
  <c r="I161" i="2"/>
  <c r="H161" i="2"/>
  <c r="F161" i="2"/>
  <c r="D161" i="2"/>
  <c r="A161" i="2"/>
  <c r="V160" i="2"/>
  <c r="M160" i="2"/>
  <c r="L160" i="2"/>
  <c r="I160" i="2"/>
  <c r="H160" i="2"/>
  <c r="F160" i="2"/>
  <c r="D160" i="2"/>
  <c r="A160" i="2"/>
  <c r="V159" i="2"/>
  <c r="M159" i="2"/>
  <c r="L159" i="2"/>
  <c r="I159" i="2"/>
  <c r="H159" i="2"/>
  <c r="F159" i="2"/>
  <c r="D159" i="2"/>
  <c r="A159" i="2"/>
  <c r="V158" i="2"/>
  <c r="M158" i="2"/>
  <c r="L158" i="2"/>
  <c r="I158" i="2"/>
  <c r="H158" i="2"/>
  <c r="F158" i="2"/>
  <c r="D158" i="2"/>
  <c r="A158" i="2"/>
  <c r="V157" i="2"/>
  <c r="M157" i="2"/>
  <c r="L157" i="2"/>
  <c r="I157" i="2"/>
  <c r="H157" i="2"/>
  <c r="F157" i="2"/>
  <c r="D157" i="2"/>
  <c r="A157" i="2"/>
  <c r="V156" i="2"/>
  <c r="M156" i="2"/>
  <c r="L156" i="2"/>
  <c r="I156" i="2"/>
  <c r="H156" i="2"/>
  <c r="F156" i="2"/>
  <c r="D156" i="2"/>
  <c r="A156" i="2"/>
  <c r="V155" i="2"/>
  <c r="M155" i="2"/>
  <c r="L155" i="2"/>
  <c r="I155" i="2"/>
  <c r="H155" i="2"/>
  <c r="F155" i="2"/>
  <c r="D155" i="2"/>
  <c r="A155" i="2"/>
  <c r="V154" i="2"/>
  <c r="M154" i="2"/>
  <c r="L154" i="2"/>
  <c r="I154" i="2"/>
  <c r="H154" i="2"/>
  <c r="F154" i="2"/>
  <c r="D154" i="2"/>
  <c r="A154" i="2"/>
  <c r="V153" i="2"/>
  <c r="M153" i="2"/>
  <c r="L153" i="2"/>
  <c r="I153" i="2"/>
  <c r="H153" i="2"/>
  <c r="F153" i="2"/>
  <c r="D153" i="2"/>
  <c r="A153" i="2"/>
  <c r="V152" i="2"/>
  <c r="M152" i="2"/>
  <c r="L152" i="2"/>
  <c r="I152" i="2"/>
  <c r="H152" i="2"/>
  <c r="F152" i="2"/>
  <c r="D152" i="2"/>
  <c r="A152" i="2"/>
  <c r="V151" i="2"/>
  <c r="M151" i="2"/>
  <c r="L151" i="2"/>
  <c r="I151" i="2"/>
  <c r="H151" i="2"/>
  <c r="F151" i="2"/>
  <c r="D151" i="2"/>
  <c r="A151" i="2"/>
  <c r="V150" i="2"/>
  <c r="M150" i="2"/>
  <c r="L150" i="2"/>
  <c r="I150" i="2"/>
  <c r="H150" i="2"/>
  <c r="F150" i="2"/>
  <c r="D150" i="2"/>
  <c r="A150" i="2"/>
  <c r="V149" i="2"/>
  <c r="M149" i="2"/>
  <c r="L149" i="2"/>
  <c r="I149" i="2"/>
  <c r="H149" i="2"/>
  <c r="F149" i="2"/>
  <c r="D149" i="2"/>
  <c r="A149" i="2"/>
  <c r="V148" i="2"/>
  <c r="M148" i="2"/>
  <c r="L148" i="2"/>
  <c r="I148" i="2"/>
  <c r="H148" i="2"/>
  <c r="F148" i="2"/>
  <c r="D148" i="2"/>
  <c r="A148" i="2"/>
  <c r="V147" i="2"/>
  <c r="M147" i="2"/>
  <c r="L147" i="2"/>
  <c r="I147" i="2"/>
  <c r="H147" i="2"/>
  <c r="F147" i="2"/>
  <c r="D147" i="2"/>
  <c r="A147" i="2"/>
  <c r="V146" i="2"/>
  <c r="M146" i="2"/>
  <c r="L146" i="2"/>
  <c r="I146" i="2"/>
  <c r="H146" i="2"/>
  <c r="F146" i="2"/>
  <c r="D146" i="2"/>
  <c r="A146" i="2"/>
  <c r="V145" i="2"/>
  <c r="M145" i="2"/>
  <c r="L145" i="2"/>
  <c r="I145" i="2"/>
  <c r="H145" i="2"/>
  <c r="F145" i="2"/>
  <c r="D145" i="2"/>
  <c r="A145" i="2"/>
  <c r="V144" i="2"/>
  <c r="M144" i="2"/>
  <c r="L144" i="2"/>
  <c r="I144" i="2"/>
  <c r="H144" i="2"/>
  <c r="F144" i="2"/>
  <c r="D144" i="2"/>
  <c r="A144" i="2"/>
  <c r="V143" i="2"/>
  <c r="M143" i="2"/>
  <c r="L143" i="2"/>
  <c r="I143" i="2"/>
  <c r="H143" i="2"/>
  <c r="F143" i="2"/>
  <c r="D143" i="2"/>
  <c r="A143" i="2"/>
  <c r="V142" i="2"/>
  <c r="M142" i="2"/>
  <c r="L142" i="2"/>
  <c r="I142" i="2"/>
  <c r="H142" i="2"/>
  <c r="F142" i="2"/>
  <c r="D142" i="2"/>
  <c r="A142" i="2"/>
  <c r="V141" i="2"/>
  <c r="M141" i="2"/>
  <c r="L141" i="2"/>
  <c r="I141" i="2"/>
  <c r="H141" i="2"/>
  <c r="F141" i="2"/>
  <c r="D141" i="2"/>
  <c r="A141" i="2"/>
  <c r="V140" i="2"/>
  <c r="M140" i="2"/>
  <c r="L140" i="2"/>
  <c r="I140" i="2"/>
  <c r="H140" i="2"/>
  <c r="F140" i="2"/>
  <c r="D140" i="2"/>
  <c r="A140" i="2"/>
  <c r="V139" i="2"/>
  <c r="M139" i="2"/>
  <c r="L139" i="2"/>
  <c r="I139" i="2"/>
  <c r="H139" i="2"/>
  <c r="F139" i="2"/>
  <c r="D139" i="2"/>
  <c r="A139" i="2"/>
  <c r="V138" i="2"/>
  <c r="M138" i="2"/>
  <c r="L138" i="2"/>
  <c r="I138" i="2"/>
  <c r="H138" i="2"/>
  <c r="F138" i="2"/>
  <c r="D138" i="2"/>
  <c r="A138" i="2"/>
  <c r="V137" i="2"/>
  <c r="M137" i="2"/>
  <c r="L137" i="2"/>
  <c r="I137" i="2"/>
  <c r="H137" i="2"/>
  <c r="F137" i="2"/>
  <c r="D137" i="2"/>
  <c r="A137" i="2"/>
  <c r="V136" i="2"/>
  <c r="M136" i="2"/>
  <c r="L136" i="2"/>
  <c r="I136" i="2"/>
  <c r="H136" i="2"/>
  <c r="F136" i="2"/>
  <c r="D136" i="2"/>
  <c r="A136" i="2"/>
  <c r="V135" i="2"/>
  <c r="M135" i="2"/>
  <c r="L135" i="2"/>
  <c r="I135" i="2"/>
  <c r="H135" i="2"/>
  <c r="F135" i="2"/>
  <c r="D135" i="2"/>
  <c r="A135" i="2"/>
  <c r="V134" i="2"/>
  <c r="M134" i="2"/>
  <c r="L134" i="2"/>
  <c r="I134" i="2"/>
  <c r="H134" i="2"/>
  <c r="F134" i="2"/>
  <c r="D134" i="2"/>
  <c r="A134" i="2"/>
  <c r="V133" i="2"/>
  <c r="M133" i="2"/>
  <c r="L133" i="2"/>
  <c r="I133" i="2"/>
  <c r="H133" i="2"/>
  <c r="F133" i="2"/>
  <c r="D133" i="2"/>
  <c r="A133" i="2"/>
  <c r="V132" i="2"/>
  <c r="M132" i="2"/>
  <c r="L132" i="2"/>
  <c r="I132" i="2"/>
  <c r="H132" i="2"/>
  <c r="F132" i="2"/>
  <c r="D132" i="2"/>
  <c r="A132" i="2"/>
  <c r="V131" i="2"/>
  <c r="M131" i="2"/>
  <c r="L131" i="2"/>
  <c r="I131" i="2"/>
  <c r="H131" i="2"/>
  <c r="F131" i="2"/>
  <c r="D131" i="2"/>
  <c r="A131" i="2"/>
  <c r="V130" i="2"/>
  <c r="M130" i="2"/>
  <c r="L130" i="2"/>
  <c r="I130" i="2"/>
  <c r="H130" i="2"/>
  <c r="F130" i="2"/>
  <c r="D130" i="2"/>
  <c r="A130" i="2"/>
  <c r="V129" i="2"/>
  <c r="M129" i="2"/>
  <c r="L129" i="2"/>
  <c r="I129" i="2"/>
  <c r="H129" i="2"/>
  <c r="F129" i="2"/>
  <c r="D129" i="2"/>
  <c r="A129" i="2"/>
  <c r="V128" i="2"/>
  <c r="M128" i="2"/>
  <c r="L128" i="2"/>
  <c r="I128" i="2"/>
  <c r="H128" i="2"/>
  <c r="F128" i="2"/>
  <c r="D128" i="2"/>
  <c r="A128" i="2"/>
  <c r="V127" i="2"/>
  <c r="M127" i="2"/>
  <c r="L127" i="2"/>
  <c r="I127" i="2"/>
  <c r="H127" i="2"/>
  <c r="F127" i="2"/>
  <c r="D127" i="2"/>
  <c r="A127" i="2"/>
  <c r="V126" i="2"/>
  <c r="M126" i="2"/>
  <c r="L126" i="2"/>
  <c r="I126" i="2"/>
  <c r="H126" i="2"/>
  <c r="F126" i="2"/>
  <c r="D126" i="2"/>
  <c r="A126" i="2"/>
  <c r="V125" i="2"/>
  <c r="M125" i="2"/>
  <c r="L125" i="2"/>
  <c r="I125" i="2"/>
  <c r="H125" i="2"/>
  <c r="F125" i="2"/>
  <c r="D125" i="2"/>
  <c r="A125" i="2"/>
  <c r="V124" i="2"/>
  <c r="M124" i="2"/>
  <c r="L124" i="2"/>
  <c r="I124" i="2"/>
  <c r="H124" i="2"/>
  <c r="F124" i="2"/>
  <c r="D124" i="2"/>
  <c r="A124" i="2"/>
  <c r="V123" i="2"/>
  <c r="M123" i="2"/>
  <c r="L123" i="2"/>
  <c r="I123" i="2"/>
  <c r="H123" i="2"/>
  <c r="F123" i="2"/>
  <c r="D123" i="2"/>
  <c r="A123" i="2"/>
  <c r="V122" i="2"/>
  <c r="M122" i="2"/>
  <c r="L122" i="2"/>
  <c r="I122" i="2"/>
  <c r="H122" i="2"/>
  <c r="F122" i="2"/>
  <c r="D122" i="2"/>
  <c r="A122" i="2"/>
  <c r="V121" i="2"/>
  <c r="M121" i="2"/>
  <c r="L121" i="2"/>
  <c r="I121" i="2"/>
  <c r="H121" i="2"/>
  <c r="F121" i="2"/>
  <c r="D121" i="2"/>
  <c r="A121" i="2"/>
  <c r="V120" i="2"/>
  <c r="M120" i="2"/>
  <c r="L120" i="2"/>
  <c r="I120" i="2"/>
  <c r="H120" i="2"/>
  <c r="F120" i="2"/>
  <c r="D120" i="2"/>
  <c r="A120" i="2"/>
  <c r="V119" i="2"/>
  <c r="M119" i="2"/>
  <c r="L119" i="2"/>
  <c r="I119" i="2"/>
  <c r="H119" i="2"/>
  <c r="F119" i="2"/>
  <c r="D119" i="2"/>
  <c r="A119" i="2"/>
  <c r="V118" i="2"/>
  <c r="M118" i="2"/>
  <c r="L118" i="2"/>
  <c r="I118" i="2"/>
  <c r="H118" i="2"/>
  <c r="F118" i="2"/>
  <c r="D118" i="2"/>
  <c r="A118" i="2"/>
  <c r="V117" i="2"/>
  <c r="M117" i="2"/>
  <c r="L117" i="2"/>
  <c r="I117" i="2"/>
  <c r="H117" i="2"/>
  <c r="F117" i="2"/>
  <c r="D117" i="2"/>
  <c r="A117" i="2"/>
  <c r="V116" i="2"/>
  <c r="M116" i="2"/>
  <c r="L116" i="2"/>
  <c r="I116" i="2"/>
  <c r="H116" i="2"/>
  <c r="F116" i="2"/>
  <c r="D116" i="2"/>
  <c r="A116" i="2"/>
  <c r="V115" i="2"/>
  <c r="M115" i="2"/>
  <c r="L115" i="2"/>
  <c r="I115" i="2"/>
  <c r="H115" i="2"/>
  <c r="F115" i="2"/>
  <c r="D115" i="2"/>
  <c r="A115" i="2"/>
  <c r="V114" i="2"/>
  <c r="M114" i="2"/>
  <c r="L114" i="2"/>
  <c r="I114" i="2"/>
  <c r="H114" i="2"/>
  <c r="F114" i="2"/>
  <c r="D114" i="2"/>
  <c r="A114" i="2"/>
  <c r="V113" i="2"/>
  <c r="M113" i="2"/>
  <c r="L113" i="2"/>
  <c r="I113" i="2"/>
  <c r="H113" i="2"/>
  <c r="F113" i="2"/>
  <c r="D113" i="2"/>
  <c r="A113" i="2"/>
  <c r="V112" i="2"/>
  <c r="M112" i="2"/>
  <c r="L112" i="2"/>
  <c r="I112" i="2"/>
  <c r="H112" i="2"/>
  <c r="F112" i="2"/>
  <c r="D112" i="2"/>
  <c r="A112" i="2"/>
  <c r="V111" i="2"/>
  <c r="M111" i="2"/>
  <c r="L111" i="2"/>
  <c r="I111" i="2"/>
  <c r="H111" i="2"/>
  <c r="F111" i="2"/>
  <c r="D111" i="2"/>
  <c r="A111" i="2"/>
  <c r="V110" i="2"/>
  <c r="M110" i="2"/>
  <c r="L110" i="2"/>
  <c r="I110" i="2"/>
  <c r="H110" i="2"/>
  <c r="F110" i="2"/>
  <c r="D110" i="2"/>
  <c r="A110" i="2"/>
  <c r="V109" i="2"/>
  <c r="M109" i="2"/>
  <c r="L109" i="2"/>
  <c r="I109" i="2"/>
  <c r="H109" i="2"/>
  <c r="F109" i="2"/>
  <c r="D109" i="2"/>
  <c r="A109" i="2"/>
  <c r="V108" i="2"/>
  <c r="M108" i="2"/>
  <c r="L108" i="2"/>
  <c r="I108" i="2"/>
  <c r="H108" i="2"/>
  <c r="F108" i="2"/>
  <c r="D108" i="2"/>
  <c r="A108" i="2"/>
  <c r="V107" i="2"/>
  <c r="M107" i="2"/>
  <c r="L107" i="2"/>
  <c r="I107" i="2"/>
  <c r="H107" i="2"/>
  <c r="F107" i="2"/>
  <c r="D107" i="2"/>
  <c r="A107" i="2"/>
  <c r="V106" i="2"/>
  <c r="M106" i="2"/>
  <c r="L106" i="2"/>
  <c r="I106" i="2"/>
  <c r="H106" i="2"/>
  <c r="F106" i="2"/>
  <c r="D106" i="2"/>
  <c r="A106" i="2"/>
  <c r="V105" i="2"/>
  <c r="M105" i="2"/>
  <c r="L105" i="2"/>
  <c r="I105" i="2"/>
  <c r="H105" i="2"/>
  <c r="F105" i="2"/>
  <c r="D105" i="2"/>
  <c r="A105" i="2"/>
  <c r="V104" i="2"/>
  <c r="M104" i="2"/>
  <c r="L104" i="2"/>
  <c r="I104" i="2"/>
  <c r="H104" i="2"/>
  <c r="F104" i="2"/>
  <c r="D104" i="2"/>
  <c r="A104" i="2"/>
  <c r="V103" i="2"/>
  <c r="M103" i="2"/>
  <c r="L103" i="2"/>
  <c r="I103" i="2"/>
  <c r="H103" i="2"/>
  <c r="F103" i="2"/>
  <c r="D103" i="2"/>
  <c r="A103" i="2"/>
  <c r="V102" i="2"/>
  <c r="M102" i="2"/>
  <c r="L102" i="2"/>
  <c r="I102" i="2"/>
  <c r="H102" i="2"/>
  <c r="F102" i="2"/>
  <c r="D102" i="2"/>
  <c r="A102" i="2"/>
  <c r="V101" i="2"/>
  <c r="M101" i="2"/>
  <c r="L101" i="2"/>
  <c r="I101" i="2"/>
  <c r="H101" i="2"/>
  <c r="F101" i="2"/>
  <c r="D101" i="2"/>
  <c r="A101" i="2"/>
  <c r="V100" i="2"/>
  <c r="M100" i="2"/>
  <c r="L100" i="2"/>
  <c r="I100" i="2"/>
  <c r="H100" i="2"/>
  <c r="F100" i="2"/>
  <c r="D100" i="2"/>
  <c r="A100" i="2"/>
  <c r="V99" i="2"/>
  <c r="M99" i="2"/>
  <c r="L99" i="2"/>
  <c r="I99" i="2"/>
  <c r="H99" i="2"/>
  <c r="F99" i="2"/>
  <c r="D99" i="2"/>
  <c r="A99" i="2"/>
  <c r="V98" i="2"/>
  <c r="M98" i="2"/>
  <c r="L98" i="2"/>
  <c r="I98" i="2"/>
  <c r="H98" i="2"/>
  <c r="F98" i="2"/>
  <c r="D98" i="2"/>
  <c r="A98" i="2"/>
  <c r="V97" i="2"/>
  <c r="M97" i="2"/>
  <c r="L97" i="2"/>
  <c r="I97" i="2"/>
  <c r="H97" i="2"/>
  <c r="F97" i="2"/>
  <c r="D97" i="2"/>
  <c r="A97" i="2"/>
  <c r="V96" i="2"/>
  <c r="M96" i="2"/>
  <c r="L96" i="2"/>
  <c r="I96" i="2"/>
  <c r="H96" i="2"/>
  <c r="F96" i="2"/>
  <c r="D96" i="2"/>
  <c r="A96" i="2"/>
  <c r="V95" i="2"/>
  <c r="M95" i="2"/>
  <c r="L95" i="2"/>
  <c r="I95" i="2"/>
  <c r="H95" i="2"/>
  <c r="F95" i="2"/>
  <c r="D95" i="2"/>
  <c r="A95" i="2"/>
  <c r="V94" i="2"/>
  <c r="M94" i="2"/>
  <c r="L94" i="2"/>
  <c r="I94" i="2"/>
  <c r="H94" i="2"/>
  <c r="F94" i="2"/>
  <c r="D94" i="2"/>
  <c r="A94" i="2"/>
  <c r="V93" i="2"/>
  <c r="M93" i="2"/>
  <c r="L93" i="2"/>
  <c r="I93" i="2"/>
  <c r="H93" i="2"/>
  <c r="F93" i="2"/>
  <c r="D93" i="2"/>
  <c r="A93" i="2"/>
  <c r="V92" i="2"/>
  <c r="M92" i="2"/>
  <c r="L92" i="2"/>
  <c r="I92" i="2"/>
  <c r="H92" i="2"/>
  <c r="F92" i="2"/>
  <c r="D92" i="2"/>
  <c r="A92" i="2"/>
  <c r="V91" i="2"/>
  <c r="M91" i="2"/>
  <c r="L91" i="2"/>
  <c r="I91" i="2"/>
  <c r="H91" i="2"/>
  <c r="F91" i="2"/>
  <c r="D91" i="2"/>
  <c r="A91" i="2"/>
  <c r="V90" i="2"/>
  <c r="M90" i="2"/>
  <c r="L90" i="2"/>
  <c r="I90" i="2"/>
  <c r="H90" i="2"/>
  <c r="F90" i="2"/>
  <c r="D90" i="2"/>
  <c r="A90" i="2"/>
  <c r="V89" i="2"/>
  <c r="M89" i="2"/>
  <c r="L89" i="2"/>
  <c r="I89" i="2"/>
  <c r="H89" i="2"/>
  <c r="F89" i="2"/>
  <c r="D89" i="2"/>
  <c r="A89" i="2"/>
  <c r="V88" i="2"/>
  <c r="M88" i="2"/>
  <c r="L88" i="2"/>
  <c r="I88" i="2"/>
  <c r="H88" i="2"/>
  <c r="F88" i="2"/>
  <c r="D88" i="2"/>
  <c r="A88" i="2"/>
  <c r="V87" i="2"/>
  <c r="M87" i="2"/>
  <c r="L87" i="2"/>
  <c r="I87" i="2"/>
  <c r="H87" i="2"/>
  <c r="F87" i="2"/>
  <c r="D87" i="2"/>
  <c r="A87" i="2"/>
  <c r="V86" i="2"/>
  <c r="M86" i="2"/>
  <c r="L86" i="2"/>
  <c r="I86" i="2"/>
  <c r="H86" i="2"/>
  <c r="F86" i="2"/>
  <c r="D86" i="2"/>
  <c r="A86" i="2"/>
  <c r="V85" i="2"/>
  <c r="M85" i="2"/>
  <c r="L85" i="2"/>
  <c r="I85" i="2"/>
  <c r="H85" i="2"/>
  <c r="F85" i="2"/>
  <c r="D85" i="2"/>
  <c r="A85" i="2"/>
  <c r="V84" i="2"/>
  <c r="M84" i="2"/>
  <c r="L84" i="2"/>
  <c r="I84" i="2"/>
  <c r="H84" i="2"/>
  <c r="F84" i="2"/>
  <c r="D84" i="2"/>
  <c r="A84" i="2"/>
  <c r="V83" i="2"/>
  <c r="M83" i="2"/>
  <c r="L83" i="2"/>
  <c r="I83" i="2"/>
  <c r="H83" i="2"/>
  <c r="F83" i="2"/>
  <c r="D83" i="2"/>
  <c r="A83" i="2"/>
  <c r="V82" i="2"/>
  <c r="M82" i="2"/>
  <c r="L82" i="2"/>
  <c r="I82" i="2"/>
  <c r="H82" i="2"/>
  <c r="F82" i="2"/>
  <c r="D82" i="2"/>
  <c r="A82" i="2"/>
  <c r="V81" i="2"/>
  <c r="M81" i="2"/>
  <c r="L81" i="2"/>
  <c r="I81" i="2"/>
  <c r="H81" i="2"/>
  <c r="F81" i="2"/>
  <c r="D81" i="2"/>
  <c r="A81" i="2"/>
  <c r="V80" i="2"/>
  <c r="M80" i="2"/>
  <c r="L80" i="2"/>
  <c r="I80" i="2"/>
  <c r="H80" i="2"/>
  <c r="F80" i="2"/>
  <c r="D80" i="2"/>
  <c r="A80" i="2"/>
  <c r="V79" i="2"/>
  <c r="M79" i="2"/>
  <c r="L79" i="2"/>
  <c r="I79" i="2"/>
  <c r="H79" i="2"/>
  <c r="F79" i="2"/>
  <c r="D79" i="2"/>
  <c r="A79" i="2"/>
  <c r="V78" i="2"/>
  <c r="M78" i="2"/>
  <c r="L78" i="2"/>
  <c r="I78" i="2"/>
  <c r="H78" i="2"/>
  <c r="F78" i="2"/>
  <c r="D78" i="2"/>
  <c r="A78" i="2"/>
  <c r="V77" i="2"/>
  <c r="M77" i="2"/>
  <c r="L77" i="2"/>
  <c r="I77" i="2"/>
  <c r="H77" i="2"/>
  <c r="F77" i="2"/>
  <c r="D77" i="2"/>
  <c r="A77" i="2"/>
  <c r="V76" i="2"/>
  <c r="M76" i="2"/>
  <c r="L76" i="2"/>
  <c r="I76" i="2"/>
  <c r="H76" i="2"/>
  <c r="F76" i="2"/>
  <c r="D76" i="2"/>
  <c r="A76" i="2"/>
  <c r="V75" i="2"/>
  <c r="M75" i="2"/>
  <c r="L75" i="2"/>
  <c r="I75" i="2"/>
  <c r="H75" i="2"/>
  <c r="F75" i="2"/>
  <c r="D75" i="2"/>
  <c r="A75" i="2"/>
  <c r="V74" i="2"/>
  <c r="M74" i="2"/>
  <c r="L74" i="2"/>
  <c r="I74" i="2"/>
  <c r="H74" i="2"/>
  <c r="F74" i="2"/>
  <c r="D74" i="2"/>
  <c r="A74" i="2"/>
  <c r="V73" i="2"/>
  <c r="M73" i="2"/>
  <c r="L73" i="2"/>
  <c r="I73" i="2"/>
  <c r="H73" i="2"/>
  <c r="F73" i="2"/>
  <c r="D73" i="2"/>
  <c r="A73" i="2"/>
  <c r="V72" i="2"/>
  <c r="M72" i="2"/>
  <c r="L72" i="2"/>
  <c r="I72" i="2"/>
  <c r="H72" i="2"/>
  <c r="F72" i="2"/>
  <c r="D72" i="2"/>
  <c r="A72" i="2"/>
  <c r="V71" i="2"/>
  <c r="M71" i="2"/>
  <c r="L71" i="2"/>
  <c r="I71" i="2"/>
  <c r="H71" i="2"/>
  <c r="F71" i="2"/>
  <c r="D71" i="2"/>
  <c r="A71" i="2"/>
  <c r="V70" i="2"/>
  <c r="M70" i="2"/>
  <c r="L70" i="2"/>
  <c r="I70" i="2"/>
  <c r="H70" i="2"/>
  <c r="F70" i="2"/>
  <c r="D70" i="2"/>
  <c r="A70" i="2"/>
  <c r="V69" i="2"/>
  <c r="M69" i="2"/>
  <c r="L69" i="2"/>
  <c r="I69" i="2"/>
  <c r="H69" i="2"/>
  <c r="F69" i="2"/>
  <c r="D69" i="2"/>
  <c r="A69" i="2"/>
  <c r="V68" i="2"/>
  <c r="M68" i="2"/>
  <c r="L68" i="2"/>
  <c r="I68" i="2"/>
  <c r="H68" i="2"/>
  <c r="F68" i="2"/>
  <c r="D68" i="2"/>
  <c r="A68" i="2"/>
  <c r="V67" i="2"/>
  <c r="M67" i="2"/>
  <c r="L67" i="2"/>
  <c r="I67" i="2"/>
  <c r="H67" i="2"/>
  <c r="F67" i="2"/>
  <c r="D67" i="2"/>
  <c r="A67" i="2"/>
  <c r="V66" i="2"/>
  <c r="M66" i="2"/>
  <c r="L66" i="2"/>
  <c r="I66" i="2"/>
  <c r="H66" i="2"/>
  <c r="F66" i="2"/>
  <c r="D66" i="2"/>
  <c r="A66" i="2"/>
  <c r="V65" i="2"/>
  <c r="M65" i="2"/>
  <c r="L65" i="2"/>
  <c r="I65" i="2"/>
  <c r="H65" i="2"/>
  <c r="F65" i="2"/>
  <c r="D65" i="2"/>
  <c r="A65" i="2"/>
  <c r="V64" i="2"/>
  <c r="M64" i="2"/>
  <c r="L64" i="2"/>
  <c r="I64" i="2"/>
  <c r="H64" i="2"/>
  <c r="F64" i="2"/>
  <c r="D64" i="2"/>
  <c r="A64" i="2"/>
  <c r="V63" i="2"/>
  <c r="M63" i="2"/>
  <c r="L63" i="2"/>
  <c r="I63" i="2"/>
  <c r="H63" i="2"/>
  <c r="F63" i="2"/>
  <c r="D63" i="2"/>
  <c r="A63" i="2"/>
  <c r="V62" i="2"/>
  <c r="M62" i="2"/>
  <c r="L62" i="2"/>
  <c r="I62" i="2"/>
  <c r="H62" i="2"/>
  <c r="F62" i="2"/>
  <c r="D62" i="2"/>
  <c r="A62" i="2"/>
  <c r="V61" i="2"/>
  <c r="M61" i="2"/>
  <c r="L61" i="2"/>
  <c r="I61" i="2"/>
  <c r="H61" i="2"/>
  <c r="F61" i="2"/>
  <c r="D61" i="2"/>
  <c r="A61" i="2"/>
  <c r="V60" i="2"/>
  <c r="M60" i="2"/>
  <c r="L60" i="2"/>
  <c r="I60" i="2"/>
  <c r="H60" i="2"/>
  <c r="F60" i="2"/>
  <c r="D60" i="2"/>
  <c r="A60" i="2"/>
  <c r="V59" i="2"/>
  <c r="M59" i="2"/>
  <c r="L59" i="2"/>
  <c r="I59" i="2"/>
  <c r="H59" i="2"/>
  <c r="F59" i="2"/>
  <c r="D59" i="2"/>
  <c r="A59" i="2"/>
  <c r="V58" i="2"/>
  <c r="M58" i="2"/>
  <c r="L58" i="2"/>
  <c r="I58" i="2"/>
  <c r="H58" i="2"/>
  <c r="F58" i="2"/>
  <c r="D58" i="2"/>
  <c r="A58" i="2"/>
  <c r="V57" i="2"/>
  <c r="M57" i="2"/>
  <c r="L57" i="2"/>
  <c r="I57" i="2"/>
  <c r="H57" i="2"/>
  <c r="F57" i="2"/>
  <c r="D57" i="2"/>
  <c r="A57" i="2"/>
  <c r="V56" i="2"/>
  <c r="M56" i="2"/>
  <c r="L56" i="2"/>
  <c r="I56" i="2"/>
  <c r="H56" i="2"/>
  <c r="F56" i="2"/>
  <c r="D56" i="2"/>
  <c r="A56" i="2"/>
  <c r="V55" i="2"/>
  <c r="M55" i="2"/>
  <c r="L55" i="2"/>
  <c r="I55" i="2"/>
  <c r="H55" i="2"/>
  <c r="F55" i="2"/>
  <c r="D55" i="2"/>
  <c r="A55" i="2"/>
  <c r="V54" i="2"/>
  <c r="M54" i="2"/>
  <c r="L54" i="2"/>
  <c r="I54" i="2"/>
  <c r="H54" i="2"/>
  <c r="F54" i="2"/>
  <c r="D54" i="2"/>
  <c r="A54" i="2"/>
  <c r="V53" i="2"/>
  <c r="M53" i="2"/>
  <c r="L53" i="2"/>
  <c r="I53" i="2"/>
  <c r="H53" i="2"/>
  <c r="F53" i="2"/>
  <c r="D53" i="2"/>
  <c r="A53" i="2"/>
  <c r="V52" i="2"/>
  <c r="M52" i="2"/>
  <c r="L52" i="2"/>
  <c r="I52" i="2"/>
  <c r="H52" i="2"/>
  <c r="F52" i="2"/>
  <c r="D52" i="2"/>
  <c r="A52" i="2"/>
  <c r="V51" i="2"/>
  <c r="M51" i="2"/>
  <c r="L51" i="2"/>
  <c r="I51" i="2"/>
  <c r="H51" i="2"/>
  <c r="F51" i="2"/>
  <c r="D51" i="2"/>
  <c r="A51" i="2"/>
  <c r="V50" i="2"/>
  <c r="M50" i="2"/>
  <c r="L50" i="2"/>
  <c r="I50" i="2"/>
  <c r="H50" i="2"/>
  <c r="F50" i="2"/>
  <c r="D50" i="2"/>
  <c r="A50" i="2"/>
  <c r="V49" i="2"/>
  <c r="M49" i="2"/>
  <c r="L49" i="2"/>
  <c r="I49" i="2"/>
  <c r="H49" i="2"/>
  <c r="F49" i="2"/>
  <c r="D49" i="2"/>
  <c r="A49" i="2"/>
  <c r="V48" i="2"/>
  <c r="M48" i="2"/>
  <c r="L48" i="2"/>
  <c r="I48" i="2"/>
  <c r="H48" i="2"/>
  <c r="F48" i="2"/>
  <c r="D48" i="2"/>
  <c r="A48" i="2"/>
  <c r="V47" i="2"/>
  <c r="M47" i="2"/>
  <c r="L47" i="2"/>
  <c r="I47" i="2"/>
  <c r="H47" i="2"/>
  <c r="F47" i="2"/>
  <c r="D47" i="2"/>
  <c r="A47" i="2"/>
  <c r="V46" i="2"/>
  <c r="M46" i="2"/>
  <c r="L46" i="2"/>
  <c r="I46" i="2"/>
  <c r="H46" i="2"/>
  <c r="F46" i="2"/>
  <c r="D46" i="2"/>
  <c r="A46" i="2"/>
  <c r="V45" i="2"/>
  <c r="M45" i="2"/>
  <c r="L45" i="2"/>
  <c r="I45" i="2"/>
  <c r="H45" i="2"/>
  <c r="F45" i="2"/>
  <c r="D45" i="2"/>
  <c r="A45" i="2"/>
  <c r="V44" i="2"/>
  <c r="M44" i="2"/>
  <c r="L44" i="2"/>
  <c r="I44" i="2"/>
  <c r="H44" i="2"/>
  <c r="F44" i="2"/>
  <c r="D44" i="2"/>
  <c r="A44" i="2"/>
  <c r="V43" i="2"/>
  <c r="M43" i="2"/>
  <c r="L43" i="2"/>
  <c r="I43" i="2"/>
  <c r="H43" i="2"/>
  <c r="F43" i="2"/>
  <c r="D43" i="2"/>
  <c r="A43" i="2"/>
  <c r="V42" i="2"/>
  <c r="M42" i="2"/>
  <c r="L42" i="2"/>
  <c r="I42" i="2"/>
  <c r="H42" i="2"/>
  <c r="F42" i="2"/>
  <c r="D42" i="2"/>
  <c r="A42" i="2"/>
  <c r="V41" i="2"/>
  <c r="M41" i="2"/>
  <c r="L41" i="2"/>
  <c r="I41" i="2"/>
  <c r="H41" i="2"/>
  <c r="F41" i="2"/>
  <c r="D41" i="2"/>
  <c r="A41" i="2"/>
  <c r="V40" i="2"/>
  <c r="M40" i="2"/>
  <c r="L40" i="2"/>
  <c r="I40" i="2"/>
  <c r="H40" i="2"/>
  <c r="F40" i="2"/>
  <c r="D40" i="2"/>
  <c r="A40" i="2"/>
  <c r="V39" i="2"/>
  <c r="M39" i="2"/>
  <c r="L39" i="2"/>
  <c r="I39" i="2"/>
  <c r="H39" i="2"/>
  <c r="F39" i="2"/>
  <c r="D39" i="2"/>
  <c r="A39" i="2"/>
  <c r="V38" i="2"/>
  <c r="M38" i="2"/>
  <c r="L38" i="2"/>
  <c r="I38" i="2"/>
  <c r="H38" i="2"/>
  <c r="F38" i="2"/>
  <c r="D38" i="2"/>
  <c r="A38" i="2"/>
  <c r="V37" i="2"/>
  <c r="M37" i="2"/>
  <c r="L37" i="2"/>
  <c r="I37" i="2"/>
  <c r="H37" i="2"/>
  <c r="F37" i="2"/>
  <c r="D37" i="2"/>
  <c r="A37" i="2"/>
  <c r="V36" i="2"/>
  <c r="M36" i="2"/>
  <c r="L36" i="2"/>
  <c r="I36" i="2"/>
  <c r="H36" i="2"/>
  <c r="F36" i="2"/>
  <c r="D36" i="2"/>
  <c r="A36" i="2"/>
  <c r="V35" i="2"/>
  <c r="M35" i="2"/>
  <c r="L35" i="2"/>
  <c r="I35" i="2"/>
  <c r="H35" i="2"/>
  <c r="F35" i="2"/>
  <c r="D35" i="2"/>
  <c r="A35" i="2"/>
  <c r="V34" i="2"/>
  <c r="M34" i="2"/>
  <c r="L34" i="2"/>
  <c r="I34" i="2"/>
  <c r="H34" i="2"/>
  <c r="F34" i="2"/>
  <c r="D34" i="2"/>
  <c r="A34" i="2"/>
  <c r="V33" i="2"/>
  <c r="M33" i="2"/>
  <c r="L33" i="2"/>
  <c r="I33" i="2"/>
  <c r="H33" i="2"/>
  <c r="F33" i="2"/>
  <c r="D33" i="2"/>
  <c r="A33" i="2"/>
  <c r="V32" i="2"/>
  <c r="M32" i="2"/>
  <c r="L32" i="2"/>
  <c r="I32" i="2"/>
  <c r="H32" i="2"/>
  <c r="F32" i="2"/>
  <c r="D32" i="2"/>
  <c r="A32" i="2"/>
  <c r="V31" i="2"/>
  <c r="M31" i="2"/>
  <c r="L31" i="2"/>
  <c r="I31" i="2"/>
  <c r="H31" i="2"/>
  <c r="F31" i="2"/>
  <c r="D31" i="2"/>
  <c r="A31" i="2"/>
  <c r="V30" i="2"/>
  <c r="M30" i="2"/>
  <c r="L30" i="2"/>
  <c r="I30" i="2"/>
  <c r="H30" i="2"/>
  <c r="F30" i="2"/>
  <c r="D30" i="2"/>
  <c r="A30" i="2"/>
  <c r="V29" i="2"/>
  <c r="M29" i="2"/>
  <c r="L29" i="2"/>
  <c r="I29" i="2"/>
  <c r="H29" i="2"/>
  <c r="F29" i="2"/>
  <c r="D29" i="2"/>
  <c r="A29" i="2"/>
  <c r="V28" i="2"/>
  <c r="M28" i="2"/>
  <c r="L28" i="2"/>
  <c r="I28" i="2"/>
  <c r="H28" i="2"/>
  <c r="F28" i="2"/>
  <c r="D28" i="2"/>
  <c r="A28" i="2"/>
  <c r="V27" i="2"/>
  <c r="M27" i="2"/>
  <c r="L27" i="2"/>
  <c r="I27" i="2"/>
  <c r="H27" i="2"/>
  <c r="F27" i="2"/>
  <c r="D27" i="2"/>
  <c r="A27" i="2"/>
  <c r="V26" i="2"/>
  <c r="M26" i="2"/>
  <c r="L26" i="2"/>
  <c r="I26" i="2"/>
  <c r="H26" i="2"/>
  <c r="F26" i="2"/>
  <c r="D26" i="2"/>
  <c r="A26" i="2"/>
  <c r="V25" i="2"/>
  <c r="M25" i="2"/>
  <c r="L25" i="2"/>
  <c r="I25" i="2"/>
  <c r="H25" i="2"/>
  <c r="F25" i="2"/>
  <c r="D25" i="2"/>
  <c r="A25" i="2"/>
  <c r="V24" i="2"/>
  <c r="M24" i="2"/>
  <c r="L24" i="2"/>
  <c r="I24" i="2"/>
  <c r="H24" i="2"/>
  <c r="F24" i="2"/>
  <c r="D24" i="2"/>
  <c r="A24" i="2"/>
  <c r="V23" i="2"/>
  <c r="M23" i="2"/>
  <c r="L23" i="2"/>
  <c r="I23" i="2"/>
  <c r="H23" i="2"/>
  <c r="F23" i="2"/>
  <c r="D23" i="2"/>
  <c r="A23" i="2"/>
  <c r="V22" i="2"/>
  <c r="M22" i="2"/>
  <c r="L22" i="2"/>
  <c r="I22" i="2"/>
  <c r="H22" i="2"/>
  <c r="F22" i="2"/>
  <c r="D22" i="2"/>
  <c r="A22" i="2"/>
  <c r="V21" i="2"/>
  <c r="M21" i="2"/>
  <c r="L21" i="2"/>
  <c r="I21" i="2"/>
  <c r="H21" i="2"/>
  <c r="F21" i="2"/>
  <c r="D21" i="2"/>
  <c r="A21" i="2"/>
  <c r="V20" i="2"/>
  <c r="M20" i="2"/>
  <c r="L20" i="2"/>
  <c r="I20" i="2"/>
  <c r="H20" i="2"/>
  <c r="F20" i="2"/>
  <c r="D20" i="2"/>
  <c r="A20" i="2"/>
  <c r="V19" i="2"/>
  <c r="M19" i="2"/>
  <c r="L19" i="2"/>
  <c r="I19" i="2"/>
  <c r="H19" i="2"/>
  <c r="F19" i="2"/>
  <c r="D19" i="2"/>
  <c r="A19" i="2"/>
  <c r="V18" i="2"/>
  <c r="M18" i="2"/>
  <c r="L18" i="2"/>
  <c r="I18" i="2"/>
  <c r="H18" i="2"/>
  <c r="F18" i="2"/>
  <c r="D18" i="2"/>
  <c r="A18" i="2"/>
  <c r="V17" i="2"/>
  <c r="M17" i="2"/>
  <c r="L17" i="2"/>
  <c r="I17" i="2"/>
  <c r="H17" i="2"/>
  <c r="F17" i="2"/>
  <c r="D17" i="2"/>
  <c r="A17" i="2"/>
  <c r="V16" i="2"/>
  <c r="M16" i="2"/>
  <c r="L16" i="2"/>
  <c r="I16" i="2"/>
  <c r="H16" i="2"/>
  <c r="F16" i="2"/>
  <c r="D16" i="2"/>
  <c r="A16" i="2"/>
  <c r="V15" i="2"/>
  <c r="M15" i="2"/>
  <c r="L15" i="2"/>
  <c r="I15" i="2"/>
  <c r="H15" i="2"/>
  <c r="F15" i="2"/>
  <c r="D15" i="2"/>
  <c r="A15" i="2"/>
  <c r="V14" i="2"/>
  <c r="M14" i="2"/>
  <c r="L14" i="2"/>
  <c r="I14" i="2"/>
  <c r="H14" i="2"/>
  <c r="F14" i="2"/>
  <c r="D14" i="2"/>
  <c r="A14" i="2"/>
  <c r="V13" i="2"/>
  <c r="M13" i="2"/>
  <c r="L13" i="2"/>
  <c r="I13" i="2"/>
  <c r="H13" i="2"/>
  <c r="F13" i="2"/>
  <c r="D13" i="2"/>
  <c r="A13" i="2"/>
  <c r="V12" i="2"/>
  <c r="M12" i="2"/>
  <c r="L12" i="2"/>
  <c r="I12" i="2"/>
  <c r="H12" i="2"/>
  <c r="F12" i="2"/>
  <c r="D12" i="2"/>
  <c r="A12" i="2"/>
  <c r="V11" i="2"/>
  <c r="M11" i="2"/>
  <c r="L11" i="2"/>
  <c r="I11" i="2"/>
  <c r="H11" i="2"/>
  <c r="F11" i="2"/>
  <c r="D11" i="2"/>
  <c r="A11" i="2"/>
  <c r="V10" i="2"/>
  <c r="M10" i="2"/>
  <c r="L10" i="2"/>
  <c r="I10" i="2"/>
  <c r="H10" i="2"/>
  <c r="F10" i="2"/>
  <c r="D10" i="2"/>
  <c r="A10" i="2"/>
  <c r="V9" i="2"/>
  <c r="M9" i="2"/>
  <c r="L9" i="2"/>
  <c r="I9" i="2"/>
  <c r="H9" i="2"/>
  <c r="F9" i="2"/>
  <c r="D9" i="2"/>
  <c r="A9" i="2"/>
  <c r="V8" i="2"/>
  <c r="M8" i="2"/>
  <c r="L8" i="2"/>
  <c r="I8" i="2"/>
  <c r="H8" i="2"/>
  <c r="F8" i="2"/>
  <c r="D8" i="2"/>
  <c r="A8" i="2"/>
  <c r="V7" i="2"/>
  <c r="M7" i="2"/>
  <c r="L7" i="2"/>
  <c r="I7" i="2"/>
  <c r="H7" i="2"/>
  <c r="F7" i="2"/>
  <c r="D7" i="2"/>
  <c r="A7" i="2"/>
  <c r="V6" i="2"/>
  <c r="M6" i="2"/>
  <c r="L6" i="2"/>
  <c r="I6" i="2"/>
  <c r="H6" i="2"/>
  <c r="F6" i="2"/>
  <c r="D6" i="2"/>
  <c r="A6" i="2"/>
  <c r="V5" i="2"/>
  <c r="M5" i="2"/>
  <c r="L5" i="2"/>
  <c r="I5" i="2"/>
  <c r="H5" i="2"/>
  <c r="F5" i="2"/>
  <c r="D5" i="2"/>
  <c r="A5" i="2"/>
  <c r="V4" i="2"/>
  <c r="M4" i="2"/>
  <c r="L4" i="2"/>
  <c r="I4" i="2"/>
  <c r="H4" i="2"/>
  <c r="F4" i="2"/>
  <c r="D4" i="2"/>
  <c r="A4" i="2"/>
  <c r="V3" i="2"/>
  <c r="M3" i="2"/>
  <c r="L3" i="2"/>
  <c r="I3" i="2"/>
  <c r="H3" i="2"/>
  <c r="F3" i="2"/>
  <c r="D3" i="2"/>
  <c r="A3" i="2"/>
  <c r="V2" i="2"/>
  <c r="M2" i="2"/>
  <c r="L2" i="2"/>
  <c r="I2" i="2"/>
  <c r="H2" i="2"/>
  <c r="F2" i="2"/>
  <c r="D2" i="2"/>
  <c r="A2" i="2"/>
  <c r="F589" i="1"/>
  <c r="A589" i="1"/>
  <c r="D589" i="1"/>
  <c r="H589" i="1"/>
  <c r="I589" i="1"/>
  <c r="V589" i="1"/>
  <c r="W589" i="1"/>
  <c r="A2576" i="1"/>
  <c r="D2576" i="1"/>
  <c r="F2576" i="1"/>
  <c r="V2576" i="1"/>
  <c r="W2576" i="1"/>
  <c r="A4047" i="1"/>
  <c r="D4047" i="1"/>
  <c r="F4047" i="1"/>
  <c r="H4047" i="1"/>
  <c r="I4047" i="1"/>
  <c r="L4047" i="1"/>
  <c r="M4047" i="1"/>
  <c r="V4047" i="1"/>
  <c r="W4047" i="1"/>
  <c r="A4455" i="1"/>
  <c r="D4455" i="1"/>
  <c r="F4455" i="1"/>
  <c r="H4455" i="1"/>
  <c r="I4455" i="1"/>
  <c r="L4455" i="1"/>
  <c r="M4455" i="1"/>
  <c r="V4455" i="1"/>
  <c r="W4455" i="1"/>
  <c r="A5499" i="1"/>
  <c r="D5499" i="1"/>
  <c r="F5499" i="1"/>
  <c r="H5499" i="1"/>
  <c r="I5499" i="1"/>
  <c r="L5499" i="1"/>
  <c r="M5499" i="1"/>
  <c r="V5499" i="1"/>
  <c r="W5499" i="1"/>
  <c r="A1795" i="1"/>
  <c r="D1795" i="1"/>
  <c r="F1795" i="1"/>
  <c r="H1795" i="1"/>
  <c r="I1795" i="1"/>
  <c r="L1795" i="1"/>
  <c r="M1795" i="1"/>
  <c r="V1795" i="1"/>
  <c r="W1795" i="1"/>
  <c r="A3419" i="1"/>
  <c r="D3419" i="1"/>
  <c r="F3419" i="1"/>
  <c r="H3419" i="1"/>
  <c r="I3419" i="1"/>
  <c r="L3419" i="1"/>
  <c r="M3419" i="1"/>
  <c r="V3419" i="1"/>
  <c r="W3419" i="1"/>
  <c r="A5464" i="1"/>
  <c r="D5464" i="1"/>
  <c r="F5464" i="1"/>
  <c r="H5464" i="1"/>
  <c r="I5464" i="1"/>
  <c r="L5464" i="1"/>
  <c r="M5464" i="1"/>
  <c r="V5464" i="1"/>
  <c r="W5464" i="1"/>
  <c r="A862" i="1"/>
  <c r="D862" i="1"/>
  <c r="F862" i="1"/>
  <c r="H862" i="1"/>
  <c r="I862" i="1"/>
  <c r="L862" i="1"/>
  <c r="M862" i="1"/>
  <c r="V862" i="1"/>
  <c r="W862" i="1"/>
  <c r="A2400" i="1"/>
  <c r="D2400" i="1"/>
  <c r="F2400" i="1"/>
  <c r="H2400" i="1"/>
  <c r="I2400" i="1"/>
  <c r="L2400" i="1"/>
  <c r="M2400" i="1"/>
  <c r="V2400" i="1"/>
  <c r="W2400" i="1"/>
  <c r="A919" i="1"/>
  <c r="D919" i="1"/>
  <c r="F919" i="1"/>
  <c r="H919" i="1"/>
  <c r="I919" i="1"/>
  <c r="L919" i="1"/>
  <c r="M919" i="1"/>
  <c r="V919" i="1"/>
  <c r="W919" i="1"/>
  <c r="A2681" i="1"/>
  <c r="D2681" i="1"/>
  <c r="F2681" i="1"/>
  <c r="H2681" i="1"/>
  <c r="I2681" i="1"/>
  <c r="L2681" i="1"/>
  <c r="M2681" i="1"/>
  <c r="V2681" i="1"/>
  <c r="W2681" i="1"/>
  <c r="A3263" i="1"/>
  <c r="D3263" i="1"/>
  <c r="F3263" i="1"/>
  <c r="H3263" i="1"/>
  <c r="I3263" i="1"/>
  <c r="L3263" i="1"/>
  <c r="M3263" i="1"/>
  <c r="V3263" i="1"/>
  <c r="W3263" i="1"/>
  <c r="A3348" i="1"/>
  <c r="D3348" i="1"/>
  <c r="F3348" i="1"/>
  <c r="H3348" i="1"/>
  <c r="I3348" i="1"/>
  <c r="L3348" i="1"/>
  <c r="M3348" i="1"/>
  <c r="V3348" i="1"/>
  <c r="W3348" i="1"/>
  <c r="A4330" i="1"/>
  <c r="D4330" i="1"/>
  <c r="F4330" i="1"/>
  <c r="H4330" i="1"/>
  <c r="I4330" i="1"/>
  <c r="L4330" i="1"/>
  <c r="M4330" i="1"/>
  <c r="V4330" i="1"/>
  <c r="W4330" i="1"/>
  <c r="A5922" i="1"/>
  <c r="D5922" i="1"/>
  <c r="F5922" i="1"/>
  <c r="H5922" i="1"/>
  <c r="I5922" i="1"/>
  <c r="L5922" i="1"/>
  <c r="M5922" i="1"/>
  <c r="V5922" i="1"/>
  <c r="W5922" i="1"/>
  <c r="A1115" i="1"/>
  <c r="D1115" i="1"/>
  <c r="F1115" i="1"/>
  <c r="H1115" i="1"/>
  <c r="I1115" i="1"/>
  <c r="L1115" i="1"/>
  <c r="M1115" i="1"/>
  <c r="V1115" i="1"/>
  <c r="W1115" i="1"/>
  <c r="A1400" i="1"/>
  <c r="D1400" i="1"/>
  <c r="F1400" i="1"/>
  <c r="H1400" i="1"/>
  <c r="I1400" i="1"/>
  <c r="L1400" i="1"/>
  <c r="M1400" i="1"/>
  <c r="V1400" i="1"/>
  <c r="W1400" i="1"/>
  <c r="A2366" i="1"/>
  <c r="D2366" i="1"/>
  <c r="F2366" i="1"/>
  <c r="H2366" i="1"/>
  <c r="I2366" i="1"/>
  <c r="L2366" i="1"/>
  <c r="M2366" i="1"/>
  <c r="V2366" i="1"/>
  <c r="W2366" i="1"/>
  <c r="A2549" i="1"/>
  <c r="D2549" i="1"/>
  <c r="F2549" i="1"/>
  <c r="H2549" i="1"/>
  <c r="I2549" i="1"/>
  <c r="L2549" i="1"/>
  <c r="M2549" i="1"/>
  <c r="V2549" i="1"/>
  <c r="W2549" i="1"/>
  <c r="A2722" i="1"/>
  <c r="D2722" i="1"/>
  <c r="F2722" i="1"/>
  <c r="H2722" i="1"/>
  <c r="I2722" i="1"/>
  <c r="L2722" i="1"/>
  <c r="M2722" i="1"/>
  <c r="V2722" i="1"/>
  <c r="W2722" i="1"/>
  <c r="A1907" i="1"/>
  <c r="D1907" i="1"/>
  <c r="F1907" i="1"/>
  <c r="H1907" i="1"/>
  <c r="I1907" i="1"/>
  <c r="L1907" i="1"/>
  <c r="M1907" i="1"/>
  <c r="V1907" i="1"/>
  <c r="W1907" i="1"/>
  <c r="A3697" i="1"/>
  <c r="D3697" i="1"/>
  <c r="F3697" i="1"/>
  <c r="H3697" i="1"/>
  <c r="I3697" i="1"/>
  <c r="L3697" i="1"/>
  <c r="M3697" i="1"/>
  <c r="V3697" i="1"/>
  <c r="W3697" i="1"/>
  <c r="A845" i="1"/>
  <c r="D845" i="1"/>
  <c r="F845" i="1"/>
  <c r="H845" i="1"/>
  <c r="I845" i="1"/>
  <c r="L845" i="1"/>
  <c r="M845" i="1"/>
  <c r="V845" i="1"/>
  <c r="W845" i="1"/>
  <c r="A1271" i="1"/>
  <c r="D1271" i="1"/>
  <c r="F1271" i="1"/>
  <c r="H1271" i="1"/>
  <c r="I1271" i="1"/>
  <c r="L1271" i="1"/>
  <c r="M1271" i="1"/>
  <c r="V1271" i="1"/>
  <c r="W1271" i="1"/>
  <c r="A5742" i="1"/>
  <c r="D5742" i="1"/>
  <c r="F5742" i="1"/>
  <c r="H5742" i="1"/>
  <c r="I5742" i="1"/>
  <c r="L5742" i="1"/>
  <c r="M5742" i="1"/>
  <c r="V5742" i="1"/>
  <c r="W5742" i="1"/>
  <c r="A6200" i="1"/>
  <c r="D6200" i="1"/>
  <c r="F6200" i="1"/>
  <c r="H6200" i="1"/>
  <c r="I6200" i="1"/>
  <c r="L6200" i="1"/>
  <c r="M6200" i="1"/>
  <c r="V6200" i="1"/>
  <c r="W6200" i="1"/>
  <c r="A3046" i="1"/>
  <c r="D3046" i="1"/>
  <c r="F3046" i="1"/>
  <c r="H3046" i="1"/>
  <c r="I3046" i="1"/>
  <c r="L3046" i="1"/>
  <c r="M3046" i="1"/>
  <c r="V3046" i="1"/>
  <c r="W3046" i="1"/>
  <c r="A240" i="1"/>
  <c r="D240" i="1"/>
  <c r="F240" i="1"/>
  <c r="H240" i="1"/>
  <c r="I240" i="1"/>
  <c r="L240" i="1"/>
  <c r="M240" i="1"/>
  <c r="V240" i="1"/>
  <c r="W240" i="1"/>
  <c r="A254" i="1"/>
  <c r="D254" i="1"/>
  <c r="F254" i="1"/>
  <c r="H254" i="1"/>
  <c r="I254" i="1"/>
  <c r="L254" i="1"/>
  <c r="M254" i="1"/>
  <c r="V254" i="1"/>
  <c r="W254" i="1"/>
  <c r="A5118" i="1"/>
  <c r="D5118" i="1"/>
  <c r="F5118" i="1"/>
  <c r="H5118" i="1"/>
  <c r="I5118" i="1"/>
  <c r="L5118" i="1"/>
  <c r="M5118" i="1"/>
  <c r="V5118" i="1"/>
  <c r="W5118" i="1"/>
  <c r="A5148" i="1"/>
  <c r="D5148" i="1"/>
  <c r="F5148" i="1"/>
  <c r="H5148" i="1"/>
  <c r="I5148" i="1"/>
  <c r="L5148" i="1"/>
  <c r="M5148" i="1"/>
  <c r="V5148" i="1"/>
  <c r="W5148" i="1"/>
  <c r="A5238" i="1"/>
  <c r="D5238" i="1"/>
  <c r="F5238" i="1"/>
  <c r="H5238" i="1"/>
  <c r="I5238" i="1"/>
  <c r="L5238" i="1"/>
  <c r="M5238" i="1"/>
  <c r="V5238" i="1"/>
  <c r="W5238" i="1"/>
  <c r="A4334" i="1"/>
  <c r="D4334" i="1"/>
  <c r="F4334" i="1"/>
  <c r="H4334" i="1"/>
  <c r="I4334" i="1"/>
  <c r="L4334" i="1"/>
  <c r="M4334" i="1"/>
  <c r="V4334" i="1"/>
  <c r="W4334" i="1"/>
  <c r="A536" i="1"/>
  <c r="D536" i="1"/>
  <c r="F536" i="1"/>
  <c r="H536" i="1"/>
  <c r="I536" i="1"/>
  <c r="L536" i="1"/>
  <c r="M536" i="1"/>
  <c r="V536" i="1"/>
  <c r="W536" i="1"/>
  <c r="A5966" i="1"/>
  <c r="D5966" i="1"/>
  <c r="F5966" i="1"/>
  <c r="H5966" i="1"/>
  <c r="I5966" i="1"/>
  <c r="L5966" i="1"/>
  <c r="M5966" i="1"/>
  <c r="V5966" i="1"/>
  <c r="W5966" i="1"/>
  <c r="A1504" i="1"/>
  <c r="D1504" i="1"/>
  <c r="F1504" i="1"/>
  <c r="H1504" i="1"/>
  <c r="I1504" i="1"/>
  <c r="L1504" i="1"/>
  <c r="M1504" i="1"/>
  <c r="V1504" i="1"/>
  <c r="W1504" i="1"/>
  <c r="A1126" i="1"/>
  <c r="D1126" i="1"/>
  <c r="F1126" i="1"/>
  <c r="H1126" i="1"/>
  <c r="I1126" i="1"/>
  <c r="L1126" i="1"/>
  <c r="M1126" i="1"/>
  <c r="V1126" i="1"/>
  <c r="W1126" i="1"/>
  <c r="A2729" i="1"/>
  <c r="D2729" i="1"/>
  <c r="F2729" i="1"/>
  <c r="H2729" i="1"/>
  <c r="I2729" i="1"/>
  <c r="L2729" i="1"/>
  <c r="M2729" i="1"/>
  <c r="V2729" i="1"/>
  <c r="W2729" i="1"/>
  <c r="A712" i="1"/>
  <c r="D712" i="1"/>
  <c r="F712" i="1"/>
  <c r="H712" i="1"/>
  <c r="I712" i="1"/>
  <c r="L712" i="1"/>
  <c r="M712" i="1"/>
  <c r="V712" i="1"/>
  <c r="W712" i="1"/>
  <c r="A1404" i="1"/>
  <c r="D1404" i="1"/>
  <c r="F1404" i="1"/>
  <c r="H1404" i="1"/>
  <c r="I1404" i="1"/>
  <c r="L1404" i="1"/>
  <c r="M1404" i="1"/>
  <c r="V1404" i="1"/>
  <c r="W1404" i="1"/>
  <c r="A687" i="1"/>
  <c r="D687" i="1"/>
  <c r="F687" i="1"/>
  <c r="H687" i="1"/>
  <c r="I687" i="1"/>
  <c r="L687" i="1"/>
  <c r="M687" i="1"/>
  <c r="V687" i="1"/>
  <c r="W687" i="1"/>
  <c r="A987" i="1"/>
  <c r="D987" i="1"/>
  <c r="F987" i="1"/>
  <c r="H987" i="1"/>
  <c r="I987" i="1"/>
  <c r="L987" i="1"/>
  <c r="M987" i="1"/>
  <c r="V987" i="1"/>
  <c r="W987" i="1"/>
  <c r="A1002" i="1"/>
  <c r="D1002" i="1"/>
  <c r="F1002" i="1"/>
  <c r="H1002" i="1"/>
  <c r="I1002" i="1"/>
  <c r="L1002" i="1"/>
  <c r="M1002" i="1"/>
  <c r="V1002" i="1"/>
  <c r="W1002" i="1"/>
  <c r="A770" i="1"/>
  <c r="D770" i="1"/>
  <c r="F770" i="1"/>
  <c r="H770" i="1"/>
  <c r="I770" i="1"/>
  <c r="L770" i="1"/>
  <c r="M770" i="1"/>
  <c r="V770" i="1"/>
  <c r="W770" i="1"/>
  <c r="A973" i="1"/>
  <c r="D973" i="1"/>
  <c r="F973" i="1"/>
  <c r="H973" i="1"/>
  <c r="I973" i="1"/>
  <c r="L973" i="1"/>
  <c r="M973" i="1"/>
  <c r="V973" i="1"/>
  <c r="W973" i="1"/>
  <c r="A1199" i="1"/>
  <c r="D1199" i="1"/>
  <c r="F1199" i="1"/>
  <c r="H1199" i="1"/>
  <c r="I1199" i="1"/>
  <c r="L1199" i="1"/>
  <c r="M1199" i="1"/>
  <c r="V1199" i="1"/>
  <c r="W1199" i="1"/>
  <c r="A1450" i="1"/>
  <c r="D1450" i="1"/>
  <c r="F1450" i="1"/>
  <c r="H1450" i="1"/>
  <c r="I1450" i="1"/>
  <c r="L1450" i="1"/>
  <c r="M1450" i="1"/>
  <c r="V1450" i="1"/>
  <c r="W1450" i="1"/>
  <c r="A1474" i="1"/>
  <c r="D1474" i="1"/>
  <c r="F1474" i="1"/>
  <c r="H1474" i="1"/>
  <c r="I1474" i="1"/>
  <c r="L1474" i="1"/>
  <c r="M1474" i="1"/>
  <c r="V1474" i="1"/>
  <c r="W1474" i="1"/>
  <c r="A2922" i="1"/>
  <c r="D2922" i="1"/>
  <c r="F2922" i="1"/>
  <c r="H2922" i="1"/>
  <c r="I2922" i="1"/>
  <c r="L2922" i="1"/>
  <c r="M2922" i="1"/>
  <c r="V2922" i="1"/>
  <c r="W2922" i="1"/>
  <c r="A2944" i="1"/>
  <c r="D2944" i="1"/>
  <c r="F2944" i="1"/>
  <c r="H2944" i="1"/>
  <c r="I2944" i="1"/>
  <c r="L2944" i="1"/>
  <c r="M2944" i="1"/>
  <c r="V2944" i="1"/>
  <c r="W2944" i="1"/>
  <c r="A5451" i="1"/>
  <c r="D5451" i="1"/>
  <c r="F5451" i="1"/>
  <c r="H5451" i="1"/>
  <c r="I5451" i="1"/>
  <c r="L5451" i="1"/>
  <c r="M5451" i="1"/>
  <c r="V5451" i="1"/>
  <c r="W5451" i="1"/>
  <c r="A5567" i="1"/>
  <c r="D5567" i="1"/>
  <c r="F5567" i="1"/>
  <c r="H5567" i="1"/>
  <c r="I5567" i="1"/>
  <c r="L5567" i="1"/>
  <c r="M5567" i="1"/>
  <c r="V5567" i="1"/>
  <c r="W5567" i="1"/>
  <c r="A5621" i="1"/>
  <c r="D5621" i="1"/>
  <c r="F5621" i="1"/>
  <c r="H5621" i="1"/>
  <c r="I5621" i="1"/>
  <c r="L5621" i="1"/>
  <c r="M5621" i="1"/>
  <c r="V5621" i="1"/>
  <c r="W5621" i="1"/>
  <c r="A5714" i="1"/>
  <c r="D5714" i="1"/>
  <c r="F5714" i="1"/>
  <c r="H5714" i="1"/>
  <c r="I5714" i="1"/>
  <c r="L5714" i="1"/>
  <c r="M5714" i="1"/>
  <c r="V5714" i="1"/>
  <c r="W5714" i="1"/>
  <c r="A5809" i="1"/>
  <c r="D5809" i="1"/>
  <c r="F5809" i="1"/>
  <c r="H5809" i="1"/>
  <c r="I5809" i="1"/>
  <c r="L5809" i="1"/>
  <c r="M5809" i="1"/>
  <c r="V5809" i="1"/>
  <c r="W5809" i="1"/>
  <c r="A5951" i="1"/>
  <c r="D5951" i="1"/>
  <c r="F5951" i="1"/>
  <c r="H5951" i="1"/>
  <c r="I5951" i="1"/>
  <c r="L5951" i="1"/>
  <c r="M5951" i="1"/>
  <c r="V5951" i="1"/>
  <c r="W5951" i="1"/>
  <c r="A5992" i="1"/>
  <c r="D5992" i="1"/>
  <c r="F5992" i="1"/>
  <c r="H5992" i="1"/>
  <c r="I5992" i="1"/>
  <c r="L5992" i="1"/>
  <c r="M5992" i="1"/>
  <c r="V5992" i="1"/>
  <c r="W5992" i="1"/>
  <c r="A6185" i="1"/>
  <c r="D6185" i="1"/>
  <c r="F6185" i="1"/>
  <c r="H6185" i="1"/>
  <c r="I6185" i="1"/>
  <c r="L6185" i="1"/>
  <c r="M6185" i="1"/>
  <c r="V6185" i="1"/>
  <c r="W6185" i="1"/>
  <c r="A1976" i="1"/>
  <c r="D1976" i="1"/>
  <c r="F1976" i="1"/>
  <c r="H1976" i="1"/>
  <c r="I1976" i="1"/>
  <c r="L1976" i="1"/>
  <c r="M1976" i="1"/>
  <c r="V1976" i="1"/>
  <c r="W1976" i="1"/>
  <c r="A3506" i="1"/>
  <c r="D3506" i="1"/>
  <c r="F3506" i="1"/>
  <c r="H3506" i="1"/>
  <c r="I3506" i="1"/>
  <c r="L3506" i="1"/>
  <c r="M3506" i="1"/>
  <c r="V3506" i="1"/>
  <c r="W3506" i="1"/>
  <c r="A3391" i="1"/>
  <c r="D3391" i="1"/>
  <c r="F3391" i="1"/>
  <c r="H3391" i="1"/>
  <c r="I3391" i="1"/>
  <c r="L3391" i="1"/>
  <c r="M3391" i="1"/>
  <c r="V3391" i="1"/>
  <c r="W3391" i="1"/>
  <c r="A3553" i="1"/>
  <c r="D3553" i="1"/>
  <c r="F3553" i="1"/>
  <c r="H3553" i="1"/>
  <c r="I3553" i="1"/>
  <c r="L3553" i="1"/>
  <c r="M3553" i="1"/>
  <c r="V3553" i="1"/>
  <c r="W3553" i="1"/>
  <c r="A4791" i="1"/>
  <c r="D4791" i="1"/>
  <c r="F4791" i="1"/>
  <c r="H4791" i="1"/>
  <c r="I4791" i="1"/>
  <c r="L4791" i="1"/>
  <c r="M4791" i="1"/>
  <c r="V4791" i="1"/>
  <c r="W4791" i="1"/>
  <c r="A3185" i="1"/>
  <c r="D3185" i="1"/>
  <c r="F3185" i="1"/>
  <c r="H3185" i="1"/>
  <c r="I3185" i="1"/>
  <c r="L3185" i="1"/>
  <c r="M3185" i="1"/>
  <c r="V3185" i="1"/>
  <c r="W3185" i="1"/>
  <c r="A4675" i="1"/>
  <c r="D4675" i="1"/>
  <c r="F4675" i="1"/>
  <c r="H4675" i="1"/>
  <c r="I4675" i="1"/>
  <c r="L4675" i="1"/>
  <c r="M4675" i="1"/>
  <c r="V4675" i="1"/>
  <c r="W4675" i="1"/>
  <c r="A3413" i="1"/>
  <c r="D3413" i="1"/>
  <c r="F3413" i="1"/>
  <c r="H3413" i="1"/>
  <c r="I3413" i="1"/>
  <c r="L3413" i="1"/>
  <c r="M3413" i="1"/>
  <c r="V3413" i="1"/>
  <c r="W3413" i="1"/>
  <c r="A3418" i="1"/>
  <c r="D3418" i="1"/>
  <c r="F3418" i="1"/>
  <c r="H3418" i="1"/>
  <c r="I3418" i="1"/>
  <c r="L3418" i="1"/>
  <c r="M3418" i="1"/>
  <c r="V3418" i="1"/>
  <c r="W3418" i="1"/>
  <c r="A626" i="1"/>
  <c r="D626" i="1"/>
  <c r="F626" i="1"/>
  <c r="H626" i="1"/>
  <c r="I626" i="1"/>
  <c r="L626" i="1"/>
  <c r="M626" i="1"/>
  <c r="V626" i="1"/>
  <c r="W626" i="1"/>
  <c r="A627" i="1"/>
  <c r="D627" i="1"/>
  <c r="F627" i="1"/>
  <c r="H627" i="1"/>
  <c r="I627" i="1"/>
  <c r="L627" i="1"/>
  <c r="M627" i="1"/>
  <c r="V627" i="1"/>
  <c r="W627" i="1"/>
  <c r="A629" i="1"/>
  <c r="D629" i="1"/>
  <c r="F629" i="1"/>
  <c r="H629" i="1"/>
  <c r="I629" i="1"/>
  <c r="L629" i="1"/>
  <c r="M629" i="1"/>
  <c r="V629" i="1"/>
  <c r="W629" i="1"/>
  <c r="A324" i="1"/>
  <c r="D324" i="1"/>
  <c r="F324" i="1"/>
  <c r="H324" i="1"/>
  <c r="I324" i="1"/>
  <c r="L324" i="1"/>
  <c r="M324" i="1"/>
  <c r="V324" i="1"/>
  <c r="W324" i="1"/>
  <c r="A652" i="1"/>
  <c r="D652" i="1"/>
  <c r="F652" i="1"/>
  <c r="H652" i="1"/>
  <c r="I652" i="1"/>
  <c r="L652" i="1"/>
  <c r="M652" i="1"/>
  <c r="V652" i="1"/>
  <c r="W652" i="1"/>
  <c r="A5066" i="1"/>
  <c r="D5066" i="1"/>
  <c r="F5066" i="1"/>
  <c r="H5066" i="1"/>
  <c r="I5066" i="1"/>
  <c r="L5066" i="1"/>
  <c r="M5066" i="1"/>
  <c r="V5066" i="1"/>
  <c r="W5066" i="1"/>
  <c r="A6055" i="1"/>
  <c r="D6055" i="1"/>
  <c r="F6055" i="1"/>
  <c r="H6055" i="1"/>
  <c r="I6055" i="1"/>
  <c r="L6055" i="1"/>
  <c r="M6055" i="1"/>
  <c r="V6055" i="1"/>
  <c r="W6055" i="1"/>
  <c r="A352" i="1"/>
  <c r="D352" i="1"/>
  <c r="F352" i="1"/>
  <c r="H352" i="1"/>
  <c r="I352" i="1"/>
  <c r="L352" i="1"/>
  <c r="M352" i="1"/>
  <c r="V352" i="1"/>
  <c r="W352" i="1"/>
  <c r="A6115" i="1"/>
  <c r="D6115" i="1"/>
  <c r="F6115" i="1"/>
  <c r="H6115" i="1"/>
  <c r="I6115" i="1"/>
  <c r="L6115" i="1"/>
  <c r="M6115" i="1"/>
  <c r="V6115" i="1"/>
  <c r="W6115" i="1"/>
  <c r="A6155" i="1"/>
  <c r="D6155" i="1"/>
  <c r="F6155" i="1"/>
  <c r="H6155" i="1"/>
  <c r="I6155" i="1"/>
  <c r="L6155" i="1"/>
  <c r="M6155" i="1"/>
  <c r="V6155" i="1"/>
  <c r="W6155" i="1"/>
  <c r="A3060" i="1"/>
  <c r="D3060" i="1"/>
  <c r="F3060" i="1"/>
  <c r="H3060" i="1"/>
  <c r="I3060" i="1"/>
  <c r="L3060" i="1"/>
  <c r="M3060" i="1"/>
  <c r="V3060" i="1"/>
  <c r="W3060" i="1"/>
  <c r="A6127" i="1"/>
  <c r="D6127" i="1"/>
  <c r="F6127" i="1"/>
  <c r="H6127" i="1"/>
  <c r="I6127" i="1"/>
  <c r="L6127" i="1"/>
  <c r="M6127" i="1"/>
  <c r="V6127" i="1"/>
  <c r="W6127" i="1"/>
  <c r="A1964" i="1"/>
  <c r="D1964" i="1"/>
  <c r="F1964" i="1"/>
  <c r="H1964" i="1"/>
  <c r="I1964" i="1"/>
  <c r="L1964" i="1"/>
  <c r="M1964" i="1"/>
  <c r="V1964" i="1"/>
  <c r="W1964" i="1"/>
  <c r="A2522" i="1"/>
  <c r="D2522" i="1"/>
  <c r="F2522" i="1"/>
  <c r="H2522" i="1"/>
  <c r="I2522" i="1"/>
  <c r="L2522" i="1"/>
  <c r="M2522" i="1"/>
  <c r="V2522" i="1"/>
  <c r="W2522" i="1"/>
  <c r="A2501" i="1"/>
  <c r="D2501" i="1"/>
  <c r="F2501" i="1"/>
  <c r="H2501" i="1"/>
  <c r="I2501" i="1"/>
  <c r="L2501" i="1"/>
  <c r="M2501" i="1"/>
  <c r="V2501" i="1"/>
  <c r="W2501" i="1"/>
  <c r="A4024" i="1"/>
  <c r="D4024" i="1"/>
  <c r="F4024" i="1"/>
  <c r="H4024" i="1"/>
  <c r="I4024" i="1"/>
  <c r="L4024" i="1"/>
  <c r="M4024" i="1"/>
  <c r="V4024" i="1"/>
  <c r="W4024" i="1"/>
  <c r="A3186" i="1"/>
  <c r="D3186" i="1"/>
  <c r="F3186" i="1"/>
  <c r="H3186" i="1"/>
  <c r="I3186" i="1"/>
  <c r="L3186" i="1"/>
  <c r="M3186" i="1"/>
  <c r="V3186" i="1"/>
  <c r="W3186" i="1"/>
  <c r="A2721" i="1"/>
  <c r="D2721" i="1"/>
  <c r="F2721" i="1"/>
  <c r="H2721" i="1"/>
  <c r="I2721" i="1"/>
  <c r="L2721" i="1"/>
  <c r="M2721" i="1"/>
  <c r="V2721" i="1"/>
  <c r="W2721" i="1"/>
  <c r="A3389" i="1"/>
  <c r="D3389" i="1"/>
  <c r="F3389" i="1"/>
  <c r="H3389" i="1"/>
  <c r="I3389" i="1"/>
  <c r="L3389" i="1"/>
  <c r="M3389" i="1"/>
  <c r="V3389" i="1"/>
  <c r="W3389" i="1"/>
  <c r="A3768" i="1"/>
  <c r="D3768" i="1"/>
  <c r="F3768" i="1"/>
  <c r="H3768" i="1"/>
  <c r="I3768" i="1"/>
  <c r="L3768" i="1"/>
  <c r="M3768" i="1"/>
  <c r="V3768" i="1"/>
  <c r="W3768" i="1"/>
  <c r="A4432" i="1"/>
  <c r="D4432" i="1"/>
  <c r="F4432" i="1"/>
  <c r="H4432" i="1"/>
  <c r="I4432" i="1"/>
  <c r="L4432" i="1"/>
  <c r="M4432" i="1"/>
  <c r="V4432" i="1"/>
  <c r="W4432" i="1"/>
  <c r="A2317" i="1"/>
  <c r="D2317" i="1"/>
  <c r="F2317" i="1"/>
  <c r="H2317" i="1"/>
  <c r="I2317" i="1"/>
  <c r="L2317" i="1"/>
  <c r="M2317" i="1"/>
  <c r="V2317" i="1"/>
  <c r="W2317" i="1"/>
  <c r="A394" i="1"/>
  <c r="D394" i="1"/>
  <c r="F394" i="1"/>
  <c r="H394" i="1"/>
  <c r="I394" i="1"/>
  <c r="L394" i="1"/>
  <c r="M394" i="1"/>
  <c r="V394" i="1"/>
  <c r="W394" i="1"/>
  <c r="A440" i="1"/>
  <c r="D440" i="1"/>
  <c r="F440" i="1"/>
  <c r="H440" i="1"/>
  <c r="I440" i="1"/>
  <c r="L440" i="1"/>
  <c r="M440" i="1"/>
  <c r="V440" i="1"/>
  <c r="W440" i="1"/>
  <c r="A367" i="1"/>
  <c r="D367" i="1"/>
  <c r="F367" i="1"/>
  <c r="H367" i="1"/>
  <c r="I367" i="1"/>
  <c r="L367" i="1"/>
  <c r="M367" i="1"/>
  <c r="V367" i="1"/>
  <c r="W367" i="1"/>
  <c r="A4889" i="1"/>
  <c r="D4889" i="1"/>
  <c r="F4889" i="1"/>
  <c r="H4889" i="1"/>
  <c r="I4889" i="1"/>
  <c r="L4889" i="1"/>
  <c r="M4889" i="1"/>
  <c r="V4889" i="1"/>
  <c r="W4889" i="1"/>
  <c r="A1216" i="1"/>
  <c r="D1216" i="1"/>
  <c r="F1216" i="1"/>
  <c r="H1216" i="1"/>
  <c r="I1216" i="1"/>
  <c r="L1216" i="1"/>
  <c r="M1216" i="1"/>
  <c r="V1216" i="1"/>
  <c r="W1216" i="1"/>
  <c r="A1434" i="1"/>
  <c r="D1434" i="1"/>
  <c r="F1434" i="1"/>
  <c r="H1434" i="1"/>
  <c r="I1434" i="1"/>
  <c r="L1434" i="1"/>
  <c r="M1434" i="1"/>
  <c r="V1434" i="1"/>
  <c r="W1434" i="1"/>
  <c r="A5260" i="1"/>
  <c r="D5260" i="1"/>
  <c r="F5260" i="1"/>
  <c r="H5260" i="1"/>
  <c r="I5260" i="1"/>
  <c r="L5260" i="1"/>
  <c r="M5260" i="1"/>
  <c r="V5260" i="1"/>
  <c r="W5260" i="1"/>
  <c r="A5006" i="1"/>
  <c r="D5006" i="1"/>
  <c r="F5006" i="1"/>
  <c r="H5006" i="1"/>
  <c r="I5006" i="1"/>
  <c r="L5006" i="1"/>
  <c r="M5006" i="1"/>
  <c r="V5006" i="1"/>
  <c r="W5006" i="1"/>
  <c r="A3616" i="1"/>
  <c r="D3616" i="1"/>
  <c r="F3616" i="1"/>
  <c r="H3616" i="1"/>
  <c r="I3616" i="1"/>
  <c r="L3616" i="1"/>
  <c r="M3616" i="1"/>
  <c r="V3616" i="1"/>
  <c r="W3616" i="1"/>
  <c r="A179" i="1"/>
  <c r="D179" i="1"/>
  <c r="F179" i="1"/>
  <c r="H179" i="1"/>
  <c r="I179" i="1"/>
  <c r="L179" i="1"/>
  <c r="M179" i="1"/>
  <c r="V179" i="1"/>
  <c r="W179" i="1"/>
  <c r="A377" i="1"/>
  <c r="D377" i="1"/>
  <c r="F377" i="1"/>
  <c r="H377" i="1"/>
  <c r="I377" i="1"/>
  <c r="L377" i="1"/>
  <c r="M377" i="1"/>
  <c r="V377" i="1"/>
  <c r="W377" i="1"/>
  <c r="A676" i="1"/>
  <c r="D676" i="1"/>
  <c r="F676" i="1"/>
  <c r="H676" i="1"/>
  <c r="I676" i="1"/>
  <c r="L676" i="1"/>
  <c r="M676" i="1"/>
  <c r="V676" i="1"/>
  <c r="W676" i="1"/>
  <c r="A1672" i="1"/>
  <c r="D1672" i="1"/>
  <c r="F1672" i="1"/>
  <c r="H1672" i="1"/>
  <c r="I1672" i="1"/>
  <c r="L1672" i="1"/>
  <c r="M1672" i="1"/>
  <c r="V1672" i="1"/>
  <c r="W1672" i="1"/>
  <c r="A2128" i="1"/>
  <c r="D2128" i="1"/>
  <c r="F2128" i="1"/>
  <c r="H2128" i="1"/>
  <c r="I2128" i="1"/>
  <c r="L2128" i="1"/>
  <c r="M2128" i="1"/>
  <c r="V2128" i="1"/>
  <c r="W2128" i="1"/>
  <c r="A2635" i="1"/>
  <c r="D2635" i="1"/>
  <c r="F2635" i="1"/>
  <c r="H2635" i="1"/>
  <c r="I2635" i="1"/>
  <c r="L2635" i="1"/>
  <c r="M2635" i="1"/>
  <c r="V2635" i="1"/>
  <c r="W2635" i="1"/>
  <c r="A3174" i="1"/>
  <c r="D3174" i="1"/>
  <c r="F3174" i="1"/>
  <c r="H3174" i="1"/>
  <c r="I3174" i="1"/>
  <c r="L3174" i="1"/>
  <c r="M3174" i="1"/>
  <c r="V3174" i="1"/>
  <c r="W3174" i="1"/>
  <c r="A3458" i="1"/>
  <c r="D3458" i="1"/>
  <c r="F3458" i="1"/>
  <c r="H3458" i="1"/>
  <c r="I3458" i="1"/>
  <c r="L3458" i="1"/>
  <c r="M3458" i="1"/>
  <c r="V3458" i="1"/>
  <c r="W3458" i="1"/>
  <c r="A4530" i="1"/>
  <c r="D4530" i="1"/>
  <c r="F4530" i="1"/>
  <c r="H4530" i="1"/>
  <c r="I4530" i="1"/>
  <c r="L4530" i="1"/>
  <c r="M4530" i="1"/>
  <c r="V4530" i="1"/>
  <c r="W4530" i="1"/>
  <c r="A4643" i="1"/>
  <c r="D4643" i="1"/>
  <c r="F4643" i="1"/>
  <c r="H4643" i="1"/>
  <c r="I4643" i="1"/>
  <c r="L4643" i="1"/>
  <c r="M4643" i="1"/>
  <c r="V4643" i="1"/>
  <c r="W4643" i="1"/>
  <c r="A4665" i="1"/>
  <c r="D4665" i="1"/>
  <c r="F4665" i="1"/>
  <c r="H4665" i="1"/>
  <c r="I4665" i="1"/>
  <c r="L4665" i="1"/>
  <c r="M4665" i="1"/>
  <c r="V4665" i="1"/>
  <c r="W4665" i="1"/>
  <c r="A4975" i="1"/>
  <c r="D4975" i="1"/>
  <c r="F4975" i="1"/>
  <c r="H4975" i="1"/>
  <c r="I4975" i="1"/>
  <c r="L4975" i="1"/>
  <c r="M4975" i="1"/>
  <c r="V4975" i="1"/>
  <c r="W4975" i="1"/>
  <c r="A5418" i="1"/>
  <c r="D5418" i="1"/>
  <c r="F5418" i="1"/>
  <c r="H5418" i="1"/>
  <c r="I5418" i="1"/>
  <c r="L5418" i="1"/>
  <c r="M5418" i="1"/>
  <c r="V5418" i="1"/>
  <c r="W5418" i="1"/>
  <c r="A5673" i="1"/>
  <c r="D5673" i="1"/>
  <c r="F5673" i="1"/>
  <c r="H5673" i="1"/>
  <c r="I5673" i="1"/>
  <c r="L5673" i="1"/>
  <c r="M5673" i="1"/>
  <c r="V5673" i="1"/>
  <c r="W5673" i="1"/>
  <c r="A5782" i="1"/>
  <c r="D5782" i="1"/>
  <c r="F5782" i="1"/>
  <c r="H5782" i="1"/>
  <c r="I5782" i="1"/>
  <c r="L5782" i="1"/>
  <c r="M5782" i="1"/>
  <c r="V5782" i="1"/>
  <c r="W5782" i="1"/>
  <c r="A5866" i="1"/>
  <c r="D5866" i="1"/>
  <c r="F5866" i="1"/>
  <c r="H5866" i="1"/>
  <c r="I5866" i="1"/>
  <c r="L5866" i="1"/>
  <c r="M5866" i="1"/>
  <c r="V5866" i="1"/>
  <c r="W5866" i="1"/>
  <c r="A928" i="1"/>
  <c r="D928" i="1"/>
  <c r="F928" i="1"/>
  <c r="H928" i="1"/>
  <c r="I928" i="1"/>
  <c r="L928" i="1"/>
  <c r="M928" i="1"/>
  <c r="V928" i="1"/>
  <c r="W928" i="1"/>
  <c r="A4711" i="1"/>
  <c r="D4711" i="1"/>
  <c r="F4711" i="1"/>
  <c r="H4711" i="1"/>
  <c r="I4711" i="1"/>
  <c r="L4711" i="1"/>
  <c r="M4711" i="1"/>
  <c r="V4711" i="1"/>
  <c r="W4711" i="1"/>
  <c r="A4259" i="1"/>
  <c r="D4259" i="1"/>
  <c r="F4259" i="1"/>
  <c r="H4259" i="1"/>
  <c r="I4259" i="1"/>
  <c r="L4259" i="1"/>
  <c r="M4259" i="1"/>
  <c r="V4259" i="1"/>
  <c r="W4259" i="1"/>
  <c r="A1953" i="1"/>
  <c r="D1953" i="1"/>
  <c r="F1953" i="1"/>
  <c r="H1953" i="1"/>
  <c r="I1953" i="1"/>
  <c r="L1953" i="1"/>
  <c r="M1953" i="1"/>
  <c r="V1953" i="1"/>
  <c r="W1953" i="1"/>
  <c r="A5071" i="1"/>
  <c r="D5071" i="1"/>
  <c r="F5071" i="1"/>
  <c r="H5071" i="1"/>
  <c r="I5071" i="1"/>
  <c r="L5071" i="1"/>
  <c r="M5071" i="1"/>
  <c r="V5071" i="1"/>
  <c r="W5071" i="1"/>
  <c r="A5965" i="1"/>
  <c r="D5965" i="1"/>
  <c r="F5965" i="1"/>
  <c r="H5965" i="1"/>
  <c r="I5965" i="1"/>
  <c r="L5965" i="1"/>
  <c r="M5965" i="1"/>
  <c r="V5965" i="1"/>
  <c r="W5965" i="1"/>
  <c r="A218" i="1"/>
  <c r="D218" i="1"/>
  <c r="F218" i="1"/>
  <c r="H218" i="1"/>
  <c r="I218" i="1"/>
  <c r="L218" i="1"/>
  <c r="M218" i="1"/>
  <c r="V218" i="1"/>
  <c r="W218" i="1"/>
  <c r="A1320" i="1"/>
  <c r="D1320" i="1"/>
  <c r="F1320" i="1"/>
  <c r="H1320" i="1"/>
  <c r="I1320" i="1"/>
  <c r="L1320" i="1"/>
  <c r="M1320" i="1"/>
  <c r="V1320" i="1"/>
  <c r="W1320" i="1"/>
  <c r="A4832" i="1"/>
  <c r="D4832" i="1"/>
  <c r="F4832" i="1"/>
  <c r="H4832" i="1"/>
  <c r="I4832" i="1"/>
  <c r="L4832" i="1"/>
  <c r="M4832" i="1"/>
  <c r="V4832" i="1"/>
  <c r="W4832" i="1"/>
  <c r="A4858" i="1"/>
  <c r="D4858" i="1"/>
  <c r="F4858" i="1"/>
  <c r="H4858" i="1"/>
  <c r="I4858" i="1"/>
  <c r="L4858" i="1"/>
  <c r="M4858" i="1"/>
  <c r="V4858" i="1"/>
  <c r="W4858" i="1"/>
  <c r="A5308" i="1"/>
  <c r="D5308" i="1"/>
  <c r="F5308" i="1"/>
  <c r="H5308" i="1"/>
  <c r="I5308" i="1"/>
  <c r="L5308" i="1"/>
  <c r="M5308" i="1"/>
  <c r="V5308" i="1"/>
  <c r="W5308" i="1"/>
  <c r="A1455" i="1"/>
  <c r="D1455" i="1"/>
  <c r="F1455" i="1"/>
  <c r="H1455" i="1"/>
  <c r="I1455" i="1"/>
  <c r="L1455" i="1"/>
  <c r="M1455" i="1"/>
  <c r="V1455" i="1"/>
  <c r="W1455" i="1"/>
  <c r="A1416" i="1"/>
  <c r="D1416" i="1"/>
  <c r="F1416" i="1"/>
  <c r="H1416" i="1"/>
  <c r="I1416" i="1"/>
  <c r="L1416" i="1"/>
  <c r="M1416" i="1"/>
  <c r="V1416" i="1"/>
  <c r="W1416" i="1"/>
  <c r="A1546" i="1"/>
  <c r="D1546" i="1"/>
  <c r="F1546" i="1"/>
  <c r="H1546" i="1"/>
  <c r="I1546" i="1"/>
  <c r="L1546" i="1"/>
  <c r="M1546" i="1"/>
  <c r="V1546" i="1"/>
  <c r="W1546" i="1"/>
  <c r="A3789" i="1"/>
  <c r="D3789" i="1"/>
  <c r="F3789" i="1"/>
  <c r="H3789" i="1"/>
  <c r="I3789" i="1"/>
  <c r="L3789" i="1"/>
  <c r="M3789" i="1"/>
  <c r="V3789" i="1"/>
  <c r="W3789" i="1"/>
  <c r="A1708" i="1"/>
  <c r="D1708" i="1"/>
  <c r="F1708" i="1"/>
  <c r="H1708" i="1"/>
  <c r="I1708" i="1"/>
  <c r="L1708" i="1"/>
  <c r="M1708" i="1"/>
  <c r="V1708" i="1"/>
  <c r="W1708" i="1"/>
  <c r="A1293" i="1"/>
  <c r="D1293" i="1"/>
  <c r="F1293" i="1"/>
  <c r="H1293" i="1"/>
  <c r="I1293" i="1"/>
  <c r="L1293" i="1"/>
  <c r="M1293" i="1"/>
  <c r="V1293" i="1"/>
  <c r="W1293" i="1"/>
  <c r="A2525" i="1"/>
  <c r="D2525" i="1"/>
  <c r="F2525" i="1"/>
  <c r="H2525" i="1"/>
  <c r="I2525" i="1"/>
  <c r="L2525" i="1"/>
  <c r="M2525" i="1"/>
  <c r="V2525" i="1"/>
  <c r="W2525" i="1"/>
  <c r="A5834" i="1"/>
  <c r="D5834" i="1"/>
  <c r="F5834" i="1"/>
  <c r="H5834" i="1"/>
  <c r="I5834" i="1"/>
  <c r="L5834" i="1"/>
  <c r="M5834" i="1"/>
  <c r="V5834" i="1"/>
  <c r="W5834" i="1"/>
  <c r="A4119" i="1"/>
  <c r="D4119" i="1"/>
  <c r="F4119" i="1"/>
  <c r="H4119" i="1"/>
  <c r="I4119" i="1"/>
  <c r="L4119" i="1"/>
  <c r="M4119" i="1"/>
  <c r="V4119" i="1"/>
  <c r="W4119" i="1"/>
  <c r="A5770" i="1"/>
  <c r="D5770" i="1"/>
  <c r="F5770" i="1"/>
  <c r="H5770" i="1"/>
  <c r="I5770" i="1"/>
  <c r="L5770" i="1"/>
  <c r="M5770" i="1"/>
  <c r="V5770" i="1"/>
  <c r="W5770" i="1"/>
  <c r="A6090" i="1"/>
  <c r="D6090" i="1"/>
  <c r="F6090" i="1"/>
  <c r="H6090" i="1"/>
  <c r="I6090" i="1"/>
  <c r="L6090" i="1"/>
  <c r="M6090" i="1"/>
  <c r="V6090" i="1"/>
  <c r="W6090" i="1"/>
  <c r="A727" i="1"/>
  <c r="D727" i="1"/>
  <c r="F727" i="1"/>
  <c r="H727" i="1"/>
  <c r="I727" i="1"/>
  <c r="L727" i="1"/>
  <c r="M727" i="1"/>
  <c r="V727" i="1"/>
  <c r="W727" i="1"/>
  <c r="A228" i="1"/>
  <c r="D228" i="1"/>
  <c r="F228" i="1"/>
  <c r="H228" i="1"/>
  <c r="I228" i="1"/>
  <c r="L228" i="1"/>
  <c r="M228" i="1"/>
  <c r="V228" i="1"/>
  <c r="W228" i="1"/>
  <c r="A4436" i="1"/>
  <c r="D4436" i="1"/>
  <c r="F4436" i="1"/>
  <c r="H4436" i="1"/>
  <c r="I4436" i="1"/>
  <c r="L4436" i="1"/>
  <c r="M4436" i="1"/>
  <c r="V4436" i="1"/>
  <c r="W4436" i="1"/>
  <c r="A55" i="1"/>
  <c r="D55" i="1"/>
  <c r="F55" i="1"/>
  <c r="H55" i="1"/>
  <c r="I55" i="1"/>
  <c r="L55" i="1"/>
  <c r="M55" i="1"/>
  <c r="V55" i="1"/>
  <c r="W55" i="1"/>
  <c r="A4768" i="1"/>
  <c r="D4768" i="1"/>
  <c r="F4768" i="1"/>
  <c r="H4768" i="1"/>
  <c r="I4768" i="1"/>
  <c r="L4768" i="1"/>
  <c r="M4768" i="1"/>
  <c r="V4768" i="1"/>
  <c r="W4768" i="1"/>
  <c r="A5001" i="1"/>
  <c r="D5001" i="1"/>
  <c r="F5001" i="1"/>
  <c r="H5001" i="1"/>
  <c r="I5001" i="1"/>
  <c r="L5001" i="1"/>
  <c r="M5001" i="1"/>
  <c r="V5001" i="1"/>
  <c r="W5001" i="1"/>
  <c r="A5410" i="1"/>
  <c r="D5410" i="1"/>
  <c r="F5410" i="1"/>
  <c r="H5410" i="1"/>
  <c r="I5410" i="1"/>
  <c r="L5410" i="1"/>
  <c r="M5410" i="1"/>
  <c r="V5410" i="1"/>
  <c r="W5410" i="1"/>
  <c r="A4117" i="1"/>
  <c r="D4117" i="1"/>
  <c r="F4117" i="1"/>
  <c r="H4117" i="1"/>
  <c r="I4117" i="1"/>
  <c r="L4117" i="1"/>
  <c r="M4117" i="1"/>
  <c r="V4117" i="1"/>
  <c r="W4117" i="1"/>
  <c r="A4536" i="1"/>
  <c r="D4536" i="1"/>
  <c r="F4536" i="1"/>
  <c r="H4536" i="1"/>
  <c r="I4536" i="1"/>
  <c r="L4536" i="1"/>
  <c r="M4536" i="1"/>
  <c r="V4536" i="1"/>
  <c r="W4536" i="1"/>
  <c r="A5361" i="1"/>
  <c r="D5361" i="1"/>
  <c r="F5361" i="1"/>
  <c r="H5361" i="1"/>
  <c r="I5361" i="1"/>
  <c r="L5361" i="1"/>
  <c r="M5361" i="1"/>
  <c r="V5361" i="1"/>
  <c r="W5361" i="1"/>
  <c r="A318" i="1"/>
  <c r="D318" i="1"/>
  <c r="F318" i="1"/>
  <c r="H318" i="1"/>
  <c r="I318" i="1"/>
  <c r="L318" i="1"/>
  <c r="M318" i="1"/>
  <c r="V318" i="1"/>
  <c r="W318" i="1"/>
  <c r="A513" i="1"/>
  <c r="D513" i="1"/>
  <c r="F513" i="1"/>
  <c r="H513" i="1"/>
  <c r="I513" i="1"/>
  <c r="L513" i="1"/>
  <c r="M513" i="1"/>
  <c r="V513" i="1"/>
  <c r="W513" i="1"/>
  <c r="A1822" i="1"/>
  <c r="D1822" i="1"/>
  <c r="F1822" i="1"/>
  <c r="H1822" i="1"/>
  <c r="I1822" i="1"/>
  <c r="L1822" i="1"/>
  <c r="M1822" i="1"/>
  <c r="V1822" i="1"/>
  <c r="W1822" i="1"/>
  <c r="A2508" i="1"/>
  <c r="D2508" i="1"/>
  <c r="F2508" i="1"/>
  <c r="H2508" i="1"/>
  <c r="I2508" i="1"/>
  <c r="L2508" i="1"/>
  <c r="M2508" i="1"/>
  <c r="V2508" i="1"/>
  <c r="W2508" i="1"/>
  <c r="A3358" i="1"/>
  <c r="D3358" i="1"/>
  <c r="F3358" i="1"/>
  <c r="H3358" i="1"/>
  <c r="I3358" i="1"/>
  <c r="L3358" i="1"/>
  <c r="M3358" i="1"/>
  <c r="V3358" i="1"/>
  <c r="W3358" i="1"/>
  <c r="A4160" i="1"/>
  <c r="D4160" i="1"/>
  <c r="F4160" i="1"/>
  <c r="H4160" i="1"/>
  <c r="I4160" i="1"/>
  <c r="L4160" i="1"/>
  <c r="M4160" i="1"/>
  <c r="V4160" i="1"/>
  <c r="W4160" i="1"/>
  <c r="A2850" i="1"/>
  <c r="D2850" i="1"/>
  <c r="F2850" i="1"/>
  <c r="H2850" i="1"/>
  <c r="I2850" i="1"/>
  <c r="L2850" i="1"/>
  <c r="M2850" i="1"/>
  <c r="V2850" i="1"/>
  <c r="W2850" i="1"/>
  <c r="A2838" i="1"/>
  <c r="D2838" i="1"/>
  <c r="F2838" i="1"/>
  <c r="H2838" i="1"/>
  <c r="I2838" i="1"/>
  <c r="L2838" i="1"/>
  <c r="M2838" i="1"/>
  <c r="V2838" i="1"/>
  <c r="W2838" i="1"/>
  <c r="A2856" i="1"/>
  <c r="D2856" i="1"/>
  <c r="F2856" i="1"/>
  <c r="H2856" i="1"/>
  <c r="I2856" i="1"/>
  <c r="L2856" i="1"/>
  <c r="M2856" i="1"/>
  <c r="V2856" i="1"/>
  <c r="W2856" i="1"/>
  <c r="A2996" i="1"/>
  <c r="D2996" i="1"/>
  <c r="F2996" i="1"/>
  <c r="H2996" i="1"/>
  <c r="I2996" i="1"/>
  <c r="L2996" i="1"/>
  <c r="M2996" i="1"/>
  <c r="V2996" i="1"/>
  <c r="W2996" i="1"/>
  <c r="A4996" i="1"/>
  <c r="D4996" i="1"/>
  <c r="F4996" i="1"/>
  <c r="H4996" i="1"/>
  <c r="I4996" i="1"/>
  <c r="L4996" i="1"/>
  <c r="M4996" i="1"/>
  <c r="V4996" i="1"/>
  <c r="W4996" i="1"/>
  <c r="A5552" i="1"/>
  <c r="D5552" i="1"/>
  <c r="F5552" i="1"/>
  <c r="H5552" i="1"/>
  <c r="I5552" i="1"/>
  <c r="L5552" i="1"/>
  <c r="M5552" i="1"/>
  <c r="V5552" i="1"/>
  <c r="W5552" i="1"/>
  <c r="A3563" i="1"/>
  <c r="D3563" i="1"/>
  <c r="F3563" i="1"/>
  <c r="H3563" i="1"/>
  <c r="I3563" i="1"/>
  <c r="L3563" i="1"/>
  <c r="M3563" i="1"/>
  <c r="V3563" i="1"/>
  <c r="W3563" i="1"/>
  <c r="A2413" i="1"/>
  <c r="D2413" i="1"/>
  <c r="F2413" i="1"/>
  <c r="H2413" i="1"/>
  <c r="I2413" i="1"/>
  <c r="L2413" i="1"/>
  <c r="M2413" i="1"/>
  <c r="V2413" i="1"/>
  <c r="W2413" i="1"/>
  <c r="A2748" i="1"/>
  <c r="D2748" i="1"/>
  <c r="F2748" i="1"/>
  <c r="H2748" i="1"/>
  <c r="I2748" i="1"/>
  <c r="L2748" i="1"/>
  <c r="M2748" i="1"/>
  <c r="V2748" i="1"/>
  <c r="W2748" i="1"/>
  <c r="A2672" i="1"/>
  <c r="D2672" i="1"/>
  <c r="F2672" i="1"/>
  <c r="H2672" i="1"/>
  <c r="I2672" i="1"/>
  <c r="L2672" i="1"/>
  <c r="M2672" i="1"/>
  <c r="V2672" i="1"/>
  <c r="W2672" i="1"/>
  <c r="A3691" i="1"/>
  <c r="D3691" i="1"/>
  <c r="F3691" i="1"/>
  <c r="H3691" i="1"/>
  <c r="I3691" i="1"/>
  <c r="L3691" i="1"/>
  <c r="M3691" i="1"/>
  <c r="V3691" i="1"/>
  <c r="W3691" i="1"/>
  <c r="A6038" i="1"/>
  <c r="D6038" i="1"/>
  <c r="F6038" i="1"/>
  <c r="H6038" i="1"/>
  <c r="I6038" i="1"/>
  <c r="L6038" i="1"/>
  <c r="M6038" i="1"/>
  <c r="V6038" i="1"/>
  <c r="W6038" i="1"/>
  <c r="A271" i="1"/>
  <c r="D271" i="1"/>
  <c r="F271" i="1"/>
  <c r="H271" i="1"/>
  <c r="I271" i="1"/>
  <c r="L271" i="1"/>
  <c r="M271" i="1"/>
  <c r="V271" i="1"/>
  <c r="W271" i="1"/>
  <c r="A1972" i="1"/>
  <c r="D1972" i="1"/>
  <c r="F1972" i="1"/>
  <c r="H1972" i="1"/>
  <c r="I1972" i="1"/>
  <c r="L1972" i="1"/>
  <c r="M1972" i="1"/>
  <c r="V1972" i="1"/>
  <c r="W1972" i="1"/>
  <c r="A2899" i="1"/>
  <c r="D2899" i="1"/>
  <c r="F2899" i="1"/>
  <c r="H2899" i="1"/>
  <c r="I2899" i="1"/>
  <c r="L2899" i="1"/>
  <c r="M2899" i="1"/>
  <c r="V2899" i="1"/>
  <c r="W2899" i="1"/>
  <c r="A3971" i="1"/>
  <c r="D3971" i="1"/>
  <c r="F3971" i="1"/>
  <c r="H3971" i="1"/>
  <c r="I3971" i="1"/>
  <c r="L3971" i="1"/>
  <c r="M3971" i="1"/>
  <c r="V3971" i="1"/>
  <c r="W3971" i="1"/>
  <c r="A4478" i="1"/>
  <c r="D4478" i="1"/>
  <c r="F4478" i="1"/>
  <c r="H4478" i="1"/>
  <c r="I4478" i="1"/>
  <c r="L4478" i="1"/>
  <c r="M4478" i="1"/>
  <c r="V4478" i="1"/>
  <c r="W4478" i="1"/>
  <c r="A5026" i="1"/>
  <c r="D5026" i="1"/>
  <c r="F5026" i="1"/>
  <c r="H5026" i="1"/>
  <c r="I5026" i="1"/>
  <c r="L5026" i="1"/>
  <c r="M5026" i="1"/>
  <c r="V5026" i="1"/>
  <c r="W5026" i="1"/>
  <c r="A5379" i="1"/>
  <c r="D5379" i="1"/>
  <c r="F5379" i="1"/>
  <c r="H5379" i="1"/>
  <c r="I5379" i="1"/>
  <c r="L5379" i="1"/>
  <c r="M5379" i="1"/>
  <c r="V5379" i="1"/>
  <c r="W5379" i="1"/>
  <c r="A208" i="1"/>
  <c r="D208" i="1"/>
  <c r="F208" i="1"/>
  <c r="H208" i="1"/>
  <c r="I208" i="1"/>
  <c r="L208" i="1"/>
  <c r="M208" i="1"/>
  <c r="V208" i="1"/>
  <c r="W208" i="1"/>
  <c r="A3707" i="1"/>
  <c r="D3707" i="1"/>
  <c r="F3707" i="1"/>
  <c r="H3707" i="1"/>
  <c r="I3707" i="1"/>
  <c r="L3707" i="1"/>
  <c r="M3707" i="1"/>
  <c r="V3707" i="1"/>
  <c r="W3707" i="1"/>
  <c r="A4877" i="1"/>
  <c r="D4877" i="1"/>
  <c r="F4877" i="1"/>
  <c r="H4877" i="1"/>
  <c r="I4877" i="1"/>
  <c r="L4877" i="1"/>
  <c r="M4877" i="1"/>
  <c r="V4877" i="1"/>
  <c r="W4877" i="1"/>
  <c r="A5210" i="1"/>
  <c r="D5210" i="1"/>
  <c r="F5210" i="1"/>
  <c r="H5210" i="1"/>
  <c r="I5210" i="1"/>
  <c r="L5210" i="1"/>
  <c r="M5210" i="1"/>
  <c r="V5210" i="1"/>
  <c r="W5210" i="1"/>
  <c r="A6016" i="1"/>
  <c r="D6016" i="1"/>
  <c r="F6016" i="1"/>
  <c r="H6016" i="1"/>
  <c r="I6016" i="1"/>
  <c r="L6016" i="1"/>
  <c r="M6016" i="1"/>
  <c r="V6016" i="1"/>
  <c r="W6016" i="1"/>
  <c r="A3696" i="1"/>
  <c r="D3696" i="1"/>
  <c r="F3696" i="1"/>
  <c r="H3696" i="1"/>
  <c r="I3696" i="1"/>
  <c r="L3696" i="1"/>
  <c r="M3696" i="1"/>
  <c r="V3696" i="1"/>
  <c r="W3696" i="1"/>
  <c r="A5366" i="1"/>
  <c r="D5366" i="1"/>
  <c r="F5366" i="1"/>
  <c r="H5366" i="1"/>
  <c r="I5366" i="1"/>
  <c r="L5366" i="1"/>
  <c r="M5366" i="1"/>
  <c r="V5366" i="1"/>
  <c r="W5366" i="1"/>
  <c r="A1112" i="1"/>
  <c r="D1112" i="1"/>
  <c r="F1112" i="1"/>
  <c r="H1112" i="1"/>
  <c r="I1112" i="1"/>
  <c r="L1112" i="1"/>
  <c r="M1112" i="1"/>
  <c r="V1112" i="1"/>
  <c r="W1112" i="1"/>
  <c r="A3895" i="1"/>
  <c r="D3895" i="1"/>
  <c r="F3895" i="1"/>
  <c r="H3895" i="1"/>
  <c r="I3895" i="1"/>
  <c r="L3895" i="1"/>
  <c r="M3895" i="1"/>
  <c r="V3895" i="1"/>
  <c r="W3895" i="1"/>
  <c r="A5494" i="1"/>
  <c r="D5494" i="1"/>
  <c r="F5494" i="1"/>
  <c r="H5494" i="1"/>
  <c r="I5494" i="1"/>
  <c r="L5494" i="1"/>
  <c r="M5494" i="1"/>
  <c r="V5494" i="1"/>
  <c r="W5494" i="1"/>
  <c r="A2763" i="1"/>
  <c r="D2763" i="1"/>
  <c r="F2763" i="1"/>
  <c r="H2763" i="1"/>
  <c r="I2763" i="1"/>
  <c r="L2763" i="1"/>
  <c r="M2763" i="1"/>
  <c r="V2763" i="1"/>
  <c r="W2763" i="1"/>
  <c r="A1862" i="1"/>
  <c r="D1862" i="1"/>
  <c r="F1862" i="1"/>
  <c r="H1862" i="1"/>
  <c r="I1862" i="1"/>
  <c r="L1862" i="1"/>
  <c r="M1862" i="1"/>
  <c r="V1862" i="1"/>
  <c r="W1862" i="1"/>
  <c r="A3652" i="1"/>
  <c r="D3652" i="1"/>
  <c r="F3652" i="1"/>
  <c r="H3652" i="1"/>
  <c r="I3652" i="1"/>
  <c r="L3652" i="1"/>
  <c r="M3652" i="1"/>
  <c r="V3652" i="1"/>
  <c r="W3652" i="1"/>
  <c r="A3689" i="1"/>
  <c r="D3689" i="1"/>
  <c r="F3689" i="1"/>
  <c r="H3689" i="1"/>
  <c r="I3689" i="1"/>
  <c r="L3689" i="1"/>
  <c r="M3689" i="1"/>
  <c r="V3689" i="1"/>
  <c r="W3689" i="1"/>
  <c r="A2543" i="1"/>
  <c r="D2543" i="1"/>
  <c r="F2543" i="1"/>
  <c r="H2543" i="1"/>
  <c r="I2543" i="1"/>
  <c r="L2543" i="1"/>
  <c r="M2543" i="1"/>
  <c r="V2543" i="1"/>
  <c r="W2543" i="1"/>
  <c r="A4802" i="1"/>
  <c r="D4802" i="1"/>
  <c r="F4802" i="1"/>
  <c r="H4802" i="1"/>
  <c r="I4802" i="1"/>
  <c r="L4802" i="1"/>
  <c r="M4802" i="1"/>
  <c r="V4802" i="1"/>
  <c r="W4802" i="1"/>
  <c r="A5362" i="1"/>
  <c r="D5362" i="1"/>
  <c r="F5362" i="1"/>
  <c r="H5362" i="1"/>
  <c r="I5362" i="1"/>
  <c r="L5362" i="1"/>
  <c r="M5362" i="1"/>
  <c r="V5362" i="1"/>
  <c r="W5362" i="1"/>
  <c r="A5219" i="1"/>
  <c r="D5219" i="1"/>
  <c r="F5219" i="1"/>
  <c r="H5219" i="1"/>
  <c r="I5219" i="1"/>
  <c r="L5219" i="1"/>
  <c r="M5219" i="1"/>
  <c r="V5219" i="1"/>
  <c r="W5219" i="1"/>
  <c r="A1158" i="1"/>
  <c r="D1158" i="1"/>
  <c r="F1158" i="1"/>
  <c r="H1158" i="1"/>
  <c r="I1158" i="1"/>
  <c r="L1158" i="1"/>
  <c r="M1158" i="1"/>
  <c r="V1158" i="1"/>
  <c r="W1158" i="1"/>
  <c r="A3701" i="1"/>
  <c r="D3701" i="1"/>
  <c r="F3701" i="1"/>
  <c r="H3701" i="1"/>
  <c r="I3701" i="1"/>
  <c r="L3701" i="1"/>
  <c r="M3701" i="1"/>
  <c r="V3701" i="1"/>
  <c r="W3701" i="1"/>
  <c r="A4069" i="1"/>
  <c r="D4069" i="1"/>
  <c r="F4069" i="1"/>
  <c r="H4069" i="1"/>
  <c r="I4069" i="1"/>
  <c r="L4069" i="1"/>
  <c r="M4069" i="1"/>
  <c r="V4069" i="1"/>
  <c r="W4069" i="1"/>
  <c r="A4154" i="1"/>
  <c r="D4154" i="1"/>
  <c r="F4154" i="1"/>
  <c r="H4154" i="1"/>
  <c r="I4154" i="1"/>
  <c r="L4154" i="1"/>
  <c r="M4154" i="1"/>
  <c r="V4154" i="1"/>
  <c r="W4154" i="1"/>
  <c r="A525" i="1"/>
  <c r="D525" i="1"/>
  <c r="F525" i="1"/>
  <c r="H525" i="1"/>
  <c r="I525" i="1"/>
  <c r="L525" i="1"/>
  <c r="M525" i="1"/>
  <c r="V525" i="1"/>
  <c r="W525" i="1"/>
  <c r="A3096" i="1"/>
  <c r="D3096" i="1"/>
  <c r="F3096" i="1"/>
  <c r="H3096" i="1"/>
  <c r="I3096" i="1"/>
  <c r="L3096" i="1"/>
  <c r="M3096" i="1"/>
  <c r="V3096" i="1"/>
  <c r="W3096" i="1"/>
  <c r="A3140" i="1"/>
  <c r="D3140" i="1"/>
  <c r="F3140" i="1"/>
  <c r="H3140" i="1"/>
  <c r="I3140" i="1"/>
  <c r="L3140" i="1"/>
  <c r="M3140" i="1"/>
  <c r="V3140" i="1"/>
  <c r="W3140" i="1"/>
  <c r="A2385" i="1"/>
  <c r="D2385" i="1"/>
  <c r="F2385" i="1"/>
  <c r="H2385" i="1"/>
  <c r="I2385" i="1"/>
  <c r="L2385" i="1"/>
  <c r="M2385" i="1"/>
  <c r="V2385" i="1"/>
  <c r="W2385" i="1"/>
  <c r="A2963" i="1"/>
  <c r="D2963" i="1"/>
  <c r="F2963" i="1"/>
  <c r="H2963" i="1"/>
  <c r="I2963" i="1"/>
  <c r="L2963" i="1"/>
  <c r="M2963" i="1"/>
  <c r="V2963" i="1"/>
  <c r="W2963" i="1"/>
  <c r="A450" i="1"/>
  <c r="D450" i="1"/>
  <c r="F450" i="1"/>
  <c r="H450" i="1"/>
  <c r="I450" i="1"/>
  <c r="L450" i="1"/>
  <c r="M450" i="1"/>
  <c r="V450" i="1"/>
  <c r="W450" i="1"/>
  <c r="A373" i="1"/>
  <c r="D373" i="1"/>
  <c r="F373" i="1"/>
  <c r="H373" i="1"/>
  <c r="I373" i="1"/>
  <c r="L373" i="1"/>
  <c r="M373" i="1"/>
  <c r="V373" i="1"/>
  <c r="W373" i="1"/>
  <c r="A1959" i="1"/>
  <c r="D1959" i="1"/>
  <c r="F1959" i="1"/>
  <c r="H1959" i="1"/>
  <c r="I1959" i="1"/>
  <c r="L1959" i="1"/>
  <c r="M1959" i="1"/>
  <c r="V1959" i="1"/>
  <c r="W1959" i="1"/>
  <c r="A2483" i="1"/>
  <c r="D2483" i="1"/>
  <c r="F2483" i="1"/>
  <c r="H2483" i="1"/>
  <c r="I2483" i="1"/>
  <c r="L2483" i="1"/>
  <c r="M2483" i="1"/>
  <c r="V2483" i="1"/>
  <c r="W2483" i="1"/>
  <c r="A2536" i="1"/>
  <c r="D2536" i="1"/>
  <c r="F2536" i="1"/>
  <c r="H2536" i="1"/>
  <c r="I2536" i="1"/>
  <c r="L2536" i="1"/>
  <c r="M2536" i="1"/>
  <c r="V2536" i="1"/>
  <c r="W2536" i="1"/>
  <c r="A729" i="1"/>
  <c r="D729" i="1"/>
  <c r="F729" i="1"/>
  <c r="H729" i="1"/>
  <c r="I729" i="1"/>
  <c r="L729" i="1"/>
  <c r="M729" i="1"/>
  <c r="V729" i="1"/>
  <c r="W729" i="1"/>
  <c r="A4585" i="1"/>
  <c r="D4585" i="1"/>
  <c r="F4585" i="1"/>
  <c r="H4585" i="1"/>
  <c r="I4585" i="1"/>
  <c r="L4585" i="1"/>
  <c r="M4585" i="1"/>
  <c r="V4585" i="1"/>
  <c r="W4585" i="1"/>
  <c r="A4292" i="1"/>
  <c r="D4292" i="1"/>
  <c r="F4292" i="1"/>
  <c r="H4292" i="1"/>
  <c r="I4292" i="1"/>
  <c r="L4292" i="1"/>
  <c r="M4292" i="1"/>
  <c r="V4292" i="1"/>
  <c r="W4292" i="1"/>
  <c r="A2877" i="1"/>
  <c r="D2877" i="1"/>
  <c r="F2877" i="1"/>
  <c r="H2877" i="1"/>
  <c r="I2877" i="1"/>
  <c r="L2877" i="1"/>
  <c r="M2877" i="1"/>
  <c r="V2877" i="1"/>
  <c r="W2877" i="1"/>
  <c r="A1984" i="1"/>
  <c r="D1984" i="1"/>
  <c r="F1984" i="1"/>
  <c r="H1984" i="1"/>
  <c r="I1984" i="1"/>
  <c r="L1984" i="1"/>
  <c r="M1984" i="1"/>
  <c r="V1984" i="1"/>
  <c r="W1984" i="1"/>
  <c r="A1603" i="1"/>
  <c r="D1603" i="1"/>
  <c r="F1603" i="1"/>
  <c r="H1603" i="1"/>
  <c r="I1603" i="1"/>
  <c r="L1603" i="1"/>
  <c r="M1603" i="1"/>
  <c r="V1603" i="1"/>
  <c r="W1603" i="1"/>
  <c r="A942" i="1"/>
  <c r="D942" i="1"/>
  <c r="F942" i="1"/>
  <c r="H942" i="1"/>
  <c r="I942" i="1"/>
  <c r="L942" i="1"/>
  <c r="M942" i="1"/>
  <c r="V942" i="1"/>
  <c r="W942" i="1"/>
  <c r="A1557" i="1"/>
  <c r="D1557" i="1"/>
  <c r="F1557" i="1"/>
  <c r="H1557" i="1"/>
  <c r="I1557" i="1"/>
  <c r="L1557" i="1"/>
  <c r="M1557" i="1"/>
  <c r="V1557" i="1"/>
  <c r="W1557" i="1"/>
  <c r="A6039" i="1"/>
  <c r="D6039" i="1"/>
  <c r="F6039" i="1"/>
  <c r="H6039" i="1"/>
  <c r="I6039" i="1"/>
  <c r="L6039" i="1"/>
  <c r="M6039" i="1"/>
  <c r="V6039" i="1"/>
  <c r="W6039" i="1"/>
  <c r="A3822" i="1"/>
  <c r="D3822" i="1"/>
  <c r="F3822" i="1"/>
  <c r="H3822" i="1"/>
  <c r="I3822" i="1"/>
  <c r="L3822" i="1"/>
  <c r="M3822" i="1"/>
  <c r="V3822" i="1"/>
  <c r="W3822" i="1"/>
  <c r="A3977" i="1"/>
  <c r="D3977" i="1"/>
  <c r="F3977" i="1"/>
  <c r="H3977" i="1"/>
  <c r="I3977" i="1"/>
  <c r="L3977" i="1"/>
  <c r="M3977" i="1"/>
  <c r="V3977" i="1"/>
  <c r="W3977" i="1"/>
  <c r="A3981" i="1"/>
  <c r="D3981" i="1"/>
  <c r="F3981" i="1"/>
  <c r="H3981" i="1"/>
  <c r="I3981" i="1"/>
  <c r="L3981" i="1"/>
  <c r="M3981" i="1"/>
  <c r="V3981" i="1"/>
  <c r="W3981" i="1"/>
  <c r="A4164" i="1"/>
  <c r="D4164" i="1"/>
  <c r="F4164" i="1"/>
  <c r="H4164" i="1"/>
  <c r="I4164" i="1"/>
  <c r="L4164" i="1"/>
  <c r="M4164" i="1"/>
  <c r="V4164" i="1"/>
  <c r="W4164" i="1"/>
  <c r="A2120" i="1"/>
  <c r="D2120" i="1"/>
  <c r="F2120" i="1"/>
  <c r="H2120" i="1"/>
  <c r="I2120" i="1"/>
  <c r="L2120" i="1"/>
  <c r="M2120" i="1"/>
  <c r="V2120" i="1"/>
  <c r="W2120" i="1"/>
  <c r="A3105" i="1"/>
  <c r="D3105" i="1"/>
  <c r="F3105" i="1"/>
  <c r="H3105" i="1"/>
  <c r="I3105" i="1"/>
  <c r="L3105" i="1"/>
  <c r="M3105" i="1"/>
  <c r="V3105" i="1"/>
  <c r="W3105" i="1"/>
  <c r="A3131" i="1"/>
  <c r="D3131" i="1"/>
  <c r="F3131" i="1"/>
  <c r="H3131" i="1"/>
  <c r="I3131" i="1"/>
  <c r="L3131" i="1"/>
  <c r="M3131" i="1"/>
  <c r="V3131" i="1"/>
  <c r="W3131" i="1"/>
  <c r="A1297" i="1"/>
  <c r="D1297" i="1"/>
  <c r="F1297" i="1"/>
  <c r="H1297" i="1"/>
  <c r="I1297" i="1"/>
  <c r="L1297" i="1"/>
  <c r="M1297" i="1"/>
  <c r="V1297" i="1"/>
  <c r="W1297" i="1"/>
  <c r="A193" i="1"/>
  <c r="D193" i="1"/>
  <c r="F193" i="1"/>
  <c r="H193" i="1"/>
  <c r="I193" i="1"/>
  <c r="L193" i="1"/>
  <c r="M193" i="1"/>
  <c r="V193" i="1"/>
  <c r="W193" i="1"/>
  <c r="A571" i="1"/>
  <c r="D571" i="1"/>
  <c r="F571" i="1"/>
  <c r="H571" i="1"/>
  <c r="I571" i="1"/>
  <c r="L571" i="1"/>
  <c r="M571" i="1"/>
  <c r="V571" i="1"/>
  <c r="W571" i="1"/>
  <c r="A3093" i="1"/>
  <c r="D3093" i="1"/>
  <c r="F3093" i="1"/>
  <c r="H3093" i="1"/>
  <c r="I3093" i="1"/>
  <c r="L3093" i="1"/>
  <c r="M3093" i="1"/>
  <c r="V3093" i="1"/>
  <c r="W3093" i="1"/>
  <c r="A3134" i="1"/>
  <c r="D3134" i="1"/>
  <c r="F3134" i="1"/>
  <c r="H3134" i="1"/>
  <c r="I3134" i="1"/>
  <c r="L3134" i="1"/>
  <c r="M3134" i="1"/>
  <c r="V3134" i="1"/>
  <c r="W3134" i="1"/>
  <c r="A1758" i="1"/>
  <c r="D1758" i="1"/>
  <c r="F1758" i="1"/>
  <c r="H1758" i="1"/>
  <c r="I1758" i="1"/>
  <c r="L1758" i="1"/>
  <c r="M1758" i="1"/>
  <c r="V1758" i="1"/>
  <c r="W1758" i="1"/>
  <c r="A2534" i="1"/>
  <c r="D2534" i="1"/>
  <c r="F2534" i="1"/>
  <c r="H2534" i="1"/>
  <c r="I2534" i="1"/>
  <c r="L2534" i="1"/>
  <c r="M2534" i="1"/>
  <c r="V2534" i="1"/>
  <c r="W2534" i="1"/>
  <c r="A2341" i="1"/>
  <c r="D2341" i="1"/>
  <c r="F2341" i="1"/>
  <c r="H2341" i="1"/>
  <c r="I2341" i="1"/>
  <c r="L2341" i="1"/>
  <c r="M2341" i="1"/>
  <c r="V2341" i="1"/>
  <c r="W2341" i="1"/>
  <c r="A5241" i="1"/>
  <c r="D5241" i="1"/>
  <c r="F5241" i="1"/>
  <c r="H5241" i="1"/>
  <c r="I5241" i="1"/>
  <c r="L5241" i="1"/>
  <c r="M5241" i="1"/>
  <c r="V5241" i="1"/>
  <c r="W5241" i="1"/>
  <c r="A3901" i="1"/>
  <c r="D3901" i="1"/>
  <c r="F3901" i="1"/>
  <c r="H3901" i="1"/>
  <c r="I3901" i="1"/>
  <c r="L3901" i="1"/>
  <c r="M3901" i="1"/>
  <c r="V3901" i="1"/>
  <c r="W3901" i="1"/>
  <c r="A4760" i="1"/>
  <c r="D4760" i="1"/>
  <c r="F4760" i="1"/>
  <c r="H4760" i="1"/>
  <c r="I4760" i="1"/>
  <c r="L4760" i="1"/>
  <c r="M4760" i="1"/>
  <c r="V4760" i="1"/>
  <c r="W4760" i="1"/>
  <c r="A4566" i="1"/>
  <c r="D4566" i="1"/>
  <c r="F4566" i="1"/>
  <c r="H4566" i="1"/>
  <c r="I4566" i="1"/>
  <c r="L4566" i="1"/>
  <c r="M4566" i="1"/>
  <c r="V4566" i="1"/>
  <c r="W4566" i="1"/>
  <c r="A5171" i="1"/>
  <c r="D5171" i="1"/>
  <c r="F5171" i="1"/>
  <c r="H5171" i="1"/>
  <c r="I5171" i="1"/>
  <c r="L5171" i="1"/>
  <c r="M5171" i="1"/>
  <c r="V5171" i="1"/>
  <c r="W5171" i="1"/>
  <c r="A5174" i="1"/>
  <c r="D5174" i="1"/>
  <c r="F5174" i="1"/>
  <c r="H5174" i="1"/>
  <c r="I5174" i="1"/>
  <c r="L5174" i="1"/>
  <c r="M5174" i="1"/>
  <c r="V5174" i="1"/>
  <c r="W5174" i="1"/>
  <c r="A194" i="1"/>
  <c r="D194" i="1"/>
  <c r="F194" i="1"/>
  <c r="H194" i="1"/>
  <c r="I194" i="1"/>
  <c r="L194" i="1"/>
  <c r="M194" i="1"/>
  <c r="V194" i="1"/>
  <c r="W194" i="1"/>
  <c r="A3857" i="1"/>
  <c r="D3857" i="1"/>
  <c r="F3857" i="1"/>
  <c r="H3857" i="1"/>
  <c r="I3857" i="1"/>
  <c r="L3857" i="1"/>
  <c r="M3857" i="1"/>
  <c r="V3857" i="1"/>
  <c r="W3857" i="1"/>
  <c r="A3670" i="1"/>
  <c r="D3670" i="1"/>
  <c r="F3670" i="1"/>
  <c r="H3670" i="1"/>
  <c r="I3670" i="1"/>
  <c r="L3670" i="1"/>
  <c r="M3670" i="1"/>
  <c r="V3670" i="1"/>
  <c r="W3670" i="1"/>
  <c r="A3003" i="1"/>
  <c r="D3003" i="1"/>
  <c r="F3003" i="1"/>
  <c r="H3003" i="1"/>
  <c r="I3003" i="1"/>
  <c r="L3003" i="1"/>
  <c r="M3003" i="1"/>
  <c r="V3003" i="1"/>
  <c r="W3003" i="1"/>
  <c r="A2817" i="1"/>
  <c r="D2817" i="1"/>
  <c r="F2817" i="1"/>
  <c r="H2817" i="1"/>
  <c r="I2817" i="1"/>
  <c r="L2817" i="1"/>
  <c r="M2817" i="1"/>
  <c r="V2817" i="1"/>
  <c r="W2817" i="1"/>
  <c r="A3161" i="1"/>
  <c r="D3161" i="1"/>
  <c r="F3161" i="1"/>
  <c r="H3161" i="1"/>
  <c r="I3161" i="1"/>
  <c r="L3161" i="1"/>
  <c r="M3161" i="1"/>
  <c r="V3161" i="1"/>
  <c r="W3161" i="1"/>
  <c r="A3231" i="1"/>
  <c r="D3231" i="1"/>
  <c r="F3231" i="1"/>
  <c r="H3231" i="1"/>
  <c r="I3231" i="1"/>
  <c r="L3231" i="1"/>
  <c r="M3231" i="1"/>
  <c r="V3231" i="1"/>
  <c r="W3231" i="1"/>
  <c r="A3417" i="1"/>
  <c r="D3417" i="1"/>
  <c r="F3417" i="1"/>
  <c r="H3417" i="1"/>
  <c r="I3417" i="1"/>
  <c r="L3417" i="1"/>
  <c r="M3417" i="1"/>
  <c r="V3417" i="1"/>
  <c r="W3417" i="1"/>
  <c r="A3815" i="1"/>
  <c r="D3815" i="1"/>
  <c r="F3815" i="1"/>
  <c r="H3815" i="1"/>
  <c r="I3815" i="1"/>
  <c r="L3815" i="1"/>
  <c r="M3815" i="1"/>
  <c r="V3815" i="1"/>
  <c r="W3815" i="1"/>
  <c r="A2998" i="1"/>
  <c r="D2998" i="1"/>
  <c r="F2998" i="1"/>
  <c r="H2998" i="1"/>
  <c r="I2998" i="1"/>
  <c r="L2998" i="1"/>
  <c r="M2998" i="1"/>
  <c r="V2998" i="1"/>
  <c r="W2998" i="1"/>
  <c r="A3913" i="1"/>
  <c r="D3913" i="1"/>
  <c r="F3913" i="1"/>
  <c r="H3913" i="1"/>
  <c r="I3913" i="1"/>
  <c r="L3913" i="1"/>
  <c r="M3913" i="1"/>
  <c r="V3913" i="1"/>
  <c r="W3913" i="1"/>
  <c r="A4097" i="1"/>
  <c r="D4097" i="1"/>
  <c r="F4097" i="1"/>
  <c r="H4097" i="1"/>
  <c r="I4097" i="1"/>
  <c r="L4097" i="1"/>
  <c r="M4097" i="1"/>
  <c r="V4097" i="1"/>
  <c r="W4097" i="1"/>
  <c r="A2167" i="1"/>
  <c r="D2167" i="1"/>
  <c r="F2167" i="1"/>
  <c r="H2167" i="1"/>
  <c r="I2167" i="1"/>
  <c r="L2167" i="1"/>
  <c r="M2167" i="1"/>
  <c r="V2167" i="1"/>
  <c r="W2167" i="1"/>
  <c r="A5407" i="1"/>
  <c r="D5407" i="1"/>
  <c r="F5407" i="1"/>
  <c r="H5407" i="1"/>
  <c r="I5407" i="1"/>
  <c r="L5407" i="1"/>
  <c r="M5407" i="1"/>
  <c r="V5407" i="1"/>
  <c r="W5407" i="1"/>
  <c r="A6204" i="1"/>
  <c r="D6204" i="1"/>
  <c r="F6204" i="1"/>
  <c r="H6204" i="1"/>
  <c r="I6204" i="1"/>
  <c r="L6204" i="1"/>
  <c r="M6204" i="1"/>
  <c r="V6204" i="1"/>
  <c r="W6204" i="1"/>
  <c r="A4130" i="1"/>
  <c r="D4130" i="1"/>
  <c r="F4130" i="1"/>
  <c r="H4130" i="1"/>
  <c r="I4130" i="1"/>
  <c r="L4130" i="1"/>
  <c r="M4130" i="1"/>
  <c r="V4130" i="1"/>
  <c r="W4130" i="1"/>
  <c r="A4173" i="1"/>
  <c r="D4173" i="1"/>
  <c r="F4173" i="1"/>
  <c r="H4173" i="1"/>
  <c r="I4173" i="1"/>
  <c r="L4173" i="1"/>
  <c r="M4173" i="1"/>
  <c r="V4173" i="1"/>
  <c r="W4173" i="1"/>
  <c r="A5650" i="1"/>
  <c r="D5650" i="1"/>
  <c r="F5650" i="1"/>
  <c r="H5650" i="1"/>
  <c r="I5650" i="1"/>
  <c r="L5650" i="1"/>
  <c r="M5650" i="1"/>
  <c r="V5650" i="1"/>
  <c r="W5650" i="1"/>
  <c r="A1979" i="1"/>
  <c r="D1979" i="1"/>
  <c r="F1979" i="1"/>
  <c r="H1979" i="1"/>
  <c r="I1979" i="1"/>
  <c r="L1979" i="1"/>
  <c r="M1979" i="1"/>
  <c r="V1979" i="1"/>
  <c r="W1979" i="1"/>
  <c r="A5329" i="1"/>
  <c r="D5329" i="1"/>
  <c r="F5329" i="1"/>
  <c r="H5329" i="1"/>
  <c r="I5329" i="1"/>
  <c r="L5329" i="1"/>
  <c r="M5329" i="1"/>
  <c r="V5329" i="1"/>
  <c r="W5329" i="1"/>
  <c r="A3848" i="1"/>
  <c r="D3848" i="1"/>
  <c r="F3848" i="1"/>
  <c r="H3848" i="1"/>
  <c r="I3848" i="1"/>
  <c r="L3848" i="1"/>
  <c r="M3848" i="1"/>
  <c r="V3848" i="1"/>
  <c r="W3848" i="1"/>
  <c r="A4354" i="1"/>
  <c r="D4354" i="1"/>
  <c r="F4354" i="1"/>
  <c r="H4354" i="1"/>
  <c r="I4354" i="1"/>
  <c r="L4354" i="1"/>
  <c r="M4354" i="1"/>
  <c r="V4354" i="1"/>
  <c r="W4354" i="1"/>
  <c r="A1074" i="1"/>
  <c r="D1074" i="1"/>
  <c r="F1074" i="1"/>
  <c r="H1074" i="1"/>
  <c r="I1074" i="1"/>
  <c r="L1074" i="1"/>
  <c r="M1074" i="1"/>
  <c r="V1074" i="1"/>
  <c r="W1074" i="1"/>
  <c r="A1562" i="1"/>
  <c r="D1562" i="1"/>
  <c r="F1562" i="1"/>
  <c r="H1562" i="1"/>
  <c r="I1562" i="1"/>
  <c r="L1562" i="1"/>
  <c r="M1562" i="1"/>
  <c r="V1562" i="1"/>
  <c r="W1562" i="1"/>
  <c r="A5947" i="1"/>
  <c r="D5947" i="1"/>
  <c r="F5947" i="1"/>
  <c r="H5947" i="1"/>
  <c r="I5947" i="1"/>
  <c r="L5947" i="1"/>
  <c r="M5947" i="1"/>
  <c r="V5947" i="1"/>
  <c r="W5947" i="1"/>
  <c r="A1255" i="1"/>
  <c r="D1255" i="1"/>
  <c r="F1255" i="1"/>
  <c r="H1255" i="1"/>
  <c r="I1255" i="1"/>
  <c r="L1255" i="1"/>
  <c r="M1255" i="1"/>
  <c r="V1255" i="1"/>
  <c r="W1255" i="1"/>
  <c r="A1311" i="1"/>
  <c r="D1311" i="1"/>
  <c r="F1311" i="1"/>
  <c r="H1311" i="1"/>
  <c r="I1311" i="1"/>
  <c r="L1311" i="1"/>
  <c r="M1311" i="1"/>
  <c r="V1311" i="1"/>
  <c r="W1311" i="1"/>
  <c r="A4422" i="1"/>
  <c r="D4422" i="1"/>
  <c r="F4422" i="1"/>
  <c r="H4422" i="1"/>
  <c r="I4422" i="1"/>
  <c r="L4422" i="1"/>
  <c r="M4422" i="1"/>
  <c r="V4422" i="1"/>
  <c r="W4422" i="1"/>
  <c r="A4732" i="1"/>
  <c r="D4732" i="1"/>
  <c r="F4732" i="1"/>
  <c r="H4732" i="1"/>
  <c r="I4732" i="1"/>
  <c r="L4732" i="1"/>
  <c r="M4732" i="1"/>
  <c r="V4732" i="1"/>
  <c r="W4732" i="1"/>
  <c r="A4709" i="1"/>
  <c r="D4709" i="1"/>
  <c r="F4709" i="1"/>
  <c r="H4709" i="1"/>
  <c r="I4709" i="1"/>
  <c r="L4709" i="1"/>
  <c r="M4709" i="1"/>
  <c r="V4709" i="1"/>
  <c r="W4709" i="1"/>
  <c r="A2276" i="1"/>
  <c r="D2276" i="1"/>
  <c r="F2276" i="1"/>
  <c r="H2276" i="1"/>
  <c r="I2276" i="1"/>
  <c r="L2276" i="1"/>
  <c r="M2276" i="1"/>
  <c r="V2276" i="1"/>
  <c r="W2276" i="1"/>
  <c r="A1878" i="1"/>
  <c r="D1878" i="1"/>
  <c r="F1878" i="1"/>
  <c r="H1878" i="1"/>
  <c r="I1878" i="1"/>
  <c r="L1878" i="1"/>
  <c r="M1878" i="1"/>
  <c r="V1878" i="1"/>
  <c r="W1878" i="1"/>
  <c r="A263" i="1"/>
  <c r="D263" i="1"/>
  <c r="F263" i="1"/>
  <c r="H263" i="1"/>
  <c r="I263" i="1"/>
  <c r="L263" i="1"/>
  <c r="M263" i="1"/>
  <c r="V263" i="1"/>
  <c r="W263" i="1"/>
  <c r="A5404" i="1"/>
  <c r="D5404" i="1"/>
  <c r="F5404" i="1"/>
  <c r="H5404" i="1"/>
  <c r="I5404" i="1"/>
  <c r="L5404" i="1"/>
  <c r="M5404" i="1"/>
  <c r="V5404" i="1"/>
  <c r="W5404" i="1"/>
  <c r="A2147" i="1"/>
  <c r="D2147" i="1"/>
  <c r="F2147" i="1"/>
  <c r="H2147" i="1"/>
  <c r="I2147" i="1"/>
  <c r="L2147" i="1"/>
  <c r="M2147" i="1"/>
  <c r="V2147" i="1"/>
  <c r="W2147" i="1"/>
  <c r="A456" i="1"/>
  <c r="D456" i="1"/>
  <c r="F456" i="1"/>
  <c r="H456" i="1"/>
  <c r="I456" i="1"/>
  <c r="L456" i="1"/>
  <c r="M456" i="1"/>
  <c r="V456" i="1"/>
  <c r="W456" i="1"/>
  <c r="A5762" i="1"/>
  <c r="D5762" i="1"/>
  <c r="F5762" i="1"/>
  <c r="H5762" i="1"/>
  <c r="I5762" i="1"/>
  <c r="L5762" i="1"/>
  <c r="M5762" i="1"/>
  <c r="V5762" i="1"/>
  <c r="W5762" i="1"/>
  <c r="A1367" i="1"/>
  <c r="D1367" i="1"/>
  <c r="F1367" i="1"/>
  <c r="H1367" i="1"/>
  <c r="I1367" i="1"/>
  <c r="L1367" i="1"/>
  <c r="M1367" i="1"/>
  <c r="V1367" i="1"/>
  <c r="W1367" i="1"/>
  <c r="A2008" i="1"/>
  <c r="D2008" i="1"/>
  <c r="F2008" i="1"/>
  <c r="H2008" i="1"/>
  <c r="I2008" i="1"/>
  <c r="L2008" i="1"/>
  <c r="M2008" i="1"/>
  <c r="V2008" i="1"/>
  <c r="W2008" i="1"/>
  <c r="A164" i="1"/>
  <c r="D164" i="1"/>
  <c r="F164" i="1"/>
  <c r="H164" i="1"/>
  <c r="I164" i="1"/>
  <c r="L164" i="1"/>
  <c r="M164" i="1"/>
  <c r="V164" i="1"/>
  <c r="W164" i="1"/>
  <c r="A444" i="1"/>
  <c r="D444" i="1"/>
  <c r="F444" i="1"/>
  <c r="H444" i="1"/>
  <c r="I444" i="1"/>
  <c r="L444" i="1"/>
  <c r="M444" i="1"/>
  <c r="V444" i="1"/>
  <c r="W444" i="1"/>
  <c r="A3795" i="1"/>
  <c r="D3795" i="1"/>
  <c r="F3795" i="1"/>
  <c r="H3795" i="1"/>
  <c r="I3795" i="1"/>
  <c r="L3795" i="1"/>
  <c r="M3795" i="1"/>
  <c r="V3795" i="1"/>
  <c r="W3795" i="1"/>
  <c r="A2133" i="1"/>
  <c r="D2133" i="1"/>
  <c r="F2133" i="1"/>
  <c r="H2133" i="1"/>
  <c r="I2133" i="1"/>
  <c r="L2133" i="1"/>
  <c r="M2133" i="1"/>
  <c r="V2133" i="1"/>
  <c r="W2133" i="1"/>
  <c r="A958" i="1"/>
  <c r="D958" i="1"/>
  <c r="F958" i="1"/>
  <c r="H958" i="1"/>
  <c r="I958" i="1"/>
  <c r="L958" i="1"/>
  <c r="M958" i="1"/>
  <c r="V958" i="1"/>
  <c r="W958" i="1"/>
  <c r="A694" i="1"/>
  <c r="D694" i="1"/>
  <c r="F694" i="1"/>
  <c r="H694" i="1"/>
  <c r="I694" i="1"/>
  <c r="L694" i="1"/>
  <c r="M694" i="1"/>
  <c r="V694" i="1"/>
  <c r="W694" i="1"/>
  <c r="A5216" i="1"/>
  <c r="D5216" i="1"/>
  <c r="F5216" i="1"/>
  <c r="H5216" i="1"/>
  <c r="I5216" i="1"/>
  <c r="L5216" i="1"/>
  <c r="M5216" i="1"/>
  <c r="V5216" i="1"/>
  <c r="W5216" i="1"/>
  <c r="A2365" i="1"/>
  <c r="D2365" i="1"/>
  <c r="F2365" i="1"/>
  <c r="H2365" i="1"/>
  <c r="I2365" i="1"/>
  <c r="L2365" i="1"/>
  <c r="M2365" i="1"/>
  <c r="V2365" i="1"/>
  <c r="W2365" i="1"/>
  <c r="A2548" i="1"/>
  <c r="D2548" i="1"/>
  <c r="F2548" i="1"/>
  <c r="H2548" i="1"/>
  <c r="I2548" i="1"/>
  <c r="L2548" i="1"/>
  <c r="M2548" i="1"/>
  <c r="V2548" i="1"/>
  <c r="W2548" i="1"/>
  <c r="A3486" i="1"/>
  <c r="D3486" i="1"/>
  <c r="F3486" i="1"/>
  <c r="H3486" i="1"/>
  <c r="I3486" i="1"/>
  <c r="L3486" i="1"/>
  <c r="M3486" i="1"/>
  <c r="V3486" i="1"/>
  <c r="W3486" i="1"/>
  <c r="A3477" i="1"/>
  <c r="D3477" i="1"/>
  <c r="F3477" i="1"/>
  <c r="H3477" i="1"/>
  <c r="I3477" i="1"/>
  <c r="L3477" i="1"/>
  <c r="M3477" i="1"/>
  <c r="V3477" i="1"/>
  <c r="W3477" i="1"/>
  <c r="A1508" i="1"/>
  <c r="D1508" i="1"/>
  <c r="F1508" i="1"/>
  <c r="H1508" i="1"/>
  <c r="I1508" i="1"/>
  <c r="L1508" i="1"/>
  <c r="M1508" i="1"/>
  <c r="V1508" i="1"/>
  <c r="W1508" i="1"/>
  <c r="A1732" i="1"/>
  <c r="D1732" i="1"/>
  <c r="F1732" i="1"/>
  <c r="H1732" i="1"/>
  <c r="I1732" i="1"/>
  <c r="L1732" i="1"/>
  <c r="M1732" i="1"/>
  <c r="V1732" i="1"/>
  <c r="W1732" i="1"/>
  <c r="A3492" i="1"/>
  <c r="D3492" i="1"/>
  <c r="F3492" i="1"/>
  <c r="H3492" i="1"/>
  <c r="I3492" i="1"/>
  <c r="L3492" i="1"/>
  <c r="M3492" i="1"/>
  <c r="V3492" i="1"/>
  <c r="W3492" i="1"/>
  <c r="A1352" i="1"/>
  <c r="D1352" i="1"/>
  <c r="F1352" i="1"/>
  <c r="H1352" i="1"/>
  <c r="I1352" i="1"/>
  <c r="L1352" i="1"/>
  <c r="M1352" i="1"/>
  <c r="V1352" i="1"/>
  <c r="W1352" i="1"/>
  <c r="A1354" i="1"/>
  <c r="D1354" i="1"/>
  <c r="F1354" i="1"/>
  <c r="H1354" i="1"/>
  <c r="I1354" i="1"/>
  <c r="L1354" i="1"/>
  <c r="M1354" i="1"/>
  <c r="V1354" i="1"/>
  <c r="W1354" i="1"/>
  <c r="A1410" i="1"/>
  <c r="D1410" i="1"/>
  <c r="F1410" i="1"/>
  <c r="H1410" i="1"/>
  <c r="I1410" i="1"/>
  <c r="L1410" i="1"/>
  <c r="M1410" i="1"/>
  <c r="V1410" i="1"/>
  <c r="W1410" i="1"/>
  <c r="A4078" i="1"/>
  <c r="D4078" i="1"/>
  <c r="F4078" i="1"/>
  <c r="H4078" i="1"/>
  <c r="I4078" i="1"/>
  <c r="L4078" i="1"/>
  <c r="M4078" i="1"/>
  <c r="V4078" i="1"/>
  <c r="W4078" i="1"/>
  <c r="A5933" i="1"/>
  <c r="D5933" i="1"/>
  <c r="F5933" i="1"/>
  <c r="H5933" i="1"/>
  <c r="I5933" i="1"/>
  <c r="L5933" i="1"/>
  <c r="M5933" i="1"/>
  <c r="V5933" i="1"/>
  <c r="W5933" i="1"/>
  <c r="A2834" i="1"/>
  <c r="D2834" i="1"/>
  <c r="F2834" i="1"/>
  <c r="H2834" i="1"/>
  <c r="I2834" i="1"/>
  <c r="L2834" i="1"/>
  <c r="M2834" i="1"/>
  <c r="V2834" i="1"/>
  <c r="W2834" i="1"/>
  <c r="A4871" i="1"/>
  <c r="D4871" i="1"/>
  <c r="F4871" i="1"/>
  <c r="H4871" i="1"/>
  <c r="I4871" i="1"/>
  <c r="L4871" i="1"/>
  <c r="M4871" i="1"/>
  <c r="V4871" i="1"/>
  <c r="W4871" i="1"/>
  <c r="A5346" i="1"/>
  <c r="D5346" i="1"/>
  <c r="F5346" i="1"/>
  <c r="H5346" i="1"/>
  <c r="I5346" i="1"/>
  <c r="L5346" i="1"/>
  <c r="M5346" i="1"/>
  <c r="V5346" i="1"/>
  <c r="W5346" i="1"/>
  <c r="A1699" i="1"/>
  <c r="D1699" i="1"/>
  <c r="F1699" i="1"/>
  <c r="H1699" i="1"/>
  <c r="I1699" i="1"/>
  <c r="L1699" i="1"/>
  <c r="M1699" i="1"/>
  <c r="V1699" i="1"/>
  <c r="W1699" i="1"/>
  <c r="A665" i="1"/>
  <c r="D665" i="1"/>
  <c r="F665" i="1"/>
  <c r="H665" i="1"/>
  <c r="I665" i="1"/>
  <c r="L665" i="1"/>
  <c r="M665" i="1"/>
  <c r="V665" i="1"/>
  <c r="W665" i="1"/>
  <c r="A935" i="1"/>
  <c r="D935" i="1"/>
  <c r="F935" i="1"/>
  <c r="H935" i="1"/>
  <c r="I935" i="1"/>
  <c r="L935" i="1"/>
  <c r="M935" i="1"/>
  <c r="V935" i="1"/>
  <c r="W935" i="1"/>
  <c r="A1276" i="1"/>
  <c r="D1276" i="1"/>
  <c r="F1276" i="1"/>
  <c r="H1276" i="1"/>
  <c r="I1276" i="1"/>
  <c r="L1276" i="1"/>
  <c r="M1276" i="1"/>
  <c r="V1276" i="1"/>
  <c r="W1276" i="1"/>
  <c r="A2360" i="1"/>
  <c r="D2360" i="1"/>
  <c r="F2360" i="1"/>
  <c r="H2360" i="1"/>
  <c r="I2360" i="1"/>
  <c r="L2360" i="1"/>
  <c r="M2360" i="1"/>
  <c r="V2360" i="1"/>
  <c r="W2360" i="1"/>
  <c r="A822" i="1"/>
  <c r="D822" i="1"/>
  <c r="F822" i="1"/>
  <c r="H822" i="1"/>
  <c r="I822" i="1"/>
  <c r="L822" i="1"/>
  <c r="M822" i="1"/>
  <c r="V822" i="1"/>
  <c r="W822" i="1"/>
  <c r="A1109" i="1"/>
  <c r="D1109" i="1"/>
  <c r="F1109" i="1"/>
  <c r="H1109" i="1"/>
  <c r="I1109" i="1"/>
  <c r="L1109" i="1"/>
  <c r="M1109" i="1"/>
  <c r="V1109" i="1"/>
  <c r="W1109" i="1"/>
  <c r="A5493" i="1"/>
  <c r="D5493" i="1"/>
  <c r="F5493" i="1"/>
  <c r="H5493" i="1"/>
  <c r="I5493" i="1"/>
  <c r="L5493" i="1"/>
  <c r="M5493" i="1"/>
  <c r="V5493" i="1"/>
  <c r="W5493" i="1"/>
  <c r="A642" i="1"/>
  <c r="D642" i="1"/>
  <c r="F642" i="1"/>
  <c r="H642" i="1"/>
  <c r="I642" i="1"/>
  <c r="L642" i="1"/>
  <c r="M642" i="1"/>
  <c r="V642" i="1"/>
  <c r="W642" i="1"/>
  <c r="A561" i="1"/>
  <c r="D561" i="1"/>
  <c r="F561" i="1"/>
  <c r="H561" i="1"/>
  <c r="I561" i="1"/>
  <c r="L561" i="1"/>
  <c r="M561" i="1"/>
  <c r="V561" i="1"/>
  <c r="W561" i="1"/>
  <c r="A716" i="1"/>
  <c r="D716" i="1"/>
  <c r="F716" i="1"/>
  <c r="H716" i="1"/>
  <c r="I716" i="1"/>
  <c r="L716" i="1"/>
  <c r="M716" i="1"/>
  <c r="V716" i="1"/>
  <c r="W716" i="1"/>
  <c r="A4003" i="1"/>
  <c r="D4003" i="1"/>
  <c r="F4003" i="1"/>
  <c r="H4003" i="1"/>
  <c r="I4003" i="1"/>
  <c r="L4003" i="1"/>
  <c r="M4003" i="1"/>
  <c r="V4003" i="1"/>
  <c r="W4003" i="1"/>
  <c r="A4051" i="1"/>
  <c r="D4051" i="1"/>
  <c r="F4051" i="1"/>
  <c r="H4051" i="1"/>
  <c r="I4051" i="1"/>
  <c r="L4051" i="1"/>
  <c r="M4051" i="1"/>
  <c r="V4051" i="1"/>
  <c r="W4051" i="1"/>
  <c r="A2089" i="1"/>
  <c r="D2089" i="1"/>
  <c r="F2089" i="1"/>
  <c r="H2089" i="1"/>
  <c r="I2089" i="1"/>
  <c r="L2089" i="1"/>
  <c r="M2089" i="1"/>
  <c r="V2089" i="1"/>
  <c r="W2089" i="1"/>
  <c r="A4772" i="1"/>
  <c r="D4772" i="1"/>
  <c r="F4772" i="1"/>
  <c r="H4772" i="1"/>
  <c r="I4772" i="1"/>
  <c r="L4772" i="1"/>
  <c r="M4772" i="1"/>
  <c r="V4772" i="1"/>
  <c r="W4772" i="1"/>
  <c r="A4386" i="1"/>
  <c r="D4386" i="1"/>
  <c r="F4386" i="1"/>
  <c r="H4386" i="1"/>
  <c r="I4386" i="1"/>
  <c r="L4386" i="1"/>
  <c r="M4386" i="1"/>
  <c r="V4386" i="1"/>
  <c r="W4386" i="1"/>
  <c r="A3780" i="1"/>
  <c r="D3780" i="1"/>
  <c r="F3780" i="1"/>
  <c r="H3780" i="1"/>
  <c r="I3780" i="1"/>
  <c r="L3780" i="1"/>
  <c r="M3780" i="1"/>
  <c r="V3780" i="1"/>
  <c r="W3780" i="1"/>
  <c r="A2242" i="1"/>
  <c r="D2242" i="1"/>
  <c r="F2242" i="1"/>
  <c r="H2242" i="1"/>
  <c r="I2242" i="1"/>
  <c r="L2242" i="1"/>
  <c r="M2242" i="1"/>
  <c r="V2242" i="1"/>
  <c r="W2242" i="1"/>
  <c r="A4270" i="1"/>
  <c r="D4270" i="1"/>
  <c r="F4270" i="1"/>
  <c r="H4270" i="1"/>
  <c r="I4270" i="1"/>
  <c r="L4270" i="1"/>
  <c r="M4270" i="1"/>
  <c r="V4270" i="1"/>
  <c r="W4270" i="1"/>
  <c r="A5347" i="1"/>
  <c r="D5347" i="1"/>
  <c r="F5347" i="1"/>
  <c r="H5347" i="1"/>
  <c r="I5347" i="1"/>
  <c r="L5347" i="1"/>
  <c r="M5347" i="1"/>
  <c r="V5347" i="1"/>
  <c r="W5347" i="1"/>
  <c r="A4730" i="1"/>
  <c r="D4730" i="1"/>
  <c r="F4730" i="1"/>
  <c r="H4730" i="1"/>
  <c r="I4730" i="1"/>
  <c r="L4730" i="1"/>
  <c r="M4730" i="1"/>
  <c r="V4730" i="1"/>
  <c r="W4730" i="1"/>
  <c r="A3097" i="1"/>
  <c r="D3097" i="1"/>
  <c r="F3097" i="1"/>
  <c r="H3097" i="1"/>
  <c r="I3097" i="1"/>
  <c r="L3097" i="1"/>
  <c r="M3097" i="1"/>
  <c r="V3097" i="1"/>
  <c r="W3097" i="1"/>
  <c r="A3137" i="1"/>
  <c r="D3137" i="1"/>
  <c r="F3137" i="1"/>
  <c r="H3137" i="1"/>
  <c r="I3137" i="1"/>
  <c r="L3137" i="1"/>
  <c r="M3137" i="1"/>
  <c r="V3137" i="1"/>
  <c r="W3137" i="1"/>
  <c r="A4688" i="1"/>
  <c r="D4688" i="1"/>
  <c r="F4688" i="1"/>
  <c r="H4688" i="1"/>
  <c r="I4688" i="1"/>
  <c r="L4688" i="1"/>
  <c r="M4688" i="1"/>
  <c r="V4688" i="1"/>
  <c r="W4688" i="1"/>
  <c r="A1006" i="1"/>
  <c r="D1006" i="1"/>
  <c r="F1006" i="1"/>
  <c r="H1006" i="1"/>
  <c r="I1006" i="1"/>
  <c r="L1006" i="1"/>
  <c r="M1006" i="1"/>
  <c r="V1006" i="1"/>
  <c r="W1006" i="1"/>
  <c r="A4128" i="1"/>
  <c r="D4128" i="1"/>
  <c r="F4128" i="1"/>
  <c r="H4128" i="1"/>
  <c r="I4128" i="1"/>
  <c r="L4128" i="1"/>
  <c r="M4128" i="1"/>
  <c r="V4128" i="1"/>
  <c r="W4128" i="1"/>
  <c r="A3383" i="1"/>
  <c r="D3383" i="1"/>
  <c r="F3383" i="1"/>
  <c r="H3383" i="1"/>
  <c r="I3383" i="1"/>
  <c r="L3383" i="1"/>
  <c r="M3383" i="1"/>
  <c r="V3383" i="1"/>
  <c r="W3383" i="1"/>
  <c r="A1501" i="1"/>
  <c r="D1501" i="1"/>
  <c r="F1501" i="1"/>
  <c r="H1501" i="1"/>
  <c r="I1501" i="1"/>
  <c r="L1501" i="1"/>
  <c r="M1501" i="1"/>
  <c r="V1501" i="1"/>
  <c r="W1501" i="1"/>
  <c r="A489" i="1"/>
  <c r="D489" i="1"/>
  <c r="F489" i="1"/>
  <c r="H489" i="1"/>
  <c r="I489" i="1"/>
  <c r="L489" i="1"/>
  <c r="M489" i="1"/>
  <c r="V489" i="1"/>
  <c r="W489" i="1"/>
  <c r="A5497" i="1"/>
  <c r="D5497" i="1"/>
  <c r="F5497" i="1"/>
  <c r="H5497" i="1"/>
  <c r="I5497" i="1"/>
  <c r="L5497" i="1"/>
  <c r="M5497" i="1"/>
  <c r="V5497" i="1"/>
  <c r="W5497" i="1"/>
  <c r="A4228" i="1"/>
  <c r="D4228" i="1"/>
  <c r="F4228" i="1"/>
  <c r="H4228" i="1"/>
  <c r="I4228" i="1"/>
  <c r="L4228" i="1"/>
  <c r="M4228" i="1"/>
  <c r="V4228" i="1"/>
  <c r="W4228" i="1"/>
  <c r="A2759" i="1"/>
  <c r="D2759" i="1"/>
  <c r="F2759" i="1"/>
  <c r="H2759" i="1"/>
  <c r="I2759" i="1"/>
  <c r="L2759" i="1"/>
  <c r="M2759" i="1"/>
  <c r="V2759" i="1"/>
  <c r="W2759" i="1"/>
  <c r="A1218" i="1"/>
  <c r="D1218" i="1"/>
  <c r="F1218" i="1"/>
  <c r="H1218" i="1"/>
  <c r="I1218" i="1"/>
  <c r="L1218" i="1"/>
  <c r="M1218" i="1"/>
  <c r="V1218" i="1"/>
  <c r="W1218" i="1"/>
  <c r="A3022" i="1"/>
  <c r="D3022" i="1"/>
  <c r="F3022" i="1"/>
  <c r="H3022" i="1"/>
  <c r="I3022" i="1"/>
  <c r="L3022" i="1"/>
  <c r="M3022" i="1"/>
  <c r="V3022" i="1"/>
  <c r="W3022" i="1"/>
  <c r="A2822" i="1"/>
  <c r="D2822" i="1"/>
  <c r="F2822" i="1"/>
  <c r="H2822" i="1"/>
  <c r="I2822" i="1"/>
  <c r="L2822" i="1"/>
  <c r="M2822" i="1"/>
  <c r="V2822" i="1"/>
  <c r="W2822" i="1"/>
  <c r="A3057" i="1"/>
  <c r="D3057" i="1"/>
  <c r="F3057" i="1"/>
  <c r="H3057" i="1"/>
  <c r="I3057" i="1"/>
  <c r="L3057" i="1"/>
  <c r="M3057" i="1"/>
  <c r="V3057" i="1"/>
  <c r="W3057" i="1"/>
  <c r="A3062" i="1"/>
  <c r="D3062" i="1"/>
  <c r="F3062" i="1"/>
  <c r="H3062" i="1"/>
  <c r="I3062" i="1"/>
  <c r="L3062" i="1"/>
  <c r="M3062" i="1"/>
  <c r="V3062" i="1"/>
  <c r="W3062" i="1"/>
  <c r="A6107" i="1"/>
  <c r="D6107" i="1"/>
  <c r="F6107" i="1"/>
  <c r="H6107" i="1"/>
  <c r="I6107" i="1"/>
  <c r="L6107" i="1"/>
  <c r="M6107" i="1"/>
  <c r="V6107" i="1"/>
  <c r="W6107" i="1"/>
  <c r="A5266" i="1"/>
  <c r="D5266" i="1"/>
  <c r="F5266" i="1"/>
  <c r="H5266" i="1"/>
  <c r="I5266" i="1"/>
  <c r="L5266" i="1"/>
  <c r="M5266" i="1"/>
  <c r="V5266" i="1"/>
  <c r="W5266" i="1"/>
  <c r="A4255" i="1"/>
  <c r="D4255" i="1"/>
  <c r="F4255" i="1"/>
  <c r="H4255" i="1"/>
  <c r="I4255" i="1"/>
  <c r="L4255" i="1"/>
  <c r="M4255" i="1"/>
  <c r="V4255" i="1"/>
  <c r="W4255" i="1"/>
  <c r="A4618" i="1"/>
  <c r="D4618" i="1"/>
  <c r="F4618" i="1"/>
  <c r="H4618" i="1"/>
  <c r="I4618" i="1"/>
  <c r="L4618" i="1"/>
  <c r="M4618" i="1"/>
  <c r="V4618" i="1"/>
  <c r="W4618" i="1"/>
  <c r="A4346" i="1"/>
  <c r="D4346" i="1"/>
  <c r="F4346" i="1"/>
  <c r="H4346" i="1"/>
  <c r="I4346" i="1"/>
  <c r="L4346" i="1"/>
  <c r="M4346" i="1"/>
  <c r="V4346" i="1"/>
  <c r="W4346" i="1"/>
  <c r="A5666" i="1"/>
  <c r="D5666" i="1"/>
  <c r="F5666" i="1"/>
  <c r="H5666" i="1"/>
  <c r="I5666" i="1"/>
  <c r="L5666" i="1"/>
  <c r="M5666" i="1"/>
  <c r="V5666" i="1"/>
  <c r="W5666" i="1"/>
  <c r="A238" i="1"/>
  <c r="D238" i="1"/>
  <c r="F238" i="1"/>
  <c r="H238" i="1"/>
  <c r="I238" i="1"/>
  <c r="L238" i="1"/>
  <c r="M238" i="1"/>
  <c r="V238" i="1"/>
  <c r="W238" i="1"/>
  <c r="A297" i="1"/>
  <c r="D297" i="1"/>
  <c r="F297" i="1"/>
  <c r="H297" i="1"/>
  <c r="I297" i="1"/>
  <c r="L297" i="1"/>
  <c r="M297" i="1"/>
  <c r="V297" i="1"/>
  <c r="W297" i="1"/>
  <c r="A414" i="1"/>
  <c r="D414" i="1"/>
  <c r="F414" i="1"/>
  <c r="H414" i="1"/>
  <c r="I414" i="1"/>
  <c r="L414" i="1"/>
  <c r="M414" i="1"/>
  <c r="V414" i="1"/>
  <c r="W414" i="1"/>
  <c r="A1145" i="1"/>
  <c r="D1145" i="1"/>
  <c r="F1145" i="1"/>
  <c r="H1145" i="1"/>
  <c r="I1145" i="1"/>
  <c r="L1145" i="1"/>
  <c r="M1145" i="1"/>
  <c r="V1145" i="1"/>
  <c r="W1145" i="1"/>
  <c r="A1579" i="1"/>
  <c r="D1579" i="1"/>
  <c r="F1579" i="1"/>
  <c r="H1579" i="1"/>
  <c r="I1579" i="1"/>
  <c r="L1579" i="1"/>
  <c r="M1579" i="1"/>
  <c r="V1579" i="1"/>
  <c r="W1579" i="1"/>
  <c r="A2815" i="1"/>
  <c r="D2815" i="1"/>
  <c r="F2815" i="1"/>
  <c r="H2815" i="1"/>
  <c r="I2815" i="1"/>
  <c r="L2815" i="1"/>
  <c r="M2815" i="1"/>
  <c r="V2815" i="1"/>
  <c r="W2815" i="1"/>
  <c r="A2983" i="1"/>
  <c r="D2983" i="1"/>
  <c r="F2983" i="1"/>
  <c r="H2983" i="1"/>
  <c r="I2983" i="1"/>
  <c r="L2983" i="1"/>
  <c r="M2983" i="1"/>
  <c r="V2983" i="1"/>
  <c r="W2983" i="1"/>
  <c r="A3220" i="1"/>
  <c r="D3220" i="1"/>
  <c r="F3220" i="1"/>
  <c r="H3220" i="1"/>
  <c r="I3220" i="1"/>
  <c r="L3220" i="1"/>
  <c r="M3220" i="1"/>
  <c r="V3220" i="1"/>
  <c r="W3220" i="1"/>
  <c r="A3514" i="1"/>
  <c r="D3514" i="1"/>
  <c r="F3514" i="1"/>
  <c r="H3514" i="1"/>
  <c r="I3514" i="1"/>
  <c r="L3514" i="1"/>
  <c r="M3514" i="1"/>
  <c r="V3514" i="1"/>
  <c r="W3514" i="1"/>
  <c r="A3814" i="1"/>
  <c r="D3814" i="1"/>
  <c r="F3814" i="1"/>
  <c r="H3814" i="1"/>
  <c r="I3814" i="1"/>
  <c r="L3814" i="1"/>
  <c r="M3814" i="1"/>
  <c r="V3814" i="1"/>
  <c r="W3814" i="1"/>
  <c r="A4915" i="1"/>
  <c r="D4915" i="1"/>
  <c r="F4915" i="1"/>
  <c r="H4915" i="1"/>
  <c r="I4915" i="1"/>
  <c r="L4915" i="1"/>
  <c r="M4915" i="1"/>
  <c r="V4915" i="1"/>
  <c r="W4915" i="1"/>
  <c r="A5087" i="1"/>
  <c r="D5087" i="1"/>
  <c r="F5087" i="1"/>
  <c r="H5087" i="1"/>
  <c r="I5087" i="1"/>
  <c r="L5087" i="1"/>
  <c r="M5087" i="1"/>
  <c r="V5087" i="1"/>
  <c r="W5087" i="1"/>
  <c r="A5443" i="1"/>
  <c r="D5443" i="1"/>
  <c r="F5443" i="1"/>
  <c r="H5443" i="1"/>
  <c r="I5443" i="1"/>
  <c r="L5443" i="1"/>
  <c r="M5443" i="1"/>
  <c r="V5443" i="1"/>
  <c r="W5443" i="1"/>
  <c r="A5516" i="1"/>
  <c r="D5516" i="1"/>
  <c r="F5516" i="1"/>
  <c r="H5516" i="1"/>
  <c r="I5516" i="1"/>
  <c r="L5516" i="1"/>
  <c r="M5516" i="1"/>
  <c r="V5516" i="1"/>
  <c r="W5516" i="1"/>
  <c r="A5580" i="1"/>
  <c r="D5580" i="1"/>
  <c r="F5580" i="1"/>
  <c r="H5580" i="1"/>
  <c r="I5580" i="1"/>
  <c r="L5580" i="1"/>
  <c r="M5580" i="1"/>
  <c r="V5580" i="1"/>
  <c r="W5580" i="1"/>
  <c r="A5861" i="1"/>
  <c r="D5861" i="1"/>
  <c r="F5861" i="1"/>
  <c r="H5861" i="1"/>
  <c r="I5861" i="1"/>
  <c r="L5861" i="1"/>
  <c r="M5861" i="1"/>
  <c r="V5861" i="1"/>
  <c r="W5861" i="1"/>
  <c r="A6005" i="1"/>
  <c r="D6005" i="1"/>
  <c r="F6005" i="1"/>
  <c r="H6005" i="1"/>
  <c r="I6005" i="1"/>
  <c r="L6005" i="1"/>
  <c r="M6005" i="1"/>
  <c r="V6005" i="1"/>
  <c r="W6005" i="1"/>
  <c r="A2792" i="1"/>
  <c r="D2792" i="1"/>
  <c r="F2792" i="1"/>
  <c r="H2792" i="1"/>
  <c r="I2792" i="1"/>
  <c r="L2792" i="1"/>
  <c r="M2792" i="1"/>
  <c r="V2792" i="1"/>
  <c r="W2792" i="1"/>
  <c r="A1613" i="1"/>
  <c r="D1613" i="1"/>
  <c r="F1613" i="1"/>
  <c r="H1613" i="1"/>
  <c r="I1613" i="1"/>
  <c r="L1613" i="1"/>
  <c r="M1613" i="1"/>
  <c r="V1613" i="1"/>
  <c r="W1613" i="1"/>
  <c r="A2391" i="1"/>
  <c r="D2391" i="1"/>
  <c r="F2391" i="1"/>
  <c r="H2391" i="1"/>
  <c r="I2391" i="1"/>
  <c r="L2391" i="1"/>
  <c r="M2391" i="1"/>
  <c r="V2391" i="1"/>
  <c r="W2391" i="1"/>
  <c r="A2241" i="1"/>
  <c r="D2241" i="1"/>
  <c r="F2241" i="1"/>
  <c r="H2241" i="1"/>
  <c r="I2241" i="1"/>
  <c r="L2241" i="1"/>
  <c r="M2241" i="1"/>
  <c r="V2241" i="1"/>
  <c r="W2241" i="1"/>
  <c r="A844" i="1"/>
  <c r="D844" i="1"/>
  <c r="F844" i="1"/>
  <c r="H844" i="1"/>
  <c r="I844" i="1"/>
  <c r="L844" i="1"/>
  <c r="M844" i="1"/>
  <c r="V844" i="1"/>
  <c r="W844" i="1"/>
  <c r="A4238" i="1"/>
  <c r="D4238" i="1"/>
  <c r="F4238" i="1"/>
  <c r="H4238" i="1"/>
  <c r="I4238" i="1"/>
  <c r="L4238" i="1"/>
  <c r="M4238" i="1"/>
  <c r="V4238" i="1"/>
  <c r="W4238" i="1"/>
  <c r="A1157" i="1"/>
  <c r="D1157" i="1"/>
  <c r="F1157" i="1"/>
  <c r="H1157" i="1"/>
  <c r="I1157" i="1"/>
  <c r="L1157" i="1"/>
  <c r="M1157" i="1"/>
  <c r="V1157" i="1"/>
  <c r="W1157" i="1"/>
  <c r="A1573" i="1"/>
  <c r="D1573" i="1"/>
  <c r="F1573" i="1"/>
  <c r="H1573" i="1"/>
  <c r="I1573" i="1"/>
  <c r="L1573" i="1"/>
  <c r="M1573" i="1"/>
  <c r="V1573" i="1"/>
  <c r="W1573" i="1"/>
  <c r="A3731" i="1"/>
  <c r="D3731" i="1"/>
  <c r="F3731" i="1"/>
  <c r="H3731" i="1"/>
  <c r="I3731" i="1"/>
  <c r="L3731" i="1"/>
  <c r="M3731" i="1"/>
  <c r="V3731" i="1"/>
  <c r="W3731" i="1"/>
  <c r="A1571" i="1"/>
  <c r="D1571" i="1"/>
  <c r="F1571" i="1"/>
  <c r="H1571" i="1"/>
  <c r="I1571" i="1"/>
  <c r="L1571" i="1"/>
  <c r="M1571" i="1"/>
  <c r="V1571" i="1"/>
  <c r="W1571" i="1"/>
  <c r="A5405" i="1"/>
  <c r="D5405" i="1"/>
  <c r="F5405" i="1"/>
  <c r="H5405" i="1"/>
  <c r="I5405" i="1"/>
  <c r="L5405" i="1"/>
  <c r="M5405" i="1"/>
  <c r="V5405" i="1"/>
  <c r="W5405" i="1"/>
  <c r="A5373" i="1"/>
  <c r="D5373" i="1"/>
  <c r="F5373" i="1"/>
  <c r="H5373" i="1"/>
  <c r="I5373" i="1"/>
  <c r="L5373" i="1"/>
  <c r="M5373" i="1"/>
  <c r="V5373" i="1"/>
  <c r="W5373" i="1"/>
  <c r="A2901" i="1"/>
  <c r="D2901" i="1"/>
  <c r="F2901" i="1"/>
  <c r="H2901" i="1"/>
  <c r="I2901" i="1"/>
  <c r="L2901" i="1"/>
  <c r="M2901" i="1"/>
  <c r="V2901" i="1"/>
  <c r="W2901" i="1"/>
  <c r="A4860" i="1"/>
  <c r="D4860" i="1"/>
  <c r="F4860" i="1"/>
  <c r="H4860" i="1"/>
  <c r="I4860" i="1"/>
  <c r="L4860" i="1"/>
  <c r="M4860" i="1"/>
  <c r="V4860" i="1"/>
  <c r="W4860" i="1"/>
  <c r="A4886" i="1"/>
  <c r="D4886" i="1"/>
  <c r="F4886" i="1"/>
  <c r="H4886" i="1"/>
  <c r="I4886" i="1"/>
  <c r="L4886" i="1"/>
  <c r="M4886" i="1"/>
  <c r="V4886" i="1"/>
  <c r="W4886" i="1"/>
  <c r="A5369" i="1"/>
  <c r="D5369" i="1"/>
  <c r="F5369" i="1"/>
  <c r="H5369" i="1"/>
  <c r="I5369" i="1"/>
  <c r="L5369" i="1"/>
  <c r="M5369" i="1"/>
  <c r="V5369" i="1"/>
  <c r="W5369" i="1"/>
  <c r="A4143" i="1"/>
  <c r="D4143" i="1"/>
  <c r="F4143" i="1"/>
  <c r="H4143" i="1"/>
  <c r="I4143" i="1"/>
  <c r="L4143" i="1"/>
  <c r="M4143" i="1"/>
  <c r="V4143" i="1"/>
  <c r="W4143" i="1"/>
  <c r="A482" i="1"/>
  <c r="D482" i="1"/>
  <c r="F482" i="1"/>
  <c r="H482" i="1"/>
  <c r="I482" i="1"/>
  <c r="L482" i="1"/>
  <c r="M482" i="1"/>
  <c r="V482" i="1"/>
  <c r="W482" i="1"/>
  <c r="A1943" i="1"/>
  <c r="D1943" i="1"/>
  <c r="F1943" i="1"/>
  <c r="H1943" i="1"/>
  <c r="I1943" i="1"/>
  <c r="L1943" i="1"/>
  <c r="M1943" i="1"/>
  <c r="V1943" i="1"/>
  <c r="W1943" i="1"/>
  <c r="A2926" i="1"/>
  <c r="D2926" i="1"/>
  <c r="F2926" i="1"/>
  <c r="H2926" i="1"/>
  <c r="I2926" i="1"/>
  <c r="L2926" i="1"/>
  <c r="M2926" i="1"/>
  <c r="V2926" i="1"/>
  <c r="W2926" i="1"/>
  <c r="A3078" i="1"/>
  <c r="D3078" i="1"/>
  <c r="F3078" i="1"/>
  <c r="H3078" i="1"/>
  <c r="I3078" i="1"/>
  <c r="L3078" i="1"/>
  <c r="M3078" i="1"/>
  <c r="V3078" i="1"/>
  <c r="W3078" i="1"/>
  <c r="A3909" i="1"/>
  <c r="D3909" i="1"/>
  <c r="F3909" i="1"/>
  <c r="H3909" i="1"/>
  <c r="I3909" i="1"/>
  <c r="L3909" i="1"/>
  <c r="M3909" i="1"/>
  <c r="V3909" i="1"/>
  <c r="W3909" i="1"/>
  <c r="A579" i="1"/>
  <c r="D579" i="1"/>
  <c r="F579" i="1"/>
  <c r="H579" i="1"/>
  <c r="I579" i="1"/>
  <c r="L579" i="1"/>
  <c r="M579" i="1"/>
  <c r="V579" i="1"/>
  <c r="W579" i="1"/>
  <c r="A603" i="1"/>
  <c r="D603" i="1"/>
  <c r="F603" i="1"/>
  <c r="H603" i="1"/>
  <c r="I603" i="1"/>
  <c r="L603" i="1"/>
  <c r="M603" i="1"/>
  <c r="V603" i="1"/>
  <c r="W603" i="1"/>
  <c r="A613" i="1"/>
  <c r="D613" i="1"/>
  <c r="F613" i="1"/>
  <c r="H613" i="1"/>
  <c r="I613" i="1"/>
  <c r="L613" i="1"/>
  <c r="M613" i="1"/>
  <c r="V613" i="1"/>
  <c r="W613" i="1"/>
  <c r="A1022" i="1"/>
  <c r="D1022" i="1"/>
  <c r="F1022" i="1"/>
  <c r="H1022" i="1"/>
  <c r="I1022" i="1"/>
  <c r="L1022" i="1"/>
  <c r="M1022" i="1"/>
  <c r="V1022" i="1"/>
  <c r="W1022" i="1"/>
  <c r="A517" i="1"/>
  <c r="D517" i="1"/>
  <c r="F517" i="1"/>
  <c r="H517" i="1"/>
  <c r="I517" i="1"/>
  <c r="L517" i="1"/>
  <c r="M517" i="1"/>
  <c r="V517" i="1"/>
  <c r="W517" i="1"/>
  <c r="A5127" i="1"/>
  <c r="D5127" i="1"/>
  <c r="F5127" i="1"/>
  <c r="H5127" i="1"/>
  <c r="I5127" i="1"/>
  <c r="L5127" i="1"/>
  <c r="M5127" i="1"/>
  <c r="V5127" i="1"/>
  <c r="W5127" i="1"/>
  <c r="A2720" i="1"/>
  <c r="D2720" i="1"/>
  <c r="F2720" i="1"/>
  <c r="H2720" i="1"/>
  <c r="I2720" i="1"/>
  <c r="L2720" i="1"/>
  <c r="M2720" i="1"/>
  <c r="V2720" i="1"/>
  <c r="W2720" i="1"/>
  <c r="A3387" i="1"/>
  <c r="D3387" i="1"/>
  <c r="F3387" i="1"/>
  <c r="H3387" i="1"/>
  <c r="I3387" i="1"/>
  <c r="L3387" i="1"/>
  <c r="M3387" i="1"/>
  <c r="V3387" i="1"/>
  <c r="W3387" i="1"/>
  <c r="A3367" i="1"/>
  <c r="D3367" i="1"/>
  <c r="F3367" i="1"/>
  <c r="H3367" i="1"/>
  <c r="I3367" i="1"/>
  <c r="L3367" i="1"/>
  <c r="M3367" i="1"/>
  <c r="V3367" i="1"/>
  <c r="W3367" i="1"/>
  <c r="A4477" i="1"/>
  <c r="D4477" i="1"/>
  <c r="F4477" i="1"/>
  <c r="H4477" i="1"/>
  <c r="I4477" i="1"/>
  <c r="L4477" i="1"/>
  <c r="M4477" i="1"/>
  <c r="V4477" i="1"/>
  <c r="W4477" i="1"/>
  <c r="A5007" i="1"/>
  <c r="D5007" i="1"/>
  <c r="F5007" i="1"/>
  <c r="H5007" i="1"/>
  <c r="I5007" i="1"/>
  <c r="L5007" i="1"/>
  <c r="M5007" i="1"/>
  <c r="V5007" i="1"/>
  <c r="W5007" i="1"/>
  <c r="A3673" i="1"/>
  <c r="D3673" i="1"/>
  <c r="F3673" i="1"/>
  <c r="H3673" i="1"/>
  <c r="I3673" i="1"/>
  <c r="L3673" i="1"/>
  <c r="M3673" i="1"/>
  <c r="V3673" i="1"/>
  <c r="W3673" i="1"/>
  <c r="A3106" i="1"/>
  <c r="D3106" i="1"/>
  <c r="F3106" i="1"/>
  <c r="H3106" i="1"/>
  <c r="I3106" i="1"/>
  <c r="L3106" i="1"/>
  <c r="M3106" i="1"/>
  <c r="V3106" i="1"/>
  <c r="W3106" i="1"/>
  <c r="A3133" i="1"/>
  <c r="D3133" i="1"/>
  <c r="F3133" i="1"/>
  <c r="H3133" i="1"/>
  <c r="I3133" i="1"/>
  <c r="L3133" i="1"/>
  <c r="M3133" i="1"/>
  <c r="V3133" i="1"/>
  <c r="W3133" i="1"/>
  <c r="A5278" i="1"/>
  <c r="D5278" i="1"/>
  <c r="F5278" i="1"/>
  <c r="H5278" i="1"/>
  <c r="I5278" i="1"/>
  <c r="L5278" i="1"/>
  <c r="M5278" i="1"/>
  <c r="V5278" i="1"/>
  <c r="W5278" i="1"/>
  <c r="A5534" i="1"/>
  <c r="D5534" i="1"/>
  <c r="F5534" i="1"/>
  <c r="H5534" i="1"/>
  <c r="I5534" i="1"/>
  <c r="L5534" i="1"/>
  <c r="M5534" i="1"/>
  <c r="V5534" i="1"/>
  <c r="W5534" i="1"/>
  <c r="A5750" i="1"/>
  <c r="D5750" i="1"/>
  <c r="F5750" i="1"/>
  <c r="H5750" i="1"/>
  <c r="I5750" i="1"/>
  <c r="L5750" i="1"/>
  <c r="M5750" i="1"/>
  <c r="V5750" i="1"/>
  <c r="W5750" i="1"/>
  <c r="A3762" i="1"/>
  <c r="D3762" i="1"/>
  <c r="F3762" i="1"/>
  <c r="H3762" i="1"/>
  <c r="I3762" i="1"/>
  <c r="L3762" i="1"/>
  <c r="M3762" i="1"/>
  <c r="V3762" i="1"/>
  <c r="W3762" i="1"/>
  <c r="A4298" i="1"/>
  <c r="D4298" i="1"/>
  <c r="F4298" i="1"/>
  <c r="H4298" i="1"/>
  <c r="I4298" i="1"/>
  <c r="L4298" i="1"/>
  <c r="M4298" i="1"/>
  <c r="V4298" i="1"/>
  <c r="W4298" i="1"/>
  <c r="A1833" i="1"/>
  <c r="D1833" i="1"/>
  <c r="F1833" i="1"/>
  <c r="H1833" i="1"/>
  <c r="I1833" i="1"/>
  <c r="L1833" i="1"/>
  <c r="M1833" i="1"/>
  <c r="V1833" i="1"/>
  <c r="W1833" i="1"/>
  <c r="A2062" i="1"/>
  <c r="D2062" i="1"/>
  <c r="F2062" i="1"/>
  <c r="H2062" i="1"/>
  <c r="I2062" i="1"/>
  <c r="L2062" i="1"/>
  <c r="M2062" i="1"/>
  <c r="V2062" i="1"/>
  <c r="W2062" i="1"/>
  <c r="A1899" i="1"/>
  <c r="D1899" i="1"/>
  <c r="F1899" i="1"/>
  <c r="H1899" i="1"/>
  <c r="I1899" i="1"/>
  <c r="L1899" i="1"/>
  <c r="M1899" i="1"/>
  <c r="V1899" i="1"/>
  <c r="W1899" i="1"/>
  <c r="A2024" i="1"/>
  <c r="D2024" i="1"/>
  <c r="F2024" i="1"/>
  <c r="H2024" i="1"/>
  <c r="I2024" i="1"/>
  <c r="L2024" i="1"/>
  <c r="M2024" i="1"/>
  <c r="V2024" i="1"/>
  <c r="W2024" i="1"/>
  <c r="A2300" i="1"/>
  <c r="D2300" i="1"/>
  <c r="F2300" i="1"/>
  <c r="H2300" i="1"/>
  <c r="I2300" i="1"/>
  <c r="L2300" i="1"/>
  <c r="M2300" i="1"/>
  <c r="V2300" i="1"/>
  <c r="W2300" i="1"/>
  <c r="A1939" i="1"/>
  <c r="D1939" i="1"/>
  <c r="F1939" i="1"/>
  <c r="H1939" i="1"/>
  <c r="I1939" i="1"/>
  <c r="L1939" i="1"/>
  <c r="M1939" i="1"/>
  <c r="V1939" i="1"/>
  <c r="W1939" i="1"/>
  <c r="A2298" i="1"/>
  <c r="D2298" i="1"/>
  <c r="F2298" i="1"/>
  <c r="H2298" i="1"/>
  <c r="I2298" i="1"/>
  <c r="L2298" i="1"/>
  <c r="M2298" i="1"/>
  <c r="V2298" i="1"/>
  <c r="W2298" i="1"/>
  <c r="A2559" i="1"/>
  <c r="D2559" i="1"/>
  <c r="F2559" i="1"/>
  <c r="H2559" i="1"/>
  <c r="I2559" i="1"/>
  <c r="L2559" i="1"/>
  <c r="M2559" i="1"/>
  <c r="V2559" i="1"/>
  <c r="W2559" i="1"/>
  <c r="A2622" i="1"/>
  <c r="D2622" i="1"/>
  <c r="F2622" i="1"/>
  <c r="H2622" i="1"/>
  <c r="I2622" i="1"/>
  <c r="L2622" i="1"/>
  <c r="M2622" i="1"/>
  <c r="V2622" i="1"/>
  <c r="W2622" i="1"/>
  <c r="A2833" i="1"/>
  <c r="D2833" i="1"/>
  <c r="F2833" i="1"/>
  <c r="H2833" i="1"/>
  <c r="I2833" i="1"/>
  <c r="L2833" i="1"/>
  <c r="M2833" i="1"/>
  <c r="V2833" i="1"/>
  <c r="W2833" i="1"/>
  <c r="A4297" i="1"/>
  <c r="D4297" i="1"/>
  <c r="F4297" i="1"/>
  <c r="H4297" i="1"/>
  <c r="I4297" i="1"/>
  <c r="L4297" i="1"/>
  <c r="M4297" i="1"/>
  <c r="V4297" i="1"/>
  <c r="W4297" i="1"/>
  <c r="A6210" i="1"/>
  <c r="D6210" i="1"/>
  <c r="F6210" i="1"/>
  <c r="H6210" i="1"/>
  <c r="I6210" i="1"/>
  <c r="L6210" i="1"/>
  <c r="M6210" i="1"/>
  <c r="V6210" i="1"/>
  <c r="W6210" i="1"/>
  <c r="A3947" i="1"/>
  <c r="D3947" i="1"/>
  <c r="F3947" i="1"/>
  <c r="H3947" i="1"/>
  <c r="I3947" i="1"/>
  <c r="L3947" i="1"/>
  <c r="M3947" i="1"/>
  <c r="V3947" i="1"/>
  <c r="W3947" i="1"/>
  <c r="A5843" i="1"/>
  <c r="D5843" i="1"/>
  <c r="F5843" i="1"/>
  <c r="H5843" i="1"/>
  <c r="I5843" i="1"/>
  <c r="L5843" i="1"/>
  <c r="M5843" i="1"/>
  <c r="V5843" i="1"/>
  <c r="W5843" i="1"/>
  <c r="A2509" i="1"/>
  <c r="D2509" i="1"/>
  <c r="F2509" i="1"/>
  <c r="H2509" i="1"/>
  <c r="I2509" i="1"/>
  <c r="L2509" i="1"/>
  <c r="M2509" i="1"/>
  <c r="V2509" i="1"/>
  <c r="W2509" i="1"/>
  <c r="A1968" i="1"/>
  <c r="D1968" i="1"/>
  <c r="F1968" i="1"/>
  <c r="H1968" i="1"/>
  <c r="I1968" i="1"/>
  <c r="L1968" i="1"/>
  <c r="M1968" i="1"/>
  <c r="V1968" i="1"/>
  <c r="W1968" i="1"/>
  <c r="A127" i="1"/>
  <c r="D127" i="1"/>
  <c r="F127" i="1"/>
  <c r="H127" i="1"/>
  <c r="I127" i="1"/>
  <c r="L127" i="1"/>
  <c r="M127" i="1"/>
  <c r="V127" i="1"/>
  <c r="W127" i="1"/>
  <c r="A3994" i="1"/>
  <c r="D3994" i="1"/>
  <c r="F3994" i="1"/>
  <c r="H3994" i="1"/>
  <c r="I3994" i="1"/>
  <c r="L3994" i="1"/>
  <c r="M3994" i="1"/>
  <c r="V3994" i="1"/>
  <c r="W3994" i="1"/>
  <c r="A5432" i="1"/>
  <c r="D5432" i="1"/>
  <c r="F5432" i="1"/>
  <c r="H5432" i="1"/>
  <c r="I5432" i="1"/>
  <c r="L5432" i="1"/>
  <c r="M5432" i="1"/>
  <c r="V5432" i="1"/>
  <c r="W5432" i="1"/>
  <c r="A4103" i="1"/>
  <c r="D4103" i="1"/>
  <c r="F4103" i="1"/>
  <c r="H4103" i="1"/>
  <c r="I4103" i="1"/>
  <c r="L4103" i="1"/>
  <c r="M4103" i="1"/>
  <c r="V4103" i="1"/>
  <c r="W4103" i="1"/>
  <c r="A5574" i="1"/>
  <c r="D5574" i="1"/>
  <c r="F5574" i="1"/>
  <c r="H5574" i="1"/>
  <c r="I5574" i="1"/>
  <c r="L5574" i="1"/>
  <c r="M5574" i="1"/>
  <c r="V5574" i="1"/>
  <c r="W5574" i="1"/>
  <c r="A6130" i="1"/>
  <c r="D6130" i="1"/>
  <c r="F6130" i="1"/>
  <c r="H6130" i="1"/>
  <c r="I6130" i="1"/>
  <c r="L6130" i="1"/>
  <c r="M6130" i="1"/>
  <c r="V6130" i="1"/>
  <c r="W6130" i="1"/>
  <c r="A1098" i="1"/>
  <c r="D1098" i="1"/>
  <c r="F1098" i="1"/>
  <c r="H1098" i="1"/>
  <c r="I1098" i="1"/>
  <c r="L1098" i="1"/>
  <c r="M1098" i="1"/>
  <c r="V1098" i="1"/>
  <c r="W1098" i="1"/>
  <c r="A1606" i="1"/>
  <c r="D1606" i="1"/>
  <c r="F1606" i="1"/>
  <c r="H1606" i="1"/>
  <c r="I1606" i="1"/>
  <c r="L1606" i="1"/>
  <c r="M1606" i="1"/>
  <c r="V1606" i="1"/>
  <c r="W1606" i="1"/>
  <c r="A5998" i="1"/>
  <c r="D5998" i="1"/>
  <c r="F5998" i="1"/>
  <c r="H5998" i="1"/>
  <c r="I5998" i="1"/>
  <c r="L5998" i="1"/>
  <c r="M5998" i="1"/>
  <c r="V5998" i="1"/>
  <c r="W5998" i="1"/>
  <c r="A4102" i="1"/>
  <c r="D4102" i="1"/>
  <c r="F4102" i="1"/>
  <c r="H4102" i="1"/>
  <c r="I4102" i="1"/>
  <c r="L4102" i="1"/>
  <c r="M4102" i="1"/>
  <c r="V4102" i="1"/>
  <c r="W4102" i="1"/>
  <c r="A335" i="1"/>
  <c r="D335" i="1"/>
  <c r="F335" i="1"/>
  <c r="H335" i="1"/>
  <c r="I335" i="1"/>
  <c r="L335" i="1"/>
  <c r="M335" i="1"/>
  <c r="V335" i="1"/>
  <c r="W335" i="1"/>
  <c r="A1692" i="1"/>
  <c r="D1692" i="1"/>
  <c r="F1692" i="1"/>
  <c r="H1692" i="1"/>
  <c r="I1692" i="1"/>
  <c r="L1692" i="1"/>
  <c r="M1692" i="1"/>
  <c r="V1692" i="1"/>
  <c r="W1692" i="1"/>
  <c r="A5610" i="1"/>
  <c r="D5610" i="1"/>
  <c r="F5610" i="1"/>
  <c r="H5610" i="1"/>
  <c r="I5610" i="1"/>
  <c r="L5610" i="1"/>
  <c r="M5610" i="1"/>
  <c r="V5610" i="1"/>
  <c r="W5610" i="1"/>
  <c r="A4056" i="1"/>
  <c r="D4056" i="1"/>
  <c r="F4056" i="1"/>
  <c r="H4056" i="1"/>
  <c r="I4056" i="1"/>
  <c r="L4056" i="1"/>
  <c r="M4056" i="1"/>
  <c r="V4056" i="1"/>
  <c r="W4056" i="1"/>
  <c r="A1840" i="1"/>
  <c r="D1840" i="1"/>
  <c r="F1840" i="1"/>
  <c r="H1840" i="1"/>
  <c r="I1840" i="1"/>
  <c r="L1840" i="1"/>
  <c r="M1840" i="1"/>
  <c r="V1840" i="1"/>
  <c r="W1840" i="1"/>
  <c r="A5298" i="1"/>
  <c r="D5298" i="1"/>
  <c r="F5298" i="1"/>
  <c r="H5298" i="1"/>
  <c r="I5298" i="1"/>
  <c r="L5298" i="1"/>
  <c r="M5298" i="1"/>
  <c r="V5298" i="1"/>
  <c r="W5298" i="1"/>
  <c r="A3681" i="1"/>
  <c r="D3681" i="1"/>
  <c r="F3681" i="1"/>
  <c r="H3681" i="1"/>
  <c r="I3681" i="1"/>
  <c r="L3681" i="1"/>
  <c r="M3681" i="1"/>
  <c r="V3681" i="1"/>
  <c r="W3681" i="1"/>
  <c r="A5242" i="1"/>
  <c r="D5242" i="1"/>
  <c r="F5242" i="1"/>
  <c r="H5242" i="1"/>
  <c r="I5242" i="1"/>
  <c r="L5242" i="1"/>
  <c r="M5242" i="1"/>
  <c r="V5242" i="1"/>
  <c r="W5242" i="1"/>
  <c r="A5246" i="1"/>
  <c r="D5246" i="1"/>
  <c r="F5246" i="1"/>
  <c r="H5246" i="1"/>
  <c r="I5246" i="1"/>
  <c r="L5246" i="1"/>
  <c r="M5246" i="1"/>
  <c r="V5246" i="1"/>
  <c r="W5246" i="1"/>
  <c r="A3091" i="1"/>
  <c r="D3091" i="1"/>
  <c r="F3091" i="1"/>
  <c r="H3091" i="1"/>
  <c r="I3091" i="1"/>
  <c r="L3091" i="1"/>
  <c r="M3091" i="1"/>
  <c r="V3091" i="1"/>
  <c r="W3091" i="1"/>
  <c r="A3154" i="1"/>
  <c r="D3154" i="1"/>
  <c r="F3154" i="1"/>
  <c r="H3154" i="1"/>
  <c r="I3154" i="1"/>
  <c r="L3154" i="1"/>
  <c r="M3154" i="1"/>
  <c r="V3154" i="1"/>
  <c r="W3154" i="1"/>
  <c r="A1904" i="1"/>
  <c r="D1904" i="1"/>
  <c r="F1904" i="1"/>
  <c r="H1904" i="1"/>
  <c r="I1904" i="1"/>
  <c r="L1904" i="1"/>
  <c r="M1904" i="1"/>
  <c r="V1904" i="1"/>
  <c r="W1904" i="1"/>
  <c r="A3200" i="1"/>
  <c r="D3200" i="1"/>
  <c r="F3200" i="1"/>
  <c r="H3200" i="1"/>
  <c r="I3200" i="1"/>
  <c r="L3200" i="1"/>
  <c r="M3200" i="1"/>
  <c r="V3200" i="1"/>
  <c r="W3200" i="1"/>
  <c r="A6033" i="1"/>
  <c r="D6033" i="1"/>
  <c r="F6033" i="1"/>
  <c r="H6033" i="1"/>
  <c r="I6033" i="1"/>
  <c r="L6033" i="1"/>
  <c r="M6033" i="1"/>
  <c r="V6033" i="1"/>
  <c r="W6033" i="1"/>
  <c r="A3802" i="1"/>
  <c r="D3802" i="1"/>
  <c r="F3802" i="1"/>
  <c r="H3802" i="1"/>
  <c r="I3802" i="1"/>
  <c r="L3802" i="1"/>
  <c r="M3802" i="1"/>
  <c r="V3802" i="1"/>
  <c r="W3802" i="1"/>
  <c r="A2823" i="1"/>
  <c r="D2823" i="1"/>
  <c r="F2823" i="1"/>
  <c r="H2823" i="1"/>
  <c r="I2823" i="1"/>
  <c r="L2823" i="1"/>
  <c r="M2823" i="1"/>
  <c r="V2823" i="1"/>
  <c r="W2823" i="1"/>
  <c r="A3056" i="1"/>
  <c r="D3056" i="1"/>
  <c r="F3056" i="1"/>
  <c r="H3056" i="1"/>
  <c r="I3056" i="1"/>
  <c r="L3056" i="1"/>
  <c r="M3056" i="1"/>
  <c r="V3056" i="1"/>
  <c r="W3056" i="1"/>
  <c r="A3065" i="1"/>
  <c r="D3065" i="1"/>
  <c r="F3065" i="1"/>
  <c r="H3065" i="1"/>
  <c r="I3065" i="1"/>
  <c r="L3065" i="1"/>
  <c r="M3065" i="1"/>
  <c r="V3065" i="1"/>
  <c r="W3065" i="1"/>
  <c r="A2889" i="1"/>
  <c r="D2889" i="1"/>
  <c r="F2889" i="1"/>
  <c r="H2889" i="1"/>
  <c r="I2889" i="1"/>
  <c r="L2889" i="1"/>
  <c r="M2889" i="1"/>
  <c r="V2889" i="1"/>
  <c r="W2889" i="1"/>
  <c r="A3407" i="1"/>
  <c r="D3407" i="1"/>
  <c r="F3407" i="1"/>
  <c r="H3407" i="1"/>
  <c r="I3407" i="1"/>
  <c r="L3407" i="1"/>
  <c r="M3407" i="1"/>
  <c r="V3407" i="1"/>
  <c r="W3407" i="1"/>
  <c r="A3533" i="1"/>
  <c r="D3533" i="1"/>
  <c r="F3533" i="1"/>
  <c r="H3533" i="1"/>
  <c r="I3533" i="1"/>
  <c r="L3533" i="1"/>
  <c r="M3533" i="1"/>
  <c r="V3533" i="1"/>
  <c r="W3533" i="1"/>
  <c r="A5869" i="1"/>
  <c r="D5869" i="1"/>
  <c r="F5869" i="1"/>
  <c r="H5869" i="1"/>
  <c r="I5869" i="1"/>
  <c r="L5869" i="1"/>
  <c r="M5869" i="1"/>
  <c r="V5869" i="1"/>
  <c r="W5869" i="1"/>
  <c r="A1468" i="1"/>
  <c r="D1468" i="1"/>
  <c r="F1468" i="1"/>
  <c r="H1468" i="1"/>
  <c r="I1468" i="1"/>
  <c r="L1468" i="1"/>
  <c r="M1468" i="1"/>
  <c r="V1468" i="1"/>
  <c r="W1468" i="1"/>
  <c r="A2842" i="1"/>
  <c r="D2842" i="1"/>
  <c r="F2842" i="1"/>
  <c r="H2842" i="1"/>
  <c r="I2842" i="1"/>
  <c r="L2842" i="1"/>
  <c r="M2842" i="1"/>
  <c r="V2842" i="1"/>
  <c r="W2842" i="1"/>
  <c r="A3771" i="1"/>
  <c r="D3771" i="1"/>
  <c r="F3771" i="1"/>
  <c r="H3771" i="1"/>
  <c r="I3771" i="1"/>
  <c r="L3771" i="1"/>
  <c r="M3771" i="1"/>
  <c r="V3771" i="1"/>
  <c r="W3771" i="1"/>
  <c r="A3782" i="1"/>
  <c r="D3782" i="1"/>
  <c r="F3782" i="1"/>
  <c r="H3782" i="1"/>
  <c r="I3782" i="1"/>
  <c r="L3782" i="1"/>
  <c r="M3782" i="1"/>
  <c r="V3782" i="1"/>
  <c r="W3782" i="1"/>
  <c r="A1832" i="1"/>
  <c r="D1832" i="1"/>
  <c r="F1832" i="1"/>
  <c r="H1832" i="1"/>
  <c r="I1832" i="1"/>
  <c r="L1832" i="1"/>
  <c r="M1832" i="1"/>
  <c r="V1832" i="1"/>
  <c r="W1832" i="1"/>
  <c r="A2061" i="1"/>
  <c r="D2061" i="1"/>
  <c r="F2061" i="1"/>
  <c r="H2061" i="1"/>
  <c r="I2061" i="1"/>
  <c r="L2061" i="1"/>
  <c r="M2061" i="1"/>
  <c r="V2061" i="1"/>
  <c r="W2061" i="1"/>
  <c r="A1898" i="1"/>
  <c r="D1898" i="1"/>
  <c r="F1898" i="1"/>
  <c r="H1898" i="1"/>
  <c r="I1898" i="1"/>
  <c r="L1898" i="1"/>
  <c r="M1898" i="1"/>
  <c r="V1898" i="1"/>
  <c r="W1898" i="1"/>
  <c r="A2023" i="1"/>
  <c r="D2023" i="1"/>
  <c r="F2023" i="1"/>
  <c r="H2023" i="1"/>
  <c r="I2023" i="1"/>
  <c r="L2023" i="1"/>
  <c r="M2023" i="1"/>
  <c r="V2023" i="1"/>
  <c r="W2023" i="1"/>
  <c r="A2299" i="1"/>
  <c r="D2299" i="1"/>
  <c r="F2299" i="1"/>
  <c r="H2299" i="1"/>
  <c r="I2299" i="1"/>
  <c r="L2299" i="1"/>
  <c r="M2299" i="1"/>
  <c r="V2299" i="1"/>
  <c r="W2299" i="1"/>
  <c r="A3318" i="1"/>
  <c r="D3318" i="1"/>
  <c r="F3318" i="1"/>
  <c r="H3318" i="1"/>
  <c r="I3318" i="1"/>
  <c r="L3318" i="1"/>
  <c r="M3318" i="1"/>
  <c r="V3318" i="1"/>
  <c r="W3318" i="1"/>
  <c r="A3586" i="1"/>
  <c r="D3586" i="1"/>
  <c r="F3586" i="1"/>
  <c r="H3586" i="1"/>
  <c r="I3586" i="1"/>
  <c r="L3586" i="1"/>
  <c r="M3586" i="1"/>
  <c r="V3586" i="1"/>
  <c r="W3586" i="1"/>
  <c r="A3749" i="1"/>
  <c r="D3749" i="1"/>
  <c r="F3749" i="1"/>
  <c r="H3749" i="1"/>
  <c r="I3749" i="1"/>
  <c r="L3749" i="1"/>
  <c r="M3749" i="1"/>
  <c r="V3749" i="1"/>
  <c r="W3749" i="1"/>
  <c r="A5890" i="1"/>
  <c r="D5890" i="1"/>
  <c r="F5890" i="1"/>
  <c r="H5890" i="1"/>
  <c r="I5890" i="1"/>
  <c r="L5890" i="1"/>
  <c r="M5890" i="1"/>
  <c r="V5890" i="1"/>
  <c r="W5890" i="1"/>
  <c r="A2955" i="1"/>
  <c r="D2955" i="1"/>
  <c r="F2955" i="1"/>
  <c r="H2955" i="1"/>
  <c r="I2955" i="1"/>
  <c r="L2955" i="1"/>
  <c r="M2955" i="1"/>
  <c r="V2955" i="1"/>
  <c r="W2955" i="1"/>
  <c r="A5592" i="1"/>
  <c r="D5592" i="1"/>
  <c r="F5592" i="1"/>
  <c r="H5592" i="1"/>
  <c r="I5592" i="1"/>
  <c r="L5592" i="1"/>
  <c r="M5592" i="1"/>
  <c r="V5592" i="1"/>
  <c r="W5592" i="1"/>
  <c r="A3385" i="1"/>
  <c r="D3385" i="1"/>
  <c r="F3385" i="1"/>
  <c r="H3385" i="1"/>
  <c r="I3385" i="1"/>
  <c r="L3385" i="1"/>
  <c r="M3385" i="1"/>
  <c r="V3385" i="1"/>
  <c r="W3385" i="1"/>
  <c r="A273" i="1"/>
  <c r="D273" i="1"/>
  <c r="F273" i="1"/>
  <c r="H273" i="1"/>
  <c r="I273" i="1"/>
  <c r="L273" i="1"/>
  <c r="M273" i="1"/>
  <c r="V273" i="1"/>
  <c r="W273" i="1"/>
  <c r="A1704" i="1"/>
  <c r="D1704" i="1"/>
  <c r="F1704" i="1"/>
  <c r="H1704" i="1"/>
  <c r="I1704" i="1"/>
  <c r="L1704" i="1"/>
  <c r="M1704" i="1"/>
  <c r="V1704" i="1"/>
  <c r="W1704" i="1"/>
  <c r="A3084" i="1"/>
  <c r="D3084" i="1"/>
  <c r="F3084" i="1"/>
  <c r="H3084" i="1"/>
  <c r="I3084" i="1"/>
  <c r="L3084" i="1"/>
  <c r="M3084" i="1"/>
  <c r="V3084" i="1"/>
  <c r="W3084" i="1"/>
  <c r="A3132" i="1"/>
  <c r="D3132" i="1"/>
  <c r="F3132" i="1"/>
  <c r="H3132" i="1"/>
  <c r="I3132" i="1"/>
  <c r="L3132" i="1"/>
  <c r="M3132" i="1"/>
  <c r="V3132" i="1"/>
  <c r="W3132" i="1"/>
  <c r="A2588" i="1"/>
  <c r="D2588" i="1"/>
  <c r="F2588" i="1"/>
  <c r="H2588" i="1"/>
  <c r="I2588" i="1"/>
  <c r="L2588" i="1"/>
  <c r="M2588" i="1"/>
  <c r="V2588" i="1"/>
  <c r="W2588" i="1"/>
  <c r="A6199" i="1"/>
  <c r="D6199" i="1"/>
  <c r="F6199" i="1"/>
  <c r="H6199" i="1"/>
  <c r="I6199" i="1"/>
  <c r="L6199" i="1"/>
  <c r="M6199" i="1"/>
  <c r="V6199" i="1"/>
  <c r="W6199" i="1"/>
  <c r="A2398" i="1"/>
  <c r="D2398" i="1"/>
  <c r="F2398" i="1"/>
  <c r="H2398" i="1"/>
  <c r="I2398" i="1"/>
  <c r="L2398" i="1"/>
  <c r="M2398" i="1"/>
  <c r="V2398" i="1"/>
  <c r="W2398" i="1"/>
  <c r="A1752" i="1"/>
  <c r="D1752" i="1"/>
  <c r="F1752" i="1"/>
  <c r="H1752" i="1"/>
  <c r="I1752" i="1"/>
  <c r="L1752" i="1"/>
  <c r="M1752" i="1"/>
  <c r="V1752" i="1"/>
  <c r="W1752" i="1"/>
  <c r="A2402" i="1"/>
  <c r="D2402" i="1"/>
  <c r="F2402" i="1"/>
  <c r="H2402" i="1"/>
  <c r="I2402" i="1"/>
  <c r="L2402" i="1"/>
  <c r="M2402" i="1"/>
  <c r="V2402" i="1"/>
  <c r="W2402" i="1"/>
  <c r="A5640" i="1"/>
  <c r="D5640" i="1"/>
  <c r="F5640" i="1"/>
  <c r="H5640" i="1"/>
  <c r="I5640" i="1"/>
  <c r="L5640" i="1"/>
  <c r="M5640" i="1"/>
  <c r="V5640" i="1"/>
  <c r="W5640" i="1"/>
  <c r="A5777" i="1"/>
  <c r="D5777" i="1"/>
  <c r="F5777" i="1"/>
  <c r="H5777" i="1"/>
  <c r="I5777" i="1"/>
  <c r="L5777" i="1"/>
  <c r="M5777" i="1"/>
  <c r="V5777" i="1"/>
  <c r="W5777" i="1"/>
  <c r="A3048" i="1"/>
  <c r="D3048" i="1"/>
  <c r="F3048" i="1"/>
  <c r="H3048" i="1"/>
  <c r="I3048" i="1"/>
  <c r="L3048" i="1"/>
  <c r="M3048" i="1"/>
  <c r="V3048" i="1"/>
  <c r="W3048" i="1"/>
  <c r="A971" i="1"/>
  <c r="D971" i="1"/>
  <c r="F971" i="1"/>
  <c r="H971" i="1"/>
  <c r="I971" i="1"/>
  <c r="L971" i="1"/>
  <c r="M971" i="1"/>
  <c r="V971" i="1"/>
  <c r="W971" i="1"/>
  <c r="A5311" i="1"/>
  <c r="D5311" i="1"/>
  <c r="F5311" i="1"/>
  <c r="H5311" i="1"/>
  <c r="I5311" i="1"/>
  <c r="L5311" i="1"/>
  <c r="M5311" i="1"/>
  <c r="V5311" i="1"/>
  <c r="W5311" i="1"/>
  <c r="A4210" i="1"/>
  <c r="D4210" i="1"/>
  <c r="F4210" i="1"/>
  <c r="H4210" i="1"/>
  <c r="I4210" i="1"/>
  <c r="L4210" i="1"/>
  <c r="M4210" i="1"/>
  <c r="V4210" i="1"/>
  <c r="W4210" i="1"/>
  <c r="A4691" i="1"/>
  <c r="D4691" i="1"/>
  <c r="F4691" i="1"/>
  <c r="H4691" i="1"/>
  <c r="I4691" i="1"/>
  <c r="L4691" i="1"/>
  <c r="M4691" i="1"/>
  <c r="V4691" i="1"/>
  <c r="W4691" i="1"/>
  <c r="A1234" i="1"/>
  <c r="D1234" i="1"/>
  <c r="F1234" i="1"/>
  <c r="H1234" i="1"/>
  <c r="I1234" i="1"/>
  <c r="L1234" i="1"/>
  <c r="M1234" i="1"/>
  <c r="V1234" i="1"/>
  <c r="W1234" i="1"/>
  <c r="A4153" i="1"/>
  <c r="D4153" i="1"/>
  <c r="F4153" i="1"/>
  <c r="H4153" i="1"/>
  <c r="I4153" i="1"/>
  <c r="L4153" i="1"/>
  <c r="M4153" i="1"/>
  <c r="V4153" i="1"/>
  <c r="W4153" i="1"/>
  <c r="A269" i="1"/>
  <c r="D269" i="1"/>
  <c r="F269" i="1"/>
  <c r="H269" i="1"/>
  <c r="I269" i="1"/>
  <c r="L269" i="1"/>
  <c r="M269" i="1"/>
  <c r="V269" i="1"/>
  <c r="W269" i="1"/>
  <c r="A1841" i="1"/>
  <c r="D1841" i="1"/>
  <c r="F1841" i="1"/>
  <c r="H1841" i="1"/>
  <c r="I1841" i="1"/>
  <c r="L1841" i="1"/>
  <c r="M1841" i="1"/>
  <c r="V1841" i="1"/>
  <c r="W1841" i="1"/>
  <c r="A4578" i="1"/>
  <c r="D4578" i="1"/>
  <c r="F4578" i="1"/>
  <c r="H4578" i="1"/>
  <c r="I4578" i="1"/>
  <c r="L4578" i="1"/>
  <c r="M4578" i="1"/>
  <c r="V4578" i="1"/>
  <c r="W4578" i="1"/>
  <c r="A245" i="1"/>
  <c r="D245" i="1"/>
  <c r="F245" i="1"/>
  <c r="H245" i="1"/>
  <c r="I245" i="1"/>
  <c r="L245" i="1"/>
  <c r="M245" i="1"/>
  <c r="V245" i="1"/>
  <c r="W245" i="1"/>
  <c r="A583" i="1"/>
  <c r="D583" i="1"/>
  <c r="F583" i="1"/>
  <c r="H583" i="1"/>
  <c r="I583" i="1"/>
  <c r="L583" i="1"/>
  <c r="M583" i="1"/>
  <c r="V583" i="1"/>
  <c r="W583" i="1"/>
  <c r="A2867" i="1"/>
  <c r="D2867" i="1"/>
  <c r="F2867" i="1"/>
  <c r="H2867" i="1"/>
  <c r="I2867" i="1"/>
  <c r="L2867" i="1"/>
  <c r="M2867" i="1"/>
  <c r="V2867" i="1"/>
  <c r="W2867" i="1"/>
  <c r="A3894" i="1"/>
  <c r="D3894" i="1"/>
  <c r="F3894" i="1"/>
  <c r="H3894" i="1"/>
  <c r="I3894" i="1"/>
  <c r="L3894" i="1"/>
  <c r="M3894" i="1"/>
  <c r="V3894" i="1"/>
  <c r="W3894" i="1"/>
  <c r="A5158" i="1"/>
  <c r="D5158" i="1"/>
  <c r="F5158" i="1"/>
  <c r="H5158" i="1"/>
  <c r="I5158" i="1"/>
  <c r="L5158" i="1"/>
  <c r="M5158" i="1"/>
  <c r="V5158" i="1"/>
  <c r="W5158" i="1"/>
  <c r="A5324" i="1"/>
  <c r="D5324" i="1"/>
  <c r="F5324" i="1"/>
  <c r="H5324" i="1"/>
  <c r="I5324" i="1"/>
  <c r="L5324" i="1"/>
  <c r="M5324" i="1"/>
  <c r="V5324" i="1"/>
  <c r="W5324" i="1"/>
  <c r="A6072" i="1"/>
  <c r="D6072" i="1"/>
  <c r="F6072" i="1"/>
  <c r="H6072" i="1"/>
  <c r="I6072" i="1"/>
  <c r="L6072" i="1"/>
  <c r="M6072" i="1"/>
  <c r="V6072" i="1"/>
  <c r="W6072" i="1"/>
  <c r="A2114" i="1"/>
  <c r="D2114" i="1"/>
  <c r="F2114" i="1"/>
  <c r="H2114" i="1"/>
  <c r="I2114" i="1"/>
  <c r="L2114" i="1"/>
  <c r="M2114" i="1"/>
  <c r="V2114" i="1"/>
  <c r="W2114" i="1"/>
  <c r="A2230" i="1"/>
  <c r="D2230" i="1"/>
  <c r="F2230" i="1"/>
  <c r="H2230" i="1"/>
  <c r="I2230" i="1"/>
  <c r="L2230" i="1"/>
  <c r="M2230" i="1"/>
  <c r="V2230" i="1"/>
  <c r="W2230" i="1"/>
  <c r="A2487" i="1"/>
  <c r="D2487" i="1"/>
  <c r="F2487" i="1"/>
  <c r="H2487" i="1"/>
  <c r="I2487" i="1"/>
  <c r="L2487" i="1"/>
  <c r="M2487" i="1"/>
  <c r="V2487" i="1"/>
  <c r="W2487" i="1"/>
  <c r="A2115" i="1"/>
  <c r="D2115" i="1"/>
  <c r="F2115" i="1"/>
  <c r="H2115" i="1"/>
  <c r="I2115" i="1"/>
  <c r="L2115" i="1"/>
  <c r="M2115" i="1"/>
  <c r="V2115" i="1"/>
  <c r="W2115" i="1"/>
  <c r="A2229" i="1"/>
  <c r="D2229" i="1"/>
  <c r="F2229" i="1"/>
  <c r="H2229" i="1"/>
  <c r="I2229" i="1"/>
  <c r="L2229" i="1"/>
  <c r="M2229" i="1"/>
  <c r="V2229" i="1"/>
  <c r="W2229" i="1"/>
  <c r="A2486" i="1"/>
  <c r="D2486" i="1"/>
  <c r="F2486" i="1"/>
  <c r="H2486" i="1"/>
  <c r="I2486" i="1"/>
  <c r="L2486" i="1"/>
  <c r="M2486" i="1"/>
  <c r="V2486" i="1"/>
  <c r="W2486" i="1"/>
  <c r="A4949" i="1"/>
  <c r="D4949" i="1"/>
  <c r="F4949" i="1"/>
  <c r="H4949" i="1"/>
  <c r="I4949" i="1"/>
  <c r="L4949" i="1"/>
  <c r="M4949" i="1"/>
  <c r="V4949" i="1"/>
  <c r="W4949" i="1"/>
  <c r="A4749" i="1"/>
  <c r="D4749" i="1"/>
  <c r="F4749" i="1"/>
  <c r="H4749" i="1"/>
  <c r="I4749" i="1"/>
  <c r="L4749" i="1"/>
  <c r="M4749" i="1"/>
  <c r="V4749" i="1"/>
  <c r="W4749" i="1"/>
  <c r="A4894" i="1"/>
  <c r="D4894" i="1"/>
  <c r="F4894" i="1"/>
  <c r="H4894" i="1"/>
  <c r="I4894" i="1"/>
  <c r="L4894" i="1"/>
  <c r="M4894" i="1"/>
  <c r="V4894" i="1"/>
  <c r="W4894" i="1"/>
  <c r="A3225" i="1"/>
  <c r="D3225" i="1"/>
  <c r="F3225" i="1"/>
  <c r="H3225" i="1"/>
  <c r="I3225" i="1"/>
  <c r="L3225" i="1"/>
  <c r="M3225" i="1"/>
  <c r="V3225" i="1"/>
  <c r="W3225" i="1"/>
  <c r="A3309" i="1"/>
  <c r="D3309" i="1"/>
  <c r="F3309" i="1"/>
  <c r="H3309" i="1"/>
  <c r="I3309" i="1"/>
  <c r="L3309" i="1"/>
  <c r="M3309" i="1"/>
  <c r="V3309" i="1"/>
  <c r="W3309" i="1"/>
  <c r="A641" i="1"/>
  <c r="D641" i="1"/>
  <c r="F641" i="1"/>
  <c r="H641" i="1"/>
  <c r="I641" i="1"/>
  <c r="L641" i="1"/>
  <c r="M641" i="1"/>
  <c r="V641" i="1"/>
  <c r="W641" i="1"/>
  <c r="A558" i="1"/>
  <c r="D558" i="1"/>
  <c r="F558" i="1"/>
  <c r="H558" i="1"/>
  <c r="I558" i="1"/>
  <c r="L558" i="1"/>
  <c r="M558" i="1"/>
  <c r="V558" i="1"/>
  <c r="W558" i="1"/>
  <c r="A715" i="1"/>
  <c r="D715" i="1"/>
  <c r="F715" i="1"/>
  <c r="H715" i="1"/>
  <c r="I715" i="1"/>
  <c r="L715" i="1"/>
  <c r="M715" i="1"/>
  <c r="V715" i="1"/>
  <c r="W715" i="1"/>
  <c r="A46" i="1"/>
  <c r="D46" i="1"/>
  <c r="F46" i="1"/>
  <c r="H46" i="1"/>
  <c r="I46" i="1"/>
  <c r="L46" i="1"/>
  <c r="M46" i="1"/>
  <c r="V46" i="1"/>
  <c r="W46" i="1"/>
  <c r="A415" i="1"/>
  <c r="D415" i="1"/>
  <c r="F415" i="1"/>
  <c r="H415" i="1"/>
  <c r="I415" i="1"/>
  <c r="L415" i="1"/>
  <c r="M415" i="1"/>
  <c r="V415" i="1"/>
  <c r="W415" i="1"/>
  <c r="A546" i="1"/>
  <c r="D546" i="1"/>
  <c r="F546" i="1"/>
  <c r="H546" i="1"/>
  <c r="I546" i="1"/>
  <c r="L546" i="1"/>
  <c r="M546" i="1"/>
  <c r="V546" i="1"/>
  <c r="W546" i="1"/>
  <c r="A3033" i="1"/>
  <c r="D3033" i="1"/>
  <c r="F3033" i="1"/>
  <c r="H3033" i="1"/>
  <c r="I3033" i="1"/>
  <c r="L3033" i="1"/>
  <c r="M3033" i="1"/>
  <c r="V3033" i="1"/>
  <c r="W3033" i="1"/>
  <c r="A4474" i="1"/>
  <c r="D4474" i="1"/>
  <c r="F4474" i="1"/>
  <c r="H4474" i="1"/>
  <c r="I4474" i="1"/>
  <c r="L4474" i="1"/>
  <c r="M4474" i="1"/>
  <c r="V4474" i="1"/>
  <c r="W4474" i="1"/>
  <c r="A3609" i="1"/>
  <c r="D3609" i="1"/>
  <c r="F3609" i="1"/>
  <c r="H3609" i="1"/>
  <c r="I3609" i="1"/>
  <c r="L3609" i="1"/>
  <c r="M3609" i="1"/>
  <c r="V3609" i="1"/>
  <c r="W3609" i="1"/>
  <c r="A3026" i="1"/>
  <c r="D3026" i="1"/>
  <c r="F3026" i="1"/>
  <c r="H3026" i="1"/>
  <c r="I3026" i="1"/>
  <c r="L3026" i="1"/>
  <c r="M3026" i="1"/>
  <c r="V3026" i="1"/>
  <c r="W3026" i="1"/>
  <c r="A1041" i="1"/>
  <c r="D1041" i="1"/>
  <c r="F1041" i="1"/>
  <c r="H1041" i="1"/>
  <c r="I1041" i="1"/>
  <c r="L1041" i="1"/>
  <c r="M1041" i="1"/>
  <c r="V1041" i="1"/>
  <c r="W1041" i="1"/>
  <c r="A1583" i="1"/>
  <c r="D1583" i="1"/>
  <c r="F1583" i="1"/>
  <c r="H1583" i="1"/>
  <c r="I1583" i="1"/>
  <c r="L1583" i="1"/>
  <c r="M1583" i="1"/>
  <c r="V1583" i="1"/>
  <c r="W1583" i="1"/>
  <c r="A2695" i="1"/>
  <c r="D2695" i="1"/>
  <c r="F2695" i="1"/>
  <c r="H2695" i="1"/>
  <c r="I2695" i="1"/>
  <c r="L2695" i="1"/>
  <c r="M2695" i="1"/>
  <c r="V2695" i="1"/>
  <c r="W2695" i="1"/>
  <c r="A5305" i="1"/>
  <c r="D5305" i="1"/>
  <c r="F5305" i="1"/>
  <c r="H5305" i="1"/>
  <c r="I5305" i="1"/>
  <c r="L5305" i="1"/>
  <c r="M5305" i="1"/>
  <c r="V5305" i="1"/>
  <c r="W5305" i="1"/>
  <c r="A5348" i="1"/>
  <c r="D5348" i="1"/>
  <c r="F5348" i="1"/>
  <c r="H5348" i="1"/>
  <c r="I5348" i="1"/>
  <c r="L5348" i="1"/>
  <c r="M5348" i="1"/>
  <c r="V5348" i="1"/>
  <c r="W5348" i="1"/>
  <c r="A5179" i="1"/>
  <c r="D5179" i="1"/>
  <c r="F5179" i="1"/>
  <c r="H5179" i="1"/>
  <c r="I5179" i="1"/>
  <c r="L5179" i="1"/>
  <c r="M5179" i="1"/>
  <c r="V5179" i="1"/>
  <c r="W5179" i="1"/>
  <c r="A5153" i="1"/>
  <c r="D5153" i="1"/>
  <c r="F5153" i="1"/>
  <c r="H5153" i="1"/>
  <c r="I5153" i="1"/>
  <c r="L5153" i="1"/>
  <c r="M5153" i="1"/>
  <c r="V5153" i="1"/>
  <c r="W5153" i="1"/>
  <c r="A5931" i="1"/>
  <c r="D5931" i="1"/>
  <c r="F5931" i="1"/>
  <c r="H5931" i="1"/>
  <c r="I5931" i="1"/>
  <c r="L5931" i="1"/>
  <c r="M5931" i="1"/>
  <c r="V5931" i="1"/>
  <c r="W5931" i="1"/>
  <c r="A5766" i="1"/>
  <c r="D5766" i="1"/>
  <c r="F5766" i="1"/>
  <c r="H5766" i="1"/>
  <c r="I5766" i="1"/>
  <c r="L5766" i="1"/>
  <c r="M5766" i="1"/>
  <c r="V5766" i="1"/>
  <c r="W5766" i="1"/>
  <c r="A1437" i="1"/>
  <c r="D1437" i="1"/>
  <c r="F1437" i="1"/>
  <c r="H1437" i="1"/>
  <c r="I1437" i="1"/>
  <c r="L1437" i="1"/>
  <c r="M1437" i="1"/>
  <c r="V1437" i="1"/>
  <c r="W1437" i="1"/>
  <c r="A4888" i="1"/>
  <c r="D4888" i="1"/>
  <c r="F4888" i="1"/>
  <c r="H4888" i="1"/>
  <c r="I4888" i="1"/>
  <c r="L4888" i="1"/>
  <c r="M4888" i="1"/>
  <c r="V4888" i="1"/>
  <c r="W4888" i="1"/>
  <c r="A672" i="1"/>
  <c r="D672" i="1"/>
  <c r="F672" i="1"/>
  <c r="H672" i="1"/>
  <c r="I672" i="1"/>
  <c r="L672" i="1"/>
  <c r="M672" i="1"/>
  <c r="V672" i="1"/>
  <c r="W672" i="1"/>
  <c r="A1030" i="1"/>
  <c r="D1030" i="1"/>
  <c r="F1030" i="1"/>
  <c r="H1030" i="1"/>
  <c r="I1030" i="1"/>
  <c r="L1030" i="1"/>
  <c r="M1030" i="1"/>
  <c r="V1030" i="1"/>
  <c r="W1030" i="1"/>
  <c r="A2731" i="1"/>
  <c r="D2731" i="1"/>
  <c r="F2731" i="1"/>
  <c r="H2731" i="1"/>
  <c r="I2731" i="1"/>
  <c r="L2731" i="1"/>
  <c r="M2731" i="1"/>
  <c r="V2731" i="1"/>
  <c r="W2731" i="1"/>
  <c r="A36" i="1"/>
  <c r="D36" i="1"/>
  <c r="F36" i="1"/>
  <c r="H36" i="1"/>
  <c r="I36" i="1"/>
  <c r="L36" i="1"/>
  <c r="M36" i="1"/>
  <c r="V36" i="1"/>
  <c r="W36" i="1"/>
  <c r="A2600" i="1"/>
  <c r="D2600" i="1"/>
  <c r="F2600" i="1"/>
  <c r="H2600" i="1"/>
  <c r="I2600" i="1"/>
  <c r="L2600" i="1"/>
  <c r="M2600" i="1"/>
  <c r="V2600" i="1"/>
  <c r="W2600" i="1"/>
  <c r="A2253" i="1"/>
  <c r="D2253" i="1"/>
  <c r="F2253" i="1"/>
  <c r="H2253" i="1"/>
  <c r="I2253" i="1"/>
  <c r="L2253" i="1"/>
  <c r="M2253" i="1"/>
  <c r="V2253" i="1"/>
  <c r="W2253" i="1"/>
  <c r="A2331" i="1"/>
  <c r="D2331" i="1"/>
  <c r="F2331" i="1"/>
  <c r="H2331" i="1"/>
  <c r="I2331" i="1"/>
  <c r="L2331" i="1"/>
  <c r="M2331" i="1"/>
  <c r="V2331" i="1"/>
  <c r="W2331" i="1"/>
  <c r="A1749" i="1"/>
  <c r="D1749" i="1"/>
  <c r="F1749" i="1"/>
  <c r="H1749" i="1"/>
  <c r="I1749" i="1"/>
  <c r="L1749" i="1"/>
  <c r="M1749" i="1"/>
  <c r="V1749" i="1"/>
  <c r="W1749" i="1"/>
  <c r="A2397" i="1"/>
  <c r="D2397" i="1"/>
  <c r="F2397" i="1"/>
  <c r="H2397" i="1"/>
  <c r="I2397" i="1"/>
  <c r="L2397" i="1"/>
  <c r="M2397" i="1"/>
  <c r="V2397" i="1"/>
  <c r="W2397" i="1"/>
  <c r="A2014" i="1"/>
  <c r="D2014" i="1"/>
  <c r="F2014" i="1"/>
  <c r="H2014" i="1"/>
  <c r="I2014" i="1"/>
  <c r="L2014" i="1"/>
  <c r="M2014" i="1"/>
  <c r="V2014" i="1"/>
  <c r="W2014" i="1"/>
  <c r="A165" i="1"/>
  <c r="D165" i="1"/>
  <c r="F165" i="1"/>
  <c r="H165" i="1"/>
  <c r="I165" i="1"/>
  <c r="L165" i="1"/>
  <c r="M165" i="1"/>
  <c r="V165" i="1"/>
  <c r="W165" i="1"/>
  <c r="A445" i="1"/>
  <c r="D445" i="1"/>
  <c r="F445" i="1"/>
  <c r="H445" i="1"/>
  <c r="I445" i="1"/>
  <c r="L445" i="1"/>
  <c r="M445" i="1"/>
  <c r="V445" i="1"/>
  <c r="W445" i="1"/>
  <c r="A2056" i="1"/>
  <c r="D2056" i="1"/>
  <c r="F2056" i="1"/>
  <c r="H2056" i="1"/>
  <c r="I2056" i="1"/>
  <c r="L2056" i="1"/>
  <c r="M2056" i="1"/>
  <c r="V2056" i="1"/>
  <c r="W2056" i="1"/>
  <c r="A2819" i="1"/>
  <c r="D2819" i="1"/>
  <c r="F2819" i="1"/>
  <c r="H2819" i="1"/>
  <c r="I2819" i="1"/>
  <c r="L2819" i="1"/>
  <c r="M2819" i="1"/>
  <c r="V2819" i="1"/>
  <c r="W2819" i="1"/>
  <c r="A2887" i="1"/>
  <c r="D2887" i="1"/>
  <c r="F2887" i="1"/>
  <c r="H2887" i="1"/>
  <c r="I2887" i="1"/>
  <c r="L2887" i="1"/>
  <c r="M2887" i="1"/>
  <c r="V2887" i="1"/>
  <c r="W2887" i="1"/>
  <c r="A594" i="1"/>
  <c r="D594" i="1"/>
  <c r="F594" i="1"/>
  <c r="H594" i="1"/>
  <c r="I594" i="1"/>
  <c r="L594" i="1"/>
  <c r="M594" i="1"/>
  <c r="V594" i="1"/>
  <c r="W594" i="1"/>
  <c r="A908" i="1"/>
  <c r="D908" i="1"/>
  <c r="F908" i="1"/>
  <c r="H908" i="1"/>
  <c r="I908" i="1"/>
  <c r="L908" i="1"/>
  <c r="M908" i="1"/>
  <c r="V908" i="1"/>
  <c r="W908" i="1"/>
  <c r="A4324" i="1"/>
  <c r="D4324" i="1"/>
  <c r="F4324" i="1"/>
  <c r="H4324" i="1"/>
  <c r="I4324" i="1"/>
  <c r="L4324" i="1"/>
  <c r="M4324" i="1"/>
  <c r="V4324" i="1"/>
  <c r="W4324" i="1"/>
  <c r="A355" i="1"/>
  <c r="D355" i="1"/>
  <c r="F355" i="1"/>
  <c r="H355" i="1"/>
  <c r="I355" i="1"/>
  <c r="L355" i="1"/>
  <c r="M355" i="1"/>
  <c r="V355" i="1"/>
  <c r="W355" i="1"/>
  <c r="A4773" i="1"/>
  <c r="D4773" i="1"/>
  <c r="F4773" i="1"/>
  <c r="H4773" i="1"/>
  <c r="I4773" i="1"/>
  <c r="L4773" i="1"/>
  <c r="M4773" i="1"/>
  <c r="V4773" i="1"/>
  <c r="W4773" i="1"/>
  <c r="A392" i="1"/>
  <c r="D392" i="1"/>
  <c r="F392" i="1"/>
  <c r="H392" i="1"/>
  <c r="I392" i="1"/>
  <c r="L392" i="1"/>
  <c r="M392" i="1"/>
  <c r="V392" i="1"/>
  <c r="W392" i="1"/>
  <c r="A628" i="1"/>
  <c r="D628" i="1"/>
  <c r="F628" i="1"/>
  <c r="H628" i="1"/>
  <c r="I628" i="1"/>
  <c r="L628" i="1"/>
  <c r="M628" i="1"/>
  <c r="V628" i="1"/>
  <c r="W628" i="1"/>
  <c r="A5323" i="1"/>
  <c r="D5323" i="1"/>
  <c r="F5323" i="1"/>
  <c r="H5323" i="1"/>
  <c r="I5323" i="1"/>
  <c r="L5323" i="1"/>
  <c r="M5323" i="1"/>
  <c r="V5323" i="1"/>
  <c r="W5323" i="1"/>
  <c r="A178" i="1"/>
  <c r="D178" i="1"/>
  <c r="F178" i="1"/>
  <c r="H178" i="1"/>
  <c r="I178" i="1"/>
  <c r="L178" i="1"/>
  <c r="M178" i="1"/>
  <c r="V178" i="1"/>
  <c r="W178" i="1"/>
  <c r="A647" i="1"/>
  <c r="D647" i="1"/>
  <c r="F647" i="1"/>
  <c r="H647" i="1"/>
  <c r="I647" i="1"/>
  <c r="L647" i="1"/>
  <c r="M647" i="1"/>
  <c r="V647" i="1"/>
  <c r="W647" i="1"/>
  <c r="A1454" i="1"/>
  <c r="D1454" i="1"/>
  <c r="F1454" i="1"/>
  <c r="H1454" i="1"/>
  <c r="I1454" i="1"/>
  <c r="L1454" i="1"/>
  <c r="M1454" i="1"/>
  <c r="V1454" i="1"/>
  <c r="W1454" i="1"/>
  <c r="A1343" i="1"/>
  <c r="D1343" i="1"/>
  <c r="F1343" i="1"/>
  <c r="H1343" i="1"/>
  <c r="I1343" i="1"/>
  <c r="L1343" i="1"/>
  <c r="M1343" i="1"/>
  <c r="V1343" i="1"/>
  <c r="W1343" i="1"/>
  <c r="A2565" i="1"/>
  <c r="D2565" i="1"/>
  <c r="F2565" i="1"/>
  <c r="H2565" i="1"/>
  <c r="I2565" i="1"/>
  <c r="L2565" i="1"/>
  <c r="M2565" i="1"/>
  <c r="V2565" i="1"/>
  <c r="W2565" i="1"/>
  <c r="A2353" i="1"/>
  <c r="D2353" i="1"/>
  <c r="F2353" i="1"/>
  <c r="H2353" i="1"/>
  <c r="I2353" i="1"/>
  <c r="L2353" i="1"/>
  <c r="M2353" i="1"/>
  <c r="V2353" i="1"/>
  <c r="W2353" i="1"/>
  <c r="A2918" i="1"/>
  <c r="D2918" i="1"/>
  <c r="F2918" i="1"/>
  <c r="H2918" i="1"/>
  <c r="I2918" i="1"/>
  <c r="L2918" i="1"/>
  <c r="M2918" i="1"/>
  <c r="V2918" i="1"/>
  <c r="W2918" i="1"/>
  <c r="A4138" i="1"/>
  <c r="D4138" i="1"/>
  <c r="F4138" i="1"/>
  <c r="H4138" i="1"/>
  <c r="I4138" i="1"/>
  <c r="L4138" i="1"/>
  <c r="M4138" i="1"/>
  <c r="V4138" i="1"/>
  <c r="W4138" i="1"/>
  <c r="A4349" i="1"/>
  <c r="D4349" i="1"/>
  <c r="F4349" i="1"/>
  <c r="H4349" i="1"/>
  <c r="I4349" i="1"/>
  <c r="L4349" i="1"/>
  <c r="M4349" i="1"/>
  <c r="V4349" i="1"/>
  <c r="W4349" i="1"/>
  <c r="A728" i="1"/>
  <c r="D728" i="1"/>
  <c r="F728" i="1"/>
  <c r="H728" i="1"/>
  <c r="I728" i="1"/>
  <c r="L728" i="1"/>
  <c r="M728" i="1"/>
  <c r="V728" i="1"/>
  <c r="W728" i="1"/>
  <c r="A3354" i="1"/>
  <c r="D3354" i="1"/>
  <c r="F3354" i="1"/>
  <c r="H3354" i="1"/>
  <c r="I3354" i="1"/>
  <c r="L3354" i="1"/>
  <c r="M3354" i="1"/>
  <c r="V3354" i="1"/>
  <c r="W3354" i="1"/>
  <c r="A207" i="1"/>
  <c r="D207" i="1"/>
  <c r="F207" i="1"/>
  <c r="H207" i="1"/>
  <c r="I207" i="1"/>
  <c r="L207" i="1"/>
  <c r="M207" i="1"/>
  <c r="V207" i="1"/>
  <c r="W207" i="1"/>
  <c r="A3752" i="1"/>
  <c r="D3752" i="1"/>
  <c r="F3752" i="1"/>
  <c r="H3752" i="1"/>
  <c r="I3752" i="1"/>
  <c r="L3752" i="1"/>
  <c r="M3752" i="1"/>
  <c r="V3752" i="1"/>
  <c r="W3752" i="1"/>
  <c r="A1980" i="1"/>
  <c r="D1980" i="1"/>
  <c r="F1980" i="1"/>
  <c r="H1980" i="1"/>
  <c r="I1980" i="1"/>
  <c r="L1980" i="1"/>
  <c r="M1980" i="1"/>
  <c r="V1980" i="1"/>
  <c r="W1980" i="1"/>
  <c r="A67" i="1"/>
  <c r="D67" i="1"/>
  <c r="F67" i="1"/>
  <c r="H67" i="1"/>
  <c r="I67" i="1"/>
  <c r="L67" i="1"/>
  <c r="M67" i="1"/>
  <c r="V67" i="1"/>
  <c r="W67" i="1"/>
  <c r="A279" i="1"/>
  <c r="D279" i="1"/>
  <c r="F279" i="1"/>
  <c r="H279" i="1"/>
  <c r="I279" i="1"/>
  <c r="L279" i="1"/>
  <c r="M279" i="1"/>
  <c r="V279" i="1"/>
  <c r="W279" i="1"/>
  <c r="A1315" i="1"/>
  <c r="D1315" i="1"/>
  <c r="F1315" i="1"/>
  <c r="H1315" i="1"/>
  <c r="I1315" i="1"/>
  <c r="L1315" i="1"/>
  <c r="M1315" i="1"/>
  <c r="V1315" i="1"/>
  <c r="W1315" i="1"/>
  <c r="A2021" i="1"/>
  <c r="D2021" i="1"/>
  <c r="F2021" i="1"/>
  <c r="H2021" i="1"/>
  <c r="I2021" i="1"/>
  <c r="L2021" i="1"/>
  <c r="M2021" i="1"/>
  <c r="V2021" i="1"/>
  <c r="W2021" i="1"/>
  <c r="A1748" i="1"/>
  <c r="D1748" i="1"/>
  <c r="F1748" i="1"/>
  <c r="H1748" i="1"/>
  <c r="I1748" i="1"/>
  <c r="L1748" i="1"/>
  <c r="M1748" i="1"/>
  <c r="V1748" i="1"/>
  <c r="W1748" i="1"/>
  <c r="A2396" i="1"/>
  <c r="D2396" i="1"/>
  <c r="F2396" i="1"/>
  <c r="H2396" i="1"/>
  <c r="I2396" i="1"/>
  <c r="L2396" i="1"/>
  <c r="M2396" i="1"/>
  <c r="V2396" i="1"/>
  <c r="W2396" i="1"/>
  <c r="A1520" i="1"/>
  <c r="D1520" i="1"/>
  <c r="F1520" i="1"/>
  <c r="H1520" i="1"/>
  <c r="I1520" i="1"/>
  <c r="L1520" i="1"/>
  <c r="M1520" i="1"/>
  <c r="V1520" i="1"/>
  <c r="W1520" i="1"/>
  <c r="A1678" i="1"/>
  <c r="D1678" i="1"/>
  <c r="F1678" i="1"/>
  <c r="H1678" i="1"/>
  <c r="I1678" i="1"/>
  <c r="L1678" i="1"/>
  <c r="M1678" i="1"/>
  <c r="V1678" i="1"/>
  <c r="W1678" i="1"/>
  <c r="A246" i="1"/>
  <c r="D246" i="1"/>
  <c r="F246" i="1"/>
  <c r="H246" i="1"/>
  <c r="I246" i="1"/>
  <c r="L246" i="1"/>
  <c r="M246" i="1"/>
  <c r="V246" i="1"/>
  <c r="W246" i="1"/>
  <c r="A5602" i="1"/>
  <c r="D5602" i="1"/>
  <c r="F5602" i="1"/>
  <c r="H5602" i="1"/>
  <c r="I5602" i="1"/>
  <c r="L5602" i="1"/>
  <c r="M5602" i="1"/>
  <c r="V5602" i="1"/>
  <c r="W5602" i="1"/>
  <c r="A637" i="1"/>
  <c r="D637" i="1"/>
  <c r="F637" i="1"/>
  <c r="H637" i="1"/>
  <c r="I637" i="1"/>
  <c r="L637" i="1"/>
  <c r="M637" i="1"/>
  <c r="V637" i="1"/>
  <c r="W637" i="1"/>
  <c r="A5920" i="1"/>
  <c r="D5920" i="1"/>
  <c r="F5920" i="1"/>
  <c r="H5920" i="1"/>
  <c r="I5920" i="1"/>
  <c r="L5920" i="1"/>
  <c r="M5920" i="1"/>
  <c r="V5920" i="1"/>
  <c r="W5920" i="1"/>
  <c r="A5833" i="1"/>
  <c r="D5833" i="1"/>
  <c r="F5833" i="1"/>
  <c r="H5833" i="1"/>
  <c r="I5833" i="1"/>
  <c r="L5833" i="1"/>
  <c r="M5833" i="1"/>
  <c r="V5833" i="1"/>
  <c r="W5833" i="1"/>
  <c r="A2060" i="1"/>
  <c r="D2060" i="1"/>
  <c r="F2060" i="1"/>
  <c r="H2060" i="1"/>
  <c r="I2060" i="1"/>
  <c r="L2060" i="1"/>
  <c r="M2060" i="1"/>
  <c r="V2060" i="1"/>
  <c r="W2060" i="1"/>
  <c r="A2563" i="1"/>
  <c r="D2563" i="1"/>
  <c r="F2563" i="1"/>
  <c r="H2563" i="1"/>
  <c r="I2563" i="1"/>
  <c r="L2563" i="1"/>
  <c r="M2563" i="1"/>
  <c r="V2563" i="1"/>
  <c r="W2563" i="1"/>
  <c r="A8" i="1"/>
  <c r="D8" i="1"/>
  <c r="F8" i="1"/>
  <c r="H8" i="1"/>
  <c r="I8" i="1"/>
  <c r="L8" i="1"/>
  <c r="M8" i="1"/>
  <c r="V8" i="1"/>
  <c r="W8" i="1"/>
  <c r="A5857" i="1"/>
  <c r="D5857" i="1"/>
  <c r="F5857" i="1"/>
  <c r="H5857" i="1"/>
  <c r="I5857" i="1"/>
  <c r="L5857" i="1"/>
  <c r="M5857" i="1"/>
  <c r="V5857" i="1"/>
  <c r="W5857" i="1"/>
  <c r="A1138" i="1"/>
  <c r="D1138" i="1"/>
  <c r="F1138" i="1"/>
  <c r="H1138" i="1"/>
  <c r="I1138" i="1"/>
  <c r="L1138" i="1"/>
  <c r="M1138" i="1"/>
  <c r="V1138" i="1"/>
  <c r="W1138" i="1"/>
  <c r="A4720" i="1"/>
  <c r="D4720" i="1"/>
  <c r="F4720" i="1"/>
  <c r="H4720" i="1"/>
  <c r="I4720" i="1"/>
  <c r="L4720" i="1"/>
  <c r="M4720" i="1"/>
  <c r="V4720" i="1"/>
  <c r="W4720" i="1"/>
  <c r="A4863" i="1"/>
  <c r="D4863" i="1"/>
  <c r="F4863" i="1"/>
  <c r="H4863" i="1"/>
  <c r="I4863" i="1"/>
  <c r="L4863" i="1"/>
  <c r="M4863" i="1"/>
  <c r="V4863" i="1"/>
  <c r="W4863" i="1"/>
  <c r="A5351" i="1"/>
  <c r="D5351" i="1"/>
  <c r="F5351" i="1"/>
  <c r="H5351" i="1"/>
  <c r="I5351" i="1"/>
  <c r="L5351" i="1"/>
  <c r="M5351" i="1"/>
  <c r="V5351" i="1"/>
  <c r="W5351" i="1"/>
  <c r="A5721" i="1"/>
  <c r="D5721" i="1"/>
  <c r="F5721" i="1"/>
  <c r="H5721" i="1"/>
  <c r="I5721" i="1"/>
  <c r="L5721" i="1"/>
  <c r="M5721" i="1"/>
  <c r="V5721" i="1"/>
  <c r="W5721" i="1"/>
  <c r="A5810" i="1"/>
  <c r="D5810" i="1"/>
  <c r="F5810" i="1"/>
  <c r="H5810" i="1"/>
  <c r="I5810" i="1"/>
  <c r="L5810" i="1"/>
  <c r="M5810" i="1"/>
  <c r="V5810" i="1"/>
  <c r="W5810" i="1"/>
  <c r="A5725" i="1"/>
  <c r="D5725" i="1"/>
  <c r="F5725" i="1"/>
  <c r="H5725" i="1"/>
  <c r="I5725" i="1"/>
  <c r="L5725" i="1"/>
  <c r="M5725" i="1"/>
  <c r="V5725" i="1"/>
  <c r="W5725" i="1"/>
  <c r="A6106" i="1"/>
  <c r="D6106" i="1"/>
  <c r="F6106" i="1"/>
  <c r="H6106" i="1"/>
  <c r="I6106" i="1"/>
  <c r="L6106" i="1"/>
  <c r="M6106" i="1"/>
  <c r="V6106" i="1"/>
  <c r="W6106" i="1"/>
  <c r="A507" i="1"/>
  <c r="D507" i="1"/>
  <c r="F507" i="1"/>
  <c r="H507" i="1"/>
  <c r="I507" i="1"/>
  <c r="L507" i="1"/>
  <c r="M507" i="1"/>
  <c r="V507" i="1"/>
  <c r="W507" i="1"/>
  <c r="A5105" i="1"/>
  <c r="D5105" i="1"/>
  <c r="F5105" i="1"/>
  <c r="H5105" i="1"/>
  <c r="I5105" i="1"/>
  <c r="L5105" i="1"/>
  <c r="M5105" i="1"/>
  <c r="V5105" i="1"/>
  <c r="W5105" i="1"/>
  <c r="A3109" i="1"/>
  <c r="D3109" i="1"/>
  <c r="F3109" i="1"/>
  <c r="H3109" i="1"/>
  <c r="I3109" i="1"/>
  <c r="L3109" i="1"/>
  <c r="M3109" i="1"/>
  <c r="V3109" i="1"/>
  <c r="W3109" i="1"/>
  <c r="A3150" i="1"/>
  <c r="D3150" i="1"/>
  <c r="F3150" i="1"/>
  <c r="H3150" i="1"/>
  <c r="I3150" i="1"/>
  <c r="L3150" i="1"/>
  <c r="M3150" i="1"/>
  <c r="V3150" i="1"/>
  <c r="W3150" i="1"/>
  <c r="A3013" i="1"/>
  <c r="D3013" i="1"/>
  <c r="F3013" i="1"/>
  <c r="H3013" i="1"/>
  <c r="I3013" i="1"/>
  <c r="L3013" i="1"/>
  <c r="M3013" i="1"/>
  <c r="V3013" i="1"/>
  <c r="W3013" i="1"/>
  <c r="A3718" i="1"/>
  <c r="D3718" i="1"/>
  <c r="F3718" i="1"/>
  <c r="H3718" i="1"/>
  <c r="I3718" i="1"/>
  <c r="L3718" i="1"/>
  <c r="M3718" i="1"/>
  <c r="V3718" i="1"/>
  <c r="W3718" i="1"/>
  <c r="A3976" i="1"/>
  <c r="D3976" i="1"/>
  <c r="F3976" i="1"/>
  <c r="H3976" i="1"/>
  <c r="I3976" i="1"/>
  <c r="L3976" i="1"/>
  <c r="M3976" i="1"/>
  <c r="V3976" i="1"/>
  <c r="W3976" i="1"/>
  <c r="A202" i="1"/>
  <c r="D202" i="1"/>
  <c r="F202" i="1"/>
  <c r="H202" i="1"/>
  <c r="I202" i="1"/>
  <c r="L202" i="1"/>
  <c r="M202" i="1"/>
  <c r="V202" i="1"/>
  <c r="W202" i="1"/>
  <c r="A2135" i="1"/>
  <c r="D2135" i="1"/>
  <c r="F2135" i="1"/>
  <c r="H2135" i="1"/>
  <c r="I2135" i="1"/>
  <c r="L2135" i="1"/>
  <c r="M2135" i="1"/>
  <c r="V2135" i="1"/>
  <c r="W2135" i="1"/>
  <c r="A2427" i="1"/>
  <c r="D2427" i="1"/>
  <c r="F2427" i="1"/>
  <c r="H2427" i="1"/>
  <c r="I2427" i="1"/>
  <c r="L2427" i="1"/>
  <c r="M2427" i="1"/>
  <c r="V2427" i="1"/>
  <c r="W2427" i="1"/>
  <c r="A1966" i="1"/>
  <c r="D1966" i="1"/>
  <c r="F1966" i="1"/>
  <c r="H1966" i="1"/>
  <c r="I1966" i="1"/>
  <c r="L1966" i="1"/>
  <c r="M1966" i="1"/>
  <c r="V1966" i="1"/>
  <c r="W1966" i="1"/>
  <c r="A3781" i="1"/>
  <c r="D3781" i="1"/>
  <c r="F3781" i="1"/>
  <c r="H3781" i="1"/>
  <c r="I3781" i="1"/>
  <c r="L3781" i="1"/>
  <c r="M3781" i="1"/>
  <c r="V3781" i="1"/>
  <c r="W3781" i="1"/>
  <c r="A3821" i="1"/>
  <c r="D3821" i="1"/>
  <c r="F3821" i="1"/>
  <c r="H3821" i="1"/>
  <c r="I3821" i="1"/>
  <c r="L3821" i="1"/>
  <c r="M3821" i="1"/>
  <c r="V3821" i="1"/>
  <c r="W3821" i="1"/>
  <c r="A225" i="1"/>
  <c r="D225" i="1"/>
  <c r="F225" i="1"/>
  <c r="H225" i="1"/>
  <c r="I225" i="1"/>
  <c r="L225" i="1"/>
  <c r="M225" i="1"/>
  <c r="V225" i="1"/>
  <c r="W225" i="1"/>
  <c r="A587" i="1"/>
  <c r="D587" i="1"/>
  <c r="F587" i="1"/>
  <c r="H587" i="1"/>
  <c r="I587" i="1"/>
  <c r="L587" i="1"/>
  <c r="M587" i="1"/>
  <c r="V587" i="1"/>
  <c r="W587" i="1"/>
  <c r="A833" i="1"/>
  <c r="D833" i="1"/>
  <c r="F833" i="1"/>
  <c r="H833" i="1"/>
  <c r="I833" i="1"/>
  <c r="L833" i="1"/>
  <c r="M833" i="1"/>
  <c r="V833" i="1"/>
  <c r="W833" i="1"/>
  <c r="A1374" i="1"/>
  <c r="D1374" i="1"/>
  <c r="F1374" i="1"/>
  <c r="H1374" i="1"/>
  <c r="I1374" i="1"/>
  <c r="L1374" i="1"/>
  <c r="M1374" i="1"/>
  <c r="V1374" i="1"/>
  <c r="W1374" i="1"/>
  <c r="A832" i="1"/>
  <c r="D832" i="1"/>
  <c r="F832" i="1"/>
  <c r="H832" i="1"/>
  <c r="I832" i="1"/>
  <c r="L832" i="1"/>
  <c r="M832" i="1"/>
  <c r="V832" i="1"/>
  <c r="W832" i="1"/>
  <c r="A1375" i="1"/>
  <c r="D1375" i="1"/>
  <c r="F1375" i="1"/>
  <c r="H1375" i="1"/>
  <c r="I1375" i="1"/>
  <c r="L1375" i="1"/>
  <c r="M1375" i="1"/>
  <c r="V1375" i="1"/>
  <c r="W1375" i="1"/>
  <c r="A3653" i="1"/>
  <c r="D3653" i="1"/>
  <c r="F3653" i="1"/>
  <c r="H3653" i="1"/>
  <c r="I3653" i="1"/>
  <c r="L3653" i="1"/>
  <c r="M3653" i="1"/>
  <c r="V3653" i="1"/>
  <c r="W3653" i="1"/>
  <c r="A205" i="1"/>
  <c r="D205" i="1"/>
  <c r="F205" i="1"/>
  <c r="H205" i="1"/>
  <c r="I205" i="1"/>
  <c r="L205" i="1"/>
  <c r="M205" i="1"/>
  <c r="V205" i="1"/>
  <c r="W205" i="1"/>
  <c r="A3667" i="1"/>
  <c r="D3667" i="1"/>
  <c r="F3667" i="1"/>
  <c r="H3667" i="1"/>
  <c r="I3667" i="1"/>
  <c r="L3667" i="1"/>
  <c r="M3667" i="1"/>
  <c r="V3667" i="1"/>
  <c r="W3667" i="1"/>
  <c r="A6135" i="1"/>
  <c r="D6135" i="1"/>
  <c r="F6135" i="1"/>
  <c r="H6135" i="1"/>
  <c r="I6135" i="1"/>
  <c r="L6135" i="1"/>
  <c r="M6135" i="1"/>
  <c r="V6135" i="1"/>
  <c r="W6135" i="1"/>
  <c r="A1595" i="1"/>
  <c r="D1595" i="1"/>
  <c r="F1595" i="1"/>
  <c r="H1595" i="1"/>
  <c r="I1595" i="1"/>
  <c r="L1595" i="1"/>
  <c r="M1595" i="1"/>
  <c r="V1595" i="1"/>
  <c r="W1595" i="1"/>
  <c r="A2121" i="1"/>
  <c r="D2121" i="1"/>
  <c r="F2121" i="1"/>
  <c r="H2121" i="1"/>
  <c r="I2121" i="1"/>
  <c r="L2121" i="1"/>
  <c r="M2121" i="1"/>
  <c r="V2121" i="1"/>
  <c r="W2121" i="1"/>
  <c r="A905" i="1"/>
  <c r="D905" i="1"/>
  <c r="F905" i="1"/>
  <c r="H905" i="1"/>
  <c r="I905" i="1"/>
  <c r="L905" i="1"/>
  <c r="M905" i="1"/>
  <c r="V905" i="1"/>
  <c r="W905" i="1"/>
  <c r="A837" i="1"/>
  <c r="D837" i="1"/>
  <c r="F837" i="1"/>
  <c r="H837" i="1"/>
  <c r="I837" i="1"/>
  <c r="L837" i="1"/>
  <c r="M837" i="1"/>
  <c r="V837" i="1"/>
  <c r="W837" i="1"/>
  <c r="A1372" i="1"/>
  <c r="D1372" i="1"/>
  <c r="F1372" i="1"/>
  <c r="H1372" i="1"/>
  <c r="I1372" i="1"/>
  <c r="L1372" i="1"/>
  <c r="M1372" i="1"/>
  <c r="V1372" i="1"/>
  <c r="W1372" i="1"/>
  <c r="A769" i="1"/>
  <c r="D769" i="1"/>
  <c r="F769" i="1"/>
  <c r="H769" i="1"/>
  <c r="I769" i="1"/>
  <c r="L769" i="1"/>
  <c r="M769" i="1"/>
  <c r="V769" i="1"/>
  <c r="W769" i="1"/>
  <c r="A276" i="1"/>
  <c r="D276" i="1"/>
  <c r="F276" i="1"/>
  <c r="H276" i="1"/>
  <c r="I276" i="1"/>
  <c r="L276" i="1"/>
  <c r="M276" i="1"/>
  <c r="V276" i="1"/>
  <c r="W276" i="1"/>
  <c r="A5765" i="1"/>
  <c r="D5765" i="1"/>
  <c r="F5765" i="1"/>
  <c r="H5765" i="1"/>
  <c r="I5765" i="1"/>
  <c r="L5765" i="1"/>
  <c r="M5765" i="1"/>
  <c r="V5765" i="1"/>
  <c r="W5765" i="1"/>
  <c r="A1706" i="1"/>
  <c r="D1706" i="1"/>
  <c r="F1706" i="1"/>
  <c r="H1706" i="1"/>
  <c r="I1706" i="1"/>
  <c r="L1706" i="1"/>
  <c r="M1706" i="1"/>
  <c r="V1706" i="1"/>
  <c r="W1706" i="1"/>
  <c r="A5572" i="1"/>
  <c r="D5572" i="1"/>
  <c r="F5572" i="1"/>
  <c r="H5572" i="1"/>
  <c r="I5572" i="1"/>
  <c r="L5572" i="1"/>
  <c r="M5572" i="1"/>
  <c r="V5572" i="1"/>
  <c r="W5572" i="1"/>
  <c r="A5882" i="1"/>
  <c r="D5882" i="1"/>
  <c r="F5882" i="1"/>
  <c r="H5882" i="1"/>
  <c r="I5882" i="1"/>
  <c r="L5882" i="1"/>
  <c r="M5882" i="1"/>
  <c r="V5882" i="1"/>
  <c r="W5882" i="1"/>
  <c r="A192" i="1"/>
  <c r="D192" i="1"/>
  <c r="F192" i="1"/>
  <c r="H192" i="1"/>
  <c r="I192" i="1"/>
  <c r="L192" i="1"/>
  <c r="M192" i="1"/>
  <c r="V192" i="1"/>
  <c r="W192" i="1"/>
  <c r="A4876" i="1"/>
  <c r="D4876" i="1"/>
  <c r="F4876" i="1"/>
  <c r="H4876" i="1"/>
  <c r="I4876" i="1"/>
  <c r="L4876" i="1"/>
  <c r="M4876" i="1"/>
  <c r="V4876" i="1"/>
  <c r="W4876" i="1"/>
  <c r="A206" i="1"/>
  <c r="D206" i="1"/>
  <c r="F206" i="1"/>
  <c r="H206" i="1"/>
  <c r="I206" i="1"/>
  <c r="L206" i="1"/>
  <c r="M206" i="1"/>
  <c r="V206" i="1"/>
  <c r="W206" i="1"/>
  <c r="A1417" i="1"/>
  <c r="D1417" i="1"/>
  <c r="F1417" i="1"/>
  <c r="H1417" i="1"/>
  <c r="I1417" i="1"/>
  <c r="L1417" i="1"/>
  <c r="M1417" i="1"/>
  <c r="V1417" i="1"/>
  <c r="W1417" i="1"/>
  <c r="A3086" i="1"/>
  <c r="D3086" i="1"/>
  <c r="F3086" i="1"/>
  <c r="H3086" i="1"/>
  <c r="I3086" i="1"/>
  <c r="L3086" i="1"/>
  <c r="M3086" i="1"/>
  <c r="V3086" i="1"/>
  <c r="W3086" i="1"/>
  <c r="A3135" i="1"/>
  <c r="D3135" i="1"/>
  <c r="F3135" i="1"/>
  <c r="H3135" i="1"/>
  <c r="I3135" i="1"/>
  <c r="L3135" i="1"/>
  <c r="M3135" i="1"/>
  <c r="V3135" i="1"/>
  <c r="W3135" i="1"/>
  <c r="A5740" i="1"/>
  <c r="D5740" i="1"/>
  <c r="F5740" i="1"/>
  <c r="H5740" i="1"/>
  <c r="I5740" i="1"/>
  <c r="L5740" i="1"/>
  <c r="M5740" i="1"/>
  <c r="V5740" i="1"/>
  <c r="W5740" i="1"/>
  <c r="A370" i="1"/>
  <c r="D370" i="1"/>
  <c r="F370" i="1"/>
  <c r="H370" i="1"/>
  <c r="I370" i="1"/>
  <c r="L370" i="1"/>
  <c r="M370" i="1"/>
  <c r="V370" i="1"/>
  <c r="W370" i="1"/>
  <c r="A2006" i="1"/>
  <c r="D2006" i="1"/>
  <c r="F2006" i="1"/>
  <c r="H2006" i="1"/>
  <c r="I2006" i="1"/>
  <c r="L2006" i="1"/>
  <c r="M2006" i="1"/>
  <c r="V2006" i="1"/>
  <c r="W2006" i="1"/>
  <c r="A3518" i="1"/>
  <c r="D3518" i="1"/>
  <c r="F3518" i="1"/>
  <c r="H3518" i="1"/>
  <c r="I3518" i="1"/>
  <c r="L3518" i="1"/>
  <c r="M3518" i="1"/>
  <c r="V3518" i="1"/>
  <c r="W3518" i="1"/>
  <c r="A4306" i="1"/>
  <c r="D4306" i="1"/>
  <c r="F4306" i="1"/>
  <c r="H4306" i="1"/>
  <c r="I4306" i="1"/>
  <c r="L4306" i="1"/>
  <c r="M4306" i="1"/>
  <c r="V4306" i="1"/>
  <c r="W4306" i="1"/>
  <c r="A1077" i="1"/>
  <c r="D1077" i="1"/>
  <c r="F1077" i="1"/>
  <c r="H1077" i="1"/>
  <c r="I1077" i="1"/>
  <c r="L1077" i="1"/>
  <c r="M1077" i="1"/>
  <c r="V1077" i="1"/>
  <c r="W1077" i="1"/>
  <c r="A6070" i="1"/>
  <c r="D6070" i="1"/>
  <c r="F6070" i="1"/>
  <c r="H6070" i="1"/>
  <c r="I6070" i="1"/>
  <c r="L6070" i="1"/>
  <c r="M6070" i="1"/>
  <c r="V6070" i="1"/>
  <c r="W6070" i="1"/>
  <c r="A897" i="1"/>
  <c r="D897" i="1"/>
  <c r="F897" i="1"/>
  <c r="H897" i="1"/>
  <c r="I897" i="1"/>
  <c r="L897" i="1"/>
  <c r="M897" i="1"/>
  <c r="V897" i="1"/>
  <c r="W897" i="1"/>
  <c r="A2787" i="1"/>
  <c r="D2787" i="1"/>
  <c r="F2787" i="1"/>
  <c r="H2787" i="1"/>
  <c r="I2787" i="1"/>
  <c r="L2787" i="1"/>
  <c r="M2787" i="1"/>
  <c r="V2787" i="1"/>
  <c r="W2787" i="1"/>
  <c r="A2797" i="1"/>
  <c r="D2797" i="1"/>
  <c r="F2797" i="1"/>
  <c r="H2797" i="1"/>
  <c r="I2797" i="1"/>
  <c r="L2797" i="1"/>
  <c r="M2797" i="1"/>
  <c r="V2797" i="1"/>
  <c r="W2797" i="1"/>
  <c r="A3247" i="1"/>
  <c r="D3247" i="1"/>
  <c r="F3247" i="1"/>
  <c r="H3247" i="1"/>
  <c r="I3247" i="1"/>
  <c r="L3247" i="1"/>
  <c r="M3247" i="1"/>
  <c r="V3247" i="1"/>
  <c r="W3247" i="1"/>
  <c r="A426" i="1"/>
  <c r="D426" i="1"/>
  <c r="F426" i="1"/>
  <c r="H426" i="1"/>
  <c r="I426" i="1"/>
  <c r="L426" i="1"/>
  <c r="M426" i="1"/>
  <c r="V426" i="1"/>
  <c r="W426" i="1"/>
  <c r="A1735" i="1"/>
  <c r="D1735" i="1"/>
  <c r="F1735" i="1"/>
  <c r="H1735" i="1"/>
  <c r="I1735" i="1"/>
  <c r="L1735" i="1"/>
  <c r="M1735" i="1"/>
  <c r="V1735" i="1"/>
  <c r="W1735" i="1"/>
  <c r="A807" i="1"/>
  <c r="D807" i="1"/>
  <c r="F807" i="1"/>
  <c r="H807" i="1"/>
  <c r="I807" i="1"/>
  <c r="L807" i="1"/>
  <c r="M807" i="1"/>
  <c r="V807" i="1"/>
  <c r="W807" i="1"/>
  <c r="A4604" i="1"/>
  <c r="D4604" i="1"/>
  <c r="F4604" i="1"/>
  <c r="H4604" i="1"/>
  <c r="I4604" i="1"/>
  <c r="L4604" i="1"/>
  <c r="M4604" i="1"/>
  <c r="V4604" i="1"/>
  <c r="W4604" i="1"/>
  <c r="A5484" i="1"/>
  <c r="D5484" i="1"/>
  <c r="F5484" i="1"/>
  <c r="H5484" i="1"/>
  <c r="I5484" i="1"/>
  <c r="L5484" i="1"/>
  <c r="M5484" i="1"/>
  <c r="V5484" i="1"/>
  <c r="W5484" i="1"/>
  <c r="A4880" i="1"/>
  <c r="D4880" i="1"/>
  <c r="F4880" i="1"/>
  <c r="H4880" i="1"/>
  <c r="I4880" i="1"/>
  <c r="L4880" i="1"/>
  <c r="M4880" i="1"/>
  <c r="V4880" i="1"/>
  <c r="W4880" i="1"/>
  <c r="A1640" i="1"/>
  <c r="D1640" i="1"/>
  <c r="F1640" i="1"/>
  <c r="H1640" i="1"/>
  <c r="I1640" i="1"/>
  <c r="L1640" i="1"/>
  <c r="M1640" i="1"/>
  <c r="V1640" i="1"/>
  <c r="W1640" i="1"/>
  <c r="A2929" i="1"/>
  <c r="D2929" i="1"/>
  <c r="F2929" i="1"/>
  <c r="H2929" i="1"/>
  <c r="I2929" i="1"/>
  <c r="L2929" i="1"/>
  <c r="M2929" i="1"/>
  <c r="V2929" i="1"/>
  <c r="W2929" i="1"/>
  <c r="A2933" i="1"/>
  <c r="D2933" i="1"/>
  <c r="F2933" i="1"/>
  <c r="H2933" i="1"/>
  <c r="I2933" i="1"/>
  <c r="L2933" i="1"/>
  <c r="M2933" i="1"/>
  <c r="V2933" i="1"/>
  <c r="W2933" i="1"/>
  <c r="A1952" i="1"/>
  <c r="D1952" i="1"/>
  <c r="F1952" i="1"/>
  <c r="H1952" i="1"/>
  <c r="I1952" i="1"/>
  <c r="L1952" i="1"/>
  <c r="M1952" i="1"/>
  <c r="V1952" i="1"/>
  <c r="W1952" i="1"/>
  <c r="A660" i="1"/>
  <c r="D660" i="1"/>
  <c r="F660" i="1"/>
  <c r="H660" i="1"/>
  <c r="I660" i="1"/>
  <c r="L660" i="1"/>
  <c r="M660" i="1"/>
  <c r="V660" i="1"/>
  <c r="W660" i="1"/>
  <c r="A3029" i="1"/>
  <c r="D3029" i="1"/>
  <c r="F3029" i="1"/>
  <c r="H3029" i="1"/>
  <c r="I3029" i="1"/>
  <c r="L3029" i="1"/>
  <c r="M3029" i="1"/>
  <c r="V3029" i="1"/>
  <c r="W3029" i="1"/>
  <c r="A4501" i="1"/>
  <c r="D4501" i="1"/>
  <c r="F4501" i="1"/>
  <c r="H4501" i="1"/>
  <c r="I4501" i="1"/>
  <c r="L4501" i="1"/>
  <c r="M4501" i="1"/>
  <c r="V4501" i="1"/>
  <c r="W4501" i="1"/>
  <c r="A1609" i="1"/>
  <c r="D1609" i="1"/>
  <c r="F1609" i="1"/>
  <c r="H1609" i="1"/>
  <c r="I1609" i="1"/>
  <c r="L1609" i="1"/>
  <c r="M1609" i="1"/>
  <c r="V1609" i="1"/>
  <c r="W1609" i="1"/>
  <c r="A2215" i="1"/>
  <c r="D2215" i="1"/>
  <c r="F2215" i="1"/>
  <c r="H2215" i="1"/>
  <c r="I2215" i="1"/>
  <c r="L2215" i="1"/>
  <c r="M2215" i="1"/>
  <c r="V2215" i="1"/>
  <c r="W2215" i="1"/>
  <c r="A6083" i="1"/>
  <c r="D6083" i="1"/>
  <c r="F6083" i="1"/>
  <c r="H6083" i="1"/>
  <c r="I6083" i="1"/>
  <c r="L6083" i="1"/>
  <c r="M6083" i="1"/>
  <c r="V6083" i="1"/>
  <c r="W6083" i="1"/>
  <c r="A516" i="1"/>
  <c r="D516" i="1"/>
  <c r="F516" i="1"/>
  <c r="H516" i="1"/>
  <c r="I516" i="1"/>
  <c r="L516" i="1"/>
  <c r="M516" i="1"/>
  <c r="V516" i="1"/>
  <c r="W516" i="1"/>
  <c r="A247" i="1"/>
  <c r="D247" i="1"/>
  <c r="F247" i="1"/>
  <c r="H247" i="1"/>
  <c r="I247" i="1"/>
  <c r="L247" i="1"/>
  <c r="M247" i="1"/>
  <c r="V247" i="1"/>
  <c r="W247" i="1"/>
  <c r="A2462" i="1"/>
  <c r="D2462" i="1"/>
  <c r="F2462" i="1"/>
  <c r="H2462" i="1"/>
  <c r="I2462" i="1"/>
  <c r="L2462" i="1"/>
  <c r="M2462" i="1"/>
  <c r="V2462" i="1"/>
  <c r="W2462" i="1"/>
  <c r="A1127" i="1"/>
  <c r="D1127" i="1"/>
  <c r="F1127" i="1"/>
  <c r="H1127" i="1"/>
  <c r="I1127" i="1"/>
  <c r="L1127" i="1"/>
  <c r="M1127" i="1"/>
  <c r="V1127" i="1"/>
  <c r="W1127" i="1"/>
  <c r="A3674" i="1"/>
  <c r="D3674" i="1"/>
  <c r="F3674" i="1"/>
  <c r="H3674" i="1"/>
  <c r="I3674" i="1"/>
  <c r="L3674" i="1"/>
  <c r="M3674" i="1"/>
  <c r="V3674" i="1"/>
  <c r="W3674" i="1"/>
  <c r="A3377" i="1"/>
  <c r="D3377" i="1"/>
  <c r="F3377" i="1"/>
  <c r="H3377" i="1"/>
  <c r="I3377" i="1"/>
  <c r="L3377" i="1"/>
  <c r="M3377" i="1"/>
  <c r="V3377" i="1"/>
  <c r="W3377" i="1"/>
  <c r="A4167" i="1"/>
  <c r="D4167" i="1"/>
  <c r="F4167" i="1"/>
  <c r="H4167" i="1"/>
  <c r="I4167" i="1"/>
  <c r="L4167" i="1"/>
  <c r="M4167" i="1"/>
  <c r="V4167" i="1"/>
  <c r="W4167" i="1"/>
  <c r="A123" i="1"/>
  <c r="D123" i="1"/>
  <c r="F123" i="1"/>
  <c r="H123" i="1"/>
  <c r="I123" i="1"/>
  <c r="L123" i="1"/>
  <c r="M123" i="1"/>
  <c r="V123" i="1"/>
  <c r="W123" i="1"/>
  <c r="A522" i="1"/>
  <c r="D522" i="1"/>
  <c r="F522" i="1"/>
  <c r="H522" i="1"/>
  <c r="I522" i="1"/>
  <c r="L522" i="1"/>
  <c r="M522" i="1"/>
  <c r="V522" i="1"/>
  <c r="W522" i="1"/>
  <c r="A962" i="1"/>
  <c r="D962" i="1"/>
  <c r="F962" i="1"/>
  <c r="H962" i="1"/>
  <c r="I962" i="1"/>
  <c r="L962" i="1"/>
  <c r="M962" i="1"/>
  <c r="V962" i="1"/>
  <c r="W962" i="1"/>
  <c r="A2686" i="1"/>
  <c r="D2686" i="1"/>
  <c r="F2686" i="1"/>
  <c r="H2686" i="1"/>
  <c r="I2686" i="1"/>
  <c r="L2686" i="1"/>
  <c r="M2686" i="1"/>
  <c r="V2686" i="1"/>
  <c r="W2686" i="1"/>
  <c r="A2932" i="1"/>
  <c r="D2932" i="1"/>
  <c r="F2932" i="1"/>
  <c r="H2932" i="1"/>
  <c r="I2932" i="1"/>
  <c r="L2932" i="1"/>
  <c r="M2932" i="1"/>
  <c r="V2932" i="1"/>
  <c r="W2932" i="1"/>
  <c r="A3221" i="1"/>
  <c r="D3221" i="1"/>
  <c r="F3221" i="1"/>
  <c r="H3221" i="1"/>
  <c r="I3221" i="1"/>
  <c r="L3221" i="1"/>
  <c r="M3221" i="1"/>
  <c r="V3221" i="1"/>
  <c r="W3221" i="1"/>
  <c r="A4361" i="1"/>
  <c r="D4361" i="1"/>
  <c r="F4361" i="1"/>
  <c r="H4361" i="1"/>
  <c r="I4361" i="1"/>
  <c r="L4361" i="1"/>
  <c r="M4361" i="1"/>
  <c r="V4361" i="1"/>
  <c r="W4361" i="1"/>
  <c r="A4368" i="1"/>
  <c r="D4368" i="1"/>
  <c r="F4368" i="1"/>
  <c r="H4368" i="1"/>
  <c r="I4368" i="1"/>
  <c r="L4368" i="1"/>
  <c r="M4368" i="1"/>
  <c r="V4368" i="1"/>
  <c r="W4368" i="1"/>
  <c r="A4410" i="1"/>
  <c r="D4410" i="1"/>
  <c r="F4410" i="1"/>
  <c r="H4410" i="1"/>
  <c r="I4410" i="1"/>
  <c r="L4410" i="1"/>
  <c r="M4410" i="1"/>
  <c r="V4410" i="1"/>
  <c r="W4410" i="1"/>
  <c r="A4784" i="1"/>
  <c r="D4784" i="1"/>
  <c r="F4784" i="1"/>
  <c r="H4784" i="1"/>
  <c r="I4784" i="1"/>
  <c r="L4784" i="1"/>
  <c r="M4784" i="1"/>
  <c r="V4784" i="1"/>
  <c r="W4784" i="1"/>
  <c r="A4930" i="1"/>
  <c r="D4930" i="1"/>
  <c r="F4930" i="1"/>
  <c r="H4930" i="1"/>
  <c r="I4930" i="1"/>
  <c r="L4930" i="1"/>
  <c r="M4930" i="1"/>
  <c r="V4930" i="1"/>
  <c r="W4930" i="1"/>
  <c r="A5065" i="1"/>
  <c r="D5065" i="1"/>
  <c r="F5065" i="1"/>
  <c r="H5065" i="1"/>
  <c r="I5065" i="1"/>
  <c r="L5065" i="1"/>
  <c r="M5065" i="1"/>
  <c r="V5065" i="1"/>
  <c r="W5065" i="1"/>
  <c r="A931" i="1"/>
  <c r="D931" i="1"/>
  <c r="F931" i="1"/>
  <c r="H931" i="1"/>
  <c r="I931" i="1"/>
  <c r="L931" i="1"/>
  <c r="M931" i="1"/>
  <c r="V931" i="1"/>
  <c r="W931" i="1"/>
  <c r="A4389" i="1"/>
  <c r="D4389" i="1"/>
  <c r="F4389" i="1"/>
  <c r="H4389" i="1"/>
  <c r="I4389" i="1"/>
  <c r="L4389" i="1"/>
  <c r="M4389" i="1"/>
  <c r="V4389" i="1"/>
  <c r="W4389" i="1"/>
  <c r="A817" i="1"/>
  <c r="D817" i="1"/>
  <c r="F817" i="1"/>
  <c r="H817" i="1"/>
  <c r="I817" i="1"/>
  <c r="L817" i="1"/>
  <c r="M817" i="1"/>
  <c r="V817" i="1"/>
  <c r="W817" i="1"/>
  <c r="A3954" i="1"/>
  <c r="D3954" i="1"/>
  <c r="F3954" i="1"/>
  <c r="H3954" i="1"/>
  <c r="I3954" i="1"/>
  <c r="L3954" i="1"/>
  <c r="M3954" i="1"/>
  <c r="V3954" i="1"/>
  <c r="W3954" i="1"/>
  <c r="A4594" i="1"/>
  <c r="D4594" i="1"/>
  <c r="F4594" i="1"/>
  <c r="H4594" i="1"/>
  <c r="I4594" i="1"/>
  <c r="L4594" i="1"/>
  <c r="M4594" i="1"/>
  <c r="V4594" i="1"/>
  <c r="W4594" i="1"/>
  <c r="A2545" i="1"/>
  <c r="D2545" i="1"/>
  <c r="F2545" i="1"/>
  <c r="H2545" i="1"/>
  <c r="I2545" i="1"/>
  <c r="L2545" i="1"/>
  <c r="M2545" i="1"/>
  <c r="V2545" i="1"/>
  <c r="W2545" i="1"/>
  <c r="A1136" i="1"/>
  <c r="D1136" i="1"/>
  <c r="F1136" i="1"/>
  <c r="H1136" i="1"/>
  <c r="I1136" i="1"/>
  <c r="L1136" i="1"/>
  <c r="M1136" i="1"/>
  <c r="V1136" i="1"/>
  <c r="W1136" i="1"/>
  <c r="A3550" i="1"/>
  <c r="D3550" i="1"/>
  <c r="F3550" i="1"/>
  <c r="H3550" i="1"/>
  <c r="I3550" i="1"/>
  <c r="L3550" i="1"/>
  <c r="M3550" i="1"/>
  <c r="V3550" i="1"/>
  <c r="W3550" i="1"/>
  <c r="A4377" i="1"/>
  <c r="D4377" i="1"/>
  <c r="F4377" i="1"/>
  <c r="H4377" i="1"/>
  <c r="I4377" i="1"/>
  <c r="L4377" i="1"/>
  <c r="M4377" i="1"/>
  <c r="V4377" i="1"/>
  <c r="W4377" i="1"/>
  <c r="A2361" i="1"/>
  <c r="D2361" i="1"/>
  <c r="F2361" i="1"/>
  <c r="H2361" i="1"/>
  <c r="I2361" i="1"/>
  <c r="L2361" i="1"/>
  <c r="M2361" i="1"/>
  <c r="V2361" i="1"/>
  <c r="W2361" i="1"/>
  <c r="A2655" i="1"/>
  <c r="D2655" i="1"/>
  <c r="F2655" i="1"/>
  <c r="H2655" i="1"/>
  <c r="I2655" i="1"/>
  <c r="L2655" i="1"/>
  <c r="M2655" i="1"/>
  <c r="V2655" i="1"/>
  <c r="W2655" i="1"/>
  <c r="A4609" i="1"/>
  <c r="D4609" i="1"/>
  <c r="F4609" i="1"/>
  <c r="H4609" i="1"/>
  <c r="I4609" i="1"/>
  <c r="L4609" i="1"/>
  <c r="M4609" i="1"/>
  <c r="V4609" i="1"/>
  <c r="W4609" i="1"/>
  <c r="A1643" i="1"/>
  <c r="D1643" i="1"/>
  <c r="F1643" i="1"/>
  <c r="H1643" i="1"/>
  <c r="I1643" i="1"/>
  <c r="L1643" i="1"/>
  <c r="M1643" i="1"/>
  <c r="V1643" i="1"/>
  <c r="W1643" i="1"/>
  <c r="A4601" i="1"/>
  <c r="D4601" i="1"/>
  <c r="F4601" i="1"/>
  <c r="H4601" i="1"/>
  <c r="I4601" i="1"/>
  <c r="L4601" i="1"/>
  <c r="M4601" i="1"/>
  <c r="V4601" i="1"/>
  <c r="W4601" i="1"/>
  <c r="A4908" i="1"/>
  <c r="D4908" i="1"/>
  <c r="F4908" i="1"/>
  <c r="H4908" i="1"/>
  <c r="I4908" i="1"/>
  <c r="L4908" i="1"/>
  <c r="M4908" i="1"/>
  <c r="V4908" i="1"/>
  <c r="W4908" i="1"/>
  <c r="A2112" i="1"/>
  <c r="D2112" i="1"/>
  <c r="F2112" i="1"/>
  <c r="H2112" i="1"/>
  <c r="I2112" i="1"/>
  <c r="L2112" i="1"/>
  <c r="M2112" i="1"/>
  <c r="V2112" i="1"/>
  <c r="W2112" i="1"/>
  <c r="A2232" i="1"/>
  <c r="D2232" i="1"/>
  <c r="F2232" i="1"/>
  <c r="H2232" i="1"/>
  <c r="I2232" i="1"/>
  <c r="L2232" i="1"/>
  <c r="M2232" i="1"/>
  <c r="V2232" i="1"/>
  <c r="W2232" i="1"/>
  <c r="A2489" i="1"/>
  <c r="D2489" i="1"/>
  <c r="F2489" i="1"/>
  <c r="H2489" i="1"/>
  <c r="I2489" i="1"/>
  <c r="L2489" i="1"/>
  <c r="M2489" i="1"/>
  <c r="V2489" i="1"/>
  <c r="W2489" i="1"/>
  <c r="A1982" i="1"/>
  <c r="D1982" i="1"/>
  <c r="F1982" i="1"/>
  <c r="H1982" i="1"/>
  <c r="I1982" i="1"/>
  <c r="L1982" i="1"/>
  <c r="M1982" i="1"/>
  <c r="V1982" i="1"/>
  <c r="W1982" i="1"/>
  <c r="A2544" i="1"/>
  <c r="D2544" i="1"/>
  <c r="F2544" i="1"/>
  <c r="H2544" i="1"/>
  <c r="I2544" i="1"/>
  <c r="L2544" i="1"/>
  <c r="M2544" i="1"/>
  <c r="V2544" i="1"/>
  <c r="W2544" i="1"/>
  <c r="A1782" i="1"/>
  <c r="D1782" i="1"/>
  <c r="F1782" i="1"/>
  <c r="H1782" i="1"/>
  <c r="I1782" i="1"/>
  <c r="L1782" i="1"/>
  <c r="M1782" i="1"/>
  <c r="V1782" i="1"/>
  <c r="W1782" i="1"/>
  <c r="A4890" i="1"/>
  <c r="D4890" i="1"/>
  <c r="F4890" i="1"/>
  <c r="H4890" i="1"/>
  <c r="I4890" i="1"/>
  <c r="L4890" i="1"/>
  <c r="M4890" i="1"/>
  <c r="V4890" i="1"/>
  <c r="W4890" i="1"/>
  <c r="A5217" i="1"/>
  <c r="D5217" i="1"/>
  <c r="F5217" i="1"/>
  <c r="H5217" i="1"/>
  <c r="I5217" i="1"/>
  <c r="L5217" i="1"/>
  <c r="M5217" i="1"/>
  <c r="V5217" i="1"/>
  <c r="W5217" i="1"/>
  <c r="A280" i="1"/>
  <c r="D280" i="1"/>
  <c r="F280" i="1"/>
  <c r="H280" i="1"/>
  <c r="I280" i="1"/>
  <c r="L280" i="1"/>
  <c r="M280" i="1"/>
  <c r="V280" i="1"/>
  <c r="W280" i="1"/>
  <c r="A3210" i="1"/>
  <c r="D3210" i="1"/>
  <c r="F3210" i="1"/>
  <c r="H3210" i="1"/>
  <c r="I3210" i="1"/>
  <c r="L3210" i="1"/>
  <c r="M3210" i="1"/>
  <c r="V3210" i="1"/>
  <c r="W3210" i="1"/>
  <c r="A3579" i="1"/>
  <c r="D3579" i="1"/>
  <c r="F3579" i="1"/>
  <c r="H3579" i="1"/>
  <c r="I3579" i="1"/>
  <c r="L3579" i="1"/>
  <c r="M3579" i="1"/>
  <c r="V3579" i="1"/>
  <c r="W3579" i="1"/>
  <c r="A3773" i="1"/>
  <c r="D3773" i="1"/>
  <c r="F3773" i="1"/>
  <c r="H3773" i="1"/>
  <c r="I3773" i="1"/>
  <c r="L3773" i="1"/>
  <c r="M3773" i="1"/>
  <c r="V3773" i="1"/>
  <c r="W3773" i="1"/>
  <c r="A2861" i="1"/>
  <c r="D2861" i="1"/>
  <c r="F2861" i="1"/>
  <c r="H2861" i="1"/>
  <c r="I2861" i="1"/>
  <c r="L2861" i="1"/>
  <c r="M2861" i="1"/>
  <c r="V2861" i="1"/>
  <c r="W2861" i="1"/>
  <c r="A1561" i="1"/>
  <c r="D1561" i="1"/>
  <c r="F1561" i="1"/>
  <c r="H1561" i="1"/>
  <c r="I1561" i="1"/>
  <c r="L1561" i="1"/>
  <c r="M1561" i="1"/>
  <c r="V1561" i="1"/>
  <c r="W1561" i="1"/>
  <c r="A3660" i="1"/>
  <c r="D3660" i="1"/>
  <c r="F3660" i="1"/>
  <c r="H3660" i="1"/>
  <c r="I3660" i="1"/>
  <c r="L3660" i="1"/>
  <c r="M3660" i="1"/>
  <c r="V3660" i="1"/>
  <c r="W3660" i="1"/>
  <c r="A4494" i="1"/>
  <c r="D4494" i="1"/>
  <c r="F4494" i="1"/>
  <c r="H4494" i="1"/>
  <c r="I4494" i="1"/>
  <c r="L4494" i="1"/>
  <c r="M4494" i="1"/>
  <c r="V4494" i="1"/>
  <c r="W4494" i="1"/>
  <c r="A1927" i="1"/>
  <c r="D1927" i="1"/>
  <c r="F1927" i="1"/>
  <c r="H1927" i="1"/>
  <c r="I1927" i="1"/>
  <c r="L1927" i="1"/>
  <c r="M1927" i="1"/>
  <c r="V1927" i="1"/>
  <c r="W1927" i="1"/>
  <c r="A3643" i="1"/>
  <c r="D3643" i="1"/>
  <c r="F3643" i="1"/>
  <c r="H3643" i="1"/>
  <c r="I3643" i="1"/>
  <c r="L3643" i="1"/>
  <c r="M3643" i="1"/>
  <c r="V3643" i="1"/>
  <c r="W3643" i="1"/>
  <c r="A3703" i="1"/>
  <c r="D3703" i="1"/>
  <c r="F3703" i="1"/>
  <c r="H3703" i="1"/>
  <c r="I3703" i="1"/>
  <c r="L3703" i="1"/>
  <c r="M3703" i="1"/>
  <c r="V3703" i="1"/>
  <c r="W3703" i="1"/>
  <c r="A3941" i="1"/>
  <c r="D3941" i="1"/>
  <c r="F3941" i="1"/>
  <c r="H3941" i="1"/>
  <c r="I3941" i="1"/>
  <c r="L3941" i="1"/>
  <c r="M3941" i="1"/>
  <c r="V3941" i="1"/>
  <c r="W3941" i="1"/>
  <c r="A4371" i="1"/>
  <c r="D4371" i="1"/>
  <c r="F4371" i="1"/>
  <c r="H4371" i="1"/>
  <c r="I4371" i="1"/>
  <c r="L4371" i="1"/>
  <c r="M4371" i="1"/>
  <c r="V4371" i="1"/>
  <c r="W4371" i="1"/>
  <c r="A2254" i="1"/>
  <c r="D2254" i="1"/>
  <c r="F2254" i="1"/>
  <c r="H2254" i="1"/>
  <c r="I2254" i="1"/>
  <c r="L2254" i="1"/>
  <c r="M2254" i="1"/>
  <c r="V2254" i="1"/>
  <c r="W2254" i="1"/>
  <c r="A2263" i="1"/>
  <c r="D2263" i="1"/>
  <c r="F2263" i="1"/>
  <c r="H2263" i="1"/>
  <c r="I2263" i="1"/>
  <c r="L2263" i="1"/>
  <c r="M2263" i="1"/>
  <c r="V2263" i="1"/>
  <c r="W2263" i="1"/>
  <c r="A2094" i="1"/>
  <c r="D2094" i="1"/>
  <c r="F2094" i="1"/>
  <c r="H2094" i="1"/>
  <c r="I2094" i="1"/>
  <c r="L2094" i="1"/>
  <c r="M2094" i="1"/>
  <c r="V2094" i="1"/>
  <c r="W2094" i="1"/>
  <c r="A284" i="1"/>
  <c r="D284" i="1"/>
  <c r="F284" i="1"/>
  <c r="H284" i="1"/>
  <c r="I284" i="1"/>
  <c r="L284" i="1"/>
  <c r="M284" i="1"/>
  <c r="V284" i="1"/>
  <c r="W284" i="1"/>
  <c r="A5918" i="1"/>
  <c r="D5918" i="1"/>
  <c r="F5918" i="1"/>
  <c r="H5918" i="1"/>
  <c r="I5918" i="1"/>
  <c r="L5918" i="1"/>
  <c r="M5918" i="1"/>
  <c r="V5918" i="1"/>
  <c r="W5918" i="1"/>
  <c r="A757" i="1"/>
  <c r="D757" i="1"/>
  <c r="F757" i="1"/>
  <c r="H757" i="1"/>
  <c r="I757" i="1"/>
  <c r="L757" i="1"/>
  <c r="M757" i="1"/>
  <c r="V757" i="1"/>
  <c r="W757" i="1"/>
  <c r="A3875" i="1"/>
  <c r="D3875" i="1"/>
  <c r="F3875" i="1"/>
  <c r="H3875" i="1"/>
  <c r="I3875" i="1"/>
  <c r="L3875" i="1"/>
  <c r="M3875" i="1"/>
  <c r="V3875" i="1"/>
  <c r="W3875" i="1"/>
  <c r="A756" i="1"/>
  <c r="D756" i="1"/>
  <c r="F756" i="1"/>
  <c r="H756" i="1"/>
  <c r="I756" i="1"/>
  <c r="L756" i="1"/>
  <c r="M756" i="1"/>
  <c r="V756" i="1"/>
  <c r="W756" i="1"/>
  <c r="A5208" i="1"/>
  <c r="D5208" i="1"/>
  <c r="F5208" i="1"/>
  <c r="H5208" i="1"/>
  <c r="I5208" i="1"/>
  <c r="L5208" i="1"/>
  <c r="M5208" i="1"/>
  <c r="V5208" i="1"/>
  <c r="W5208" i="1"/>
  <c r="A1128" i="1"/>
  <c r="D1128" i="1"/>
  <c r="F1128" i="1"/>
  <c r="H1128" i="1"/>
  <c r="I1128" i="1"/>
  <c r="L1128" i="1"/>
  <c r="M1128" i="1"/>
  <c r="V1128" i="1"/>
  <c r="W1128" i="1"/>
  <c r="A5357" i="1"/>
  <c r="D5357" i="1"/>
  <c r="F5357" i="1"/>
  <c r="H5357" i="1"/>
  <c r="I5357" i="1"/>
  <c r="L5357" i="1"/>
  <c r="M5357" i="1"/>
  <c r="V5357" i="1"/>
  <c r="W5357" i="1"/>
  <c r="A2255" i="1"/>
  <c r="D2255" i="1"/>
  <c r="F2255" i="1"/>
  <c r="H2255" i="1"/>
  <c r="I2255" i="1"/>
  <c r="L2255" i="1"/>
  <c r="M2255" i="1"/>
  <c r="V2255" i="1"/>
  <c r="W2255" i="1"/>
  <c r="A2262" i="1"/>
  <c r="D2262" i="1"/>
  <c r="F2262" i="1"/>
  <c r="H2262" i="1"/>
  <c r="I2262" i="1"/>
  <c r="L2262" i="1"/>
  <c r="M2262" i="1"/>
  <c r="V2262" i="1"/>
  <c r="W2262" i="1"/>
  <c r="A2093" i="1"/>
  <c r="D2093" i="1"/>
  <c r="F2093" i="1"/>
  <c r="H2093" i="1"/>
  <c r="I2093" i="1"/>
  <c r="L2093" i="1"/>
  <c r="M2093" i="1"/>
  <c r="V2093" i="1"/>
  <c r="W2093" i="1"/>
  <c r="A3421" i="1"/>
  <c r="D3421" i="1"/>
  <c r="F3421" i="1"/>
  <c r="H3421" i="1"/>
  <c r="I3421" i="1"/>
  <c r="L3421" i="1"/>
  <c r="M3421" i="1"/>
  <c r="V3421" i="1"/>
  <c r="W3421" i="1"/>
  <c r="A3920" i="1"/>
  <c r="D3920" i="1"/>
  <c r="F3920" i="1"/>
  <c r="H3920" i="1"/>
  <c r="I3920" i="1"/>
  <c r="L3920" i="1"/>
  <c r="M3920" i="1"/>
  <c r="V3920" i="1"/>
  <c r="W3920" i="1"/>
  <c r="A816" i="1"/>
  <c r="D816" i="1"/>
  <c r="F816" i="1"/>
  <c r="H816" i="1"/>
  <c r="I816" i="1"/>
  <c r="L816" i="1"/>
  <c r="M816" i="1"/>
  <c r="V816" i="1"/>
  <c r="W816" i="1"/>
  <c r="A5277" i="1"/>
  <c r="D5277" i="1"/>
  <c r="F5277" i="1"/>
  <c r="H5277" i="1"/>
  <c r="I5277" i="1"/>
  <c r="L5277" i="1"/>
  <c r="M5277" i="1"/>
  <c r="V5277" i="1"/>
  <c r="W5277" i="1"/>
  <c r="A63" i="1"/>
  <c r="D63" i="1"/>
  <c r="F63" i="1"/>
  <c r="H63" i="1"/>
  <c r="I63" i="1"/>
  <c r="L63" i="1"/>
  <c r="M63" i="1"/>
  <c r="V63" i="1"/>
  <c r="W63" i="1"/>
  <c r="A5163" i="1"/>
  <c r="D5163" i="1"/>
  <c r="F5163" i="1"/>
  <c r="H5163" i="1"/>
  <c r="I5163" i="1"/>
  <c r="L5163" i="1"/>
  <c r="M5163" i="1"/>
  <c r="V5163" i="1"/>
  <c r="W5163" i="1"/>
  <c r="A4658" i="1"/>
  <c r="D4658" i="1"/>
  <c r="F4658" i="1"/>
  <c r="H4658" i="1"/>
  <c r="I4658" i="1"/>
  <c r="L4658" i="1"/>
  <c r="M4658" i="1"/>
  <c r="V4658" i="1"/>
  <c r="W4658" i="1"/>
  <c r="A4718" i="1"/>
  <c r="D4718" i="1"/>
  <c r="F4718" i="1"/>
  <c r="H4718" i="1"/>
  <c r="I4718" i="1"/>
  <c r="L4718" i="1"/>
  <c r="M4718" i="1"/>
  <c r="V4718" i="1"/>
  <c r="W4718" i="1"/>
  <c r="A3797" i="1"/>
  <c r="D3797" i="1"/>
  <c r="F3797" i="1"/>
  <c r="H3797" i="1"/>
  <c r="I3797" i="1"/>
  <c r="L3797" i="1"/>
  <c r="M3797" i="1"/>
  <c r="V3797" i="1"/>
  <c r="W3797" i="1"/>
  <c r="A463" i="1"/>
  <c r="D463" i="1"/>
  <c r="F463" i="1"/>
  <c r="H463" i="1"/>
  <c r="I463" i="1"/>
  <c r="L463" i="1"/>
  <c r="M463" i="1"/>
  <c r="V463" i="1"/>
  <c r="W463" i="1"/>
  <c r="A2417" i="1"/>
  <c r="D2417" i="1"/>
  <c r="F2417" i="1"/>
  <c r="H2417" i="1"/>
  <c r="I2417" i="1"/>
  <c r="L2417" i="1"/>
  <c r="M2417" i="1"/>
  <c r="V2417" i="1"/>
  <c r="W2417" i="1"/>
  <c r="A24" i="1"/>
  <c r="D24" i="1"/>
  <c r="F24" i="1"/>
  <c r="H24" i="1"/>
  <c r="I24" i="1"/>
  <c r="L24" i="1"/>
  <c r="M24" i="1"/>
  <c r="V24" i="1"/>
  <c r="W24" i="1"/>
  <c r="A2468" i="1"/>
  <c r="D2468" i="1"/>
  <c r="F2468" i="1"/>
  <c r="H2468" i="1"/>
  <c r="I2468" i="1"/>
  <c r="L2468" i="1"/>
  <c r="M2468" i="1"/>
  <c r="V2468" i="1"/>
  <c r="W2468" i="1"/>
  <c r="A3207" i="1"/>
  <c r="D3207" i="1"/>
  <c r="F3207" i="1"/>
  <c r="H3207" i="1"/>
  <c r="I3207" i="1"/>
  <c r="L3207" i="1"/>
  <c r="M3207" i="1"/>
  <c r="V3207" i="1"/>
  <c r="W3207" i="1"/>
  <c r="A3353" i="1"/>
  <c r="D3353" i="1"/>
  <c r="F3353" i="1"/>
  <c r="H3353" i="1"/>
  <c r="I3353" i="1"/>
  <c r="L3353" i="1"/>
  <c r="M3353" i="1"/>
  <c r="V3353" i="1"/>
  <c r="W3353" i="1"/>
  <c r="A5795" i="1"/>
  <c r="D5795" i="1"/>
  <c r="F5795" i="1"/>
  <c r="H5795" i="1"/>
  <c r="I5795" i="1"/>
  <c r="L5795" i="1"/>
  <c r="M5795" i="1"/>
  <c r="V5795" i="1"/>
  <c r="W5795" i="1"/>
  <c r="A288" i="1"/>
  <c r="D288" i="1"/>
  <c r="F288" i="1"/>
  <c r="H288" i="1"/>
  <c r="I288" i="1"/>
  <c r="L288" i="1"/>
  <c r="M288" i="1"/>
  <c r="V288" i="1"/>
  <c r="W288" i="1"/>
  <c r="A3671" i="1"/>
  <c r="D3671" i="1"/>
  <c r="F3671" i="1"/>
  <c r="H3671" i="1"/>
  <c r="I3671" i="1"/>
  <c r="L3671" i="1"/>
  <c r="M3671" i="1"/>
  <c r="V3671" i="1"/>
  <c r="W3671" i="1"/>
  <c r="A2987" i="1"/>
  <c r="D2987" i="1"/>
  <c r="F2987" i="1"/>
  <c r="H2987" i="1"/>
  <c r="I2987" i="1"/>
  <c r="L2987" i="1"/>
  <c r="M2987" i="1"/>
  <c r="V2987" i="1"/>
  <c r="W2987" i="1"/>
  <c r="A4701" i="1"/>
  <c r="D4701" i="1"/>
  <c r="F4701" i="1"/>
  <c r="H4701" i="1"/>
  <c r="I4701" i="1"/>
  <c r="L4701" i="1"/>
  <c r="M4701" i="1"/>
  <c r="V4701" i="1"/>
  <c r="W4701" i="1"/>
  <c r="A4999" i="1"/>
  <c r="D4999" i="1"/>
  <c r="F4999" i="1"/>
  <c r="H4999" i="1"/>
  <c r="I4999" i="1"/>
  <c r="L4999" i="1"/>
  <c r="M4999" i="1"/>
  <c r="V4999" i="1"/>
  <c r="W4999" i="1"/>
  <c r="A3800" i="1"/>
  <c r="D3800" i="1"/>
  <c r="F3800" i="1"/>
  <c r="H3800" i="1"/>
  <c r="I3800" i="1"/>
  <c r="L3800" i="1"/>
  <c r="M3800" i="1"/>
  <c r="V3800" i="1"/>
  <c r="W3800" i="1"/>
  <c r="A2085" i="1"/>
  <c r="D2085" i="1"/>
  <c r="F2085" i="1"/>
  <c r="H2085" i="1"/>
  <c r="I2085" i="1"/>
  <c r="L2085" i="1"/>
  <c r="M2085" i="1"/>
  <c r="V2085" i="1"/>
  <c r="W2085" i="1"/>
  <c r="A2155" i="1"/>
  <c r="D2155" i="1"/>
  <c r="F2155" i="1"/>
  <c r="H2155" i="1"/>
  <c r="I2155" i="1"/>
  <c r="L2155" i="1"/>
  <c r="M2155" i="1"/>
  <c r="V2155" i="1"/>
  <c r="W2155" i="1"/>
  <c r="A3991" i="1"/>
  <c r="D3991" i="1"/>
  <c r="F3991" i="1"/>
  <c r="H3991" i="1"/>
  <c r="I3991" i="1"/>
  <c r="L3991" i="1"/>
  <c r="M3991" i="1"/>
  <c r="V3991" i="1"/>
  <c r="W3991" i="1"/>
  <c r="A3336" i="1"/>
  <c r="D3336" i="1"/>
  <c r="F3336" i="1"/>
  <c r="H3336" i="1"/>
  <c r="I3336" i="1"/>
  <c r="L3336" i="1"/>
  <c r="M3336" i="1"/>
  <c r="V3336" i="1"/>
  <c r="W3336" i="1"/>
  <c r="A4129" i="1"/>
  <c r="D4129" i="1"/>
  <c r="F4129" i="1"/>
  <c r="H4129" i="1"/>
  <c r="I4129" i="1"/>
  <c r="L4129" i="1"/>
  <c r="M4129" i="1"/>
  <c r="V4129" i="1"/>
  <c r="W4129" i="1"/>
  <c r="A1994" i="1"/>
  <c r="D1994" i="1"/>
  <c r="F1994" i="1"/>
  <c r="H1994" i="1"/>
  <c r="I1994" i="1"/>
  <c r="L1994" i="1"/>
  <c r="M1994" i="1"/>
  <c r="V1994" i="1"/>
  <c r="W1994" i="1"/>
  <c r="A289" i="1"/>
  <c r="D289" i="1"/>
  <c r="F289" i="1"/>
  <c r="H289" i="1"/>
  <c r="I289" i="1"/>
  <c r="L289" i="1"/>
  <c r="M289" i="1"/>
  <c r="V289" i="1"/>
  <c r="W289" i="1"/>
  <c r="A3438" i="1"/>
  <c r="D3438" i="1"/>
  <c r="F3438" i="1"/>
  <c r="H3438" i="1"/>
  <c r="I3438" i="1"/>
  <c r="L3438" i="1"/>
  <c r="M3438" i="1"/>
  <c r="V3438" i="1"/>
  <c r="W3438" i="1"/>
  <c r="A16" i="1"/>
  <c r="D16" i="1"/>
  <c r="F16" i="1"/>
  <c r="H16" i="1"/>
  <c r="I16" i="1"/>
  <c r="L16" i="1"/>
  <c r="M16" i="1"/>
  <c r="V16" i="1"/>
  <c r="W16" i="1"/>
  <c r="A6211" i="1"/>
  <c r="D6211" i="1"/>
  <c r="F6211" i="1"/>
  <c r="H6211" i="1"/>
  <c r="I6211" i="1"/>
  <c r="L6211" i="1"/>
  <c r="M6211" i="1"/>
  <c r="V6211" i="1"/>
  <c r="W6211" i="1"/>
  <c r="A3382" i="1"/>
  <c r="D3382" i="1"/>
  <c r="F3382" i="1"/>
  <c r="H3382" i="1"/>
  <c r="I3382" i="1"/>
  <c r="L3382" i="1"/>
  <c r="M3382" i="1"/>
  <c r="V3382" i="1"/>
  <c r="W3382" i="1"/>
  <c r="A608" i="1"/>
  <c r="D608" i="1"/>
  <c r="F608" i="1"/>
  <c r="H608" i="1"/>
  <c r="I608" i="1"/>
  <c r="L608" i="1"/>
  <c r="M608" i="1"/>
  <c r="V608" i="1"/>
  <c r="W608" i="1"/>
  <c r="A1150" i="1"/>
  <c r="D1150" i="1"/>
  <c r="F1150" i="1"/>
  <c r="H1150" i="1"/>
  <c r="I1150" i="1"/>
  <c r="L1150" i="1"/>
  <c r="M1150" i="1"/>
  <c r="V1150" i="1"/>
  <c r="W1150" i="1"/>
  <c r="A3272" i="1"/>
  <c r="D3272" i="1"/>
  <c r="F3272" i="1"/>
  <c r="H3272" i="1"/>
  <c r="I3272" i="1"/>
  <c r="L3272" i="1"/>
  <c r="M3272" i="1"/>
  <c r="V3272" i="1"/>
  <c r="W3272" i="1"/>
  <c r="A607" i="1"/>
  <c r="D607" i="1"/>
  <c r="F607" i="1"/>
  <c r="H607" i="1"/>
  <c r="I607" i="1"/>
  <c r="L607" i="1"/>
  <c r="M607" i="1"/>
  <c r="V607" i="1"/>
  <c r="W607" i="1"/>
  <c r="A65" i="1"/>
  <c r="D65" i="1"/>
  <c r="F65" i="1"/>
  <c r="H65" i="1"/>
  <c r="I65" i="1"/>
  <c r="L65" i="1"/>
  <c r="M65" i="1"/>
  <c r="V65" i="1"/>
  <c r="W65" i="1"/>
  <c r="A3546" i="1"/>
  <c r="D3546" i="1"/>
  <c r="F3546" i="1"/>
  <c r="H3546" i="1"/>
  <c r="I3546" i="1"/>
  <c r="L3546" i="1"/>
  <c r="M3546" i="1"/>
  <c r="V3546" i="1"/>
  <c r="W3546" i="1"/>
  <c r="A4341" i="1"/>
  <c r="D4341" i="1"/>
  <c r="F4341" i="1"/>
  <c r="H4341" i="1"/>
  <c r="I4341" i="1"/>
  <c r="L4341" i="1"/>
  <c r="M4341" i="1"/>
  <c r="V4341" i="1"/>
  <c r="W4341" i="1"/>
  <c r="A1427" i="1"/>
  <c r="D1427" i="1"/>
  <c r="F1427" i="1"/>
  <c r="H1427" i="1"/>
  <c r="I1427" i="1"/>
  <c r="L1427" i="1"/>
  <c r="M1427" i="1"/>
  <c r="V1427" i="1"/>
  <c r="W1427" i="1"/>
  <c r="A1914" i="1"/>
  <c r="D1914" i="1"/>
  <c r="F1914" i="1"/>
  <c r="H1914" i="1"/>
  <c r="I1914" i="1"/>
  <c r="L1914" i="1"/>
  <c r="M1914" i="1"/>
  <c r="V1914" i="1"/>
  <c r="W1914" i="1"/>
  <c r="A4611" i="1"/>
  <c r="D4611" i="1"/>
  <c r="F4611" i="1"/>
  <c r="H4611" i="1"/>
  <c r="I4611" i="1"/>
  <c r="L4611" i="1"/>
  <c r="M4611" i="1"/>
  <c r="V4611" i="1"/>
  <c r="W4611" i="1"/>
  <c r="A4178" i="1"/>
  <c r="D4178" i="1"/>
  <c r="F4178" i="1"/>
  <c r="H4178" i="1"/>
  <c r="I4178" i="1"/>
  <c r="L4178" i="1"/>
  <c r="M4178" i="1"/>
  <c r="V4178" i="1"/>
  <c r="W4178" i="1"/>
  <c r="A4319" i="1"/>
  <c r="D4319" i="1"/>
  <c r="F4319" i="1"/>
  <c r="H4319" i="1"/>
  <c r="I4319" i="1"/>
  <c r="L4319" i="1"/>
  <c r="M4319" i="1"/>
  <c r="V4319" i="1"/>
  <c r="W4319" i="1"/>
  <c r="A3794" i="1"/>
  <c r="D3794" i="1"/>
  <c r="F3794" i="1"/>
  <c r="H3794" i="1"/>
  <c r="I3794" i="1"/>
  <c r="L3794" i="1"/>
  <c r="M3794" i="1"/>
  <c r="V3794" i="1"/>
  <c r="W3794" i="1"/>
  <c r="A3475" i="1"/>
  <c r="D3475" i="1"/>
  <c r="F3475" i="1"/>
  <c r="H3475" i="1"/>
  <c r="I3475" i="1"/>
  <c r="L3475" i="1"/>
  <c r="M3475" i="1"/>
  <c r="V3475" i="1"/>
  <c r="W3475" i="1"/>
  <c r="A3537" i="1"/>
  <c r="D3537" i="1"/>
  <c r="F3537" i="1"/>
  <c r="H3537" i="1"/>
  <c r="I3537" i="1"/>
  <c r="L3537" i="1"/>
  <c r="M3537" i="1"/>
  <c r="V3537" i="1"/>
  <c r="W3537" i="1"/>
  <c r="A106" i="1"/>
  <c r="D106" i="1"/>
  <c r="F106" i="1"/>
  <c r="H106" i="1"/>
  <c r="I106" i="1"/>
  <c r="L106" i="1"/>
  <c r="M106" i="1"/>
  <c r="V106" i="1"/>
  <c r="W106" i="1"/>
  <c r="A926" i="1"/>
  <c r="D926" i="1"/>
  <c r="F926" i="1"/>
  <c r="H926" i="1"/>
  <c r="I926" i="1"/>
  <c r="L926" i="1"/>
  <c r="M926" i="1"/>
  <c r="V926" i="1"/>
  <c r="W926" i="1"/>
  <c r="A911" i="1"/>
  <c r="D911" i="1"/>
  <c r="F911" i="1"/>
  <c r="H911" i="1"/>
  <c r="I911" i="1"/>
  <c r="L911" i="1"/>
  <c r="M911" i="1"/>
  <c r="V911" i="1"/>
  <c r="W911" i="1"/>
  <c r="A1555" i="1"/>
  <c r="D1555" i="1"/>
  <c r="F1555" i="1"/>
  <c r="H1555" i="1"/>
  <c r="I1555" i="1"/>
  <c r="L1555" i="1"/>
  <c r="M1555" i="1"/>
  <c r="V1555" i="1"/>
  <c r="W1555" i="1"/>
  <c r="A1718" i="1"/>
  <c r="D1718" i="1"/>
  <c r="F1718" i="1"/>
  <c r="H1718" i="1"/>
  <c r="I1718" i="1"/>
  <c r="L1718" i="1"/>
  <c r="M1718" i="1"/>
  <c r="V1718" i="1"/>
  <c r="W1718" i="1"/>
  <c r="A3618" i="1"/>
  <c r="D3618" i="1"/>
  <c r="F3618" i="1"/>
  <c r="H3618" i="1"/>
  <c r="I3618" i="1"/>
  <c r="L3618" i="1"/>
  <c r="M3618" i="1"/>
  <c r="V3618" i="1"/>
  <c r="W3618" i="1"/>
  <c r="A3871" i="1"/>
  <c r="D3871" i="1"/>
  <c r="F3871" i="1"/>
  <c r="H3871" i="1"/>
  <c r="I3871" i="1"/>
  <c r="L3871" i="1"/>
  <c r="M3871" i="1"/>
  <c r="V3871" i="1"/>
  <c r="W3871" i="1"/>
  <c r="A3880" i="1"/>
  <c r="D3880" i="1"/>
  <c r="F3880" i="1"/>
  <c r="H3880" i="1"/>
  <c r="I3880" i="1"/>
  <c r="L3880" i="1"/>
  <c r="M3880" i="1"/>
  <c r="V3880" i="1"/>
  <c r="W3880" i="1"/>
  <c r="A3099" i="1"/>
  <c r="D3099" i="1"/>
  <c r="F3099" i="1"/>
  <c r="H3099" i="1"/>
  <c r="I3099" i="1"/>
  <c r="L3099" i="1"/>
  <c r="M3099" i="1"/>
  <c r="V3099" i="1"/>
  <c r="W3099" i="1"/>
  <c r="A3141" i="1"/>
  <c r="D3141" i="1"/>
  <c r="F3141" i="1"/>
  <c r="H3141" i="1"/>
  <c r="I3141" i="1"/>
  <c r="L3141" i="1"/>
  <c r="M3141" i="1"/>
  <c r="V3141" i="1"/>
  <c r="W3141" i="1"/>
  <c r="A3623" i="1"/>
  <c r="D3623" i="1"/>
  <c r="F3623" i="1"/>
  <c r="H3623" i="1"/>
  <c r="I3623" i="1"/>
  <c r="L3623" i="1"/>
  <c r="M3623" i="1"/>
  <c r="V3623" i="1"/>
  <c r="W3623" i="1"/>
  <c r="A3870" i="1"/>
  <c r="D3870" i="1"/>
  <c r="F3870" i="1"/>
  <c r="H3870" i="1"/>
  <c r="I3870" i="1"/>
  <c r="L3870" i="1"/>
  <c r="M3870" i="1"/>
  <c r="V3870" i="1"/>
  <c r="W3870" i="1"/>
  <c r="A3879" i="1"/>
  <c r="D3879" i="1"/>
  <c r="F3879" i="1"/>
  <c r="H3879" i="1"/>
  <c r="I3879" i="1"/>
  <c r="L3879" i="1"/>
  <c r="M3879" i="1"/>
  <c r="V3879" i="1"/>
  <c r="W3879" i="1"/>
  <c r="A1085" i="1"/>
  <c r="D1085" i="1"/>
  <c r="F1085" i="1"/>
  <c r="H1085" i="1"/>
  <c r="I1085" i="1"/>
  <c r="L1085" i="1"/>
  <c r="M1085" i="1"/>
  <c r="V1085" i="1"/>
  <c r="W1085" i="1"/>
  <c r="A1705" i="1"/>
  <c r="D1705" i="1"/>
  <c r="F1705" i="1"/>
  <c r="H1705" i="1"/>
  <c r="I1705" i="1"/>
  <c r="L1705" i="1"/>
  <c r="M1705" i="1"/>
  <c r="V1705" i="1"/>
  <c r="W1705" i="1"/>
  <c r="A3223" i="1"/>
  <c r="D3223" i="1"/>
  <c r="F3223" i="1"/>
  <c r="H3223" i="1"/>
  <c r="I3223" i="1"/>
  <c r="L3223" i="1"/>
  <c r="M3223" i="1"/>
  <c r="V3223" i="1"/>
  <c r="W3223" i="1"/>
  <c r="A3308" i="1"/>
  <c r="D3308" i="1"/>
  <c r="F3308" i="1"/>
  <c r="H3308" i="1"/>
  <c r="I3308" i="1"/>
  <c r="L3308" i="1"/>
  <c r="M3308" i="1"/>
  <c r="V3308" i="1"/>
  <c r="W3308" i="1"/>
  <c r="A3558" i="1"/>
  <c r="D3558" i="1"/>
  <c r="F3558" i="1"/>
  <c r="H3558" i="1"/>
  <c r="I3558" i="1"/>
  <c r="L3558" i="1"/>
  <c r="M3558" i="1"/>
  <c r="V3558" i="1"/>
  <c r="W3558" i="1"/>
  <c r="A2017" i="1"/>
  <c r="D2017" i="1"/>
  <c r="F2017" i="1"/>
  <c r="H2017" i="1"/>
  <c r="I2017" i="1"/>
  <c r="L2017" i="1"/>
  <c r="M2017" i="1"/>
  <c r="V2017" i="1"/>
  <c r="W2017" i="1"/>
  <c r="A2176" i="1"/>
  <c r="D2176" i="1"/>
  <c r="F2176" i="1"/>
  <c r="H2176" i="1"/>
  <c r="I2176" i="1"/>
  <c r="L2176" i="1"/>
  <c r="M2176" i="1"/>
  <c r="V2176" i="1"/>
  <c r="W2176" i="1"/>
  <c r="A2177" i="1"/>
  <c r="D2177" i="1"/>
  <c r="F2177" i="1"/>
  <c r="H2177" i="1"/>
  <c r="I2177" i="1"/>
  <c r="L2177" i="1"/>
  <c r="M2177" i="1"/>
  <c r="V2177" i="1"/>
  <c r="W2177" i="1"/>
  <c r="A5935" i="1"/>
  <c r="D5935" i="1"/>
  <c r="F5935" i="1"/>
  <c r="H5935" i="1"/>
  <c r="I5935" i="1"/>
  <c r="L5935" i="1"/>
  <c r="M5935" i="1"/>
  <c r="V5935" i="1"/>
  <c r="W5935" i="1"/>
  <c r="A3195" i="1"/>
  <c r="D3195" i="1"/>
  <c r="F3195" i="1"/>
  <c r="H3195" i="1"/>
  <c r="I3195" i="1"/>
  <c r="L3195" i="1"/>
  <c r="M3195" i="1"/>
  <c r="V3195" i="1"/>
  <c r="W3195" i="1"/>
  <c r="A3791" i="1"/>
  <c r="D3791" i="1"/>
  <c r="F3791" i="1"/>
  <c r="H3791" i="1"/>
  <c r="I3791" i="1"/>
  <c r="L3791" i="1"/>
  <c r="M3791" i="1"/>
  <c r="V3791" i="1"/>
  <c r="W3791" i="1"/>
  <c r="A2652" i="1"/>
  <c r="D2652" i="1"/>
  <c r="F2652" i="1"/>
  <c r="H2652" i="1"/>
  <c r="I2652" i="1"/>
  <c r="L2652" i="1"/>
  <c r="M2652" i="1"/>
  <c r="V2652" i="1"/>
  <c r="W2652" i="1"/>
  <c r="A3662" i="1"/>
  <c r="D3662" i="1"/>
  <c r="F3662" i="1"/>
  <c r="H3662" i="1"/>
  <c r="I3662" i="1"/>
  <c r="L3662" i="1"/>
  <c r="M3662" i="1"/>
  <c r="V3662" i="1"/>
  <c r="W3662" i="1"/>
  <c r="A5845" i="1"/>
  <c r="D5845" i="1"/>
  <c r="F5845" i="1"/>
  <c r="H5845" i="1"/>
  <c r="I5845" i="1"/>
  <c r="L5845" i="1"/>
  <c r="M5845" i="1"/>
  <c r="V5845" i="1"/>
  <c r="W5845" i="1"/>
  <c r="A5846" i="1"/>
  <c r="D5846" i="1"/>
  <c r="F5846" i="1"/>
  <c r="H5846" i="1"/>
  <c r="I5846" i="1"/>
  <c r="L5846" i="1"/>
  <c r="M5846" i="1"/>
  <c r="V5846" i="1"/>
  <c r="W5846" i="1"/>
  <c r="A5753" i="1"/>
  <c r="D5753" i="1"/>
  <c r="F5753" i="1"/>
  <c r="H5753" i="1"/>
  <c r="I5753" i="1"/>
  <c r="L5753" i="1"/>
  <c r="M5753" i="1"/>
  <c r="V5753" i="1"/>
  <c r="W5753" i="1"/>
  <c r="A5227" i="1"/>
  <c r="D5227" i="1"/>
  <c r="F5227" i="1"/>
  <c r="H5227" i="1"/>
  <c r="I5227" i="1"/>
  <c r="L5227" i="1"/>
  <c r="M5227" i="1"/>
  <c r="V5227" i="1"/>
  <c r="W5227" i="1"/>
  <c r="A2816" i="1"/>
  <c r="D2816" i="1"/>
  <c r="F2816" i="1"/>
  <c r="H2816" i="1"/>
  <c r="I2816" i="1"/>
  <c r="L2816" i="1"/>
  <c r="M2816" i="1"/>
  <c r="V2816" i="1"/>
  <c r="W2816" i="1"/>
  <c r="A1951" i="1"/>
  <c r="D1951" i="1"/>
  <c r="F1951" i="1"/>
  <c r="H1951" i="1"/>
  <c r="I1951" i="1"/>
  <c r="L1951" i="1"/>
  <c r="M1951" i="1"/>
  <c r="V1951" i="1"/>
  <c r="W1951" i="1"/>
  <c r="A749" i="1"/>
  <c r="D749" i="1"/>
  <c r="F749" i="1"/>
  <c r="H749" i="1"/>
  <c r="I749" i="1"/>
  <c r="L749" i="1"/>
  <c r="M749" i="1"/>
  <c r="V749" i="1"/>
  <c r="W749" i="1"/>
  <c r="A864" i="1"/>
  <c r="D864" i="1"/>
  <c r="F864" i="1"/>
  <c r="H864" i="1"/>
  <c r="I864" i="1"/>
  <c r="L864" i="1"/>
  <c r="M864" i="1"/>
  <c r="V864" i="1"/>
  <c r="W864" i="1"/>
  <c r="A949" i="1"/>
  <c r="D949" i="1"/>
  <c r="F949" i="1"/>
  <c r="H949" i="1"/>
  <c r="I949" i="1"/>
  <c r="L949" i="1"/>
  <c r="M949" i="1"/>
  <c r="V949" i="1"/>
  <c r="W949" i="1"/>
  <c r="A3900" i="1"/>
  <c r="D3900" i="1"/>
  <c r="F3900" i="1"/>
  <c r="H3900" i="1"/>
  <c r="I3900" i="1"/>
  <c r="L3900" i="1"/>
  <c r="M3900" i="1"/>
  <c r="V3900" i="1"/>
  <c r="W3900" i="1"/>
  <c r="A2869" i="1"/>
  <c r="D2869" i="1"/>
  <c r="F2869" i="1"/>
  <c r="H2869" i="1"/>
  <c r="I2869" i="1"/>
  <c r="L2869" i="1"/>
  <c r="M2869" i="1"/>
  <c r="V2869" i="1"/>
  <c r="W2869" i="1"/>
  <c r="A44" i="1"/>
  <c r="D44" i="1"/>
  <c r="F44" i="1"/>
  <c r="H44" i="1"/>
  <c r="I44" i="1"/>
  <c r="L44" i="1"/>
  <c r="M44" i="1"/>
  <c r="V44" i="1"/>
  <c r="W44" i="1"/>
  <c r="A3089" i="1"/>
  <c r="D3089" i="1"/>
  <c r="F3089" i="1"/>
  <c r="H3089" i="1"/>
  <c r="I3089" i="1"/>
  <c r="L3089" i="1"/>
  <c r="M3089" i="1"/>
  <c r="V3089" i="1"/>
  <c r="W3089" i="1"/>
  <c r="A3157" i="1"/>
  <c r="D3157" i="1"/>
  <c r="F3157" i="1"/>
  <c r="H3157" i="1"/>
  <c r="I3157" i="1"/>
  <c r="L3157" i="1"/>
  <c r="M3157" i="1"/>
  <c r="V3157" i="1"/>
  <c r="W3157" i="1"/>
  <c r="A3113" i="1"/>
  <c r="D3113" i="1"/>
  <c r="F3113" i="1"/>
  <c r="H3113" i="1"/>
  <c r="I3113" i="1"/>
  <c r="L3113" i="1"/>
  <c r="M3113" i="1"/>
  <c r="V3113" i="1"/>
  <c r="W3113" i="1"/>
  <c r="A3127" i="1"/>
  <c r="D3127" i="1"/>
  <c r="F3127" i="1"/>
  <c r="H3127" i="1"/>
  <c r="I3127" i="1"/>
  <c r="L3127" i="1"/>
  <c r="M3127" i="1"/>
  <c r="V3127" i="1"/>
  <c r="W3127" i="1"/>
  <c r="A5023" i="1"/>
  <c r="D5023" i="1"/>
  <c r="F5023" i="1"/>
  <c r="H5023" i="1"/>
  <c r="I5023" i="1"/>
  <c r="L5023" i="1"/>
  <c r="M5023" i="1"/>
  <c r="V5023" i="1"/>
  <c r="W5023" i="1"/>
  <c r="A5396" i="1"/>
  <c r="D5396" i="1"/>
  <c r="F5396" i="1"/>
  <c r="H5396" i="1"/>
  <c r="I5396" i="1"/>
  <c r="L5396" i="1"/>
  <c r="M5396" i="1"/>
  <c r="V5396" i="1"/>
  <c r="W5396" i="1"/>
  <c r="A1961" i="1"/>
  <c r="D1961" i="1"/>
  <c r="F1961" i="1"/>
  <c r="H1961" i="1"/>
  <c r="I1961" i="1"/>
  <c r="L1961" i="1"/>
  <c r="M1961" i="1"/>
  <c r="V1961" i="1"/>
  <c r="W1961" i="1"/>
  <c r="A2485" i="1"/>
  <c r="D2485" i="1"/>
  <c r="F2485" i="1"/>
  <c r="H2485" i="1"/>
  <c r="I2485" i="1"/>
  <c r="L2485" i="1"/>
  <c r="M2485" i="1"/>
  <c r="V2485" i="1"/>
  <c r="W2485" i="1"/>
  <c r="A2539" i="1"/>
  <c r="D2539" i="1"/>
  <c r="F2539" i="1"/>
  <c r="H2539" i="1"/>
  <c r="I2539" i="1"/>
  <c r="L2539" i="1"/>
  <c r="M2539" i="1"/>
  <c r="V2539" i="1"/>
  <c r="W2539" i="1"/>
  <c r="A1306" i="1"/>
  <c r="D1306" i="1"/>
  <c r="F1306" i="1"/>
  <c r="H1306" i="1"/>
  <c r="I1306" i="1"/>
  <c r="L1306" i="1"/>
  <c r="M1306" i="1"/>
  <c r="V1306" i="1"/>
  <c r="W1306" i="1"/>
  <c r="A1894" i="1"/>
  <c r="D1894" i="1"/>
  <c r="F1894" i="1"/>
  <c r="H1894" i="1"/>
  <c r="I1894" i="1"/>
  <c r="L1894" i="1"/>
  <c r="M1894" i="1"/>
  <c r="V1894" i="1"/>
  <c r="W1894" i="1"/>
  <c r="A4291" i="1"/>
  <c r="D4291" i="1"/>
  <c r="F4291" i="1"/>
  <c r="H4291" i="1"/>
  <c r="I4291" i="1"/>
  <c r="L4291" i="1"/>
  <c r="M4291" i="1"/>
  <c r="V4291" i="1"/>
  <c r="W4291" i="1"/>
  <c r="A2423" i="1"/>
  <c r="D2423" i="1"/>
  <c r="F2423" i="1"/>
  <c r="H2423" i="1"/>
  <c r="I2423" i="1"/>
  <c r="L2423" i="1"/>
  <c r="M2423" i="1"/>
  <c r="V2423" i="1"/>
  <c r="W2423" i="1"/>
  <c r="A2438" i="1"/>
  <c r="D2438" i="1"/>
  <c r="F2438" i="1"/>
  <c r="H2438" i="1"/>
  <c r="I2438" i="1"/>
  <c r="L2438" i="1"/>
  <c r="M2438" i="1"/>
  <c r="V2438" i="1"/>
  <c r="W2438" i="1"/>
  <c r="A4523" i="1"/>
  <c r="D4523" i="1"/>
  <c r="F4523" i="1"/>
  <c r="H4523" i="1"/>
  <c r="I4523" i="1"/>
  <c r="L4523" i="1"/>
  <c r="M4523" i="1"/>
  <c r="V4523" i="1"/>
  <c r="W4523" i="1"/>
  <c r="A1497" i="1"/>
  <c r="D1497" i="1"/>
  <c r="F1497" i="1"/>
  <c r="H1497" i="1"/>
  <c r="I1497" i="1"/>
  <c r="L1497" i="1"/>
  <c r="M1497" i="1"/>
  <c r="V1497" i="1"/>
  <c r="W1497" i="1"/>
  <c r="A2127" i="1"/>
  <c r="D2127" i="1"/>
  <c r="F2127" i="1"/>
  <c r="H2127" i="1"/>
  <c r="I2127" i="1"/>
  <c r="L2127" i="1"/>
  <c r="M2127" i="1"/>
  <c r="V2127" i="1"/>
  <c r="W2127" i="1"/>
  <c r="A565" i="1"/>
  <c r="D565" i="1"/>
  <c r="F565" i="1"/>
  <c r="H565" i="1"/>
  <c r="I565" i="1"/>
  <c r="L565" i="1"/>
  <c r="M565" i="1"/>
  <c r="V565" i="1"/>
  <c r="W565" i="1"/>
  <c r="A3932" i="1"/>
  <c r="D3932" i="1"/>
  <c r="F3932" i="1"/>
  <c r="H3932" i="1"/>
  <c r="I3932" i="1"/>
  <c r="L3932" i="1"/>
  <c r="M3932" i="1"/>
  <c r="V3932" i="1"/>
  <c r="W3932" i="1"/>
  <c r="A5555" i="1"/>
  <c r="D5555" i="1"/>
  <c r="F5555" i="1"/>
  <c r="H5555" i="1"/>
  <c r="I5555" i="1"/>
  <c r="L5555" i="1"/>
  <c r="M5555" i="1"/>
  <c r="V5555" i="1"/>
  <c r="W5555" i="1"/>
  <c r="A968" i="1"/>
  <c r="D968" i="1"/>
  <c r="F968" i="1"/>
  <c r="H968" i="1"/>
  <c r="I968" i="1"/>
  <c r="L968" i="1"/>
  <c r="M968" i="1"/>
  <c r="V968" i="1"/>
  <c r="W968" i="1"/>
  <c r="A5889" i="1"/>
  <c r="D5889" i="1"/>
  <c r="F5889" i="1"/>
  <c r="H5889" i="1"/>
  <c r="I5889" i="1"/>
  <c r="L5889" i="1"/>
  <c r="M5889" i="1"/>
  <c r="V5889" i="1"/>
  <c r="W5889" i="1"/>
  <c r="A6074" i="1"/>
  <c r="D6074" i="1"/>
  <c r="F6074" i="1"/>
  <c r="H6074" i="1"/>
  <c r="I6074" i="1"/>
  <c r="L6074" i="1"/>
  <c r="M6074" i="1"/>
  <c r="V6074" i="1"/>
  <c r="W6074" i="1"/>
  <c r="A89" i="1"/>
  <c r="D89" i="1"/>
  <c r="F89" i="1"/>
  <c r="H89" i="1"/>
  <c r="I89" i="1"/>
  <c r="L89" i="1"/>
  <c r="M89" i="1"/>
  <c r="V89" i="1"/>
  <c r="W89" i="1"/>
  <c r="A4136" i="1"/>
  <c r="D4136" i="1"/>
  <c r="F4136" i="1"/>
  <c r="H4136" i="1"/>
  <c r="I4136" i="1"/>
  <c r="L4136" i="1"/>
  <c r="M4136" i="1"/>
  <c r="V4136" i="1"/>
  <c r="W4136" i="1"/>
  <c r="A3614" i="1"/>
  <c r="D3614" i="1"/>
  <c r="F3614" i="1"/>
  <c r="H3614" i="1"/>
  <c r="I3614" i="1"/>
  <c r="L3614" i="1"/>
  <c r="M3614" i="1"/>
  <c r="V3614" i="1"/>
  <c r="W3614" i="1"/>
  <c r="A4723" i="1"/>
  <c r="D4723" i="1"/>
  <c r="F4723" i="1"/>
  <c r="H4723" i="1"/>
  <c r="I4723" i="1"/>
  <c r="L4723" i="1"/>
  <c r="M4723" i="1"/>
  <c r="V4723" i="1"/>
  <c r="W4723" i="1"/>
  <c r="A86" i="1"/>
  <c r="D86" i="1"/>
  <c r="F86" i="1"/>
  <c r="H86" i="1"/>
  <c r="I86" i="1"/>
  <c r="L86" i="1"/>
  <c r="M86" i="1"/>
  <c r="V86" i="1"/>
  <c r="W86" i="1"/>
  <c r="A1364" i="1"/>
  <c r="D1364" i="1"/>
  <c r="F1364" i="1"/>
  <c r="H1364" i="1"/>
  <c r="I1364" i="1"/>
  <c r="L1364" i="1"/>
  <c r="M1364" i="1"/>
  <c r="V1364" i="1"/>
  <c r="W1364" i="1"/>
  <c r="A11" i="1"/>
  <c r="D11" i="1"/>
  <c r="F11" i="1"/>
  <c r="H11" i="1"/>
  <c r="I11" i="1"/>
  <c r="L11" i="1"/>
  <c r="M11" i="1"/>
  <c r="V11" i="1"/>
  <c r="W11" i="1"/>
  <c r="A237" i="1"/>
  <c r="D237" i="1"/>
  <c r="F237" i="1"/>
  <c r="H237" i="1"/>
  <c r="I237" i="1"/>
  <c r="L237" i="1"/>
  <c r="M237" i="1"/>
  <c r="V237" i="1"/>
  <c r="W237" i="1"/>
  <c r="A303" i="1"/>
  <c r="D303" i="1"/>
  <c r="F303" i="1"/>
  <c r="H303" i="1"/>
  <c r="I303" i="1"/>
  <c r="L303" i="1"/>
  <c r="M303" i="1"/>
  <c r="V303" i="1"/>
  <c r="W303" i="1"/>
  <c r="A705" i="1"/>
  <c r="D705" i="1"/>
  <c r="F705" i="1"/>
  <c r="H705" i="1"/>
  <c r="I705" i="1"/>
  <c r="L705" i="1"/>
  <c r="M705" i="1"/>
  <c r="V705" i="1"/>
  <c r="W705" i="1"/>
  <c r="A925" i="1"/>
  <c r="D925" i="1"/>
  <c r="F925" i="1"/>
  <c r="H925" i="1"/>
  <c r="I925" i="1"/>
  <c r="L925" i="1"/>
  <c r="M925" i="1"/>
  <c r="V925" i="1"/>
  <c r="W925" i="1"/>
  <c r="A1032" i="1"/>
  <c r="D1032" i="1"/>
  <c r="F1032" i="1"/>
  <c r="H1032" i="1"/>
  <c r="I1032" i="1"/>
  <c r="L1032" i="1"/>
  <c r="M1032" i="1"/>
  <c r="V1032" i="1"/>
  <c r="W1032" i="1"/>
  <c r="A1071" i="1"/>
  <c r="D1071" i="1"/>
  <c r="F1071" i="1"/>
  <c r="H1071" i="1"/>
  <c r="I1071" i="1"/>
  <c r="L1071" i="1"/>
  <c r="M1071" i="1"/>
  <c r="V1071" i="1"/>
  <c r="W1071" i="1"/>
  <c r="A1284" i="1"/>
  <c r="D1284" i="1"/>
  <c r="F1284" i="1"/>
  <c r="H1284" i="1"/>
  <c r="I1284" i="1"/>
  <c r="L1284" i="1"/>
  <c r="M1284" i="1"/>
  <c r="V1284" i="1"/>
  <c r="W1284" i="1"/>
  <c r="A1346" i="1"/>
  <c r="D1346" i="1"/>
  <c r="F1346" i="1"/>
  <c r="H1346" i="1"/>
  <c r="I1346" i="1"/>
  <c r="L1346" i="1"/>
  <c r="M1346" i="1"/>
  <c r="V1346" i="1"/>
  <c r="W1346" i="1"/>
  <c r="A1593" i="1"/>
  <c r="D1593" i="1"/>
  <c r="F1593" i="1"/>
  <c r="H1593" i="1"/>
  <c r="I1593" i="1"/>
  <c r="L1593" i="1"/>
  <c r="M1593" i="1"/>
  <c r="V1593" i="1"/>
  <c r="W1593" i="1"/>
  <c r="A2666" i="1"/>
  <c r="D2666" i="1"/>
  <c r="F2666" i="1"/>
  <c r="H2666" i="1"/>
  <c r="I2666" i="1"/>
  <c r="L2666" i="1"/>
  <c r="M2666" i="1"/>
  <c r="V2666" i="1"/>
  <c r="W2666" i="1"/>
  <c r="A2747" i="1"/>
  <c r="D2747" i="1"/>
  <c r="F2747" i="1"/>
  <c r="H2747" i="1"/>
  <c r="I2747" i="1"/>
  <c r="L2747" i="1"/>
  <c r="M2747" i="1"/>
  <c r="V2747" i="1"/>
  <c r="W2747" i="1"/>
  <c r="A2812" i="1"/>
  <c r="D2812" i="1"/>
  <c r="F2812" i="1"/>
  <c r="H2812" i="1"/>
  <c r="I2812" i="1"/>
  <c r="L2812" i="1"/>
  <c r="M2812" i="1"/>
  <c r="V2812" i="1"/>
  <c r="W2812" i="1"/>
  <c r="A2828" i="1"/>
  <c r="D2828" i="1"/>
  <c r="F2828" i="1"/>
  <c r="H2828" i="1"/>
  <c r="I2828" i="1"/>
  <c r="L2828" i="1"/>
  <c r="M2828" i="1"/>
  <c r="V2828" i="1"/>
  <c r="W2828" i="1"/>
  <c r="A3007" i="1"/>
  <c r="D3007" i="1"/>
  <c r="F3007" i="1"/>
  <c r="H3007" i="1"/>
  <c r="I3007" i="1"/>
  <c r="L3007" i="1"/>
  <c r="M3007" i="1"/>
  <c r="V3007" i="1"/>
  <c r="W3007" i="1"/>
  <c r="A3216" i="1"/>
  <c r="D3216" i="1"/>
  <c r="F3216" i="1"/>
  <c r="H3216" i="1"/>
  <c r="I3216" i="1"/>
  <c r="L3216" i="1"/>
  <c r="M3216" i="1"/>
  <c r="V3216" i="1"/>
  <c r="W3216" i="1"/>
  <c r="A3350" i="1"/>
  <c r="D3350" i="1"/>
  <c r="F3350" i="1"/>
  <c r="H3350" i="1"/>
  <c r="I3350" i="1"/>
  <c r="L3350" i="1"/>
  <c r="M3350" i="1"/>
  <c r="V3350" i="1"/>
  <c r="W3350" i="1"/>
  <c r="A3509" i="1"/>
  <c r="D3509" i="1"/>
  <c r="F3509" i="1"/>
  <c r="H3509" i="1"/>
  <c r="I3509" i="1"/>
  <c r="L3509" i="1"/>
  <c r="M3509" i="1"/>
  <c r="V3509" i="1"/>
  <c r="W3509" i="1"/>
  <c r="A3844" i="1"/>
  <c r="D3844" i="1"/>
  <c r="F3844" i="1"/>
  <c r="H3844" i="1"/>
  <c r="I3844" i="1"/>
  <c r="L3844" i="1"/>
  <c r="M3844" i="1"/>
  <c r="V3844" i="1"/>
  <c r="W3844" i="1"/>
  <c r="A4462" i="1"/>
  <c r="D4462" i="1"/>
  <c r="F4462" i="1"/>
  <c r="H4462" i="1"/>
  <c r="I4462" i="1"/>
  <c r="L4462" i="1"/>
  <c r="M4462" i="1"/>
  <c r="V4462" i="1"/>
  <c r="W4462" i="1"/>
  <c r="A4583" i="1"/>
  <c r="D4583" i="1"/>
  <c r="F4583" i="1"/>
  <c r="H4583" i="1"/>
  <c r="I4583" i="1"/>
  <c r="L4583" i="1"/>
  <c r="M4583" i="1"/>
  <c r="V4583" i="1"/>
  <c r="W4583" i="1"/>
  <c r="A4662" i="1"/>
  <c r="D4662" i="1"/>
  <c r="F4662" i="1"/>
  <c r="H4662" i="1"/>
  <c r="I4662" i="1"/>
  <c r="L4662" i="1"/>
  <c r="M4662" i="1"/>
  <c r="V4662" i="1"/>
  <c r="W4662" i="1"/>
  <c r="A4707" i="1"/>
  <c r="D4707" i="1"/>
  <c r="F4707" i="1"/>
  <c r="H4707" i="1"/>
  <c r="I4707" i="1"/>
  <c r="L4707" i="1"/>
  <c r="M4707" i="1"/>
  <c r="V4707" i="1"/>
  <c r="W4707" i="1"/>
  <c r="A4864" i="1"/>
  <c r="D4864" i="1"/>
  <c r="F4864" i="1"/>
  <c r="H4864" i="1"/>
  <c r="I4864" i="1"/>
  <c r="L4864" i="1"/>
  <c r="M4864" i="1"/>
  <c r="V4864" i="1"/>
  <c r="W4864" i="1"/>
  <c r="A5041" i="1"/>
  <c r="D5041" i="1"/>
  <c r="F5041" i="1"/>
  <c r="H5041" i="1"/>
  <c r="I5041" i="1"/>
  <c r="L5041" i="1"/>
  <c r="M5041" i="1"/>
  <c r="V5041" i="1"/>
  <c r="W5041" i="1"/>
  <c r="A5440" i="1"/>
  <c r="D5440" i="1"/>
  <c r="F5440" i="1"/>
  <c r="H5440" i="1"/>
  <c r="I5440" i="1"/>
  <c r="L5440" i="1"/>
  <c r="M5440" i="1"/>
  <c r="V5440" i="1"/>
  <c r="W5440" i="1"/>
  <c r="A5481" i="1"/>
  <c r="D5481" i="1"/>
  <c r="F5481" i="1"/>
  <c r="H5481" i="1"/>
  <c r="I5481" i="1"/>
  <c r="L5481" i="1"/>
  <c r="M5481" i="1"/>
  <c r="V5481" i="1"/>
  <c r="W5481" i="1"/>
  <c r="A5648" i="1"/>
  <c r="D5648" i="1"/>
  <c r="F5648" i="1"/>
  <c r="H5648" i="1"/>
  <c r="I5648" i="1"/>
  <c r="L5648" i="1"/>
  <c r="M5648" i="1"/>
  <c r="V5648" i="1"/>
  <c r="W5648" i="1"/>
  <c r="A5690" i="1"/>
  <c r="D5690" i="1"/>
  <c r="F5690" i="1"/>
  <c r="H5690" i="1"/>
  <c r="I5690" i="1"/>
  <c r="L5690" i="1"/>
  <c r="M5690" i="1"/>
  <c r="V5690" i="1"/>
  <c r="W5690" i="1"/>
  <c r="A5737" i="1"/>
  <c r="D5737" i="1"/>
  <c r="F5737" i="1"/>
  <c r="H5737" i="1"/>
  <c r="I5737" i="1"/>
  <c r="L5737" i="1"/>
  <c r="M5737" i="1"/>
  <c r="V5737" i="1"/>
  <c r="W5737" i="1"/>
  <c r="A5804" i="1"/>
  <c r="D5804" i="1"/>
  <c r="F5804" i="1"/>
  <c r="H5804" i="1"/>
  <c r="I5804" i="1"/>
  <c r="L5804" i="1"/>
  <c r="M5804" i="1"/>
  <c r="V5804" i="1"/>
  <c r="W5804" i="1"/>
  <c r="A5865" i="1"/>
  <c r="D5865" i="1"/>
  <c r="F5865" i="1"/>
  <c r="H5865" i="1"/>
  <c r="I5865" i="1"/>
  <c r="L5865" i="1"/>
  <c r="M5865" i="1"/>
  <c r="V5865" i="1"/>
  <c r="W5865" i="1"/>
  <c r="A6014" i="1"/>
  <c r="D6014" i="1"/>
  <c r="F6014" i="1"/>
  <c r="H6014" i="1"/>
  <c r="I6014" i="1"/>
  <c r="L6014" i="1"/>
  <c r="M6014" i="1"/>
  <c r="V6014" i="1"/>
  <c r="W6014" i="1"/>
  <c r="A375" i="1"/>
  <c r="D375" i="1"/>
  <c r="F375" i="1"/>
  <c r="H375" i="1"/>
  <c r="I375" i="1"/>
  <c r="L375" i="1"/>
  <c r="M375" i="1"/>
  <c r="V375" i="1"/>
  <c r="W375" i="1"/>
  <c r="A3184" i="1"/>
  <c r="D3184" i="1"/>
  <c r="F3184" i="1"/>
  <c r="H3184" i="1"/>
  <c r="I3184" i="1"/>
  <c r="L3184" i="1"/>
  <c r="M3184" i="1"/>
  <c r="V3184" i="1"/>
  <c r="W3184" i="1"/>
  <c r="A3296" i="1"/>
  <c r="D3296" i="1"/>
  <c r="F3296" i="1"/>
  <c r="H3296" i="1"/>
  <c r="I3296" i="1"/>
  <c r="L3296" i="1"/>
  <c r="M3296" i="1"/>
  <c r="V3296" i="1"/>
  <c r="W3296" i="1"/>
  <c r="A1627" i="1"/>
  <c r="D1627" i="1"/>
  <c r="F1627" i="1"/>
  <c r="H1627" i="1"/>
  <c r="I1627" i="1"/>
  <c r="L1627" i="1"/>
  <c r="M1627" i="1"/>
  <c r="V1627" i="1"/>
  <c r="W1627" i="1"/>
  <c r="A2189" i="1"/>
  <c r="D2189" i="1"/>
  <c r="F2189" i="1"/>
  <c r="H2189" i="1"/>
  <c r="I2189" i="1"/>
  <c r="L2189" i="1"/>
  <c r="M2189" i="1"/>
  <c r="V2189" i="1"/>
  <c r="W2189" i="1"/>
  <c r="A1626" i="1"/>
  <c r="D1626" i="1"/>
  <c r="F1626" i="1"/>
  <c r="H1626" i="1"/>
  <c r="I1626" i="1"/>
  <c r="L1626" i="1"/>
  <c r="M1626" i="1"/>
  <c r="V1626" i="1"/>
  <c r="W1626" i="1"/>
  <c r="A2185" i="1"/>
  <c r="D2185" i="1"/>
  <c r="F2185" i="1"/>
  <c r="H2185" i="1"/>
  <c r="I2185" i="1"/>
  <c r="L2185" i="1"/>
  <c r="M2185" i="1"/>
  <c r="V2185" i="1"/>
  <c r="W2185" i="1"/>
  <c r="A4901" i="1"/>
  <c r="D4901" i="1"/>
  <c r="F4901" i="1"/>
  <c r="H4901" i="1"/>
  <c r="I4901" i="1"/>
  <c r="L4901" i="1"/>
  <c r="M4901" i="1"/>
  <c r="V4901" i="1"/>
  <c r="W4901" i="1"/>
  <c r="A141" i="1"/>
  <c r="D141" i="1"/>
  <c r="F141" i="1"/>
  <c r="H141" i="1"/>
  <c r="I141" i="1"/>
  <c r="L141" i="1"/>
  <c r="M141" i="1"/>
  <c r="V141" i="1"/>
  <c r="W141" i="1"/>
  <c r="A381" i="1"/>
  <c r="D381" i="1"/>
  <c r="F381" i="1"/>
  <c r="H381" i="1"/>
  <c r="I381" i="1"/>
  <c r="L381" i="1"/>
  <c r="M381" i="1"/>
  <c r="V381" i="1"/>
  <c r="W381" i="1"/>
  <c r="A1208" i="1"/>
  <c r="D1208" i="1"/>
  <c r="F1208" i="1"/>
  <c r="H1208" i="1"/>
  <c r="I1208" i="1"/>
  <c r="L1208" i="1"/>
  <c r="M1208" i="1"/>
  <c r="V1208" i="1"/>
  <c r="W1208" i="1"/>
  <c r="A2704" i="1"/>
  <c r="D2704" i="1"/>
  <c r="F2704" i="1"/>
  <c r="H2704" i="1"/>
  <c r="I2704" i="1"/>
  <c r="L2704" i="1"/>
  <c r="M2704" i="1"/>
  <c r="V2704" i="1"/>
  <c r="W2704" i="1"/>
  <c r="A2947" i="1"/>
  <c r="D2947" i="1"/>
  <c r="F2947" i="1"/>
  <c r="H2947" i="1"/>
  <c r="I2947" i="1"/>
  <c r="L2947" i="1"/>
  <c r="M2947" i="1"/>
  <c r="V2947" i="1"/>
  <c r="W2947" i="1"/>
  <c r="A4547" i="1"/>
  <c r="D4547" i="1"/>
  <c r="F4547" i="1"/>
  <c r="H4547" i="1"/>
  <c r="I4547" i="1"/>
  <c r="L4547" i="1"/>
  <c r="M4547" i="1"/>
  <c r="V4547" i="1"/>
  <c r="W4547" i="1"/>
  <c r="A4811" i="1"/>
  <c r="D4811" i="1"/>
  <c r="F4811" i="1"/>
  <c r="H4811" i="1"/>
  <c r="I4811" i="1"/>
  <c r="L4811" i="1"/>
  <c r="M4811" i="1"/>
  <c r="V4811" i="1"/>
  <c r="W4811" i="1"/>
  <c r="A4969" i="1"/>
  <c r="D4969" i="1"/>
  <c r="F4969" i="1"/>
  <c r="H4969" i="1"/>
  <c r="I4969" i="1"/>
  <c r="L4969" i="1"/>
  <c r="M4969" i="1"/>
  <c r="V4969" i="1"/>
  <c r="W4969" i="1"/>
  <c r="A5457" i="1"/>
  <c r="D5457" i="1"/>
  <c r="F5457" i="1"/>
  <c r="H5457" i="1"/>
  <c r="I5457" i="1"/>
  <c r="L5457" i="1"/>
  <c r="M5457" i="1"/>
  <c r="V5457" i="1"/>
  <c r="W5457" i="1"/>
  <c r="A5626" i="1"/>
  <c r="D5626" i="1"/>
  <c r="F5626" i="1"/>
  <c r="H5626" i="1"/>
  <c r="I5626" i="1"/>
  <c r="L5626" i="1"/>
  <c r="M5626" i="1"/>
  <c r="V5626" i="1"/>
  <c r="W5626" i="1"/>
  <c r="A5816" i="1"/>
  <c r="D5816" i="1"/>
  <c r="F5816" i="1"/>
  <c r="H5816" i="1"/>
  <c r="I5816" i="1"/>
  <c r="L5816" i="1"/>
  <c r="M5816" i="1"/>
  <c r="V5816" i="1"/>
  <c r="W5816" i="1"/>
  <c r="A5957" i="1"/>
  <c r="D5957" i="1"/>
  <c r="F5957" i="1"/>
  <c r="H5957" i="1"/>
  <c r="I5957" i="1"/>
  <c r="L5957" i="1"/>
  <c r="M5957" i="1"/>
  <c r="V5957" i="1"/>
  <c r="W5957" i="1"/>
  <c r="A6191" i="1"/>
  <c r="D6191" i="1"/>
  <c r="F6191" i="1"/>
  <c r="H6191" i="1"/>
  <c r="I6191" i="1"/>
  <c r="L6191" i="1"/>
  <c r="M6191" i="1"/>
  <c r="V6191" i="1"/>
  <c r="W6191" i="1"/>
  <c r="A4205" i="1"/>
  <c r="D4205" i="1"/>
  <c r="F4205" i="1"/>
  <c r="H4205" i="1"/>
  <c r="I4205" i="1"/>
  <c r="L4205" i="1"/>
  <c r="M4205" i="1"/>
  <c r="V4205" i="1"/>
  <c r="W4205" i="1"/>
  <c r="A4837" i="1"/>
  <c r="D4837" i="1"/>
  <c r="F4837" i="1"/>
  <c r="H4837" i="1"/>
  <c r="I4837" i="1"/>
  <c r="L4837" i="1"/>
  <c r="M4837" i="1"/>
  <c r="V4837" i="1"/>
  <c r="W4837" i="1"/>
  <c r="A1625" i="1"/>
  <c r="D1625" i="1"/>
  <c r="F1625" i="1"/>
  <c r="H1625" i="1"/>
  <c r="I1625" i="1"/>
  <c r="L1625" i="1"/>
  <c r="M1625" i="1"/>
  <c r="V1625" i="1"/>
  <c r="W1625" i="1"/>
  <c r="A2188" i="1"/>
  <c r="D2188" i="1"/>
  <c r="F2188" i="1"/>
  <c r="H2188" i="1"/>
  <c r="I2188" i="1"/>
  <c r="L2188" i="1"/>
  <c r="M2188" i="1"/>
  <c r="V2188" i="1"/>
  <c r="W2188" i="1"/>
  <c r="A1745" i="1"/>
  <c r="D1745" i="1"/>
  <c r="F1745" i="1"/>
  <c r="H1745" i="1"/>
  <c r="I1745" i="1"/>
  <c r="L1745" i="1"/>
  <c r="M1745" i="1"/>
  <c r="V1745" i="1"/>
  <c r="W1745" i="1"/>
  <c r="A2109" i="1"/>
  <c r="D2109" i="1"/>
  <c r="F2109" i="1"/>
  <c r="H2109" i="1"/>
  <c r="I2109" i="1"/>
  <c r="L2109" i="1"/>
  <c r="M2109" i="1"/>
  <c r="V2109" i="1"/>
  <c r="W2109" i="1"/>
  <c r="A2031" i="1"/>
  <c r="D2031" i="1"/>
  <c r="F2031" i="1"/>
  <c r="H2031" i="1"/>
  <c r="I2031" i="1"/>
  <c r="L2031" i="1"/>
  <c r="M2031" i="1"/>
  <c r="V2031" i="1"/>
  <c r="W2031" i="1"/>
  <c r="A1058" i="1"/>
  <c r="D1058" i="1"/>
  <c r="F1058" i="1"/>
  <c r="H1058" i="1"/>
  <c r="I1058" i="1"/>
  <c r="L1058" i="1"/>
  <c r="M1058" i="1"/>
  <c r="V1058" i="1"/>
  <c r="W1058" i="1"/>
  <c r="A1031" i="1"/>
  <c r="D1031" i="1"/>
  <c r="F1031" i="1"/>
  <c r="H1031" i="1"/>
  <c r="I1031" i="1"/>
  <c r="L1031" i="1"/>
  <c r="M1031" i="1"/>
  <c r="V1031" i="1"/>
  <c r="W1031" i="1"/>
  <c r="A1185" i="1"/>
  <c r="D1185" i="1"/>
  <c r="F1185" i="1"/>
  <c r="H1185" i="1"/>
  <c r="I1185" i="1"/>
  <c r="L1185" i="1"/>
  <c r="M1185" i="1"/>
  <c r="V1185" i="1"/>
  <c r="W1185" i="1"/>
  <c r="A3956" i="1"/>
  <c r="D3956" i="1"/>
  <c r="F3956" i="1"/>
  <c r="H3956" i="1"/>
  <c r="I3956" i="1"/>
  <c r="L3956" i="1"/>
  <c r="M3956" i="1"/>
  <c r="V3956" i="1"/>
  <c r="W3956" i="1"/>
  <c r="A1350" i="1"/>
  <c r="D1350" i="1"/>
  <c r="F1350" i="1"/>
  <c r="H1350" i="1"/>
  <c r="I1350" i="1"/>
  <c r="L1350" i="1"/>
  <c r="M1350" i="1"/>
  <c r="V1350" i="1"/>
  <c r="W1350" i="1"/>
  <c r="A606" i="1"/>
  <c r="D606" i="1"/>
  <c r="F606" i="1"/>
  <c r="H606" i="1"/>
  <c r="I606" i="1"/>
  <c r="L606" i="1"/>
  <c r="M606" i="1"/>
  <c r="V606" i="1"/>
  <c r="W606" i="1"/>
  <c r="A4207" i="1"/>
  <c r="D4207" i="1"/>
  <c r="F4207" i="1"/>
  <c r="H4207" i="1"/>
  <c r="I4207" i="1"/>
  <c r="L4207" i="1"/>
  <c r="M4207" i="1"/>
  <c r="V4207" i="1"/>
  <c r="W4207" i="1"/>
  <c r="A4836" i="1"/>
  <c r="D4836" i="1"/>
  <c r="F4836" i="1"/>
  <c r="H4836" i="1"/>
  <c r="I4836" i="1"/>
  <c r="L4836" i="1"/>
  <c r="M4836" i="1"/>
  <c r="V4836" i="1"/>
  <c r="W4836" i="1"/>
  <c r="A3824" i="1"/>
  <c r="D3824" i="1"/>
  <c r="F3824" i="1"/>
  <c r="H3824" i="1"/>
  <c r="I3824" i="1"/>
  <c r="L3824" i="1"/>
  <c r="M3824" i="1"/>
  <c r="V3824" i="1"/>
  <c r="W3824" i="1"/>
  <c r="A3978" i="1"/>
  <c r="D3978" i="1"/>
  <c r="F3978" i="1"/>
  <c r="H3978" i="1"/>
  <c r="I3978" i="1"/>
  <c r="L3978" i="1"/>
  <c r="M3978" i="1"/>
  <c r="V3978" i="1"/>
  <c r="W3978" i="1"/>
  <c r="A3980" i="1"/>
  <c r="D3980" i="1"/>
  <c r="F3980" i="1"/>
  <c r="H3980" i="1"/>
  <c r="I3980" i="1"/>
  <c r="L3980" i="1"/>
  <c r="M3980" i="1"/>
  <c r="V3980" i="1"/>
  <c r="W3980" i="1"/>
  <c r="A4162" i="1"/>
  <c r="D4162" i="1"/>
  <c r="F4162" i="1"/>
  <c r="H4162" i="1"/>
  <c r="I4162" i="1"/>
  <c r="L4162" i="1"/>
  <c r="M4162" i="1"/>
  <c r="V4162" i="1"/>
  <c r="W4162" i="1"/>
  <c r="A1624" i="1"/>
  <c r="D1624" i="1"/>
  <c r="F1624" i="1"/>
  <c r="H1624" i="1"/>
  <c r="I1624" i="1"/>
  <c r="L1624" i="1"/>
  <c r="M1624" i="1"/>
  <c r="V1624" i="1"/>
  <c r="W1624" i="1"/>
  <c r="A2186" i="1"/>
  <c r="D2186" i="1"/>
  <c r="F2186" i="1"/>
  <c r="H2186" i="1"/>
  <c r="I2186" i="1"/>
  <c r="L2186" i="1"/>
  <c r="M2186" i="1"/>
  <c r="V2186" i="1"/>
  <c r="W2186" i="1"/>
  <c r="A2605" i="1"/>
  <c r="D2605" i="1"/>
  <c r="F2605" i="1"/>
  <c r="H2605" i="1"/>
  <c r="I2605" i="1"/>
  <c r="L2605" i="1"/>
  <c r="M2605" i="1"/>
  <c r="V2605" i="1"/>
  <c r="W2605" i="1"/>
  <c r="A634" i="1"/>
  <c r="D634" i="1"/>
  <c r="F634" i="1"/>
  <c r="H634" i="1"/>
  <c r="I634" i="1"/>
  <c r="L634" i="1"/>
  <c r="M634" i="1"/>
  <c r="V634" i="1"/>
  <c r="W634" i="1"/>
  <c r="A2136" i="1"/>
  <c r="D2136" i="1"/>
  <c r="F2136" i="1"/>
  <c r="H2136" i="1"/>
  <c r="I2136" i="1"/>
  <c r="L2136" i="1"/>
  <c r="M2136" i="1"/>
  <c r="V2136" i="1"/>
  <c r="W2136" i="1"/>
  <c r="A2421" i="1"/>
  <c r="D2421" i="1"/>
  <c r="F2421" i="1"/>
  <c r="H2421" i="1"/>
  <c r="I2421" i="1"/>
  <c r="L2421" i="1"/>
  <c r="M2421" i="1"/>
  <c r="V2421" i="1"/>
  <c r="W2421" i="1"/>
  <c r="A4206" i="1"/>
  <c r="D4206" i="1"/>
  <c r="F4206" i="1"/>
  <c r="H4206" i="1"/>
  <c r="I4206" i="1"/>
  <c r="L4206" i="1"/>
  <c r="M4206" i="1"/>
  <c r="V4206" i="1"/>
  <c r="W4206" i="1"/>
  <c r="A4838" i="1"/>
  <c r="D4838" i="1"/>
  <c r="F4838" i="1"/>
  <c r="H4838" i="1"/>
  <c r="I4838" i="1"/>
  <c r="L4838" i="1"/>
  <c r="M4838" i="1"/>
  <c r="V4838" i="1"/>
  <c r="W4838" i="1"/>
  <c r="A5390" i="1"/>
  <c r="D5390" i="1"/>
  <c r="F5390" i="1"/>
  <c r="H5390" i="1"/>
  <c r="I5390" i="1"/>
  <c r="L5390" i="1"/>
  <c r="M5390" i="1"/>
  <c r="V5390" i="1"/>
  <c r="W5390" i="1"/>
  <c r="A3110" i="1"/>
  <c r="D3110" i="1"/>
  <c r="F3110" i="1"/>
  <c r="H3110" i="1"/>
  <c r="I3110" i="1"/>
  <c r="L3110" i="1"/>
  <c r="M3110" i="1"/>
  <c r="V3110" i="1"/>
  <c r="W3110" i="1"/>
  <c r="A3156" i="1"/>
  <c r="D3156" i="1"/>
  <c r="F3156" i="1"/>
  <c r="H3156" i="1"/>
  <c r="I3156" i="1"/>
  <c r="L3156" i="1"/>
  <c r="M3156" i="1"/>
  <c r="V3156" i="1"/>
  <c r="W3156" i="1"/>
  <c r="A506" i="1"/>
  <c r="D506" i="1"/>
  <c r="F506" i="1"/>
  <c r="H506" i="1"/>
  <c r="I506" i="1"/>
  <c r="L506" i="1"/>
  <c r="M506" i="1"/>
  <c r="V506" i="1"/>
  <c r="W506" i="1"/>
  <c r="A4394" i="1"/>
  <c r="D4394" i="1"/>
  <c r="F4394" i="1"/>
  <c r="H4394" i="1"/>
  <c r="I4394" i="1"/>
  <c r="L4394" i="1"/>
  <c r="M4394" i="1"/>
  <c r="V4394" i="1"/>
  <c r="W4394" i="1"/>
  <c r="A1628" i="1"/>
  <c r="D1628" i="1"/>
  <c r="F1628" i="1"/>
  <c r="H1628" i="1"/>
  <c r="I1628" i="1"/>
  <c r="L1628" i="1"/>
  <c r="M1628" i="1"/>
  <c r="V1628" i="1"/>
  <c r="W1628" i="1"/>
  <c r="A2187" i="1"/>
  <c r="D2187" i="1"/>
  <c r="F2187" i="1"/>
  <c r="H2187" i="1"/>
  <c r="I2187" i="1"/>
  <c r="L2187" i="1"/>
  <c r="M2187" i="1"/>
  <c r="V2187" i="1"/>
  <c r="W2187" i="1"/>
  <c r="A3708" i="1"/>
  <c r="D3708" i="1"/>
  <c r="F3708" i="1"/>
  <c r="H3708" i="1"/>
  <c r="I3708" i="1"/>
  <c r="L3708" i="1"/>
  <c r="M3708" i="1"/>
  <c r="V3708" i="1"/>
  <c r="W3708" i="1"/>
  <c r="A3827" i="1"/>
  <c r="D3827" i="1"/>
  <c r="F3827" i="1"/>
  <c r="H3827" i="1"/>
  <c r="I3827" i="1"/>
  <c r="L3827" i="1"/>
  <c r="M3827" i="1"/>
  <c r="V3827" i="1"/>
  <c r="W3827" i="1"/>
  <c r="A5245" i="1"/>
  <c r="D5245" i="1"/>
  <c r="F5245" i="1"/>
  <c r="H5245" i="1"/>
  <c r="I5245" i="1"/>
  <c r="L5245" i="1"/>
  <c r="M5245" i="1"/>
  <c r="V5245" i="1"/>
  <c r="W5245" i="1"/>
  <c r="A596" i="1"/>
  <c r="D596" i="1"/>
  <c r="F596" i="1"/>
  <c r="H596" i="1"/>
  <c r="I596" i="1"/>
  <c r="L596" i="1"/>
  <c r="M596" i="1"/>
  <c r="V596" i="1"/>
  <c r="W596" i="1"/>
  <c r="A909" i="1"/>
  <c r="D909" i="1"/>
  <c r="F909" i="1"/>
  <c r="H909" i="1"/>
  <c r="I909" i="1"/>
  <c r="L909" i="1"/>
  <c r="M909" i="1"/>
  <c r="V909" i="1"/>
  <c r="W909" i="1"/>
  <c r="A1970" i="1"/>
  <c r="D1970" i="1"/>
  <c r="F1970" i="1"/>
  <c r="H1970" i="1"/>
  <c r="I1970" i="1"/>
  <c r="L1970" i="1"/>
  <c r="M1970" i="1"/>
  <c r="V1970" i="1"/>
  <c r="W1970" i="1"/>
  <c r="A4232" i="1"/>
  <c r="D4232" i="1"/>
  <c r="F4232" i="1"/>
  <c r="H4232" i="1"/>
  <c r="I4232" i="1"/>
  <c r="L4232" i="1"/>
  <c r="M4232" i="1"/>
  <c r="V4232" i="1"/>
  <c r="W4232" i="1"/>
  <c r="A6081" i="1"/>
  <c r="D6081" i="1"/>
  <c r="F6081" i="1"/>
  <c r="H6081" i="1"/>
  <c r="I6081" i="1"/>
  <c r="L6081" i="1"/>
  <c r="M6081" i="1"/>
  <c r="V6081" i="1"/>
  <c r="W6081" i="1"/>
  <c r="A5758" i="1"/>
  <c r="D5758" i="1"/>
  <c r="F5758" i="1"/>
  <c r="H5758" i="1"/>
  <c r="I5758" i="1"/>
  <c r="L5758" i="1"/>
  <c r="M5758" i="1"/>
  <c r="V5758" i="1"/>
  <c r="W5758" i="1"/>
  <c r="A4844" i="1"/>
  <c r="D4844" i="1"/>
  <c r="F4844" i="1"/>
  <c r="H4844" i="1"/>
  <c r="I4844" i="1"/>
  <c r="L4844" i="1"/>
  <c r="M4844" i="1"/>
  <c r="V4844" i="1"/>
  <c r="W4844" i="1"/>
  <c r="A5209" i="1"/>
  <c r="D5209" i="1"/>
  <c r="F5209" i="1"/>
  <c r="H5209" i="1"/>
  <c r="I5209" i="1"/>
  <c r="L5209" i="1"/>
  <c r="M5209" i="1"/>
  <c r="V5209" i="1"/>
  <c r="W5209" i="1"/>
  <c r="A4556" i="1"/>
  <c r="D4556" i="1"/>
  <c r="F4556" i="1"/>
  <c r="H4556" i="1"/>
  <c r="I4556" i="1"/>
  <c r="L4556" i="1"/>
  <c r="M4556" i="1"/>
  <c r="V4556" i="1"/>
  <c r="W4556" i="1"/>
  <c r="A4555" i="1"/>
  <c r="D4555" i="1"/>
  <c r="F4555" i="1"/>
  <c r="H4555" i="1"/>
  <c r="I4555" i="1"/>
  <c r="L4555" i="1"/>
  <c r="M4555" i="1"/>
  <c r="V4555" i="1"/>
  <c r="W4555" i="1"/>
  <c r="A5897" i="1"/>
  <c r="D5897" i="1"/>
  <c r="F5897" i="1"/>
  <c r="H5897" i="1"/>
  <c r="I5897" i="1"/>
  <c r="L5897" i="1"/>
  <c r="M5897" i="1"/>
  <c r="V5897" i="1"/>
  <c r="W5897" i="1"/>
  <c r="A1117" i="1"/>
  <c r="D1117" i="1"/>
  <c r="F1117" i="1"/>
  <c r="H1117" i="1"/>
  <c r="I1117" i="1"/>
  <c r="L1117" i="1"/>
  <c r="M1117" i="1"/>
  <c r="V1117" i="1"/>
  <c r="W1117" i="1"/>
  <c r="A1770" i="1"/>
  <c r="D1770" i="1"/>
  <c r="F1770" i="1"/>
  <c r="H1770" i="1"/>
  <c r="I1770" i="1"/>
  <c r="L1770" i="1"/>
  <c r="M1770" i="1"/>
  <c r="V1770" i="1"/>
  <c r="W1770" i="1"/>
  <c r="A3694" i="1"/>
  <c r="D3694" i="1"/>
  <c r="F3694" i="1"/>
  <c r="H3694" i="1"/>
  <c r="I3694" i="1"/>
  <c r="L3694" i="1"/>
  <c r="M3694" i="1"/>
  <c r="V3694" i="1"/>
  <c r="W3694" i="1"/>
  <c r="A4236" i="1"/>
  <c r="D4236" i="1"/>
  <c r="F4236" i="1"/>
  <c r="H4236" i="1"/>
  <c r="I4236" i="1"/>
  <c r="L4236" i="1"/>
  <c r="M4236" i="1"/>
  <c r="V4236" i="1"/>
  <c r="W4236" i="1"/>
  <c r="A54" i="1"/>
  <c r="D54" i="1"/>
  <c r="F54" i="1"/>
  <c r="H54" i="1"/>
  <c r="I54" i="1"/>
  <c r="L54" i="1"/>
  <c r="M54" i="1"/>
  <c r="V54" i="1"/>
  <c r="W54" i="1"/>
  <c r="A53" i="1"/>
  <c r="D53" i="1"/>
  <c r="F53" i="1"/>
  <c r="H53" i="1"/>
  <c r="I53" i="1"/>
  <c r="L53" i="1"/>
  <c r="M53" i="1"/>
  <c r="V53" i="1"/>
  <c r="W53" i="1"/>
  <c r="A226" i="1"/>
  <c r="D226" i="1"/>
  <c r="F226" i="1"/>
  <c r="H226" i="1"/>
  <c r="I226" i="1"/>
  <c r="L226" i="1"/>
  <c r="M226" i="1"/>
  <c r="V226" i="1"/>
  <c r="W226" i="1"/>
  <c r="A2097" i="1"/>
  <c r="D2097" i="1"/>
  <c r="F2097" i="1"/>
  <c r="H2097" i="1"/>
  <c r="I2097" i="1"/>
  <c r="L2097" i="1"/>
  <c r="M2097" i="1"/>
  <c r="V2097" i="1"/>
  <c r="W2097" i="1"/>
  <c r="A1349" i="1"/>
  <c r="D1349" i="1"/>
  <c r="F1349" i="1"/>
  <c r="H1349" i="1"/>
  <c r="I1349" i="1"/>
  <c r="L1349" i="1"/>
  <c r="M1349" i="1"/>
  <c r="V1349" i="1"/>
  <c r="W1349" i="1"/>
  <c r="A787" i="1"/>
  <c r="D787" i="1"/>
  <c r="F787" i="1"/>
  <c r="H787" i="1"/>
  <c r="I787" i="1"/>
  <c r="L787" i="1"/>
  <c r="M787" i="1"/>
  <c r="V787" i="1"/>
  <c r="W787" i="1"/>
  <c r="A4225" i="1"/>
  <c r="D4225" i="1"/>
  <c r="F4225" i="1"/>
  <c r="H4225" i="1"/>
  <c r="I4225" i="1"/>
  <c r="L4225" i="1"/>
  <c r="M4225" i="1"/>
  <c r="V4225" i="1"/>
  <c r="W4225" i="1"/>
  <c r="A1632" i="1"/>
  <c r="D1632" i="1"/>
  <c r="F1632" i="1"/>
  <c r="H1632" i="1"/>
  <c r="I1632" i="1"/>
  <c r="L1632" i="1"/>
  <c r="M1632" i="1"/>
  <c r="V1632" i="1"/>
  <c r="W1632" i="1"/>
  <c r="A315" i="1"/>
  <c r="D315" i="1"/>
  <c r="F315" i="1"/>
  <c r="H315" i="1"/>
  <c r="I315" i="1"/>
  <c r="L315" i="1"/>
  <c r="M315" i="1"/>
  <c r="V315" i="1"/>
  <c r="W315" i="1"/>
  <c r="A1541" i="1"/>
  <c r="D1541" i="1"/>
  <c r="F1541" i="1"/>
  <c r="H1541" i="1"/>
  <c r="I1541" i="1"/>
  <c r="L1541" i="1"/>
  <c r="M1541" i="1"/>
  <c r="V1541" i="1"/>
  <c r="W1541" i="1"/>
  <c r="A1683" i="1"/>
  <c r="D1683" i="1"/>
  <c r="F1683" i="1"/>
  <c r="H1683" i="1"/>
  <c r="I1683" i="1"/>
  <c r="L1683" i="1"/>
  <c r="M1683" i="1"/>
  <c r="V1683" i="1"/>
  <c r="W1683" i="1"/>
  <c r="A3108" i="1"/>
  <c r="D3108" i="1"/>
  <c r="F3108" i="1"/>
  <c r="H3108" i="1"/>
  <c r="I3108" i="1"/>
  <c r="L3108" i="1"/>
  <c r="M3108" i="1"/>
  <c r="V3108" i="1"/>
  <c r="W3108" i="1"/>
  <c r="A3151" i="1"/>
  <c r="D3151" i="1"/>
  <c r="F3151" i="1"/>
  <c r="H3151" i="1"/>
  <c r="I3151" i="1"/>
  <c r="L3151" i="1"/>
  <c r="M3151" i="1"/>
  <c r="V3151" i="1"/>
  <c r="W3151" i="1"/>
  <c r="A2809" i="1"/>
  <c r="D2809" i="1"/>
  <c r="F2809" i="1"/>
  <c r="H2809" i="1"/>
  <c r="I2809" i="1"/>
  <c r="L2809" i="1"/>
  <c r="M2809" i="1"/>
  <c r="V2809" i="1"/>
  <c r="W2809" i="1"/>
  <c r="A1823" i="1"/>
  <c r="D1823" i="1"/>
  <c r="F1823" i="1"/>
  <c r="H1823" i="1"/>
  <c r="I1823" i="1"/>
  <c r="L1823" i="1"/>
  <c r="M1823" i="1"/>
  <c r="V1823" i="1"/>
  <c r="W1823" i="1"/>
  <c r="A4505" i="1"/>
  <c r="D4505" i="1"/>
  <c r="F4505" i="1"/>
  <c r="H4505" i="1"/>
  <c r="I4505" i="1"/>
  <c r="L4505" i="1"/>
  <c r="M4505" i="1"/>
  <c r="V4505" i="1"/>
  <c r="W4505" i="1"/>
  <c r="A404" i="1"/>
  <c r="D404" i="1"/>
  <c r="F404" i="1"/>
  <c r="H404" i="1"/>
  <c r="I404" i="1"/>
  <c r="L404" i="1"/>
  <c r="M404" i="1"/>
  <c r="V404" i="1"/>
  <c r="W404" i="1"/>
  <c r="A666" i="1"/>
  <c r="D666" i="1"/>
  <c r="F666" i="1"/>
  <c r="H666" i="1"/>
  <c r="I666" i="1"/>
  <c r="L666" i="1"/>
  <c r="M666" i="1"/>
  <c r="V666" i="1"/>
  <c r="W666" i="1"/>
  <c r="A938" i="1"/>
  <c r="D938" i="1"/>
  <c r="F938" i="1"/>
  <c r="H938" i="1"/>
  <c r="I938" i="1"/>
  <c r="L938" i="1"/>
  <c r="M938" i="1"/>
  <c r="V938" i="1"/>
  <c r="W938" i="1"/>
  <c r="A1279" i="1"/>
  <c r="D1279" i="1"/>
  <c r="F1279" i="1"/>
  <c r="H1279" i="1"/>
  <c r="I1279" i="1"/>
  <c r="L1279" i="1"/>
  <c r="M1279" i="1"/>
  <c r="V1279" i="1"/>
  <c r="W1279" i="1"/>
  <c r="A5104" i="1"/>
  <c r="D5104" i="1"/>
  <c r="F5104" i="1"/>
  <c r="H5104" i="1"/>
  <c r="I5104" i="1"/>
  <c r="L5104" i="1"/>
  <c r="M5104" i="1"/>
  <c r="V5104" i="1"/>
  <c r="W5104" i="1"/>
  <c r="A3949" i="1"/>
  <c r="D3949" i="1"/>
  <c r="F3949" i="1"/>
  <c r="H3949" i="1"/>
  <c r="I3949" i="1"/>
  <c r="L3949" i="1"/>
  <c r="M3949" i="1"/>
  <c r="V3949" i="1"/>
  <c r="W3949" i="1"/>
  <c r="A3285" i="1"/>
  <c r="D3285" i="1"/>
  <c r="F3285" i="1"/>
  <c r="H3285" i="1"/>
  <c r="I3285" i="1"/>
  <c r="L3285" i="1"/>
  <c r="M3285" i="1"/>
  <c r="V3285" i="1"/>
  <c r="W3285" i="1"/>
  <c r="A4064" i="1"/>
  <c r="D4064" i="1"/>
  <c r="F4064" i="1"/>
  <c r="H4064" i="1"/>
  <c r="I4064" i="1"/>
  <c r="L4064" i="1"/>
  <c r="M4064" i="1"/>
  <c r="V4064" i="1"/>
  <c r="W4064" i="1"/>
  <c r="A6068" i="1"/>
  <c r="D6068" i="1"/>
  <c r="F6068" i="1"/>
  <c r="H6068" i="1"/>
  <c r="I6068" i="1"/>
  <c r="L6068" i="1"/>
  <c r="M6068" i="1"/>
  <c r="V6068" i="1"/>
  <c r="W6068" i="1"/>
  <c r="A308" i="1"/>
  <c r="D308" i="1"/>
  <c r="F308" i="1"/>
  <c r="H308" i="1"/>
  <c r="I308" i="1"/>
  <c r="L308" i="1"/>
  <c r="M308" i="1"/>
  <c r="V308" i="1"/>
  <c r="W308" i="1"/>
  <c r="A361" i="1"/>
  <c r="D361" i="1"/>
  <c r="F361" i="1"/>
  <c r="H361" i="1"/>
  <c r="I361" i="1"/>
  <c r="L361" i="1"/>
  <c r="M361" i="1"/>
  <c r="V361" i="1"/>
  <c r="W361" i="1"/>
  <c r="A3601" i="1"/>
  <c r="D3601" i="1"/>
  <c r="F3601" i="1"/>
  <c r="H3601" i="1"/>
  <c r="I3601" i="1"/>
  <c r="L3601" i="1"/>
  <c r="M3601" i="1"/>
  <c r="V3601" i="1"/>
  <c r="W3601" i="1"/>
  <c r="A4244" i="1"/>
  <c r="D4244" i="1"/>
  <c r="F4244" i="1"/>
  <c r="H4244" i="1"/>
  <c r="I4244" i="1"/>
  <c r="L4244" i="1"/>
  <c r="M4244" i="1"/>
  <c r="V4244" i="1"/>
  <c r="W4244" i="1"/>
  <c r="A1090" i="1"/>
  <c r="D1090" i="1"/>
  <c r="F1090" i="1"/>
  <c r="H1090" i="1"/>
  <c r="I1090" i="1"/>
  <c r="L1090" i="1"/>
  <c r="M1090" i="1"/>
  <c r="V1090" i="1"/>
  <c r="W1090" i="1"/>
  <c r="A5021" i="1"/>
  <c r="D5021" i="1"/>
  <c r="F5021" i="1"/>
  <c r="H5021" i="1"/>
  <c r="I5021" i="1"/>
  <c r="L5021" i="1"/>
  <c r="M5021" i="1"/>
  <c r="V5021" i="1"/>
  <c r="W5021" i="1"/>
  <c r="A5375" i="1"/>
  <c r="D5375" i="1"/>
  <c r="F5375" i="1"/>
  <c r="H5375" i="1"/>
  <c r="I5375" i="1"/>
  <c r="L5375" i="1"/>
  <c r="M5375" i="1"/>
  <c r="V5375" i="1"/>
  <c r="W5375" i="1"/>
  <c r="A5355" i="1"/>
  <c r="D5355" i="1"/>
  <c r="F5355" i="1"/>
  <c r="H5355" i="1"/>
  <c r="I5355" i="1"/>
  <c r="L5355" i="1"/>
  <c r="M5355" i="1"/>
  <c r="V5355" i="1"/>
  <c r="W5355" i="1"/>
  <c r="A5756" i="1"/>
  <c r="D5756" i="1"/>
  <c r="F5756" i="1"/>
  <c r="H5756" i="1"/>
  <c r="I5756" i="1"/>
  <c r="L5756" i="1"/>
  <c r="M5756" i="1"/>
  <c r="V5756" i="1"/>
  <c r="W5756" i="1"/>
  <c r="A5469" i="1"/>
  <c r="D5469" i="1"/>
  <c r="F5469" i="1"/>
  <c r="H5469" i="1"/>
  <c r="I5469" i="1"/>
  <c r="L5469" i="1"/>
  <c r="M5469" i="1"/>
  <c r="V5469" i="1"/>
  <c r="W5469" i="1"/>
  <c r="A3569" i="1"/>
  <c r="D3569" i="1"/>
  <c r="F3569" i="1"/>
  <c r="H3569" i="1"/>
  <c r="I3569" i="1"/>
  <c r="L3569" i="1"/>
  <c r="M3569" i="1"/>
  <c r="V3569" i="1"/>
  <c r="W3569" i="1"/>
  <c r="A887" i="1"/>
  <c r="D887" i="1"/>
  <c r="F887" i="1"/>
  <c r="H887" i="1"/>
  <c r="I887" i="1"/>
  <c r="L887" i="1"/>
  <c r="M887" i="1"/>
  <c r="V887" i="1"/>
  <c r="W887" i="1"/>
  <c r="A2250" i="1"/>
  <c r="D2250" i="1"/>
  <c r="F2250" i="1"/>
  <c r="H2250" i="1"/>
  <c r="I2250" i="1"/>
  <c r="L2250" i="1"/>
  <c r="M2250" i="1"/>
  <c r="V2250" i="1"/>
  <c r="W2250" i="1"/>
  <c r="A2591" i="1"/>
  <c r="D2591" i="1"/>
  <c r="F2591" i="1"/>
  <c r="H2591" i="1"/>
  <c r="I2591" i="1"/>
  <c r="L2591" i="1"/>
  <c r="M2591" i="1"/>
  <c r="V2591" i="1"/>
  <c r="W2591" i="1"/>
  <c r="A3963" i="1"/>
  <c r="D3963" i="1"/>
  <c r="F3963" i="1"/>
  <c r="H3963" i="1"/>
  <c r="I3963" i="1"/>
  <c r="L3963" i="1"/>
  <c r="M3963" i="1"/>
  <c r="V3963" i="1"/>
  <c r="W3963" i="1"/>
  <c r="A5713" i="1"/>
  <c r="D5713" i="1"/>
  <c r="F5713" i="1"/>
  <c r="H5713" i="1"/>
  <c r="I5713" i="1"/>
  <c r="L5713" i="1"/>
  <c r="M5713" i="1"/>
  <c r="V5713" i="1"/>
  <c r="W5713" i="1"/>
  <c r="A4179" i="1"/>
  <c r="D4179" i="1"/>
  <c r="F4179" i="1"/>
  <c r="H4179" i="1"/>
  <c r="I4179" i="1"/>
  <c r="L4179" i="1"/>
  <c r="M4179" i="1"/>
  <c r="V4179" i="1"/>
  <c r="W4179" i="1"/>
  <c r="A4217" i="1"/>
  <c r="D4217" i="1"/>
  <c r="F4217" i="1"/>
  <c r="H4217" i="1"/>
  <c r="I4217" i="1"/>
  <c r="L4217" i="1"/>
  <c r="M4217" i="1"/>
  <c r="V4217" i="1"/>
  <c r="W4217" i="1"/>
  <c r="A4284" i="1"/>
  <c r="D4284" i="1"/>
  <c r="F4284" i="1"/>
  <c r="H4284" i="1"/>
  <c r="I4284" i="1"/>
  <c r="L4284" i="1"/>
  <c r="M4284" i="1"/>
  <c r="V4284" i="1"/>
  <c r="W4284" i="1"/>
  <c r="A3659" i="1"/>
  <c r="D3659" i="1"/>
  <c r="F3659" i="1"/>
  <c r="H3659" i="1"/>
  <c r="I3659" i="1"/>
  <c r="L3659" i="1"/>
  <c r="M3659" i="1"/>
  <c r="V3659" i="1"/>
  <c r="W3659" i="1"/>
  <c r="A1941" i="1"/>
  <c r="D1941" i="1"/>
  <c r="F1941" i="1"/>
  <c r="H1941" i="1"/>
  <c r="I1941" i="1"/>
  <c r="L1941" i="1"/>
  <c r="M1941" i="1"/>
  <c r="V1941" i="1"/>
  <c r="W1941" i="1"/>
  <c r="A2608" i="1"/>
  <c r="D2608" i="1"/>
  <c r="F2608" i="1"/>
  <c r="H2608" i="1"/>
  <c r="I2608" i="1"/>
  <c r="L2608" i="1"/>
  <c r="M2608" i="1"/>
  <c r="V2608" i="1"/>
  <c r="W2608" i="1"/>
  <c r="A1860" i="1"/>
  <c r="D1860" i="1"/>
  <c r="F1860" i="1"/>
  <c r="H1860" i="1"/>
  <c r="I1860" i="1"/>
  <c r="L1860" i="1"/>
  <c r="M1860" i="1"/>
  <c r="V1860" i="1"/>
  <c r="W1860" i="1"/>
  <c r="A2381" i="1"/>
  <c r="D2381" i="1"/>
  <c r="F2381" i="1"/>
  <c r="H2381" i="1"/>
  <c r="I2381" i="1"/>
  <c r="L2381" i="1"/>
  <c r="M2381" i="1"/>
  <c r="V2381" i="1"/>
  <c r="W2381" i="1"/>
  <c r="A211" i="1"/>
  <c r="D211" i="1"/>
  <c r="F211" i="1"/>
  <c r="H211" i="1"/>
  <c r="I211" i="1"/>
  <c r="L211" i="1"/>
  <c r="M211" i="1"/>
  <c r="V211" i="1"/>
  <c r="W211" i="1"/>
  <c r="A6209" i="1"/>
  <c r="D6209" i="1"/>
  <c r="F6209" i="1"/>
  <c r="H6209" i="1"/>
  <c r="I6209" i="1"/>
  <c r="L6209" i="1"/>
  <c r="M6209" i="1"/>
  <c r="V6209" i="1"/>
  <c r="W6209" i="1"/>
  <c r="A3283" i="1"/>
  <c r="D3283" i="1"/>
  <c r="F3283" i="1"/>
  <c r="H3283" i="1"/>
  <c r="I3283" i="1"/>
  <c r="L3283" i="1"/>
  <c r="M3283" i="1"/>
  <c r="V3283" i="1"/>
  <c r="W3283" i="1"/>
  <c r="A767" i="1"/>
  <c r="D767" i="1"/>
  <c r="F767" i="1"/>
  <c r="H767" i="1"/>
  <c r="I767" i="1"/>
  <c r="L767" i="1"/>
  <c r="M767" i="1"/>
  <c r="V767" i="1"/>
  <c r="W767" i="1"/>
  <c r="A775" i="1"/>
  <c r="D775" i="1"/>
  <c r="F775" i="1"/>
  <c r="H775" i="1"/>
  <c r="I775" i="1"/>
  <c r="L775" i="1"/>
  <c r="M775" i="1"/>
  <c r="V775" i="1"/>
  <c r="W775" i="1"/>
  <c r="A846" i="1"/>
  <c r="D846" i="1"/>
  <c r="F846" i="1"/>
  <c r="H846" i="1"/>
  <c r="I846" i="1"/>
  <c r="L846" i="1"/>
  <c r="M846" i="1"/>
  <c r="V846" i="1"/>
  <c r="W846" i="1"/>
  <c r="A1273" i="1"/>
  <c r="D1273" i="1"/>
  <c r="F1273" i="1"/>
  <c r="H1273" i="1"/>
  <c r="I1273" i="1"/>
  <c r="L1273" i="1"/>
  <c r="M1273" i="1"/>
  <c r="V1273" i="1"/>
  <c r="W1273" i="1"/>
  <c r="A1123" i="1"/>
  <c r="D1123" i="1"/>
  <c r="F1123" i="1"/>
  <c r="H1123" i="1"/>
  <c r="I1123" i="1"/>
  <c r="L1123" i="1"/>
  <c r="M1123" i="1"/>
  <c r="V1123" i="1"/>
  <c r="W1123" i="1"/>
  <c r="A2037" i="1"/>
  <c r="D2037" i="1"/>
  <c r="F2037" i="1"/>
  <c r="H2037" i="1"/>
  <c r="I2037" i="1"/>
  <c r="L2037" i="1"/>
  <c r="M2037" i="1"/>
  <c r="V2037" i="1"/>
  <c r="W2037" i="1"/>
  <c r="A762" i="1"/>
  <c r="D762" i="1"/>
  <c r="F762" i="1"/>
  <c r="H762" i="1"/>
  <c r="I762" i="1"/>
  <c r="L762" i="1"/>
  <c r="M762" i="1"/>
  <c r="V762" i="1"/>
  <c r="W762" i="1"/>
  <c r="A841" i="1"/>
  <c r="D841" i="1"/>
  <c r="F841" i="1"/>
  <c r="H841" i="1"/>
  <c r="I841" i="1"/>
  <c r="L841" i="1"/>
  <c r="M841" i="1"/>
  <c r="V841" i="1"/>
  <c r="W841" i="1"/>
  <c r="A4911" i="1"/>
  <c r="D4911" i="1"/>
  <c r="F4911" i="1"/>
  <c r="H4911" i="1"/>
  <c r="I4911" i="1"/>
  <c r="L4911" i="1"/>
  <c r="M4911" i="1"/>
  <c r="V4911" i="1"/>
  <c r="W4911" i="1"/>
  <c r="A4912" i="1"/>
  <c r="D4912" i="1"/>
  <c r="F4912" i="1"/>
  <c r="H4912" i="1"/>
  <c r="I4912" i="1"/>
  <c r="L4912" i="1"/>
  <c r="M4912" i="1"/>
  <c r="V4912" i="1"/>
  <c r="W4912" i="1"/>
  <c r="A3098" i="1"/>
  <c r="D3098" i="1"/>
  <c r="F3098" i="1"/>
  <c r="H3098" i="1"/>
  <c r="I3098" i="1"/>
  <c r="L3098" i="1"/>
  <c r="M3098" i="1"/>
  <c r="V3098" i="1"/>
  <c r="W3098" i="1"/>
  <c r="A3139" i="1"/>
  <c r="D3139" i="1"/>
  <c r="F3139" i="1"/>
  <c r="H3139" i="1"/>
  <c r="I3139" i="1"/>
  <c r="L3139" i="1"/>
  <c r="M3139" i="1"/>
  <c r="V3139" i="1"/>
  <c r="W3139" i="1"/>
  <c r="A1870" i="1"/>
  <c r="D1870" i="1"/>
  <c r="F1870" i="1"/>
  <c r="H1870" i="1"/>
  <c r="I1870" i="1"/>
  <c r="L1870" i="1"/>
  <c r="M1870" i="1"/>
  <c r="V1870" i="1"/>
  <c r="W1870" i="1"/>
  <c r="A3685" i="1"/>
  <c r="D3685" i="1"/>
  <c r="F3685" i="1"/>
  <c r="H3685" i="1"/>
  <c r="I3685" i="1"/>
  <c r="L3685" i="1"/>
  <c r="M3685" i="1"/>
  <c r="V3685" i="1"/>
  <c r="W3685" i="1"/>
  <c r="A3194" i="1"/>
  <c r="D3194" i="1"/>
  <c r="F3194" i="1"/>
  <c r="H3194" i="1"/>
  <c r="I3194" i="1"/>
  <c r="L3194" i="1"/>
  <c r="M3194" i="1"/>
  <c r="V3194" i="1"/>
  <c r="W3194" i="1"/>
  <c r="A3010" i="1"/>
  <c r="D3010" i="1"/>
  <c r="F3010" i="1"/>
  <c r="H3010" i="1"/>
  <c r="I3010" i="1"/>
  <c r="L3010" i="1"/>
  <c r="M3010" i="1"/>
  <c r="V3010" i="1"/>
  <c r="W3010" i="1"/>
  <c r="A3011" i="1"/>
  <c r="D3011" i="1"/>
  <c r="F3011" i="1"/>
  <c r="H3011" i="1"/>
  <c r="I3011" i="1"/>
  <c r="L3011" i="1"/>
  <c r="M3011" i="1"/>
  <c r="V3011" i="1"/>
  <c r="W3011" i="1"/>
  <c r="A4883" i="1"/>
  <c r="D4883" i="1"/>
  <c r="F4883" i="1"/>
  <c r="H4883" i="1"/>
  <c r="I4883" i="1"/>
  <c r="L4883" i="1"/>
  <c r="M4883" i="1"/>
  <c r="V4883" i="1"/>
  <c r="W4883" i="1"/>
  <c r="A4564" i="1"/>
  <c r="D4564" i="1"/>
  <c r="F4564" i="1"/>
  <c r="H4564" i="1"/>
  <c r="I4564" i="1"/>
  <c r="L4564" i="1"/>
  <c r="M4564" i="1"/>
  <c r="V4564" i="1"/>
  <c r="W4564" i="1"/>
  <c r="A5028" i="1"/>
  <c r="D5028" i="1"/>
  <c r="F5028" i="1"/>
  <c r="H5028" i="1"/>
  <c r="I5028" i="1"/>
  <c r="L5028" i="1"/>
  <c r="M5028" i="1"/>
  <c r="V5028" i="1"/>
  <c r="W5028" i="1"/>
  <c r="A5180" i="1"/>
  <c r="D5180" i="1"/>
  <c r="F5180" i="1"/>
  <c r="H5180" i="1"/>
  <c r="I5180" i="1"/>
  <c r="L5180" i="1"/>
  <c r="M5180" i="1"/>
  <c r="V5180" i="1"/>
  <c r="W5180" i="1"/>
  <c r="A6012" i="1"/>
  <c r="D6012" i="1"/>
  <c r="F6012" i="1"/>
  <c r="H6012" i="1"/>
  <c r="I6012" i="1"/>
  <c r="L6012" i="1"/>
  <c r="M6012" i="1"/>
  <c r="V6012" i="1"/>
  <c r="W6012" i="1"/>
  <c r="A1334" i="1"/>
  <c r="D1334" i="1"/>
  <c r="F1334" i="1"/>
  <c r="H1334" i="1"/>
  <c r="I1334" i="1"/>
  <c r="L1334" i="1"/>
  <c r="M1334" i="1"/>
  <c r="V1334" i="1"/>
  <c r="W1334" i="1"/>
  <c r="A3620" i="1"/>
  <c r="D3620" i="1"/>
  <c r="F3620" i="1"/>
  <c r="H3620" i="1"/>
  <c r="I3620" i="1"/>
  <c r="L3620" i="1"/>
  <c r="M3620" i="1"/>
  <c r="V3620" i="1"/>
  <c r="W3620" i="1"/>
  <c r="A3867" i="1"/>
  <c r="D3867" i="1"/>
  <c r="F3867" i="1"/>
  <c r="H3867" i="1"/>
  <c r="I3867" i="1"/>
  <c r="L3867" i="1"/>
  <c r="M3867" i="1"/>
  <c r="V3867" i="1"/>
  <c r="W3867" i="1"/>
  <c r="A3885" i="1"/>
  <c r="D3885" i="1"/>
  <c r="F3885" i="1"/>
  <c r="H3885" i="1"/>
  <c r="I3885" i="1"/>
  <c r="L3885" i="1"/>
  <c r="M3885" i="1"/>
  <c r="V3885" i="1"/>
  <c r="W3885" i="1"/>
  <c r="A3624" i="1"/>
  <c r="D3624" i="1"/>
  <c r="F3624" i="1"/>
  <c r="H3624" i="1"/>
  <c r="I3624" i="1"/>
  <c r="L3624" i="1"/>
  <c r="M3624" i="1"/>
  <c r="V3624" i="1"/>
  <c r="W3624" i="1"/>
  <c r="A3864" i="1"/>
  <c r="D3864" i="1"/>
  <c r="F3864" i="1"/>
  <c r="H3864" i="1"/>
  <c r="I3864" i="1"/>
  <c r="L3864" i="1"/>
  <c r="M3864" i="1"/>
  <c r="V3864" i="1"/>
  <c r="W3864" i="1"/>
  <c r="A3882" i="1"/>
  <c r="D3882" i="1"/>
  <c r="F3882" i="1"/>
  <c r="H3882" i="1"/>
  <c r="I3882" i="1"/>
  <c r="L3882" i="1"/>
  <c r="M3882" i="1"/>
  <c r="V3882" i="1"/>
  <c r="W3882" i="1"/>
  <c r="A3621" i="1"/>
  <c r="D3621" i="1"/>
  <c r="F3621" i="1"/>
  <c r="H3621" i="1"/>
  <c r="I3621" i="1"/>
  <c r="L3621" i="1"/>
  <c r="M3621" i="1"/>
  <c r="V3621" i="1"/>
  <c r="W3621" i="1"/>
  <c r="A3863" i="1"/>
  <c r="D3863" i="1"/>
  <c r="F3863" i="1"/>
  <c r="H3863" i="1"/>
  <c r="I3863" i="1"/>
  <c r="L3863" i="1"/>
  <c r="M3863" i="1"/>
  <c r="V3863" i="1"/>
  <c r="W3863" i="1"/>
  <c r="A3881" i="1"/>
  <c r="D3881" i="1"/>
  <c r="F3881" i="1"/>
  <c r="H3881" i="1"/>
  <c r="I3881" i="1"/>
  <c r="L3881" i="1"/>
  <c r="M3881" i="1"/>
  <c r="V3881" i="1"/>
  <c r="W3881" i="1"/>
  <c r="A810" i="1"/>
  <c r="D810" i="1"/>
  <c r="F810" i="1"/>
  <c r="H810" i="1"/>
  <c r="I810" i="1"/>
  <c r="L810" i="1"/>
  <c r="M810" i="1"/>
  <c r="V810" i="1"/>
  <c r="W810" i="1"/>
  <c r="A1650" i="1"/>
  <c r="D1650" i="1"/>
  <c r="F1650" i="1"/>
  <c r="H1650" i="1"/>
  <c r="I1650" i="1"/>
  <c r="L1650" i="1"/>
  <c r="M1650" i="1"/>
  <c r="V1650" i="1"/>
  <c r="W1650" i="1"/>
  <c r="A2535" i="1"/>
  <c r="D2535" i="1"/>
  <c r="F2535" i="1"/>
  <c r="H2535" i="1"/>
  <c r="I2535" i="1"/>
  <c r="L2535" i="1"/>
  <c r="M2535" i="1"/>
  <c r="V2535" i="1"/>
  <c r="W2535" i="1"/>
  <c r="A5903" i="1"/>
  <c r="D5903" i="1"/>
  <c r="F5903" i="1"/>
  <c r="H5903" i="1"/>
  <c r="I5903" i="1"/>
  <c r="L5903" i="1"/>
  <c r="M5903" i="1"/>
  <c r="V5903" i="1"/>
  <c r="W5903" i="1"/>
  <c r="A3972" i="1"/>
  <c r="D3972" i="1"/>
  <c r="F3972" i="1"/>
  <c r="H3972" i="1"/>
  <c r="I3972" i="1"/>
  <c r="L3972" i="1"/>
  <c r="M3972" i="1"/>
  <c r="V3972" i="1"/>
  <c r="W3972" i="1"/>
  <c r="A4482" i="1"/>
  <c r="D4482" i="1"/>
  <c r="F4482" i="1"/>
  <c r="H4482" i="1"/>
  <c r="I4482" i="1"/>
  <c r="L4482" i="1"/>
  <c r="M4482" i="1"/>
  <c r="V4482" i="1"/>
  <c r="W4482" i="1"/>
  <c r="A819" i="1"/>
  <c r="D819" i="1"/>
  <c r="F819" i="1"/>
  <c r="H819" i="1"/>
  <c r="I819" i="1"/>
  <c r="L819" i="1"/>
  <c r="M819" i="1"/>
  <c r="V819" i="1"/>
  <c r="W819" i="1"/>
  <c r="A2320" i="1"/>
  <c r="D2320" i="1"/>
  <c r="F2320" i="1"/>
  <c r="H2320" i="1"/>
  <c r="I2320" i="1"/>
  <c r="L2320" i="1"/>
  <c r="M2320" i="1"/>
  <c r="V2320" i="1"/>
  <c r="W2320" i="1"/>
  <c r="A2496" i="1"/>
  <c r="D2496" i="1"/>
  <c r="F2496" i="1"/>
  <c r="H2496" i="1"/>
  <c r="I2496" i="1"/>
  <c r="L2496" i="1"/>
  <c r="M2496" i="1"/>
  <c r="V2496" i="1"/>
  <c r="W2496" i="1"/>
  <c r="A2644" i="1"/>
  <c r="D2644" i="1"/>
  <c r="F2644" i="1"/>
  <c r="H2644" i="1"/>
  <c r="I2644" i="1"/>
  <c r="L2644" i="1"/>
  <c r="M2644" i="1"/>
  <c r="V2644" i="1"/>
  <c r="W2644" i="1"/>
  <c r="A2673" i="1"/>
  <c r="D2673" i="1"/>
  <c r="F2673" i="1"/>
  <c r="H2673" i="1"/>
  <c r="I2673" i="1"/>
  <c r="L2673" i="1"/>
  <c r="M2673" i="1"/>
  <c r="V2673" i="1"/>
  <c r="W2673" i="1"/>
  <c r="A1228" i="1"/>
  <c r="D1228" i="1"/>
  <c r="F1228" i="1"/>
  <c r="H1228" i="1"/>
  <c r="I1228" i="1"/>
  <c r="L1228" i="1"/>
  <c r="M1228" i="1"/>
  <c r="V1228" i="1"/>
  <c r="W1228" i="1"/>
  <c r="A1314" i="1"/>
  <c r="D1314" i="1"/>
  <c r="F1314" i="1"/>
  <c r="H1314" i="1"/>
  <c r="I1314" i="1"/>
  <c r="L1314" i="1"/>
  <c r="M1314" i="1"/>
  <c r="V1314" i="1"/>
  <c r="W1314" i="1"/>
  <c r="A4086" i="1"/>
  <c r="D4086" i="1"/>
  <c r="F4086" i="1"/>
  <c r="H4086" i="1"/>
  <c r="I4086" i="1"/>
  <c r="L4086" i="1"/>
  <c r="M4086" i="1"/>
  <c r="V4086" i="1"/>
  <c r="W4086" i="1"/>
  <c r="A4325" i="1"/>
  <c r="D4325" i="1"/>
  <c r="F4325" i="1"/>
  <c r="H4325" i="1"/>
  <c r="I4325" i="1"/>
  <c r="L4325" i="1"/>
  <c r="M4325" i="1"/>
  <c r="V4325" i="1"/>
  <c r="W4325" i="1"/>
  <c r="A572" i="1"/>
  <c r="D572" i="1"/>
  <c r="F572" i="1"/>
  <c r="H572" i="1"/>
  <c r="I572" i="1"/>
  <c r="L572" i="1"/>
  <c r="M572" i="1"/>
  <c r="V572" i="1"/>
  <c r="W572" i="1"/>
  <c r="A632" i="1"/>
  <c r="D632" i="1"/>
  <c r="F632" i="1"/>
  <c r="H632" i="1"/>
  <c r="I632" i="1"/>
  <c r="L632" i="1"/>
  <c r="M632" i="1"/>
  <c r="V632" i="1"/>
  <c r="W632" i="1"/>
  <c r="A4834" i="1"/>
  <c r="D4834" i="1"/>
  <c r="F4834" i="1"/>
  <c r="H4834" i="1"/>
  <c r="I4834" i="1"/>
  <c r="L4834" i="1"/>
  <c r="M4834" i="1"/>
  <c r="V4834" i="1"/>
  <c r="W4834" i="1"/>
  <c r="A5447" i="1"/>
  <c r="D5447" i="1"/>
  <c r="F5447" i="1"/>
  <c r="H5447" i="1"/>
  <c r="I5447" i="1"/>
  <c r="L5447" i="1"/>
  <c r="M5447" i="1"/>
  <c r="V5447" i="1"/>
  <c r="W5447" i="1"/>
  <c r="A5600" i="1"/>
  <c r="D5600" i="1"/>
  <c r="F5600" i="1"/>
  <c r="H5600" i="1"/>
  <c r="I5600" i="1"/>
  <c r="L5600" i="1"/>
  <c r="M5600" i="1"/>
  <c r="V5600" i="1"/>
  <c r="W5600" i="1"/>
  <c r="A5652" i="1"/>
  <c r="D5652" i="1"/>
  <c r="F5652" i="1"/>
  <c r="H5652" i="1"/>
  <c r="I5652" i="1"/>
  <c r="L5652" i="1"/>
  <c r="M5652" i="1"/>
  <c r="V5652" i="1"/>
  <c r="W5652" i="1"/>
  <c r="A766" i="1"/>
  <c r="D766" i="1"/>
  <c r="F766" i="1"/>
  <c r="H766" i="1"/>
  <c r="I766" i="1"/>
  <c r="L766" i="1"/>
  <c r="M766" i="1"/>
  <c r="V766" i="1"/>
  <c r="W766" i="1"/>
  <c r="A774" i="1"/>
  <c r="D774" i="1"/>
  <c r="F774" i="1"/>
  <c r="H774" i="1"/>
  <c r="I774" i="1"/>
  <c r="L774" i="1"/>
  <c r="M774" i="1"/>
  <c r="V774" i="1"/>
  <c r="W774" i="1"/>
  <c r="A768" i="1"/>
  <c r="D768" i="1"/>
  <c r="F768" i="1"/>
  <c r="H768" i="1"/>
  <c r="I768" i="1"/>
  <c r="L768" i="1"/>
  <c r="M768" i="1"/>
  <c r="V768" i="1"/>
  <c r="W768" i="1"/>
  <c r="A773" i="1"/>
  <c r="D773" i="1"/>
  <c r="F773" i="1"/>
  <c r="H773" i="1"/>
  <c r="I773" i="1"/>
  <c r="L773" i="1"/>
  <c r="M773" i="1"/>
  <c r="V773" i="1"/>
  <c r="W773" i="1"/>
  <c r="A2632" i="1"/>
  <c r="D2632" i="1"/>
  <c r="F2632" i="1"/>
  <c r="H2632" i="1"/>
  <c r="I2632" i="1"/>
  <c r="L2632" i="1"/>
  <c r="M2632" i="1"/>
  <c r="V2632" i="1"/>
  <c r="W2632" i="1"/>
  <c r="A4926" i="1"/>
  <c r="D4926" i="1"/>
  <c r="F4926" i="1"/>
  <c r="H4926" i="1"/>
  <c r="I4926" i="1"/>
  <c r="L4926" i="1"/>
  <c r="M4926" i="1"/>
  <c r="V4926" i="1"/>
  <c r="W4926" i="1"/>
  <c r="A4920" i="1"/>
  <c r="D4920" i="1"/>
  <c r="F4920" i="1"/>
  <c r="H4920" i="1"/>
  <c r="I4920" i="1"/>
  <c r="L4920" i="1"/>
  <c r="M4920" i="1"/>
  <c r="V4920" i="1"/>
  <c r="W4920" i="1"/>
  <c r="A1020" i="1"/>
  <c r="D1020" i="1"/>
  <c r="F1020" i="1"/>
  <c r="H1020" i="1"/>
  <c r="I1020" i="1"/>
  <c r="L1020" i="1"/>
  <c r="M1020" i="1"/>
  <c r="V1020" i="1"/>
  <c r="W1020" i="1"/>
  <c r="A3335" i="1"/>
  <c r="D3335" i="1"/>
  <c r="F3335" i="1"/>
  <c r="H3335" i="1"/>
  <c r="I3335" i="1"/>
  <c r="L3335" i="1"/>
  <c r="M3335" i="1"/>
  <c r="V3335" i="1"/>
  <c r="W3335" i="1"/>
  <c r="A813" i="1"/>
  <c r="D813" i="1"/>
  <c r="F813" i="1"/>
  <c r="H813" i="1"/>
  <c r="I813" i="1"/>
  <c r="L813" i="1"/>
  <c r="M813" i="1"/>
  <c r="V813" i="1"/>
  <c r="W813" i="1"/>
  <c r="A2160" i="1"/>
  <c r="D2160" i="1"/>
  <c r="F2160" i="1"/>
  <c r="H2160" i="1"/>
  <c r="I2160" i="1"/>
  <c r="L2160" i="1"/>
  <c r="M2160" i="1"/>
  <c r="V2160" i="1"/>
  <c r="W2160" i="1"/>
  <c r="A1610" i="1"/>
  <c r="D1610" i="1"/>
  <c r="F1610" i="1"/>
  <c r="H1610" i="1"/>
  <c r="I1610" i="1"/>
  <c r="L1610" i="1"/>
  <c r="M1610" i="1"/>
  <c r="V1610" i="1"/>
  <c r="W1610" i="1"/>
  <c r="A2214" i="1"/>
  <c r="D2214" i="1"/>
  <c r="F2214" i="1"/>
  <c r="H2214" i="1"/>
  <c r="I2214" i="1"/>
  <c r="L2214" i="1"/>
  <c r="M2214" i="1"/>
  <c r="V2214" i="1"/>
  <c r="W2214" i="1"/>
  <c r="A3019" i="1"/>
  <c r="D3019" i="1"/>
  <c r="F3019" i="1"/>
  <c r="H3019" i="1"/>
  <c r="I3019" i="1"/>
  <c r="L3019" i="1"/>
  <c r="M3019" i="1"/>
  <c r="V3019" i="1"/>
  <c r="W3019" i="1"/>
  <c r="A3812" i="1"/>
  <c r="D3812" i="1"/>
  <c r="F3812" i="1"/>
  <c r="H3812" i="1"/>
  <c r="I3812" i="1"/>
  <c r="L3812" i="1"/>
  <c r="M3812" i="1"/>
  <c r="V3812" i="1"/>
  <c r="W3812" i="1"/>
  <c r="A201" i="1"/>
  <c r="D201" i="1"/>
  <c r="F201" i="1"/>
  <c r="H201" i="1"/>
  <c r="I201" i="1"/>
  <c r="L201" i="1"/>
  <c r="M201" i="1"/>
  <c r="V201" i="1"/>
  <c r="W201" i="1"/>
  <c r="A1121" i="1"/>
  <c r="D1121" i="1"/>
  <c r="F1121" i="1"/>
  <c r="H1121" i="1"/>
  <c r="I1121" i="1"/>
  <c r="L1121" i="1"/>
  <c r="M1121" i="1"/>
  <c r="V1121" i="1"/>
  <c r="W1121" i="1"/>
  <c r="A2036" i="1"/>
  <c r="D2036" i="1"/>
  <c r="F2036" i="1"/>
  <c r="H2036" i="1"/>
  <c r="I2036" i="1"/>
  <c r="L2036" i="1"/>
  <c r="M2036" i="1"/>
  <c r="V2036" i="1"/>
  <c r="W2036" i="1"/>
  <c r="A2139" i="1"/>
  <c r="D2139" i="1"/>
  <c r="F2139" i="1"/>
  <c r="H2139" i="1"/>
  <c r="I2139" i="1"/>
  <c r="L2139" i="1"/>
  <c r="M2139" i="1"/>
  <c r="V2139" i="1"/>
  <c r="W2139" i="1"/>
  <c r="A398" i="1"/>
  <c r="D398" i="1"/>
  <c r="F398" i="1"/>
  <c r="H398" i="1"/>
  <c r="I398" i="1"/>
  <c r="L398" i="1"/>
  <c r="M398" i="1"/>
  <c r="V398" i="1"/>
  <c r="W398" i="1"/>
  <c r="A433" i="1"/>
  <c r="D433" i="1"/>
  <c r="F433" i="1"/>
  <c r="H433" i="1"/>
  <c r="I433" i="1"/>
  <c r="L433" i="1"/>
  <c r="M433" i="1"/>
  <c r="V433" i="1"/>
  <c r="W433" i="1"/>
  <c r="A1120" i="1"/>
  <c r="D1120" i="1"/>
  <c r="F1120" i="1"/>
  <c r="H1120" i="1"/>
  <c r="I1120" i="1"/>
  <c r="L1120" i="1"/>
  <c r="M1120" i="1"/>
  <c r="V1120" i="1"/>
  <c r="W1120" i="1"/>
  <c r="A5662" i="1"/>
  <c r="D5662" i="1"/>
  <c r="F5662" i="1"/>
  <c r="H5662" i="1"/>
  <c r="I5662" i="1"/>
  <c r="L5662" i="1"/>
  <c r="M5662" i="1"/>
  <c r="V5662" i="1"/>
  <c r="W5662" i="1"/>
  <c r="A1631" i="1"/>
  <c r="D1631" i="1"/>
  <c r="F1631" i="1"/>
  <c r="H1631" i="1"/>
  <c r="I1631" i="1"/>
  <c r="L1631" i="1"/>
  <c r="M1631" i="1"/>
  <c r="V1631" i="1"/>
  <c r="W1631" i="1"/>
  <c r="A2028" i="1"/>
  <c r="D2028" i="1"/>
  <c r="F2028" i="1"/>
  <c r="H2028" i="1"/>
  <c r="I2028" i="1"/>
  <c r="L2028" i="1"/>
  <c r="M2028" i="1"/>
  <c r="V2028" i="1"/>
  <c r="W2028" i="1"/>
  <c r="A1918" i="1"/>
  <c r="D1918" i="1"/>
  <c r="F1918" i="1"/>
  <c r="H1918" i="1"/>
  <c r="I1918" i="1"/>
  <c r="L1918" i="1"/>
  <c r="M1918" i="1"/>
  <c r="V1918" i="1"/>
  <c r="W1918" i="1"/>
  <c r="A1101" i="1"/>
  <c r="D1101" i="1"/>
  <c r="F1101" i="1"/>
  <c r="H1101" i="1"/>
  <c r="I1101" i="1"/>
  <c r="L1101" i="1"/>
  <c r="M1101" i="1"/>
  <c r="V1101" i="1"/>
  <c r="W1101" i="1"/>
  <c r="A855" i="1"/>
  <c r="D855" i="1"/>
  <c r="F855" i="1"/>
  <c r="H855" i="1"/>
  <c r="I855" i="1"/>
  <c r="L855" i="1"/>
  <c r="M855" i="1"/>
  <c r="V855" i="1"/>
  <c r="W855" i="1"/>
  <c r="A5997" i="1"/>
  <c r="D5997" i="1"/>
  <c r="F5997" i="1"/>
  <c r="H5997" i="1"/>
  <c r="I5997" i="1"/>
  <c r="L5997" i="1"/>
  <c r="M5997" i="1"/>
  <c r="V5997" i="1"/>
  <c r="W5997" i="1"/>
  <c r="A98" i="1"/>
  <c r="D98" i="1"/>
  <c r="F98" i="1"/>
  <c r="H98" i="1"/>
  <c r="I98" i="1"/>
  <c r="L98" i="1"/>
  <c r="M98" i="1"/>
  <c r="V98" i="1"/>
  <c r="W98" i="1"/>
  <c r="A149" i="1"/>
  <c r="D149" i="1"/>
  <c r="F149" i="1"/>
  <c r="H149" i="1"/>
  <c r="I149" i="1"/>
  <c r="L149" i="1"/>
  <c r="M149" i="1"/>
  <c r="V149" i="1"/>
  <c r="W149" i="1"/>
  <c r="A3775" i="1"/>
  <c r="D3775" i="1"/>
  <c r="F3775" i="1"/>
  <c r="H3775" i="1"/>
  <c r="I3775" i="1"/>
  <c r="L3775" i="1"/>
  <c r="M3775" i="1"/>
  <c r="V3775" i="1"/>
  <c r="W3775" i="1"/>
  <c r="A5109" i="1"/>
  <c r="D5109" i="1"/>
  <c r="F5109" i="1"/>
  <c r="H5109" i="1"/>
  <c r="I5109" i="1"/>
  <c r="L5109" i="1"/>
  <c r="M5109" i="1"/>
  <c r="V5109" i="1"/>
  <c r="W5109" i="1"/>
  <c r="A478" i="1"/>
  <c r="D478" i="1"/>
  <c r="F478" i="1"/>
  <c r="H478" i="1"/>
  <c r="I478" i="1"/>
  <c r="L478" i="1"/>
  <c r="M478" i="1"/>
  <c r="V478" i="1"/>
  <c r="W478" i="1"/>
  <c r="A4771" i="1"/>
  <c r="D4771" i="1"/>
  <c r="F4771" i="1"/>
  <c r="H4771" i="1"/>
  <c r="I4771" i="1"/>
  <c r="L4771" i="1"/>
  <c r="M4771" i="1"/>
  <c r="V4771" i="1"/>
  <c r="W4771" i="1"/>
  <c r="A492" i="1"/>
  <c r="D492" i="1"/>
  <c r="F492" i="1"/>
  <c r="H492" i="1"/>
  <c r="I492" i="1"/>
  <c r="L492" i="1"/>
  <c r="M492" i="1"/>
  <c r="V492" i="1"/>
  <c r="W492" i="1"/>
  <c r="A3561" i="1"/>
  <c r="D3561" i="1"/>
  <c r="F3561" i="1"/>
  <c r="H3561" i="1"/>
  <c r="I3561" i="1"/>
  <c r="L3561" i="1"/>
  <c r="M3561" i="1"/>
  <c r="V3561" i="1"/>
  <c r="W3561" i="1"/>
  <c r="A4490" i="1"/>
  <c r="D4490" i="1"/>
  <c r="F4490" i="1"/>
  <c r="H4490" i="1"/>
  <c r="I4490" i="1"/>
  <c r="L4490" i="1"/>
  <c r="M4490" i="1"/>
  <c r="V4490" i="1"/>
  <c r="W4490" i="1"/>
  <c r="A1886" i="1"/>
  <c r="D1886" i="1"/>
  <c r="F1886" i="1"/>
  <c r="H1886" i="1"/>
  <c r="I1886" i="1"/>
  <c r="L1886" i="1"/>
  <c r="M1886" i="1"/>
  <c r="V1886" i="1"/>
  <c r="W1886" i="1"/>
  <c r="A4332" i="1"/>
  <c r="D4332" i="1"/>
  <c r="F4332" i="1"/>
  <c r="H4332" i="1"/>
  <c r="I4332" i="1"/>
  <c r="L4332" i="1"/>
  <c r="M4332" i="1"/>
  <c r="V4332" i="1"/>
  <c r="W4332" i="1"/>
  <c r="A4286" i="1"/>
  <c r="D4286" i="1"/>
  <c r="F4286" i="1"/>
  <c r="H4286" i="1"/>
  <c r="I4286" i="1"/>
  <c r="L4286" i="1"/>
  <c r="M4286" i="1"/>
  <c r="V4286" i="1"/>
  <c r="W4286" i="1"/>
  <c r="A5428" i="1"/>
  <c r="D5428" i="1"/>
  <c r="F5428" i="1"/>
  <c r="H5428" i="1"/>
  <c r="I5428" i="1"/>
  <c r="L5428" i="1"/>
  <c r="M5428" i="1"/>
  <c r="V5428" i="1"/>
  <c r="W5428" i="1"/>
  <c r="A5929" i="1"/>
  <c r="D5929" i="1"/>
  <c r="F5929" i="1"/>
  <c r="H5929" i="1"/>
  <c r="I5929" i="1"/>
  <c r="L5929" i="1"/>
  <c r="M5929" i="1"/>
  <c r="V5929" i="1"/>
  <c r="W5929" i="1"/>
  <c r="A6110" i="1"/>
  <c r="D6110" i="1"/>
  <c r="F6110" i="1"/>
  <c r="H6110" i="1"/>
  <c r="I6110" i="1"/>
  <c r="L6110" i="1"/>
  <c r="M6110" i="1"/>
  <c r="V6110" i="1"/>
  <c r="W6110" i="1"/>
  <c r="A853" i="1"/>
  <c r="D853" i="1"/>
  <c r="F853" i="1"/>
  <c r="H853" i="1"/>
  <c r="I853" i="1"/>
  <c r="L853" i="1"/>
  <c r="M853" i="1"/>
  <c r="V853" i="1"/>
  <c r="W853" i="1"/>
  <c r="A2524" i="1"/>
  <c r="D2524" i="1"/>
  <c r="F2524" i="1"/>
  <c r="H2524" i="1"/>
  <c r="I2524" i="1"/>
  <c r="L2524" i="1"/>
  <c r="M2524" i="1"/>
  <c r="V2524" i="1"/>
  <c r="W2524" i="1"/>
  <c r="A5942" i="1"/>
  <c r="D5942" i="1"/>
  <c r="F5942" i="1"/>
  <c r="H5942" i="1"/>
  <c r="I5942" i="1"/>
  <c r="L5942" i="1"/>
  <c r="M5942" i="1"/>
  <c r="V5942" i="1"/>
  <c r="W5942" i="1"/>
  <c r="A117" i="1"/>
  <c r="D117" i="1"/>
  <c r="F117" i="1"/>
  <c r="H117" i="1"/>
  <c r="I117" i="1"/>
  <c r="L117" i="1"/>
  <c r="M117" i="1"/>
  <c r="V117" i="1"/>
  <c r="W117" i="1"/>
  <c r="A159" i="1"/>
  <c r="D159" i="1"/>
  <c r="F159" i="1"/>
  <c r="H159" i="1"/>
  <c r="I159" i="1"/>
  <c r="L159" i="1"/>
  <c r="M159" i="1"/>
  <c r="V159" i="1"/>
  <c r="W159" i="1"/>
  <c r="A187" i="1"/>
  <c r="D187" i="1"/>
  <c r="F187" i="1"/>
  <c r="H187" i="1"/>
  <c r="I187" i="1"/>
  <c r="L187" i="1"/>
  <c r="M187" i="1"/>
  <c r="V187" i="1"/>
  <c r="W187" i="1"/>
  <c r="A5904" i="1"/>
  <c r="D5904" i="1"/>
  <c r="F5904" i="1"/>
  <c r="H5904" i="1"/>
  <c r="I5904" i="1"/>
  <c r="L5904" i="1"/>
  <c r="M5904" i="1"/>
  <c r="V5904" i="1"/>
  <c r="W5904" i="1"/>
  <c r="A2118" i="1"/>
  <c r="D2118" i="1"/>
  <c r="F2118" i="1"/>
  <c r="H2118" i="1"/>
  <c r="I2118" i="1"/>
  <c r="L2118" i="1"/>
  <c r="M2118" i="1"/>
  <c r="V2118" i="1"/>
  <c r="W2118" i="1"/>
  <c r="A2693" i="1"/>
  <c r="D2693" i="1"/>
  <c r="F2693" i="1"/>
  <c r="H2693" i="1"/>
  <c r="I2693" i="1"/>
  <c r="L2693" i="1"/>
  <c r="M2693" i="1"/>
  <c r="V2693" i="1"/>
  <c r="W2693" i="1"/>
  <c r="A1394" i="1"/>
  <c r="D1394" i="1"/>
  <c r="F1394" i="1"/>
  <c r="H1394" i="1"/>
  <c r="I1394" i="1"/>
  <c r="L1394" i="1"/>
  <c r="M1394" i="1"/>
  <c r="V1394" i="1"/>
  <c r="W1394" i="1"/>
  <c r="A2163" i="1"/>
  <c r="D2163" i="1"/>
  <c r="F2163" i="1"/>
  <c r="H2163" i="1"/>
  <c r="I2163" i="1"/>
  <c r="L2163" i="1"/>
  <c r="M2163" i="1"/>
  <c r="V2163" i="1"/>
  <c r="W2163" i="1"/>
  <c r="A2205" i="1"/>
  <c r="D2205" i="1"/>
  <c r="F2205" i="1"/>
  <c r="H2205" i="1"/>
  <c r="I2205" i="1"/>
  <c r="L2205" i="1"/>
  <c r="M2205" i="1"/>
  <c r="V2205" i="1"/>
  <c r="W2205" i="1"/>
  <c r="A948" i="1"/>
  <c r="D948" i="1"/>
  <c r="F948" i="1"/>
  <c r="H948" i="1"/>
  <c r="I948" i="1"/>
  <c r="L948" i="1"/>
  <c r="M948" i="1"/>
  <c r="V948" i="1"/>
  <c r="W948" i="1"/>
  <c r="A2071" i="1"/>
  <c r="D2071" i="1"/>
  <c r="F2071" i="1"/>
  <c r="H2071" i="1"/>
  <c r="I2071" i="1"/>
  <c r="L2071" i="1"/>
  <c r="M2071" i="1"/>
  <c r="V2071" i="1"/>
  <c r="W2071" i="1"/>
  <c r="A2034" i="1"/>
  <c r="D2034" i="1"/>
  <c r="F2034" i="1"/>
  <c r="H2034" i="1"/>
  <c r="I2034" i="1"/>
  <c r="L2034" i="1"/>
  <c r="M2034" i="1"/>
  <c r="V2034" i="1"/>
  <c r="W2034" i="1"/>
  <c r="A2040" i="1"/>
  <c r="D2040" i="1"/>
  <c r="F2040" i="1"/>
  <c r="H2040" i="1"/>
  <c r="I2040" i="1"/>
  <c r="L2040" i="1"/>
  <c r="M2040" i="1"/>
  <c r="V2040" i="1"/>
  <c r="W2040" i="1"/>
  <c r="A2092" i="1"/>
  <c r="D2092" i="1"/>
  <c r="F2092" i="1"/>
  <c r="H2092" i="1"/>
  <c r="I2092" i="1"/>
  <c r="L2092" i="1"/>
  <c r="M2092" i="1"/>
  <c r="V2092" i="1"/>
  <c r="W2092" i="1"/>
  <c r="A2594" i="1"/>
  <c r="D2594" i="1"/>
  <c r="F2594" i="1"/>
  <c r="H2594" i="1"/>
  <c r="I2594" i="1"/>
  <c r="L2594" i="1"/>
  <c r="M2594" i="1"/>
  <c r="V2594" i="1"/>
  <c r="W2594" i="1"/>
  <c r="A2078" i="1"/>
  <c r="D2078" i="1"/>
  <c r="F2078" i="1"/>
  <c r="H2078" i="1"/>
  <c r="I2078" i="1"/>
  <c r="L2078" i="1"/>
  <c r="M2078" i="1"/>
  <c r="V2078" i="1"/>
  <c r="W2078" i="1"/>
  <c r="A848" i="1"/>
  <c r="D848" i="1"/>
  <c r="F848" i="1"/>
  <c r="H848" i="1"/>
  <c r="I848" i="1"/>
  <c r="L848" i="1"/>
  <c r="M848" i="1"/>
  <c r="V848" i="1"/>
  <c r="W848" i="1"/>
  <c r="A1272" i="1"/>
  <c r="D1272" i="1"/>
  <c r="F1272" i="1"/>
  <c r="H1272" i="1"/>
  <c r="I1272" i="1"/>
  <c r="L1272" i="1"/>
  <c r="M1272" i="1"/>
  <c r="V1272" i="1"/>
  <c r="W1272" i="1"/>
  <c r="A3710" i="1"/>
  <c r="D3710" i="1"/>
  <c r="F3710" i="1"/>
  <c r="H3710" i="1"/>
  <c r="I3710" i="1"/>
  <c r="L3710" i="1"/>
  <c r="M3710" i="1"/>
  <c r="V3710" i="1"/>
  <c r="W3710" i="1"/>
  <c r="A3830" i="1"/>
  <c r="D3830" i="1"/>
  <c r="F3830" i="1"/>
  <c r="H3830" i="1"/>
  <c r="I3830" i="1"/>
  <c r="L3830" i="1"/>
  <c r="M3830" i="1"/>
  <c r="V3830" i="1"/>
  <c r="W3830" i="1"/>
  <c r="A849" i="1"/>
  <c r="D849" i="1"/>
  <c r="F849" i="1"/>
  <c r="H849" i="1"/>
  <c r="I849" i="1"/>
  <c r="L849" i="1"/>
  <c r="M849" i="1"/>
  <c r="V849" i="1"/>
  <c r="W849" i="1"/>
  <c r="A1270" i="1"/>
  <c r="D1270" i="1"/>
  <c r="F1270" i="1"/>
  <c r="H1270" i="1"/>
  <c r="I1270" i="1"/>
  <c r="L1270" i="1"/>
  <c r="M1270" i="1"/>
  <c r="V1270" i="1"/>
  <c r="W1270" i="1"/>
  <c r="A851" i="1"/>
  <c r="D851" i="1"/>
  <c r="F851" i="1"/>
  <c r="H851" i="1"/>
  <c r="I851" i="1"/>
  <c r="L851" i="1"/>
  <c r="M851" i="1"/>
  <c r="V851" i="1"/>
  <c r="W851" i="1"/>
  <c r="A1274" i="1"/>
  <c r="D1274" i="1"/>
  <c r="F1274" i="1"/>
  <c r="H1274" i="1"/>
  <c r="I1274" i="1"/>
  <c r="L1274" i="1"/>
  <c r="M1274" i="1"/>
  <c r="V1274" i="1"/>
  <c r="W1274" i="1"/>
  <c r="A3435" i="1"/>
  <c r="D3435" i="1"/>
  <c r="F3435" i="1"/>
  <c r="H3435" i="1"/>
  <c r="I3435" i="1"/>
  <c r="L3435" i="1"/>
  <c r="M3435" i="1"/>
  <c r="V3435" i="1"/>
  <c r="W3435" i="1"/>
  <c r="A3456" i="1"/>
  <c r="D3456" i="1"/>
  <c r="F3456" i="1"/>
  <c r="H3456" i="1"/>
  <c r="I3456" i="1"/>
  <c r="L3456" i="1"/>
  <c r="M3456" i="1"/>
  <c r="V3456" i="1"/>
  <c r="W3456" i="1"/>
  <c r="A3595" i="1"/>
  <c r="D3595" i="1"/>
  <c r="F3595" i="1"/>
  <c r="H3595" i="1"/>
  <c r="I3595" i="1"/>
  <c r="L3595" i="1"/>
  <c r="M3595" i="1"/>
  <c r="V3595" i="1"/>
  <c r="W3595" i="1"/>
  <c r="A3790" i="1"/>
  <c r="D3790" i="1"/>
  <c r="F3790" i="1"/>
  <c r="H3790" i="1"/>
  <c r="I3790" i="1"/>
  <c r="L3790" i="1"/>
  <c r="M3790" i="1"/>
  <c r="V3790" i="1"/>
  <c r="W3790" i="1"/>
  <c r="A601" i="1"/>
  <c r="D601" i="1"/>
  <c r="F601" i="1"/>
  <c r="H601" i="1"/>
  <c r="I601" i="1"/>
  <c r="L601" i="1"/>
  <c r="M601" i="1"/>
  <c r="V601" i="1"/>
  <c r="W601" i="1"/>
  <c r="A256" i="1"/>
  <c r="D256" i="1"/>
  <c r="F256" i="1"/>
  <c r="H256" i="1"/>
  <c r="I256" i="1"/>
  <c r="L256" i="1"/>
  <c r="M256" i="1"/>
  <c r="V256" i="1"/>
  <c r="W256" i="1"/>
  <c r="A295" i="1"/>
  <c r="D295" i="1"/>
  <c r="F295" i="1"/>
  <c r="H295" i="1"/>
  <c r="I295" i="1"/>
  <c r="L295" i="1"/>
  <c r="M295" i="1"/>
  <c r="V295" i="1"/>
  <c r="W295" i="1"/>
  <c r="A1141" i="1"/>
  <c r="D1141" i="1"/>
  <c r="F1141" i="1"/>
  <c r="H1141" i="1"/>
  <c r="I1141" i="1"/>
  <c r="L1141" i="1"/>
  <c r="M1141" i="1"/>
  <c r="V1141" i="1"/>
  <c r="W1141" i="1"/>
  <c r="A1712" i="1"/>
  <c r="D1712" i="1"/>
  <c r="F1712" i="1"/>
  <c r="H1712" i="1"/>
  <c r="I1712" i="1"/>
  <c r="L1712" i="1"/>
  <c r="M1712" i="1"/>
  <c r="V1712" i="1"/>
  <c r="W1712" i="1"/>
  <c r="A1488" i="1"/>
  <c r="D1488" i="1"/>
  <c r="F1488" i="1"/>
  <c r="H1488" i="1"/>
  <c r="I1488" i="1"/>
  <c r="L1488" i="1"/>
  <c r="M1488" i="1"/>
  <c r="V1488" i="1"/>
  <c r="W1488" i="1"/>
  <c r="A830" i="1"/>
  <c r="D830" i="1"/>
  <c r="F830" i="1"/>
  <c r="H830" i="1"/>
  <c r="I830" i="1"/>
  <c r="L830" i="1"/>
  <c r="M830" i="1"/>
  <c r="V830" i="1"/>
  <c r="W830" i="1"/>
  <c r="A1369" i="1"/>
  <c r="D1369" i="1"/>
  <c r="F1369" i="1"/>
  <c r="H1369" i="1"/>
  <c r="I1369" i="1"/>
  <c r="L1369" i="1"/>
  <c r="M1369" i="1"/>
  <c r="V1369" i="1"/>
  <c r="W1369" i="1"/>
  <c r="A5603" i="1"/>
  <c r="D5603" i="1"/>
  <c r="F5603" i="1"/>
  <c r="H5603" i="1"/>
  <c r="I5603" i="1"/>
  <c r="L5603" i="1"/>
  <c r="M5603" i="1"/>
  <c r="V5603" i="1"/>
  <c r="W5603" i="1"/>
  <c r="A1622" i="1"/>
  <c r="D1622" i="1"/>
  <c r="F1622" i="1"/>
  <c r="H1622" i="1"/>
  <c r="I1622" i="1"/>
  <c r="L1622" i="1"/>
  <c r="M1622" i="1"/>
  <c r="V1622" i="1"/>
  <c r="W1622" i="1"/>
  <c r="A1193" i="1"/>
  <c r="D1193" i="1"/>
  <c r="F1193" i="1"/>
  <c r="H1193" i="1"/>
  <c r="I1193" i="1"/>
  <c r="L1193" i="1"/>
  <c r="M1193" i="1"/>
  <c r="V1193" i="1"/>
  <c r="W1193" i="1"/>
  <c r="A3101" i="1"/>
  <c r="D3101" i="1"/>
  <c r="F3101" i="1"/>
  <c r="H3101" i="1"/>
  <c r="I3101" i="1"/>
  <c r="L3101" i="1"/>
  <c r="M3101" i="1"/>
  <c r="V3101" i="1"/>
  <c r="W3101" i="1"/>
  <c r="A3138" i="1"/>
  <c r="D3138" i="1"/>
  <c r="F3138" i="1"/>
  <c r="H3138" i="1"/>
  <c r="I3138" i="1"/>
  <c r="L3138" i="1"/>
  <c r="M3138" i="1"/>
  <c r="V3138" i="1"/>
  <c r="W3138" i="1"/>
  <c r="A3279" i="1"/>
  <c r="D3279" i="1"/>
  <c r="F3279" i="1"/>
  <c r="H3279" i="1"/>
  <c r="I3279" i="1"/>
  <c r="L3279" i="1"/>
  <c r="M3279" i="1"/>
  <c r="V3279" i="1"/>
  <c r="W3279" i="1"/>
  <c r="A3811" i="1"/>
  <c r="D3811" i="1"/>
  <c r="F3811" i="1"/>
  <c r="H3811" i="1"/>
  <c r="I3811" i="1"/>
  <c r="L3811" i="1"/>
  <c r="M3811" i="1"/>
  <c r="V3811" i="1"/>
  <c r="W3811" i="1"/>
  <c r="A61" i="1"/>
  <c r="D61" i="1"/>
  <c r="F61" i="1"/>
  <c r="H61" i="1"/>
  <c r="I61" i="1"/>
  <c r="L61" i="1"/>
  <c r="M61" i="1"/>
  <c r="V61" i="1"/>
  <c r="W61" i="1"/>
  <c r="A3273" i="1"/>
  <c r="D3273" i="1"/>
  <c r="F3273" i="1"/>
  <c r="H3273" i="1"/>
  <c r="I3273" i="1"/>
  <c r="L3273" i="1"/>
  <c r="M3273" i="1"/>
  <c r="V3273" i="1"/>
  <c r="W3273" i="1"/>
  <c r="A852" i="1"/>
  <c r="D852" i="1"/>
  <c r="F852" i="1"/>
  <c r="H852" i="1"/>
  <c r="I852" i="1"/>
  <c r="L852" i="1"/>
  <c r="M852" i="1"/>
  <c r="V852" i="1"/>
  <c r="W852" i="1"/>
  <c r="A1275" i="1"/>
  <c r="D1275" i="1"/>
  <c r="F1275" i="1"/>
  <c r="H1275" i="1"/>
  <c r="I1275" i="1"/>
  <c r="L1275" i="1"/>
  <c r="M1275" i="1"/>
  <c r="V1275" i="1"/>
  <c r="W1275" i="1"/>
  <c r="A2325" i="1"/>
  <c r="D2325" i="1"/>
  <c r="F2325" i="1"/>
  <c r="H2325" i="1"/>
  <c r="I2325" i="1"/>
  <c r="L2325" i="1"/>
  <c r="M2325" i="1"/>
  <c r="V2325" i="1"/>
  <c r="W2325" i="1"/>
  <c r="A2531" i="1"/>
  <c r="D2531" i="1"/>
  <c r="F2531" i="1"/>
  <c r="H2531" i="1"/>
  <c r="I2531" i="1"/>
  <c r="L2531" i="1"/>
  <c r="M2531" i="1"/>
  <c r="V2531" i="1"/>
  <c r="W2531" i="1"/>
  <c r="A1854" i="1"/>
  <c r="D1854" i="1"/>
  <c r="F1854" i="1"/>
  <c r="H1854" i="1"/>
  <c r="I1854" i="1"/>
  <c r="L1854" i="1"/>
  <c r="M1854" i="1"/>
  <c r="V1854" i="1"/>
  <c r="W1854" i="1"/>
  <c r="A2194" i="1"/>
  <c r="D2194" i="1"/>
  <c r="F2194" i="1"/>
  <c r="H2194" i="1"/>
  <c r="I2194" i="1"/>
  <c r="L2194" i="1"/>
  <c r="M2194" i="1"/>
  <c r="V2194" i="1"/>
  <c r="W2194" i="1"/>
  <c r="A691" i="1"/>
  <c r="D691" i="1"/>
  <c r="F691" i="1"/>
  <c r="H691" i="1"/>
  <c r="I691" i="1"/>
  <c r="L691" i="1"/>
  <c r="M691" i="1"/>
  <c r="V691" i="1"/>
  <c r="W691" i="1"/>
  <c r="A1857" i="1"/>
  <c r="D1857" i="1"/>
  <c r="F1857" i="1"/>
  <c r="H1857" i="1"/>
  <c r="I1857" i="1"/>
  <c r="L1857" i="1"/>
  <c r="M1857" i="1"/>
  <c r="V1857" i="1"/>
  <c r="W1857" i="1"/>
  <c r="A3965" i="1"/>
  <c r="D3965" i="1"/>
  <c r="F3965" i="1"/>
  <c r="H3965" i="1"/>
  <c r="I3965" i="1"/>
  <c r="L3965" i="1"/>
  <c r="M3965" i="1"/>
  <c r="V3965" i="1"/>
  <c r="W3965" i="1"/>
  <c r="A6073" i="1"/>
  <c r="D6073" i="1"/>
  <c r="F6073" i="1"/>
  <c r="H6073" i="1"/>
  <c r="I6073" i="1"/>
  <c r="L6073" i="1"/>
  <c r="M6073" i="1"/>
  <c r="V6073" i="1"/>
  <c r="W6073" i="1"/>
  <c r="A294" i="1"/>
  <c r="D294" i="1"/>
  <c r="F294" i="1"/>
  <c r="H294" i="1"/>
  <c r="I294" i="1"/>
  <c r="L294" i="1"/>
  <c r="M294" i="1"/>
  <c r="V294" i="1"/>
  <c r="W294" i="1"/>
  <c r="A920" i="1"/>
  <c r="D920" i="1"/>
  <c r="F920" i="1"/>
  <c r="H920" i="1"/>
  <c r="I920" i="1"/>
  <c r="L920" i="1"/>
  <c r="M920" i="1"/>
  <c r="V920" i="1"/>
  <c r="W920" i="1"/>
  <c r="A1144" i="1"/>
  <c r="D1144" i="1"/>
  <c r="F1144" i="1"/>
  <c r="H1144" i="1"/>
  <c r="I1144" i="1"/>
  <c r="L1144" i="1"/>
  <c r="M1144" i="1"/>
  <c r="V1144" i="1"/>
  <c r="W1144" i="1"/>
  <c r="A1287" i="1"/>
  <c r="D1287" i="1"/>
  <c r="F1287" i="1"/>
  <c r="H1287" i="1"/>
  <c r="I1287" i="1"/>
  <c r="L1287" i="1"/>
  <c r="M1287" i="1"/>
  <c r="V1287" i="1"/>
  <c r="W1287" i="1"/>
  <c r="A1302" i="1"/>
  <c r="D1302" i="1"/>
  <c r="F1302" i="1"/>
  <c r="H1302" i="1"/>
  <c r="I1302" i="1"/>
  <c r="L1302" i="1"/>
  <c r="M1302" i="1"/>
  <c r="V1302" i="1"/>
  <c r="W1302" i="1"/>
  <c r="A1715" i="1"/>
  <c r="D1715" i="1"/>
  <c r="F1715" i="1"/>
  <c r="H1715" i="1"/>
  <c r="I1715" i="1"/>
  <c r="L1715" i="1"/>
  <c r="M1715" i="1"/>
  <c r="V1715" i="1"/>
  <c r="W1715" i="1"/>
  <c r="A2974" i="1"/>
  <c r="D2974" i="1"/>
  <c r="F2974" i="1"/>
  <c r="H2974" i="1"/>
  <c r="I2974" i="1"/>
  <c r="L2974" i="1"/>
  <c r="M2974" i="1"/>
  <c r="V2974" i="1"/>
  <c r="W2974" i="1"/>
  <c r="A3264" i="1"/>
  <c r="D3264" i="1"/>
  <c r="F3264" i="1"/>
  <c r="H3264" i="1"/>
  <c r="I3264" i="1"/>
  <c r="L3264" i="1"/>
  <c r="M3264" i="1"/>
  <c r="V3264" i="1"/>
  <c r="W3264" i="1"/>
  <c r="A3524" i="1"/>
  <c r="D3524" i="1"/>
  <c r="F3524" i="1"/>
  <c r="H3524" i="1"/>
  <c r="I3524" i="1"/>
  <c r="L3524" i="1"/>
  <c r="M3524" i="1"/>
  <c r="V3524" i="1"/>
  <c r="W3524" i="1"/>
  <c r="A3838" i="1"/>
  <c r="D3838" i="1"/>
  <c r="F3838" i="1"/>
  <c r="H3838" i="1"/>
  <c r="I3838" i="1"/>
  <c r="L3838" i="1"/>
  <c r="M3838" i="1"/>
  <c r="V3838" i="1"/>
  <c r="W3838" i="1"/>
  <c r="A2291" i="1"/>
  <c r="D2291" i="1"/>
  <c r="F2291" i="1"/>
  <c r="H2291" i="1"/>
  <c r="I2291" i="1"/>
  <c r="L2291" i="1"/>
  <c r="M2291" i="1"/>
  <c r="V2291" i="1"/>
  <c r="W2291" i="1"/>
  <c r="A2453" i="1"/>
  <c r="D2453" i="1"/>
  <c r="F2453" i="1"/>
  <c r="H2453" i="1"/>
  <c r="I2453" i="1"/>
  <c r="L2453" i="1"/>
  <c r="M2453" i="1"/>
  <c r="V2453" i="1"/>
  <c r="W2453" i="1"/>
  <c r="A4214" i="1"/>
  <c r="D4214" i="1"/>
  <c r="F4214" i="1"/>
  <c r="H4214" i="1"/>
  <c r="I4214" i="1"/>
  <c r="L4214" i="1"/>
  <c r="M4214" i="1"/>
  <c r="V4214" i="1"/>
  <c r="W4214" i="1"/>
  <c r="A2435" i="1"/>
  <c r="D2435" i="1"/>
  <c r="F2435" i="1"/>
  <c r="H2435" i="1"/>
  <c r="I2435" i="1"/>
  <c r="L2435" i="1"/>
  <c r="M2435" i="1"/>
  <c r="V2435" i="1"/>
  <c r="W2435" i="1"/>
  <c r="A1793" i="1"/>
  <c r="D1793" i="1"/>
  <c r="F1793" i="1"/>
  <c r="H1793" i="1"/>
  <c r="I1793" i="1"/>
  <c r="L1793" i="1"/>
  <c r="M1793" i="1"/>
  <c r="V1793" i="1"/>
  <c r="W1793" i="1"/>
  <c r="A4071" i="1"/>
  <c r="D4071" i="1"/>
  <c r="F4071" i="1"/>
  <c r="H4071" i="1"/>
  <c r="I4071" i="1"/>
  <c r="L4071" i="1"/>
  <c r="M4071" i="1"/>
  <c r="V4071" i="1"/>
  <c r="W4071" i="1"/>
  <c r="A5039" i="1"/>
  <c r="D5039" i="1"/>
  <c r="F5039" i="1"/>
  <c r="H5039" i="1"/>
  <c r="I5039" i="1"/>
  <c r="L5039" i="1"/>
  <c r="M5039" i="1"/>
  <c r="V5039" i="1"/>
  <c r="W5039" i="1"/>
  <c r="A5243" i="1"/>
  <c r="D5243" i="1"/>
  <c r="F5243" i="1"/>
  <c r="H5243" i="1"/>
  <c r="I5243" i="1"/>
  <c r="L5243" i="1"/>
  <c r="M5243" i="1"/>
  <c r="V5243" i="1"/>
  <c r="W5243" i="1"/>
  <c r="A6128" i="1"/>
  <c r="D6128" i="1"/>
  <c r="F6128" i="1"/>
  <c r="H6128" i="1"/>
  <c r="I6128" i="1"/>
  <c r="L6128" i="1"/>
  <c r="M6128" i="1"/>
  <c r="V6128" i="1"/>
  <c r="W6128" i="1"/>
  <c r="A3990" i="1"/>
  <c r="D3990" i="1"/>
  <c r="F3990" i="1"/>
  <c r="H3990" i="1"/>
  <c r="I3990" i="1"/>
  <c r="L3990" i="1"/>
  <c r="M3990" i="1"/>
  <c r="V3990" i="1"/>
  <c r="W3990" i="1"/>
  <c r="A3698" i="1"/>
  <c r="D3698" i="1"/>
  <c r="F3698" i="1"/>
  <c r="H3698" i="1"/>
  <c r="I3698" i="1"/>
  <c r="L3698" i="1"/>
  <c r="M3698" i="1"/>
  <c r="V3698" i="1"/>
  <c r="W3698" i="1"/>
  <c r="A795" i="1"/>
  <c r="D795" i="1"/>
  <c r="F795" i="1"/>
  <c r="H795" i="1"/>
  <c r="I795" i="1"/>
  <c r="L795" i="1"/>
  <c r="M795" i="1"/>
  <c r="V795" i="1"/>
  <c r="W795" i="1"/>
  <c r="A1265" i="1"/>
  <c r="D1265" i="1"/>
  <c r="F1265" i="1"/>
  <c r="H1265" i="1"/>
  <c r="I1265" i="1"/>
  <c r="L1265" i="1"/>
  <c r="M1265" i="1"/>
  <c r="V1265" i="1"/>
  <c r="W1265" i="1"/>
  <c r="A1317" i="1"/>
  <c r="D1317" i="1"/>
  <c r="F1317" i="1"/>
  <c r="H1317" i="1"/>
  <c r="I1317" i="1"/>
  <c r="L1317" i="1"/>
  <c r="M1317" i="1"/>
  <c r="V1317" i="1"/>
  <c r="W1317" i="1"/>
  <c r="A5225" i="1"/>
  <c r="D5225" i="1"/>
  <c r="F5225" i="1"/>
  <c r="H5225" i="1"/>
  <c r="I5225" i="1"/>
  <c r="L5225" i="1"/>
  <c r="M5225" i="1"/>
  <c r="V5225" i="1"/>
  <c r="W5225" i="1"/>
  <c r="A4803" i="1"/>
  <c r="D4803" i="1"/>
  <c r="F4803" i="1"/>
  <c r="H4803" i="1"/>
  <c r="I4803" i="1"/>
  <c r="L4803" i="1"/>
  <c r="M4803" i="1"/>
  <c r="V4803" i="1"/>
  <c r="W4803" i="1"/>
  <c r="A112" i="1"/>
  <c r="D112" i="1"/>
  <c r="F112" i="1"/>
  <c r="H112" i="1"/>
  <c r="I112" i="1"/>
  <c r="L112" i="1"/>
  <c r="M112" i="1"/>
  <c r="V112" i="1"/>
  <c r="W112" i="1"/>
  <c r="A1308" i="1"/>
  <c r="D1308" i="1"/>
  <c r="F1308" i="1"/>
  <c r="H1308" i="1"/>
  <c r="I1308" i="1"/>
  <c r="L1308" i="1"/>
  <c r="M1308" i="1"/>
  <c r="V1308" i="1"/>
  <c r="W1308" i="1"/>
  <c r="A1563" i="1"/>
  <c r="D1563" i="1"/>
  <c r="F1563" i="1"/>
  <c r="H1563" i="1"/>
  <c r="I1563" i="1"/>
  <c r="L1563" i="1"/>
  <c r="M1563" i="1"/>
  <c r="V1563" i="1"/>
  <c r="W1563" i="1"/>
  <c r="A241" i="1"/>
  <c r="D241" i="1"/>
  <c r="F241" i="1"/>
  <c r="H241" i="1"/>
  <c r="I241" i="1"/>
  <c r="L241" i="1"/>
  <c r="M241" i="1"/>
  <c r="V241" i="1"/>
  <c r="W241" i="1"/>
  <c r="A494" i="1"/>
  <c r="D494" i="1"/>
  <c r="F494" i="1"/>
  <c r="H494" i="1"/>
  <c r="I494" i="1"/>
  <c r="L494" i="1"/>
  <c r="M494" i="1"/>
  <c r="V494" i="1"/>
  <c r="W494" i="1"/>
  <c r="A2474" i="1"/>
  <c r="D2474" i="1"/>
  <c r="F2474" i="1"/>
  <c r="H2474" i="1"/>
  <c r="I2474" i="1"/>
  <c r="L2474" i="1"/>
  <c r="M2474" i="1"/>
  <c r="V2474" i="1"/>
  <c r="W2474" i="1"/>
  <c r="A4684" i="1"/>
  <c r="D4684" i="1"/>
  <c r="F4684" i="1"/>
  <c r="H4684" i="1"/>
  <c r="I4684" i="1"/>
  <c r="L4684" i="1"/>
  <c r="M4684" i="1"/>
  <c r="V4684" i="1"/>
  <c r="W4684" i="1"/>
  <c r="A5254" i="1"/>
  <c r="D5254" i="1"/>
  <c r="F5254" i="1"/>
  <c r="H5254" i="1"/>
  <c r="I5254" i="1"/>
  <c r="L5254" i="1"/>
  <c r="M5254" i="1"/>
  <c r="V5254" i="1"/>
  <c r="W5254" i="1"/>
  <c r="A3376" i="1"/>
  <c r="D3376" i="1"/>
  <c r="F3376" i="1"/>
  <c r="H3376" i="1"/>
  <c r="I3376" i="1"/>
  <c r="L3376" i="1"/>
  <c r="M3376" i="1"/>
  <c r="V3376" i="1"/>
  <c r="W3376" i="1"/>
  <c r="A3551" i="1"/>
  <c r="D3551" i="1"/>
  <c r="F3551" i="1"/>
  <c r="H3551" i="1"/>
  <c r="I3551" i="1"/>
  <c r="L3551" i="1"/>
  <c r="M3551" i="1"/>
  <c r="V3551" i="1"/>
  <c r="W3551" i="1"/>
  <c r="A3552" i="1"/>
  <c r="D3552" i="1"/>
  <c r="F3552" i="1"/>
  <c r="H3552" i="1"/>
  <c r="I3552" i="1"/>
  <c r="L3552" i="1"/>
  <c r="M3552" i="1"/>
  <c r="V3552" i="1"/>
  <c r="W3552" i="1"/>
  <c r="A3820" i="1"/>
  <c r="D3820" i="1"/>
  <c r="F3820" i="1"/>
  <c r="H3820" i="1"/>
  <c r="I3820" i="1"/>
  <c r="L3820" i="1"/>
  <c r="M3820" i="1"/>
  <c r="V3820" i="1"/>
  <c r="W3820" i="1"/>
  <c r="A3490" i="1"/>
  <c r="D3490" i="1"/>
  <c r="F3490" i="1"/>
  <c r="H3490" i="1"/>
  <c r="I3490" i="1"/>
  <c r="L3490" i="1"/>
  <c r="M3490" i="1"/>
  <c r="V3490" i="1"/>
  <c r="W3490" i="1"/>
  <c r="A739" i="1"/>
  <c r="D739" i="1"/>
  <c r="F739" i="1"/>
  <c r="H739" i="1"/>
  <c r="I739" i="1"/>
  <c r="L739" i="1"/>
  <c r="M739" i="1"/>
  <c r="V739" i="1"/>
  <c r="W739" i="1"/>
  <c r="A5697" i="1"/>
  <c r="D5697" i="1"/>
  <c r="F5697" i="1"/>
  <c r="H5697" i="1"/>
  <c r="I5697" i="1"/>
  <c r="L5697" i="1"/>
  <c r="M5697" i="1"/>
  <c r="V5697" i="1"/>
  <c r="W5697" i="1"/>
  <c r="A5921" i="1"/>
  <c r="D5921" i="1"/>
  <c r="F5921" i="1"/>
  <c r="H5921" i="1"/>
  <c r="I5921" i="1"/>
  <c r="L5921" i="1"/>
  <c r="M5921" i="1"/>
  <c r="V5921" i="1"/>
  <c r="W5921" i="1"/>
  <c r="A5964" i="1"/>
  <c r="D5964" i="1"/>
  <c r="F5964" i="1"/>
  <c r="H5964" i="1"/>
  <c r="I5964" i="1"/>
  <c r="L5964" i="1"/>
  <c r="M5964" i="1"/>
  <c r="V5964" i="1"/>
  <c r="W5964" i="1"/>
  <c r="A5977" i="1"/>
  <c r="D5977" i="1"/>
  <c r="F5977" i="1"/>
  <c r="H5977" i="1"/>
  <c r="I5977" i="1"/>
  <c r="L5977" i="1"/>
  <c r="M5977" i="1"/>
  <c r="V5977" i="1"/>
  <c r="W5977" i="1"/>
  <c r="A62" i="1"/>
  <c r="D62" i="1"/>
  <c r="F62" i="1"/>
  <c r="H62" i="1"/>
  <c r="I62" i="1"/>
  <c r="L62" i="1"/>
  <c r="M62" i="1"/>
  <c r="V62" i="1"/>
  <c r="W62" i="1"/>
  <c r="A4651" i="1"/>
  <c r="D4651" i="1"/>
  <c r="F4651" i="1"/>
  <c r="H4651" i="1"/>
  <c r="I4651" i="1"/>
  <c r="L4651" i="1"/>
  <c r="M4651" i="1"/>
  <c r="V4651" i="1"/>
  <c r="W4651" i="1"/>
  <c r="A1061" i="1"/>
  <c r="D1061" i="1"/>
  <c r="F1061" i="1"/>
  <c r="H1061" i="1"/>
  <c r="I1061" i="1"/>
  <c r="L1061" i="1"/>
  <c r="M1061" i="1"/>
  <c r="V1061" i="1"/>
  <c r="W1061" i="1"/>
  <c r="A951" i="1"/>
  <c r="D951" i="1"/>
  <c r="F951" i="1"/>
  <c r="H951" i="1"/>
  <c r="I951" i="1"/>
  <c r="L951" i="1"/>
  <c r="M951" i="1"/>
  <c r="V951" i="1"/>
  <c r="W951" i="1"/>
  <c r="A3942" i="1"/>
  <c r="D3942" i="1"/>
  <c r="F3942" i="1"/>
  <c r="H3942" i="1"/>
  <c r="I3942" i="1"/>
  <c r="L3942" i="1"/>
  <c r="M3942" i="1"/>
  <c r="V3942" i="1"/>
  <c r="W3942" i="1"/>
  <c r="A5344" i="1"/>
  <c r="D5344" i="1"/>
  <c r="F5344" i="1"/>
  <c r="H5344" i="1"/>
  <c r="I5344" i="1"/>
  <c r="L5344" i="1"/>
  <c r="M5344" i="1"/>
  <c r="V5344" i="1"/>
  <c r="W5344" i="1"/>
  <c r="A609" i="1"/>
  <c r="D609" i="1"/>
  <c r="F609" i="1"/>
  <c r="H609" i="1"/>
  <c r="I609" i="1"/>
  <c r="L609" i="1"/>
  <c r="M609" i="1"/>
  <c r="V609" i="1"/>
  <c r="W609" i="1"/>
  <c r="A1010" i="1"/>
  <c r="D1010" i="1"/>
  <c r="F1010" i="1"/>
  <c r="H1010" i="1"/>
  <c r="I1010" i="1"/>
  <c r="L1010" i="1"/>
  <c r="M1010" i="1"/>
  <c r="V1010" i="1"/>
  <c r="W1010" i="1"/>
  <c r="A5103" i="1"/>
  <c r="D5103" i="1"/>
  <c r="F5103" i="1"/>
  <c r="H5103" i="1"/>
  <c r="I5103" i="1"/>
  <c r="L5103" i="1"/>
  <c r="M5103" i="1"/>
  <c r="V5103" i="1"/>
  <c r="W5103" i="1"/>
  <c r="A1510" i="1"/>
  <c r="D1510" i="1"/>
  <c r="F1510" i="1"/>
  <c r="H1510" i="1"/>
  <c r="I1510" i="1"/>
  <c r="L1510" i="1"/>
  <c r="M1510" i="1"/>
  <c r="V1510" i="1"/>
  <c r="W1510" i="1"/>
  <c r="A1694" i="1"/>
  <c r="D1694" i="1"/>
  <c r="F1694" i="1"/>
  <c r="H1694" i="1"/>
  <c r="I1694" i="1"/>
  <c r="L1694" i="1"/>
  <c r="M1694" i="1"/>
  <c r="V1694" i="1"/>
  <c r="W1694" i="1"/>
  <c r="A3015" i="1"/>
  <c r="D3015" i="1"/>
  <c r="F3015" i="1"/>
  <c r="H3015" i="1"/>
  <c r="I3015" i="1"/>
  <c r="L3015" i="1"/>
  <c r="M3015" i="1"/>
  <c r="V3015" i="1"/>
  <c r="W3015" i="1"/>
  <c r="A4567" i="1"/>
  <c r="D4567" i="1"/>
  <c r="F4567" i="1"/>
  <c r="H4567" i="1"/>
  <c r="I4567" i="1"/>
  <c r="L4567" i="1"/>
  <c r="M4567" i="1"/>
  <c r="V4567" i="1"/>
  <c r="W4567" i="1"/>
  <c r="A261" i="1"/>
  <c r="D261" i="1"/>
  <c r="F261" i="1"/>
  <c r="H261" i="1"/>
  <c r="I261" i="1"/>
  <c r="L261" i="1"/>
  <c r="M261" i="1"/>
  <c r="V261" i="1"/>
  <c r="W261" i="1"/>
  <c r="A2859" i="1"/>
  <c r="D2859" i="1"/>
  <c r="F2859" i="1"/>
  <c r="H2859" i="1"/>
  <c r="I2859" i="1"/>
  <c r="L2859" i="1"/>
  <c r="M2859" i="1"/>
  <c r="V2859" i="1"/>
  <c r="W2859" i="1"/>
  <c r="A5768" i="1"/>
  <c r="D5768" i="1"/>
  <c r="F5768" i="1"/>
  <c r="H5768" i="1"/>
  <c r="I5768" i="1"/>
  <c r="L5768" i="1"/>
  <c r="M5768" i="1"/>
  <c r="V5768" i="1"/>
  <c r="W5768" i="1"/>
  <c r="A4831" i="1"/>
  <c r="D4831" i="1"/>
  <c r="F4831" i="1"/>
  <c r="H4831" i="1"/>
  <c r="I4831" i="1"/>
  <c r="L4831" i="1"/>
  <c r="M4831" i="1"/>
  <c r="V4831" i="1"/>
  <c r="W4831" i="1"/>
  <c r="A5411" i="1"/>
  <c r="D5411" i="1"/>
  <c r="F5411" i="1"/>
  <c r="H5411" i="1"/>
  <c r="I5411" i="1"/>
  <c r="L5411" i="1"/>
  <c r="M5411" i="1"/>
  <c r="V5411" i="1"/>
  <c r="W5411" i="1"/>
  <c r="A2572" i="1"/>
  <c r="D2572" i="1"/>
  <c r="F2572" i="1"/>
  <c r="H2572" i="1"/>
  <c r="I2572" i="1"/>
  <c r="L2572" i="1"/>
  <c r="M2572" i="1"/>
  <c r="V2572" i="1"/>
  <c r="W2572" i="1"/>
  <c r="A5873" i="1"/>
  <c r="D5873" i="1"/>
  <c r="F5873" i="1"/>
  <c r="H5873" i="1"/>
  <c r="I5873" i="1"/>
  <c r="L5873" i="1"/>
  <c r="M5873" i="1"/>
  <c r="V5873" i="1"/>
  <c r="W5873" i="1"/>
  <c r="A5196" i="1"/>
  <c r="D5196" i="1"/>
  <c r="F5196" i="1"/>
  <c r="H5196" i="1"/>
  <c r="I5196" i="1"/>
  <c r="L5196" i="1"/>
  <c r="M5196" i="1"/>
  <c r="V5196" i="1"/>
  <c r="W5196" i="1"/>
  <c r="A5187" i="1"/>
  <c r="D5187" i="1"/>
  <c r="F5187" i="1"/>
  <c r="H5187" i="1"/>
  <c r="I5187" i="1"/>
  <c r="L5187" i="1"/>
  <c r="M5187" i="1"/>
  <c r="V5187" i="1"/>
  <c r="W5187" i="1"/>
  <c r="A3996" i="1"/>
  <c r="D3996" i="1"/>
  <c r="F3996" i="1"/>
  <c r="H3996" i="1"/>
  <c r="I3996" i="1"/>
  <c r="L3996" i="1"/>
  <c r="M3996" i="1"/>
  <c r="V3996" i="1"/>
  <c r="W3996" i="1"/>
  <c r="A1973" i="1"/>
  <c r="D1973" i="1"/>
  <c r="F1973" i="1"/>
  <c r="H1973" i="1"/>
  <c r="I1973" i="1"/>
  <c r="L1973" i="1"/>
  <c r="M1973" i="1"/>
  <c r="V1973" i="1"/>
  <c r="W1973" i="1"/>
  <c r="A1608" i="1"/>
  <c r="D1608" i="1"/>
  <c r="F1608" i="1"/>
  <c r="H1608" i="1"/>
  <c r="I1608" i="1"/>
  <c r="L1608" i="1"/>
  <c r="M1608" i="1"/>
  <c r="V1608" i="1"/>
  <c r="W1608" i="1"/>
  <c r="A1796" i="1"/>
  <c r="D1796" i="1"/>
  <c r="F1796" i="1"/>
  <c r="H1796" i="1"/>
  <c r="I1796" i="1"/>
  <c r="L1796" i="1"/>
  <c r="M1796" i="1"/>
  <c r="V1796" i="1"/>
  <c r="W1796" i="1"/>
  <c r="A3067" i="1"/>
  <c r="D3067" i="1"/>
  <c r="F3067" i="1"/>
  <c r="H3067" i="1"/>
  <c r="I3067" i="1"/>
  <c r="L3067" i="1"/>
  <c r="M3067" i="1"/>
  <c r="V3067" i="1"/>
  <c r="W3067" i="1"/>
  <c r="A3466" i="1"/>
  <c r="D3466" i="1"/>
  <c r="F3466" i="1"/>
  <c r="H3466" i="1"/>
  <c r="I3466" i="1"/>
  <c r="L3466" i="1"/>
  <c r="M3466" i="1"/>
  <c r="V3466" i="1"/>
  <c r="W3466" i="1"/>
  <c r="A3532" i="1"/>
  <c r="D3532" i="1"/>
  <c r="F3532" i="1"/>
  <c r="H3532" i="1"/>
  <c r="I3532" i="1"/>
  <c r="L3532" i="1"/>
  <c r="M3532" i="1"/>
  <c r="V3532" i="1"/>
  <c r="W3532" i="1"/>
  <c r="A4525" i="1"/>
  <c r="D4525" i="1"/>
  <c r="F4525" i="1"/>
  <c r="H4525" i="1"/>
  <c r="I4525" i="1"/>
  <c r="L4525" i="1"/>
  <c r="M4525" i="1"/>
  <c r="V4525" i="1"/>
  <c r="W4525" i="1"/>
  <c r="A5827" i="1"/>
  <c r="D5827" i="1"/>
  <c r="F5827" i="1"/>
  <c r="H5827" i="1"/>
  <c r="I5827" i="1"/>
  <c r="L5827" i="1"/>
  <c r="M5827" i="1"/>
  <c r="V5827" i="1"/>
  <c r="W5827" i="1"/>
  <c r="A2311" i="1"/>
  <c r="D2311" i="1"/>
  <c r="F2311" i="1"/>
  <c r="H2311" i="1"/>
  <c r="I2311" i="1"/>
  <c r="L2311" i="1"/>
  <c r="M2311" i="1"/>
  <c r="V2311" i="1"/>
  <c r="W2311" i="1"/>
  <c r="A4" i="1"/>
  <c r="D4" i="1"/>
  <c r="F4" i="1"/>
  <c r="H4" i="1"/>
  <c r="I4" i="1"/>
  <c r="L4" i="1"/>
  <c r="M4" i="1"/>
  <c r="V4" i="1"/>
  <c r="W4" i="1"/>
  <c r="A234" i="1"/>
  <c r="D234" i="1"/>
  <c r="F234" i="1"/>
  <c r="H234" i="1"/>
  <c r="I234" i="1"/>
  <c r="L234" i="1"/>
  <c r="M234" i="1"/>
  <c r="V234" i="1"/>
  <c r="W234" i="1"/>
  <c r="A301" i="1"/>
  <c r="D301" i="1"/>
  <c r="F301" i="1"/>
  <c r="H301" i="1"/>
  <c r="I301" i="1"/>
  <c r="L301" i="1"/>
  <c r="M301" i="1"/>
  <c r="V301" i="1"/>
  <c r="W301" i="1"/>
  <c r="A412" i="1"/>
  <c r="D412" i="1"/>
  <c r="F412" i="1"/>
  <c r="H412" i="1"/>
  <c r="I412" i="1"/>
  <c r="L412" i="1"/>
  <c r="M412" i="1"/>
  <c r="V412" i="1"/>
  <c r="W412" i="1"/>
  <c r="A700" i="1"/>
  <c r="D700" i="1"/>
  <c r="F700" i="1"/>
  <c r="H700" i="1"/>
  <c r="I700" i="1"/>
  <c r="L700" i="1"/>
  <c r="M700" i="1"/>
  <c r="V700" i="1"/>
  <c r="W700" i="1"/>
  <c r="A915" i="1"/>
  <c r="D915" i="1"/>
  <c r="F915" i="1"/>
  <c r="H915" i="1"/>
  <c r="I915" i="1"/>
  <c r="L915" i="1"/>
  <c r="M915" i="1"/>
  <c r="V915" i="1"/>
  <c r="W915" i="1"/>
  <c r="A2840" i="1"/>
  <c r="D2840" i="1"/>
  <c r="F2840" i="1"/>
  <c r="H2840" i="1"/>
  <c r="I2840" i="1"/>
  <c r="L2840" i="1"/>
  <c r="M2840" i="1"/>
  <c r="V2840" i="1"/>
  <c r="W2840" i="1"/>
  <c r="A4647" i="1"/>
  <c r="D4647" i="1"/>
  <c r="F4647" i="1"/>
  <c r="H4647" i="1"/>
  <c r="I4647" i="1"/>
  <c r="L4647" i="1"/>
  <c r="M4647" i="1"/>
  <c r="V4647" i="1"/>
  <c r="W4647" i="1"/>
  <c r="A4425" i="1"/>
  <c r="D4425" i="1"/>
  <c r="F4425" i="1"/>
  <c r="H4425" i="1"/>
  <c r="I4425" i="1"/>
  <c r="L4425" i="1"/>
  <c r="M4425" i="1"/>
  <c r="V4425" i="1"/>
  <c r="W4425" i="1"/>
  <c r="A4552" i="1"/>
  <c r="D4552" i="1"/>
  <c r="F4552" i="1"/>
  <c r="H4552" i="1"/>
  <c r="I4552" i="1"/>
  <c r="L4552" i="1"/>
  <c r="M4552" i="1"/>
  <c r="V4552" i="1"/>
  <c r="W4552" i="1"/>
  <c r="A4558" i="1"/>
  <c r="D4558" i="1"/>
  <c r="F4558" i="1"/>
  <c r="H4558" i="1"/>
  <c r="I4558" i="1"/>
  <c r="L4558" i="1"/>
  <c r="M4558" i="1"/>
  <c r="V4558" i="1"/>
  <c r="W4558" i="1"/>
  <c r="A4568" i="1"/>
  <c r="D4568" i="1"/>
  <c r="F4568" i="1"/>
  <c r="H4568" i="1"/>
  <c r="I4568" i="1"/>
  <c r="L4568" i="1"/>
  <c r="M4568" i="1"/>
  <c r="V4568" i="1"/>
  <c r="W4568" i="1"/>
  <c r="A4572" i="1"/>
  <c r="D4572" i="1"/>
  <c r="F4572" i="1"/>
  <c r="H4572" i="1"/>
  <c r="I4572" i="1"/>
  <c r="L4572" i="1"/>
  <c r="M4572" i="1"/>
  <c r="V4572" i="1"/>
  <c r="W4572" i="1"/>
  <c r="A5408" i="1"/>
  <c r="D5408" i="1"/>
  <c r="F5408" i="1"/>
  <c r="H5408" i="1"/>
  <c r="I5408" i="1"/>
  <c r="L5408" i="1"/>
  <c r="M5408" i="1"/>
  <c r="V5408" i="1"/>
  <c r="W5408" i="1"/>
  <c r="A4602" i="1"/>
  <c r="D4602" i="1"/>
  <c r="F4602" i="1"/>
  <c r="H4602" i="1"/>
  <c r="I4602" i="1"/>
  <c r="L4602" i="1"/>
  <c r="M4602" i="1"/>
  <c r="V4602" i="1"/>
  <c r="W4602" i="1"/>
  <c r="A4686" i="1"/>
  <c r="D4686" i="1"/>
  <c r="F4686" i="1"/>
  <c r="H4686" i="1"/>
  <c r="I4686" i="1"/>
  <c r="L4686" i="1"/>
  <c r="M4686" i="1"/>
  <c r="V4686" i="1"/>
  <c r="W4686" i="1"/>
  <c r="A3603" i="1"/>
  <c r="D3603" i="1"/>
  <c r="F3603" i="1"/>
  <c r="H3603" i="1"/>
  <c r="I3603" i="1"/>
  <c r="L3603" i="1"/>
  <c r="M3603" i="1"/>
  <c r="V3603" i="1"/>
  <c r="W3603" i="1"/>
  <c r="A2264" i="1"/>
  <c r="D2264" i="1"/>
  <c r="F2264" i="1"/>
  <c r="H2264" i="1"/>
  <c r="I2264" i="1"/>
  <c r="L2264" i="1"/>
  <c r="M2264" i="1"/>
  <c r="V2264" i="1"/>
  <c r="W2264" i="1"/>
  <c r="A2418" i="1"/>
  <c r="D2418" i="1"/>
  <c r="F2418" i="1"/>
  <c r="H2418" i="1"/>
  <c r="I2418" i="1"/>
  <c r="L2418" i="1"/>
  <c r="M2418" i="1"/>
  <c r="V2418" i="1"/>
  <c r="W2418" i="1"/>
  <c r="A1548" i="1"/>
  <c r="D1548" i="1"/>
  <c r="F1548" i="1"/>
  <c r="H1548" i="1"/>
  <c r="I1548" i="1"/>
  <c r="L1548" i="1"/>
  <c r="M1548" i="1"/>
  <c r="V1548" i="1"/>
  <c r="W1548" i="1"/>
  <c r="A2919" i="1"/>
  <c r="D2919" i="1"/>
  <c r="F2919" i="1"/>
  <c r="H2919" i="1"/>
  <c r="I2919" i="1"/>
  <c r="L2919" i="1"/>
  <c r="M2919" i="1"/>
  <c r="V2919" i="1"/>
  <c r="W2919" i="1"/>
  <c r="A1658" i="1"/>
  <c r="D1658" i="1"/>
  <c r="F1658" i="1"/>
  <c r="H1658" i="1"/>
  <c r="I1658" i="1"/>
  <c r="L1658" i="1"/>
  <c r="M1658" i="1"/>
  <c r="V1658" i="1"/>
  <c r="W1658" i="1"/>
  <c r="A3969" i="1"/>
  <c r="D3969" i="1"/>
  <c r="F3969" i="1"/>
  <c r="H3969" i="1"/>
  <c r="I3969" i="1"/>
  <c r="L3969" i="1"/>
  <c r="M3969" i="1"/>
  <c r="V3969" i="1"/>
  <c r="W3969" i="1"/>
  <c r="A4548" i="1"/>
  <c r="D4548" i="1"/>
  <c r="F4548" i="1"/>
  <c r="H4548" i="1"/>
  <c r="I4548" i="1"/>
  <c r="L4548" i="1"/>
  <c r="M4548" i="1"/>
  <c r="V4548" i="1"/>
  <c r="W4548" i="1"/>
  <c r="A2102" i="1"/>
  <c r="D2102" i="1"/>
  <c r="F2102" i="1"/>
  <c r="H2102" i="1"/>
  <c r="I2102" i="1"/>
  <c r="L2102" i="1"/>
  <c r="M2102" i="1"/>
  <c r="V2102" i="1"/>
  <c r="W2102" i="1"/>
  <c r="A2379" i="1"/>
  <c r="D2379" i="1"/>
  <c r="F2379" i="1"/>
  <c r="H2379" i="1"/>
  <c r="I2379" i="1"/>
  <c r="L2379" i="1"/>
  <c r="M2379" i="1"/>
  <c r="V2379" i="1"/>
  <c r="W2379" i="1"/>
  <c r="A4925" i="1"/>
  <c r="D4925" i="1"/>
  <c r="F4925" i="1"/>
  <c r="H4925" i="1"/>
  <c r="I4925" i="1"/>
  <c r="L4925" i="1"/>
  <c r="M4925" i="1"/>
  <c r="V4925" i="1"/>
  <c r="W4925" i="1"/>
  <c r="A4919" i="1"/>
  <c r="D4919" i="1"/>
  <c r="F4919" i="1"/>
  <c r="H4919" i="1"/>
  <c r="I4919" i="1"/>
  <c r="L4919" i="1"/>
  <c r="M4919" i="1"/>
  <c r="V4919" i="1"/>
  <c r="W4919" i="1"/>
  <c r="A6162" i="1"/>
  <c r="D6162" i="1"/>
  <c r="F6162" i="1"/>
  <c r="H6162" i="1"/>
  <c r="I6162" i="1"/>
  <c r="L6162" i="1"/>
  <c r="M6162" i="1"/>
  <c r="V6162" i="1"/>
  <c r="W6162" i="1"/>
  <c r="A476" i="1"/>
  <c r="D476" i="1"/>
  <c r="F476" i="1"/>
  <c r="H476" i="1"/>
  <c r="I476" i="1"/>
  <c r="L476" i="1"/>
  <c r="M476" i="1"/>
  <c r="V476" i="1"/>
  <c r="W476" i="1"/>
  <c r="A3112" i="1"/>
  <c r="D3112" i="1"/>
  <c r="F3112" i="1"/>
  <c r="H3112" i="1"/>
  <c r="I3112" i="1"/>
  <c r="L3112" i="1"/>
  <c r="M3112" i="1"/>
  <c r="V3112" i="1"/>
  <c r="W3112" i="1"/>
  <c r="A3146" i="1"/>
  <c r="D3146" i="1"/>
  <c r="F3146" i="1"/>
  <c r="H3146" i="1"/>
  <c r="I3146" i="1"/>
  <c r="L3146" i="1"/>
  <c r="M3146" i="1"/>
  <c r="V3146" i="1"/>
  <c r="W3146" i="1"/>
  <c r="A3080" i="1"/>
  <c r="D3080" i="1"/>
  <c r="F3080" i="1"/>
  <c r="H3080" i="1"/>
  <c r="I3080" i="1"/>
  <c r="L3080" i="1"/>
  <c r="M3080" i="1"/>
  <c r="V3080" i="1"/>
  <c r="W3080" i="1"/>
  <c r="A3075" i="1"/>
  <c r="D3075" i="1"/>
  <c r="F3075" i="1"/>
  <c r="H3075" i="1"/>
  <c r="I3075" i="1"/>
  <c r="L3075" i="1"/>
  <c r="M3075" i="1"/>
  <c r="V3075" i="1"/>
  <c r="W3075" i="1"/>
  <c r="A4124" i="1"/>
  <c r="D4124" i="1"/>
  <c r="F4124" i="1"/>
  <c r="H4124" i="1"/>
  <c r="I4124" i="1"/>
  <c r="L4124" i="1"/>
  <c r="M4124" i="1"/>
  <c r="V4124" i="1"/>
  <c r="W4124" i="1"/>
  <c r="A4222" i="1"/>
  <c r="D4222" i="1"/>
  <c r="F4222" i="1"/>
  <c r="H4222" i="1"/>
  <c r="I4222" i="1"/>
  <c r="L4222" i="1"/>
  <c r="M4222" i="1"/>
  <c r="V4222" i="1"/>
  <c r="W4222" i="1"/>
  <c r="A4931" i="1"/>
  <c r="D4931" i="1"/>
  <c r="F4931" i="1"/>
  <c r="H4931" i="1"/>
  <c r="I4931" i="1"/>
  <c r="L4931" i="1"/>
  <c r="M4931" i="1"/>
  <c r="V4931" i="1"/>
  <c r="W4931" i="1"/>
  <c r="A3602" i="1"/>
  <c r="D3602" i="1"/>
  <c r="F3602" i="1"/>
  <c r="H3602" i="1"/>
  <c r="I3602" i="1"/>
  <c r="L3602" i="1"/>
  <c r="M3602" i="1"/>
  <c r="V3602" i="1"/>
  <c r="W3602" i="1"/>
  <c r="A3819" i="1"/>
  <c r="D3819" i="1"/>
  <c r="F3819" i="1"/>
  <c r="H3819" i="1"/>
  <c r="I3819" i="1"/>
  <c r="L3819" i="1"/>
  <c r="M3819" i="1"/>
  <c r="V3819" i="1"/>
  <c r="W3819" i="1"/>
  <c r="A4896" i="1"/>
  <c r="D4896" i="1"/>
  <c r="F4896" i="1"/>
  <c r="H4896" i="1"/>
  <c r="I4896" i="1"/>
  <c r="L4896" i="1"/>
  <c r="M4896" i="1"/>
  <c r="V4896" i="1"/>
  <c r="W4896" i="1"/>
  <c r="A591" i="1"/>
  <c r="D591" i="1"/>
  <c r="F591" i="1"/>
  <c r="H591" i="1"/>
  <c r="I591" i="1"/>
  <c r="L591" i="1"/>
  <c r="M591" i="1"/>
  <c r="V591" i="1"/>
  <c r="W591" i="1"/>
  <c r="A655" i="1"/>
  <c r="D655" i="1"/>
  <c r="F655" i="1"/>
  <c r="H655" i="1"/>
  <c r="I655" i="1"/>
  <c r="L655" i="1"/>
  <c r="M655" i="1"/>
  <c r="V655" i="1"/>
  <c r="W655" i="1"/>
  <c r="A3248" i="1"/>
  <c r="D3248" i="1"/>
  <c r="F3248" i="1"/>
  <c r="H3248" i="1"/>
  <c r="I3248" i="1"/>
  <c r="L3248" i="1"/>
  <c r="M3248" i="1"/>
  <c r="V3248" i="1"/>
  <c r="W3248" i="1"/>
  <c r="A1307" i="1"/>
  <c r="D1307" i="1"/>
  <c r="F1307" i="1"/>
  <c r="H1307" i="1"/>
  <c r="I1307" i="1"/>
  <c r="L1307" i="1"/>
  <c r="M1307" i="1"/>
  <c r="V1307" i="1"/>
  <c r="W1307" i="1"/>
  <c r="A1564" i="1"/>
  <c r="D1564" i="1"/>
  <c r="F1564" i="1"/>
  <c r="H1564" i="1"/>
  <c r="I1564" i="1"/>
  <c r="L1564" i="1"/>
  <c r="M1564" i="1"/>
  <c r="V1564" i="1"/>
  <c r="W1564" i="1"/>
  <c r="A1690" i="1"/>
  <c r="D1690" i="1"/>
  <c r="F1690" i="1"/>
  <c r="H1690" i="1"/>
  <c r="I1690" i="1"/>
  <c r="L1690" i="1"/>
  <c r="M1690" i="1"/>
  <c r="V1690" i="1"/>
  <c r="W1690" i="1"/>
  <c r="A5316" i="1"/>
  <c r="D5316" i="1"/>
  <c r="F5316" i="1"/>
  <c r="H5316" i="1"/>
  <c r="I5316" i="1"/>
  <c r="L5316" i="1"/>
  <c r="M5316" i="1"/>
  <c r="V5316" i="1"/>
  <c r="W5316" i="1"/>
  <c r="A5460" i="1"/>
  <c r="D5460" i="1"/>
  <c r="F5460" i="1"/>
  <c r="H5460" i="1"/>
  <c r="I5460" i="1"/>
  <c r="L5460" i="1"/>
  <c r="M5460" i="1"/>
  <c r="V5460" i="1"/>
  <c r="W5460" i="1"/>
  <c r="A3657" i="1"/>
  <c r="D3657" i="1"/>
  <c r="F3657" i="1"/>
  <c r="H3657" i="1"/>
  <c r="I3657" i="1"/>
  <c r="L3657" i="1"/>
  <c r="M3657" i="1"/>
  <c r="V3657" i="1"/>
  <c r="W3657" i="1"/>
  <c r="A4307" i="1"/>
  <c r="D4307" i="1"/>
  <c r="F4307" i="1"/>
  <c r="H4307" i="1"/>
  <c r="I4307" i="1"/>
  <c r="L4307" i="1"/>
  <c r="M4307" i="1"/>
  <c r="V4307" i="1"/>
  <c r="W4307" i="1"/>
  <c r="A2783" i="1"/>
  <c r="D2783" i="1"/>
  <c r="F2783" i="1"/>
  <c r="H2783" i="1"/>
  <c r="I2783" i="1"/>
  <c r="L2783" i="1"/>
  <c r="M2783" i="1"/>
  <c r="V2783" i="1"/>
  <c r="W2783" i="1"/>
  <c r="A1426" i="1"/>
  <c r="D1426" i="1"/>
  <c r="F1426" i="1"/>
  <c r="H1426" i="1"/>
  <c r="I1426" i="1"/>
  <c r="L1426" i="1"/>
  <c r="M1426" i="1"/>
  <c r="V1426" i="1"/>
  <c r="W1426" i="1"/>
  <c r="A1915" i="1"/>
  <c r="D1915" i="1"/>
  <c r="F1915" i="1"/>
  <c r="H1915" i="1"/>
  <c r="I1915" i="1"/>
  <c r="L1915" i="1"/>
  <c r="M1915" i="1"/>
  <c r="V1915" i="1"/>
  <c r="W1915" i="1"/>
  <c r="A1676" i="1"/>
  <c r="D1676" i="1"/>
  <c r="F1676" i="1"/>
  <c r="H1676" i="1"/>
  <c r="I1676" i="1"/>
  <c r="L1676" i="1"/>
  <c r="M1676" i="1"/>
  <c r="V1676" i="1"/>
  <c r="W1676" i="1"/>
  <c r="A2322" i="1"/>
  <c r="D2322" i="1"/>
  <c r="F2322" i="1"/>
  <c r="H2322" i="1"/>
  <c r="I2322" i="1"/>
  <c r="L2322" i="1"/>
  <c r="M2322" i="1"/>
  <c r="V2322" i="1"/>
  <c r="W2322" i="1"/>
  <c r="A1175" i="1"/>
  <c r="D1175" i="1"/>
  <c r="F1175" i="1"/>
  <c r="H1175" i="1"/>
  <c r="I1175" i="1"/>
  <c r="L1175" i="1"/>
  <c r="M1175" i="1"/>
  <c r="V1175" i="1"/>
  <c r="W1175" i="1"/>
  <c r="A1184" i="1"/>
  <c r="D1184" i="1"/>
  <c r="F1184" i="1"/>
  <c r="H1184" i="1"/>
  <c r="I1184" i="1"/>
  <c r="L1184" i="1"/>
  <c r="M1184" i="1"/>
  <c r="V1184" i="1"/>
  <c r="W1184" i="1"/>
  <c r="A2129" i="1"/>
  <c r="D2129" i="1"/>
  <c r="F2129" i="1"/>
  <c r="H2129" i="1"/>
  <c r="I2129" i="1"/>
  <c r="L2129" i="1"/>
  <c r="M2129" i="1"/>
  <c r="V2129" i="1"/>
  <c r="W2129" i="1"/>
  <c r="A2130" i="1"/>
  <c r="D2130" i="1"/>
  <c r="F2130" i="1"/>
  <c r="H2130" i="1"/>
  <c r="I2130" i="1"/>
  <c r="L2130" i="1"/>
  <c r="M2130" i="1"/>
  <c r="V2130" i="1"/>
  <c r="W2130" i="1"/>
  <c r="A2172" i="1"/>
  <c r="D2172" i="1"/>
  <c r="F2172" i="1"/>
  <c r="H2172" i="1"/>
  <c r="I2172" i="1"/>
  <c r="L2172" i="1"/>
  <c r="M2172" i="1"/>
  <c r="V2172" i="1"/>
  <c r="W2172" i="1"/>
  <c r="A5934" i="1"/>
  <c r="D5934" i="1"/>
  <c r="F5934" i="1"/>
  <c r="H5934" i="1"/>
  <c r="I5934" i="1"/>
  <c r="L5934" i="1"/>
  <c r="M5934" i="1"/>
  <c r="V5934" i="1"/>
  <c r="W5934" i="1"/>
  <c r="A119" i="1"/>
  <c r="D119" i="1"/>
  <c r="F119" i="1"/>
  <c r="H119" i="1"/>
  <c r="I119" i="1"/>
  <c r="L119" i="1"/>
  <c r="M119" i="1"/>
  <c r="V119" i="1"/>
  <c r="W119" i="1"/>
  <c r="A3635" i="1"/>
  <c r="D3635" i="1"/>
  <c r="F3635" i="1"/>
  <c r="H3635" i="1"/>
  <c r="I3635" i="1"/>
  <c r="L3635" i="1"/>
  <c r="M3635" i="1"/>
  <c r="V3635" i="1"/>
  <c r="W3635" i="1"/>
  <c r="A4374" i="1"/>
  <c r="D4374" i="1"/>
  <c r="F4374" i="1"/>
  <c r="H4374" i="1"/>
  <c r="I4374" i="1"/>
  <c r="L4374" i="1"/>
  <c r="M4374" i="1"/>
  <c r="V4374" i="1"/>
  <c r="W4374" i="1"/>
  <c r="A4180" i="1"/>
  <c r="D4180" i="1"/>
  <c r="F4180" i="1"/>
  <c r="H4180" i="1"/>
  <c r="I4180" i="1"/>
  <c r="L4180" i="1"/>
  <c r="M4180" i="1"/>
  <c r="V4180" i="1"/>
  <c r="W4180" i="1"/>
  <c r="A4216" i="1"/>
  <c r="D4216" i="1"/>
  <c r="F4216" i="1"/>
  <c r="H4216" i="1"/>
  <c r="I4216" i="1"/>
  <c r="L4216" i="1"/>
  <c r="M4216" i="1"/>
  <c r="V4216" i="1"/>
  <c r="W4216" i="1"/>
  <c r="A4285" i="1"/>
  <c r="D4285" i="1"/>
  <c r="F4285" i="1"/>
  <c r="H4285" i="1"/>
  <c r="I4285" i="1"/>
  <c r="L4285" i="1"/>
  <c r="M4285" i="1"/>
  <c r="V4285" i="1"/>
  <c r="W4285" i="1"/>
  <c r="A2090" i="1"/>
  <c r="D2090" i="1"/>
  <c r="F2090" i="1"/>
  <c r="H2090" i="1"/>
  <c r="I2090" i="1"/>
  <c r="L2090" i="1"/>
  <c r="M2090" i="1"/>
  <c r="V2090" i="1"/>
  <c r="W2090" i="1"/>
  <c r="A4310" i="1"/>
  <c r="D4310" i="1"/>
  <c r="F4310" i="1"/>
  <c r="H4310" i="1"/>
  <c r="I4310" i="1"/>
  <c r="L4310" i="1"/>
  <c r="M4310" i="1"/>
  <c r="V4310" i="1"/>
  <c r="W4310" i="1"/>
  <c r="A3807" i="1"/>
  <c r="D3807" i="1"/>
  <c r="F3807" i="1"/>
  <c r="H3807" i="1"/>
  <c r="I3807" i="1"/>
  <c r="L3807" i="1"/>
  <c r="M3807" i="1"/>
  <c r="V3807" i="1"/>
  <c r="W3807" i="1"/>
  <c r="A3933" i="1"/>
  <c r="D3933" i="1"/>
  <c r="F3933" i="1"/>
  <c r="H3933" i="1"/>
  <c r="I3933" i="1"/>
  <c r="L3933" i="1"/>
  <c r="M3933" i="1"/>
  <c r="V3933" i="1"/>
  <c r="W3933" i="1"/>
  <c r="A4395" i="1"/>
  <c r="D4395" i="1"/>
  <c r="F4395" i="1"/>
  <c r="H4395" i="1"/>
  <c r="I4395" i="1"/>
  <c r="L4395" i="1"/>
  <c r="M4395" i="1"/>
  <c r="V4395" i="1"/>
  <c r="W4395" i="1"/>
  <c r="A209" i="1"/>
  <c r="D209" i="1"/>
  <c r="F209" i="1"/>
  <c r="H209" i="1"/>
  <c r="I209" i="1"/>
  <c r="L209" i="1"/>
  <c r="M209" i="1"/>
  <c r="V209" i="1"/>
  <c r="W209" i="1"/>
  <c r="A93" i="1"/>
  <c r="D93" i="1"/>
  <c r="F93" i="1"/>
  <c r="H93" i="1"/>
  <c r="I93" i="1"/>
  <c r="L93" i="1"/>
  <c r="M93" i="1"/>
  <c r="V93" i="1"/>
  <c r="W93" i="1"/>
  <c r="A3590" i="1"/>
  <c r="D3590" i="1"/>
  <c r="F3590" i="1"/>
  <c r="H3590" i="1"/>
  <c r="I3590" i="1"/>
  <c r="L3590" i="1"/>
  <c r="M3590" i="1"/>
  <c r="V3590" i="1"/>
  <c r="W3590" i="1"/>
  <c r="A5020" i="1"/>
  <c r="D5020" i="1"/>
  <c r="F5020" i="1"/>
  <c r="H5020" i="1"/>
  <c r="I5020" i="1"/>
  <c r="L5020" i="1"/>
  <c r="M5020" i="1"/>
  <c r="V5020" i="1"/>
  <c r="W5020" i="1"/>
  <c r="A5512" i="1"/>
  <c r="D5512" i="1"/>
  <c r="F5512" i="1"/>
  <c r="H5512" i="1"/>
  <c r="I5512" i="1"/>
  <c r="L5512" i="1"/>
  <c r="M5512" i="1"/>
  <c r="V5512" i="1"/>
  <c r="W5512" i="1"/>
  <c r="A6022" i="1"/>
  <c r="D6022" i="1"/>
  <c r="F6022" i="1"/>
  <c r="H6022" i="1"/>
  <c r="I6022" i="1"/>
  <c r="L6022" i="1"/>
  <c r="M6022" i="1"/>
  <c r="V6022" i="1"/>
  <c r="W6022" i="1"/>
  <c r="A4155" i="1"/>
  <c r="D4155" i="1"/>
  <c r="F4155" i="1"/>
  <c r="H4155" i="1"/>
  <c r="I4155" i="1"/>
  <c r="L4155" i="1"/>
  <c r="M4155" i="1"/>
  <c r="V4155" i="1"/>
  <c r="W4155" i="1"/>
  <c r="A1897" i="1"/>
  <c r="D1897" i="1"/>
  <c r="F1897" i="1"/>
  <c r="H1897" i="1"/>
  <c r="I1897" i="1"/>
  <c r="L1897" i="1"/>
  <c r="M1897" i="1"/>
  <c r="V1897" i="1"/>
  <c r="W1897" i="1"/>
  <c r="A1902" i="1"/>
  <c r="D1902" i="1"/>
  <c r="F1902" i="1"/>
  <c r="H1902" i="1"/>
  <c r="I1902" i="1"/>
  <c r="L1902" i="1"/>
  <c r="M1902" i="1"/>
  <c r="V1902" i="1"/>
  <c r="W1902" i="1"/>
  <c r="A4026" i="1"/>
  <c r="D4026" i="1"/>
  <c r="F4026" i="1"/>
  <c r="H4026" i="1"/>
  <c r="I4026" i="1"/>
  <c r="L4026" i="1"/>
  <c r="M4026" i="1"/>
  <c r="V4026" i="1"/>
  <c r="W4026" i="1"/>
  <c r="A600" i="1"/>
  <c r="D600" i="1"/>
  <c r="F600" i="1"/>
  <c r="H600" i="1"/>
  <c r="I600" i="1"/>
  <c r="L600" i="1"/>
  <c r="M600" i="1"/>
  <c r="V600" i="1"/>
  <c r="W600" i="1"/>
  <c r="A2424" i="1"/>
  <c r="D2424" i="1"/>
  <c r="F2424" i="1"/>
  <c r="H2424" i="1"/>
  <c r="I2424" i="1"/>
  <c r="L2424" i="1"/>
  <c r="M2424" i="1"/>
  <c r="V2424" i="1"/>
  <c r="W2424" i="1"/>
  <c r="A2439" i="1"/>
  <c r="D2439" i="1"/>
  <c r="F2439" i="1"/>
  <c r="H2439" i="1"/>
  <c r="I2439" i="1"/>
  <c r="L2439" i="1"/>
  <c r="M2439" i="1"/>
  <c r="V2439" i="1"/>
  <c r="W2439" i="1"/>
  <c r="A2165" i="1"/>
  <c r="D2165" i="1"/>
  <c r="F2165" i="1"/>
  <c r="H2165" i="1"/>
  <c r="I2165" i="1"/>
  <c r="L2165" i="1"/>
  <c r="M2165" i="1"/>
  <c r="V2165" i="1"/>
  <c r="W2165" i="1"/>
  <c r="A2153" i="1"/>
  <c r="D2153" i="1"/>
  <c r="F2153" i="1"/>
  <c r="H2153" i="1"/>
  <c r="I2153" i="1"/>
  <c r="L2153" i="1"/>
  <c r="M2153" i="1"/>
  <c r="V2153" i="1"/>
  <c r="W2153" i="1"/>
  <c r="A2647" i="1"/>
  <c r="D2647" i="1"/>
  <c r="F2647" i="1"/>
  <c r="H2647" i="1"/>
  <c r="I2647" i="1"/>
  <c r="L2647" i="1"/>
  <c r="M2647" i="1"/>
  <c r="V2647" i="1"/>
  <c r="W2647" i="1"/>
  <c r="A4195" i="1"/>
  <c r="D4195" i="1"/>
  <c r="F4195" i="1"/>
  <c r="H4195" i="1"/>
  <c r="I4195" i="1"/>
  <c r="L4195" i="1"/>
  <c r="M4195" i="1"/>
  <c r="V4195" i="1"/>
  <c r="W4195" i="1"/>
  <c r="A4399" i="1"/>
  <c r="D4399" i="1"/>
  <c r="F4399" i="1"/>
  <c r="H4399" i="1"/>
  <c r="I4399" i="1"/>
  <c r="L4399" i="1"/>
  <c r="M4399" i="1"/>
  <c r="V4399" i="1"/>
  <c r="W4399" i="1"/>
  <c r="A4513" i="1"/>
  <c r="D4513" i="1"/>
  <c r="F4513" i="1"/>
  <c r="H4513" i="1"/>
  <c r="I4513" i="1"/>
  <c r="L4513" i="1"/>
  <c r="M4513" i="1"/>
  <c r="V4513" i="1"/>
  <c r="W4513" i="1"/>
  <c r="A4785" i="1"/>
  <c r="D4785" i="1"/>
  <c r="F4785" i="1"/>
  <c r="H4785" i="1"/>
  <c r="I4785" i="1"/>
  <c r="L4785" i="1"/>
  <c r="M4785" i="1"/>
  <c r="V4785" i="1"/>
  <c r="W4785" i="1"/>
  <c r="A1830" i="1"/>
  <c r="D1830" i="1"/>
  <c r="F1830" i="1"/>
  <c r="H1830" i="1"/>
  <c r="I1830" i="1"/>
  <c r="L1830" i="1"/>
  <c r="M1830" i="1"/>
  <c r="V1830" i="1"/>
  <c r="W1830" i="1"/>
  <c r="A3992" i="1"/>
  <c r="D3992" i="1"/>
  <c r="F3992" i="1"/>
  <c r="H3992" i="1"/>
  <c r="I3992" i="1"/>
  <c r="L3992" i="1"/>
  <c r="M3992" i="1"/>
  <c r="V3992" i="1"/>
  <c r="W3992" i="1"/>
  <c r="A1076" i="1"/>
  <c r="D1076" i="1"/>
  <c r="F1076" i="1"/>
  <c r="H1076" i="1"/>
  <c r="I1076" i="1"/>
  <c r="L1076" i="1"/>
  <c r="M1076" i="1"/>
  <c r="V1076" i="1"/>
  <c r="W1076" i="1"/>
  <c r="A1767" i="1"/>
  <c r="D1767" i="1"/>
  <c r="F1767" i="1"/>
  <c r="H1767" i="1"/>
  <c r="I1767" i="1"/>
  <c r="L1767" i="1"/>
  <c r="M1767" i="1"/>
  <c r="V1767" i="1"/>
  <c r="W1767" i="1"/>
  <c r="A5099" i="1"/>
  <c r="D5099" i="1"/>
  <c r="F5099" i="1"/>
  <c r="H5099" i="1"/>
  <c r="I5099" i="1"/>
  <c r="L5099" i="1"/>
  <c r="M5099" i="1"/>
  <c r="V5099" i="1"/>
  <c r="W5099" i="1"/>
  <c r="A1827" i="1"/>
  <c r="D1827" i="1"/>
  <c r="F1827" i="1"/>
  <c r="H1827" i="1"/>
  <c r="I1827" i="1"/>
  <c r="L1827" i="1"/>
  <c r="M1827" i="1"/>
  <c r="V1827" i="1"/>
  <c r="W1827" i="1"/>
  <c r="A6150" i="1"/>
  <c r="D6150" i="1"/>
  <c r="F6150" i="1"/>
  <c r="H6150" i="1"/>
  <c r="I6150" i="1"/>
  <c r="L6150" i="1"/>
  <c r="M6150" i="1"/>
  <c r="V6150" i="1"/>
  <c r="W6150" i="1"/>
  <c r="A2211" i="1"/>
  <c r="D2211" i="1"/>
  <c r="F2211" i="1"/>
  <c r="H2211" i="1"/>
  <c r="I2211" i="1"/>
  <c r="L2211" i="1"/>
  <c r="M2211" i="1"/>
  <c r="V2211" i="1"/>
  <c r="W2211" i="1"/>
  <c r="A1256" i="1"/>
  <c r="D1256" i="1"/>
  <c r="F1256" i="1"/>
  <c r="H1256" i="1"/>
  <c r="I1256" i="1"/>
  <c r="L1256" i="1"/>
  <c r="M1256" i="1"/>
  <c r="V1256" i="1"/>
  <c r="W1256" i="1"/>
  <c r="A2582" i="1"/>
  <c r="D2582" i="1"/>
  <c r="F2582" i="1"/>
  <c r="H2582" i="1"/>
  <c r="I2582" i="1"/>
  <c r="L2582" i="1"/>
  <c r="M2582" i="1"/>
  <c r="V2582" i="1"/>
  <c r="W2582" i="1"/>
  <c r="A4189" i="1"/>
  <c r="D4189" i="1"/>
  <c r="F4189" i="1"/>
  <c r="H4189" i="1"/>
  <c r="I4189" i="1"/>
  <c r="L4189" i="1"/>
  <c r="M4189" i="1"/>
  <c r="V4189" i="1"/>
  <c r="W4189" i="1"/>
  <c r="A4373" i="1"/>
  <c r="D4373" i="1"/>
  <c r="F4373" i="1"/>
  <c r="H4373" i="1"/>
  <c r="I4373" i="1"/>
  <c r="L4373" i="1"/>
  <c r="M4373" i="1"/>
  <c r="V4373" i="1"/>
  <c r="W4373" i="1"/>
  <c r="A4261" i="1"/>
  <c r="D4261" i="1"/>
  <c r="F4261" i="1"/>
  <c r="H4261" i="1"/>
  <c r="I4261" i="1"/>
  <c r="L4261" i="1"/>
  <c r="M4261" i="1"/>
  <c r="V4261" i="1"/>
  <c r="W4261" i="1"/>
  <c r="A4264" i="1"/>
  <c r="D4264" i="1"/>
  <c r="F4264" i="1"/>
  <c r="H4264" i="1"/>
  <c r="I4264" i="1"/>
  <c r="L4264" i="1"/>
  <c r="M4264" i="1"/>
  <c r="V4264" i="1"/>
  <c r="W4264" i="1"/>
  <c r="A3162" i="1"/>
  <c r="D3162" i="1"/>
  <c r="F3162" i="1"/>
  <c r="H3162" i="1"/>
  <c r="I3162" i="1"/>
  <c r="L3162" i="1"/>
  <c r="M3162" i="1"/>
  <c r="V3162" i="1"/>
  <c r="W3162" i="1"/>
  <c r="A1756" i="1"/>
  <c r="D1756" i="1"/>
  <c r="F1756" i="1"/>
  <c r="H1756" i="1"/>
  <c r="I1756" i="1"/>
  <c r="L1756" i="1"/>
  <c r="M1756" i="1"/>
  <c r="V1756" i="1"/>
  <c r="W1756" i="1"/>
  <c r="A3107" i="1"/>
  <c r="D3107" i="1"/>
  <c r="F3107" i="1"/>
  <c r="H3107" i="1"/>
  <c r="I3107" i="1"/>
  <c r="L3107" i="1"/>
  <c r="M3107" i="1"/>
  <c r="V3107" i="1"/>
  <c r="W3107" i="1"/>
  <c r="A3144" i="1"/>
  <c r="D3144" i="1"/>
  <c r="F3144" i="1"/>
  <c r="H3144" i="1"/>
  <c r="I3144" i="1"/>
  <c r="L3144" i="1"/>
  <c r="M3144" i="1"/>
  <c r="V3144" i="1"/>
  <c r="W3144" i="1"/>
  <c r="A3163" i="1"/>
  <c r="D3163" i="1"/>
  <c r="F3163" i="1"/>
  <c r="H3163" i="1"/>
  <c r="I3163" i="1"/>
  <c r="L3163" i="1"/>
  <c r="M3163" i="1"/>
  <c r="V3163" i="1"/>
  <c r="W3163" i="1"/>
  <c r="A5391" i="1"/>
  <c r="D5391" i="1"/>
  <c r="F5391" i="1"/>
  <c r="H5391" i="1"/>
  <c r="I5391" i="1"/>
  <c r="L5391" i="1"/>
  <c r="M5391" i="1"/>
  <c r="V5391" i="1"/>
  <c r="W5391" i="1"/>
  <c r="A1322" i="1"/>
  <c r="D1322" i="1"/>
  <c r="F1322" i="1"/>
  <c r="H1322" i="1"/>
  <c r="I1322" i="1"/>
  <c r="L1322" i="1"/>
  <c r="M1322" i="1"/>
  <c r="V1322" i="1"/>
  <c r="W1322" i="1"/>
  <c r="A1389" i="1"/>
  <c r="D1389" i="1"/>
  <c r="F1389" i="1"/>
  <c r="H1389" i="1"/>
  <c r="I1389" i="1"/>
  <c r="L1389" i="1"/>
  <c r="M1389" i="1"/>
  <c r="V1389" i="1"/>
  <c r="W1389" i="1"/>
  <c r="A3733" i="1"/>
  <c r="D3733" i="1"/>
  <c r="F3733" i="1"/>
  <c r="H3733" i="1"/>
  <c r="I3733" i="1"/>
  <c r="L3733" i="1"/>
  <c r="M3733" i="1"/>
  <c r="V3733" i="1"/>
  <c r="W3733" i="1"/>
  <c r="A1414" i="1"/>
  <c r="D1414" i="1"/>
  <c r="F1414" i="1"/>
  <c r="H1414" i="1"/>
  <c r="I1414" i="1"/>
  <c r="L1414" i="1"/>
  <c r="M1414" i="1"/>
  <c r="V1414" i="1"/>
  <c r="W1414" i="1"/>
  <c r="A1544" i="1"/>
  <c r="D1544" i="1"/>
  <c r="F1544" i="1"/>
  <c r="H1544" i="1"/>
  <c r="I1544" i="1"/>
  <c r="L1544" i="1"/>
  <c r="M1544" i="1"/>
  <c r="V1544" i="1"/>
  <c r="W1544" i="1"/>
  <c r="A4181" i="1"/>
  <c r="D4181" i="1"/>
  <c r="F4181" i="1"/>
  <c r="H4181" i="1"/>
  <c r="I4181" i="1"/>
  <c r="L4181" i="1"/>
  <c r="M4181" i="1"/>
  <c r="V4181" i="1"/>
  <c r="W4181" i="1"/>
  <c r="A614" i="1"/>
  <c r="D614" i="1"/>
  <c r="F614" i="1"/>
  <c r="H614" i="1"/>
  <c r="I614" i="1"/>
  <c r="L614" i="1"/>
  <c r="M614" i="1"/>
  <c r="V614" i="1"/>
  <c r="W614" i="1"/>
  <c r="A5826" i="1"/>
  <c r="D5826" i="1"/>
  <c r="F5826" i="1"/>
  <c r="H5826" i="1"/>
  <c r="I5826" i="1"/>
  <c r="L5826" i="1"/>
  <c r="M5826" i="1"/>
  <c r="V5826" i="1"/>
  <c r="W5826" i="1"/>
  <c r="A95" i="1"/>
  <c r="D95" i="1"/>
  <c r="F95" i="1"/>
  <c r="H95" i="1"/>
  <c r="I95" i="1"/>
  <c r="L95" i="1"/>
  <c r="M95" i="1"/>
  <c r="V95" i="1"/>
  <c r="W95" i="1"/>
  <c r="A2778" i="1"/>
  <c r="D2778" i="1"/>
  <c r="F2778" i="1"/>
  <c r="H2778" i="1"/>
  <c r="I2778" i="1"/>
  <c r="L2778" i="1"/>
  <c r="M2778" i="1"/>
  <c r="V2778" i="1"/>
  <c r="W2778" i="1"/>
  <c r="A2965" i="1"/>
  <c r="D2965" i="1"/>
  <c r="F2965" i="1"/>
  <c r="H2965" i="1"/>
  <c r="I2965" i="1"/>
  <c r="L2965" i="1"/>
  <c r="M2965" i="1"/>
  <c r="V2965" i="1"/>
  <c r="W2965" i="1"/>
  <c r="A2148" i="1"/>
  <c r="D2148" i="1"/>
  <c r="F2148" i="1"/>
  <c r="H2148" i="1"/>
  <c r="I2148" i="1"/>
  <c r="L2148" i="1"/>
  <c r="M2148" i="1"/>
  <c r="V2148" i="1"/>
  <c r="W2148" i="1"/>
  <c r="A4683" i="1"/>
  <c r="D4683" i="1"/>
  <c r="F4683" i="1"/>
  <c r="H4683" i="1"/>
  <c r="I4683" i="1"/>
  <c r="L4683" i="1"/>
  <c r="M4683" i="1"/>
  <c r="V4683" i="1"/>
  <c r="W4683" i="1"/>
  <c r="A5253" i="1"/>
  <c r="D5253" i="1"/>
  <c r="F5253" i="1"/>
  <c r="H5253" i="1"/>
  <c r="I5253" i="1"/>
  <c r="L5253" i="1"/>
  <c r="M5253" i="1"/>
  <c r="V5253" i="1"/>
  <c r="W5253" i="1"/>
  <c r="A2920" i="1"/>
  <c r="D2920" i="1"/>
  <c r="F2920" i="1"/>
  <c r="H2920" i="1"/>
  <c r="I2920" i="1"/>
  <c r="L2920" i="1"/>
  <c r="M2920" i="1"/>
  <c r="V2920" i="1"/>
  <c r="W2920" i="1"/>
  <c r="A5165" i="1"/>
  <c r="D5165" i="1"/>
  <c r="F5165" i="1"/>
  <c r="H5165" i="1"/>
  <c r="I5165" i="1"/>
  <c r="L5165" i="1"/>
  <c r="M5165" i="1"/>
  <c r="V5165" i="1"/>
  <c r="W5165" i="1"/>
  <c r="A5963" i="1"/>
  <c r="D5963" i="1"/>
  <c r="F5963" i="1"/>
  <c r="H5963" i="1"/>
  <c r="I5963" i="1"/>
  <c r="L5963" i="1"/>
  <c r="M5963" i="1"/>
  <c r="V5963" i="1"/>
  <c r="W5963" i="1"/>
  <c r="A2275" i="1"/>
  <c r="D2275" i="1"/>
  <c r="F2275" i="1"/>
  <c r="H2275" i="1"/>
  <c r="I2275" i="1"/>
  <c r="L2275" i="1"/>
  <c r="M2275" i="1"/>
  <c r="V2275" i="1"/>
  <c r="W2275" i="1"/>
  <c r="A465" i="1"/>
  <c r="D465" i="1"/>
  <c r="F465" i="1"/>
  <c r="H465" i="1"/>
  <c r="I465" i="1"/>
  <c r="L465" i="1"/>
  <c r="M465" i="1"/>
  <c r="V465" i="1"/>
  <c r="W465" i="1"/>
  <c r="A473" i="1"/>
  <c r="D473" i="1"/>
  <c r="F473" i="1"/>
  <c r="H473" i="1"/>
  <c r="I473" i="1"/>
  <c r="L473" i="1"/>
  <c r="M473" i="1"/>
  <c r="V473" i="1"/>
  <c r="W473" i="1"/>
  <c r="A534" i="1"/>
  <c r="D534" i="1"/>
  <c r="F534" i="1"/>
  <c r="H534" i="1"/>
  <c r="I534" i="1"/>
  <c r="L534" i="1"/>
  <c r="M534" i="1"/>
  <c r="V534" i="1"/>
  <c r="W534" i="1"/>
  <c r="A3111" i="1"/>
  <c r="D3111" i="1"/>
  <c r="F3111" i="1"/>
  <c r="H3111" i="1"/>
  <c r="I3111" i="1"/>
  <c r="L3111" i="1"/>
  <c r="M3111" i="1"/>
  <c r="V3111" i="1"/>
  <c r="W3111" i="1"/>
  <c r="A3155" i="1"/>
  <c r="D3155" i="1"/>
  <c r="F3155" i="1"/>
  <c r="H3155" i="1"/>
  <c r="I3155" i="1"/>
  <c r="L3155" i="1"/>
  <c r="M3155" i="1"/>
  <c r="V3155" i="1"/>
  <c r="W3155" i="1"/>
  <c r="A3803" i="1"/>
  <c r="D3803" i="1"/>
  <c r="F3803" i="1"/>
  <c r="H3803" i="1"/>
  <c r="I3803" i="1"/>
  <c r="L3803" i="1"/>
  <c r="M3803" i="1"/>
  <c r="V3803" i="1"/>
  <c r="W3803" i="1"/>
  <c r="A1057" i="1"/>
  <c r="D1057" i="1"/>
  <c r="F1057" i="1"/>
  <c r="H1057" i="1"/>
  <c r="I1057" i="1"/>
  <c r="L1057" i="1"/>
  <c r="M1057" i="1"/>
  <c r="V1057" i="1"/>
  <c r="W1057" i="1"/>
  <c r="A2970" i="1"/>
  <c r="D2970" i="1"/>
  <c r="F2970" i="1"/>
  <c r="H2970" i="1"/>
  <c r="I2970" i="1"/>
  <c r="L2970" i="1"/>
  <c r="M2970" i="1"/>
  <c r="V2970" i="1"/>
  <c r="W2970" i="1"/>
  <c r="A3305" i="1"/>
  <c r="D3305" i="1"/>
  <c r="F3305" i="1"/>
  <c r="H3305" i="1"/>
  <c r="I3305" i="1"/>
  <c r="L3305" i="1"/>
  <c r="M3305" i="1"/>
  <c r="V3305" i="1"/>
  <c r="W3305" i="1"/>
  <c r="A3226" i="1"/>
  <c r="D3226" i="1"/>
  <c r="F3226" i="1"/>
  <c r="H3226" i="1"/>
  <c r="I3226" i="1"/>
  <c r="L3226" i="1"/>
  <c r="M3226" i="1"/>
  <c r="V3226" i="1"/>
  <c r="W3226" i="1"/>
  <c r="A3322" i="1"/>
  <c r="D3322" i="1"/>
  <c r="F3322" i="1"/>
  <c r="H3322" i="1"/>
  <c r="I3322" i="1"/>
  <c r="L3322" i="1"/>
  <c r="M3322" i="1"/>
  <c r="V3322" i="1"/>
  <c r="W3322" i="1"/>
  <c r="A3517" i="1"/>
  <c r="D3517" i="1"/>
  <c r="F3517" i="1"/>
  <c r="H3517" i="1"/>
  <c r="I3517" i="1"/>
  <c r="L3517" i="1"/>
  <c r="M3517" i="1"/>
  <c r="V3517" i="1"/>
  <c r="W3517" i="1"/>
  <c r="A464" i="1"/>
  <c r="D464" i="1"/>
  <c r="F464" i="1"/>
  <c r="H464" i="1"/>
  <c r="I464" i="1"/>
  <c r="L464" i="1"/>
  <c r="M464" i="1"/>
  <c r="V464" i="1"/>
  <c r="W464" i="1"/>
  <c r="A798" i="1"/>
  <c r="D798" i="1"/>
  <c r="F798" i="1"/>
  <c r="H798" i="1"/>
  <c r="I798" i="1"/>
  <c r="L798" i="1"/>
  <c r="M798" i="1"/>
  <c r="V798" i="1"/>
  <c r="W798" i="1"/>
  <c r="A1186" i="1"/>
  <c r="D1186" i="1"/>
  <c r="F1186" i="1"/>
  <c r="H1186" i="1"/>
  <c r="I1186" i="1"/>
  <c r="L1186" i="1"/>
  <c r="M1186" i="1"/>
  <c r="V1186" i="1"/>
  <c r="W1186" i="1"/>
  <c r="A1851" i="1"/>
  <c r="D1851" i="1"/>
  <c r="F1851" i="1"/>
  <c r="H1851" i="1"/>
  <c r="I1851" i="1"/>
  <c r="L1851" i="1"/>
  <c r="M1851" i="1"/>
  <c r="V1851" i="1"/>
  <c r="W1851" i="1"/>
  <c r="A2196" i="1"/>
  <c r="D2196" i="1"/>
  <c r="F2196" i="1"/>
  <c r="H2196" i="1"/>
  <c r="I2196" i="1"/>
  <c r="L2196" i="1"/>
  <c r="M2196" i="1"/>
  <c r="V2196" i="1"/>
  <c r="W2196" i="1"/>
  <c r="A1246" i="1"/>
  <c r="D1246" i="1"/>
  <c r="F1246" i="1"/>
  <c r="H1246" i="1"/>
  <c r="I1246" i="1"/>
  <c r="L1246" i="1"/>
  <c r="M1246" i="1"/>
  <c r="V1246" i="1"/>
  <c r="W1246" i="1"/>
  <c r="A1381" i="1"/>
  <c r="D1381" i="1"/>
  <c r="F1381" i="1"/>
  <c r="H1381" i="1"/>
  <c r="I1381" i="1"/>
  <c r="L1381" i="1"/>
  <c r="M1381" i="1"/>
  <c r="V1381" i="1"/>
  <c r="W1381" i="1"/>
  <c r="A3227" i="1"/>
  <c r="D3227" i="1"/>
  <c r="F3227" i="1"/>
  <c r="H3227" i="1"/>
  <c r="I3227" i="1"/>
  <c r="L3227" i="1"/>
  <c r="M3227" i="1"/>
  <c r="V3227" i="1"/>
  <c r="W3227" i="1"/>
  <c r="A3323" i="1"/>
  <c r="D3323" i="1"/>
  <c r="F3323" i="1"/>
  <c r="H3323" i="1"/>
  <c r="I3323" i="1"/>
  <c r="L3323" i="1"/>
  <c r="M3323" i="1"/>
  <c r="V3323" i="1"/>
  <c r="W3323" i="1"/>
  <c r="A3516" i="1"/>
  <c r="D3516" i="1"/>
  <c r="F3516" i="1"/>
  <c r="H3516" i="1"/>
  <c r="I3516" i="1"/>
  <c r="L3516" i="1"/>
  <c r="M3516" i="1"/>
  <c r="V3516" i="1"/>
  <c r="W3516" i="1"/>
  <c r="A1247" i="1"/>
  <c r="D1247" i="1"/>
  <c r="F1247" i="1"/>
  <c r="H1247" i="1"/>
  <c r="I1247" i="1"/>
  <c r="L1247" i="1"/>
  <c r="M1247" i="1"/>
  <c r="V1247" i="1"/>
  <c r="W1247" i="1"/>
  <c r="A1387" i="1"/>
  <c r="D1387" i="1"/>
  <c r="F1387" i="1"/>
  <c r="H1387" i="1"/>
  <c r="I1387" i="1"/>
  <c r="L1387" i="1"/>
  <c r="M1387" i="1"/>
  <c r="V1387" i="1"/>
  <c r="W1387" i="1"/>
  <c r="A1469" i="1"/>
  <c r="D1469" i="1"/>
  <c r="F1469" i="1"/>
  <c r="H1469" i="1"/>
  <c r="I1469" i="1"/>
  <c r="L1469" i="1"/>
  <c r="M1469" i="1"/>
  <c r="V1469" i="1"/>
  <c r="W1469" i="1"/>
  <c r="A2651" i="1"/>
  <c r="D2651" i="1"/>
  <c r="F2651" i="1"/>
  <c r="H2651" i="1"/>
  <c r="I2651" i="1"/>
  <c r="L2651" i="1"/>
  <c r="M2651" i="1"/>
  <c r="V2651" i="1"/>
  <c r="W2651" i="1"/>
  <c r="A2760" i="1"/>
  <c r="D2760" i="1"/>
  <c r="F2760" i="1"/>
  <c r="H2760" i="1"/>
  <c r="I2760" i="1"/>
  <c r="L2760" i="1"/>
  <c r="M2760" i="1"/>
  <c r="V2760" i="1"/>
  <c r="W2760" i="1"/>
  <c r="A2820" i="1"/>
  <c r="D2820" i="1"/>
  <c r="F2820" i="1"/>
  <c r="H2820" i="1"/>
  <c r="I2820" i="1"/>
  <c r="L2820" i="1"/>
  <c r="M2820" i="1"/>
  <c r="V2820" i="1"/>
  <c r="W2820" i="1"/>
  <c r="A2886" i="1"/>
  <c r="D2886" i="1"/>
  <c r="F2886" i="1"/>
  <c r="H2886" i="1"/>
  <c r="I2886" i="1"/>
  <c r="L2886" i="1"/>
  <c r="M2886" i="1"/>
  <c r="V2886" i="1"/>
  <c r="W2886" i="1"/>
  <c r="A3004" i="1"/>
  <c r="D3004" i="1"/>
  <c r="F3004" i="1"/>
  <c r="H3004" i="1"/>
  <c r="I3004" i="1"/>
  <c r="L3004" i="1"/>
  <c r="M3004" i="1"/>
  <c r="V3004" i="1"/>
  <c r="W3004" i="1"/>
  <c r="A2818" i="1"/>
  <c r="D2818" i="1"/>
  <c r="F2818" i="1"/>
  <c r="H2818" i="1"/>
  <c r="I2818" i="1"/>
  <c r="L2818" i="1"/>
  <c r="M2818" i="1"/>
  <c r="V2818" i="1"/>
  <c r="W2818" i="1"/>
  <c r="A3160" i="1"/>
  <c r="D3160" i="1"/>
  <c r="F3160" i="1"/>
  <c r="H3160" i="1"/>
  <c r="I3160" i="1"/>
  <c r="L3160" i="1"/>
  <c r="M3160" i="1"/>
  <c r="V3160" i="1"/>
  <c r="W3160" i="1"/>
  <c r="A3228" i="1"/>
  <c r="D3228" i="1"/>
  <c r="F3228" i="1"/>
  <c r="H3228" i="1"/>
  <c r="I3228" i="1"/>
  <c r="L3228" i="1"/>
  <c r="M3228" i="1"/>
  <c r="V3228" i="1"/>
  <c r="W3228" i="1"/>
  <c r="A5100" i="1"/>
  <c r="D5100" i="1"/>
  <c r="F5100" i="1"/>
  <c r="H5100" i="1"/>
  <c r="I5100" i="1"/>
  <c r="L5100" i="1"/>
  <c r="M5100" i="1"/>
  <c r="V5100" i="1"/>
  <c r="W5100" i="1"/>
  <c r="A673" i="1"/>
  <c r="D673" i="1"/>
  <c r="F673" i="1"/>
  <c r="H673" i="1"/>
  <c r="I673" i="1"/>
  <c r="L673" i="1"/>
  <c r="M673" i="1"/>
  <c r="V673" i="1"/>
  <c r="W673" i="1"/>
  <c r="A1029" i="1"/>
  <c r="D1029" i="1"/>
  <c r="F1029" i="1"/>
  <c r="H1029" i="1"/>
  <c r="I1029" i="1"/>
  <c r="L1029" i="1"/>
  <c r="M1029" i="1"/>
  <c r="V1029" i="1"/>
  <c r="W1029" i="1"/>
  <c r="A365" i="1"/>
  <c r="D365" i="1"/>
  <c r="F365" i="1"/>
  <c r="H365" i="1"/>
  <c r="I365" i="1"/>
  <c r="L365" i="1"/>
  <c r="M365" i="1"/>
  <c r="V365" i="1"/>
  <c r="W365" i="1"/>
  <c r="A3170" i="1"/>
  <c r="D3170" i="1"/>
  <c r="F3170" i="1"/>
  <c r="H3170" i="1"/>
  <c r="I3170" i="1"/>
  <c r="L3170" i="1"/>
  <c r="M3170" i="1"/>
  <c r="V3170" i="1"/>
  <c r="W3170" i="1"/>
  <c r="A2581" i="1"/>
  <c r="D2581" i="1"/>
  <c r="F2581" i="1"/>
  <c r="H2581" i="1"/>
  <c r="I2581" i="1"/>
  <c r="L2581" i="1"/>
  <c r="M2581" i="1"/>
  <c r="V2581" i="1"/>
  <c r="W2581" i="1"/>
  <c r="A967" i="1"/>
  <c r="D967" i="1"/>
  <c r="F967" i="1"/>
  <c r="H967" i="1"/>
  <c r="I967" i="1"/>
  <c r="L967" i="1"/>
  <c r="M967" i="1"/>
  <c r="V967" i="1"/>
  <c r="W967" i="1"/>
  <c r="A2356" i="1"/>
  <c r="D2356" i="1"/>
  <c r="F2356" i="1"/>
  <c r="H2356" i="1"/>
  <c r="I2356" i="1"/>
  <c r="L2356" i="1"/>
  <c r="M2356" i="1"/>
  <c r="V2356" i="1"/>
  <c r="W2356" i="1"/>
  <c r="A5474" i="1"/>
  <c r="D5474" i="1"/>
  <c r="F5474" i="1"/>
  <c r="H5474" i="1"/>
  <c r="I5474" i="1"/>
  <c r="L5474" i="1"/>
  <c r="M5474" i="1"/>
  <c r="V5474" i="1"/>
  <c r="W5474" i="1"/>
  <c r="A3165" i="1"/>
  <c r="D3165" i="1"/>
  <c r="F3165" i="1"/>
  <c r="H3165" i="1"/>
  <c r="I3165" i="1"/>
  <c r="L3165" i="1"/>
  <c r="M3165" i="1"/>
  <c r="V3165" i="1"/>
  <c r="W3165" i="1"/>
  <c r="A1720" i="1"/>
  <c r="D1720" i="1"/>
  <c r="F1720" i="1"/>
  <c r="H1720" i="1"/>
  <c r="I1720" i="1"/>
  <c r="L1720" i="1"/>
  <c r="M1720" i="1"/>
  <c r="V1720" i="1"/>
  <c r="W1720" i="1"/>
  <c r="A2310" i="1"/>
  <c r="D2310" i="1"/>
  <c r="F2310" i="1"/>
  <c r="H2310" i="1"/>
  <c r="I2310" i="1"/>
  <c r="L2310" i="1"/>
  <c r="M2310" i="1"/>
  <c r="V2310" i="1"/>
  <c r="W2310" i="1"/>
  <c r="A1424" i="1"/>
  <c r="D1424" i="1"/>
  <c r="F1424" i="1"/>
  <c r="H1424" i="1"/>
  <c r="I1424" i="1"/>
  <c r="L1424" i="1"/>
  <c r="M1424" i="1"/>
  <c r="V1424" i="1"/>
  <c r="W1424" i="1"/>
  <c r="A2934" i="1"/>
  <c r="D2934" i="1"/>
  <c r="F2934" i="1"/>
  <c r="H2934" i="1"/>
  <c r="I2934" i="1"/>
  <c r="L2934" i="1"/>
  <c r="M2934" i="1"/>
  <c r="V2934" i="1"/>
  <c r="W2934" i="1"/>
  <c r="A2875" i="1"/>
  <c r="D2875" i="1"/>
  <c r="F2875" i="1"/>
  <c r="H2875" i="1"/>
  <c r="I2875" i="1"/>
  <c r="L2875" i="1"/>
  <c r="M2875" i="1"/>
  <c r="V2875" i="1"/>
  <c r="W2875" i="1"/>
  <c r="A1153" i="1"/>
  <c r="D1153" i="1"/>
  <c r="F1153" i="1"/>
  <c r="H1153" i="1"/>
  <c r="I1153" i="1"/>
  <c r="L1153" i="1"/>
  <c r="M1153" i="1"/>
  <c r="V1153" i="1"/>
  <c r="W1153" i="1"/>
  <c r="A4713" i="1"/>
  <c r="D4713" i="1"/>
  <c r="F4713" i="1"/>
  <c r="H4713" i="1"/>
  <c r="I4713" i="1"/>
  <c r="L4713" i="1"/>
  <c r="M4713" i="1"/>
  <c r="V4713" i="1"/>
  <c r="W4713" i="1"/>
  <c r="A1515" i="1"/>
  <c r="D1515" i="1"/>
  <c r="F1515" i="1"/>
  <c r="H1515" i="1"/>
  <c r="I1515" i="1"/>
  <c r="L1515" i="1"/>
  <c r="M1515" i="1"/>
  <c r="V1515" i="1"/>
  <c r="W1515" i="1"/>
  <c r="A2026" i="1"/>
  <c r="D2026" i="1"/>
  <c r="F2026" i="1"/>
  <c r="H2026" i="1"/>
  <c r="I2026" i="1"/>
  <c r="L2026" i="1"/>
  <c r="M2026" i="1"/>
  <c r="V2026" i="1"/>
  <c r="W2026" i="1"/>
  <c r="A4830" i="1"/>
  <c r="D4830" i="1"/>
  <c r="F4830" i="1"/>
  <c r="H4830" i="1"/>
  <c r="I4830" i="1"/>
  <c r="L4830" i="1"/>
  <c r="M4830" i="1"/>
  <c r="V4830" i="1"/>
  <c r="W4830" i="1"/>
  <c r="A5412" i="1"/>
  <c r="D5412" i="1"/>
  <c r="F5412" i="1"/>
  <c r="H5412" i="1"/>
  <c r="I5412" i="1"/>
  <c r="L5412" i="1"/>
  <c r="M5412" i="1"/>
  <c r="V5412" i="1"/>
  <c r="W5412" i="1"/>
  <c r="A2754" i="1"/>
  <c r="D2754" i="1"/>
  <c r="F2754" i="1"/>
  <c r="H2754" i="1"/>
  <c r="I2754" i="1"/>
  <c r="L2754" i="1"/>
  <c r="M2754" i="1"/>
  <c r="V2754" i="1"/>
  <c r="W2754" i="1"/>
  <c r="A2767" i="1"/>
  <c r="D2767" i="1"/>
  <c r="F2767" i="1"/>
  <c r="H2767" i="1"/>
  <c r="I2767" i="1"/>
  <c r="L2767" i="1"/>
  <c r="M2767" i="1"/>
  <c r="V2767" i="1"/>
  <c r="W2767" i="1"/>
  <c r="A1187" i="1"/>
  <c r="D1187" i="1"/>
  <c r="F1187" i="1"/>
  <c r="H1187" i="1"/>
  <c r="I1187" i="1"/>
  <c r="L1187" i="1"/>
  <c r="M1187" i="1"/>
  <c r="V1187" i="1"/>
  <c r="W1187" i="1"/>
  <c r="A15" i="1"/>
  <c r="D15" i="1"/>
  <c r="F15" i="1"/>
  <c r="H15" i="1"/>
  <c r="I15" i="1"/>
  <c r="L15" i="1"/>
  <c r="M15" i="1"/>
  <c r="V15" i="1"/>
  <c r="W15" i="1"/>
  <c r="A2631" i="1"/>
  <c r="D2631" i="1"/>
  <c r="F2631" i="1"/>
  <c r="H2631" i="1"/>
  <c r="I2631" i="1"/>
  <c r="L2631" i="1"/>
  <c r="M2631" i="1"/>
  <c r="V2631" i="1"/>
  <c r="W2631" i="1"/>
  <c r="A1017" i="1"/>
  <c r="D1017" i="1"/>
  <c r="F1017" i="1"/>
  <c r="H1017" i="1"/>
  <c r="I1017" i="1"/>
  <c r="L1017" i="1"/>
  <c r="M1017" i="1"/>
  <c r="V1017" i="1"/>
  <c r="W1017" i="1"/>
  <c r="A2774" i="1"/>
  <c r="D2774" i="1"/>
  <c r="F2774" i="1"/>
  <c r="H2774" i="1"/>
  <c r="I2774" i="1"/>
  <c r="L2774" i="1"/>
  <c r="M2774" i="1"/>
  <c r="V2774" i="1"/>
  <c r="W2774" i="1"/>
  <c r="A2892" i="1"/>
  <c r="D2892" i="1"/>
  <c r="F2892" i="1"/>
  <c r="H2892" i="1"/>
  <c r="I2892" i="1"/>
  <c r="L2892" i="1"/>
  <c r="M2892" i="1"/>
  <c r="V2892" i="1"/>
  <c r="W2892" i="1"/>
  <c r="A3082" i="1"/>
  <c r="D3082" i="1"/>
  <c r="F3082" i="1"/>
  <c r="H3082" i="1"/>
  <c r="I3082" i="1"/>
  <c r="L3082" i="1"/>
  <c r="M3082" i="1"/>
  <c r="V3082" i="1"/>
  <c r="W3082" i="1"/>
  <c r="A3173" i="1"/>
  <c r="D3173" i="1"/>
  <c r="F3173" i="1"/>
  <c r="H3173" i="1"/>
  <c r="I3173" i="1"/>
  <c r="L3173" i="1"/>
  <c r="M3173" i="1"/>
  <c r="V3173" i="1"/>
  <c r="W3173" i="1"/>
  <c r="A4676" i="1"/>
  <c r="D4676" i="1"/>
  <c r="F4676" i="1"/>
  <c r="H4676" i="1"/>
  <c r="I4676" i="1"/>
  <c r="L4676" i="1"/>
  <c r="M4676" i="1"/>
  <c r="V4676" i="1"/>
  <c r="W4676" i="1"/>
  <c r="A2629" i="1"/>
  <c r="D2629" i="1"/>
  <c r="F2629" i="1"/>
  <c r="H2629" i="1"/>
  <c r="I2629" i="1"/>
  <c r="L2629" i="1"/>
  <c r="M2629" i="1"/>
  <c r="V2629" i="1"/>
  <c r="W2629" i="1"/>
  <c r="A349" i="1"/>
  <c r="D349" i="1"/>
  <c r="F349" i="1"/>
  <c r="H349" i="1"/>
  <c r="I349" i="1"/>
  <c r="L349" i="1"/>
  <c r="M349" i="1"/>
  <c r="V349" i="1"/>
  <c r="W349" i="1"/>
  <c r="A2348" i="1"/>
  <c r="D2348" i="1"/>
  <c r="F2348" i="1"/>
  <c r="H2348" i="1"/>
  <c r="I2348" i="1"/>
  <c r="L2348" i="1"/>
  <c r="M2348" i="1"/>
  <c r="V2348" i="1"/>
  <c r="W2348" i="1"/>
  <c r="A52" i="1"/>
  <c r="D52" i="1"/>
  <c r="F52" i="1"/>
  <c r="H52" i="1"/>
  <c r="I52" i="1"/>
  <c r="L52" i="1"/>
  <c r="M52" i="1"/>
  <c r="V52" i="1"/>
  <c r="W52" i="1"/>
  <c r="A1008" i="1"/>
  <c r="D1008" i="1"/>
  <c r="F1008" i="1"/>
  <c r="H1008" i="1"/>
  <c r="I1008" i="1"/>
  <c r="L1008" i="1"/>
  <c r="M1008" i="1"/>
  <c r="V1008" i="1"/>
  <c r="W1008" i="1"/>
  <c r="A785" i="1"/>
  <c r="D785" i="1"/>
  <c r="F785" i="1"/>
  <c r="H785" i="1"/>
  <c r="I785" i="1"/>
  <c r="L785" i="1"/>
  <c r="M785" i="1"/>
  <c r="V785" i="1"/>
  <c r="W785" i="1"/>
  <c r="A2510" i="1"/>
  <c r="D2510" i="1"/>
  <c r="F2510" i="1"/>
  <c r="H2510" i="1"/>
  <c r="I2510" i="1"/>
  <c r="L2510" i="1"/>
  <c r="M2510" i="1"/>
  <c r="V2510" i="1"/>
  <c r="W2510" i="1"/>
  <c r="A3796" i="1"/>
  <c r="D3796" i="1"/>
  <c r="F3796" i="1"/>
  <c r="H3796" i="1"/>
  <c r="I3796" i="1"/>
  <c r="L3796" i="1"/>
  <c r="M3796" i="1"/>
  <c r="V3796" i="1"/>
  <c r="W3796" i="1"/>
  <c r="A4278" i="1"/>
  <c r="D4278" i="1"/>
  <c r="F4278" i="1"/>
  <c r="H4278" i="1"/>
  <c r="I4278" i="1"/>
  <c r="L4278" i="1"/>
  <c r="M4278" i="1"/>
  <c r="V4278" i="1"/>
  <c r="W4278" i="1"/>
  <c r="A6182" i="1"/>
  <c r="D6182" i="1"/>
  <c r="F6182" i="1"/>
  <c r="H6182" i="1"/>
  <c r="I6182" i="1"/>
  <c r="L6182" i="1"/>
  <c r="M6182" i="1"/>
  <c r="V6182" i="1"/>
  <c r="W6182" i="1"/>
  <c r="A5055" i="1"/>
  <c r="D5055" i="1"/>
  <c r="F5055" i="1"/>
  <c r="H5055" i="1"/>
  <c r="I5055" i="1"/>
  <c r="L5055" i="1"/>
  <c r="M5055" i="1"/>
  <c r="V5055" i="1"/>
  <c r="W5055" i="1"/>
  <c r="A5385" i="1"/>
  <c r="D5385" i="1"/>
  <c r="F5385" i="1"/>
  <c r="H5385" i="1"/>
  <c r="I5385" i="1"/>
  <c r="L5385" i="1"/>
  <c r="M5385" i="1"/>
  <c r="V5385" i="1"/>
  <c r="W5385" i="1"/>
  <c r="A3425" i="1"/>
  <c r="D3425" i="1"/>
  <c r="F3425" i="1"/>
  <c r="H3425" i="1"/>
  <c r="I3425" i="1"/>
  <c r="L3425" i="1"/>
  <c r="M3425" i="1"/>
  <c r="V3425" i="1"/>
  <c r="W3425" i="1"/>
  <c r="A3444" i="1"/>
  <c r="D3444" i="1"/>
  <c r="F3444" i="1"/>
  <c r="H3444" i="1"/>
  <c r="I3444" i="1"/>
  <c r="L3444" i="1"/>
  <c r="M3444" i="1"/>
  <c r="V3444" i="1"/>
  <c r="W3444" i="1"/>
  <c r="A3446" i="1"/>
  <c r="D3446" i="1"/>
  <c r="F3446" i="1"/>
  <c r="H3446" i="1"/>
  <c r="I3446" i="1"/>
  <c r="L3446" i="1"/>
  <c r="M3446" i="1"/>
  <c r="V3446" i="1"/>
  <c r="W3446" i="1"/>
  <c r="A5292" i="1"/>
  <c r="D5292" i="1"/>
  <c r="F5292" i="1"/>
  <c r="H5292" i="1"/>
  <c r="I5292" i="1"/>
  <c r="L5292" i="1"/>
  <c r="M5292" i="1"/>
  <c r="V5292" i="1"/>
  <c r="W5292" i="1"/>
  <c r="A1596" i="1"/>
  <c r="D1596" i="1"/>
  <c r="F1596" i="1"/>
  <c r="H1596" i="1"/>
  <c r="I1596" i="1"/>
  <c r="L1596" i="1"/>
  <c r="M1596" i="1"/>
  <c r="V1596" i="1"/>
  <c r="W1596" i="1"/>
  <c r="A2122" i="1"/>
  <c r="D2122" i="1"/>
  <c r="F2122" i="1"/>
  <c r="H2122" i="1"/>
  <c r="I2122" i="1"/>
  <c r="L2122" i="1"/>
  <c r="M2122" i="1"/>
  <c r="V2122" i="1"/>
  <c r="W2122" i="1"/>
  <c r="A3167" i="1"/>
  <c r="D3167" i="1"/>
  <c r="F3167" i="1"/>
  <c r="H3167" i="1"/>
  <c r="I3167" i="1"/>
  <c r="L3167" i="1"/>
  <c r="M3167" i="1"/>
  <c r="V3167" i="1"/>
  <c r="W3167" i="1"/>
  <c r="A3229" i="1"/>
  <c r="D3229" i="1"/>
  <c r="F3229" i="1"/>
  <c r="H3229" i="1"/>
  <c r="I3229" i="1"/>
  <c r="L3229" i="1"/>
  <c r="M3229" i="1"/>
  <c r="V3229" i="1"/>
  <c r="W3229" i="1"/>
  <c r="A3765" i="1"/>
  <c r="D3765" i="1"/>
  <c r="F3765" i="1"/>
  <c r="H3765" i="1"/>
  <c r="I3765" i="1"/>
  <c r="L3765" i="1"/>
  <c r="M3765" i="1"/>
  <c r="V3765" i="1"/>
  <c r="W3765" i="1"/>
  <c r="A5888" i="1"/>
  <c r="D5888" i="1"/>
  <c r="F5888" i="1"/>
  <c r="H5888" i="1"/>
  <c r="I5888" i="1"/>
  <c r="L5888" i="1"/>
  <c r="M5888" i="1"/>
  <c r="V5888" i="1"/>
  <c r="W5888" i="1"/>
  <c r="A2498" i="1"/>
  <c r="D2498" i="1"/>
  <c r="F2498" i="1"/>
  <c r="H2498" i="1"/>
  <c r="I2498" i="1"/>
  <c r="L2498" i="1"/>
  <c r="M2498" i="1"/>
  <c r="V2498" i="1"/>
  <c r="W2498" i="1"/>
  <c r="A789" i="1"/>
  <c r="D789" i="1"/>
  <c r="F789" i="1"/>
  <c r="H789" i="1"/>
  <c r="I789" i="1"/>
  <c r="L789" i="1"/>
  <c r="M789" i="1"/>
  <c r="V789" i="1"/>
  <c r="W789" i="1"/>
  <c r="A824" i="1"/>
  <c r="D824" i="1"/>
  <c r="F824" i="1"/>
  <c r="H824" i="1"/>
  <c r="I824" i="1"/>
  <c r="L824" i="1"/>
  <c r="M824" i="1"/>
  <c r="V824" i="1"/>
  <c r="W824" i="1"/>
  <c r="A943" i="1"/>
  <c r="D943" i="1"/>
  <c r="F943" i="1"/>
  <c r="H943" i="1"/>
  <c r="I943" i="1"/>
  <c r="L943" i="1"/>
  <c r="M943" i="1"/>
  <c r="V943" i="1"/>
  <c r="W943" i="1"/>
  <c r="A1669" i="1"/>
  <c r="D1669" i="1"/>
  <c r="F1669" i="1"/>
  <c r="H1669" i="1"/>
  <c r="I1669" i="1"/>
  <c r="L1669" i="1"/>
  <c r="M1669" i="1"/>
  <c r="V1669" i="1"/>
  <c r="W1669" i="1"/>
  <c r="A3493" i="1"/>
  <c r="D3493" i="1"/>
  <c r="F3493" i="1"/>
  <c r="H3493" i="1"/>
  <c r="I3493" i="1"/>
  <c r="L3493" i="1"/>
  <c r="M3493" i="1"/>
  <c r="V3493" i="1"/>
  <c r="W3493" i="1"/>
  <c r="A4640" i="1"/>
  <c r="D4640" i="1"/>
  <c r="F4640" i="1"/>
  <c r="H4640" i="1"/>
  <c r="I4640" i="1"/>
  <c r="L4640" i="1"/>
  <c r="M4640" i="1"/>
  <c r="V4640" i="1"/>
  <c r="W4640" i="1"/>
  <c r="A3016" i="1"/>
  <c r="D3016" i="1"/>
  <c r="F3016" i="1"/>
  <c r="H3016" i="1"/>
  <c r="I3016" i="1"/>
  <c r="L3016" i="1"/>
  <c r="M3016" i="1"/>
  <c r="V3016" i="1"/>
  <c r="W3016" i="1"/>
  <c r="A3654" i="1"/>
  <c r="D3654" i="1"/>
  <c r="F3654" i="1"/>
  <c r="H3654" i="1"/>
  <c r="I3654" i="1"/>
  <c r="L3654" i="1"/>
  <c r="M3654" i="1"/>
  <c r="V3654" i="1"/>
  <c r="W3654" i="1"/>
  <c r="A4288" i="1"/>
  <c r="D4288" i="1"/>
  <c r="F4288" i="1"/>
  <c r="H4288" i="1"/>
  <c r="I4288" i="1"/>
  <c r="L4288" i="1"/>
  <c r="M4288" i="1"/>
  <c r="V4288" i="1"/>
  <c r="W4288" i="1"/>
  <c r="A6208" i="1"/>
  <c r="D6208" i="1"/>
  <c r="F6208" i="1"/>
  <c r="H6208" i="1"/>
  <c r="I6208" i="1"/>
  <c r="L6208" i="1"/>
  <c r="M6208" i="1"/>
  <c r="V6208" i="1"/>
  <c r="W6208" i="1"/>
  <c r="A3672" i="1"/>
  <c r="D3672" i="1"/>
  <c r="F3672" i="1"/>
  <c r="H3672" i="1"/>
  <c r="I3672" i="1"/>
  <c r="L3672" i="1"/>
  <c r="M3672" i="1"/>
  <c r="V3672" i="1"/>
  <c r="W3672" i="1"/>
  <c r="A3692" i="1"/>
  <c r="D3692" i="1"/>
  <c r="F3692" i="1"/>
  <c r="H3692" i="1"/>
  <c r="I3692" i="1"/>
  <c r="L3692" i="1"/>
  <c r="M3692" i="1"/>
  <c r="V3692" i="1"/>
  <c r="W3692" i="1"/>
  <c r="A2140" i="1"/>
  <c r="D2140" i="1"/>
  <c r="F2140" i="1"/>
  <c r="H2140" i="1"/>
  <c r="I2140" i="1"/>
  <c r="L2140" i="1"/>
  <c r="M2140" i="1"/>
  <c r="V2140" i="1"/>
  <c r="W2140" i="1"/>
  <c r="A4203" i="1"/>
  <c r="D4203" i="1"/>
  <c r="F4203" i="1"/>
  <c r="H4203" i="1"/>
  <c r="I4203" i="1"/>
  <c r="L4203" i="1"/>
  <c r="M4203" i="1"/>
  <c r="V4203" i="1"/>
  <c r="W4203" i="1"/>
  <c r="A2805" i="1"/>
  <c r="D2805" i="1"/>
  <c r="F2805" i="1"/>
  <c r="H2805" i="1"/>
  <c r="I2805" i="1"/>
  <c r="L2805" i="1"/>
  <c r="M2805" i="1"/>
  <c r="V2805" i="1"/>
  <c r="W2805" i="1"/>
  <c r="A2863" i="1"/>
  <c r="D2863" i="1"/>
  <c r="F2863" i="1"/>
  <c r="H2863" i="1"/>
  <c r="I2863" i="1"/>
  <c r="L2863" i="1"/>
  <c r="M2863" i="1"/>
  <c r="V2863" i="1"/>
  <c r="W2863" i="1"/>
  <c r="A1248" i="1"/>
  <c r="D1248" i="1"/>
  <c r="F1248" i="1"/>
  <c r="H1248" i="1"/>
  <c r="I1248" i="1"/>
  <c r="L1248" i="1"/>
  <c r="M1248" i="1"/>
  <c r="V1248" i="1"/>
  <c r="W1248" i="1"/>
  <c r="A1386" i="1"/>
  <c r="D1386" i="1"/>
  <c r="F1386" i="1"/>
  <c r="H1386" i="1"/>
  <c r="I1386" i="1"/>
  <c r="L1386" i="1"/>
  <c r="M1386" i="1"/>
  <c r="V1386" i="1"/>
  <c r="W1386" i="1"/>
  <c r="A4338" i="1"/>
  <c r="D4338" i="1"/>
  <c r="F4338" i="1"/>
  <c r="H4338" i="1"/>
  <c r="I4338" i="1"/>
  <c r="L4338" i="1"/>
  <c r="M4338" i="1"/>
  <c r="V4338" i="1"/>
  <c r="W4338" i="1"/>
  <c r="A110" i="1"/>
  <c r="D110" i="1"/>
  <c r="F110" i="1"/>
  <c r="H110" i="1"/>
  <c r="I110" i="1"/>
  <c r="L110" i="1"/>
  <c r="M110" i="1"/>
  <c r="V110" i="1"/>
  <c r="W110" i="1"/>
  <c r="A3222" i="1"/>
  <c r="D3222" i="1"/>
  <c r="F3222" i="1"/>
  <c r="H3222" i="1"/>
  <c r="I3222" i="1"/>
  <c r="L3222" i="1"/>
  <c r="M3222" i="1"/>
  <c r="V3222" i="1"/>
  <c r="W3222" i="1"/>
  <c r="A3307" i="1"/>
  <c r="D3307" i="1"/>
  <c r="F3307" i="1"/>
  <c r="H3307" i="1"/>
  <c r="I3307" i="1"/>
  <c r="L3307" i="1"/>
  <c r="M3307" i="1"/>
  <c r="V3307" i="1"/>
  <c r="W3307" i="1"/>
  <c r="A3676" i="1"/>
  <c r="D3676" i="1"/>
  <c r="F3676" i="1"/>
  <c r="H3676" i="1"/>
  <c r="I3676" i="1"/>
  <c r="L3676" i="1"/>
  <c r="M3676" i="1"/>
  <c r="V3676" i="1"/>
  <c r="W3676" i="1"/>
  <c r="A5529" i="1"/>
  <c r="D5529" i="1"/>
  <c r="F5529" i="1"/>
  <c r="H5529" i="1"/>
  <c r="I5529" i="1"/>
  <c r="L5529" i="1"/>
  <c r="M5529" i="1"/>
  <c r="V5529" i="1"/>
  <c r="W5529" i="1"/>
  <c r="A5902" i="1"/>
  <c r="D5902" i="1"/>
  <c r="F5902" i="1"/>
  <c r="H5902" i="1"/>
  <c r="I5902" i="1"/>
  <c r="L5902" i="1"/>
  <c r="M5902" i="1"/>
  <c r="V5902" i="1"/>
  <c r="W5902" i="1"/>
  <c r="A5399" i="1"/>
  <c r="D5399" i="1"/>
  <c r="F5399" i="1"/>
  <c r="H5399" i="1"/>
  <c r="I5399" i="1"/>
  <c r="L5399" i="1"/>
  <c r="M5399" i="1"/>
  <c r="V5399" i="1"/>
  <c r="W5399" i="1"/>
  <c r="A2268" i="1"/>
  <c r="D2268" i="1"/>
  <c r="F2268" i="1"/>
  <c r="H2268" i="1"/>
  <c r="I2268" i="1"/>
  <c r="L2268" i="1"/>
  <c r="M2268" i="1"/>
  <c r="V2268" i="1"/>
  <c r="W2268" i="1"/>
  <c r="A2464" i="1"/>
  <c r="D2464" i="1"/>
  <c r="F2464" i="1"/>
  <c r="H2464" i="1"/>
  <c r="I2464" i="1"/>
  <c r="L2464" i="1"/>
  <c r="M2464" i="1"/>
  <c r="V2464" i="1"/>
  <c r="W2464" i="1"/>
  <c r="A6169" i="1"/>
  <c r="D6169" i="1"/>
  <c r="F6169" i="1"/>
  <c r="H6169" i="1"/>
  <c r="I6169" i="1"/>
  <c r="L6169" i="1"/>
  <c r="M6169" i="1"/>
  <c r="V6169" i="1"/>
  <c r="W6169" i="1"/>
  <c r="A3799" i="1"/>
  <c r="D3799" i="1"/>
  <c r="F3799" i="1"/>
  <c r="H3799" i="1"/>
  <c r="I3799" i="1"/>
  <c r="L3799" i="1"/>
  <c r="M3799" i="1"/>
  <c r="V3799" i="1"/>
  <c r="W3799" i="1"/>
  <c r="A898" i="1"/>
  <c r="D898" i="1"/>
  <c r="F898" i="1"/>
  <c r="H898" i="1"/>
  <c r="I898" i="1"/>
  <c r="L898" i="1"/>
  <c r="M898" i="1"/>
  <c r="V898" i="1"/>
  <c r="W898" i="1"/>
  <c r="A985" i="1"/>
  <c r="D985" i="1"/>
  <c r="F985" i="1"/>
  <c r="H985" i="1"/>
  <c r="I985" i="1"/>
  <c r="L985" i="1"/>
  <c r="M985" i="1"/>
  <c r="V985" i="1"/>
  <c r="W985" i="1"/>
  <c r="A959" i="1"/>
  <c r="D959" i="1"/>
  <c r="F959" i="1"/>
  <c r="H959" i="1"/>
  <c r="I959" i="1"/>
  <c r="L959" i="1"/>
  <c r="M959" i="1"/>
  <c r="V959" i="1"/>
  <c r="W959" i="1"/>
  <c r="A4385" i="1"/>
  <c r="D4385" i="1"/>
  <c r="F4385" i="1"/>
  <c r="H4385" i="1"/>
  <c r="I4385" i="1"/>
  <c r="L4385" i="1"/>
  <c r="M4385" i="1"/>
  <c r="V4385" i="1"/>
  <c r="W4385" i="1"/>
  <c r="A3431" i="1"/>
  <c r="D3431" i="1"/>
  <c r="F3431" i="1"/>
  <c r="H3431" i="1"/>
  <c r="I3431" i="1"/>
  <c r="L3431" i="1"/>
  <c r="M3431" i="1"/>
  <c r="V3431" i="1"/>
  <c r="W3431" i="1"/>
  <c r="A3449" i="1"/>
  <c r="D3449" i="1"/>
  <c r="F3449" i="1"/>
  <c r="H3449" i="1"/>
  <c r="I3449" i="1"/>
  <c r="L3449" i="1"/>
  <c r="M3449" i="1"/>
  <c r="V3449" i="1"/>
  <c r="W3449" i="1"/>
  <c r="A3600" i="1"/>
  <c r="D3600" i="1"/>
  <c r="F3600" i="1"/>
  <c r="H3600" i="1"/>
  <c r="I3600" i="1"/>
  <c r="L3600" i="1"/>
  <c r="M3600" i="1"/>
  <c r="V3600" i="1"/>
  <c r="W3600" i="1"/>
  <c r="A3786" i="1"/>
  <c r="D3786" i="1"/>
  <c r="F3786" i="1"/>
  <c r="H3786" i="1"/>
  <c r="I3786" i="1"/>
  <c r="L3786" i="1"/>
  <c r="M3786" i="1"/>
  <c r="V3786" i="1"/>
  <c r="W3786" i="1"/>
  <c r="A4905" i="1"/>
  <c r="D4905" i="1"/>
  <c r="F4905" i="1"/>
  <c r="H4905" i="1"/>
  <c r="I4905" i="1"/>
  <c r="L4905" i="1"/>
  <c r="M4905" i="1"/>
  <c r="V4905" i="1"/>
  <c r="W4905" i="1"/>
  <c r="A670" i="1"/>
  <c r="D670" i="1"/>
  <c r="F670" i="1"/>
  <c r="H670" i="1"/>
  <c r="I670" i="1"/>
  <c r="L670" i="1"/>
  <c r="M670" i="1"/>
  <c r="V670" i="1"/>
  <c r="W670" i="1"/>
  <c r="A354" i="1"/>
  <c r="D354" i="1"/>
  <c r="F354" i="1"/>
  <c r="H354" i="1"/>
  <c r="I354" i="1"/>
  <c r="L354" i="1"/>
  <c r="M354" i="1"/>
  <c r="V354" i="1"/>
  <c r="W354" i="1"/>
  <c r="A4110" i="1"/>
  <c r="D4110" i="1"/>
  <c r="F4110" i="1"/>
  <c r="H4110" i="1"/>
  <c r="I4110" i="1"/>
  <c r="L4110" i="1"/>
  <c r="M4110" i="1"/>
  <c r="V4110" i="1"/>
  <c r="W4110" i="1"/>
  <c r="A4174" i="1"/>
  <c r="D4174" i="1"/>
  <c r="F4174" i="1"/>
  <c r="H4174" i="1"/>
  <c r="I4174" i="1"/>
  <c r="L4174" i="1"/>
  <c r="M4174" i="1"/>
  <c r="V4174" i="1"/>
  <c r="W4174" i="1"/>
  <c r="A115" i="1"/>
  <c r="D115" i="1"/>
  <c r="F115" i="1"/>
  <c r="H115" i="1"/>
  <c r="I115" i="1"/>
  <c r="L115" i="1"/>
  <c r="M115" i="1"/>
  <c r="V115" i="1"/>
  <c r="W115" i="1"/>
  <c r="A286" i="1"/>
  <c r="D286" i="1"/>
  <c r="F286" i="1"/>
  <c r="H286" i="1"/>
  <c r="I286" i="1"/>
  <c r="L286" i="1"/>
  <c r="M286" i="1"/>
  <c r="V286" i="1"/>
  <c r="W286" i="1"/>
  <c r="A291" i="1"/>
  <c r="D291" i="1"/>
  <c r="F291" i="1"/>
  <c r="H291" i="1"/>
  <c r="I291" i="1"/>
  <c r="L291" i="1"/>
  <c r="M291" i="1"/>
  <c r="V291" i="1"/>
  <c r="W291" i="1"/>
  <c r="A249" i="1"/>
  <c r="D249" i="1"/>
  <c r="F249" i="1"/>
  <c r="H249" i="1"/>
  <c r="I249" i="1"/>
  <c r="L249" i="1"/>
  <c r="M249" i="1"/>
  <c r="V249" i="1"/>
  <c r="W249" i="1"/>
  <c r="A6109" i="1"/>
  <c r="D6109" i="1"/>
  <c r="F6109" i="1"/>
  <c r="H6109" i="1"/>
  <c r="I6109" i="1"/>
  <c r="L6109" i="1"/>
  <c r="M6109" i="1"/>
  <c r="V6109" i="1"/>
  <c r="W6109" i="1"/>
  <c r="A5302" i="1"/>
  <c r="D5302" i="1"/>
  <c r="F5302" i="1"/>
  <c r="H5302" i="1"/>
  <c r="I5302" i="1"/>
  <c r="L5302" i="1"/>
  <c r="M5302" i="1"/>
  <c r="V5302" i="1"/>
  <c r="W5302" i="1"/>
  <c r="A5061" i="1"/>
  <c r="D5061" i="1"/>
  <c r="F5061" i="1"/>
  <c r="H5061" i="1"/>
  <c r="I5061" i="1"/>
  <c r="L5061" i="1"/>
  <c r="M5061" i="1"/>
  <c r="V5061" i="1"/>
  <c r="W5061" i="1"/>
  <c r="A5663" i="1"/>
  <c r="D5663" i="1"/>
  <c r="F5663" i="1"/>
  <c r="H5663" i="1"/>
  <c r="I5663" i="1"/>
  <c r="L5663" i="1"/>
  <c r="M5663" i="1"/>
  <c r="V5663" i="1"/>
  <c r="W5663" i="1"/>
  <c r="A5894" i="1"/>
  <c r="D5894" i="1"/>
  <c r="F5894" i="1"/>
  <c r="H5894" i="1"/>
  <c r="I5894" i="1"/>
  <c r="L5894" i="1"/>
  <c r="M5894" i="1"/>
  <c r="V5894" i="1"/>
  <c r="W5894" i="1"/>
  <c r="A1975" i="1"/>
  <c r="D1975" i="1"/>
  <c r="F1975" i="1"/>
  <c r="H1975" i="1"/>
  <c r="I1975" i="1"/>
  <c r="L1975" i="1"/>
  <c r="M1975" i="1"/>
  <c r="V1975" i="1"/>
  <c r="W1975" i="1"/>
  <c r="A5042" i="1"/>
  <c r="D5042" i="1"/>
  <c r="F5042" i="1"/>
  <c r="H5042" i="1"/>
  <c r="I5042" i="1"/>
  <c r="L5042" i="1"/>
  <c r="M5042" i="1"/>
  <c r="V5042" i="1"/>
  <c r="W5042" i="1"/>
  <c r="A6179" i="1"/>
  <c r="D6179" i="1"/>
  <c r="F6179" i="1"/>
  <c r="H6179" i="1"/>
  <c r="I6179" i="1"/>
  <c r="L6179" i="1"/>
  <c r="M6179" i="1"/>
  <c r="V6179" i="1"/>
  <c r="W6179" i="1"/>
  <c r="A4613" i="1"/>
  <c r="D4613" i="1"/>
  <c r="F4613" i="1"/>
  <c r="H4613" i="1"/>
  <c r="I4613" i="1"/>
  <c r="L4613" i="1"/>
  <c r="M4613" i="1"/>
  <c r="V4613" i="1"/>
  <c r="W4613" i="1"/>
  <c r="A6201" i="1"/>
  <c r="D6201" i="1"/>
  <c r="F6201" i="1"/>
  <c r="H6201" i="1"/>
  <c r="I6201" i="1"/>
  <c r="L6201" i="1"/>
  <c r="M6201" i="1"/>
  <c r="V6201" i="1"/>
  <c r="W6201" i="1"/>
  <c r="A1365" i="1"/>
  <c r="D1365" i="1"/>
  <c r="F1365" i="1"/>
  <c r="H1365" i="1"/>
  <c r="I1365" i="1"/>
  <c r="L1365" i="1"/>
  <c r="M1365" i="1"/>
  <c r="V1365" i="1"/>
  <c r="W1365" i="1"/>
  <c r="A5907" i="1"/>
  <c r="D5907" i="1"/>
  <c r="F5907" i="1"/>
  <c r="H5907" i="1"/>
  <c r="I5907" i="1"/>
  <c r="L5907" i="1"/>
  <c r="M5907" i="1"/>
  <c r="V5907" i="1"/>
  <c r="W5907" i="1"/>
  <c r="A738" i="1"/>
  <c r="D738" i="1"/>
  <c r="F738" i="1"/>
  <c r="H738" i="1"/>
  <c r="I738" i="1"/>
  <c r="L738" i="1"/>
  <c r="M738" i="1"/>
  <c r="V738" i="1"/>
  <c r="W738" i="1"/>
  <c r="A2077" i="1"/>
  <c r="D2077" i="1"/>
  <c r="F2077" i="1"/>
  <c r="H2077" i="1"/>
  <c r="I2077" i="1"/>
  <c r="L2077" i="1"/>
  <c r="M2077" i="1"/>
  <c r="V2077" i="1"/>
  <c r="W2077" i="1"/>
  <c r="A2367" i="1"/>
  <c r="D2367" i="1"/>
  <c r="F2367" i="1"/>
  <c r="H2367" i="1"/>
  <c r="I2367" i="1"/>
  <c r="L2367" i="1"/>
  <c r="M2367" i="1"/>
  <c r="V2367" i="1"/>
  <c r="W2367" i="1"/>
  <c r="A5532" i="1"/>
  <c r="D5532" i="1"/>
  <c r="F5532" i="1"/>
  <c r="H5532" i="1"/>
  <c r="I5532" i="1"/>
  <c r="L5532" i="1"/>
  <c r="M5532" i="1"/>
  <c r="V5532" i="1"/>
  <c r="W5532" i="1"/>
  <c r="A2170" i="1"/>
  <c r="D2170" i="1"/>
  <c r="F2170" i="1"/>
  <c r="H2170" i="1"/>
  <c r="I2170" i="1"/>
  <c r="L2170" i="1"/>
  <c r="M2170" i="1"/>
  <c r="V2170" i="1"/>
  <c r="W2170" i="1"/>
  <c r="A4335" i="1"/>
  <c r="D4335" i="1"/>
  <c r="F4335" i="1"/>
  <c r="H4335" i="1"/>
  <c r="I4335" i="1"/>
  <c r="L4335" i="1"/>
  <c r="M4335" i="1"/>
  <c r="V4335" i="1"/>
  <c r="W4335" i="1"/>
  <c r="A4680" i="1"/>
  <c r="D4680" i="1"/>
  <c r="F4680" i="1"/>
  <c r="H4680" i="1"/>
  <c r="I4680" i="1"/>
  <c r="L4680" i="1"/>
  <c r="M4680" i="1"/>
  <c r="V4680" i="1"/>
  <c r="W4680" i="1"/>
  <c r="A3567" i="1"/>
  <c r="D3567" i="1"/>
  <c r="F3567" i="1"/>
  <c r="H3567" i="1"/>
  <c r="I3567" i="1"/>
  <c r="L3567" i="1"/>
  <c r="M3567" i="1"/>
  <c r="V3567" i="1"/>
  <c r="W3567" i="1"/>
  <c r="A863" i="1"/>
  <c r="D863" i="1"/>
  <c r="F863" i="1"/>
  <c r="H863" i="1"/>
  <c r="I863" i="1"/>
  <c r="L863" i="1"/>
  <c r="M863" i="1"/>
  <c r="V863" i="1"/>
  <c r="W863" i="1"/>
  <c r="A2589" i="1"/>
  <c r="D2589" i="1"/>
  <c r="F2589" i="1"/>
  <c r="H2589" i="1"/>
  <c r="I2589" i="1"/>
  <c r="L2589" i="1"/>
  <c r="M2589" i="1"/>
  <c r="V2589" i="1"/>
  <c r="W2589" i="1"/>
  <c r="A2858" i="1"/>
  <c r="D2858" i="1"/>
  <c r="F2858" i="1"/>
  <c r="H2858" i="1"/>
  <c r="I2858" i="1"/>
  <c r="L2858" i="1"/>
  <c r="M2858" i="1"/>
  <c r="V2858" i="1"/>
  <c r="W2858" i="1"/>
  <c r="A4440" i="1"/>
  <c r="D4440" i="1"/>
  <c r="F4440" i="1"/>
  <c r="H4440" i="1"/>
  <c r="I4440" i="1"/>
  <c r="L4440" i="1"/>
  <c r="M4440" i="1"/>
  <c r="V4440" i="1"/>
  <c r="W4440" i="1"/>
  <c r="A5527" i="1"/>
  <c r="D5527" i="1"/>
  <c r="F5527" i="1"/>
  <c r="H5527" i="1"/>
  <c r="I5527" i="1"/>
  <c r="L5527" i="1"/>
  <c r="M5527" i="1"/>
  <c r="V5527" i="1"/>
  <c r="W5527" i="1"/>
  <c r="A6122" i="1"/>
  <c r="D6122" i="1"/>
  <c r="F6122" i="1"/>
  <c r="H6122" i="1"/>
  <c r="I6122" i="1"/>
  <c r="L6122" i="1"/>
  <c r="M6122" i="1"/>
  <c r="V6122" i="1"/>
  <c r="W6122" i="1"/>
  <c r="A5012" i="1"/>
  <c r="D5012" i="1"/>
  <c r="F5012" i="1"/>
  <c r="H5012" i="1"/>
  <c r="I5012" i="1"/>
  <c r="L5012" i="1"/>
  <c r="M5012" i="1"/>
  <c r="V5012" i="1"/>
  <c r="W5012" i="1"/>
  <c r="A503" i="1"/>
  <c r="D503" i="1"/>
  <c r="F503" i="1"/>
  <c r="H503" i="1"/>
  <c r="I503" i="1"/>
  <c r="L503" i="1"/>
  <c r="M503" i="1"/>
  <c r="V503" i="1"/>
  <c r="W503" i="1"/>
  <c r="A2363" i="1"/>
  <c r="D2363" i="1"/>
  <c r="F2363" i="1"/>
  <c r="H2363" i="1"/>
  <c r="I2363" i="1"/>
  <c r="L2363" i="1"/>
  <c r="M2363" i="1"/>
  <c r="V2363" i="1"/>
  <c r="W2363" i="1"/>
  <c r="A2865" i="1"/>
  <c r="D2865" i="1"/>
  <c r="F2865" i="1"/>
  <c r="H2865" i="1"/>
  <c r="I2865" i="1"/>
  <c r="L2865" i="1"/>
  <c r="M2865" i="1"/>
  <c r="V2865" i="1"/>
  <c r="W2865" i="1"/>
  <c r="A3716" i="1"/>
  <c r="D3716" i="1"/>
  <c r="F3716" i="1"/>
  <c r="H3716" i="1"/>
  <c r="I3716" i="1"/>
  <c r="L3716" i="1"/>
  <c r="M3716" i="1"/>
  <c r="V3716" i="1"/>
  <c r="W3716" i="1"/>
  <c r="A5231" i="1"/>
  <c r="D5231" i="1"/>
  <c r="F5231" i="1"/>
  <c r="H5231" i="1"/>
  <c r="I5231" i="1"/>
  <c r="L5231" i="1"/>
  <c r="M5231" i="1"/>
  <c r="V5231" i="1"/>
  <c r="W5231" i="1"/>
  <c r="A588" i="1"/>
  <c r="D588" i="1"/>
  <c r="F588" i="1"/>
  <c r="H588" i="1"/>
  <c r="I588" i="1"/>
  <c r="L588" i="1"/>
  <c r="M588" i="1"/>
  <c r="V588" i="1"/>
  <c r="W588" i="1"/>
  <c r="A4936" i="1"/>
  <c r="D4936" i="1"/>
  <c r="F4936" i="1"/>
  <c r="H4936" i="1"/>
  <c r="I4936" i="1"/>
  <c r="L4936" i="1"/>
  <c r="M4936" i="1"/>
  <c r="V4936" i="1"/>
  <c r="W4936" i="1"/>
  <c r="A5342" i="1"/>
  <c r="D5342" i="1"/>
  <c r="F5342" i="1"/>
  <c r="H5342" i="1"/>
  <c r="I5342" i="1"/>
  <c r="L5342" i="1"/>
  <c r="M5342" i="1"/>
  <c r="V5342" i="1"/>
  <c r="W5342" i="1"/>
  <c r="A6103" i="1"/>
  <c r="D6103" i="1"/>
  <c r="F6103" i="1"/>
  <c r="H6103" i="1"/>
  <c r="I6103" i="1"/>
  <c r="L6103" i="1"/>
  <c r="M6103" i="1"/>
  <c r="V6103" i="1"/>
  <c r="W6103" i="1"/>
  <c r="A3687" i="1"/>
  <c r="D3687" i="1"/>
  <c r="F3687" i="1"/>
  <c r="H3687" i="1"/>
  <c r="I3687" i="1"/>
  <c r="L3687" i="1"/>
  <c r="M3687" i="1"/>
  <c r="V3687" i="1"/>
  <c r="W3687" i="1"/>
  <c r="A3547" i="1"/>
  <c r="D3547" i="1"/>
  <c r="F3547" i="1"/>
  <c r="H3547" i="1"/>
  <c r="I3547" i="1"/>
  <c r="L3547" i="1"/>
  <c r="M3547" i="1"/>
  <c r="V3547" i="1"/>
  <c r="W3547" i="1"/>
  <c r="A4342" i="1"/>
  <c r="D4342" i="1"/>
  <c r="F4342" i="1"/>
  <c r="H4342" i="1"/>
  <c r="I4342" i="1"/>
  <c r="L4342" i="1"/>
  <c r="M4342" i="1"/>
  <c r="V4342" i="1"/>
  <c r="W4342" i="1"/>
  <c r="A2180" i="1"/>
  <c r="D2180" i="1"/>
  <c r="F2180" i="1"/>
  <c r="H2180" i="1"/>
  <c r="I2180" i="1"/>
  <c r="L2180" i="1"/>
  <c r="M2180" i="1"/>
  <c r="V2180" i="1"/>
  <c r="W2180" i="1"/>
  <c r="A2210" i="1"/>
  <c r="D2210" i="1"/>
  <c r="F2210" i="1"/>
  <c r="H2210" i="1"/>
  <c r="I2210" i="1"/>
  <c r="L2210" i="1"/>
  <c r="M2210" i="1"/>
  <c r="V2210" i="1"/>
  <c r="W2210" i="1"/>
  <c r="A2312" i="1"/>
  <c r="D2312" i="1"/>
  <c r="F2312" i="1"/>
  <c r="H2312" i="1"/>
  <c r="I2312" i="1"/>
  <c r="L2312" i="1"/>
  <c r="M2312" i="1"/>
  <c r="V2312" i="1"/>
  <c r="W2312" i="1"/>
  <c r="A131" i="1"/>
  <c r="D131" i="1"/>
  <c r="F131" i="1"/>
  <c r="H131" i="1"/>
  <c r="I131" i="1"/>
  <c r="L131" i="1"/>
  <c r="M131" i="1"/>
  <c r="V131" i="1"/>
  <c r="W131" i="1"/>
  <c r="A3748" i="1"/>
  <c r="D3748" i="1"/>
  <c r="F3748" i="1"/>
  <c r="H3748" i="1"/>
  <c r="I3748" i="1"/>
  <c r="L3748" i="1"/>
  <c r="M3748" i="1"/>
  <c r="V3748" i="1"/>
  <c r="W3748" i="1"/>
  <c r="A1999" i="1"/>
  <c r="D1999" i="1"/>
  <c r="F1999" i="1"/>
  <c r="H1999" i="1"/>
  <c r="I1999" i="1"/>
  <c r="L1999" i="1"/>
  <c r="M1999" i="1"/>
  <c r="V1999" i="1"/>
  <c r="W1999" i="1"/>
  <c r="A2506" i="1"/>
  <c r="D2506" i="1"/>
  <c r="F2506" i="1"/>
  <c r="H2506" i="1"/>
  <c r="I2506" i="1"/>
  <c r="L2506" i="1"/>
  <c r="M2506" i="1"/>
  <c r="V2506" i="1"/>
  <c r="W2506" i="1"/>
  <c r="A4524" i="1"/>
  <c r="D4524" i="1"/>
  <c r="F4524" i="1"/>
  <c r="H4524" i="1"/>
  <c r="I4524" i="1"/>
  <c r="L4524" i="1"/>
  <c r="M4524" i="1"/>
  <c r="V4524" i="1"/>
  <c r="W4524" i="1"/>
  <c r="A4656" i="1"/>
  <c r="D4656" i="1"/>
  <c r="F4656" i="1"/>
  <c r="H4656" i="1"/>
  <c r="I4656" i="1"/>
  <c r="L4656" i="1"/>
  <c r="M4656" i="1"/>
  <c r="V4656" i="1"/>
  <c r="W4656" i="1"/>
  <c r="A5505" i="1"/>
  <c r="D5505" i="1"/>
  <c r="F5505" i="1"/>
  <c r="H5505" i="1"/>
  <c r="I5505" i="1"/>
  <c r="L5505" i="1"/>
  <c r="M5505" i="1"/>
  <c r="V5505" i="1"/>
  <c r="W5505" i="1"/>
  <c r="A5850" i="1"/>
  <c r="D5850" i="1"/>
  <c r="F5850" i="1"/>
  <c r="H5850" i="1"/>
  <c r="I5850" i="1"/>
  <c r="L5850" i="1"/>
  <c r="M5850" i="1"/>
  <c r="V5850" i="1"/>
  <c r="W5850" i="1"/>
  <c r="A2174" i="1"/>
  <c r="D2174" i="1"/>
  <c r="F2174" i="1"/>
  <c r="H2174" i="1"/>
  <c r="I2174" i="1"/>
  <c r="L2174" i="1"/>
  <c r="M2174" i="1"/>
  <c r="V2174" i="1"/>
  <c r="W2174" i="1"/>
  <c r="A338" i="1"/>
  <c r="D338" i="1"/>
  <c r="F338" i="1"/>
  <c r="H338" i="1"/>
  <c r="I338" i="1"/>
  <c r="L338" i="1"/>
  <c r="M338" i="1"/>
  <c r="V338" i="1"/>
  <c r="W338" i="1"/>
  <c r="A743" i="1"/>
  <c r="D743" i="1"/>
  <c r="F743" i="1"/>
  <c r="H743" i="1"/>
  <c r="I743" i="1"/>
  <c r="L743" i="1"/>
  <c r="M743" i="1"/>
  <c r="V743" i="1"/>
  <c r="W743" i="1"/>
  <c r="A750" i="1"/>
  <c r="D750" i="1"/>
  <c r="F750" i="1"/>
  <c r="H750" i="1"/>
  <c r="I750" i="1"/>
  <c r="L750" i="1"/>
  <c r="M750" i="1"/>
  <c r="V750" i="1"/>
  <c r="W750" i="1"/>
  <c r="A5496" i="1"/>
  <c r="D5496" i="1"/>
  <c r="F5496" i="1"/>
  <c r="H5496" i="1"/>
  <c r="I5496" i="1"/>
  <c r="L5496" i="1"/>
  <c r="M5496" i="1"/>
  <c r="V5496" i="1"/>
  <c r="W5496" i="1"/>
  <c r="A4141" i="1"/>
  <c r="D4141" i="1"/>
  <c r="F4141" i="1"/>
  <c r="H4141" i="1"/>
  <c r="I4141" i="1"/>
  <c r="L4141" i="1"/>
  <c r="M4141" i="1"/>
  <c r="V4141" i="1"/>
  <c r="W4141" i="1"/>
  <c r="A2181" i="1"/>
  <c r="D2181" i="1"/>
  <c r="F2181" i="1"/>
  <c r="H2181" i="1"/>
  <c r="I2181" i="1"/>
  <c r="L2181" i="1"/>
  <c r="M2181" i="1"/>
  <c r="V2181" i="1"/>
  <c r="W2181" i="1"/>
  <c r="A2517" i="1"/>
  <c r="D2517" i="1"/>
  <c r="F2517" i="1"/>
  <c r="H2517" i="1"/>
  <c r="I2517" i="1"/>
  <c r="L2517" i="1"/>
  <c r="M2517" i="1"/>
  <c r="V2517" i="1"/>
  <c r="W2517" i="1"/>
  <c r="A619" i="1"/>
  <c r="D619" i="1"/>
  <c r="F619" i="1"/>
  <c r="H619" i="1"/>
  <c r="I619" i="1"/>
  <c r="L619" i="1"/>
  <c r="M619" i="1"/>
  <c r="V619" i="1"/>
  <c r="W619" i="1"/>
  <c r="A135" i="1"/>
  <c r="D135" i="1"/>
  <c r="F135" i="1"/>
  <c r="H135" i="1"/>
  <c r="I135" i="1"/>
  <c r="L135" i="1"/>
  <c r="M135" i="1"/>
  <c r="V135" i="1"/>
  <c r="W135" i="1"/>
  <c r="A424" i="1"/>
  <c r="D424" i="1"/>
  <c r="F424" i="1"/>
  <c r="H424" i="1"/>
  <c r="I424" i="1"/>
  <c r="L424" i="1"/>
  <c r="M424" i="1"/>
  <c r="V424" i="1"/>
  <c r="W424" i="1"/>
  <c r="A407" i="1"/>
  <c r="D407" i="1"/>
  <c r="F407" i="1"/>
  <c r="H407" i="1"/>
  <c r="I407" i="1"/>
  <c r="L407" i="1"/>
  <c r="M407" i="1"/>
  <c r="V407" i="1"/>
  <c r="W407" i="1"/>
  <c r="A598" i="1"/>
  <c r="D598" i="1"/>
  <c r="F598" i="1"/>
  <c r="H598" i="1"/>
  <c r="I598" i="1"/>
  <c r="L598" i="1"/>
  <c r="M598" i="1"/>
  <c r="V598" i="1"/>
  <c r="W598" i="1"/>
  <c r="A6133" i="1"/>
  <c r="D6133" i="1"/>
  <c r="F6133" i="1"/>
  <c r="H6133" i="1"/>
  <c r="I6133" i="1"/>
  <c r="L6133" i="1"/>
  <c r="M6133" i="1"/>
  <c r="V6133" i="1"/>
  <c r="W6133" i="1"/>
  <c r="A4392" i="1"/>
  <c r="D4392" i="1"/>
  <c r="F4392" i="1"/>
  <c r="H4392" i="1"/>
  <c r="I4392" i="1"/>
  <c r="L4392" i="1"/>
  <c r="M4392" i="1"/>
  <c r="V4392" i="1"/>
  <c r="W4392" i="1"/>
  <c r="A582" i="1"/>
  <c r="D582" i="1"/>
  <c r="F582" i="1"/>
  <c r="H582" i="1"/>
  <c r="I582" i="1"/>
  <c r="L582" i="1"/>
  <c r="M582" i="1"/>
  <c r="V582" i="1"/>
  <c r="W582" i="1"/>
  <c r="A2903" i="1"/>
  <c r="D2903" i="1"/>
  <c r="F2903" i="1"/>
  <c r="H2903" i="1"/>
  <c r="I2903" i="1"/>
  <c r="L2903" i="1"/>
  <c r="M2903" i="1"/>
  <c r="V2903" i="1"/>
  <c r="W2903" i="1"/>
  <c r="A2992" i="1"/>
  <c r="D2992" i="1"/>
  <c r="F2992" i="1"/>
  <c r="H2992" i="1"/>
  <c r="I2992" i="1"/>
  <c r="L2992" i="1"/>
  <c r="M2992" i="1"/>
  <c r="V2992" i="1"/>
  <c r="W2992" i="1"/>
  <c r="A2799" i="1"/>
  <c r="D2799" i="1"/>
  <c r="F2799" i="1"/>
  <c r="H2799" i="1"/>
  <c r="I2799" i="1"/>
  <c r="L2799" i="1"/>
  <c r="M2799" i="1"/>
  <c r="V2799" i="1"/>
  <c r="W2799" i="1"/>
  <c r="A3344" i="1"/>
  <c r="D3344" i="1"/>
  <c r="F3344" i="1"/>
  <c r="H3344" i="1"/>
  <c r="I3344" i="1"/>
  <c r="L3344" i="1"/>
  <c r="M3344" i="1"/>
  <c r="V3344" i="1"/>
  <c r="W3344" i="1"/>
  <c r="A4767" i="1"/>
  <c r="D4767" i="1"/>
  <c r="F4767" i="1"/>
  <c r="H4767" i="1"/>
  <c r="I4767" i="1"/>
  <c r="L4767" i="1"/>
  <c r="M4767" i="1"/>
  <c r="V4767" i="1"/>
  <c r="W4767" i="1"/>
  <c r="A1707" i="1"/>
  <c r="D1707" i="1"/>
  <c r="F1707" i="1"/>
  <c r="H1707" i="1"/>
  <c r="I1707" i="1"/>
  <c r="L1707" i="1"/>
  <c r="M1707" i="1"/>
  <c r="V1707" i="1"/>
  <c r="W1707" i="1"/>
  <c r="A1736" i="1"/>
  <c r="D1736" i="1"/>
  <c r="F1736" i="1"/>
  <c r="H1736" i="1"/>
  <c r="I1736" i="1"/>
  <c r="L1736" i="1"/>
  <c r="M1736" i="1"/>
  <c r="V1736" i="1"/>
  <c r="W1736" i="1"/>
  <c r="A1838" i="1"/>
  <c r="D1838" i="1"/>
  <c r="F1838" i="1"/>
  <c r="H1838" i="1"/>
  <c r="I1838" i="1"/>
  <c r="L1838" i="1"/>
  <c r="M1838" i="1"/>
  <c r="V1838" i="1"/>
  <c r="W1838" i="1"/>
  <c r="A2878" i="1"/>
  <c r="D2878" i="1"/>
  <c r="F2878" i="1"/>
  <c r="H2878" i="1"/>
  <c r="I2878" i="1"/>
  <c r="L2878" i="1"/>
  <c r="M2878" i="1"/>
  <c r="V2878" i="1"/>
  <c r="W2878" i="1"/>
  <c r="A3677" i="1"/>
  <c r="D3677" i="1"/>
  <c r="F3677" i="1"/>
  <c r="H3677" i="1"/>
  <c r="I3677" i="1"/>
  <c r="L3677" i="1"/>
  <c r="M3677" i="1"/>
  <c r="V3677" i="1"/>
  <c r="W3677" i="1"/>
  <c r="A268" i="1"/>
  <c r="D268" i="1"/>
  <c r="F268" i="1"/>
  <c r="H268" i="1"/>
  <c r="I268" i="1"/>
  <c r="L268" i="1"/>
  <c r="M268" i="1"/>
  <c r="V268" i="1"/>
  <c r="W268" i="1"/>
  <c r="A4025" i="1"/>
  <c r="D4025" i="1"/>
  <c r="F4025" i="1"/>
  <c r="H4025" i="1"/>
  <c r="I4025" i="1"/>
  <c r="L4025" i="1"/>
  <c r="M4025" i="1"/>
  <c r="V4025" i="1"/>
  <c r="W4025" i="1"/>
  <c r="A4170" i="1"/>
  <c r="D4170" i="1"/>
  <c r="F4170" i="1"/>
  <c r="H4170" i="1"/>
  <c r="I4170" i="1"/>
  <c r="L4170" i="1"/>
  <c r="M4170" i="1"/>
  <c r="V4170" i="1"/>
  <c r="W4170" i="1"/>
  <c r="A2612" i="1"/>
  <c r="D2612" i="1"/>
  <c r="F2612" i="1"/>
  <c r="H2612" i="1"/>
  <c r="I2612" i="1"/>
  <c r="L2612" i="1"/>
  <c r="M2612" i="1"/>
  <c r="V2612" i="1"/>
  <c r="W2612" i="1"/>
  <c r="A2896" i="1"/>
  <c r="D2896" i="1"/>
  <c r="F2896" i="1"/>
  <c r="H2896" i="1"/>
  <c r="I2896" i="1"/>
  <c r="L2896" i="1"/>
  <c r="M2896" i="1"/>
  <c r="V2896" i="1"/>
  <c r="W2896" i="1"/>
  <c r="A2802" i="1"/>
  <c r="D2802" i="1"/>
  <c r="F2802" i="1"/>
  <c r="H2802" i="1"/>
  <c r="I2802" i="1"/>
  <c r="L2802" i="1"/>
  <c r="M2802" i="1"/>
  <c r="V2802" i="1"/>
  <c r="W2802" i="1"/>
  <c r="A1869" i="1"/>
  <c r="D1869" i="1"/>
  <c r="F1869" i="1"/>
  <c r="H1869" i="1"/>
  <c r="I1869" i="1"/>
  <c r="L1869" i="1"/>
  <c r="M1869" i="1"/>
  <c r="V1869" i="1"/>
  <c r="W1869" i="1"/>
  <c r="A2221" i="1"/>
  <c r="D2221" i="1"/>
  <c r="F2221" i="1"/>
  <c r="H2221" i="1"/>
  <c r="I2221" i="1"/>
  <c r="L2221" i="1"/>
  <c r="M2221" i="1"/>
  <c r="V2221" i="1"/>
  <c r="W2221" i="1"/>
  <c r="A3817" i="1"/>
  <c r="D3817" i="1"/>
  <c r="F3817" i="1"/>
  <c r="H3817" i="1"/>
  <c r="I3817" i="1"/>
  <c r="L3817" i="1"/>
  <c r="M3817" i="1"/>
  <c r="V3817" i="1"/>
  <c r="W3817" i="1"/>
  <c r="A3000" i="1"/>
  <c r="D3000" i="1"/>
  <c r="F3000" i="1"/>
  <c r="H3000" i="1"/>
  <c r="I3000" i="1"/>
  <c r="L3000" i="1"/>
  <c r="M3000" i="1"/>
  <c r="V3000" i="1"/>
  <c r="W3000" i="1"/>
  <c r="A491" i="1"/>
  <c r="D491" i="1"/>
  <c r="F491" i="1"/>
  <c r="H491" i="1"/>
  <c r="I491" i="1"/>
  <c r="L491" i="1"/>
  <c r="M491" i="1"/>
  <c r="V491" i="1"/>
  <c r="W491" i="1"/>
  <c r="A2338" i="1"/>
  <c r="D2338" i="1"/>
  <c r="F2338" i="1"/>
  <c r="H2338" i="1"/>
  <c r="I2338" i="1"/>
  <c r="L2338" i="1"/>
  <c r="M2338" i="1"/>
  <c r="V2338" i="1"/>
  <c r="W2338" i="1"/>
  <c r="A6019" i="1"/>
  <c r="D6019" i="1"/>
  <c r="F6019" i="1"/>
  <c r="H6019" i="1"/>
  <c r="I6019" i="1"/>
  <c r="L6019" i="1"/>
  <c r="M6019" i="1"/>
  <c r="V6019" i="1"/>
  <c r="W6019" i="1"/>
  <c r="A4146" i="1"/>
  <c r="D4146" i="1"/>
  <c r="F4146" i="1"/>
  <c r="H4146" i="1"/>
  <c r="I4146" i="1"/>
  <c r="L4146" i="1"/>
  <c r="M4146" i="1"/>
  <c r="V4146" i="1"/>
  <c r="W4146" i="1"/>
  <c r="A4454" i="1"/>
  <c r="D4454" i="1"/>
  <c r="F4454" i="1"/>
  <c r="H4454" i="1"/>
  <c r="I4454" i="1"/>
  <c r="L4454" i="1"/>
  <c r="M4454" i="1"/>
  <c r="V4454" i="1"/>
  <c r="W4454" i="1"/>
  <c r="A4187" i="1"/>
  <c r="D4187" i="1"/>
  <c r="F4187" i="1"/>
  <c r="H4187" i="1"/>
  <c r="I4187" i="1"/>
  <c r="L4187" i="1"/>
  <c r="M4187" i="1"/>
  <c r="V4187" i="1"/>
  <c r="W4187" i="1"/>
  <c r="A1289" i="1"/>
  <c r="D1289" i="1"/>
  <c r="F1289" i="1"/>
  <c r="H1289" i="1"/>
  <c r="I1289" i="1"/>
  <c r="L1289" i="1"/>
  <c r="M1289" i="1"/>
  <c r="V1289" i="1"/>
  <c r="W1289" i="1"/>
  <c r="A410" i="1"/>
  <c r="D410" i="1"/>
  <c r="F410" i="1"/>
  <c r="H410" i="1"/>
  <c r="I410" i="1"/>
  <c r="L410" i="1"/>
  <c r="M410" i="1"/>
  <c r="V410" i="1"/>
  <c r="W410" i="1"/>
  <c r="A3072" i="1"/>
  <c r="D3072" i="1"/>
  <c r="F3072" i="1"/>
  <c r="H3072" i="1"/>
  <c r="I3072" i="1"/>
  <c r="L3072" i="1"/>
  <c r="M3072" i="1"/>
  <c r="V3072" i="1"/>
  <c r="W3072" i="1"/>
  <c r="A3471" i="1"/>
  <c r="D3471" i="1"/>
  <c r="F3471" i="1"/>
  <c r="H3471" i="1"/>
  <c r="I3471" i="1"/>
  <c r="L3471" i="1"/>
  <c r="M3471" i="1"/>
  <c r="V3471" i="1"/>
  <c r="W3471" i="1"/>
  <c r="A3534" i="1"/>
  <c r="D3534" i="1"/>
  <c r="F3534" i="1"/>
  <c r="H3534" i="1"/>
  <c r="I3534" i="1"/>
  <c r="L3534" i="1"/>
  <c r="M3534" i="1"/>
  <c r="V3534" i="1"/>
  <c r="W3534" i="1"/>
  <c r="A1917" i="1"/>
  <c r="D1917" i="1"/>
  <c r="F1917" i="1"/>
  <c r="H1917" i="1"/>
  <c r="I1917" i="1"/>
  <c r="L1917" i="1"/>
  <c r="M1917" i="1"/>
  <c r="V1917" i="1"/>
  <c r="W1917" i="1"/>
  <c r="A2069" i="1"/>
  <c r="D2069" i="1"/>
  <c r="F2069" i="1"/>
  <c r="H2069" i="1"/>
  <c r="I2069" i="1"/>
  <c r="L2069" i="1"/>
  <c r="M2069" i="1"/>
  <c r="V2069" i="1"/>
  <c r="W2069" i="1"/>
  <c r="A5119" i="1"/>
  <c r="D5119" i="1"/>
  <c r="F5119" i="1"/>
  <c r="H5119" i="1"/>
  <c r="I5119" i="1"/>
  <c r="L5119" i="1"/>
  <c r="M5119" i="1"/>
  <c r="V5119" i="1"/>
  <c r="W5119" i="1"/>
  <c r="A5710" i="1"/>
  <c r="D5710" i="1"/>
  <c r="F5710" i="1"/>
  <c r="H5710" i="1"/>
  <c r="I5710" i="1"/>
  <c r="L5710" i="1"/>
  <c r="M5710" i="1"/>
  <c r="V5710" i="1"/>
  <c r="W5710" i="1"/>
  <c r="A1909" i="1"/>
  <c r="D1909" i="1"/>
  <c r="F1909" i="1"/>
  <c r="H1909" i="1"/>
  <c r="I1909" i="1"/>
  <c r="L1909" i="1"/>
  <c r="M1909" i="1"/>
  <c r="V1909" i="1"/>
  <c r="W1909" i="1"/>
  <c r="A3633" i="1"/>
  <c r="D3633" i="1"/>
  <c r="F3633" i="1"/>
  <c r="H3633" i="1"/>
  <c r="I3633" i="1"/>
  <c r="L3633" i="1"/>
  <c r="M3633" i="1"/>
  <c r="V3633" i="1"/>
  <c r="W3633" i="1"/>
  <c r="A3869" i="1"/>
  <c r="D3869" i="1"/>
  <c r="F3869" i="1"/>
  <c r="H3869" i="1"/>
  <c r="I3869" i="1"/>
  <c r="L3869" i="1"/>
  <c r="M3869" i="1"/>
  <c r="V3869" i="1"/>
  <c r="W3869" i="1"/>
  <c r="A3883" i="1"/>
  <c r="D3883" i="1"/>
  <c r="F3883" i="1"/>
  <c r="H3883" i="1"/>
  <c r="I3883" i="1"/>
  <c r="L3883" i="1"/>
  <c r="M3883" i="1"/>
  <c r="V3883" i="1"/>
  <c r="W3883" i="1"/>
  <c r="A2593" i="1"/>
  <c r="D2593" i="1"/>
  <c r="F2593" i="1"/>
  <c r="H2593" i="1"/>
  <c r="I2593" i="1"/>
  <c r="L2593" i="1"/>
  <c r="M2593" i="1"/>
  <c r="V2593" i="1"/>
  <c r="W2593" i="1"/>
  <c r="A6069" i="1"/>
  <c r="D6069" i="1"/>
  <c r="F6069" i="1"/>
  <c r="H6069" i="1"/>
  <c r="I6069" i="1"/>
  <c r="L6069" i="1"/>
  <c r="M6069" i="1"/>
  <c r="V6069" i="1"/>
  <c r="W6069" i="1"/>
  <c r="A2750" i="1"/>
  <c r="D2750" i="1"/>
  <c r="F2750" i="1"/>
  <c r="H2750" i="1"/>
  <c r="I2750" i="1"/>
  <c r="L2750" i="1"/>
  <c r="M2750" i="1"/>
  <c r="V2750" i="1"/>
  <c r="W2750" i="1"/>
  <c r="A2068" i="1"/>
  <c r="D2068" i="1"/>
  <c r="F2068" i="1"/>
  <c r="H2068" i="1"/>
  <c r="I2068" i="1"/>
  <c r="L2068" i="1"/>
  <c r="M2068" i="1"/>
  <c r="V2068" i="1"/>
  <c r="W2068" i="1"/>
  <c r="A2081" i="1"/>
  <c r="D2081" i="1"/>
  <c r="F2081" i="1"/>
  <c r="H2081" i="1"/>
  <c r="I2081" i="1"/>
  <c r="L2081" i="1"/>
  <c r="M2081" i="1"/>
  <c r="V2081" i="1"/>
  <c r="W2081" i="1"/>
  <c r="A224" i="1"/>
  <c r="D224" i="1"/>
  <c r="F224" i="1"/>
  <c r="H224" i="1"/>
  <c r="I224" i="1"/>
  <c r="L224" i="1"/>
  <c r="M224" i="1"/>
  <c r="V224" i="1"/>
  <c r="W224" i="1"/>
  <c r="A5660" i="1"/>
  <c r="D5660" i="1"/>
  <c r="F5660" i="1"/>
  <c r="H5660" i="1"/>
  <c r="I5660" i="1"/>
  <c r="L5660" i="1"/>
  <c r="M5660" i="1"/>
  <c r="V5660" i="1"/>
  <c r="W5660" i="1"/>
  <c r="A3370" i="1"/>
  <c r="D3370" i="1"/>
  <c r="F3370" i="1"/>
  <c r="H3370" i="1"/>
  <c r="I3370" i="1"/>
  <c r="L3370" i="1"/>
  <c r="M3370" i="1"/>
  <c r="V3370" i="1"/>
  <c r="W3370" i="1"/>
  <c r="A4061" i="1"/>
  <c r="D4061" i="1"/>
  <c r="F4061" i="1"/>
  <c r="H4061" i="1"/>
  <c r="I4061" i="1"/>
  <c r="L4061" i="1"/>
  <c r="M4061" i="1"/>
  <c r="V4061" i="1"/>
  <c r="W4061" i="1"/>
  <c r="A5223" i="1"/>
  <c r="D5223" i="1"/>
  <c r="F5223" i="1"/>
  <c r="H5223" i="1"/>
  <c r="I5223" i="1"/>
  <c r="L5223" i="1"/>
  <c r="M5223" i="1"/>
  <c r="V5223" i="1"/>
  <c r="W5223" i="1"/>
  <c r="A6023" i="1"/>
  <c r="D6023" i="1"/>
  <c r="F6023" i="1"/>
  <c r="H6023" i="1"/>
  <c r="I6023" i="1"/>
  <c r="L6023" i="1"/>
  <c r="M6023" i="1"/>
  <c r="V6023" i="1"/>
  <c r="W6023" i="1"/>
  <c r="A3898" i="1"/>
  <c r="D3898" i="1"/>
  <c r="F3898" i="1"/>
  <c r="H3898" i="1"/>
  <c r="I3898" i="1"/>
  <c r="L3898" i="1"/>
  <c r="M3898" i="1"/>
  <c r="V3898" i="1"/>
  <c r="W3898" i="1"/>
  <c r="A3066" i="1"/>
  <c r="D3066" i="1"/>
  <c r="F3066" i="1"/>
  <c r="H3066" i="1"/>
  <c r="I3066" i="1"/>
  <c r="L3066" i="1"/>
  <c r="M3066" i="1"/>
  <c r="V3066" i="1"/>
  <c r="W3066" i="1"/>
  <c r="A3472" i="1"/>
  <c r="D3472" i="1"/>
  <c r="F3472" i="1"/>
  <c r="H3472" i="1"/>
  <c r="I3472" i="1"/>
  <c r="L3472" i="1"/>
  <c r="M3472" i="1"/>
  <c r="V3472" i="1"/>
  <c r="W3472" i="1"/>
  <c r="A3538" i="1"/>
  <c r="D3538" i="1"/>
  <c r="F3538" i="1"/>
  <c r="H3538" i="1"/>
  <c r="I3538" i="1"/>
  <c r="L3538" i="1"/>
  <c r="M3538" i="1"/>
  <c r="V3538" i="1"/>
  <c r="W3538" i="1"/>
  <c r="A857" i="1"/>
  <c r="D857" i="1"/>
  <c r="F857" i="1"/>
  <c r="H857" i="1"/>
  <c r="I857" i="1"/>
  <c r="L857" i="1"/>
  <c r="M857" i="1"/>
  <c r="V857" i="1"/>
  <c r="W857" i="1"/>
  <c r="A1055" i="1"/>
  <c r="D1055" i="1"/>
  <c r="F1055" i="1"/>
  <c r="H1055" i="1"/>
  <c r="I1055" i="1"/>
  <c r="L1055" i="1"/>
  <c r="M1055" i="1"/>
  <c r="V1055" i="1"/>
  <c r="W1055" i="1"/>
  <c r="A4761" i="1"/>
  <c r="D4761" i="1"/>
  <c r="F4761" i="1"/>
  <c r="H4761" i="1"/>
  <c r="I4761" i="1"/>
  <c r="L4761" i="1"/>
  <c r="M4761" i="1"/>
  <c r="V4761" i="1"/>
  <c r="W4761" i="1"/>
  <c r="A50" i="1"/>
  <c r="D50" i="1"/>
  <c r="F50" i="1"/>
  <c r="H50" i="1"/>
  <c r="I50" i="1"/>
  <c r="L50" i="1"/>
  <c r="M50" i="1"/>
  <c r="V50" i="1"/>
  <c r="W50" i="1"/>
  <c r="A899" i="1"/>
  <c r="D899" i="1"/>
  <c r="F899" i="1"/>
  <c r="H899" i="1"/>
  <c r="I899" i="1"/>
  <c r="L899" i="1"/>
  <c r="M899" i="1"/>
  <c r="V899" i="1"/>
  <c r="W899" i="1"/>
  <c r="A5883" i="1"/>
  <c r="D5883" i="1"/>
  <c r="F5883" i="1"/>
  <c r="H5883" i="1"/>
  <c r="I5883" i="1"/>
  <c r="L5883" i="1"/>
  <c r="M5883" i="1"/>
  <c r="V5883" i="1"/>
  <c r="W5883" i="1"/>
  <c r="A690" i="1"/>
  <c r="D690" i="1"/>
  <c r="F690" i="1"/>
  <c r="H690" i="1"/>
  <c r="I690" i="1"/>
  <c r="L690" i="1"/>
  <c r="M690" i="1"/>
  <c r="V690" i="1"/>
  <c r="W690" i="1"/>
  <c r="A4360" i="1"/>
  <c r="D4360" i="1"/>
  <c r="F4360" i="1"/>
  <c r="H4360" i="1"/>
  <c r="I4360" i="1"/>
  <c r="L4360" i="1"/>
  <c r="M4360" i="1"/>
  <c r="V4360" i="1"/>
  <c r="W4360" i="1"/>
  <c r="A2279" i="1"/>
  <c r="D2279" i="1"/>
  <c r="F2279" i="1"/>
  <c r="H2279" i="1"/>
  <c r="I2279" i="1"/>
  <c r="L2279" i="1"/>
  <c r="M2279" i="1"/>
  <c r="V2279" i="1"/>
  <c r="W2279" i="1"/>
  <c r="A5368" i="1"/>
  <c r="D5368" i="1"/>
  <c r="F5368" i="1"/>
  <c r="H5368" i="1"/>
  <c r="I5368" i="1"/>
  <c r="L5368" i="1"/>
  <c r="M5368" i="1"/>
  <c r="V5368" i="1"/>
  <c r="W5368" i="1"/>
  <c r="A3545" i="1"/>
  <c r="D3545" i="1"/>
  <c r="F3545" i="1"/>
  <c r="H3545" i="1"/>
  <c r="I3545" i="1"/>
  <c r="L3545" i="1"/>
  <c r="M3545" i="1"/>
  <c r="V3545" i="1"/>
  <c r="W3545" i="1"/>
  <c r="A2897" i="1"/>
  <c r="D2897" i="1"/>
  <c r="F2897" i="1"/>
  <c r="H2897" i="1"/>
  <c r="I2897" i="1"/>
  <c r="L2897" i="1"/>
  <c r="M2897" i="1"/>
  <c r="V2897" i="1"/>
  <c r="W2897" i="1"/>
  <c r="A2803" i="1"/>
  <c r="D2803" i="1"/>
  <c r="F2803" i="1"/>
  <c r="H2803" i="1"/>
  <c r="I2803" i="1"/>
  <c r="L2803" i="1"/>
  <c r="M2803" i="1"/>
  <c r="V2803" i="1"/>
  <c r="W2803" i="1"/>
  <c r="A1912" i="1"/>
  <c r="D1912" i="1"/>
  <c r="F1912" i="1"/>
  <c r="H1912" i="1"/>
  <c r="I1912" i="1"/>
  <c r="L1912" i="1"/>
  <c r="M1912" i="1"/>
  <c r="V1912" i="1"/>
  <c r="W1912" i="1"/>
  <c r="A3362" i="1"/>
  <c r="D3362" i="1"/>
  <c r="F3362" i="1"/>
  <c r="H3362" i="1"/>
  <c r="I3362" i="1"/>
  <c r="L3362" i="1"/>
  <c r="M3362" i="1"/>
  <c r="V3362" i="1"/>
  <c r="W3362" i="1"/>
  <c r="A4280" i="1"/>
  <c r="D4280" i="1"/>
  <c r="F4280" i="1"/>
  <c r="H4280" i="1"/>
  <c r="I4280" i="1"/>
  <c r="L4280" i="1"/>
  <c r="M4280" i="1"/>
  <c r="V4280" i="1"/>
  <c r="W4280" i="1"/>
  <c r="A1456" i="1"/>
  <c r="D1456" i="1"/>
  <c r="F1456" i="1"/>
  <c r="H1456" i="1"/>
  <c r="I1456" i="1"/>
  <c r="L1456" i="1"/>
  <c r="M1456" i="1"/>
  <c r="V1456" i="1"/>
  <c r="W1456" i="1"/>
  <c r="A1415" i="1"/>
  <c r="D1415" i="1"/>
  <c r="F1415" i="1"/>
  <c r="H1415" i="1"/>
  <c r="I1415" i="1"/>
  <c r="L1415" i="1"/>
  <c r="M1415" i="1"/>
  <c r="V1415" i="1"/>
  <c r="W1415" i="1"/>
  <c r="A1547" i="1"/>
  <c r="D1547" i="1"/>
  <c r="F1547" i="1"/>
  <c r="H1547" i="1"/>
  <c r="I1547" i="1"/>
  <c r="L1547" i="1"/>
  <c r="M1547" i="1"/>
  <c r="V1547" i="1"/>
  <c r="W1547" i="1"/>
  <c r="A3286" i="1"/>
  <c r="D3286" i="1"/>
  <c r="F3286" i="1"/>
  <c r="H3286" i="1"/>
  <c r="I3286" i="1"/>
  <c r="L3286" i="1"/>
  <c r="M3286" i="1"/>
  <c r="V3286" i="1"/>
  <c r="W3286" i="1"/>
  <c r="A4063" i="1"/>
  <c r="D4063" i="1"/>
  <c r="F4063" i="1"/>
  <c r="H4063" i="1"/>
  <c r="I4063" i="1"/>
  <c r="L4063" i="1"/>
  <c r="M4063" i="1"/>
  <c r="V4063" i="1"/>
  <c r="W4063" i="1"/>
  <c r="A2490" i="1"/>
  <c r="D2490" i="1"/>
  <c r="F2490" i="1"/>
  <c r="H2490" i="1"/>
  <c r="I2490" i="1"/>
  <c r="L2490" i="1"/>
  <c r="M2490" i="1"/>
  <c r="V2490" i="1"/>
  <c r="W2490" i="1"/>
  <c r="A2368" i="1"/>
  <c r="D2368" i="1"/>
  <c r="F2368" i="1"/>
  <c r="H2368" i="1"/>
  <c r="I2368" i="1"/>
  <c r="L2368" i="1"/>
  <c r="M2368" i="1"/>
  <c r="V2368" i="1"/>
  <c r="W2368" i="1"/>
  <c r="A5528" i="1"/>
  <c r="D5528" i="1"/>
  <c r="F5528" i="1"/>
  <c r="H5528" i="1"/>
  <c r="I5528" i="1"/>
  <c r="L5528" i="1"/>
  <c r="M5528" i="1"/>
  <c r="V5528" i="1"/>
  <c r="W5528" i="1"/>
  <c r="A3442" i="1"/>
  <c r="D3442" i="1"/>
  <c r="F3442" i="1"/>
  <c r="H3442" i="1"/>
  <c r="I3442" i="1"/>
  <c r="L3442" i="1"/>
  <c r="M3442" i="1"/>
  <c r="V3442" i="1"/>
  <c r="W3442" i="1"/>
  <c r="A1495" i="1"/>
  <c r="D1495" i="1"/>
  <c r="F1495" i="1"/>
  <c r="H1495" i="1"/>
  <c r="I1495" i="1"/>
  <c r="L1495" i="1"/>
  <c r="M1495" i="1"/>
  <c r="V1495" i="1"/>
  <c r="W1495" i="1"/>
  <c r="A1670" i="1"/>
  <c r="D1670" i="1"/>
  <c r="F1670" i="1"/>
  <c r="H1670" i="1"/>
  <c r="I1670" i="1"/>
  <c r="L1670" i="1"/>
  <c r="M1670" i="1"/>
  <c r="V1670" i="1"/>
  <c r="W1670" i="1"/>
  <c r="A3292" i="1"/>
  <c r="D3292" i="1"/>
  <c r="F3292" i="1"/>
  <c r="H3292" i="1"/>
  <c r="I3292" i="1"/>
  <c r="L3292" i="1"/>
  <c r="M3292" i="1"/>
  <c r="V3292" i="1"/>
  <c r="W3292" i="1"/>
  <c r="A1201" i="1"/>
  <c r="D1201" i="1"/>
  <c r="F1201" i="1"/>
  <c r="H1201" i="1"/>
  <c r="I1201" i="1"/>
  <c r="L1201" i="1"/>
  <c r="M1201" i="1"/>
  <c r="V1201" i="1"/>
  <c r="W1201" i="1"/>
  <c r="A1477" i="1"/>
  <c r="D1477" i="1"/>
  <c r="F1477" i="1"/>
  <c r="H1477" i="1"/>
  <c r="I1477" i="1"/>
  <c r="L1477" i="1"/>
  <c r="M1477" i="1"/>
  <c r="V1477" i="1"/>
  <c r="W1477" i="1"/>
  <c r="A2773" i="1"/>
  <c r="D2773" i="1"/>
  <c r="F2773" i="1"/>
  <c r="H2773" i="1"/>
  <c r="I2773" i="1"/>
  <c r="L2773" i="1"/>
  <c r="M2773" i="1"/>
  <c r="V2773" i="1"/>
  <c r="W2773" i="1"/>
  <c r="A2881" i="1"/>
  <c r="D2881" i="1"/>
  <c r="F2881" i="1"/>
  <c r="H2881" i="1"/>
  <c r="I2881" i="1"/>
  <c r="L2881" i="1"/>
  <c r="M2881" i="1"/>
  <c r="V2881" i="1"/>
  <c r="W2881" i="1"/>
  <c r="A2968" i="1"/>
  <c r="D2968" i="1"/>
  <c r="F2968" i="1"/>
  <c r="H2968" i="1"/>
  <c r="I2968" i="1"/>
  <c r="L2968" i="1"/>
  <c r="M2968" i="1"/>
  <c r="V2968" i="1"/>
  <c r="W2968" i="1"/>
  <c r="A2795" i="1"/>
  <c r="D2795" i="1"/>
  <c r="F2795" i="1"/>
  <c r="H2795" i="1"/>
  <c r="I2795" i="1"/>
  <c r="L2795" i="1"/>
  <c r="M2795" i="1"/>
  <c r="V2795" i="1"/>
  <c r="W2795" i="1"/>
  <c r="A1056" i="1"/>
  <c r="D1056" i="1"/>
  <c r="F1056" i="1"/>
  <c r="H1056" i="1"/>
  <c r="I1056" i="1"/>
  <c r="L1056" i="1"/>
  <c r="M1056" i="1"/>
  <c r="V1056" i="1"/>
  <c r="W1056" i="1"/>
  <c r="A4404" i="1"/>
  <c r="D4404" i="1"/>
  <c r="F4404" i="1"/>
  <c r="H4404" i="1"/>
  <c r="I4404" i="1"/>
  <c r="L4404" i="1"/>
  <c r="M4404" i="1"/>
  <c r="V4404" i="1"/>
  <c r="W4404" i="1"/>
  <c r="A5776" i="1"/>
  <c r="D5776" i="1"/>
  <c r="F5776" i="1"/>
  <c r="H5776" i="1"/>
  <c r="I5776" i="1"/>
  <c r="L5776" i="1"/>
  <c r="M5776" i="1"/>
  <c r="V5776" i="1"/>
  <c r="W5776" i="1"/>
  <c r="A3564" i="1"/>
  <c r="D3564" i="1"/>
  <c r="F3564" i="1"/>
  <c r="H3564" i="1"/>
  <c r="I3564" i="1"/>
  <c r="L3564" i="1"/>
  <c r="M3564" i="1"/>
  <c r="V3564" i="1"/>
  <c r="W3564" i="1"/>
  <c r="A1130" i="1"/>
  <c r="D1130" i="1"/>
  <c r="F1130" i="1"/>
  <c r="H1130" i="1"/>
  <c r="I1130" i="1"/>
  <c r="L1130" i="1"/>
  <c r="M1130" i="1"/>
  <c r="V1130" i="1"/>
  <c r="W1130" i="1"/>
  <c r="A1190" i="1"/>
  <c r="D1190" i="1"/>
  <c r="F1190" i="1"/>
  <c r="H1190" i="1"/>
  <c r="I1190" i="1"/>
  <c r="L1190" i="1"/>
  <c r="M1190" i="1"/>
  <c r="V1190" i="1"/>
  <c r="W1190" i="1"/>
  <c r="A2334" i="1"/>
  <c r="D2334" i="1"/>
  <c r="F2334" i="1"/>
  <c r="H2334" i="1"/>
  <c r="I2334" i="1"/>
  <c r="L2334" i="1"/>
  <c r="M2334" i="1"/>
  <c r="V2334" i="1"/>
  <c r="W2334" i="1"/>
  <c r="A2459" i="1"/>
  <c r="D2459" i="1"/>
  <c r="F2459" i="1"/>
  <c r="H2459" i="1"/>
  <c r="I2459" i="1"/>
  <c r="L2459" i="1"/>
  <c r="M2459" i="1"/>
  <c r="V2459" i="1"/>
  <c r="W2459" i="1"/>
  <c r="A2482" i="1"/>
  <c r="D2482" i="1"/>
  <c r="F2482" i="1"/>
  <c r="H2482" i="1"/>
  <c r="I2482" i="1"/>
  <c r="L2482" i="1"/>
  <c r="M2482" i="1"/>
  <c r="V2482" i="1"/>
  <c r="W2482" i="1"/>
  <c r="A2943" i="1"/>
  <c r="D2943" i="1"/>
  <c r="F2943" i="1"/>
  <c r="H2943" i="1"/>
  <c r="I2943" i="1"/>
  <c r="L2943" i="1"/>
  <c r="M2943" i="1"/>
  <c r="V2943" i="1"/>
  <c r="W2943" i="1"/>
  <c r="A3303" i="1"/>
  <c r="D3303" i="1"/>
  <c r="F3303" i="1"/>
  <c r="H3303" i="1"/>
  <c r="I3303" i="1"/>
  <c r="L3303" i="1"/>
  <c r="M3303" i="1"/>
  <c r="V3303" i="1"/>
  <c r="W3303" i="1"/>
  <c r="A4652" i="1"/>
  <c r="D4652" i="1"/>
  <c r="F4652" i="1"/>
  <c r="H4652" i="1"/>
  <c r="I4652" i="1"/>
  <c r="L4652" i="1"/>
  <c r="M4652" i="1"/>
  <c r="V4652" i="1"/>
  <c r="W4652" i="1"/>
  <c r="A4191" i="1"/>
  <c r="D4191" i="1"/>
  <c r="F4191" i="1"/>
  <c r="H4191" i="1"/>
  <c r="I4191" i="1"/>
  <c r="L4191" i="1"/>
  <c r="M4191" i="1"/>
  <c r="V4191" i="1"/>
  <c r="W4191" i="1"/>
  <c r="A4364" i="1"/>
  <c r="D4364" i="1"/>
  <c r="F4364" i="1"/>
  <c r="H4364" i="1"/>
  <c r="I4364" i="1"/>
  <c r="L4364" i="1"/>
  <c r="M4364" i="1"/>
  <c r="V4364" i="1"/>
  <c r="W4364" i="1"/>
  <c r="A1931" i="1"/>
  <c r="D1931" i="1"/>
  <c r="F1931" i="1"/>
  <c r="H1931" i="1"/>
  <c r="I1931" i="1"/>
  <c r="L1931" i="1"/>
  <c r="M1931" i="1"/>
  <c r="V1931" i="1"/>
  <c r="W1931" i="1"/>
  <c r="A3171" i="1"/>
  <c r="D3171" i="1"/>
  <c r="F3171" i="1"/>
  <c r="H3171" i="1"/>
  <c r="I3171" i="1"/>
  <c r="L3171" i="1"/>
  <c r="M3171" i="1"/>
  <c r="V3171" i="1"/>
  <c r="W3171" i="1"/>
  <c r="A32" i="1"/>
  <c r="D32" i="1"/>
  <c r="F32" i="1"/>
  <c r="H32" i="1"/>
  <c r="I32" i="1"/>
  <c r="L32" i="1"/>
  <c r="M32" i="1"/>
  <c r="V32" i="1"/>
  <c r="W32" i="1"/>
  <c r="A3580" i="1"/>
  <c r="D3580" i="1"/>
  <c r="F3580" i="1"/>
  <c r="H3580" i="1"/>
  <c r="I3580" i="1"/>
  <c r="L3580" i="1"/>
  <c r="M3580" i="1"/>
  <c r="V3580" i="1"/>
  <c r="W3580" i="1"/>
  <c r="A4006" i="1"/>
  <c r="D4006" i="1"/>
  <c r="F4006" i="1"/>
  <c r="H4006" i="1"/>
  <c r="I4006" i="1"/>
  <c r="L4006" i="1"/>
  <c r="M4006" i="1"/>
  <c r="V4006" i="1"/>
  <c r="W4006" i="1"/>
  <c r="A5145" i="1"/>
  <c r="D5145" i="1"/>
  <c r="F5145" i="1"/>
  <c r="H5145" i="1"/>
  <c r="I5145" i="1"/>
  <c r="L5145" i="1"/>
  <c r="M5145" i="1"/>
  <c r="V5145" i="1"/>
  <c r="W5145" i="1"/>
  <c r="A399" i="1"/>
  <c r="D399" i="1"/>
  <c r="F399" i="1"/>
  <c r="H399" i="1"/>
  <c r="I399" i="1"/>
  <c r="L399" i="1"/>
  <c r="M399" i="1"/>
  <c r="V399" i="1"/>
  <c r="W399" i="1"/>
  <c r="A434" i="1"/>
  <c r="D434" i="1"/>
  <c r="F434" i="1"/>
  <c r="H434" i="1"/>
  <c r="I434" i="1"/>
  <c r="L434" i="1"/>
  <c r="M434" i="1"/>
  <c r="V434" i="1"/>
  <c r="W434" i="1"/>
  <c r="A3505" i="1"/>
  <c r="D3505" i="1"/>
  <c r="F3505" i="1"/>
  <c r="H3505" i="1"/>
  <c r="I3505" i="1"/>
  <c r="L3505" i="1"/>
  <c r="M3505" i="1"/>
  <c r="V3505" i="1"/>
  <c r="W3505" i="1"/>
  <c r="A520" i="1"/>
  <c r="D520" i="1"/>
  <c r="F520" i="1"/>
  <c r="H520" i="1"/>
  <c r="I520" i="1"/>
  <c r="L520" i="1"/>
  <c r="M520" i="1"/>
  <c r="V520" i="1"/>
  <c r="W520" i="1"/>
  <c r="A2282" i="1"/>
  <c r="D2282" i="1"/>
  <c r="F2282" i="1"/>
  <c r="H2282" i="1"/>
  <c r="I2282" i="1"/>
  <c r="L2282" i="1"/>
  <c r="M2282" i="1"/>
  <c r="V2282" i="1"/>
  <c r="W2282" i="1"/>
  <c r="A2280" i="1"/>
  <c r="D2280" i="1"/>
  <c r="F2280" i="1"/>
  <c r="H2280" i="1"/>
  <c r="I2280" i="1"/>
  <c r="L2280" i="1"/>
  <c r="M2280" i="1"/>
  <c r="V2280" i="1"/>
  <c r="W2280" i="1"/>
  <c r="A2134" i="1"/>
  <c r="D2134" i="1"/>
  <c r="F2134" i="1"/>
  <c r="H2134" i="1"/>
  <c r="I2134" i="1"/>
  <c r="L2134" i="1"/>
  <c r="M2134" i="1"/>
  <c r="V2134" i="1"/>
  <c r="W2134" i="1"/>
  <c r="A2091" i="1"/>
  <c r="D2091" i="1"/>
  <c r="F2091" i="1"/>
  <c r="H2091" i="1"/>
  <c r="I2091" i="1"/>
  <c r="L2091" i="1"/>
  <c r="M2091" i="1"/>
  <c r="V2091" i="1"/>
  <c r="W2091" i="1"/>
  <c r="A3548" i="1"/>
  <c r="D3548" i="1"/>
  <c r="F3548" i="1"/>
  <c r="H3548" i="1"/>
  <c r="I3548" i="1"/>
  <c r="L3548" i="1"/>
  <c r="M3548" i="1"/>
  <c r="V3548" i="1"/>
  <c r="W3548" i="1"/>
  <c r="A4060" i="1"/>
  <c r="D4060" i="1"/>
  <c r="F4060" i="1"/>
  <c r="H4060" i="1"/>
  <c r="I4060" i="1"/>
  <c r="L4060" i="1"/>
  <c r="M4060" i="1"/>
  <c r="V4060" i="1"/>
  <c r="W4060" i="1"/>
  <c r="A514" i="1"/>
  <c r="D514" i="1"/>
  <c r="F514" i="1"/>
  <c r="H514" i="1"/>
  <c r="I514" i="1"/>
  <c r="L514" i="1"/>
  <c r="M514" i="1"/>
  <c r="V514" i="1"/>
  <c r="W514" i="1"/>
  <c r="A879" i="1"/>
  <c r="D879" i="1"/>
  <c r="F879" i="1"/>
  <c r="H879" i="1"/>
  <c r="I879" i="1"/>
  <c r="L879" i="1"/>
  <c r="M879" i="1"/>
  <c r="V879" i="1"/>
  <c r="W879" i="1"/>
  <c r="A2243" i="1"/>
  <c r="D2243" i="1"/>
  <c r="F2243" i="1"/>
  <c r="H2243" i="1"/>
  <c r="I2243" i="1"/>
  <c r="L2243" i="1"/>
  <c r="M2243" i="1"/>
  <c r="V2243" i="1"/>
  <c r="W2243" i="1"/>
  <c r="A2661" i="1"/>
  <c r="D2661" i="1"/>
  <c r="F2661" i="1"/>
  <c r="H2661" i="1"/>
  <c r="I2661" i="1"/>
  <c r="L2661" i="1"/>
  <c r="M2661" i="1"/>
  <c r="V2661" i="1"/>
  <c r="W2661" i="1"/>
  <c r="A3916" i="1"/>
  <c r="D3916" i="1"/>
  <c r="F3916" i="1"/>
  <c r="H3916" i="1"/>
  <c r="I3916" i="1"/>
  <c r="L3916" i="1"/>
  <c r="M3916" i="1"/>
  <c r="V3916" i="1"/>
  <c r="W3916" i="1"/>
  <c r="A5162" i="1"/>
  <c r="D5162" i="1"/>
  <c r="F5162" i="1"/>
  <c r="H5162" i="1"/>
  <c r="I5162" i="1"/>
  <c r="L5162" i="1"/>
  <c r="M5162" i="1"/>
  <c r="V5162" i="1"/>
  <c r="W5162" i="1"/>
  <c r="A6129" i="1"/>
  <c r="D6129" i="1"/>
  <c r="F6129" i="1"/>
  <c r="H6129" i="1"/>
  <c r="I6129" i="1"/>
  <c r="L6129" i="1"/>
  <c r="M6129" i="1"/>
  <c r="V6129" i="1"/>
  <c r="W6129" i="1"/>
  <c r="A4682" i="1"/>
  <c r="D4682" i="1"/>
  <c r="F4682" i="1"/>
  <c r="H4682" i="1"/>
  <c r="I4682" i="1"/>
  <c r="L4682" i="1"/>
  <c r="M4682" i="1"/>
  <c r="V4682" i="1"/>
  <c r="W4682" i="1"/>
  <c r="A5401" i="1"/>
  <c r="D5401" i="1"/>
  <c r="F5401" i="1"/>
  <c r="H5401" i="1"/>
  <c r="I5401" i="1"/>
  <c r="L5401" i="1"/>
  <c r="M5401" i="1"/>
  <c r="V5401" i="1"/>
  <c r="W5401" i="1"/>
  <c r="A3071" i="1"/>
  <c r="D3071" i="1"/>
  <c r="F3071" i="1"/>
  <c r="H3071" i="1"/>
  <c r="I3071" i="1"/>
  <c r="L3071" i="1"/>
  <c r="M3071" i="1"/>
  <c r="V3071" i="1"/>
  <c r="W3071" i="1"/>
  <c r="A3474" i="1"/>
  <c r="D3474" i="1"/>
  <c r="F3474" i="1"/>
  <c r="H3474" i="1"/>
  <c r="I3474" i="1"/>
  <c r="L3474" i="1"/>
  <c r="M3474" i="1"/>
  <c r="V3474" i="1"/>
  <c r="W3474" i="1"/>
  <c r="A3536" i="1"/>
  <c r="D3536" i="1"/>
  <c r="F3536" i="1"/>
  <c r="H3536" i="1"/>
  <c r="I3536" i="1"/>
  <c r="L3536" i="1"/>
  <c r="M3536" i="1"/>
  <c r="V3536" i="1"/>
  <c r="W3536" i="1"/>
  <c r="A5389" i="1"/>
  <c r="D5389" i="1"/>
  <c r="F5389" i="1"/>
  <c r="H5389" i="1"/>
  <c r="I5389" i="1"/>
  <c r="L5389" i="1"/>
  <c r="M5389" i="1"/>
  <c r="V5389" i="1"/>
  <c r="W5389" i="1"/>
  <c r="A1446" i="1"/>
  <c r="D1446" i="1"/>
  <c r="F1446" i="1"/>
  <c r="H1446" i="1"/>
  <c r="I1446" i="1"/>
  <c r="L1446" i="1"/>
  <c r="M1446" i="1"/>
  <c r="V1446" i="1"/>
  <c r="W1446" i="1"/>
  <c r="A1330" i="1"/>
  <c r="D1330" i="1"/>
  <c r="F1330" i="1"/>
  <c r="H1330" i="1"/>
  <c r="I1330" i="1"/>
  <c r="L1330" i="1"/>
  <c r="M1330" i="1"/>
  <c r="V1330" i="1"/>
  <c r="W1330" i="1"/>
  <c r="A6159" i="1"/>
  <c r="D6159" i="1"/>
  <c r="F6159" i="1"/>
  <c r="H6159" i="1"/>
  <c r="I6159" i="1"/>
  <c r="L6159" i="1"/>
  <c r="M6159" i="1"/>
  <c r="V6159" i="1"/>
  <c r="W6159" i="1"/>
  <c r="A5226" i="1"/>
  <c r="D5226" i="1"/>
  <c r="F5226" i="1"/>
  <c r="H5226" i="1"/>
  <c r="I5226" i="1"/>
  <c r="L5226" i="1"/>
  <c r="M5226" i="1"/>
  <c r="V5226" i="1"/>
  <c r="W5226" i="1"/>
  <c r="A4466" i="1"/>
  <c r="D4466" i="1"/>
  <c r="F4466" i="1"/>
  <c r="H4466" i="1"/>
  <c r="I4466" i="1"/>
  <c r="L4466" i="1"/>
  <c r="M4466" i="1"/>
  <c r="V4466" i="1"/>
  <c r="W4466" i="1"/>
  <c r="A4700" i="1"/>
  <c r="D4700" i="1"/>
  <c r="F4700" i="1"/>
  <c r="H4700" i="1"/>
  <c r="I4700" i="1"/>
  <c r="L4700" i="1"/>
  <c r="M4700" i="1"/>
  <c r="V4700" i="1"/>
  <c r="W4700" i="1"/>
  <c r="A1578" i="1"/>
  <c r="D1578" i="1"/>
  <c r="F1578" i="1"/>
  <c r="H1578" i="1"/>
  <c r="I1578" i="1"/>
  <c r="L1578" i="1"/>
  <c r="M1578" i="1"/>
  <c r="V1578" i="1"/>
  <c r="W1578" i="1"/>
  <c r="A3188" i="1"/>
  <c r="D3188" i="1"/>
  <c r="F3188" i="1"/>
  <c r="H3188" i="1"/>
  <c r="I3188" i="1"/>
  <c r="L3188" i="1"/>
  <c r="M3188" i="1"/>
  <c r="V3188" i="1"/>
  <c r="W3188" i="1"/>
  <c r="A1431" i="1"/>
  <c r="D1431" i="1"/>
  <c r="F1431" i="1"/>
  <c r="H1431" i="1"/>
  <c r="I1431" i="1"/>
  <c r="L1431" i="1"/>
  <c r="M1431" i="1"/>
  <c r="V1431" i="1"/>
  <c r="W1431" i="1"/>
  <c r="A3102" i="1"/>
  <c r="D3102" i="1"/>
  <c r="F3102" i="1"/>
  <c r="H3102" i="1"/>
  <c r="I3102" i="1"/>
  <c r="L3102" i="1"/>
  <c r="M3102" i="1"/>
  <c r="V3102" i="1"/>
  <c r="W3102" i="1"/>
  <c r="A3147" i="1"/>
  <c r="D3147" i="1"/>
  <c r="F3147" i="1"/>
  <c r="H3147" i="1"/>
  <c r="I3147" i="1"/>
  <c r="L3147" i="1"/>
  <c r="M3147" i="1"/>
  <c r="V3147" i="1"/>
  <c r="W3147" i="1"/>
  <c r="A1728" i="1"/>
  <c r="D1728" i="1"/>
  <c r="F1728" i="1"/>
  <c r="H1728" i="1"/>
  <c r="I1728" i="1"/>
  <c r="L1728" i="1"/>
  <c r="M1728" i="1"/>
  <c r="V1728" i="1"/>
  <c r="W1728" i="1"/>
  <c r="A806" i="1"/>
  <c r="D806" i="1"/>
  <c r="F806" i="1"/>
  <c r="H806" i="1"/>
  <c r="I806" i="1"/>
  <c r="L806" i="1"/>
  <c r="M806" i="1"/>
  <c r="V806" i="1"/>
  <c r="W806" i="1"/>
  <c r="A79" i="1"/>
  <c r="D79" i="1"/>
  <c r="F79" i="1"/>
  <c r="H79" i="1"/>
  <c r="I79" i="1"/>
  <c r="L79" i="1"/>
  <c r="M79" i="1"/>
  <c r="V79" i="1"/>
  <c r="W79" i="1"/>
  <c r="A2499" i="1"/>
  <c r="D2499" i="1"/>
  <c r="F2499" i="1"/>
  <c r="H2499" i="1"/>
  <c r="I2499" i="1"/>
  <c r="L2499" i="1"/>
  <c r="M2499" i="1"/>
  <c r="V2499" i="1"/>
  <c r="W2499" i="1"/>
  <c r="A4516" i="1"/>
  <c r="D4516" i="1"/>
  <c r="F4516" i="1"/>
  <c r="H4516" i="1"/>
  <c r="I4516" i="1"/>
  <c r="L4516" i="1"/>
  <c r="M4516" i="1"/>
  <c r="V4516" i="1"/>
  <c r="W4516" i="1"/>
  <c r="A1155" i="1"/>
  <c r="D1155" i="1"/>
  <c r="F1155" i="1"/>
  <c r="H1155" i="1"/>
  <c r="I1155" i="1"/>
  <c r="L1155" i="1"/>
  <c r="M1155" i="1"/>
  <c r="V1155" i="1"/>
  <c r="W1155" i="1"/>
  <c r="A2158" i="1"/>
  <c r="D2158" i="1"/>
  <c r="F2158" i="1"/>
  <c r="H2158" i="1"/>
  <c r="I2158" i="1"/>
  <c r="L2158" i="1"/>
  <c r="M2158" i="1"/>
  <c r="V2158" i="1"/>
  <c r="W2158" i="1"/>
  <c r="A3573" i="1"/>
  <c r="D3573" i="1"/>
  <c r="F3573" i="1"/>
  <c r="H3573" i="1"/>
  <c r="I3573" i="1"/>
  <c r="L3573" i="1"/>
  <c r="M3573" i="1"/>
  <c r="V3573" i="1"/>
  <c r="W3573" i="1"/>
  <c r="A2212" i="1"/>
  <c r="D2212" i="1"/>
  <c r="F2212" i="1"/>
  <c r="H2212" i="1"/>
  <c r="I2212" i="1"/>
  <c r="L2212" i="1"/>
  <c r="M2212" i="1"/>
  <c r="V2212" i="1"/>
  <c r="W2212" i="1"/>
  <c r="A5763" i="1"/>
  <c r="D5763" i="1"/>
  <c r="F5763" i="1"/>
  <c r="H5763" i="1"/>
  <c r="I5763" i="1"/>
  <c r="L5763" i="1"/>
  <c r="M5763" i="1"/>
  <c r="V5763" i="1"/>
  <c r="W5763" i="1"/>
  <c r="A4703" i="1"/>
  <c r="D4703" i="1"/>
  <c r="F4703" i="1"/>
  <c r="H4703" i="1"/>
  <c r="I4703" i="1"/>
  <c r="L4703" i="1"/>
  <c r="M4703" i="1"/>
  <c r="V4703" i="1"/>
  <c r="W4703" i="1"/>
  <c r="A4139" i="1"/>
  <c r="D4139" i="1"/>
  <c r="F4139" i="1"/>
  <c r="H4139" i="1"/>
  <c r="I4139" i="1"/>
  <c r="L4139" i="1"/>
  <c r="M4139" i="1"/>
  <c r="V4139" i="1"/>
  <c r="W4139" i="1"/>
  <c r="A4348" i="1"/>
  <c r="D4348" i="1"/>
  <c r="F4348" i="1"/>
  <c r="H4348" i="1"/>
  <c r="I4348" i="1"/>
  <c r="L4348" i="1"/>
  <c r="M4348" i="1"/>
  <c r="V4348" i="1"/>
  <c r="W4348" i="1"/>
  <c r="A2359" i="1"/>
  <c r="D2359" i="1"/>
  <c r="F2359" i="1"/>
  <c r="H2359" i="1"/>
  <c r="I2359" i="1"/>
  <c r="L2359" i="1"/>
  <c r="M2359" i="1"/>
  <c r="V2359" i="1"/>
  <c r="W2359" i="1"/>
  <c r="A3628" i="1"/>
  <c r="D3628" i="1"/>
  <c r="F3628" i="1"/>
  <c r="H3628" i="1"/>
  <c r="I3628" i="1"/>
  <c r="L3628" i="1"/>
  <c r="M3628" i="1"/>
  <c r="V3628" i="1"/>
  <c r="W3628" i="1"/>
  <c r="A3865" i="1"/>
  <c r="D3865" i="1"/>
  <c r="F3865" i="1"/>
  <c r="H3865" i="1"/>
  <c r="I3865" i="1"/>
  <c r="L3865" i="1"/>
  <c r="M3865" i="1"/>
  <c r="V3865" i="1"/>
  <c r="W3865" i="1"/>
  <c r="A3886" i="1"/>
  <c r="D3886" i="1"/>
  <c r="F3886" i="1"/>
  <c r="H3886" i="1"/>
  <c r="I3886" i="1"/>
  <c r="L3886" i="1"/>
  <c r="M3886" i="1"/>
  <c r="V3886" i="1"/>
  <c r="W3886" i="1"/>
  <c r="A3627" i="1"/>
  <c r="D3627" i="1"/>
  <c r="F3627" i="1"/>
  <c r="H3627" i="1"/>
  <c r="I3627" i="1"/>
  <c r="L3627" i="1"/>
  <c r="M3627" i="1"/>
  <c r="V3627" i="1"/>
  <c r="W3627" i="1"/>
  <c r="A3868" i="1"/>
  <c r="D3868" i="1"/>
  <c r="F3868" i="1"/>
  <c r="H3868" i="1"/>
  <c r="I3868" i="1"/>
  <c r="L3868" i="1"/>
  <c r="M3868" i="1"/>
  <c r="V3868" i="1"/>
  <c r="W3868" i="1"/>
  <c r="A3887" i="1"/>
  <c r="D3887" i="1"/>
  <c r="F3887" i="1"/>
  <c r="H3887" i="1"/>
  <c r="I3887" i="1"/>
  <c r="L3887" i="1"/>
  <c r="M3887" i="1"/>
  <c r="V3887" i="1"/>
  <c r="W3887" i="1"/>
  <c r="A1667" i="1"/>
  <c r="D1667" i="1"/>
  <c r="F1667" i="1"/>
  <c r="H1667" i="1"/>
  <c r="I1667" i="1"/>
  <c r="L1667" i="1"/>
  <c r="M1667" i="1"/>
  <c r="V1667" i="1"/>
  <c r="W1667" i="1"/>
  <c r="A3997" i="1"/>
  <c r="D3997" i="1"/>
  <c r="F3997" i="1"/>
  <c r="H3997" i="1"/>
  <c r="I3997" i="1"/>
  <c r="L3997" i="1"/>
  <c r="M3997" i="1"/>
  <c r="V3997" i="1"/>
  <c r="W3997" i="1"/>
  <c r="A4052" i="1"/>
  <c r="D4052" i="1"/>
  <c r="F4052" i="1"/>
  <c r="H4052" i="1"/>
  <c r="I4052" i="1"/>
  <c r="L4052" i="1"/>
  <c r="M4052" i="1"/>
  <c r="V4052" i="1"/>
  <c r="W4052" i="1"/>
  <c r="A3491" i="1"/>
  <c r="D3491" i="1"/>
  <c r="F3491" i="1"/>
  <c r="H3491" i="1"/>
  <c r="I3491" i="1"/>
  <c r="L3491" i="1"/>
  <c r="M3491" i="1"/>
  <c r="V3491" i="1"/>
  <c r="W3491" i="1"/>
  <c r="A137" i="1"/>
  <c r="D137" i="1"/>
  <c r="F137" i="1"/>
  <c r="H137" i="1"/>
  <c r="I137" i="1"/>
  <c r="L137" i="1"/>
  <c r="M137" i="1"/>
  <c r="V137" i="1"/>
  <c r="W137" i="1"/>
  <c r="A982" i="1"/>
  <c r="D982" i="1"/>
  <c r="F982" i="1"/>
  <c r="H982" i="1"/>
  <c r="I982" i="1"/>
  <c r="L982" i="1"/>
  <c r="M982" i="1"/>
  <c r="V982" i="1"/>
  <c r="W982" i="1"/>
  <c r="A1480" i="1"/>
  <c r="D1480" i="1"/>
  <c r="F1480" i="1"/>
  <c r="H1480" i="1"/>
  <c r="I1480" i="1"/>
  <c r="L1480" i="1"/>
  <c r="M1480" i="1"/>
  <c r="V1480" i="1"/>
  <c r="W1480" i="1"/>
  <c r="A3274" i="1"/>
  <c r="D3274" i="1"/>
  <c r="F3274" i="1"/>
  <c r="H3274" i="1"/>
  <c r="I3274" i="1"/>
  <c r="L3274" i="1"/>
  <c r="M3274" i="1"/>
  <c r="V3274" i="1"/>
  <c r="W3274" i="1"/>
  <c r="A3810" i="1"/>
  <c r="D3810" i="1"/>
  <c r="F3810" i="1"/>
  <c r="H3810" i="1"/>
  <c r="I3810" i="1"/>
  <c r="L3810" i="1"/>
  <c r="M3810" i="1"/>
  <c r="V3810" i="1"/>
  <c r="W3810" i="1"/>
  <c r="A3639" i="1"/>
  <c r="D3639" i="1"/>
  <c r="F3639" i="1"/>
  <c r="H3639" i="1"/>
  <c r="I3639" i="1"/>
  <c r="L3639" i="1"/>
  <c r="M3639" i="1"/>
  <c r="V3639" i="1"/>
  <c r="W3639" i="1"/>
  <c r="A4535" i="1"/>
  <c r="D4535" i="1"/>
  <c r="F4535" i="1"/>
  <c r="H4535" i="1"/>
  <c r="I4535" i="1"/>
  <c r="L4535" i="1"/>
  <c r="M4535" i="1"/>
  <c r="V4535" i="1"/>
  <c r="W4535" i="1"/>
  <c r="A4165" i="1"/>
  <c r="D4165" i="1"/>
  <c r="F4165" i="1"/>
  <c r="H4165" i="1"/>
  <c r="I4165" i="1"/>
  <c r="L4165" i="1"/>
  <c r="M4165" i="1"/>
  <c r="V4165" i="1"/>
  <c r="W4165" i="1"/>
  <c r="A4470" i="1"/>
  <c r="D4470" i="1"/>
  <c r="F4470" i="1"/>
  <c r="H4470" i="1"/>
  <c r="I4470" i="1"/>
  <c r="L4470" i="1"/>
  <c r="M4470" i="1"/>
  <c r="V4470" i="1"/>
  <c r="W4470" i="1"/>
  <c r="A4480" i="1"/>
  <c r="D4480" i="1"/>
  <c r="F4480" i="1"/>
  <c r="H4480" i="1"/>
  <c r="I4480" i="1"/>
  <c r="L4480" i="1"/>
  <c r="M4480" i="1"/>
  <c r="V4480" i="1"/>
  <c r="W4480" i="1"/>
  <c r="A4447" i="1"/>
  <c r="D4447" i="1"/>
  <c r="F4447" i="1"/>
  <c r="H4447" i="1"/>
  <c r="I4447" i="1"/>
  <c r="L4447" i="1"/>
  <c r="M4447" i="1"/>
  <c r="V4447" i="1"/>
  <c r="W4447" i="1"/>
  <c r="A4449" i="1"/>
  <c r="D4449" i="1"/>
  <c r="F4449" i="1"/>
  <c r="H4449" i="1"/>
  <c r="I4449" i="1"/>
  <c r="L4449" i="1"/>
  <c r="M4449" i="1"/>
  <c r="V4449" i="1"/>
  <c r="W4449" i="1"/>
  <c r="A4596" i="1"/>
  <c r="D4596" i="1"/>
  <c r="F4596" i="1"/>
  <c r="H4596" i="1"/>
  <c r="I4596" i="1"/>
  <c r="L4596" i="1"/>
  <c r="M4596" i="1"/>
  <c r="V4596" i="1"/>
  <c r="W4596" i="1"/>
  <c r="A3680" i="1"/>
  <c r="D3680" i="1"/>
  <c r="F3680" i="1"/>
  <c r="H3680" i="1"/>
  <c r="I3680" i="1"/>
  <c r="L3680" i="1"/>
  <c r="M3680" i="1"/>
  <c r="V3680" i="1"/>
  <c r="W3680" i="1"/>
  <c r="A4660" i="1"/>
  <c r="D4660" i="1"/>
  <c r="F4660" i="1"/>
  <c r="H4660" i="1"/>
  <c r="I4660" i="1"/>
  <c r="L4660" i="1"/>
  <c r="M4660" i="1"/>
  <c r="V4660" i="1"/>
  <c r="W4660" i="1"/>
  <c r="A486" i="1"/>
  <c r="D486" i="1"/>
  <c r="F486" i="1"/>
  <c r="H486" i="1"/>
  <c r="I486" i="1"/>
  <c r="L486" i="1"/>
  <c r="M486" i="1"/>
  <c r="V486" i="1"/>
  <c r="W486" i="1"/>
  <c r="A581" i="1"/>
  <c r="D581" i="1"/>
  <c r="F581" i="1"/>
  <c r="H581" i="1"/>
  <c r="I581" i="1"/>
  <c r="L581" i="1"/>
  <c r="M581" i="1"/>
  <c r="V581" i="1"/>
  <c r="W581" i="1"/>
  <c r="A636" i="1"/>
  <c r="D636" i="1"/>
  <c r="F636" i="1"/>
  <c r="H636" i="1"/>
  <c r="I636" i="1"/>
  <c r="L636" i="1"/>
  <c r="M636" i="1"/>
  <c r="V636" i="1"/>
  <c r="W636" i="1"/>
  <c r="A1075" i="1"/>
  <c r="D1075" i="1"/>
  <c r="F1075" i="1"/>
  <c r="H1075" i="1"/>
  <c r="I1075" i="1"/>
  <c r="L1075" i="1"/>
  <c r="M1075" i="1"/>
  <c r="V1075" i="1"/>
  <c r="W1075" i="1"/>
  <c r="A1768" i="1"/>
  <c r="D1768" i="1"/>
  <c r="F1768" i="1"/>
  <c r="H1768" i="1"/>
  <c r="I1768" i="1"/>
  <c r="L1768" i="1"/>
  <c r="M1768" i="1"/>
  <c r="V1768" i="1"/>
  <c r="W1768" i="1"/>
  <c r="A2075" i="1"/>
  <c r="D2075" i="1"/>
  <c r="F2075" i="1"/>
  <c r="H2075" i="1"/>
  <c r="I2075" i="1"/>
  <c r="L2075" i="1"/>
  <c r="M2075" i="1"/>
  <c r="V2075" i="1"/>
  <c r="W2075" i="1"/>
  <c r="A1789" i="1"/>
  <c r="D1789" i="1"/>
  <c r="F1789" i="1"/>
  <c r="H1789" i="1"/>
  <c r="I1789" i="1"/>
  <c r="L1789" i="1"/>
  <c r="M1789" i="1"/>
  <c r="V1789" i="1"/>
  <c r="W1789" i="1"/>
  <c r="A2088" i="1"/>
  <c r="D2088" i="1"/>
  <c r="F2088" i="1"/>
  <c r="H2088" i="1"/>
  <c r="I2088" i="1"/>
  <c r="L2088" i="1"/>
  <c r="M2088" i="1"/>
  <c r="V2088" i="1"/>
  <c r="W2088" i="1"/>
  <c r="A4220" i="1"/>
  <c r="D4220" i="1"/>
  <c r="F4220" i="1"/>
  <c r="H4220" i="1"/>
  <c r="I4220" i="1"/>
  <c r="L4220" i="1"/>
  <c r="M4220" i="1"/>
  <c r="V4220" i="1"/>
  <c r="W4220" i="1"/>
  <c r="A4845" i="1"/>
  <c r="D4845" i="1"/>
  <c r="F4845" i="1"/>
  <c r="H4845" i="1"/>
  <c r="I4845" i="1"/>
  <c r="L4845" i="1"/>
  <c r="M4845" i="1"/>
  <c r="V4845" i="1"/>
  <c r="W4845" i="1"/>
  <c r="A5207" i="1"/>
  <c r="D5207" i="1"/>
  <c r="F5207" i="1"/>
  <c r="H5207" i="1"/>
  <c r="I5207" i="1"/>
  <c r="L5207" i="1"/>
  <c r="M5207" i="1"/>
  <c r="V5207" i="1"/>
  <c r="W5207" i="1"/>
  <c r="A3626" i="1"/>
  <c r="D3626" i="1"/>
  <c r="F3626" i="1"/>
  <c r="H3626" i="1"/>
  <c r="I3626" i="1"/>
  <c r="L3626" i="1"/>
  <c r="M3626" i="1"/>
  <c r="V3626" i="1"/>
  <c r="W3626" i="1"/>
  <c r="A3861" i="1"/>
  <c r="D3861" i="1"/>
  <c r="F3861" i="1"/>
  <c r="H3861" i="1"/>
  <c r="I3861" i="1"/>
  <c r="L3861" i="1"/>
  <c r="M3861" i="1"/>
  <c r="V3861" i="1"/>
  <c r="W3861" i="1"/>
  <c r="A3890" i="1"/>
  <c r="D3890" i="1"/>
  <c r="F3890" i="1"/>
  <c r="H3890" i="1"/>
  <c r="I3890" i="1"/>
  <c r="L3890" i="1"/>
  <c r="M3890" i="1"/>
  <c r="V3890" i="1"/>
  <c r="W3890" i="1"/>
  <c r="A5465" i="1"/>
  <c r="D5465" i="1"/>
  <c r="F5465" i="1"/>
  <c r="H5465" i="1"/>
  <c r="I5465" i="1"/>
  <c r="L5465" i="1"/>
  <c r="M5465" i="1"/>
  <c r="V5465" i="1"/>
  <c r="W5465" i="1"/>
  <c r="A3619" i="1"/>
  <c r="D3619" i="1"/>
  <c r="F3619" i="1"/>
  <c r="H3619" i="1"/>
  <c r="I3619" i="1"/>
  <c r="L3619" i="1"/>
  <c r="M3619" i="1"/>
  <c r="V3619" i="1"/>
  <c r="W3619" i="1"/>
  <c r="A3866" i="1"/>
  <c r="D3866" i="1"/>
  <c r="F3866" i="1"/>
  <c r="H3866" i="1"/>
  <c r="I3866" i="1"/>
  <c r="L3866" i="1"/>
  <c r="M3866" i="1"/>
  <c r="V3866" i="1"/>
  <c r="W3866" i="1"/>
  <c r="A3884" i="1"/>
  <c r="D3884" i="1"/>
  <c r="F3884" i="1"/>
  <c r="H3884" i="1"/>
  <c r="I3884" i="1"/>
  <c r="L3884" i="1"/>
  <c r="M3884" i="1"/>
  <c r="V3884" i="1"/>
  <c r="W3884" i="1"/>
  <c r="A1747" i="1"/>
  <c r="D1747" i="1"/>
  <c r="F1747" i="1"/>
  <c r="H1747" i="1"/>
  <c r="I1747" i="1"/>
  <c r="L1747" i="1"/>
  <c r="M1747" i="1"/>
  <c r="V1747" i="1"/>
  <c r="W1747" i="1"/>
  <c r="A2111" i="1"/>
  <c r="D2111" i="1"/>
  <c r="F2111" i="1"/>
  <c r="H2111" i="1"/>
  <c r="I2111" i="1"/>
  <c r="L2111" i="1"/>
  <c r="M2111" i="1"/>
  <c r="V2111" i="1"/>
  <c r="W2111" i="1"/>
  <c r="A4538" i="1"/>
  <c r="D4538" i="1"/>
  <c r="F4538" i="1"/>
  <c r="H4538" i="1"/>
  <c r="I4538" i="1"/>
  <c r="L4538" i="1"/>
  <c r="M4538" i="1"/>
  <c r="V4538" i="1"/>
  <c r="W4538" i="1"/>
  <c r="A4804" i="1"/>
  <c r="D4804" i="1"/>
  <c r="F4804" i="1"/>
  <c r="H4804" i="1"/>
  <c r="I4804" i="1"/>
  <c r="L4804" i="1"/>
  <c r="M4804" i="1"/>
  <c r="V4804" i="1"/>
  <c r="W4804" i="1"/>
  <c r="A6097" i="1"/>
  <c r="D6097" i="1"/>
  <c r="F6097" i="1"/>
  <c r="H6097" i="1"/>
  <c r="I6097" i="1"/>
  <c r="L6097" i="1"/>
  <c r="M6097" i="1"/>
  <c r="V6097" i="1"/>
  <c r="W6097" i="1"/>
  <c r="A3753" i="1"/>
  <c r="D3753" i="1"/>
  <c r="F3753" i="1"/>
  <c r="H3753" i="1"/>
  <c r="I3753" i="1"/>
  <c r="L3753" i="1"/>
  <c r="M3753" i="1"/>
  <c r="V3753" i="1"/>
  <c r="W3753" i="1"/>
  <c r="A3630" i="1"/>
  <c r="D3630" i="1"/>
  <c r="F3630" i="1"/>
  <c r="H3630" i="1"/>
  <c r="I3630" i="1"/>
  <c r="L3630" i="1"/>
  <c r="M3630" i="1"/>
  <c r="V3630" i="1"/>
  <c r="W3630" i="1"/>
  <c r="A3636" i="1"/>
  <c r="D3636" i="1"/>
  <c r="F3636" i="1"/>
  <c r="H3636" i="1"/>
  <c r="I3636" i="1"/>
  <c r="L3636" i="1"/>
  <c r="M3636" i="1"/>
  <c r="V3636" i="1"/>
  <c r="W3636" i="1"/>
  <c r="A3873" i="1"/>
  <c r="D3873" i="1"/>
  <c r="F3873" i="1"/>
  <c r="H3873" i="1"/>
  <c r="I3873" i="1"/>
  <c r="L3873" i="1"/>
  <c r="M3873" i="1"/>
  <c r="V3873" i="1"/>
  <c r="W3873" i="1"/>
  <c r="A3892" i="1"/>
  <c r="D3892" i="1"/>
  <c r="F3892" i="1"/>
  <c r="H3892" i="1"/>
  <c r="I3892" i="1"/>
  <c r="L3892" i="1"/>
  <c r="M3892" i="1"/>
  <c r="V3892" i="1"/>
  <c r="W3892" i="1"/>
  <c r="A4927" i="1"/>
  <c r="D4927" i="1"/>
  <c r="F4927" i="1"/>
  <c r="H4927" i="1"/>
  <c r="I4927" i="1"/>
  <c r="L4927" i="1"/>
  <c r="M4927" i="1"/>
  <c r="V4927" i="1"/>
  <c r="W4927" i="1"/>
  <c r="A4921" i="1"/>
  <c r="D4921" i="1"/>
  <c r="F4921" i="1"/>
  <c r="H4921" i="1"/>
  <c r="I4921" i="1"/>
  <c r="L4921" i="1"/>
  <c r="M4921" i="1"/>
  <c r="V4921" i="1"/>
  <c r="W4921" i="1"/>
  <c r="A5675" i="1"/>
  <c r="D5675" i="1"/>
  <c r="F5675" i="1"/>
  <c r="H5675" i="1"/>
  <c r="I5675" i="1"/>
  <c r="L5675" i="1"/>
  <c r="M5675" i="1"/>
  <c r="V5675" i="1"/>
  <c r="W5675" i="1"/>
  <c r="A1653" i="1"/>
  <c r="D1653" i="1"/>
  <c r="F1653" i="1"/>
  <c r="H1653" i="1"/>
  <c r="I1653" i="1"/>
  <c r="L1653" i="1"/>
  <c r="M1653" i="1"/>
  <c r="V1653" i="1"/>
  <c r="W1653" i="1"/>
  <c r="A2514" i="1"/>
  <c r="D2514" i="1"/>
  <c r="F2514" i="1"/>
  <c r="H2514" i="1"/>
  <c r="I2514" i="1"/>
  <c r="L2514" i="1"/>
  <c r="M2514" i="1"/>
  <c r="V2514" i="1"/>
  <c r="W2514" i="1"/>
  <c r="A5891" i="1"/>
  <c r="D5891" i="1"/>
  <c r="F5891" i="1"/>
  <c r="H5891" i="1"/>
  <c r="I5891" i="1"/>
  <c r="L5891" i="1"/>
  <c r="M5891" i="1"/>
  <c r="V5891" i="1"/>
  <c r="W5891" i="1"/>
  <c r="A2405" i="1"/>
  <c r="D2405" i="1"/>
  <c r="F2405" i="1"/>
  <c r="H2405" i="1"/>
  <c r="I2405" i="1"/>
  <c r="L2405" i="1"/>
  <c r="M2405" i="1"/>
  <c r="V2405" i="1"/>
  <c r="W2405" i="1"/>
  <c r="A5563" i="1"/>
  <c r="D5563" i="1"/>
  <c r="F5563" i="1"/>
  <c r="H5563" i="1"/>
  <c r="I5563" i="1"/>
  <c r="L5563" i="1"/>
  <c r="M5563" i="1"/>
  <c r="V5563" i="1"/>
  <c r="W5563" i="1"/>
  <c r="A4563" i="1"/>
  <c r="D4563" i="1"/>
  <c r="F4563" i="1"/>
  <c r="H4563" i="1"/>
  <c r="I4563" i="1"/>
  <c r="L4563" i="1"/>
  <c r="M4563" i="1"/>
  <c r="V4563" i="1"/>
  <c r="W4563" i="1"/>
  <c r="A5027" i="1"/>
  <c r="D5027" i="1"/>
  <c r="F5027" i="1"/>
  <c r="H5027" i="1"/>
  <c r="I5027" i="1"/>
  <c r="L5027" i="1"/>
  <c r="M5027" i="1"/>
  <c r="V5027" i="1"/>
  <c r="W5027" i="1"/>
  <c r="A1685" i="1"/>
  <c r="D1685" i="1"/>
  <c r="F1685" i="1"/>
  <c r="H1685" i="1"/>
  <c r="I1685" i="1"/>
  <c r="L1685" i="1"/>
  <c r="M1685" i="1"/>
  <c r="V1685" i="1"/>
  <c r="W1685" i="1"/>
  <c r="A3079" i="1"/>
  <c r="D3079" i="1"/>
  <c r="F3079" i="1"/>
  <c r="H3079" i="1"/>
  <c r="I3079" i="1"/>
  <c r="L3079" i="1"/>
  <c r="M3079" i="1"/>
  <c r="V3079" i="1"/>
  <c r="W3079" i="1"/>
  <c r="A3076" i="1"/>
  <c r="D3076" i="1"/>
  <c r="F3076" i="1"/>
  <c r="H3076" i="1"/>
  <c r="I3076" i="1"/>
  <c r="L3076" i="1"/>
  <c r="M3076" i="1"/>
  <c r="V3076" i="1"/>
  <c r="W3076" i="1"/>
  <c r="A4249" i="1"/>
  <c r="D4249" i="1"/>
  <c r="F4249" i="1"/>
  <c r="H4249" i="1"/>
  <c r="I4249" i="1"/>
  <c r="L4249" i="1"/>
  <c r="M4249" i="1"/>
  <c r="V4249" i="1"/>
  <c r="W4249" i="1"/>
  <c r="A1351" i="1"/>
  <c r="D1351" i="1"/>
  <c r="F1351" i="1"/>
  <c r="H1351" i="1"/>
  <c r="I1351" i="1"/>
  <c r="L1351" i="1"/>
  <c r="M1351" i="1"/>
  <c r="V1351" i="1"/>
  <c r="W1351" i="1"/>
  <c r="A1353" i="1"/>
  <c r="D1353" i="1"/>
  <c r="F1353" i="1"/>
  <c r="H1353" i="1"/>
  <c r="I1353" i="1"/>
  <c r="L1353" i="1"/>
  <c r="M1353" i="1"/>
  <c r="V1353" i="1"/>
  <c r="W1353" i="1"/>
  <c r="A1409" i="1"/>
  <c r="D1409" i="1"/>
  <c r="F1409" i="1"/>
  <c r="H1409" i="1"/>
  <c r="I1409" i="1"/>
  <c r="L1409" i="1"/>
  <c r="M1409" i="1"/>
  <c r="V1409" i="1"/>
  <c r="W1409" i="1"/>
  <c r="A2567" i="1"/>
  <c r="D2567" i="1"/>
  <c r="F2567" i="1"/>
  <c r="H2567" i="1"/>
  <c r="I2567" i="1"/>
  <c r="L2567" i="1"/>
  <c r="M2567" i="1"/>
  <c r="V2567" i="1"/>
  <c r="W2567" i="1"/>
  <c r="A1701" i="1"/>
  <c r="D1701" i="1"/>
  <c r="F1701" i="1"/>
  <c r="H1701" i="1"/>
  <c r="I1701" i="1"/>
  <c r="L1701" i="1"/>
  <c r="M1701" i="1"/>
  <c r="V1701" i="1"/>
  <c r="W1701" i="1"/>
  <c r="A2577" i="1"/>
  <c r="D2577" i="1"/>
  <c r="F2577" i="1"/>
  <c r="H2577" i="1"/>
  <c r="I2577" i="1"/>
  <c r="L2577" i="1"/>
  <c r="M2577" i="1"/>
  <c r="V2577" i="1"/>
  <c r="W2577" i="1"/>
  <c r="A6146" i="1"/>
  <c r="D6146" i="1"/>
  <c r="F6146" i="1"/>
  <c r="H6146" i="1"/>
  <c r="I6146" i="1"/>
  <c r="L6146" i="1"/>
  <c r="M6146" i="1"/>
  <c r="V6146" i="1"/>
  <c r="W6146" i="1"/>
  <c r="A6196" i="1"/>
  <c r="D6196" i="1"/>
  <c r="F6196" i="1"/>
  <c r="H6196" i="1"/>
  <c r="I6196" i="1"/>
  <c r="L6196" i="1"/>
  <c r="M6196" i="1"/>
  <c r="V6196" i="1"/>
  <c r="W6196" i="1"/>
  <c r="A1088" i="1"/>
  <c r="D1088" i="1"/>
  <c r="F1088" i="1"/>
  <c r="H1088" i="1"/>
  <c r="I1088" i="1"/>
  <c r="L1088" i="1"/>
  <c r="M1088" i="1"/>
  <c r="V1088" i="1"/>
  <c r="W1088" i="1"/>
  <c r="A1566" i="1"/>
  <c r="D1566" i="1"/>
  <c r="F1566" i="1"/>
  <c r="H1566" i="1"/>
  <c r="I1566" i="1"/>
  <c r="L1566" i="1"/>
  <c r="M1566" i="1"/>
  <c r="V1566" i="1"/>
  <c r="W1566" i="1"/>
  <c r="A3750" i="1"/>
  <c r="D3750" i="1"/>
  <c r="F3750" i="1"/>
  <c r="H3750" i="1"/>
  <c r="I3750" i="1"/>
  <c r="L3750" i="1"/>
  <c r="M3750" i="1"/>
  <c r="V3750" i="1"/>
  <c r="W3750" i="1"/>
  <c r="A4532" i="1"/>
  <c r="D4532" i="1"/>
  <c r="F4532" i="1"/>
  <c r="H4532" i="1"/>
  <c r="I4532" i="1"/>
  <c r="L4532" i="1"/>
  <c r="M4532" i="1"/>
  <c r="V4532" i="1"/>
  <c r="W4532" i="1"/>
  <c r="A5871" i="1"/>
  <c r="D5871" i="1"/>
  <c r="F5871" i="1"/>
  <c r="H5871" i="1"/>
  <c r="I5871" i="1"/>
  <c r="L5871" i="1"/>
  <c r="M5871" i="1"/>
  <c r="V5871" i="1"/>
  <c r="W5871" i="1"/>
  <c r="A2890" i="1"/>
  <c r="D2890" i="1"/>
  <c r="F2890" i="1"/>
  <c r="H2890" i="1"/>
  <c r="I2890" i="1"/>
  <c r="L2890" i="1"/>
  <c r="M2890" i="1"/>
  <c r="V2890" i="1"/>
  <c r="W2890" i="1"/>
  <c r="A2585" i="1"/>
  <c r="D2585" i="1"/>
  <c r="F2585" i="1"/>
  <c r="H2585" i="1"/>
  <c r="I2585" i="1"/>
  <c r="L2585" i="1"/>
  <c r="M2585" i="1"/>
  <c r="V2585" i="1"/>
  <c r="W2585" i="1"/>
  <c r="A2409" i="1"/>
  <c r="D2409" i="1"/>
  <c r="F2409" i="1"/>
  <c r="H2409" i="1"/>
  <c r="I2409" i="1"/>
  <c r="L2409" i="1"/>
  <c r="M2409" i="1"/>
  <c r="V2409" i="1"/>
  <c r="W2409" i="1"/>
  <c r="A4842" i="1"/>
  <c r="D4842" i="1"/>
  <c r="F4842" i="1"/>
  <c r="H4842" i="1"/>
  <c r="I4842" i="1"/>
  <c r="L4842" i="1"/>
  <c r="M4842" i="1"/>
  <c r="V4842" i="1"/>
  <c r="W4842" i="1"/>
  <c r="A497" i="1"/>
  <c r="D497" i="1"/>
  <c r="F497" i="1"/>
  <c r="H497" i="1"/>
  <c r="I497" i="1"/>
  <c r="L497" i="1"/>
  <c r="M497" i="1"/>
  <c r="V497" i="1"/>
  <c r="W497" i="1"/>
  <c r="A540" i="1"/>
  <c r="D540" i="1"/>
  <c r="F540" i="1"/>
  <c r="H540" i="1"/>
  <c r="I540" i="1"/>
  <c r="L540" i="1"/>
  <c r="M540" i="1"/>
  <c r="V540" i="1"/>
  <c r="W540" i="1"/>
  <c r="A552" i="1"/>
  <c r="D552" i="1"/>
  <c r="F552" i="1"/>
  <c r="H552" i="1"/>
  <c r="I552" i="1"/>
  <c r="L552" i="1"/>
  <c r="M552" i="1"/>
  <c r="V552" i="1"/>
  <c r="W552" i="1"/>
  <c r="A662" i="1"/>
  <c r="D662" i="1"/>
  <c r="F662" i="1"/>
  <c r="H662" i="1"/>
  <c r="I662" i="1"/>
  <c r="L662" i="1"/>
  <c r="M662" i="1"/>
  <c r="V662" i="1"/>
  <c r="W662" i="1"/>
  <c r="A3767" i="1"/>
  <c r="D3767" i="1"/>
  <c r="F3767" i="1"/>
  <c r="H3767" i="1"/>
  <c r="I3767" i="1"/>
  <c r="L3767" i="1"/>
  <c r="M3767" i="1"/>
  <c r="V3767" i="1"/>
  <c r="W3767" i="1"/>
  <c r="A2957" i="1"/>
  <c r="D2957" i="1"/>
  <c r="F2957" i="1"/>
  <c r="H2957" i="1"/>
  <c r="I2957" i="1"/>
  <c r="L2957" i="1"/>
  <c r="M2957" i="1"/>
  <c r="V2957" i="1"/>
  <c r="W2957" i="1"/>
  <c r="A2804" i="1"/>
  <c r="D2804" i="1"/>
  <c r="F2804" i="1"/>
  <c r="H2804" i="1"/>
  <c r="I2804" i="1"/>
  <c r="L2804" i="1"/>
  <c r="M2804" i="1"/>
  <c r="V2804" i="1"/>
  <c r="W2804" i="1"/>
  <c r="A3964" i="1"/>
  <c r="D3964" i="1"/>
  <c r="F3964" i="1"/>
  <c r="H3964" i="1"/>
  <c r="I3964" i="1"/>
  <c r="L3964" i="1"/>
  <c r="M3964" i="1"/>
  <c r="V3964" i="1"/>
  <c r="W3964" i="1"/>
  <c r="A265" i="1"/>
  <c r="D265" i="1"/>
  <c r="F265" i="1"/>
  <c r="H265" i="1"/>
  <c r="I265" i="1"/>
  <c r="L265" i="1"/>
  <c r="M265" i="1"/>
  <c r="V265" i="1"/>
  <c r="W265" i="1"/>
  <c r="A1378" i="1"/>
  <c r="D1378" i="1"/>
  <c r="F1378" i="1"/>
  <c r="H1378" i="1"/>
  <c r="I1378" i="1"/>
  <c r="L1378" i="1"/>
  <c r="M1378" i="1"/>
  <c r="V1378" i="1"/>
  <c r="W1378" i="1"/>
  <c r="A2375" i="1"/>
  <c r="D2375" i="1"/>
  <c r="F2375" i="1"/>
  <c r="H2375" i="1"/>
  <c r="I2375" i="1"/>
  <c r="L2375" i="1"/>
  <c r="M2375" i="1"/>
  <c r="V2375" i="1"/>
  <c r="W2375" i="1"/>
  <c r="A5664" i="1"/>
  <c r="D5664" i="1"/>
  <c r="F5664" i="1"/>
  <c r="H5664" i="1"/>
  <c r="I5664" i="1"/>
  <c r="L5664" i="1"/>
  <c r="M5664" i="1"/>
  <c r="V5664" i="1"/>
  <c r="W5664" i="1"/>
  <c r="A2467" i="1"/>
  <c r="D2467" i="1"/>
  <c r="F2467" i="1"/>
  <c r="H2467" i="1"/>
  <c r="I2467" i="1"/>
  <c r="L2467" i="1"/>
  <c r="M2467" i="1"/>
  <c r="V2467" i="1"/>
  <c r="W2467" i="1"/>
  <c r="A3164" i="1"/>
  <c r="D3164" i="1"/>
  <c r="F3164" i="1"/>
  <c r="H3164" i="1"/>
  <c r="I3164" i="1"/>
  <c r="L3164" i="1"/>
  <c r="M3164" i="1"/>
  <c r="V3164" i="1"/>
  <c r="W3164" i="1"/>
  <c r="A3304" i="1"/>
  <c r="D3304" i="1"/>
  <c r="F3304" i="1"/>
  <c r="H3304" i="1"/>
  <c r="I3304" i="1"/>
  <c r="L3304" i="1"/>
  <c r="M3304" i="1"/>
  <c r="V3304" i="1"/>
  <c r="W3304" i="1"/>
  <c r="A2546" i="1"/>
  <c r="D2546" i="1"/>
  <c r="F2546" i="1"/>
  <c r="H2546" i="1"/>
  <c r="I2546" i="1"/>
  <c r="L2546" i="1"/>
  <c r="M2546" i="1"/>
  <c r="V2546" i="1"/>
  <c r="W2546" i="1"/>
  <c r="A2432" i="1"/>
  <c r="D2432" i="1"/>
  <c r="F2432" i="1"/>
  <c r="H2432" i="1"/>
  <c r="I2432" i="1"/>
  <c r="L2432" i="1"/>
  <c r="M2432" i="1"/>
  <c r="V2432" i="1"/>
  <c r="W2432" i="1"/>
  <c r="A1771" i="1"/>
  <c r="D1771" i="1"/>
  <c r="F1771" i="1"/>
  <c r="H1771" i="1"/>
  <c r="I1771" i="1"/>
  <c r="L1771" i="1"/>
  <c r="M1771" i="1"/>
  <c r="V1771" i="1"/>
  <c r="W1771" i="1"/>
  <c r="A6034" i="1"/>
  <c r="D6034" i="1"/>
  <c r="F6034" i="1"/>
  <c r="H6034" i="1"/>
  <c r="I6034" i="1"/>
  <c r="L6034" i="1"/>
  <c r="M6034" i="1"/>
  <c r="V6034" i="1"/>
  <c r="W6034" i="1"/>
  <c r="A6036" i="1"/>
  <c r="D6036" i="1"/>
  <c r="F6036" i="1"/>
  <c r="H6036" i="1"/>
  <c r="I6036" i="1"/>
  <c r="L6036" i="1"/>
  <c r="M6036" i="1"/>
  <c r="V6036" i="1"/>
  <c r="W6036" i="1"/>
  <c r="A59" i="1"/>
  <c r="D59" i="1"/>
  <c r="F59" i="1"/>
  <c r="H59" i="1"/>
  <c r="I59" i="1"/>
  <c r="L59" i="1"/>
  <c r="M59" i="1"/>
  <c r="V59" i="1"/>
  <c r="W59" i="1"/>
  <c r="A1552" i="1"/>
  <c r="D1552" i="1"/>
  <c r="F1552" i="1"/>
  <c r="H1552" i="1"/>
  <c r="I1552" i="1"/>
  <c r="L1552" i="1"/>
  <c r="M1552" i="1"/>
  <c r="V1552" i="1"/>
  <c r="W1552" i="1"/>
  <c r="A6123" i="1"/>
  <c r="D6123" i="1"/>
  <c r="F6123" i="1"/>
  <c r="H6123" i="1"/>
  <c r="I6123" i="1"/>
  <c r="L6123" i="1"/>
  <c r="M6123" i="1"/>
  <c r="V6123" i="1"/>
  <c r="W6123" i="1"/>
  <c r="A12" i="1"/>
  <c r="D12" i="1"/>
  <c r="F12" i="1"/>
  <c r="H12" i="1"/>
  <c r="I12" i="1"/>
  <c r="L12" i="1"/>
  <c r="M12" i="1"/>
  <c r="V12" i="1"/>
  <c r="W12" i="1"/>
  <c r="A3044" i="1"/>
  <c r="D3044" i="1"/>
  <c r="F3044" i="1"/>
  <c r="H3044" i="1"/>
  <c r="I3044" i="1"/>
  <c r="L3044" i="1"/>
  <c r="M3044" i="1"/>
  <c r="V3044" i="1"/>
  <c r="W3044" i="1"/>
  <c r="A2042" i="1"/>
  <c r="D2042" i="1"/>
  <c r="F2042" i="1"/>
  <c r="H2042" i="1"/>
  <c r="I2042" i="1"/>
  <c r="L2042" i="1"/>
  <c r="M2042" i="1"/>
  <c r="V2042" i="1"/>
  <c r="W2042" i="1"/>
  <c r="A3638" i="1"/>
  <c r="D3638" i="1"/>
  <c r="F3638" i="1"/>
  <c r="H3638" i="1"/>
  <c r="I3638" i="1"/>
  <c r="L3638" i="1"/>
  <c r="M3638" i="1"/>
  <c r="V3638" i="1"/>
  <c r="W3638" i="1"/>
  <c r="A3754" i="1"/>
  <c r="D3754" i="1"/>
  <c r="F3754" i="1"/>
  <c r="H3754" i="1"/>
  <c r="I3754" i="1"/>
  <c r="L3754" i="1"/>
  <c r="M3754" i="1"/>
  <c r="V3754" i="1"/>
  <c r="W3754" i="1"/>
  <c r="A828" i="1"/>
  <c r="D828" i="1"/>
  <c r="F828" i="1"/>
  <c r="H828" i="1"/>
  <c r="I828" i="1"/>
  <c r="L828" i="1"/>
  <c r="M828" i="1"/>
  <c r="V828" i="1"/>
  <c r="W828" i="1"/>
  <c r="A1373" i="1"/>
  <c r="D1373" i="1"/>
  <c r="F1373" i="1"/>
  <c r="H1373" i="1"/>
  <c r="I1373" i="1"/>
  <c r="L1373" i="1"/>
  <c r="M1373" i="1"/>
  <c r="V1373" i="1"/>
  <c r="W1373" i="1"/>
  <c r="A6041" i="1"/>
  <c r="D6041" i="1"/>
  <c r="F6041" i="1"/>
  <c r="H6041" i="1"/>
  <c r="I6041" i="1"/>
  <c r="L6041" i="1"/>
  <c r="M6041" i="1"/>
  <c r="V6041" i="1"/>
  <c r="W6041" i="1"/>
  <c r="A566" i="1"/>
  <c r="D566" i="1"/>
  <c r="F566" i="1"/>
  <c r="H566" i="1"/>
  <c r="I566" i="1"/>
  <c r="L566" i="1"/>
  <c r="M566" i="1"/>
  <c r="V566" i="1"/>
  <c r="W566" i="1"/>
  <c r="A701" i="1"/>
  <c r="D701" i="1"/>
  <c r="F701" i="1"/>
  <c r="H701" i="1"/>
  <c r="I701" i="1"/>
  <c r="L701" i="1"/>
  <c r="M701" i="1"/>
  <c r="V701" i="1"/>
  <c r="W701" i="1"/>
  <c r="A786" i="1"/>
  <c r="D786" i="1"/>
  <c r="F786" i="1"/>
  <c r="H786" i="1"/>
  <c r="I786" i="1"/>
  <c r="L786" i="1"/>
  <c r="M786" i="1"/>
  <c r="V786" i="1"/>
  <c r="W786" i="1"/>
  <c r="A1034" i="1"/>
  <c r="D1034" i="1"/>
  <c r="F1034" i="1"/>
  <c r="H1034" i="1"/>
  <c r="I1034" i="1"/>
  <c r="L1034" i="1"/>
  <c r="M1034" i="1"/>
  <c r="V1034" i="1"/>
  <c r="W1034" i="1"/>
  <c r="A1070" i="1"/>
  <c r="D1070" i="1"/>
  <c r="F1070" i="1"/>
  <c r="H1070" i="1"/>
  <c r="I1070" i="1"/>
  <c r="L1070" i="1"/>
  <c r="M1070" i="1"/>
  <c r="V1070" i="1"/>
  <c r="W1070" i="1"/>
  <c r="A1345" i="1"/>
  <c r="D1345" i="1"/>
  <c r="F1345" i="1"/>
  <c r="H1345" i="1"/>
  <c r="I1345" i="1"/>
  <c r="L1345" i="1"/>
  <c r="M1345" i="1"/>
  <c r="V1345" i="1"/>
  <c r="W1345" i="1"/>
  <c r="A1576" i="1"/>
  <c r="D1576" i="1"/>
  <c r="F1576" i="1"/>
  <c r="H1576" i="1"/>
  <c r="I1576" i="1"/>
  <c r="L1576" i="1"/>
  <c r="M1576" i="1"/>
  <c r="V1576" i="1"/>
  <c r="W1576" i="1"/>
  <c r="A1590" i="1"/>
  <c r="D1590" i="1"/>
  <c r="F1590" i="1"/>
  <c r="H1590" i="1"/>
  <c r="I1590" i="1"/>
  <c r="L1590" i="1"/>
  <c r="M1590" i="1"/>
  <c r="V1590" i="1"/>
  <c r="W1590" i="1"/>
  <c r="A1831" i="1"/>
  <c r="D1831" i="1"/>
  <c r="F1831" i="1"/>
  <c r="H1831" i="1"/>
  <c r="I1831" i="1"/>
  <c r="L1831" i="1"/>
  <c r="M1831" i="1"/>
  <c r="V1831" i="1"/>
  <c r="W1831" i="1"/>
  <c r="A1916" i="1"/>
  <c r="D1916" i="1"/>
  <c r="F1916" i="1"/>
  <c r="H1916" i="1"/>
  <c r="I1916" i="1"/>
  <c r="L1916" i="1"/>
  <c r="M1916" i="1"/>
  <c r="V1916" i="1"/>
  <c r="W1916" i="1"/>
  <c r="A2256" i="1"/>
  <c r="D2256" i="1"/>
  <c r="F2256" i="1"/>
  <c r="H2256" i="1"/>
  <c r="I2256" i="1"/>
  <c r="L2256" i="1"/>
  <c r="M2256" i="1"/>
  <c r="V2256" i="1"/>
  <c r="W2256" i="1"/>
  <c r="A2284" i="1"/>
  <c r="D2284" i="1"/>
  <c r="F2284" i="1"/>
  <c r="H2284" i="1"/>
  <c r="I2284" i="1"/>
  <c r="L2284" i="1"/>
  <c r="M2284" i="1"/>
  <c r="V2284" i="1"/>
  <c r="W2284" i="1"/>
  <c r="A2670" i="1"/>
  <c r="D2670" i="1"/>
  <c r="F2670" i="1"/>
  <c r="H2670" i="1"/>
  <c r="I2670" i="1"/>
  <c r="L2670" i="1"/>
  <c r="M2670" i="1"/>
  <c r="V2670" i="1"/>
  <c r="W2670" i="1"/>
  <c r="A2680" i="1"/>
  <c r="D2680" i="1"/>
  <c r="F2680" i="1"/>
  <c r="H2680" i="1"/>
  <c r="I2680" i="1"/>
  <c r="L2680" i="1"/>
  <c r="M2680" i="1"/>
  <c r="V2680" i="1"/>
  <c r="W2680" i="1"/>
  <c r="A2813" i="1"/>
  <c r="D2813" i="1"/>
  <c r="F2813" i="1"/>
  <c r="H2813" i="1"/>
  <c r="I2813" i="1"/>
  <c r="L2813" i="1"/>
  <c r="M2813" i="1"/>
  <c r="V2813" i="1"/>
  <c r="W2813" i="1"/>
  <c r="A2827" i="1"/>
  <c r="D2827" i="1"/>
  <c r="F2827" i="1"/>
  <c r="H2827" i="1"/>
  <c r="I2827" i="1"/>
  <c r="L2827" i="1"/>
  <c r="M2827" i="1"/>
  <c r="V2827" i="1"/>
  <c r="W2827" i="1"/>
  <c r="A3005" i="1"/>
  <c r="D3005" i="1"/>
  <c r="F3005" i="1"/>
  <c r="H3005" i="1"/>
  <c r="I3005" i="1"/>
  <c r="L3005" i="1"/>
  <c r="M3005" i="1"/>
  <c r="V3005" i="1"/>
  <c r="W3005" i="1"/>
  <c r="A3218" i="1"/>
  <c r="D3218" i="1"/>
  <c r="F3218" i="1"/>
  <c r="H3218" i="1"/>
  <c r="I3218" i="1"/>
  <c r="L3218" i="1"/>
  <c r="M3218" i="1"/>
  <c r="V3218" i="1"/>
  <c r="W3218" i="1"/>
  <c r="A3346" i="1"/>
  <c r="D3346" i="1"/>
  <c r="F3346" i="1"/>
  <c r="H3346" i="1"/>
  <c r="I3346" i="1"/>
  <c r="L3346" i="1"/>
  <c r="M3346" i="1"/>
  <c r="V3346" i="1"/>
  <c r="W3346" i="1"/>
  <c r="A3513" i="1"/>
  <c r="D3513" i="1"/>
  <c r="F3513" i="1"/>
  <c r="H3513" i="1"/>
  <c r="I3513" i="1"/>
  <c r="L3513" i="1"/>
  <c r="M3513" i="1"/>
  <c r="V3513" i="1"/>
  <c r="W3513" i="1"/>
  <c r="A3644" i="1"/>
  <c r="D3644" i="1"/>
  <c r="F3644" i="1"/>
  <c r="H3644" i="1"/>
  <c r="I3644" i="1"/>
  <c r="L3644" i="1"/>
  <c r="M3644" i="1"/>
  <c r="V3644" i="1"/>
  <c r="W3644" i="1"/>
  <c r="A4664" i="1"/>
  <c r="D4664" i="1"/>
  <c r="F4664" i="1"/>
  <c r="H4664" i="1"/>
  <c r="I4664" i="1"/>
  <c r="L4664" i="1"/>
  <c r="M4664" i="1"/>
  <c r="V4664" i="1"/>
  <c r="W4664" i="1"/>
  <c r="A4779" i="1"/>
  <c r="D4779" i="1"/>
  <c r="F4779" i="1"/>
  <c r="H4779" i="1"/>
  <c r="I4779" i="1"/>
  <c r="L4779" i="1"/>
  <c r="M4779" i="1"/>
  <c r="V4779" i="1"/>
  <c r="W4779" i="1"/>
  <c r="A4914" i="1"/>
  <c r="D4914" i="1"/>
  <c r="F4914" i="1"/>
  <c r="H4914" i="1"/>
  <c r="I4914" i="1"/>
  <c r="L4914" i="1"/>
  <c r="M4914" i="1"/>
  <c r="V4914" i="1"/>
  <c r="W4914" i="1"/>
  <c r="A5086" i="1"/>
  <c r="D5086" i="1"/>
  <c r="F5086" i="1"/>
  <c r="H5086" i="1"/>
  <c r="I5086" i="1"/>
  <c r="L5086" i="1"/>
  <c r="M5086" i="1"/>
  <c r="V5086" i="1"/>
  <c r="W5086" i="1"/>
  <c r="A5442" i="1"/>
  <c r="D5442" i="1"/>
  <c r="F5442" i="1"/>
  <c r="H5442" i="1"/>
  <c r="I5442" i="1"/>
  <c r="L5442" i="1"/>
  <c r="M5442" i="1"/>
  <c r="V5442" i="1"/>
  <c r="W5442" i="1"/>
  <c r="A5480" i="1"/>
  <c r="D5480" i="1"/>
  <c r="F5480" i="1"/>
  <c r="H5480" i="1"/>
  <c r="I5480" i="1"/>
  <c r="L5480" i="1"/>
  <c r="M5480" i="1"/>
  <c r="V5480" i="1"/>
  <c r="W5480" i="1"/>
  <c r="A5647" i="1"/>
  <c r="D5647" i="1"/>
  <c r="F5647" i="1"/>
  <c r="H5647" i="1"/>
  <c r="I5647" i="1"/>
  <c r="L5647" i="1"/>
  <c r="M5647" i="1"/>
  <c r="V5647" i="1"/>
  <c r="W5647" i="1"/>
  <c r="A5692" i="1"/>
  <c r="D5692" i="1"/>
  <c r="F5692" i="1"/>
  <c r="H5692" i="1"/>
  <c r="I5692" i="1"/>
  <c r="L5692" i="1"/>
  <c r="M5692" i="1"/>
  <c r="V5692" i="1"/>
  <c r="W5692" i="1"/>
  <c r="A5760" i="1"/>
  <c r="D5760" i="1"/>
  <c r="F5760" i="1"/>
  <c r="H5760" i="1"/>
  <c r="I5760" i="1"/>
  <c r="L5760" i="1"/>
  <c r="M5760" i="1"/>
  <c r="V5760" i="1"/>
  <c r="W5760" i="1"/>
  <c r="A5805" i="1"/>
  <c r="D5805" i="1"/>
  <c r="F5805" i="1"/>
  <c r="H5805" i="1"/>
  <c r="I5805" i="1"/>
  <c r="L5805" i="1"/>
  <c r="M5805" i="1"/>
  <c r="V5805" i="1"/>
  <c r="W5805" i="1"/>
  <c r="A5973" i="1"/>
  <c r="D5973" i="1"/>
  <c r="F5973" i="1"/>
  <c r="H5973" i="1"/>
  <c r="I5973" i="1"/>
  <c r="L5973" i="1"/>
  <c r="M5973" i="1"/>
  <c r="V5973" i="1"/>
  <c r="W5973" i="1"/>
  <c r="A5881" i="1"/>
  <c r="D5881" i="1"/>
  <c r="F5881" i="1"/>
  <c r="H5881" i="1"/>
  <c r="I5881" i="1"/>
  <c r="L5881" i="1"/>
  <c r="M5881" i="1"/>
  <c r="V5881" i="1"/>
  <c r="W5881" i="1"/>
  <c r="A6064" i="1"/>
  <c r="D6064" i="1"/>
  <c r="F6064" i="1"/>
  <c r="H6064" i="1"/>
  <c r="I6064" i="1"/>
  <c r="L6064" i="1"/>
  <c r="M6064" i="1"/>
  <c r="V6064" i="1"/>
  <c r="W6064" i="1"/>
  <c r="A6178" i="1"/>
  <c r="D6178" i="1"/>
  <c r="F6178" i="1"/>
  <c r="H6178" i="1"/>
  <c r="I6178" i="1"/>
  <c r="L6178" i="1"/>
  <c r="M6178" i="1"/>
  <c r="V6178" i="1"/>
  <c r="W6178" i="1"/>
  <c r="A4657" i="1"/>
  <c r="D4657" i="1"/>
  <c r="F4657" i="1"/>
  <c r="H4657" i="1"/>
  <c r="I4657" i="1"/>
  <c r="L4657" i="1"/>
  <c r="M4657" i="1"/>
  <c r="V4657" i="1"/>
  <c r="W4657" i="1"/>
  <c r="A5111" i="1"/>
  <c r="D5111" i="1"/>
  <c r="F5111" i="1"/>
  <c r="H5111" i="1"/>
  <c r="I5111" i="1"/>
  <c r="L5111" i="1"/>
  <c r="M5111" i="1"/>
  <c r="V5111" i="1"/>
  <c r="W5111" i="1"/>
  <c r="A5166" i="1"/>
  <c r="D5166" i="1"/>
  <c r="F5166" i="1"/>
  <c r="H5166" i="1"/>
  <c r="I5166" i="1"/>
  <c r="L5166" i="1"/>
  <c r="M5166" i="1"/>
  <c r="V5166" i="1"/>
  <c r="W5166" i="1"/>
  <c r="A5170" i="1"/>
  <c r="D5170" i="1"/>
  <c r="F5170" i="1"/>
  <c r="H5170" i="1"/>
  <c r="I5170" i="1"/>
  <c r="L5170" i="1"/>
  <c r="M5170" i="1"/>
  <c r="V5170" i="1"/>
  <c r="W5170" i="1"/>
  <c r="A3559" i="1"/>
  <c r="D3559" i="1"/>
  <c r="F3559" i="1"/>
  <c r="H3559" i="1"/>
  <c r="I3559" i="1"/>
  <c r="L3559" i="1"/>
  <c r="M3559" i="1"/>
  <c r="V3559" i="1"/>
  <c r="W3559" i="1"/>
  <c r="A7" i="1"/>
  <c r="D7" i="1"/>
  <c r="F7" i="1"/>
  <c r="H7" i="1"/>
  <c r="I7" i="1"/>
  <c r="L7" i="1"/>
  <c r="M7" i="1"/>
  <c r="V7" i="1"/>
  <c r="W7" i="1"/>
  <c r="A299" i="1"/>
  <c r="D299" i="1"/>
  <c r="F299" i="1"/>
  <c r="H299" i="1"/>
  <c r="I299" i="1"/>
  <c r="L299" i="1"/>
  <c r="M299" i="1"/>
  <c r="V299" i="1"/>
  <c r="W299" i="1"/>
  <c r="A921" i="1"/>
  <c r="D921" i="1"/>
  <c r="F921" i="1"/>
  <c r="H921" i="1"/>
  <c r="I921" i="1"/>
  <c r="L921" i="1"/>
  <c r="M921" i="1"/>
  <c r="V921" i="1"/>
  <c r="W921" i="1"/>
  <c r="A1139" i="1"/>
  <c r="D1139" i="1"/>
  <c r="F1139" i="1"/>
  <c r="H1139" i="1"/>
  <c r="I1139" i="1"/>
  <c r="L1139" i="1"/>
  <c r="M1139" i="1"/>
  <c r="V1139" i="1"/>
  <c r="W1139" i="1"/>
  <c r="A2740" i="1"/>
  <c r="D2740" i="1"/>
  <c r="F2740" i="1"/>
  <c r="H2740" i="1"/>
  <c r="I2740" i="1"/>
  <c r="L2740" i="1"/>
  <c r="M2740" i="1"/>
  <c r="V2740" i="1"/>
  <c r="W2740" i="1"/>
  <c r="A2977" i="1"/>
  <c r="D2977" i="1"/>
  <c r="F2977" i="1"/>
  <c r="H2977" i="1"/>
  <c r="I2977" i="1"/>
  <c r="L2977" i="1"/>
  <c r="M2977" i="1"/>
  <c r="V2977" i="1"/>
  <c r="W2977" i="1"/>
  <c r="A3268" i="1"/>
  <c r="D3268" i="1"/>
  <c r="F3268" i="1"/>
  <c r="H3268" i="1"/>
  <c r="I3268" i="1"/>
  <c r="L3268" i="1"/>
  <c r="M3268" i="1"/>
  <c r="V3268" i="1"/>
  <c r="W3268" i="1"/>
  <c r="A3527" i="1"/>
  <c r="D3527" i="1"/>
  <c r="F3527" i="1"/>
  <c r="H3527" i="1"/>
  <c r="I3527" i="1"/>
  <c r="L3527" i="1"/>
  <c r="M3527" i="1"/>
  <c r="V3527" i="1"/>
  <c r="W3527" i="1"/>
  <c r="A3835" i="1"/>
  <c r="D3835" i="1"/>
  <c r="F3835" i="1"/>
  <c r="H3835" i="1"/>
  <c r="I3835" i="1"/>
  <c r="L3835" i="1"/>
  <c r="M3835" i="1"/>
  <c r="V3835" i="1"/>
  <c r="W3835" i="1"/>
  <c r="A5523" i="1"/>
  <c r="D5523" i="1"/>
  <c r="F5523" i="1"/>
  <c r="H5523" i="1"/>
  <c r="I5523" i="1"/>
  <c r="L5523" i="1"/>
  <c r="M5523" i="1"/>
  <c r="V5523" i="1"/>
  <c r="W5523" i="1"/>
  <c r="A5584" i="1"/>
  <c r="D5584" i="1"/>
  <c r="F5584" i="1"/>
  <c r="H5584" i="1"/>
  <c r="I5584" i="1"/>
  <c r="L5584" i="1"/>
  <c r="M5584" i="1"/>
  <c r="V5584" i="1"/>
  <c r="W5584" i="1"/>
  <c r="A5730" i="1"/>
  <c r="D5730" i="1"/>
  <c r="F5730" i="1"/>
  <c r="H5730" i="1"/>
  <c r="I5730" i="1"/>
  <c r="L5730" i="1"/>
  <c r="M5730" i="1"/>
  <c r="V5730" i="1"/>
  <c r="W5730" i="1"/>
  <c r="A5856" i="1"/>
  <c r="D5856" i="1"/>
  <c r="F5856" i="1"/>
  <c r="H5856" i="1"/>
  <c r="I5856" i="1"/>
  <c r="L5856" i="1"/>
  <c r="M5856" i="1"/>
  <c r="V5856" i="1"/>
  <c r="W5856" i="1"/>
  <c r="A6007" i="1"/>
  <c r="D6007" i="1"/>
  <c r="F6007" i="1"/>
  <c r="H6007" i="1"/>
  <c r="I6007" i="1"/>
  <c r="L6007" i="1"/>
  <c r="M6007" i="1"/>
  <c r="V6007" i="1"/>
  <c r="W6007" i="1"/>
  <c r="A3935" i="1"/>
  <c r="D3935" i="1"/>
  <c r="F3935" i="1"/>
  <c r="H3935" i="1"/>
  <c r="I3935" i="1"/>
  <c r="L3935" i="1"/>
  <c r="M3935" i="1"/>
  <c r="V3935" i="1"/>
  <c r="W3935" i="1"/>
  <c r="A4091" i="1"/>
  <c r="D4091" i="1"/>
  <c r="F4091" i="1"/>
  <c r="H4091" i="1"/>
  <c r="I4091" i="1"/>
  <c r="L4091" i="1"/>
  <c r="M4091" i="1"/>
  <c r="V4091" i="1"/>
  <c r="W4091" i="1"/>
  <c r="A5968" i="1"/>
  <c r="D5968" i="1"/>
  <c r="F5968" i="1"/>
  <c r="H5968" i="1"/>
  <c r="I5968" i="1"/>
  <c r="L5968" i="1"/>
  <c r="M5968" i="1"/>
  <c r="V5968" i="1"/>
  <c r="W5968" i="1"/>
  <c r="A1842" i="1"/>
  <c r="D1842" i="1"/>
  <c r="F1842" i="1"/>
  <c r="H1842" i="1"/>
  <c r="I1842" i="1"/>
  <c r="L1842" i="1"/>
  <c r="M1842" i="1"/>
  <c r="V1842" i="1"/>
  <c r="W1842" i="1"/>
  <c r="A3793" i="1"/>
  <c r="D3793" i="1"/>
  <c r="F3793" i="1"/>
  <c r="H3793" i="1"/>
  <c r="I3793" i="1"/>
  <c r="L3793" i="1"/>
  <c r="M3793" i="1"/>
  <c r="V3793" i="1"/>
  <c r="W3793" i="1"/>
  <c r="A4315" i="1"/>
  <c r="D4315" i="1"/>
  <c r="F4315" i="1"/>
  <c r="H4315" i="1"/>
  <c r="I4315" i="1"/>
  <c r="L4315" i="1"/>
  <c r="M4315" i="1"/>
  <c r="V4315" i="1"/>
  <c r="W4315" i="1"/>
  <c r="A2002" i="1"/>
  <c r="D2002" i="1"/>
  <c r="F2002" i="1"/>
  <c r="H2002" i="1"/>
  <c r="I2002" i="1"/>
  <c r="L2002" i="1"/>
  <c r="M2002" i="1"/>
  <c r="V2002" i="1"/>
  <c r="W2002" i="1"/>
  <c r="A3945" i="1"/>
  <c r="D3945" i="1"/>
  <c r="F3945" i="1"/>
  <c r="H3945" i="1"/>
  <c r="I3945" i="1"/>
  <c r="L3945" i="1"/>
  <c r="M3945" i="1"/>
  <c r="V3945" i="1"/>
  <c r="W3945" i="1"/>
  <c r="A3562" i="1"/>
  <c r="D3562" i="1"/>
  <c r="F3562" i="1"/>
  <c r="H3562" i="1"/>
  <c r="I3562" i="1"/>
  <c r="L3562" i="1"/>
  <c r="M3562" i="1"/>
  <c r="V3562" i="1"/>
  <c r="W3562" i="1"/>
  <c r="A4489" i="1"/>
  <c r="D4489" i="1"/>
  <c r="F4489" i="1"/>
  <c r="H4489" i="1"/>
  <c r="I4489" i="1"/>
  <c r="L4489" i="1"/>
  <c r="M4489" i="1"/>
  <c r="V4489" i="1"/>
  <c r="W4489" i="1"/>
  <c r="A1762" i="1"/>
  <c r="D1762" i="1"/>
  <c r="F1762" i="1"/>
  <c r="H1762" i="1"/>
  <c r="I1762" i="1"/>
  <c r="L1762" i="1"/>
  <c r="M1762" i="1"/>
  <c r="V1762" i="1"/>
  <c r="W1762" i="1"/>
  <c r="A2528" i="1"/>
  <c r="D2528" i="1"/>
  <c r="F2528" i="1"/>
  <c r="H2528" i="1"/>
  <c r="I2528" i="1"/>
  <c r="L2528" i="1"/>
  <c r="M2528" i="1"/>
  <c r="V2528" i="1"/>
  <c r="W2528" i="1"/>
  <c r="A617" i="1"/>
  <c r="D617" i="1"/>
  <c r="F617" i="1"/>
  <c r="H617" i="1"/>
  <c r="I617" i="1"/>
  <c r="L617" i="1"/>
  <c r="M617" i="1"/>
  <c r="V617" i="1"/>
  <c r="W617" i="1"/>
  <c r="A504" i="1"/>
  <c r="D504" i="1"/>
  <c r="F504" i="1"/>
  <c r="H504" i="1"/>
  <c r="I504" i="1"/>
  <c r="L504" i="1"/>
  <c r="M504" i="1"/>
  <c r="V504" i="1"/>
  <c r="W504" i="1"/>
  <c r="A4079" i="1"/>
  <c r="D4079" i="1"/>
  <c r="F4079" i="1"/>
  <c r="H4079" i="1"/>
  <c r="I4079" i="1"/>
  <c r="L4079" i="1"/>
  <c r="M4079" i="1"/>
  <c r="V4079" i="1"/>
  <c r="W4079" i="1"/>
  <c r="A5090" i="1"/>
  <c r="D5090" i="1"/>
  <c r="F5090" i="1"/>
  <c r="H5090" i="1"/>
  <c r="I5090" i="1"/>
  <c r="L5090" i="1"/>
  <c r="M5090" i="1"/>
  <c r="V5090" i="1"/>
  <c r="W5090" i="1"/>
  <c r="A6181" i="1"/>
  <c r="D6181" i="1"/>
  <c r="F6181" i="1"/>
  <c r="H6181" i="1"/>
  <c r="I6181" i="1"/>
  <c r="L6181" i="1"/>
  <c r="M6181" i="1"/>
  <c r="V6181" i="1"/>
  <c r="W6181" i="1"/>
  <c r="A4533" i="1"/>
  <c r="D4533" i="1"/>
  <c r="F4533" i="1"/>
  <c r="H4533" i="1"/>
  <c r="I4533" i="1"/>
  <c r="L4533" i="1"/>
  <c r="M4533" i="1"/>
  <c r="V4533" i="1"/>
  <c r="W4533" i="1"/>
  <c r="A4862" i="1"/>
  <c r="D4862" i="1"/>
  <c r="F4862" i="1"/>
  <c r="H4862" i="1"/>
  <c r="I4862" i="1"/>
  <c r="L4862" i="1"/>
  <c r="M4862" i="1"/>
  <c r="V4862" i="1"/>
  <c r="W4862" i="1"/>
  <c r="A5887" i="1"/>
  <c r="D5887" i="1"/>
  <c r="F5887" i="1"/>
  <c r="H5887" i="1"/>
  <c r="I5887" i="1"/>
  <c r="L5887" i="1"/>
  <c r="M5887" i="1"/>
  <c r="V5887" i="1"/>
  <c r="W5887" i="1"/>
  <c r="A4000" i="1"/>
  <c r="D4000" i="1"/>
  <c r="F4000" i="1"/>
  <c r="H4000" i="1"/>
  <c r="I4000" i="1"/>
  <c r="L4000" i="1"/>
  <c r="M4000" i="1"/>
  <c r="V4000" i="1"/>
  <c r="W4000" i="1"/>
  <c r="A4055" i="1"/>
  <c r="D4055" i="1"/>
  <c r="F4055" i="1"/>
  <c r="H4055" i="1"/>
  <c r="I4055" i="1"/>
  <c r="L4055" i="1"/>
  <c r="M4055" i="1"/>
  <c r="V4055" i="1"/>
  <c r="W4055" i="1"/>
  <c r="A829" i="1"/>
  <c r="D829" i="1"/>
  <c r="F829" i="1"/>
  <c r="H829" i="1"/>
  <c r="I829" i="1"/>
  <c r="L829" i="1"/>
  <c r="M829" i="1"/>
  <c r="V829" i="1"/>
  <c r="W829" i="1"/>
  <c r="A5537" i="1"/>
  <c r="D5537" i="1"/>
  <c r="F5537" i="1"/>
  <c r="H5537" i="1"/>
  <c r="I5537" i="1"/>
  <c r="L5537" i="1"/>
  <c r="M5537" i="1"/>
  <c r="V5537" i="1"/>
  <c r="W5537" i="1"/>
  <c r="A5757" i="1"/>
  <c r="D5757" i="1"/>
  <c r="F5757" i="1"/>
  <c r="H5757" i="1"/>
  <c r="I5757" i="1"/>
  <c r="L5757" i="1"/>
  <c r="M5757" i="1"/>
  <c r="V5757" i="1"/>
  <c r="W5757" i="1"/>
  <c r="A4428" i="1"/>
  <c r="D4428" i="1"/>
  <c r="F4428" i="1"/>
  <c r="H4428" i="1"/>
  <c r="I4428" i="1"/>
  <c r="L4428" i="1"/>
  <c r="M4428" i="1"/>
  <c r="V4428" i="1"/>
  <c r="W4428" i="1"/>
  <c r="A1079" i="1"/>
  <c r="D1079" i="1"/>
  <c r="F1079" i="1"/>
  <c r="H1079" i="1"/>
  <c r="I1079" i="1"/>
  <c r="L1079" i="1"/>
  <c r="M1079" i="1"/>
  <c r="V1079" i="1"/>
  <c r="W1079" i="1"/>
  <c r="A1572" i="1"/>
  <c r="D1572" i="1"/>
  <c r="F1572" i="1"/>
  <c r="H1572" i="1"/>
  <c r="I1572" i="1"/>
  <c r="L1572" i="1"/>
  <c r="M1572" i="1"/>
  <c r="V1572" i="1"/>
  <c r="W1572" i="1"/>
  <c r="A314" i="1"/>
  <c r="D314" i="1"/>
  <c r="F314" i="1"/>
  <c r="H314" i="1"/>
  <c r="I314" i="1"/>
  <c r="L314" i="1"/>
  <c r="M314" i="1"/>
  <c r="V314" i="1"/>
  <c r="W314" i="1"/>
  <c r="A319" i="1"/>
  <c r="D319" i="1"/>
  <c r="F319" i="1"/>
  <c r="H319" i="1"/>
  <c r="I319" i="1"/>
  <c r="L319" i="1"/>
  <c r="M319" i="1"/>
  <c r="V319" i="1"/>
  <c r="W319" i="1"/>
  <c r="A956" i="1"/>
  <c r="D956" i="1"/>
  <c r="F956" i="1"/>
  <c r="H956" i="1"/>
  <c r="I956" i="1"/>
  <c r="L956" i="1"/>
  <c r="M956" i="1"/>
  <c r="V956" i="1"/>
  <c r="W956" i="1"/>
  <c r="A970" i="1"/>
  <c r="D970" i="1"/>
  <c r="F970" i="1"/>
  <c r="H970" i="1"/>
  <c r="I970" i="1"/>
  <c r="L970" i="1"/>
  <c r="M970" i="1"/>
  <c r="V970" i="1"/>
  <c r="W970" i="1"/>
  <c r="A1319" i="1"/>
  <c r="D1319" i="1"/>
  <c r="F1319" i="1"/>
  <c r="H1319" i="1"/>
  <c r="I1319" i="1"/>
  <c r="L1319" i="1"/>
  <c r="M1319" i="1"/>
  <c r="V1319" i="1"/>
  <c r="W1319" i="1"/>
  <c r="A1411" i="1"/>
  <c r="D1411" i="1"/>
  <c r="F1411" i="1"/>
  <c r="H1411" i="1"/>
  <c r="I1411" i="1"/>
  <c r="L1411" i="1"/>
  <c r="M1411" i="1"/>
  <c r="V1411" i="1"/>
  <c r="W1411" i="1"/>
  <c r="A1657" i="1"/>
  <c r="D1657" i="1"/>
  <c r="F1657" i="1"/>
  <c r="H1657" i="1"/>
  <c r="I1657" i="1"/>
  <c r="L1657" i="1"/>
  <c r="M1657" i="1"/>
  <c r="V1657" i="1"/>
  <c r="W1657" i="1"/>
  <c r="A1764" i="1"/>
  <c r="D1764" i="1"/>
  <c r="F1764" i="1"/>
  <c r="H1764" i="1"/>
  <c r="I1764" i="1"/>
  <c r="L1764" i="1"/>
  <c r="M1764" i="1"/>
  <c r="V1764" i="1"/>
  <c r="W1764" i="1"/>
  <c r="A2106" i="1"/>
  <c r="D2106" i="1"/>
  <c r="F2106" i="1"/>
  <c r="H2106" i="1"/>
  <c r="I2106" i="1"/>
  <c r="L2106" i="1"/>
  <c r="M2106" i="1"/>
  <c r="V2106" i="1"/>
  <c r="W2106" i="1"/>
  <c r="A2223" i="1"/>
  <c r="D2223" i="1"/>
  <c r="F2223" i="1"/>
  <c r="H2223" i="1"/>
  <c r="I2223" i="1"/>
  <c r="L2223" i="1"/>
  <c r="M2223" i="1"/>
  <c r="V2223" i="1"/>
  <c r="W2223" i="1"/>
  <c r="A2392" i="1"/>
  <c r="D2392" i="1"/>
  <c r="F2392" i="1"/>
  <c r="H2392" i="1"/>
  <c r="I2392" i="1"/>
  <c r="L2392" i="1"/>
  <c r="M2392" i="1"/>
  <c r="V2392" i="1"/>
  <c r="W2392" i="1"/>
  <c r="A2547" i="1"/>
  <c r="D2547" i="1"/>
  <c r="F2547" i="1"/>
  <c r="H2547" i="1"/>
  <c r="I2547" i="1"/>
  <c r="L2547" i="1"/>
  <c r="M2547" i="1"/>
  <c r="V2547" i="1"/>
  <c r="W2547" i="1"/>
  <c r="A2692" i="1"/>
  <c r="D2692" i="1"/>
  <c r="F2692" i="1"/>
  <c r="H2692" i="1"/>
  <c r="I2692" i="1"/>
  <c r="L2692" i="1"/>
  <c r="M2692" i="1"/>
  <c r="V2692" i="1"/>
  <c r="W2692" i="1"/>
  <c r="A2755" i="1"/>
  <c r="D2755" i="1"/>
  <c r="F2755" i="1"/>
  <c r="H2755" i="1"/>
  <c r="I2755" i="1"/>
  <c r="L2755" i="1"/>
  <c r="M2755" i="1"/>
  <c r="V2755" i="1"/>
  <c r="W2755" i="1"/>
  <c r="A3058" i="1"/>
  <c r="D3058" i="1"/>
  <c r="F3058" i="1"/>
  <c r="H3058" i="1"/>
  <c r="I3058" i="1"/>
  <c r="L3058" i="1"/>
  <c r="M3058" i="1"/>
  <c r="V3058" i="1"/>
  <c r="W3058" i="1"/>
  <c r="A3299" i="1"/>
  <c r="D3299" i="1"/>
  <c r="F3299" i="1"/>
  <c r="H3299" i="1"/>
  <c r="I3299" i="1"/>
  <c r="L3299" i="1"/>
  <c r="M3299" i="1"/>
  <c r="V3299" i="1"/>
  <c r="W3299" i="1"/>
  <c r="A4004" i="1"/>
  <c r="D4004" i="1"/>
  <c r="F4004" i="1"/>
  <c r="H4004" i="1"/>
  <c r="I4004" i="1"/>
  <c r="L4004" i="1"/>
  <c r="M4004" i="1"/>
  <c r="V4004" i="1"/>
  <c r="W4004" i="1"/>
  <c r="A4159" i="1"/>
  <c r="D4159" i="1"/>
  <c r="F4159" i="1"/>
  <c r="H4159" i="1"/>
  <c r="I4159" i="1"/>
  <c r="L4159" i="1"/>
  <c r="M4159" i="1"/>
  <c r="V4159" i="1"/>
  <c r="W4159" i="1"/>
  <c r="A4242" i="1"/>
  <c r="D4242" i="1"/>
  <c r="F4242" i="1"/>
  <c r="H4242" i="1"/>
  <c r="I4242" i="1"/>
  <c r="L4242" i="1"/>
  <c r="M4242" i="1"/>
  <c r="V4242" i="1"/>
  <c r="W4242" i="1"/>
  <c r="A4274" i="1"/>
  <c r="D4274" i="1"/>
  <c r="F4274" i="1"/>
  <c r="H4274" i="1"/>
  <c r="I4274" i="1"/>
  <c r="L4274" i="1"/>
  <c r="M4274" i="1"/>
  <c r="V4274" i="1"/>
  <c r="W4274" i="1"/>
  <c r="A4704" i="1"/>
  <c r="D4704" i="1"/>
  <c r="F4704" i="1"/>
  <c r="H4704" i="1"/>
  <c r="I4704" i="1"/>
  <c r="L4704" i="1"/>
  <c r="M4704" i="1"/>
  <c r="V4704" i="1"/>
  <c r="W4704" i="1"/>
  <c r="A4774" i="1"/>
  <c r="D4774" i="1"/>
  <c r="F4774" i="1"/>
  <c r="H4774" i="1"/>
  <c r="I4774" i="1"/>
  <c r="L4774" i="1"/>
  <c r="M4774" i="1"/>
  <c r="V4774" i="1"/>
  <c r="W4774" i="1"/>
  <c r="A4861" i="1"/>
  <c r="D4861" i="1"/>
  <c r="F4861" i="1"/>
  <c r="H4861" i="1"/>
  <c r="I4861" i="1"/>
  <c r="L4861" i="1"/>
  <c r="M4861" i="1"/>
  <c r="V4861" i="1"/>
  <c r="W4861" i="1"/>
  <c r="A4907" i="1"/>
  <c r="D4907" i="1"/>
  <c r="F4907" i="1"/>
  <c r="H4907" i="1"/>
  <c r="I4907" i="1"/>
  <c r="L4907" i="1"/>
  <c r="M4907" i="1"/>
  <c r="V4907" i="1"/>
  <c r="W4907" i="1"/>
  <c r="A5035" i="1"/>
  <c r="D5035" i="1"/>
  <c r="F5035" i="1"/>
  <c r="H5035" i="1"/>
  <c r="I5035" i="1"/>
  <c r="L5035" i="1"/>
  <c r="M5035" i="1"/>
  <c r="V5035" i="1"/>
  <c r="W5035" i="1"/>
  <c r="A5084" i="1"/>
  <c r="D5084" i="1"/>
  <c r="F5084" i="1"/>
  <c r="H5084" i="1"/>
  <c r="I5084" i="1"/>
  <c r="L5084" i="1"/>
  <c r="M5084" i="1"/>
  <c r="V5084" i="1"/>
  <c r="W5084" i="1"/>
  <c r="A5300" i="1"/>
  <c r="D5300" i="1"/>
  <c r="F5300" i="1"/>
  <c r="H5300" i="1"/>
  <c r="I5300" i="1"/>
  <c r="L5300" i="1"/>
  <c r="M5300" i="1"/>
  <c r="V5300" i="1"/>
  <c r="W5300" i="1"/>
  <c r="A5376" i="1"/>
  <c r="D5376" i="1"/>
  <c r="F5376" i="1"/>
  <c r="H5376" i="1"/>
  <c r="I5376" i="1"/>
  <c r="L5376" i="1"/>
  <c r="M5376" i="1"/>
  <c r="V5376" i="1"/>
  <c r="W5376" i="1"/>
  <c r="A5775" i="1"/>
  <c r="D5775" i="1"/>
  <c r="F5775" i="1"/>
  <c r="H5775" i="1"/>
  <c r="I5775" i="1"/>
  <c r="L5775" i="1"/>
  <c r="M5775" i="1"/>
  <c r="V5775" i="1"/>
  <c r="W5775" i="1"/>
  <c r="A5800" i="1"/>
  <c r="D5800" i="1"/>
  <c r="F5800" i="1"/>
  <c r="H5800" i="1"/>
  <c r="I5800" i="1"/>
  <c r="L5800" i="1"/>
  <c r="M5800" i="1"/>
  <c r="V5800" i="1"/>
  <c r="W5800" i="1"/>
  <c r="A5879" i="1"/>
  <c r="D5879" i="1"/>
  <c r="F5879" i="1"/>
  <c r="H5879" i="1"/>
  <c r="I5879" i="1"/>
  <c r="L5879" i="1"/>
  <c r="M5879" i="1"/>
  <c r="V5879" i="1"/>
  <c r="W5879" i="1"/>
  <c r="A5938" i="1"/>
  <c r="D5938" i="1"/>
  <c r="F5938" i="1"/>
  <c r="H5938" i="1"/>
  <c r="I5938" i="1"/>
  <c r="L5938" i="1"/>
  <c r="M5938" i="1"/>
  <c r="V5938" i="1"/>
  <c r="W5938" i="1"/>
  <c r="A6058" i="1"/>
  <c r="D6058" i="1"/>
  <c r="F6058" i="1"/>
  <c r="H6058" i="1"/>
  <c r="I6058" i="1"/>
  <c r="L6058" i="1"/>
  <c r="M6058" i="1"/>
  <c r="V6058" i="1"/>
  <c r="W6058" i="1"/>
  <c r="A6164" i="1"/>
  <c r="D6164" i="1"/>
  <c r="F6164" i="1"/>
  <c r="H6164" i="1"/>
  <c r="I6164" i="1"/>
  <c r="L6164" i="1"/>
  <c r="M6164" i="1"/>
  <c r="V6164" i="1"/>
  <c r="W6164" i="1"/>
  <c r="A3328" i="1"/>
  <c r="D3328" i="1"/>
  <c r="F3328" i="1"/>
  <c r="H3328" i="1"/>
  <c r="I3328" i="1"/>
  <c r="L3328" i="1"/>
  <c r="M3328" i="1"/>
  <c r="V3328" i="1"/>
  <c r="W3328" i="1"/>
  <c r="A4194" i="1"/>
  <c r="D4194" i="1"/>
  <c r="F4194" i="1"/>
  <c r="H4194" i="1"/>
  <c r="I4194" i="1"/>
  <c r="L4194" i="1"/>
  <c r="M4194" i="1"/>
  <c r="V4194" i="1"/>
  <c r="W4194" i="1"/>
  <c r="A859" i="1"/>
  <c r="D859" i="1"/>
  <c r="F859" i="1"/>
  <c r="H859" i="1"/>
  <c r="I859" i="1"/>
  <c r="L859" i="1"/>
  <c r="M859" i="1"/>
  <c r="V859" i="1"/>
  <c r="W859" i="1"/>
  <c r="A4099" i="1"/>
  <c r="D4099" i="1"/>
  <c r="F4099" i="1"/>
  <c r="H4099" i="1"/>
  <c r="I4099" i="1"/>
  <c r="L4099" i="1"/>
  <c r="M4099" i="1"/>
  <c r="V4099" i="1"/>
  <c r="W4099" i="1"/>
  <c r="A834" i="1"/>
  <c r="D834" i="1"/>
  <c r="F834" i="1"/>
  <c r="H834" i="1"/>
  <c r="I834" i="1"/>
  <c r="L834" i="1"/>
  <c r="M834" i="1"/>
  <c r="V834" i="1"/>
  <c r="W834" i="1"/>
  <c r="A1371" i="1"/>
  <c r="D1371" i="1"/>
  <c r="F1371" i="1"/>
  <c r="H1371" i="1"/>
  <c r="I1371" i="1"/>
  <c r="L1371" i="1"/>
  <c r="M1371" i="1"/>
  <c r="V1371" i="1"/>
  <c r="W1371" i="1"/>
  <c r="A3398" i="1"/>
  <c r="D3398" i="1"/>
  <c r="F3398" i="1"/>
  <c r="H3398" i="1"/>
  <c r="I3398" i="1"/>
  <c r="L3398" i="1"/>
  <c r="M3398" i="1"/>
  <c r="V3398" i="1"/>
  <c r="W3398" i="1"/>
  <c r="A4132" i="1"/>
  <c r="D4132" i="1"/>
  <c r="F4132" i="1"/>
  <c r="H4132" i="1"/>
  <c r="I4132" i="1"/>
  <c r="L4132" i="1"/>
  <c r="M4132" i="1"/>
  <c r="V4132" i="1"/>
  <c r="W4132" i="1"/>
  <c r="A585" i="1"/>
  <c r="D585" i="1"/>
  <c r="F585" i="1"/>
  <c r="H585" i="1"/>
  <c r="I585" i="1"/>
  <c r="L585" i="1"/>
  <c r="M585" i="1"/>
  <c r="V585" i="1"/>
  <c r="W585" i="1"/>
  <c r="A5655" i="1"/>
  <c r="D5655" i="1"/>
  <c r="F5655" i="1"/>
  <c r="H5655" i="1"/>
  <c r="I5655" i="1"/>
  <c r="L5655" i="1"/>
  <c r="M5655" i="1"/>
  <c r="V5655" i="1"/>
  <c r="W5655" i="1"/>
  <c r="A1135" i="1"/>
  <c r="D1135" i="1"/>
  <c r="F1135" i="1"/>
  <c r="H1135" i="1"/>
  <c r="I1135" i="1"/>
  <c r="L1135" i="1"/>
  <c r="M1135" i="1"/>
  <c r="V1135" i="1"/>
  <c r="W1135" i="1"/>
  <c r="A502" i="1"/>
  <c r="D502" i="1"/>
  <c r="F502" i="1"/>
  <c r="H502" i="1"/>
  <c r="I502" i="1"/>
  <c r="L502" i="1"/>
  <c r="M502" i="1"/>
  <c r="V502" i="1"/>
  <c r="W502" i="1"/>
  <c r="A5867" i="1"/>
  <c r="D5867" i="1"/>
  <c r="F5867" i="1"/>
  <c r="H5867" i="1"/>
  <c r="I5867" i="1"/>
  <c r="L5867" i="1"/>
  <c r="M5867" i="1"/>
  <c r="V5867" i="1"/>
  <c r="W5867" i="1"/>
  <c r="A1036" i="1"/>
  <c r="D1036" i="1"/>
  <c r="F1036" i="1"/>
  <c r="H1036" i="1"/>
  <c r="I1036" i="1"/>
  <c r="L1036" i="1"/>
  <c r="M1036" i="1"/>
  <c r="V1036" i="1"/>
  <c r="W1036" i="1"/>
  <c r="A1069" i="1"/>
  <c r="D1069" i="1"/>
  <c r="F1069" i="1"/>
  <c r="H1069" i="1"/>
  <c r="I1069" i="1"/>
  <c r="L1069" i="1"/>
  <c r="M1069" i="1"/>
  <c r="V1069" i="1"/>
  <c r="W1069" i="1"/>
  <c r="A4989" i="1"/>
  <c r="D4989" i="1"/>
  <c r="F4989" i="1"/>
  <c r="H4989" i="1"/>
  <c r="I4989" i="1"/>
  <c r="L4989" i="1"/>
  <c r="M4989" i="1"/>
  <c r="V4989" i="1"/>
  <c r="W4989" i="1"/>
  <c r="A5434" i="1"/>
  <c r="D5434" i="1"/>
  <c r="F5434" i="1"/>
  <c r="H5434" i="1"/>
  <c r="I5434" i="1"/>
  <c r="L5434" i="1"/>
  <c r="M5434" i="1"/>
  <c r="V5434" i="1"/>
  <c r="W5434" i="1"/>
  <c r="A5547" i="1"/>
  <c r="D5547" i="1"/>
  <c r="F5547" i="1"/>
  <c r="H5547" i="1"/>
  <c r="I5547" i="1"/>
  <c r="L5547" i="1"/>
  <c r="M5547" i="1"/>
  <c r="V5547" i="1"/>
  <c r="W5547" i="1"/>
  <c r="A5772" i="1"/>
  <c r="D5772" i="1"/>
  <c r="F5772" i="1"/>
  <c r="H5772" i="1"/>
  <c r="I5772" i="1"/>
  <c r="L5772" i="1"/>
  <c r="M5772" i="1"/>
  <c r="V5772" i="1"/>
  <c r="W5772" i="1"/>
  <c r="A6125" i="1"/>
  <c r="D6125" i="1"/>
  <c r="F6125" i="1"/>
  <c r="H6125" i="1"/>
  <c r="I6125" i="1"/>
  <c r="L6125" i="1"/>
  <c r="M6125" i="1"/>
  <c r="V6125" i="1"/>
  <c r="W6125" i="1"/>
  <c r="A4182" i="1"/>
  <c r="D4182" i="1"/>
  <c r="F4182" i="1"/>
  <c r="H4182" i="1"/>
  <c r="I4182" i="1"/>
  <c r="L4182" i="1"/>
  <c r="M4182" i="1"/>
  <c r="V4182" i="1"/>
  <c r="W4182" i="1"/>
  <c r="A4405" i="1"/>
  <c r="D4405" i="1"/>
  <c r="F4405" i="1"/>
  <c r="H4405" i="1"/>
  <c r="I4405" i="1"/>
  <c r="L4405" i="1"/>
  <c r="M4405" i="1"/>
  <c r="V4405" i="1"/>
  <c r="W4405" i="1"/>
  <c r="A576" i="1"/>
  <c r="D576" i="1"/>
  <c r="F576" i="1"/>
  <c r="H576" i="1"/>
  <c r="I576" i="1"/>
  <c r="L576" i="1"/>
  <c r="M576" i="1"/>
  <c r="V576" i="1"/>
  <c r="W576" i="1"/>
  <c r="A961" i="1"/>
  <c r="D961" i="1"/>
  <c r="F961" i="1"/>
  <c r="H961" i="1"/>
  <c r="I961" i="1"/>
  <c r="L961" i="1"/>
  <c r="M961" i="1"/>
  <c r="V961" i="1"/>
  <c r="W961" i="1"/>
  <c r="A6180" i="1"/>
  <c r="D6180" i="1"/>
  <c r="F6180" i="1"/>
  <c r="H6180" i="1"/>
  <c r="I6180" i="1"/>
  <c r="L6180" i="1"/>
  <c r="M6180" i="1"/>
  <c r="V6180" i="1"/>
  <c r="W6180" i="1"/>
  <c r="A5596" i="1"/>
  <c r="D5596" i="1"/>
  <c r="F5596" i="1"/>
  <c r="H5596" i="1"/>
  <c r="I5596" i="1"/>
  <c r="L5596" i="1"/>
  <c r="M5596" i="1"/>
  <c r="V5596" i="1"/>
  <c r="W5596" i="1"/>
  <c r="A1892" i="1"/>
  <c r="D1892" i="1"/>
  <c r="F1892" i="1"/>
  <c r="H1892" i="1"/>
  <c r="I1892" i="1"/>
  <c r="L1892" i="1"/>
  <c r="M1892" i="1"/>
  <c r="V1892" i="1"/>
  <c r="W1892" i="1"/>
  <c r="A5360" i="1"/>
  <c r="D5360" i="1"/>
  <c r="F5360" i="1"/>
  <c r="H5360" i="1"/>
  <c r="I5360" i="1"/>
  <c r="L5360" i="1"/>
  <c r="M5360" i="1"/>
  <c r="V5360" i="1"/>
  <c r="W5360" i="1"/>
  <c r="A4135" i="1"/>
  <c r="D4135" i="1"/>
  <c r="F4135" i="1"/>
  <c r="H4135" i="1"/>
  <c r="I4135" i="1"/>
  <c r="L4135" i="1"/>
  <c r="M4135" i="1"/>
  <c r="V4135" i="1"/>
  <c r="W4135" i="1"/>
  <c r="A4231" i="1"/>
  <c r="D4231" i="1"/>
  <c r="F4231" i="1"/>
  <c r="H4231" i="1"/>
  <c r="I4231" i="1"/>
  <c r="L4231" i="1"/>
  <c r="M4231" i="1"/>
  <c r="V4231" i="1"/>
  <c r="W4231" i="1"/>
  <c r="A5211" i="1"/>
  <c r="D5211" i="1"/>
  <c r="F5211" i="1"/>
  <c r="H5211" i="1"/>
  <c r="I5211" i="1"/>
  <c r="L5211" i="1"/>
  <c r="M5211" i="1"/>
  <c r="V5211" i="1"/>
  <c r="W5211" i="1"/>
  <c r="A3293" i="1"/>
  <c r="D3293" i="1"/>
  <c r="F3293" i="1"/>
  <c r="H3293" i="1"/>
  <c r="I3293" i="1"/>
  <c r="L3293" i="1"/>
  <c r="M3293" i="1"/>
  <c r="V3293" i="1"/>
  <c r="W3293" i="1"/>
  <c r="A3849" i="1"/>
  <c r="D3849" i="1"/>
  <c r="F3849" i="1"/>
  <c r="H3849" i="1"/>
  <c r="I3849" i="1"/>
  <c r="L3849" i="1"/>
  <c r="M3849" i="1"/>
  <c r="V3849" i="1"/>
  <c r="W3849" i="1"/>
  <c r="A4355" i="1"/>
  <c r="D4355" i="1"/>
  <c r="F4355" i="1"/>
  <c r="H4355" i="1"/>
  <c r="I4355" i="1"/>
  <c r="L4355" i="1"/>
  <c r="M4355" i="1"/>
  <c r="V4355" i="1"/>
  <c r="W4355" i="1"/>
  <c r="A1947" i="1"/>
  <c r="D1947" i="1"/>
  <c r="F1947" i="1"/>
  <c r="H1947" i="1"/>
  <c r="I1947" i="1"/>
  <c r="L1947" i="1"/>
  <c r="M1947" i="1"/>
  <c r="V1947" i="1"/>
  <c r="W1947" i="1"/>
  <c r="A4603" i="1"/>
  <c r="D4603" i="1"/>
  <c r="F4603" i="1"/>
  <c r="H4603" i="1"/>
  <c r="I4603" i="1"/>
  <c r="L4603" i="1"/>
  <c r="M4603" i="1"/>
  <c r="V4603" i="1"/>
  <c r="W4603" i="1"/>
  <c r="A4777" i="1"/>
  <c r="D4777" i="1"/>
  <c r="F4777" i="1"/>
  <c r="H4777" i="1"/>
  <c r="I4777" i="1"/>
  <c r="L4777" i="1"/>
  <c r="M4777" i="1"/>
  <c r="V4777" i="1"/>
  <c r="W4777" i="1"/>
  <c r="A221" i="1"/>
  <c r="D221" i="1"/>
  <c r="F221" i="1"/>
  <c r="H221" i="1"/>
  <c r="I221" i="1"/>
  <c r="L221" i="1"/>
  <c r="M221" i="1"/>
  <c r="V221" i="1"/>
  <c r="W221" i="1"/>
  <c r="A809" i="1"/>
  <c r="D809" i="1"/>
  <c r="F809" i="1"/>
  <c r="H809" i="1"/>
  <c r="I809" i="1"/>
  <c r="L809" i="1"/>
  <c r="M809" i="1"/>
  <c r="V809" i="1"/>
  <c r="W809" i="1"/>
  <c r="A3903" i="1"/>
  <c r="D3903" i="1"/>
  <c r="F3903" i="1"/>
  <c r="H3903" i="1"/>
  <c r="I3903" i="1"/>
  <c r="L3903" i="1"/>
  <c r="M3903" i="1"/>
  <c r="V3903" i="1"/>
  <c r="W3903" i="1"/>
  <c r="A3983" i="1"/>
  <c r="D3983" i="1"/>
  <c r="F3983" i="1"/>
  <c r="H3983" i="1"/>
  <c r="I3983" i="1"/>
  <c r="L3983" i="1"/>
  <c r="M3983" i="1"/>
  <c r="V3983" i="1"/>
  <c r="W3983" i="1"/>
  <c r="A3530" i="1"/>
  <c r="D3530" i="1"/>
  <c r="F3530" i="1"/>
  <c r="H3530" i="1"/>
  <c r="I3530" i="1"/>
  <c r="L3530" i="1"/>
  <c r="M3530" i="1"/>
  <c r="V3530" i="1"/>
  <c r="W3530" i="1"/>
  <c r="A1102" i="1"/>
  <c r="D1102" i="1"/>
  <c r="F1102" i="1"/>
  <c r="H1102" i="1"/>
  <c r="I1102" i="1"/>
  <c r="L1102" i="1"/>
  <c r="M1102" i="1"/>
  <c r="V1102" i="1"/>
  <c r="W1102" i="1"/>
  <c r="A1786" i="1"/>
  <c r="D1786" i="1"/>
  <c r="F1786" i="1"/>
  <c r="H1786" i="1"/>
  <c r="I1786" i="1"/>
  <c r="L1786" i="1"/>
  <c r="M1786" i="1"/>
  <c r="V1786" i="1"/>
  <c r="W1786" i="1"/>
  <c r="A1087" i="1"/>
  <c r="D1087" i="1"/>
  <c r="F1087" i="1"/>
  <c r="H1087" i="1"/>
  <c r="I1087" i="1"/>
  <c r="L1087" i="1"/>
  <c r="M1087" i="1"/>
  <c r="V1087" i="1"/>
  <c r="W1087" i="1"/>
  <c r="A1129" i="1"/>
  <c r="D1129" i="1"/>
  <c r="F1129" i="1"/>
  <c r="H1129" i="1"/>
  <c r="I1129" i="1"/>
  <c r="L1129" i="1"/>
  <c r="M1129" i="1"/>
  <c r="V1129" i="1"/>
  <c r="W1129" i="1"/>
  <c r="A1785" i="1"/>
  <c r="D1785" i="1"/>
  <c r="F1785" i="1"/>
  <c r="H1785" i="1"/>
  <c r="I1785" i="1"/>
  <c r="L1785" i="1"/>
  <c r="M1785" i="1"/>
  <c r="V1785" i="1"/>
  <c r="W1785" i="1"/>
  <c r="A1103" i="1"/>
  <c r="D1103" i="1"/>
  <c r="F1103" i="1"/>
  <c r="H1103" i="1"/>
  <c r="I1103" i="1"/>
  <c r="L1103" i="1"/>
  <c r="M1103" i="1"/>
  <c r="V1103" i="1"/>
  <c r="W1103" i="1"/>
  <c r="A480" i="1"/>
  <c r="D480" i="1"/>
  <c r="F480" i="1"/>
  <c r="H480" i="1"/>
  <c r="I480" i="1"/>
  <c r="L480" i="1"/>
  <c r="M480" i="1"/>
  <c r="V480" i="1"/>
  <c r="W480" i="1"/>
  <c r="A1487" i="1"/>
  <c r="D1487" i="1"/>
  <c r="F1487" i="1"/>
  <c r="H1487" i="1"/>
  <c r="I1487" i="1"/>
  <c r="L1487" i="1"/>
  <c r="M1487" i="1"/>
  <c r="V1487" i="1"/>
  <c r="W1487" i="1"/>
  <c r="A1665" i="1"/>
  <c r="D1665" i="1"/>
  <c r="F1665" i="1"/>
  <c r="H1665" i="1"/>
  <c r="I1665" i="1"/>
  <c r="L1665" i="1"/>
  <c r="M1665" i="1"/>
  <c r="V1665" i="1"/>
  <c r="W1665" i="1"/>
  <c r="A2775" i="1"/>
  <c r="D2775" i="1"/>
  <c r="F2775" i="1"/>
  <c r="H2775" i="1"/>
  <c r="I2775" i="1"/>
  <c r="L2775" i="1"/>
  <c r="M2775" i="1"/>
  <c r="V2775" i="1"/>
  <c r="W2775" i="1"/>
  <c r="A2880" i="1"/>
  <c r="D2880" i="1"/>
  <c r="F2880" i="1"/>
  <c r="H2880" i="1"/>
  <c r="I2880" i="1"/>
  <c r="L2880" i="1"/>
  <c r="M2880" i="1"/>
  <c r="V2880" i="1"/>
  <c r="W2880" i="1"/>
  <c r="A3776" i="1"/>
  <c r="D3776" i="1"/>
  <c r="F3776" i="1"/>
  <c r="H3776" i="1"/>
  <c r="I3776" i="1"/>
  <c r="L3776" i="1"/>
  <c r="M3776" i="1"/>
  <c r="V3776" i="1"/>
  <c r="W3776" i="1"/>
  <c r="A4783" i="1"/>
  <c r="D4783" i="1"/>
  <c r="F4783" i="1"/>
  <c r="H4783" i="1"/>
  <c r="I4783" i="1"/>
  <c r="L4783" i="1"/>
  <c r="M4783" i="1"/>
  <c r="V4783" i="1"/>
  <c r="W4783" i="1"/>
  <c r="A4895" i="1"/>
  <c r="D4895" i="1"/>
  <c r="F4895" i="1"/>
  <c r="H4895" i="1"/>
  <c r="I4895" i="1"/>
  <c r="L4895" i="1"/>
  <c r="M4895" i="1"/>
  <c r="V4895" i="1"/>
  <c r="W4895" i="1"/>
  <c r="A5958" i="1"/>
  <c r="D5958" i="1"/>
  <c r="F5958" i="1"/>
  <c r="H5958" i="1"/>
  <c r="I5958" i="1"/>
  <c r="L5958" i="1"/>
  <c r="M5958" i="1"/>
  <c r="V5958" i="1"/>
  <c r="W5958" i="1"/>
  <c r="A4169" i="1"/>
  <c r="D4169" i="1"/>
  <c r="F4169" i="1"/>
  <c r="H4169" i="1"/>
  <c r="I4169" i="1"/>
  <c r="L4169" i="1"/>
  <c r="M4169" i="1"/>
  <c r="V4169" i="1"/>
  <c r="W4169" i="1"/>
  <c r="A3359" i="1"/>
  <c r="D3359" i="1"/>
  <c r="F3359" i="1"/>
  <c r="H3359" i="1"/>
  <c r="I3359" i="1"/>
  <c r="L3359" i="1"/>
  <c r="M3359" i="1"/>
  <c r="V3359" i="1"/>
  <c r="W3359" i="1"/>
  <c r="A3088" i="1"/>
  <c r="D3088" i="1"/>
  <c r="F3088" i="1"/>
  <c r="H3088" i="1"/>
  <c r="I3088" i="1"/>
  <c r="L3088" i="1"/>
  <c r="M3088" i="1"/>
  <c r="V3088" i="1"/>
  <c r="W3088" i="1"/>
  <c r="A3130" i="1"/>
  <c r="D3130" i="1"/>
  <c r="F3130" i="1"/>
  <c r="H3130" i="1"/>
  <c r="I3130" i="1"/>
  <c r="L3130" i="1"/>
  <c r="M3130" i="1"/>
  <c r="V3130" i="1"/>
  <c r="W3130" i="1"/>
  <c r="A4282" i="1"/>
  <c r="D4282" i="1"/>
  <c r="F4282" i="1"/>
  <c r="H4282" i="1"/>
  <c r="I4282" i="1"/>
  <c r="L4282" i="1"/>
  <c r="M4282" i="1"/>
  <c r="V4282" i="1"/>
  <c r="W4282" i="1"/>
  <c r="A5468" i="1"/>
  <c r="D5468" i="1"/>
  <c r="F5468" i="1"/>
  <c r="H5468" i="1"/>
  <c r="I5468" i="1"/>
  <c r="L5468" i="1"/>
  <c r="M5468" i="1"/>
  <c r="V5468" i="1"/>
  <c r="W5468" i="1"/>
  <c r="A842" i="1"/>
  <c r="D842" i="1"/>
  <c r="F842" i="1"/>
  <c r="H842" i="1"/>
  <c r="I842" i="1"/>
  <c r="L842" i="1"/>
  <c r="M842" i="1"/>
  <c r="V842" i="1"/>
  <c r="W842" i="1"/>
  <c r="A4742" i="1"/>
  <c r="D4742" i="1"/>
  <c r="F4742" i="1"/>
  <c r="H4742" i="1"/>
  <c r="I4742" i="1"/>
  <c r="L4742" i="1"/>
  <c r="M4742" i="1"/>
  <c r="V4742" i="1"/>
  <c r="W4742" i="1"/>
  <c r="A43" i="1"/>
  <c r="D43" i="1"/>
  <c r="F43" i="1"/>
  <c r="H43" i="1"/>
  <c r="I43" i="1"/>
  <c r="L43" i="1"/>
  <c r="M43" i="1"/>
  <c r="V43" i="1"/>
  <c r="W43" i="1"/>
  <c r="A3712" i="1"/>
  <c r="D3712" i="1"/>
  <c r="F3712" i="1"/>
  <c r="H3712" i="1"/>
  <c r="I3712" i="1"/>
  <c r="L3712" i="1"/>
  <c r="M3712" i="1"/>
  <c r="V3712" i="1"/>
  <c r="W3712" i="1"/>
  <c r="A4435" i="1"/>
  <c r="D4435" i="1"/>
  <c r="F4435" i="1"/>
  <c r="H4435" i="1"/>
  <c r="I4435" i="1"/>
  <c r="L4435" i="1"/>
  <c r="M4435" i="1"/>
  <c r="V4435" i="1"/>
  <c r="W4435" i="1"/>
  <c r="A113" i="1"/>
  <c r="D113" i="1"/>
  <c r="F113" i="1"/>
  <c r="H113" i="1"/>
  <c r="I113" i="1"/>
  <c r="L113" i="1"/>
  <c r="M113" i="1"/>
  <c r="V113" i="1"/>
  <c r="W113" i="1"/>
  <c r="A2674" i="1"/>
  <c r="D2674" i="1"/>
  <c r="F2674" i="1"/>
  <c r="H2674" i="1"/>
  <c r="I2674" i="1"/>
  <c r="L2674" i="1"/>
  <c r="M2674" i="1"/>
  <c r="V2674" i="1"/>
  <c r="W2674" i="1"/>
  <c r="A3777" i="1"/>
  <c r="D3777" i="1"/>
  <c r="F3777" i="1"/>
  <c r="H3777" i="1"/>
  <c r="I3777" i="1"/>
  <c r="L3777" i="1"/>
  <c r="M3777" i="1"/>
  <c r="V3777" i="1"/>
  <c r="W3777" i="1"/>
  <c r="A946" i="1"/>
  <c r="D946" i="1"/>
  <c r="F946" i="1"/>
  <c r="H946" i="1"/>
  <c r="I946" i="1"/>
  <c r="L946" i="1"/>
  <c r="M946" i="1"/>
  <c r="V946" i="1"/>
  <c r="W946" i="1"/>
  <c r="A1021" i="1"/>
  <c r="D1021" i="1"/>
  <c r="F1021" i="1"/>
  <c r="H1021" i="1"/>
  <c r="I1021" i="1"/>
  <c r="L1021" i="1"/>
  <c r="M1021" i="1"/>
  <c r="V1021" i="1"/>
  <c r="W1021" i="1"/>
  <c r="A731" i="1"/>
  <c r="D731" i="1"/>
  <c r="F731" i="1"/>
  <c r="H731" i="1"/>
  <c r="I731" i="1"/>
  <c r="L731" i="1"/>
  <c r="M731" i="1"/>
  <c r="V731" i="1"/>
  <c r="W731" i="1"/>
  <c r="A888" i="1"/>
  <c r="D888" i="1"/>
  <c r="F888" i="1"/>
  <c r="H888" i="1"/>
  <c r="I888" i="1"/>
  <c r="L888" i="1"/>
  <c r="M888" i="1"/>
  <c r="V888" i="1"/>
  <c r="W888" i="1"/>
  <c r="A3334" i="1"/>
  <c r="D3334" i="1"/>
  <c r="F3334" i="1"/>
  <c r="H3334" i="1"/>
  <c r="I3334" i="1"/>
  <c r="L3334" i="1"/>
  <c r="M3334" i="1"/>
  <c r="V3334" i="1"/>
  <c r="W3334" i="1"/>
  <c r="A3400" i="1"/>
  <c r="D3400" i="1"/>
  <c r="F3400" i="1"/>
  <c r="H3400" i="1"/>
  <c r="I3400" i="1"/>
  <c r="L3400" i="1"/>
  <c r="M3400" i="1"/>
  <c r="V3400" i="1"/>
  <c r="W3400" i="1"/>
  <c r="A4545" i="1"/>
  <c r="D4545" i="1"/>
  <c r="F4545" i="1"/>
  <c r="H4545" i="1"/>
  <c r="I4545" i="1"/>
  <c r="L4545" i="1"/>
  <c r="M4545" i="1"/>
  <c r="V4545" i="1"/>
  <c r="W4545" i="1"/>
  <c r="A1160" i="1"/>
  <c r="D1160" i="1"/>
  <c r="F1160" i="1"/>
  <c r="H1160" i="1"/>
  <c r="I1160" i="1"/>
  <c r="L1160" i="1"/>
  <c r="M1160" i="1"/>
  <c r="V1160" i="1"/>
  <c r="W1160" i="1"/>
  <c r="A4515" i="1"/>
  <c r="D4515" i="1"/>
  <c r="F4515" i="1"/>
  <c r="H4515" i="1"/>
  <c r="I4515" i="1"/>
  <c r="L4515" i="1"/>
  <c r="M4515" i="1"/>
  <c r="V4515" i="1"/>
  <c r="W4515" i="1"/>
  <c r="A4497" i="1"/>
  <c r="D4497" i="1"/>
  <c r="F4497" i="1"/>
  <c r="H4497" i="1"/>
  <c r="I4497" i="1"/>
  <c r="L4497" i="1"/>
  <c r="M4497" i="1"/>
  <c r="V4497" i="1"/>
  <c r="W4497" i="1"/>
  <c r="A4721" i="1"/>
  <c r="D4721" i="1"/>
  <c r="F4721" i="1"/>
  <c r="H4721" i="1"/>
  <c r="I4721" i="1"/>
  <c r="L4721" i="1"/>
  <c r="M4721" i="1"/>
  <c r="V4721" i="1"/>
  <c r="W4721" i="1"/>
  <c r="A3770" i="1"/>
  <c r="D3770" i="1"/>
  <c r="F3770" i="1"/>
  <c r="H3770" i="1"/>
  <c r="I3770" i="1"/>
  <c r="L3770" i="1"/>
  <c r="M3770" i="1"/>
  <c r="V3770" i="1"/>
  <c r="W3770" i="1"/>
  <c r="A72" i="1"/>
  <c r="D72" i="1"/>
  <c r="F72" i="1"/>
  <c r="H72" i="1"/>
  <c r="I72" i="1"/>
  <c r="L72" i="1"/>
  <c r="M72" i="1"/>
  <c r="V72" i="1"/>
  <c r="W72" i="1"/>
  <c r="A253" i="1"/>
  <c r="D253" i="1"/>
  <c r="F253" i="1"/>
  <c r="H253" i="1"/>
  <c r="I253" i="1"/>
  <c r="L253" i="1"/>
  <c r="M253" i="1"/>
  <c r="V253" i="1"/>
  <c r="W253" i="1"/>
  <c r="A1037" i="1"/>
  <c r="D1037" i="1"/>
  <c r="F1037" i="1"/>
  <c r="H1037" i="1"/>
  <c r="I1037" i="1"/>
  <c r="L1037" i="1"/>
  <c r="M1037" i="1"/>
  <c r="V1037" i="1"/>
  <c r="W1037" i="1"/>
  <c r="A1194" i="1"/>
  <c r="D1194" i="1"/>
  <c r="F1194" i="1"/>
  <c r="H1194" i="1"/>
  <c r="I1194" i="1"/>
  <c r="L1194" i="1"/>
  <c r="M1194" i="1"/>
  <c r="V1194" i="1"/>
  <c r="W1194" i="1"/>
  <c r="A2285" i="1"/>
  <c r="D2285" i="1"/>
  <c r="F2285" i="1"/>
  <c r="H2285" i="1"/>
  <c r="I2285" i="1"/>
  <c r="L2285" i="1"/>
  <c r="M2285" i="1"/>
  <c r="V2285" i="1"/>
  <c r="W2285" i="1"/>
  <c r="A2295" i="1"/>
  <c r="D2295" i="1"/>
  <c r="F2295" i="1"/>
  <c r="H2295" i="1"/>
  <c r="I2295" i="1"/>
  <c r="L2295" i="1"/>
  <c r="M2295" i="1"/>
  <c r="V2295" i="1"/>
  <c r="W2295" i="1"/>
  <c r="A2825" i="1"/>
  <c r="D2825" i="1"/>
  <c r="F2825" i="1"/>
  <c r="H2825" i="1"/>
  <c r="I2825" i="1"/>
  <c r="L2825" i="1"/>
  <c r="M2825" i="1"/>
  <c r="V2825" i="1"/>
  <c r="W2825" i="1"/>
  <c r="A2997" i="1"/>
  <c r="D2997" i="1"/>
  <c r="F2997" i="1"/>
  <c r="H2997" i="1"/>
  <c r="I2997" i="1"/>
  <c r="L2997" i="1"/>
  <c r="M2997" i="1"/>
  <c r="V2997" i="1"/>
  <c r="W2997" i="1"/>
  <c r="A4968" i="1"/>
  <c r="D4968" i="1"/>
  <c r="F4968" i="1"/>
  <c r="H4968" i="1"/>
  <c r="I4968" i="1"/>
  <c r="L4968" i="1"/>
  <c r="M4968" i="1"/>
  <c r="V4968" i="1"/>
  <c r="W4968" i="1"/>
  <c r="A5110" i="1"/>
  <c r="D5110" i="1"/>
  <c r="F5110" i="1"/>
  <c r="H5110" i="1"/>
  <c r="I5110" i="1"/>
  <c r="L5110" i="1"/>
  <c r="M5110" i="1"/>
  <c r="V5110" i="1"/>
  <c r="W5110" i="1"/>
  <c r="A5215" i="1"/>
  <c r="D5215" i="1"/>
  <c r="F5215" i="1"/>
  <c r="H5215" i="1"/>
  <c r="I5215" i="1"/>
  <c r="L5215" i="1"/>
  <c r="M5215" i="1"/>
  <c r="V5215" i="1"/>
  <c r="W5215" i="1"/>
  <c r="A5446" i="1"/>
  <c r="D5446" i="1"/>
  <c r="F5446" i="1"/>
  <c r="H5446" i="1"/>
  <c r="I5446" i="1"/>
  <c r="L5446" i="1"/>
  <c r="M5446" i="1"/>
  <c r="V5446" i="1"/>
  <c r="W5446" i="1"/>
  <c r="A2847" i="1"/>
  <c r="D2847" i="1"/>
  <c r="F2847" i="1"/>
  <c r="H2847" i="1"/>
  <c r="I2847" i="1"/>
  <c r="L2847" i="1"/>
  <c r="M2847" i="1"/>
  <c r="V2847" i="1"/>
  <c r="W2847" i="1"/>
  <c r="A3504" i="1"/>
  <c r="D3504" i="1"/>
  <c r="F3504" i="1"/>
  <c r="H3504" i="1"/>
  <c r="I3504" i="1"/>
  <c r="L3504" i="1"/>
  <c r="M3504" i="1"/>
  <c r="V3504" i="1"/>
  <c r="W3504" i="1"/>
  <c r="A3100" i="1"/>
  <c r="D3100" i="1"/>
  <c r="F3100" i="1"/>
  <c r="H3100" i="1"/>
  <c r="I3100" i="1"/>
  <c r="L3100" i="1"/>
  <c r="M3100" i="1"/>
  <c r="V3100" i="1"/>
  <c r="W3100" i="1"/>
  <c r="A3152" i="1"/>
  <c r="D3152" i="1"/>
  <c r="F3152" i="1"/>
  <c r="H3152" i="1"/>
  <c r="I3152" i="1"/>
  <c r="L3152" i="1"/>
  <c r="M3152" i="1"/>
  <c r="V3152" i="1"/>
  <c r="W3152" i="1"/>
  <c r="A3938" i="1"/>
  <c r="D3938" i="1"/>
  <c r="F3938" i="1"/>
  <c r="H3938" i="1"/>
  <c r="I3938" i="1"/>
  <c r="L3938" i="1"/>
  <c r="M3938" i="1"/>
  <c r="V3938" i="1"/>
  <c r="W3938" i="1"/>
  <c r="A4121" i="1"/>
  <c r="D4121" i="1"/>
  <c r="F4121" i="1"/>
  <c r="H4121" i="1"/>
  <c r="I4121" i="1"/>
  <c r="L4121" i="1"/>
  <c r="M4121" i="1"/>
  <c r="V4121" i="1"/>
  <c r="W4121" i="1"/>
  <c r="A3829" i="1"/>
  <c r="D3829" i="1"/>
  <c r="F3829" i="1"/>
  <c r="H3829" i="1"/>
  <c r="I3829" i="1"/>
  <c r="L3829" i="1"/>
  <c r="M3829" i="1"/>
  <c r="V3829" i="1"/>
  <c r="W3829" i="1"/>
  <c r="A3378" i="1"/>
  <c r="D3378" i="1"/>
  <c r="F3378" i="1"/>
  <c r="H3378" i="1"/>
  <c r="I3378" i="1"/>
  <c r="L3378" i="1"/>
  <c r="M3378" i="1"/>
  <c r="V3378" i="1"/>
  <c r="W3378" i="1"/>
  <c r="A4168" i="1"/>
  <c r="D4168" i="1"/>
  <c r="F4168" i="1"/>
  <c r="H4168" i="1"/>
  <c r="I4168" i="1"/>
  <c r="L4168" i="1"/>
  <c r="M4168" i="1"/>
  <c r="V4168" i="1"/>
  <c r="W4168" i="1"/>
  <c r="A966" i="1"/>
  <c r="D966" i="1"/>
  <c r="F966" i="1"/>
  <c r="H966" i="1"/>
  <c r="I966" i="1"/>
  <c r="L966" i="1"/>
  <c r="M966" i="1"/>
  <c r="V966" i="1"/>
  <c r="W966" i="1"/>
  <c r="A2688" i="1"/>
  <c r="D2688" i="1"/>
  <c r="F2688" i="1"/>
  <c r="H2688" i="1"/>
  <c r="I2688" i="1"/>
  <c r="L2688" i="1"/>
  <c r="M2688" i="1"/>
  <c r="V2688" i="1"/>
  <c r="W2688" i="1"/>
  <c r="A3725" i="1"/>
  <c r="D3725" i="1"/>
  <c r="F3725" i="1"/>
  <c r="H3725" i="1"/>
  <c r="I3725" i="1"/>
  <c r="L3725" i="1"/>
  <c r="M3725" i="1"/>
  <c r="V3725" i="1"/>
  <c r="W3725" i="1"/>
  <c r="A5701" i="1"/>
  <c r="D5701" i="1"/>
  <c r="F5701" i="1"/>
  <c r="H5701" i="1"/>
  <c r="I5701" i="1"/>
  <c r="L5701" i="1"/>
  <c r="M5701" i="1"/>
  <c r="V5701" i="1"/>
  <c r="W5701" i="1"/>
  <c r="A5102" i="1"/>
  <c r="D5102" i="1"/>
  <c r="F5102" i="1"/>
  <c r="H5102" i="1"/>
  <c r="I5102" i="1"/>
  <c r="L5102" i="1"/>
  <c r="M5102" i="1"/>
  <c r="V5102" i="1"/>
  <c r="W5102" i="1"/>
  <c r="A2711" i="1"/>
  <c r="D2711" i="1"/>
  <c r="F2711" i="1"/>
  <c r="H2711" i="1"/>
  <c r="I2711" i="1"/>
  <c r="L2711" i="1"/>
  <c r="M2711" i="1"/>
  <c r="V2711" i="1"/>
  <c r="W2711" i="1"/>
  <c r="A4333" i="1"/>
  <c r="D4333" i="1"/>
  <c r="F4333" i="1"/>
  <c r="H4333" i="1"/>
  <c r="I4333" i="1"/>
  <c r="L4333" i="1"/>
  <c r="M4333" i="1"/>
  <c r="V4333" i="1"/>
  <c r="W4333" i="1"/>
  <c r="A4733" i="1"/>
  <c r="D4733" i="1"/>
  <c r="F4733" i="1"/>
  <c r="H4733" i="1"/>
  <c r="I4733" i="1"/>
  <c r="L4733" i="1"/>
  <c r="M4733" i="1"/>
  <c r="V4733" i="1"/>
  <c r="W4733" i="1"/>
  <c r="A5293" i="1"/>
  <c r="D5293" i="1"/>
  <c r="F5293" i="1"/>
  <c r="H5293" i="1"/>
  <c r="I5293" i="1"/>
  <c r="L5293" i="1"/>
  <c r="M5293" i="1"/>
  <c r="V5293" i="1"/>
  <c r="W5293" i="1"/>
  <c r="A6098" i="1"/>
  <c r="D6098" i="1"/>
  <c r="F6098" i="1"/>
  <c r="H6098" i="1"/>
  <c r="I6098" i="1"/>
  <c r="L6098" i="1"/>
  <c r="M6098" i="1"/>
  <c r="V6098" i="1"/>
  <c r="W6098" i="1"/>
  <c r="A1523" i="1"/>
  <c r="D1523" i="1"/>
  <c r="F1523" i="1"/>
  <c r="H1523" i="1"/>
  <c r="I1523" i="1"/>
  <c r="L1523" i="1"/>
  <c r="M1523" i="1"/>
  <c r="V1523" i="1"/>
  <c r="W1523" i="1"/>
  <c r="A1675" i="1"/>
  <c r="D1675" i="1"/>
  <c r="F1675" i="1"/>
  <c r="H1675" i="1"/>
  <c r="I1675" i="1"/>
  <c r="L1675" i="1"/>
  <c r="M1675" i="1"/>
  <c r="V1675" i="1"/>
  <c r="W1675" i="1"/>
  <c r="A80" i="1"/>
  <c r="D80" i="1"/>
  <c r="F80" i="1"/>
  <c r="H80" i="1"/>
  <c r="I80" i="1"/>
  <c r="L80" i="1"/>
  <c r="M80" i="1"/>
  <c r="V80" i="1"/>
  <c r="W80" i="1"/>
  <c r="A1988" i="1"/>
  <c r="D1988" i="1"/>
  <c r="F1988" i="1"/>
  <c r="H1988" i="1"/>
  <c r="I1988" i="1"/>
  <c r="L1988" i="1"/>
  <c r="M1988" i="1"/>
  <c r="V1988" i="1"/>
  <c r="W1988" i="1"/>
  <c r="A3734" i="1"/>
  <c r="D3734" i="1"/>
  <c r="F3734" i="1"/>
  <c r="H3734" i="1"/>
  <c r="I3734" i="1"/>
  <c r="L3734" i="1"/>
  <c r="M3734" i="1"/>
  <c r="V3734" i="1"/>
  <c r="W3734" i="1"/>
  <c r="A264" i="1"/>
  <c r="D264" i="1"/>
  <c r="F264" i="1"/>
  <c r="H264" i="1"/>
  <c r="I264" i="1"/>
  <c r="L264" i="1"/>
  <c r="M264" i="1"/>
  <c r="V264" i="1"/>
  <c r="W264" i="1"/>
  <c r="A2807" i="1"/>
  <c r="D2807" i="1"/>
  <c r="F2807" i="1"/>
  <c r="H2807" i="1"/>
  <c r="I2807" i="1"/>
  <c r="L2807" i="1"/>
  <c r="M2807" i="1"/>
  <c r="V2807" i="1"/>
  <c r="W2807" i="1"/>
  <c r="A645" i="1"/>
  <c r="D645" i="1"/>
  <c r="F645" i="1"/>
  <c r="H645" i="1"/>
  <c r="I645" i="1"/>
  <c r="L645" i="1"/>
  <c r="M645" i="1"/>
  <c r="V645" i="1"/>
  <c r="W645" i="1"/>
  <c r="A560" i="1"/>
  <c r="D560" i="1"/>
  <c r="F560" i="1"/>
  <c r="H560" i="1"/>
  <c r="I560" i="1"/>
  <c r="L560" i="1"/>
  <c r="M560" i="1"/>
  <c r="V560" i="1"/>
  <c r="W560" i="1"/>
  <c r="A714" i="1"/>
  <c r="D714" i="1"/>
  <c r="F714" i="1"/>
  <c r="H714" i="1"/>
  <c r="I714" i="1"/>
  <c r="L714" i="1"/>
  <c r="M714" i="1"/>
  <c r="V714" i="1"/>
  <c r="W714" i="1"/>
  <c r="A2358" i="1"/>
  <c r="D2358" i="1"/>
  <c r="F2358" i="1"/>
  <c r="H2358" i="1"/>
  <c r="I2358" i="1"/>
  <c r="L2358" i="1"/>
  <c r="M2358" i="1"/>
  <c r="V2358" i="1"/>
  <c r="W2358" i="1"/>
  <c r="A4719" i="1"/>
  <c r="D4719" i="1"/>
  <c r="F4719" i="1"/>
  <c r="H4719" i="1"/>
  <c r="I4719" i="1"/>
  <c r="L4719" i="1"/>
  <c r="M4719" i="1"/>
  <c r="V4719" i="1"/>
  <c r="W4719" i="1"/>
  <c r="A4722" i="1"/>
  <c r="D4722" i="1"/>
  <c r="F4722" i="1"/>
  <c r="H4722" i="1"/>
  <c r="I4722" i="1"/>
  <c r="L4722" i="1"/>
  <c r="M4722" i="1"/>
  <c r="V4722" i="1"/>
  <c r="W4722" i="1"/>
  <c r="A4235" i="1"/>
  <c r="D4235" i="1"/>
  <c r="F4235" i="1"/>
  <c r="H4235" i="1"/>
  <c r="I4235" i="1"/>
  <c r="L4235" i="1"/>
  <c r="M4235" i="1"/>
  <c r="V4235" i="1"/>
  <c r="W4235" i="1"/>
  <c r="A3740" i="1"/>
  <c r="D3740" i="1"/>
  <c r="F3740" i="1"/>
  <c r="H3740" i="1"/>
  <c r="I3740" i="1"/>
  <c r="L3740" i="1"/>
  <c r="M3740" i="1"/>
  <c r="V3740" i="1"/>
  <c r="W3740" i="1"/>
  <c r="A4015" i="1"/>
  <c r="D4015" i="1"/>
  <c r="F4015" i="1"/>
  <c r="H4015" i="1"/>
  <c r="I4015" i="1"/>
  <c r="L4015" i="1"/>
  <c r="M4015" i="1"/>
  <c r="V4015" i="1"/>
  <c r="W4015" i="1"/>
  <c r="A3711" i="1"/>
  <c r="D3711" i="1"/>
  <c r="F3711" i="1"/>
  <c r="H3711" i="1"/>
  <c r="I3711" i="1"/>
  <c r="L3711" i="1"/>
  <c r="M3711" i="1"/>
  <c r="V3711" i="1"/>
  <c r="W3711" i="1"/>
  <c r="A3826" i="1"/>
  <c r="D3826" i="1"/>
  <c r="F3826" i="1"/>
  <c r="H3826" i="1"/>
  <c r="I3826" i="1"/>
  <c r="L3826" i="1"/>
  <c r="M3826" i="1"/>
  <c r="V3826" i="1"/>
  <c r="W3826" i="1"/>
  <c r="A1746" i="1"/>
  <c r="D1746" i="1"/>
  <c r="F1746" i="1"/>
  <c r="H1746" i="1"/>
  <c r="I1746" i="1"/>
  <c r="L1746" i="1"/>
  <c r="M1746" i="1"/>
  <c r="V1746" i="1"/>
  <c r="W1746" i="1"/>
  <c r="A2107" i="1"/>
  <c r="D2107" i="1"/>
  <c r="F2107" i="1"/>
  <c r="H2107" i="1"/>
  <c r="I2107" i="1"/>
  <c r="L2107" i="1"/>
  <c r="M2107" i="1"/>
  <c r="V2107" i="1"/>
  <c r="W2107" i="1"/>
  <c r="A3902" i="1"/>
  <c r="D3902" i="1"/>
  <c r="F3902" i="1"/>
  <c r="H3902" i="1"/>
  <c r="I3902" i="1"/>
  <c r="L3902" i="1"/>
  <c r="M3902" i="1"/>
  <c r="V3902" i="1"/>
  <c r="W3902" i="1"/>
  <c r="A3984" i="1"/>
  <c r="D3984" i="1"/>
  <c r="F3984" i="1"/>
  <c r="H3984" i="1"/>
  <c r="I3984" i="1"/>
  <c r="L3984" i="1"/>
  <c r="M3984" i="1"/>
  <c r="V3984" i="1"/>
  <c r="W3984" i="1"/>
  <c r="A950" i="1"/>
  <c r="D950" i="1"/>
  <c r="F950" i="1"/>
  <c r="H950" i="1"/>
  <c r="I950" i="1"/>
  <c r="L950" i="1"/>
  <c r="M950" i="1"/>
  <c r="V950" i="1"/>
  <c r="W950" i="1"/>
  <c r="A3944" i="1"/>
  <c r="D3944" i="1"/>
  <c r="F3944" i="1"/>
  <c r="H3944" i="1"/>
  <c r="I3944" i="1"/>
  <c r="L3944" i="1"/>
  <c r="M3944" i="1"/>
  <c r="V3944" i="1"/>
  <c r="W3944" i="1"/>
  <c r="A81" i="1"/>
  <c r="D81" i="1"/>
  <c r="F81" i="1"/>
  <c r="H81" i="1"/>
  <c r="I81" i="1"/>
  <c r="L81" i="1"/>
  <c r="M81" i="1"/>
  <c r="V81" i="1"/>
  <c r="W81" i="1"/>
  <c r="A163" i="1"/>
  <c r="D163" i="1"/>
  <c r="F163" i="1"/>
  <c r="H163" i="1"/>
  <c r="I163" i="1"/>
  <c r="L163" i="1"/>
  <c r="M163" i="1"/>
  <c r="V163" i="1"/>
  <c r="W163" i="1"/>
  <c r="A2924" i="1"/>
  <c r="D2924" i="1"/>
  <c r="F2924" i="1"/>
  <c r="H2924" i="1"/>
  <c r="I2924" i="1"/>
  <c r="L2924" i="1"/>
  <c r="M2924" i="1"/>
  <c r="V2924" i="1"/>
  <c r="W2924" i="1"/>
  <c r="A2999" i="1"/>
  <c r="D2999" i="1"/>
  <c r="F2999" i="1"/>
  <c r="H2999" i="1"/>
  <c r="I2999" i="1"/>
  <c r="L2999" i="1"/>
  <c r="M2999" i="1"/>
  <c r="V2999" i="1"/>
  <c r="W2999" i="1"/>
  <c r="A5844" i="1"/>
  <c r="D5844" i="1"/>
  <c r="F5844" i="1"/>
  <c r="H5844" i="1"/>
  <c r="I5844" i="1"/>
  <c r="L5844" i="1"/>
  <c r="M5844" i="1"/>
  <c r="V5844" i="1"/>
  <c r="W5844" i="1"/>
  <c r="A5847" i="1"/>
  <c r="D5847" i="1"/>
  <c r="F5847" i="1"/>
  <c r="H5847" i="1"/>
  <c r="I5847" i="1"/>
  <c r="L5847" i="1"/>
  <c r="M5847" i="1"/>
  <c r="V5847" i="1"/>
  <c r="W5847" i="1"/>
  <c r="A5752" i="1"/>
  <c r="D5752" i="1"/>
  <c r="F5752" i="1"/>
  <c r="H5752" i="1"/>
  <c r="I5752" i="1"/>
  <c r="L5752" i="1"/>
  <c r="M5752" i="1"/>
  <c r="V5752" i="1"/>
  <c r="W5752" i="1"/>
  <c r="A2151" i="1"/>
  <c r="D2151" i="1"/>
  <c r="F2151" i="1"/>
  <c r="H2151" i="1"/>
  <c r="I2151" i="1"/>
  <c r="L2151" i="1"/>
  <c r="M2151" i="1"/>
  <c r="V2151" i="1"/>
  <c r="W2151" i="1"/>
  <c r="A3" i="1"/>
  <c r="D3" i="1"/>
  <c r="F3" i="1"/>
  <c r="H3" i="1"/>
  <c r="I3" i="1"/>
  <c r="L3" i="1"/>
  <c r="M3" i="1"/>
  <c r="V3" i="1"/>
  <c r="W3" i="1"/>
  <c r="A5050" i="1"/>
  <c r="D5050" i="1"/>
  <c r="F5050" i="1"/>
  <c r="H5050" i="1"/>
  <c r="I5050" i="1"/>
  <c r="L5050" i="1"/>
  <c r="M5050" i="1"/>
  <c r="V5050" i="1"/>
  <c r="W5050" i="1"/>
  <c r="A5306" i="1"/>
  <c r="D5306" i="1"/>
  <c r="F5306" i="1"/>
  <c r="H5306" i="1"/>
  <c r="I5306" i="1"/>
  <c r="L5306" i="1"/>
  <c r="M5306" i="1"/>
  <c r="V5306" i="1"/>
  <c r="W5306" i="1"/>
  <c r="A3974" i="1"/>
  <c r="D3974" i="1"/>
  <c r="F3974" i="1"/>
  <c r="H3974" i="1"/>
  <c r="I3974" i="1"/>
  <c r="L3974" i="1"/>
  <c r="M3974" i="1"/>
  <c r="V3974" i="1"/>
  <c r="W3974" i="1"/>
  <c r="A1872" i="1"/>
  <c r="D1872" i="1"/>
  <c r="F1872" i="1"/>
  <c r="H1872" i="1"/>
  <c r="I1872" i="1"/>
  <c r="L1872" i="1"/>
  <c r="M1872" i="1"/>
  <c r="V1872" i="1"/>
  <c r="W1872" i="1"/>
  <c r="A2315" i="1"/>
  <c r="D2315" i="1"/>
  <c r="F2315" i="1"/>
  <c r="H2315" i="1"/>
  <c r="I2315" i="1"/>
  <c r="L2315" i="1"/>
  <c r="M2315" i="1"/>
  <c r="V2315" i="1"/>
  <c r="W2315" i="1"/>
  <c r="A2530" i="1"/>
  <c r="D2530" i="1"/>
  <c r="F2530" i="1"/>
  <c r="H2530" i="1"/>
  <c r="I2530" i="1"/>
  <c r="L2530" i="1"/>
  <c r="M2530" i="1"/>
  <c r="V2530" i="1"/>
  <c r="W2530" i="1"/>
  <c r="A133" i="1"/>
  <c r="D133" i="1"/>
  <c r="F133" i="1"/>
  <c r="H133" i="1"/>
  <c r="I133" i="1"/>
  <c r="L133" i="1"/>
  <c r="M133" i="1"/>
  <c r="V133" i="1"/>
  <c r="W133" i="1"/>
  <c r="A421" i="1"/>
  <c r="D421" i="1"/>
  <c r="F421" i="1"/>
  <c r="H421" i="1"/>
  <c r="I421" i="1"/>
  <c r="L421" i="1"/>
  <c r="M421" i="1"/>
  <c r="V421" i="1"/>
  <c r="W421" i="1"/>
  <c r="A871" i="1"/>
  <c r="D871" i="1"/>
  <c r="F871" i="1"/>
  <c r="H871" i="1"/>
  <c r="I871" i="1"/>
  <c r="L871" i="1"/>
  <c r="M871" i="1"/>
  <c r="V871" i="1"/>
  <c r="W871" i="1"/>
  <c r="A972" i="1"/>
  <c r="D972" i="1"/>
  <c r="F972" i="1"/>
  <c r="H972" i="1"/>
  <c r="I972" i="1"/>
  <c r="L972" i="1"/>
  <c r="M972" i="1"/>
  <c r="V972" i="1"/>
  <c r="W972" i="1"/>
  <c r="A1196" i="1"/>
  <c r="D1196" i="1"/>
  <c r="F1196" i="1"/>
  <c r="H1196" i="1"/>
  <c r="I1196" i="1"/>
  <c r="L1196" i="1"/>
  <c r="M1196" i="1"/>
  <c r="V1196" i="1"/>
  <c r="W1196" i="1"/>
  <c r="A1453" i="1"/>
  <c r="D1453" i="1"/>
  <c r="F1453" i="1"/>
  <c r="H1453" i="1"/>
  <c r="I1453" i="1"/>
  <c r="L1453" i="1"/>
  <c r="M1453" i="1"/>
  <c r="V1453" i="1"/>
  <c r="W1453" i="1"/>
  <c r="A1473" i="1"/>
  <c r="D1473" i="1"/>
  <c r="F1473" i="1"/>
  <c r="H1473" i="1"/>
  <c r="I1473" i="1"/>
  <c r="L1473" i="1"/>
  <c r="M1473" i="1"/>
  <c r="V1473" i="1"/>
  <c r="W1473" i="1"/>
  <c r="A2698" i="1"/>
  <c r="D2698" i="1"/>
  <c r="F2698" i="1"/>
  <c r="H2698" i="1"/>
  <c r="I2698" i="1"/>
  <c r="L2698" i="1"/>
  <c r="M2698" i="1"/>
  <c r="V2698" i="1"/>
  <c r="W2698" i="1"/>
  <c r="A2936" i="1"/>
  <c r="D2936" i="1"/>
  <c r="F2936" i="1"/>
  <c r="H2936" i="1"/>
  <c r="I2936" i="1"/>
  <c r="L2936" i="1"/>
  <c r="M2936" i="1"/>
  <c r="V2936" i="1"/>
  <c r="W2936" i="1"/>
  <c r="A3234" i="1"/>
  <c r="D3234" i="1"/>
  <c r="F3234" i="1"/>
  <c r="H3234" i="1"/>
  <c r="I3234" i="1"/>
  <c r="L3234" i="1"/>
  <c r="M3234" i="1"/>
  <c r="V3234" i="1"/>
  <c r="W3234" i="1"/>
  <c r="A3311" i="1"/>
  <c r="D3311" i="1"/>
  <c r="F3311" i="1"/>
  <c r="H3311" i="1"/>
  <c r="I3311" i="1"/>
  <c r="L3311" i="1"/>
  <c r="M3311" i="1"/>
  <c r="V3311" i="1"/>
  <c r="W3311" i="1"/>
  <c r="A3581" i="1"/>
  <c r="D3581" i="1"/>
  <c r="F3581" i="1"/>
  <c r="H3581" i="1"/>
  <c r="I3581" i="1"/>
  <c r="L3581" i="1"/>
  <c r="M3581" i="1"/>
  <c r="V3581" i="1"/>
  <c r="W3581" i="1"/>
  <c r="A5950" i="1"/>
  <c r="D5950" i="1"/>
  <c r="F5950" i="1"/>
  <c r="H5950" i="1"/>
  <c r="I5950" i="1"/>
  <c r="L5950" i="1"/>
  <c r="M5950" i="1"/>
  <c r="V5950" i="1"/>
  <c r="W5950" i="1"/>
  <c r="A6183" i="1"/>
  <c r="D6183" i="1"/>
  <c r="F6183" i="1"/>
  <c r="H6183" i="1"/>
  <c r="I6183" i="1"/>
  <c r="L6183" i="1"/>
  <c r="M6183" i="1"/>
  <c r="V6183" i="1"/>
  <c r="W6183" i="1"/>
  <c r="A1023" i="1"/>
  <c r="D1023" i="1"/>
  <c r="F1023" i="1"/>
  <c r="H1023" i="1"/>
  <c r="I1023" i="1"/>
  <c r="L1023" i="1"/>
  <c r="M1023" i="1"/>
  <c r="V1023" i="1"/>
  <c r="W1023" i="1"/>
  <c r="A2679" i="1"/>
  <c r="D2679" i="1"/>
  <c r="F2679" i="1"/>
  <c r="H2679" i="1"/>
  <c r="I2679" i="1"/>
  <c r="L2679" i="1"/>
  <c r="M2679" i="1"/>
  <c r="V2679" i="1"/>
  <c r="W2679" i="1"/>
  <c r="A1754" i="1"/>
  <c r="D1754" i="1"/>
  <c r="F1754" i="1"/>
  <c r="H1754" i="1"/>
  <c r="I1754" i="1"/>
  <c r="L1754" i="1"/>
  <c r="M1754" i="1"/>
  <c r="V1754" i="1"/>
  <c r="W1754" i="1"/>
  <c r="A2403" i="1"/>
  <c r="D2403" i="1"/>
  <c r="F2403" i="1"/>
  <c r="H2403" i="1"/>
  <c r="I2403" i="1"/>
  <c r="L2403" i="1"/>
  <c r="M2403" i="1"/>
  <c r="V2403" i="1"/>
  <c r="W2403" i="1"/>
  <c r="A4587" i="1"/>
  <c r="D4587" i="1"/>
  <c r="F4587" i="1"/>
  <c r="H4587" i="1"/>
  <c r="I4587" i="1"/>
  <c r="L4587" i="1"/>
  <c r="M4587" i="1"/>
  <c r="V4587" i="1"/>
  <c r="W4587" i="1"/>
  <c r="A4775" i="1"/>
  <c r="D4775" i="1"/>
  <c r="F4775" i="1"/>
  <c r="H4775" i="1"/>
  <c r="I4775" i="1"/>
  <c r="L4775" i="1"/>
  <c r="M4775" i="1"/>
  <c r="V4775" i="1"/>
  <c r="W4775" i="1"/>
  <c r="A143" i="1"/>
  <c r="D143" i="1"/>
  <c r="F143" i="1"/>
  <c r="H143" i="1"/>
  <c r="I143" i="1"/>
  <c r="L143" i="1"/>
  <c r="M143" i="1"/>
  <c r="V143" i="1"/>
  <c r="W143" i="1"/>
  <c r="A884" i="1"/>
  <c r="D884" i="1"/>
  <c r="F884" i="1"/>
  <c r="H884" i="1"/>
  <c r="I884" i="1"/>
  <c r="L884" i="1"/>
  <c r="M884" i="1"/>
  <c r="V884" i="1"/>
  <c r="W884" i="1"/>
  <c r="A984" i="1"/>
  <c r="D984" i="1"/>
  <c r="F984" i="1"/>
  <c r="H984" i="1"/>
  <c r="I984" i="1"/>
  <c r="L984" i="1"/>
  <c r="M984" i="1"/>
  <c r="V984" i="1"/>
  <c r="W984" i="1"/>
  <c r="A1210" i="1"/>
  <c r="D1210" i="1"/>
  <c r="F1210" i="1"/>
  <c r="H1210" i="1"/>
  <c r="I1210" i="1"/>
  <c r="L1210" i="1"/>
  <c r="M1210" i="1"/>
  <c r="V1210" i="1"/>
  <c r="W1210" i="1"/>
  <c r="A1489" i="1"/>
  <c r="D1489" i="1"/>
  <c r="F1489" i="1"/>
  <c r="H1489" i="1"/>
  <c r="I1489" i="1"/>
  <c r="L1489" i="1"/>
  <c r="M1489" i="1"/>
  <c r="V1489" i="1"/>
  <c r="W1489" i="1"/>
  <c r="A1805" i="1"/>
  <c r="D1805" i="1"/>
  <c r="F1805" i="1"/>
  <c r="H1805" i="1"/>
  <c r="I1805" i="1"/>
  <c r="L1805" i="1"/>
  <c r="M1805" i="1"/>
  <c r="V1805" i="1"/>
  <c r="W1805" i="1"/>
  <c r="A2706" i="1"/>
  <c r="D2706" i="1"/>
  <c r="F2706" i="1"/>
  <c r="H2706" i="1"/>
  <c r="I2706" i="1"/>
  <c r="L2706" i="1"/>
  <c r="M2706" i="1"/>
  <c r="V2706" i="1"/>
  <c r="W2706" i="1"/>
  <c r="A2950" i="1"/>
  <c r="D2950" i="1"/>
  <c r="F2950" i="1"/>
  <c r="H2950" i="1"/>
  <c r="I2950" i="1"/>
  <c r="L2950" i="1"/>
  <c r="M2950" i="1"/>
  <c r="V2950" i="1"/>
  <c r="W2950" i="1"/>
  <c r="A3241" i="1"/>
  <c r="D3241" i="1"/>
  <c r="F3241" i="1"/>
  <c r="H3241" i="1"/>
  <c r="I3241" i="1"/>
  <c r="L3241" i="1"/>
  <c r="M3241" i="1"/>
  <c r="V3241" i="1"/>
  <c r="W3241" i="1"/>
  <c r="A3320" i="1"/>
  <c r="D3320" i="1"/>
  <c r="F3320" i="1"/>
  <c r="H3320" i="1"/>
  <c r="I3320" i="1"/>
  <c r="L3320" i="1"/>
  <c r="M3320" i="1"/>
  <c r="V3320" i="1"/>
  <c r="W3320" i="1"/>
  <c r="A4666" i="1"/>
  <c r="D4666" i="1"/>
  <c r="F4666" i="1"/>
  <c r="H4666" i="1"/>
  <c r="I4666" i="1"/>
  <c r="L4666" i="1"/>
  <c r="M4666" i="1"/>
  <c r="V4666" i="1"/>
  <c r="W4666" i="1"/>
  <c r="A4806" i="1"/>
  <c r="D4806" i="1"/>
  <c r="F4806" i="1"/>
  <c r="H4806" i="1"/>
  <c r="I4806" i="1"/>
  <c r="L4806" i="1"/>
  <c r="M4806" i="1"/>
  <c r="V4806" i="1"/>
  <c r="W4806" i="1"/>
  <c r="A4959" i="1"/>
  <c r="D4959" i="1"/>
  <c r="F4959" i="1"/>
  <c r="H4959" i="1"/>
  <c r="I4959" i="1"/>
  <c r="L4959" i="1"/>
  <c r="M4959" i="1"/>
  <c r="V4959" i="1"/>
  <c r="W4959" i="1"/>
  <c r="A5462" i="1"/>
  <c r="D5462" i="1"/>
  <c r="F5462" i="1"/>
  <c r="H5462" i="1"/>
  <c r="I5462" i="1"/>
  <c r="L5462" i="1"/>
  <c r="M5462" i="1"/>
  <c r="V5462" i="1"/>
  <c r="W5462" i="1"/>
  <c r="A5627" i="1"/>
  <c r="D5627" i="1"/>
  <c r="F5627" i="1"/>
  <c r="H5627" i="1"/>
  <c r="I5627" i="1"/>
  <c r="L5627" i="1"/>
  <c r="M5627" i="1"/>
  <c r="V5627" i="1"/>
  <c r="W5627" i="1"/>
  <c r="A5818" i="1"/>
  <c r="D5818" i="1"/>
  <c r="F5818" i="1"/>
  <c r="H5818" i="1"/>
  <c r="I5818" i="1"/>
  <c r="L5818" i="1"/>
  <c r="M5818" i="1"/>
  <c r="V5818" i="1"/>
  <c r="W5818" i="1"/>
  <c r="A5959" i="1"/>
  <c r="D5959" i="1"/>
  <c r="F5959" i="1"/>
  <c r="H5959" i="1"/>
  <c r="I5959" i="1"/>
  <c r="L5959" i="1"/>
  <c r="M5959" i="1"/>
  <c r="V5959" i="1"/>
  <c r="W5959" i="1"/>
  <c r="A6194" i="1"/>
  <c r="D6194" i="1"/>
  <c r="F6194" i="1"/>
  <c r="H6194" i="1"/>
  <c r="I6194" i="1"/>
  <c r="L6194" i="1"/>
  <c r="M6194" i="1"/>
  <c r="V6194" i="1"/>
  <c r="W6194" i="1"/>
  <c r="A1171" i="1"/>
  <c r="D1171" i="1"/>
  <c r="F1171" i="1"/>
  <c r="H1171" i="1"/>
  <c r="I1171" i="1"/>
  <c r="L1171" i="1"/>
  <c r="M1171" i="1"/>
  <c r="V1171" i="1"/>
  <c r="W1171" i="1"/>
  <c r="A4826" i="1"/>
  <c r="D4826" i="1"/>
  <c r="F4826" i="1"/>
  <c r="H4826" i="1"/>
  <c r="I4826" i="1"/>
  <c r="L4826" i="1"/>
  <c r="M4826" i="1"/>
  <c r="V4826" i="1"/>
  <c r="W4826" i="1"/>
  <c r="A3495" i="1"/>
  <c r="D3495" i="1"/>
  <c r="F3495" i="1"/>
  <c r="H3495" i="1"/>
  <c r="I3495" i="1"/>
  <c r="L3495" i="1"/>
  <c r="M3495" i="1"/>
  <c r="V3495" i="1"/>
  <c r="W3495" i="1"/>
  <c r="A1621" i="1"/>
  <c r="D1621" i="1"/>
  <c r="F1621" i="1"/>
  <c r="H1621" i="1"/>
  <c r="I1621" i="1"/>
  <c r="L1621" i="1"/>
  <c r="M1621" i="1"/>
  <c r="V1621" i="1"/>
  <c r="W1621" i="1"/>
  <c r="A425" i="1"/>
  <c r="D425" i="1"/>
  <c r="F425" i="1"/>
  <c r="H425" i="1"/>
  <c r="I425" i="1"/>
  <c r="L425" i="1"/>
  <c r="M425" i="1"/>
  <c r="V425" i="1"/>
  <c r="W425" i="1"/>
  <c r="A4250" i="1"/>
  <c r="D4250" i="1"/>
  <c r="F4250" i="1"/>
  <c r="H4250" i="1"/>
  <c r="I4250" i="1"/>
  <c r="L4250" i="1"/>
  <c r="M4250" i="1"/>
  <c r="V4250" i="1"/>
  <c r="W4250" i="1"/>
  <c r="A5188" i="1"/>
  <c r="D5188" i="1"/>
  <c r="F5188" i="1"/>
  <c r="H5188" i="1"/>
  <c r="I5188" i="1"/>
  <c r="L5188" i="1"/>
  <c r="M5188" i="1"/>
  <c r="V5188" i="1"/>
  <c r="W5188" i="1"/>
  <c r="A4144" i="1"/>
  <c r="D4144" i="1"/>
  <c r="F4144" i="1"/>
  <c r="H4144" i="1"/>
  <c r="I4144" i="1"/>
  <c r="L4144" i="1"/>
  <c r="M4144" i="1"/>
  <c r="V4144" i="1"/>
  <c r="W4144" i="1"/>
  <c r="A5719" i="1"/>
  <c r="D5719" i="1"/>
  <c r="F5719" i="1"/>
  <c r="H5719" i="1"/>
  <c r="I5719" i="1"/>
  <c r="L5719" i="1"/>
  <c r="M5719" i="1"/>
  <c r="V5719" i="1"/>
  <c r="W5719" i="1"/>
  <c r="A847" i="1"/>
  <c r="D847" i="1"/>
  <c r="F847" i="1"/>
  <c r="H847" i="1"/>
  <c r="I847" i="1"/>
  <c r="L847" i="1"/>
  <c r="M847" i="1"/>
  <c r="V847" i="1"/>
  <c r="W847" i="1"/>
  <c r="A1269" i="1"/>
  <c r="D1269" i="1"/>
  <c r="F1269" i="1"/>
  <c r="H1269" i="1"/>
  <c r="I1269" i="1"/>
  <c r="L1269" i="1"/>
  <c r="M1269" i="1"/>
  <c r="V1269" i="1"/>
  <c r="W1269" i="1"/>
  <c r="A519" i="1"/>
  <c r="D519" i="1"/>
  <c r="F519" i="1"/>
  <c r="H519" i="1"/>
  <c r="I519" i="1"/>
  <c r="L519" i="1"/>
  <c r="M519" i="1"/>
  <c r="V519" i="1"/>
  <c r="W519" i="1"/>
  <c r="A501" i="1"/>
  <c r="D501" i="1"/>
  <c r="F501" i="1"/>
  <c r="H501" i="1"/>
  <c r="I501" i="1"/>
  <c r="L501" i="1"/>
  <c r="M501" i="1"/>
  <c r="V501" i="1"/>
  <c r="W501" i="1"/>
  <c r="A496" i="1"/>
  <c r="D496" i="1"/>
  <c r="F496" i="1"/>
  <c r="H496" i="1"/>
  <c r="I496" i="1"/>
  <c r="L496" i="1"/>
  <c r="M496" i="1"/>
  <c r="V496" i="1"/>
  <c r="W496" i="1"/>
  <c r="A1433" i="1"/>
  <c r="D1433" i="1"/>
  <c r="F1433" i="1"/>
  <c r="H1433" i="1"/>
  <c r="I1433" i="1"/>
  <c r="L1433" i="1"/>
  <c r="M1433" i="1"/>
  <c r="V1433" i="1"/>
  <c r="W1433" i="1"/>
  <c r="A1227" i="1"/>
  <c r="D1227" i="1"/>
  <c r="F1227" i="1"/>
  <c r="H1227" i="1"/>
  <c r="I1227" i="1"/>
  <c r="L1227" i="1"/>
  <c r="M1227" i="1"/>
  <c r="V1227" i="1"/>
  <c r="W1227" i="1"/>
  <c r="A1313" i="1"/>
  <c r="D1313" i="1"/>
  <c r="F1313" i="1"/>
  <c r="H1313" i="1"/>
  <c r="I1313" i="1"/>
  <c r="L1313" i="1"/>
  <c r="M1313" i="1"/>
  <c r="V1313" i="1"/>
  <c r="W1313" i="1"/>
  <c r="A409" i="1"/>
  <c r="D409" i="1"/>
  <c r="F409" i="1"/>
  <c r="H409" i="1"/>
  <c r="I409" i="1"/>
  <c r="L409" i="1"/>
  <c r="M409" i="1"/>
  <c r="V409" i="1"/>
  <c r="W409" i="1"/>
  <c r="A3925" i="1"/>
  <c r="D3925" i="1"/>
  <c r="F3925" i="1"/>
  <c r="H3925" i="1"/>
  <c r="I3925" i="1"/>
  <c r="L3925" i="1"/>
  <c r="M3925" i="1"/>
  <c r="V3925" i="1"/>
  <c r="W3925" i="1"/>
  <c r="A4074" i="1"/>
  <c r="D4074" i="1"/>
  <c r="F4074" i="1"/>
  <c r="H4074" i="1"/>
  <c r="I4074" i="1"/>
  <c r="L4074" i="1"/>
  <c r="M4074" i="1"/>
  <c r="V4074" i="1"/>
  <c r="W4074" i="1"/>
  <c r="A4152" i="1"/>
  <c r="D4152" i="1"/>
  <c r="F4152" i="1"/>
  <c r="H4152" i="1"/>
  <c r="I4152" i="1"/>
  <c r="L4152" i="1"/>
  <c r="M4152" i="1"/>
  <c r="V4152" i="1"/>
  <c r="W4152" i="1"/>
  <c r="A4251" i="1"/>
  <c r="D4251" i="1"/>
  <c r="F4251" i="1"/>
  <c r="H4251" i="1"/>
  <c r="I4251" i="1"/>
  <c r="L4251" i="1"/>
  <c r="M4251" i="1"/>
  <c r="V4251" i="1"/>
  <c r="W4251" i="1"/>
  <c r="A4607" i="1"/>
  <c r="D4607" i="1"/>
  <c r="F4607" i="1"/>
  <c r="H4607" i="1"/>
  <c r="I4607" i="1"/>
  <c r="L4607" i="1"/>
  <c r="M4607" i="1"/>
  <c r="V4607" i="1"/>
  <c r="W4607" i="1"/>
  <c r="A5741" i="1"/>
  <c r="D5741" i="1"/>
  <c r="F5741" i="1"/>
  <c r="H5741" i="1"/>
  <c r="I5741" i="1"/>
  <c r="L5741" i="1"/>
  <c r="M5741" i="1"/>
  <c r="V5741" i="1"/>
  <c r="W5741" i="1"/>
  <c r="A3758" i="1"/>
  <c r="D3758" i="1"/>
  <c r="F3758" i="1"/>
  <c r="H3758" i="1"/>
  <c r="I3758" i="1"/>
  <c r="L3758" i="1"/>
  <c r="M3758" i="1"/>
  <c r="V3758" i="1"/>
  <c r="W3758" i="1"/>
  <c r="A1948" i="1"/>
  <c r="D1948" i="1"/>
  <c r="F1948" i="1"/>
  <c r="H1948" i="1"/>
  <c r="I1948" i="1"/>
  <c r="L1948" i="1"/>
  <c r="M1948" i="1"/>
  <c r="V1948" i="1"/>
  <c r="W1948" i="1"/>
  <c r="A1093" i="1"/>
  <c r="D1093" i="1"/>
  <c r="F1093" i="1"/>
  <c r="H1093" i="1"/>
  <c r="I1093" i="1"/>
  <c r="L1093" i="1"/>
  <c r="M1093" i="1"/>
  <c r="V1093" i="1"/>
  <c r="W1093" i="1"/>
  <c r="A5029" i="1"/>
  <c r="D5029" i="1"/>
  <c r="F5029" i="1"/>
  <c r="H5029" i="1"/>
  <c r="I5029" i="1"/>
  <c r="L5029" i="1"/>
  <c r="M5029" i="1"/>
  <c r="V5029" i="1"/>
  <c r="W5029" i="1"/>
  <c r="A5932" i="1"/>
  <c r="D5932" i="1"/>
  <c r="F5932" i="1"/>
  <c r="H5932" i="1"/>
  <c r="I5932" i="1"/>
  <c r="L5932" i="1"/>
  <c r="M5932" i="1"/>
  <c r="V5932" i="1"/>
  <c r="W5932" i="1"/>
  <c r="A3168" i="1"/>
  <c r="D3168" i="1"/>
  <c r="F3168" i="1"/>
  <c r="H3168" i="1"/>
  <c r="I3168" i="1"/>
  <c r="L3168" i="1"/>
  <c r="M3168" i="1"/>
  <c r="V3168" i="1"/>
  <c r="W3168" i="1"/>
  <c r="A3230" i="1"/>
  <c r="D3230" i="1"/>
  <c r="F3230" i="1"/>
  <c r="H3230" i="1"/>
  <c r="I3230" i="1"/>
  <c r="L3230" i="1"/>
  <c r="M3230" i="1"/>
  <c r="V3230" i="1"/>
  <c r="W3230" i="1"/>
  <c r="A222" i="1"/>
  <c r="D222" i="1"/>
  <c r="F222" i="1"/>
  <c r="H222" i="1"/>
  <c r="I222" i="1"/>
  <c r="L222" i="1"/>
  <c r="M222" i="1"/>
  <c r="V222" i="1"/>
  <c r="W222" i="1"/>
  <c r="A5198" i="1"/>
  <c r="D5198" i="1"/>
  <c r="F5198" i="1"/>
  <c r="H5198" i="1"/>
  <c r="I5198" i="1"/>
  <c r="L5198" i="1"/>
  <c r="M5198" i="1"/>
  <c r="V5198" i="1"/>
  <c r="W5198" i="1"/>
  <c r="A45" i="1"/>
  <c r="D45" i="1"/>
  <c r="F45" i="1"/>
  <c r="H45" i="1"/>
  <c r="I45" i="1"/>
  <c r="L45" i="1"/>
  <c r="M45" i="1"/>
  <c r="V45" i="1"/>
  <c r="W45" i="1"/>
  <c r="A5190" i="1"/>
  <c r="D5190" i="1"/>
  <c r="F5190" i="1"/>
  <c r="H5190" i="1"/>
  <c r="I5190" i="1"/>
  <c r="L5190" i="1"/>
  <c r="M5190" i="1"/>
  <c r="V5190" i="1"/>
  <c r="W5190" i="1"/>
  <c r="A5616" i="1"/>
  <c r="D5616" i="1"/>
  <c r="F5616" i="1"/>
  <c r="H5616" i="1"/>
  <c r="I5616" i="1"/>
  <c r="L5616" i="1"/>
  <c r="M5616" i="1"/>
  <c r="V5616" i="1"/>
  <c r="W5616" i="1"/>
  <c r="A4171" i="1"/>
  <c r="D4171" i="1"/>
  <c r="F4171" i="1"/>
  <c r="H4171" i="1"/>
  <c r="I4171" i="1"/>
  <c r="L4171" i="1"/>
  <c r="M4171" i="1"/>
  <c r="V4171" i="1"/>
  <c r="W4171" i="1"/>
  <c r="A1761" i="1"/>
  <c r="D1761" i="1"/>
  <c r="F1761" i="1"/>
  <c r="H1761" i="1"/>
  <c r="I1761" i="1"/>
  <c r="L1761" i="1"/>
  <c r="M1761" i="1"/>
  <c r="V1761" i="1"/>
  <c r="W1761" i="1"/>
  <c r="A2527" i="1"/>
  <c r="D2527" i="1"/>
  <c r="F2527" i="1"/>
  <c r="H2527" i="1"/>
  <c r="I2527" i="1"/>
  <c r="L2527" i="1"/>
  <c r="M2527" i="1"/>
  <c r="V2527" i="1"/>
  <c r="W2527" i="1"/>
  <c r="A2184" i="1"/>
  <c r="D2184" i="1"/>
  <c r="F2184" i="1"/>
  <c r="H2184" i="1"/>
  <c r="I2184" i="1"/>
  <c r="L2184" i="1"/>
  <c r="M2184" i="1"/>
  <c r="V2184" i="1"/>
  <c r="W2184" i="1"/>
  <c r="A477" i="1"/>
  <c r="D477" i="1"/>
  <c r="F477" i="1"/>
  <c r="H477" i="1"/>
  <c r="I477" i="1"/>
  <c r="L477" i="1"/>
  <c r="M477" i="1"/>
  <c r="V477" i="1"/>
  <c r="W477" i="1"/>
  <c r="A118" i="1"/>
  <c r="D118" i="1"/>
  <c r="F118" i="1"/>
  <c r="H118" i="1"/>
  <c r="I118" i="1"/>
  <c r="L118" i="1"/>
  <c r="M118" i="1"/>
  <c r="V118" i="1"/>
  <c r="W118" i="1"/>
  <c r="A654" i="1"/>
  <c r="D654" i="1"/>
  <c r="F654" i="1"/>
  <c r="H654" i="1"/>
  <c r="I654" i="1"/>
  <c r="L654" i="1"/>
  <c r="M654" i="1"/>
  <c r="V654" i="1"/>
  <c r="W654" i="1"/>
  <c r="A2659" i="1"/>
  <c r="D2659" i="1"/>
  <c r="F2659" i="1"/>
  <c r="H2659" i="1"/>
  <c r="I2659" i="1"/>
  <c r="L2659" i="1"/>
  <c r="M2659" i="1"/>
  <c r="V2659" i="1"/>
  <c r="W2659" i="1"/>
  <c r="A2757" i="1"/>
  <c r="D2757" i="1"/>
  <c r="F2757" i="1"/>
  <c r="H2757" i="1"/>
  <c r="I2757" i="1"/>
  <c r="L2757" i="1"/>
  <c r="M2757" i="1"/>
  <c r="V2757" i="1"/>
  <c r="W2757" i="1"/>
  <c r="A3575" i="1"/>
  <c r="D3575" i="1"/>
  <c r="F3575" i="1"/>
  <c r="H3575" i="1"/>
  <c r="I3575" i="1"/>
  <c r="L3575" i="1"/>
  <c r="M3575" i="1"/>
  <c r="V3575" i="1"/>
  <c r="W3575" i="1"/>
  <c r="A3957" i="1"/>
  <c r="D3957" i="1"/>
  <c r="F3957" i="1"/>
  <c r="H3957" i="1"/>
  <c r="I3957" i="1"/>
  <c r="L3957" i="1"/>
  <c r="M3957" i="1"/>
  <c r="V3957" i="1"/>
  <c r="W3957" i="1"/>
  <c r="A5191" i="1"/>
  <c r="D5191" i="1"/>
  <c r="F5191" i="1"/>
  <c r="H5191" i="1"/>
  <c r="I5191" i="1"/>
  <c r="L5191" i="1"/>
  <c r="M5191" i="1"/>
  <c r="V5191" i="1"/>
  <c r="W5191" i="1"/>
  <c r="A5615" i="1"/>
  <c r="D5615" i="1"/>
  <c r="F5615" i="1"/>
  <c r="H5615" i="1"/>
  <c r="I5615" i="1"/>
  <c r="L5615" i="1"/>
  <c r="M5615" i="1"/>
  <c r="V5615" i="1"/>
  <c r="W5615" i="1"/>
  <c r="A526" i="1"/>
  <c r="D526" i="1"/>
  <c r="F526" i="1"/>
  <c r="H526" i="1"/>
  <c r="I526" i="1"/>
  <c r="L526" i="1"/>
  <c r="M526" i="1"/>
  <c r="V526" i="1"/>
  <c r="W526" i="1"/>
  <c r="A5120" i="1"/>
  <c r="D5120" i="1"/>
  <c r="F5120" i="1"/>
  <c r="H5120" i="1"/>
  <c r="I5120" i="1"/>
  <c r="L5120" i="1"/>
  <c r="M5120" i="1"/>
  <c r="V5120" i="1"/>
  <c r="W5120" i="1"/>
  <c r="A1094" i="1"/>
  <c r="D1094" i="1"/>
  <c r="F1094" i="1"/>
  <c r="H1094" i="1"/>
  <c r="I1094" i="1"/>
  <c r="L1094" i="1"/>
  <c r="M1094" i="1"/>
  <c r="V1094" i="1"/>
  <c r="W1094" i="1"/>
  <c r="A5688" i="1"/>
  <c r="D5688" i="1"/>
  <c r="F5688" i="1"/>
  <c r="H5688" i="1"/>
  <c r="I5688" i="1"/>
  <c r="L5688" i="1"/>
  <c r="M5688" i="1"/>
  <c r="V5688" i="1"/>
  <c r="W5688" i="1"/>
  <c r="A5588" i="1"/>
  <c r="D5588" i="1"/>
  <c r="F5588" i="1"/>
  <c r="H5588" i="1"/>
  <c r="I5588" i="1"/>
  <c r="L5588" i="1"/>
  <c r="M5588" i="1"/>
  <c r="V5588" i="1"/>
  <c r="W5588" i="1"/>
  <c r="A5875" i="1"/>
  <c r="D5875" i="1"/>
  <c r="F5875" i="1"/>
  <c r="H5875" i="1"/>
  <c r="I5875" i="1"/>
  <c r="L5875" i="1"/>
  <c r="M5875" i="1"/>
  <c r="V5875" i="1"/>
  <c r="W5875" i="1"/>
  <c r="A2159" i="1"/>
  <c r="D2159" i="1"/>
  <c r="F2159" i="1"/>
  <c r="H2159" i="1"/>
  <c r="I2159" i="1"/>
  <c r="L2159" i="1"/>
  <c r="M2159" i="1"/>
  <c r="V2159" i="1"/>
  <c r="W2159" i="1"/>
  <c r="A2199" i="1"/>
  <c r="D2199" i="1"/>
  <c r="F2199" i="1"/>
  <c r="H2199" i="1"/>
  <c r="I2199" i="1"/>
  <c r="L2199" i="1"/>
  <c r="M2199" i="1"/>
  <c r="V2199" i="1"/>
  <c r="W2199" i="1"/>
  <c r="A5395" i="1"/>
  <c r="D5395" i="1"/>
  <c r="F5395" i="1"/>
  <c r="H5395" i="1"/>
  <c r="I5395" i="1"/>
  <c r="L5395" i="1"/>
  <c r="M5395" i="1"/>
  <c r="V5395" i="1"/>
  <c r="W5395" i="1"/>
  <c r="A6168" i="1"/>
  <c r="D6168" i="1"/>
  <c r="F6168" i="1"/>
  <c r="H6168" i="1"/>
  <c r="I6168" i="1"/>
  <c r="L6168" i="1"/>
  <c r="M6168" i="1"/>
  <c r="V6168" i="1"/>
  <c r="W6168" i="1"/>
  <c r="A220" i="1"/>
  <c r="D220" i="1"/>
  <c r="F220" i="1"/>
  <c r="H220" i="1"/>
  <c r="I220" i="1"/>
  <c r="L220" i="1"/>
  <c r="M220" i="1"/>
  <c r="V220" i="1"/>
  <c r="W220" i="1"/>
  <c r="A2105" i="1"/>
  <c r="D2105" i="1"/>
  <c r="F2105" i="1"/>
  <c r="H2105" i="1"/>
  <c r="I2105" i="1"/>
  <c r="L2105" i="1"/>
  <c r="M2105" i="1"/>
  <c r="V2105" i="1"/>
  <c r="W2105" i="1"/>
  <c r="A2218" i="1"/>
  <c r="D2218" i="1"/>
  <c r="F2218" i="1"/>
  <c r="H2218" i="1"/>
  <c r="I2218" i="1"/>
  <c r="L2218" i="1"/>
  <c r="M2218" i="1"/>
  <c r="V2218" i="1"/>
  <c r="W2218" i="1"/>
  <c r="A3544" i="1"/>
  <c r="D3544" i="1"/>
  <c r="F3544" i="1"/>
  <c r="H3544" i="1"/>
  <c r="I3544" i="1"/>
  <c r="L3544" i="1"/>
  <c r="M3544" i="1"/>
  <c r="V3544" i="1"/>
  <c r="W3544" i="1"/>
  <c r="A4304" i="1"/>
  <c r="D4304" i="1"/>
  <c r="F4304" i="1"/>
  <c r="H4304" i="1"/>
  <c r="I4304" i="1"/>
  <c r="L4304" i="1"/>
  <c r="M4304" i="1"/>
  <c r="V4304" i="1"/>
  <c r="W4304" i="1"/>
  <c r="A4903" i="1"/>
  <c r="D4903" i="1"/>
  <c r="F4903" i="1"/>
  <c r="H4903" i="1"/>
  <c r="I4903" i="1"/>
  <c r="L4903" i="1"/>
  <c r="M4903" i="1"/>
  <c r="V4903" i="1"/>
  <c r="W4903" i="1"/>
  <c r="A4581" i="1"/>
  <c r="D4581" i="1"/>
  <c r="F4581" i="1"/>
  <c r="H4581" i="1"/>
  <c r="I4581" i="1"/>
  <c r="L4581" i="1"/>
  <c r="M4581" i="1"/>
  <c r="V4581" i="1"/>
  <c r="W4581" i="1"/>
  <c r="A3024" i="1"/>
  <c r="D3024" i="1"/>
  <c r="F3024" i="1"/>
  <c r="H3024" i="1"/>
  <c r="I3024" i="1"/>
  <c r="L3024" i="1"/>
  <c r="M3024" i="1"/>
  <c r="V3024" i="1"/>
  <c r="W3024" i="1"/>
  <c r="A3568" i="1"/>
  <c r="D3568" i="1"/>
  <c r="F3568" i="1"/>
  <c r="H3568" i="1"/>
  <c r="I3568" i="1"/>
  <c r="L3568" i="1"/>
  <c r="M3568" i="1"/>
  <c r="V3568" i="1"/>
  <c r="W3568" i="1"/>
  <c r="A2662" i="1"/>
  <c r="D2662" i="1"/>
  <c r="F2662" i="1"/>
  <c r="H2662" i="1"/>
  <c r="I2662" i="1"/>
  <c r="L2662" i="1"/>
  <c r="M2662" i="1"/>
  <c r="V2662" i="1"/>
  <c r="W2662" i="1"/>
  <c r="A2665" i="1"/>
  <c r="D2665" i="1"/>
  <c r="F2665" i="1"/>
  <c r="H2665" i="1"/>
  <c r="I2665" i="1"/>
  <c r="L2665" i="1"/>
  <c r="M2665" i="1"/>
  <c r="V2665" i="1"/>
  <c r="W2665" i="1"/>
  <c r="A38" i="1"/>
  <c r="D38" i="1"/>
  <c r="F38" i="1"/>
  <c r="H38" i="1"/>
  <c r="I38" i="1"/>
  <c r="L38" i="1"/>
  <c r="M38" i="1"/>
  <c r="V38" i="1"/>
  <c r="W38" i="1"/>
  <c r="A4271" i="1"/>
  <c r="D4271" i="1"/>
  <c r="F4271" i="1"/>
  <c r="H4271" i="1"/>
  <c r="I4271" i="1"/>
  <c r="L4271" i="1"/>
  <c r="M4271" i="1"/>
  <c r="V4271" i="1"/>
  <c r="W4271" i="1"/>
  <c r="A4275" i="1"/>
  <c r="D4275" i="1"/>
  <c r="F4275" i="1"/>
  <c r="H4275" i="1"/>
  <c r="I4275" i="1"/>
  <c r="L4275" i="1"/>
  <c r="M4275" i="1"/>
  <c r="V4275" i="1"/>
  <c r="W4275" i="1"/>
  <c r="A5589" i="1"/>
  <c r="D5589" i="1"/>
  <c r="F5589" i="1"/>
  <c r="H5589" i="1"/>
  <c r="I5589" i="1"/>
  <c r="L5589" i="1"/>
  <c r="M5589" i="1"/>
  <c r="V5589" i="1"/>
  <c r="W5589" i="1"/>
  <c r="A3929" i="1"/>
  <c r="D3929" i="1"/>
  <c r="F3929" i="1"/>
  <c r="H3929" i="1"/>
  <c r="I3929" i="1"/>
  <c r="L3929" i="1"/>
  <c r="M3929" i="1"/>
  <c r="V3929" i="1"/>
  <c r="W3929" i="1"/>
  <c r="A4147" i="1"/>
  <c r="D4147" i="1"/>
  <c r="F4147" i="1"/>
  <c r="H4147" i="1"/>
  <c r="I4147" i="1"/>
  <c r="L4147" i="1"/>
  <c r="M4147" i="1"/>
  <c r="V4147" i="1"/>
  <c r="W4147" i="1"/>
  <c r="A5345" i="1"/>
  <c r="D5345" i="1"/>
  <c r="F5345" i="1"/>
  <c r="H5345" i="1"/>
  <c r="I5345" i="1"/>
  <c r="L5345" i="1"/>
  <c r="M5345" i="1"/>
  <c r="V5345" i="1"/>
  <c r="W5345" i="1"/>
  <c r="A5614" i="1"/>
  <c r="D5614" i="1"/>
  <c r="F5614" i="1"/>
  <c r="H5614" i="1"/>
  <c r="I5614" i="1"/>
  <c r="L5614" i="1"/>
  <c r="M5614" i="1"/>
  <c r="V5614" i="1"/>
  <c r="W5614" i="1"/>
  <c r="A1960" i="1"/>
  <c r="D1960" i="1"/>
  <c r="F1960" i="1"/>
  <c r="H1960" i="1"/>
  <c r="I1960" i="1"/>
  <c r="L1960" i="1"/>
  <c r="M1960" i="1"/>
  <c r="V1960" i="1"/>
  <c r="W1960" i="1"/>
  <c r="A2537" i="1"/>
  <c r="D2537" i="1"/>
  <c r="F2537" i="1"/>
  <c r="H2537" i="1"/>
  <c r="I2537" i="1"/>
  <c r="L2537" i="1"/>
  <c r="M2537" i="1"/>
  <c r="V2537" i="1"/>
  <c r="W2537" i="1"/>
  <c r="A4714" i="1"/>
  <c r="D4714" i="1"/>
  <c r="F4714" i="1"/>
  <c r="H4714" i="1"/>
  <c r="I4714" i="1"/>
  <c r="L4714" i="1"/>
  <c r="M4714" i="1"/>
  <c r="V4714" i="1"/>
  <c r="W4714" i="1"/>
  <c r="A5033" i="1"/>
  <c r="D5033" i="1"/>
  <c r="F5033" i="1"/>
  <c r="H5033" i="1"/>
  <c r="I5033" i="1"/>
  <c r="L5033" i="1"/>
  <c r="M5033" i="1"/>
  <c r="V5033" i="1"/>
  <c r="W5033" i="1"/>
  <c r="A4305" i="1"/>
  <c r="D4305" i="1"/>
  <c r="F4305" i="1"/>
  <c r="H4305" i="1"/>
  <c r="I4305" i="1"/>
  <c r="L4305" i="1"/>
  <c r="M4305" i="1"/>
  <c r="V4305" i="1"/>
  <c r="W4305" i="1"/>
  <c r="A592" i="1"/>
  <c r="D592" i="1"/>
  <c r="F592" i="1"/>
  <c r="H592" i="1"/>
  <c r="I592" i="1"/>
  <c r="L592" i="1"/>
  <c r="M592" i="1"/>
  <c r="V592" i="1"/>
  <c r="W592" i="1"/>
  <c r="A1760" i="1"/>
  <c r="D1760" i="1"/>
  <c r="F1760" i="1"/>
  <c r="H1760" i="1"/>
  <c r="I1760" i="1"/>
  <c r="L1760" i="1"/>
  <c r="M1760" i="1"/>
  <c r="V1760" i="1"/>
  <c r="W1760" i="1"/>
  <c r="A2477" i="1"/>
  <c r="D2477" i="1"/>
  <c r="F2477" i="1"/>
  <c r="H2477" i="1"/>
  <c r="I2477" i="1"/>
  <c r="L2477" i="1"/>
  <c r="M2477" i="1"/>
  <c r="V2477" i="1"/>
  <c r="W2477" i="1"/>
  <c r="A2351" i="1"/>
  <c r="D2351" i="1"/>
  <c r="F2351" i="1"/>
  <c r="H2351" i="1"/>
  <c r="I2351" i="1"/>
  <c r="L2351" i="1"/>
  <c r="M2351" i="1"/>
  <c r="V2351" i="1"/>
  <c r="W2351" i="1"/>
  <c r="A2555" i="1"/>
  <c r="D2555" i="1"/>
  <c r="F2555" i="1"/>
  <c r="H2555" i="1"/>
  <c r="I2555" i="1"/>
  <c r="L2555" i="1"/>
  <c r="M2555" i="1"/>
  <c r="V2555" i="1"/>
  <c r="W2555" i="1"/>
  <c r="A2736" i="1"/>
  <c r="D2736" i="1"/>
  <c r="F2736" i="1"/>
  <c r="H2736" i="1"/>
  <c r="I2736" i="1"/>
  <c r="L2736" i="1"/>
  <c r="M2736" i="1"/>
  <c r="V2736" i="1"/>
  <c r="W2736" i="1"/>
  <c r="A2690" i="1"/>
  <c r="D2690" i="1"/>
  <c r="F2690" i="1"/>
  <c r="H2690" i="1"/>
  <c r="I2690" i="1"/>
  <c r="L2690" i="1"/>
  <c r="M2690" i="1"/>
  <c r="V2690" i="1"/>
  <c r="W2690" i="1"/>
  <c r="A2656" i="1"/>
  <c r="D2656" i="1"/>
  <c r="F2656" i="1"/>
  <c r="H2656" i="1"/>
  <c r="I2656" i="1"/>
  <c r="L2656" i="1"/>
  <c r="M2656" i="1"/>
  <c r="V2656" i="1"/>
  <c r="W2656" i="1"/>
  <c r="A3818" i="1"/>
  <c r="D3818" i="1"/>
  <c r="F3818" i="1"/>
  <c r="H3818" i="1"/>
  <c r="I3818" i="1"/>
  <c r="L3818" i="1"/>
  <c r="M3818" i="1"/>
  <c r="V3818" i="1"/>
  <c r="W3818" i="1"/>
  <c r="A2991" i="1"/>
  <c r="D2991" i="1"/>
  <c r="F2991" i="1"/>
  <c r="H2991" i="1"/>
  <c r="I2991" i="1"/>
  <c r="L2991" i="1"/>
  <c r="M2991" i="1"/>
  <c r="V2991" i="1"/>
  <c r="W2991" i="1"/>
  <c r="A1114" i="1"/>
  <c r="D1114" i="1"/>
  <c r="F1114" i="1"/>
  <c r="H1114" i="1"/>
  <c r="I1114" i="1"/>
  <c r="L1114" i="1"/>
  <c r="M1114" i="1"/>
  <c r="V1114" i="1"/>
  <c r="W1114" i="1"/>
  <c r="A1790" i="1"/>
  <c r="D1790" i="1"/>
  <c r="F1790" i="1"/>
  <c r="H1790" i="1"/>
  <c r="I1790" i="1"/>
  <c r="L1790" i="1"/>
  <c r="M1790" i="1"/>
  <c r="V1790" i="1"/>
  <c r="W1790" i="1"/>
  <c r="A2247" i="1"/>
  <c r="D2247" i="1"/>
  <c r="F2247" i="1"/>
  <c r="H2247" i="1"/>
  <c r="I2247" i="1"/>
  <c r="L2247" i="1"/>
  <c r="M2247" i="1"/>
  <c r="V2247" i="1"/>
  <c r="W2247" i="1"/>
  <c r="A2273" i="1"/>
  <c r="D2273" i="1"/>
  <c r="F2273" i="1"/>
  <c r="H2273" i="1"/>
  <c r="I2273" i="1"/>
  <c r="L2273" i="1"/>
  <c r="M2273" i="1"/>
  <c r="V2273" i="1"/>
  <c r="W2273" i="1"/>
  <c r="A6026" i="1"/>
  <c r="D6026" i="1"/>
  <c r="F6026" i="1"/>
  <c r="H6026" i="1"/>
  <c r="I6026" i="1"/>
  <c r="L6026" i="1"/>
  <c r="M6026" i="1"/>
  <c r="V6026" i="1"/>
  <c r="W6026" i="1"/>
  <c r="A1165" i="1"/>
  <c r="D1165" i="1"/>
  <c r="F1165" i="1"/>
  <c r="H1165" i="1"/>
  <c r="I1165" i="1"/>
  <c r="L1165" i="1"/>
  <c r="M1165" i="1"/>
  <c r="V1165" i="1"/>
  <c r="W1165" i="1"/>
  <c r="A1179" i="1"/>
  <c r="D1179" i="1"/>
  <c r="F1179" i="1"/>
  <c r="H1179" i="1"/>
  <c r="I1179" i="1"/>
  <c r="L1179" i="1"/>
  <c r="M1179" i="1"/>
  <c r="V1179" i="1"/>
  <c r="W1179" i="1"/>
  <c r="A2200" i="1"/>
  <c r="D2200" i="1"/>
  <c r="F2200" i="1"/>
  <c r="H2200" i="1"/>
  <c r="I2200" i="1"/>
  <c r="L2200" i="1"/>
  <c r="M2200" i="1"/>
  <c r="V2200" i="1"/>
  <c r="W2200" i="1"/>
  <c r="A3642" i="1"/>
  <c r="D3642" i="1"/>
  <c r="F3642" i="1"/>
  <c r="H3642" i="1"/>
  <c r="I3642" i="1"/>
  <c r="L3642" i="1"/>
  <c r="M3642" i="1"/>
  <c r="V3642" i="1"/>
  <c r="W3642" i="1"/>
  <c r="A3928" i="1"/>
  <c r="D3928" i="1"/>
  <c r="F3928" i="1"/>
  <c r="H3928" i="1"/>
  <c r="I3928" i="1"/>
  <c r="L3928" i="1"/>
  <c r="M3928" i="1"/>
  <c r="V3928" i="1"/>
  <c r="W3928" i="1"/>
  <c r="A4149" i="1"/>
  <c r="D4149" i="1"/>
  <c r="F4149" i="1"/>
  <c r="H4149" i="1"/>
  <c r="I4149" i="1"/>
  <c r="L4149" i="1"/>
  <c r="M4149" i="1"/>
  <c r="V4149" i="1"/>
  <c r="W4149" i="1"/>
  <c r="A708" i="1"/>
  <c r="D708" i="1"/>
  <c r="F708" i="1"/>
  <c r="H708" i="1"/>
  <c r="I708" i="1"/>
  <c r="L708" i="1"/>
  <c r="M708" i="1"/>
  <c r="V708" i="1"/>
  <c r="W708" i="1"/>
  <c r="A765" i="1"/>
  <c r="D765" i="1"/>
  <c r="F765" i="1"/>
  <c r="H765" i="1"/>
  <c r="I765" i="1"/>
  <c r="L765" i="1"/>
  <c r="M765" i="1"/>
  <c r="V765" i="1"/>
  <c r="W765" i="1"/>
  <c r="A4741" i="1"/>
  <c r="D4741" i="1"/>
  <c r="F4741" i="1"/>
  <c r="H4741" i="1"/>
  <c r="I4741" i="1"/>
  <c r="L4741" i="1"/>
  <c r="M4741" i="1"/>
  <c r="V4741" i="1"/>
  <c r="W4741" i="1"/>
  <c r="A3488" i="1"/>
  <c r="D3488" i="1"/>
  <c r="F3488" i="1"/>
  <c r="H3488" i="1"/>
  <c r="I3488" i="1"/>
  <c r="L3488" i="1"/>
  <c r="M3488" i="1"/>
  <c r="V3488" i="1"/>
  <c r="W3488" i="1"/>
  <c r="A1853" i="1"/>
  <c r="D1853" i="1"/>
  <c r="F1853" i="1"/>
  <c r="H1853" i="1"/>
  <c r="I1853" i="1"/>
  <c r="L1853" i="1"/>
  <c r="M1853" i="1"/>
  <c r="V1853" i="1"/>
  <c r="W1853" i="1"/>
  <c r="A2191" i="1"/>
  <c r="D2191" i="1"/>
  <c r="F2191" i="1"/>
  <c r="H2191" i="1"/>
  <c r="I2191" i="1"/>
  <c r="L2191" i="1"/>
  <c r="M2191" i="1"/>
  <c r="V2191" i="1"/>
  <c r="W2191" i="1"/>
  <c r="A5058" i="1"/>
  <c r="D5058" i="1"/>
  <c r="F5058" i="1"/>
  <c r="H5058" i="1"/>
  <c r="I5058" i="1"/>
  <c r="L5058" i="1"/>
  <c r="M5058" i="1"/>
  <c r="V5058" i="1"/>
  <c r="W5058" i="1"/>
  <c r="A5448" i="1"/>
  <c r="D5448" i="1"/>
  <c r="F5448" i="1"/>
  <c r="H5448" i="1"/>
  <c r="I5448" i="1"/>
  <c r="L5448" i="1"/>
  <c r="M5448" i="1"/>
  <c r="V5448" i="1"/>
  <c r="W5448" i="1"/>
  <c r="A5579" i="1"/>
  <c r="D5579" i="1"/>
  <c r="F5579" i="1"/>
  <c r="H5579" i="1"/>
  <c r="I5579" i="1"/>
  <c r="L5579" i="1"/>
  <c r="M5579" i="1"/>
  <c r="V5579" i="1"/>
  <c r="W5579" i="1"/>
  <c r="A575" i="1"/>
  <c r="D575" i="1"/>
  <c r="F575" i="1"/>
  <c r="H575" i="1"/>
  <c r="I575" i="1"/>
  <c r="L575" i="1"/>
  <c r="M575" i="1"/>
  <c r="V575" i="1"/>
  <c r="W575" i="1"/>
  <c r="A597" i="1"/>
  <c r="D597" i="1"/>
  <c r="F597" i="1"/>
  <c r="H597" i="1"/>
  <c r="I597" i="1"/>
  <c r="L597" i="1"/>
  <c r="M597" i="1"/>
  <c r="V597" i="1"/>
  <c r="W597" i="1"/>
  <c r="A455" i="1"/>
  <c r="D455" i="1"/>
  <c r="F455" i="1"/>
  <c r="H455" i="1"/>
  <c r="I455" i="1"/>
  <c r="L455" i="1"/>
  <c r="M455" i="1"/>
  <c r="V455" i="1"/>
  <c r="W455" i="1"/>
  <c r="A5930" i="1"/>
  <c r="D5930" i="1"/>
  <c r="F5930" i="1"/>
  <c r="H5930" i="1"/>
  <c r="I5930" i="1"/>
  <c r="L5930" i="1"/>
  <c r="M5930" i="1"/>
  <c r="V5930" i="1"/>
  <c r="W5930" i="1"/>
  <c r="A4283" i="1"/>
  <c r="D4283" i="1"/>
  <c r="F4283" i="1"/>
  <c r="H4283" i="1"/>
  <c r="I4283" i="1"/>
  <c r="L4283" i="1"/>
  <c r="M4283" i="1"/>
  <c r="V4283" i="1"/>
  <c r="W4283" i="1"/>
  <c r="A2004" i="1"/>
  <c r="D2004" i="1"/>
  <c r="F2004" i="1"/>
  <c r="H2004" i="1"/>
  <c r="I2004" i="1"/>
  <c r="L2004" i="1"/>
  <c r="M2004" i="1"/>
  <c r="V2004" i="1"/>
  <c r="W2004" i="1"/>
  <c r="A2395" i="1"/>
  <c r="D2395" i="1"/>
  <c r="F2395" i="1"/>
  <c r="H2395" i="1"/>
  <c r="I2395" i="1"/>
  <c r="L2395" i="1"/>
  <c r="M2395" i="1"/>
  <c r="V2395" i="1"/>
  <c r="W2395" i="1"/>
  <c r="A2007" i="1"/>
  <c r="D2007" i="1"/>
  <c r="F2007" i="1"/>
  <c r="H2007" i="1"/>
  <c r="I2007" i="1"/>
  <c r="L2007" i="1"/>
  <c r="M2007" i="1"/>
  <c r="V2007" i="1"/>
  <c r="W2007" i="1"/>
  <c r="A4629" i="1"/>
  <c r="D4629" i="1"/>
  <c r="F4629" i="1"/>
  <c r="H4629" i="1"/>
  <c r="I4629" i="1"/>
  <c r="L4629" i="1"/>
  <c r="M4629" i="1"/>
  <c r="V4629" i="1"/>
  <c r="W4629" i="1"/>
  <c r="A4887" i="1"/>
  <c r="D4887" i="1"/>
  <c r="F4887" i="1"/>
  <c r="H4887" i="1"/>
  <c r="I4887" i="1"/>
  <c r="L4887" i="1"/>
  <c r="M4887" i="1"/>
  <c r="V4887" i="1"/>
  <c r="W4887" i="1"/>
  <c r="A5550" i="1"/>
  <c r="D5550" i="1"/>
  <c r="F5550" i="1"/>
  <c r="H5550" i="1"/>
  <c r="I5550" i="1"/>
  <c r="L5550" i="1"/>
  <c r="M5550" i="1"/>
  <c r="V5550" i="1"/>
  <c r="W5550" i="1"/>
  <c r="A5840" i="1"/>
  <c r="D5840" i="1"/>
  <c r="F5840" i="1"/>
  <c r="H5840" i="1"/>
  <c r="I5840" i="1"/>
  <c r="L5840" i="1"/>
  <c r="M5840" i="1"/>
  <c r="V5840" i="1"/>
  <c r="W5840" i="1"/>
  <c r="A230" i="1"/>
  <c r="D230" i="1"/>
  <c r="F230" i="1"/>
  <c r="H230" i="1"/>
  <c r="I230" i="1"/>
  <c r="L230" i="1"/>
  <c r="M230" i="1"/>
  <c r="V230" i="1"/>
  <c r="W230" i="1"/>
  <c r="A6096" i="1"/>
  <c r="D6096" i="1"/>
  <c r="F6096" i="1"/>
  <c r="H6096" i="1"/>
  <c r="I6096" i="1"/>
  <c r="L6096" i="1"/>
  <c r="M6096" i="1"/>
  <c r="V6096" i="1"/>
  <c r="W6096" i="1"/>
  <c r="A5262" i="1"/>
  <c r="D5262" i="1"/>
  <c r="F5262" i="1"/>
  <c r="H5262" i="1"/>
  <c r="I5262" i="1"/>
  <c r="L5262" i="1"/>
  <c r="M5262" i="1"/>
  <c r="V5262" i="1"/>
  <c r="W5262" i="1"/>
  <c r="A499" i="1"/>
  <c r="D499" i="1"/>
  <c r="F499" i="1"/>
  <c r="H499" i="1"/>
  <c r="I499" i="1"/>
  <c r="L499" i="1"/>
  <c r="M499" i="1"/>
  <c r="V499" i="1"/>
  <c r="W499" i="1"/>
  <c r="A5126" i="1"/>
  <c r="D5126" i="1"/>
  <c r="F5126" i="1"/>
  <c r="H5126" i="1"/>
  <c r="I5126" i="1"/>
  <c r="L5126" i="1"/>
  <c r="M5126" i="1"/>
  <c r="V5126" i="1"/>
  <c r="W5126" i="1"/>
  <c r="A3656" i="1"/>
  <c r="D3656" i="1"/>
  <c r="F3656" i="1"/>
  <c r="H3656" i="1"/>
  <c r="I3656" i="1"/>
  <c r="L3656" i="1"/>
  <c r="M3656" i="1"/>
  <c r="V3656" i="1"/>
  <c r="W3656" i="1"/>
  <c r="A4308" i="1"/>
  <c r="D4308" i="1"/>
  <c r="F4308" i="1"/>
  <c r="H4308" i="1"/>
  <c r="I4308" i="1"/>
  <c r="L4308" i="1"/>
  <c r="M4308" i="1"/>
  <c r="V4308" i="1"/>
  <c r="W4308" i="1"/>
  <c r="A5885" i="1"/>
  <c r="D5885" i="1"/>
  <c r="F5885" i="1"/>
  <c r="H5885" i="1"/>
  <c r="I5885" i="1"/>
  <c r="L5885" i="1"/>
  <c r="M5885" i="1"/>
  <c r="V5885" i="1"/>
  <c r="W5885" i="1"/>
  <c r="A1989" i="1"/>
  <c r="D1989" i="1"/>
  <c r="F1989" i="1"/>
  <c r="H1989" i="1"/>
  <c r="I1989" i="1"/>
  <c r="L1989" i="1"/>
  <c r="M1989" i="1"/>
  <c r="V1989" i="1"/>
  <c r="W1989" i="1"/>
  <c r="A2307" i="1"/>
  <c r="D2307" i="1"/>
  <c r="F2307" i="1"/>
  <c r="H2307" i="1"/>
  <c r="I2307" i="1"/>
  <c r="L2307" i="1"/>
  <c r="M2307" i="1"/>
  <c r="V2307" i="1"/>
  <c r="W2307" i="1"/>
  <c r="A2475" i="1"/>
  <c r="D2475" i="1"/>
  <c r="F2475" i="1"/>
  <c r="H2475" i="1"/>
  <c r="I2475" i="1"/>
  <c r="L2475" i="1"/>
  <c r="M2475" i="1"/>
  <c r="V2475" i="1"/>
  <c r="W2475" i="1"/>
  <c r="A4082" i="1"/>
  <c r="D4082" i="1"/>
  <c r="F4082" i="1"/>
  <c r="H4082" i="1"/>
  <c r="I4082" i="1"/>
  <c r="L4082" i="1"/>
  <c r="M4082" i="1"/>
  <c r="V4082" i="1"/>
  <c r="W4082" i="1"/>
  <c r="A2849" i="1"/>
  <c r="D2849" i="1"/>
  <c r="F2849" i="1"/>
  <c r="H2849" i="1"/>
  <c r="I2849" i="1"/>
  <c r="L2849" i="1"/>
  <c r="M2849" i="1"/>
  <c r="V2849" i="1"/>
  <c r="W2849" i="1"/>
  <c r="A2302" i="1"/>
  <c r="D2302" i="1"/>
  <c r="F2302" i="1"/>
  <c r="H2302" i="1"/>
  <c r="I2302" i="1"/>
  <c r="L2302" i="1"/>
  <c r="M2302" i="1"/>
  <c r="V2302" i="1"/>
  <c r="W2302" i="1"/>
  <c r="A604" i="1"/>
  <c r="D604" i="1"/>
  <c r="F604" i="1"/>
  <c r="H604" i="1"/>
  <c r="I604" i="1"/>
  <c r="L604" i="1"/>
  <c r="M604" i="1"/>
  <c r="V604" i="1"/>
  <c r="W604" i="1"/>
  <c r="A4879" i="1"/>
  <c r="D4879" i="1"/>
  <c r="F4879" i="1"/>
  <c r="H4879" i="1"/>
  <c r="I4879" i="1"/>
  <c r="L4879" i="1"/>
  <c r="M4879" i="1"/>
  <c r="V4879" i="1"/>
  <c r="W4879" i="1"/>
  <c r="A5670" i="1"/>
  <c r="D5670" i="1"/>
  <c r="F5670" i="1"/>
  <c r="H5670" i="1"/>
  <c r="I5670" i="1"/>
  <c r="L5670" i="1"/>
  <c r="M5670" i="1"/>
  <c r="V5670" i="1"/>
  <c r="W5670" i="1"/>
  <c r="A2452" i="1"/>
  <c r="D2452" i="1"/>
  <c r="F2452" i="1"/>
  <c r="H2452" i="1"/>
  <c r="I2452" i="1"/>
  <c r="L2452" i="1"/>
  <c r="M2452" i="1"/>
  <c r="V2452" i="1"/>
  <c r="W2452" i="1"/>
  <c r="A2909" i="1"/>
  <c r="D2909" i="1"/>
  <c r="F2909" i="1"/>
  <c r="H2909" i="1"/>
  <c r="I2909" i="1"/>
  <c r="L2909" i="1"/>
  <c r="M2909" i="1"/>
  <c r="V2909" i="1"/>
  <c r="W2909" i="1"/>
  <c r="A1560" i="1"/>
  <c r="D1560" i="1"/>
  <c r="F1560" i="1"/>
  <c r="H1560" i="1"/>
  <c r="I1560" i="1"/>
  <c r="L1560" i="1"/>
  <c r="M1560" i="1"/>
  <c r="V1560" i="1"/>
  <c r="W1560" i="1"/>
  <c r="A5200" i="1"/>
  <c r="D5200" i="1"/>
  <c r="F5200" i="1"/>
  <c r="H5200" i="1"/>
  <c r="I5200" i="1"/>
  <c r="L5200" i="1"/>
  <c r="M5200" i="1"/>
  <c r="V5200" i="1"/>
  <c r="W5200" i="1"/>
  <c r="A378" i="1"/>
  <c r="D378" i="1"/>
  <c r="F378" i="1"/>
  <c r="H378" i="1"/>
  <c r="I378" i="1"/>
  <c r="L378" i="1"/>
  <c r="M378" i="1"/>
  <c r="V378" i="1"/>
  <c r="W378" i="1"/>
  <c r="A3764" i="1"/>
  <c r="D3764" i="1"/>
  <c r="F3764" i="1"/>
  <c r="H3764" i="1"/>
  <c r="I3764" i="1"/>
  <c r="L3764" i="1"/>
  <c r="M3764" i="1"/>
  <c r="V3764" i="1"/>
  <c r="W3764" i="1"/>
  <c r="A2821" i="1"/>
  <c r="D2821" i="1"/>
  <c r="F2821" i="1"/>
  <c r="H2821" i="1"/>
  <c r="I2821" i="1"/>
  <c r="L2821" i="1"/>
  <c r="M2821" i="1"/>
  <c r="V2821" i="1"/>
  <c r="W2821" i="1"/>
  <c r="A3054" i="1"/>
  <c r="D3054" i="1"/>
  <c r="F3054" i="1"/>
  <c r="H3054" i="1"/>
  <c r="I3054" i="1"/>
  <c r="L3054" i="1"/>
  <c r="M3054" i="1"/>
  <c r="V3054" i="1"/>
  <c r="W3054" i="1"/>
  <c r="A3063" i="1"/>
  <c r="D3063" i="1"/>
  <c r="F3063" i="1"/>
  <c r="H3063" i="1"/>
  <c r="I3063" i="1"/>
  <c r="L3063" i="1"/>
  <c r="M3063" i="1"/>
  <c r="V3063" i="1"/>
  <c r="W3063" i="1"/>
  <c r="A1448" i="1"/>
  <c r="D1448" i="1"/>
  <c r="F1448" i="1"/>
  <c r="H1448" i="1"/>
  <c r="I1448" i="1"/>
  <c r="L1448" i="1"/>
  <c r="M1448" i="1"/>
  <c r="V1448" i="1"/>
  <c r="W1448" i="1"/>
  <c r="A2045" i="1"/>
  <c r="D2045" i="1"/>
  <c r="F2045" i="1"/>
  <c r="H2045" i="1"/>
  <c r="I2045" i="1"/>
  <c r="L2045" i="1"/>
  <c r="M2045" i="1"/>
  <c r="V2045" i="1"/>
  <c r="W2045" i="1"/>
  <c r="A5541" i="1"/>
  <c r="D5541" i="1"/>
  <c r="F5541" i="1"/>
  <c r="H5541" i="1"/>
  <c r="I5541" i="1"/>
  <c r="L5541" i="1"/>
  <c r="M5541" i="1"/>
  <c r="V5541" i="1"/>
  <c r="W5541" i="1"/>
  <c r="A5658" i="1"/>
  <c r="D5658" i="1"/>
  <c r="F5658" i="1"/>
  <c r="H5658" i="1"/>
  <c r="I5658" i="1"/>
  <c r="L5658" i="1"/>
  <c r="M5658" i="1"/>
  <c r="V5658" i="1"/>
  <c r="W5658" i="1"/>
  <c r="A6044" i="1"/>
  <c r="D6044" i="1"/>
  <c r="F6044" i="1"/>
  <c r="H6044" i="1"/>
  <c r="I6044" i="1"/>
  <c r="L6044" i="1"/>
  <c r="M6044" i="1"/>
  <c r="V6044" i="1"/>
  <c r="W6044" i="1"/>
  <c r="A2911" i="1"/>
  <c r="D2911" i="1"/>
  <c r="F2911" i="1"/>
  <c r="H2911" i="1"/>
  <c r="I2911" i="1"/>
  <c r="L2911" i="1"/>
  <c r="M2911" i="1"/>
  <c r="V2911" i="1"/>
  <c r="W2911" i="1"/>
  <c r="A4740" i="1"/>
  <c r="D4740" i="1"/>
  <c r="F4740" i="1"/>
  <c r="H4740" i="1"/>
  <c r="I4740" i="1"/>
  <c r="L4740" i="1"/>
  <c r="M4740" i="1"/>
  <c r="V4740" i="1"/>
  <c r="W4740" i="1"/>
  <c r="A1253" i="1"/>
  <c r="D1253" i="1"/>
  <c r="F1253" i="1"/>
  <c r="H1253" i="1"/>
  <c r="I1253" i="1"/>
  <c r="L1253" i="1"/>
  <c r="M1253" i="1"/>
  <c r="V1253" i="1"/>
  <c r="W1253" i="1"/>
  <c r="A1095" i="1"/>
  <c r="D1095" i="1"/>
  <c r="F1095" i="1"/>
  <c r="H1095" i="1"/>
  <c r="I1095" i="1"/>
  <c r="L1095" i="1"/>
  <c r="M1095" i="1"/>
  <c r="V1095" i="1"/>
  <c r="W1095" i="1"/>
  <c r="A1930" i="1"/>
  <c r="D1930" i="1"/>
  <c r="F1930" i="1"/>
  <c r="H1930" i="1"/>
  <c r="I1930" i="1"/>
  <c r="L1930" i="1"/>
  <c r="M1930" i="1"/>
  <c r="V1930" i="1"/>
  <c r="W1930" i="1"/>
  <c r="A2022" i="1"/>
  <c r="D2022" i="1"/>
  <c r="F2022" i="1"/>
  <c r="H2022" i="1"/>
  <c r="I2022" i="1"/>
  <c r="L2022" i="1"/>
  <c r="M2022" i="1"/>
  <c r="V2022" i="1"/>
  <c r="W2022" i="1"/>
  <c r="A1945" i="1"/>
  <c r="D1945" i="1"/>
  <c r="F1945" i="1"/>
  <c r="H1945" i="1"/>
  <c r="I1945" i="1"/>
  <c r="L1945" i="1"/>
  <c r="M1945" i="1"/>
  <c r="V1945" i="1"/>
  <c r="W1945" i="1"/>
  <c r="A2137" i="1"/>
  <c r="D2137" i="1"/>
  <c r="F2137" i="1"/>
  <c r="H2137" i="1"/>
  <c r="I2137" i="1"/>
  <c r="L2137" i="1"/>
  <c r="M2137" i="1"/>
  <c r="V2137" i="1"/>
  <c r="W2137" i="1"/>
  <c r="A5197" i="1"/>
  <c r="D5197" i="1"/>
  <c r="F5197" i="1"/>
  <c r="H5197" i="1"/>
  <c r="I5197" i="1"/>
  <c r="L5197" i="1"/>
  <c r="M5197" i="1"/>
  <c r="V5197" i="1"/>
  <c r="W5197" i="1"/>
  <c r="A5508" i="1"/>
  <c r="D5508" i="1"/>
  <c r="F5508" i="1"/>
  <c r="H5508" i="1"/>
  <c r="I5508" i="1"/>
  <c r="L5508" i="1"/>
  <c r="M5508" i="1"/>
  <c r="V5508" i="1"/>
  <c r="W5508" i="1"/>
  <c r="A1611" i="1"/>
  <c r="D1611" i="1"/>
  <c r="F1611" i="1"/>
  <c r="H1611" i="1"/>
  <c r="I1611" i="1"/>
  <c r="L1611" i="1"/>
  <c r="M1611" i="1"/>
  <c r="V1611" i="1"/>
  <c r="W1611" i="1"/>
  <c r="A2502" i="1"/>
  <c r="D2502" i="1"/>
  <c r="F2502" i="1"/>
  <c r="H2502" i="1"/>
  <c r="I2502" i="1"/>
  <c r="L2502" i="1"/>
  <c r="M2502" i="1"/>
  <c r="V2502" i="1"/>
  <c r="W2502" i="1"/>
  <c r="A2364" i="1"/>
  <c r="D2364" i="1"/>
  <c r="F2364" i="1"/>
  <c r="H2364" i="1"/>
  <c r="I2364" i="1"/>
  <c r="L2364" i="1"/>
  <c r="M2364" i="1"/>
  <c r="V2364" i="1"/>
  <c r="W2364" i="1"/>
  <c r="A2660" i="1"/>
  <c r="D2660" i="1"/>
  <c r="F2660" i="1"/>
  <c r="H2660" i="1"/>
  <c r="I2660" i="1"/>
  <c r="L2660" i="1"/>
  <c r="M2660" i="1"/>
  <c r="V2660" i="1"/>
  <c r="W2660" i="1"/>
  <c r="A2696" i="1"/>
  <c r="D2696" i="1"/>
  <c r="F2696" i="1"/>
  <c r="H2696" i="1"/>
  <c r="I2696" i="1"/>
  <c r="L2696" i="1"/>
  <c r="M2696" i="1"/>
  <c r="V2696" i="1"/>
  <c r="W2696" i="1"/>
  <c r="A2949" i="1"/>
  <c r="D2949" i="1"/>
  <c r="F2949" i="1"/>
  <c r="H2949" i="1"/>
  <c r="I2949" i="1"/>
  <c r="L2949" i="1"/>
  <c r="M2949" i="1"/>
  <c r="V2949" i="1"/>
  <c r="W2949" i="1"/>
  <c r="A1335" i="1"/>
  <c r="D1335" i="1"/>
  <c r="F1335" i="1"/>
  <c r="H1335" i="1"/>
  <c r="I1335" i="1"/>
  <c r="L1335" i="1"/>
  <c r="M1335" i="1"/>
  <c r="V1335" i="1"/>
  <c r="W1335" i="1"/>
  <c r="A1529" i="1"/>
  <c r="D1529" i="1"/>
  <c r="F1529" i="1"/>
  <c r="H1529" i="1"/>
  <c r="I1529" i="1"/>
  <c r="L1529" i="1"/>
  <c r="M1529" i="1"/>
  <c r="V1529" i="1"/>
  <c r="W1529" i="1"/>
  <c r="A5444" i="1"/>
  <c r="D5444" i="1"/>
  <c r="F5444" i="1"/>
  <c r="H5444" i="1"/>
  <c r="I5444" i="1"/>
  <c r="L5444" i="1"/>
  <c r="M5444" i="1"/>
  <c r="V5444" i="1"/>
  <c r="W5444" i="1"/>
  <c r="A5517" i="1"/>
  <c r="D5517" i="1"/>
  <c r="F5517" i="1"/>
  <c r="H5517" i="1"/>
  <c r="I5517" i="1"/>
  <c r="L5517" i="1"/>
  <c r="M5517" i="1"/>
  <c r="V5517" i="1"/>
  <c r="W5517" i="1"/>
  <c r="A5582" i="1"/>
  <c r="D5582" i="1"/>
  <c r="F5582" i="1"/>
  <c r="H5582" i="1"/>
  <c r="I5582" i="1"/>
  <c r="L5582" i="1"/>
  <c r="M5582" i="1"/>
  <c r="V5582" i="1"/>
  <c r="W5582" i="1"/>
  <c r="A5735" i="1"/>
  <c r="D5735" i="1"/>
  <c r="F5735" i="1"/>
  <c r="H5735" i="1"/>
  <c r="I5735" i="1"/>
  <c r="L5735" i="1"/>
  <c r="M5735" i="1"/>
  <c r="V5735" i="1"/>
  <c r="W5735" i="1"/>
  <c r="A5863" i="1"/>
  <c r="D5863" i="1"/>
  <c r="F5863" i="1"/>
  <c r="H5863" i="1"/>
  <c r="I5863" i="1"/>
  <c r="L5863" i="1"/>
  <c r="M5863" i="1"/>
  <c r="V5863" i="1"/>
  <c r="W5863" i="1"/>
  <c r="A6006" i="1"/>
  <c r="D6006" i="1"/>
  <c r="F6006" i="1"/>
  <c r="H6006" i="1"/>
  <c r="I6006" i="1"/>
  <c r="L6006" i="1"/>
  <c r="M6006" i="1"/>
  <c r="V6006" i="1"/>
  <c r="W6006" i="1"/>
  <c r="A797" i="1"/>
  <c r="D797" i="1"/>
  <c r="F797" i="1"/>
  <c r="H797" i="1"/>
  <c r="I797" i="1"/>
  <c r="L797" i="1"/>
  <c r="M797" i="1"/>
  <c r="V797" i="1"/>
  <c r="W797" i="1"/>
  <c r="A4120" i="1"/>
  <c r="D4120" i="1"/>
  <c r="F4120" i="1"/>
  <c r="H4120" i="1"/>
  <c r="I4120" i="1"/>
  <c r="L4120" i="1"/>
  <c r="M4120" i="1"/>
  <c r="V4120" i="1"/>
  <c r="W4120" i="1"/>
  <c r="A2015" i="1"/>
  <c r="D2015" i="1"/>
  <c r="F2015" i="1"/>
  <c r="H2015" i="1"/>
  <c r="I2015" i="1"/>
  <c r="L2015" i="1"/>
  <c r="M2015" i="1"/>
  <c r="V2015" i="1"/>
  <c r="W2015" i="1"/>
  <c r="A2411" i="1"/>
  <c r="D2411" i="1"/>
  <c r="F2411" i="1"/>
  <c r="H2411" i="1"/>
  <c r="I2411" i="1"/>
  <c r="L2411" i="1"/>
  <c r="M2411" i="1"/>
  <c r="V2411" i="1"/>
  <c r="W2411" i="1"/>
  <c r="A5792" i="1"/>
  <c r="D5792" i="1"/>
  <c r="F5792" i="1"/>
  <c r="H5792" i="1"/>
  <c r="I5792" i="1"/>
  <c r="L5792" i="1"/>
  <c r="M5792" i="1"/>
  <c r="V5792" i="1"/>
  <c r="W5792" i="1"/>
  <c r="A4465" i="1"/>
  <c r="D4465" i="1"/>
  <c r="F4465" i="1"/>
  <c r="H4465" i="1"/>
  <c r="I4465" i="1"/>
  <c r="L4465" i="1"/>
  <c r="M4465" i="1"/>
  <c r="V4465" i="1"/>
  <c r="W4465" i="1"/>
  <c r="A4699" i="1"/>
  <c r="D4699" i="1"/>
  <c r="F4699" i="1"/>
  <c r="H4699" i="1"/>
  <c r="I4699" i="1"/>
  <c r="L4699" i="1"/>
  <c r="M4699" i="1"/>
  <c r="V4699" i="1"/>
  <c r="W4699" i="1"/>
  <c r="A4118" i="1"/>
  <c r="D4118" i="1"/>
  <c r="F4118" i="1"/>
  <c r="H4118" i="1"/>
  <c r="I4118" i="1"/>
  <c r="L4118" i="1"/>
  <c r="M4118" i="1"/>
  <c r="V4118" i="1"/>
  <c r="W4118" i="1"/>
  <c r="A3632" i="1"/>
  <c r="D3632" i="1"/>
  <c r="F3632" i="1"/>
  <c r="H3632" i="1"/>
  <c r="I3632" i="1"/>
  <c r="L3632" i="1"/>
  <c r="M3632" i="1"/>
  <c r="V3632" i="1"/>
  <c r="W3632" i="1"/>
  <c r="A3859" i="1"/>
  <c r="D3859" i="1"/>
  <c r="F3859" i="1"/>
  <c r="H3859" i="1"/>
  <c r="I3859" i="1"/>
  <c r="L3859" i="1"/>
  <c r="M3859" i="1"/>
  <c r="V3859" i="1"/>
  <c r="W3859" i="1"/>
  <c r="A3888" i="1"/>
  <c r="D3888" i="1"/>
  <c r="F3888" i="1"/>
  <c r="H3888" i="1"/>
  <c r="I3888" i="1"/>
  <c r="L3888" i="1"/>
  <c r="M3888" i="1"/>
  <c r="V3888" i="1"/>
  <c r="W3888" i="1"/>
  <c r="A5077" i="1"/>
  <c r="D5077" i="1"/>
  <c r="F5077" i="1"/>
  <c r="H5077" i="1"/>
  <c r="I5077" i="1"/>
  <c r="L5077" i="1"/>
  <c r="M5077" i="1"/>
  <c r="V5077" i="1"/>
  <c r="W5077" i="1"/>
  <c r="A4828" i="1"/>
  <c r="D4828" i="1"/>
  <c r="F4828" i="1"/>
  <c r="H4828" i="1"/>
  <c r="I4828" i="1"/>
  <c r="L4828" i="1"/>
  <c r="M4828" i="1"/>
  <c r="V4828" i="1"/>
  <c r="W4828" i="1"/>
  <c r="A5936" i="1"/>
  <c r="D5936" i="1"/>
  <c r="F5936" i="1"/>
  <c r="H5936" i="1"/>
  <c r="I5936" i="1"/>
  <c r="L5936" i="1"/>
  <c r="M5936" i="1"/>
  <c r="V5936" i="1"/>
  <c r="W5936" i="1"/>
  <c r="A47" i="1"/>
  <c r="D47" i="1"/>
  <c r="F47" i="1"/>
  <c r="H47" i="1"/>
  <c r="I47" i="1"/>
  <c r="L47" i="1"/>
  <c r="M47" i="1"/>
  <c r="V47" i="1"/>
  <c r="W47" i="1"/>
  <c r="A416" i="1"/>
  <c r="D416" i="1"/>
  <c r="F416" i="1"/>
  <c r="H416" i="1"/>
  <c r="I416" i="1"/>
  <c r="L416" i="1"/>
  <c r="M416" i="1"/>
  <c r="V416" i="1"/>
  <c r="W416" i="1"/>
  <c r="A547" i="1"/>
  <c r="D547" i="1"/>
  <c r="F547" i="1"/>
  <c r="H547" i="1"/>
  <c r="I547" i="1"/>
  <c r="L547" i="1"/>
  <c r="M547" i="1"/>
  <c r="V547" i="1"/>
  <c r="W547" i="1"/>
  <c r="A1047" i="1"/>
  <c r="D1047" i="1"/>
  <c r="F1047" i="1"/>
  <c r="H1047" i="1"/>
  <c r="I1047" i="1"/>
  <c r="L1047" i="1"/>
  <c r="M1047" i="1"/>
  <c r="V1047" i="1"/>
  <c r="W1047" i="1"/>
  <c r="A2422" i="1"/>
  <c r="D2422" i="1"/>
  <c r="F2422" i="1"/>
  <c r="H2422" i="1"/>
  <c r="I2422" i="1"/>
  <c r="L2422" i="1"/>
  <c r="M2422" i="1"/>
  <c r="V2422" i="1"/>
  <c r="W2422" i="1"/>
  <c r="A162" i="1"/>
  <c r="D162" i="1"/>
  <c r="F162" i="1"/>
  <c r="H162" i="1"/>
  <c r="I162" i="1"/>
  <c r="L162" i="1"/>
  <c r="M162" i="1"/>
  <c r="V162" i="1"/>
  <c r="W162" i="1"/>
  <c r="A3726" i="1"/>
  <c r="D3726" i="1"/>
  <c r="F3726" i="1"/>
  <c r="H3726" i="1"/>
  <c r="I3726" i="1"/>
  <c r="L3726" i="1"/>
  <c r="M3726" i="1"/>
  <c r="V3726" i="1"/>
  <c r="W3726" i="1"/>
  <c r="A1543" i="1"/>
  <c r="D1543" i="1"/>
  <c r="F1543" i="1"/>
  <c r="H1543" i="1"/>
  <c r="I1543" i="1"/>
  <c r="L1543" i="1"/>
  <c r="M1543" i="1"/>
  <c r="V1543" i="1"/>
  <c r="W1543" i="1"/>
  <c r="A1969" i="1"/>
  <c r="D1969" i="1"/>
  <c r="F1969" i="1"/>
  <c r="H1969" i="1"/>
  <c r="I1969" i="1"/>
  <c r="L1969" i="1"/>
  <c r="M1969" i="1"/>
  <c r="V1969" i="1"/>
  <c r="W1969" i="1"/>
  <c r="A1428" i="1"/>
  <c r="D1428" i="1"/>
  <c r="F1428" i="1"/>
  <c r="H1428" i="1"/>
  <c r="I1428" i="1"/>
  <c r="L1428" i="1"/>
  <c r="M1428" i="1"/>
  <c r="V1428" i="1"/>
  <c r="W1428" i="1"/>
  <c r="A2308" i="1"/>
  <c r="D2308" i="1"/>
  <c r="F2308" i="1"/>
  <c r="H2308" i="1"/>
  <c r="I2308" i="1"/>
  <c r="L2308" i="1"/>
  <c r="M2308" i="1"/>
  <c r="V2308" i="1"/>
  <c r="W2308" i="1"/>
  <c r="A5423" i="1"/>
  <c r="D5423" i="1"/>
  <c r="F5423" i="1"/>
  <c r="H5423" i="1"/>
  <c r="I5423" i="1"/>
  <c r="L5423" i="1"/>
  <c r="M5423" i="1"/>
  <c r="V5423" i="1"/>
  <c r="W5423" i="1"/>
  <c r="A574" i="1"/>
  <c r="D574" i="1"/>
  <c r="F574" i="1"/>
  <c r="H574" i="1"/>
  <c r="I574" i="1"/>
  <c r="L574" i="1"/>
  <c r="M574" i="1"/>
  <c r="V574" i="1"/>
  <c r="W574" i="1"/>
  <c r="A3050" i="1"/>
  <c r="D3050" i="1"/>
  <c r="F3050" i="1"/>
  <c r="H3050" i="1"/>
  <c r="I3050" i="1"/>
  <c r="L3050" i="1"/>
  <c r="M3050" i="1"/>
  <c r="V3050" i="1"/>
  <c r="W3050" i="1"/>
  <c r="A495" i="1"/>
  <c r="D495" i="1"/>
  <c r="F495" i="1"/>
  <c r="H495" i="1"/>
  <c r="I495" i="1"/>
  <c r="L495" i="1"/>
  <c r="M495" i="1"/>
  <c r="V495" i="1"/>
  <c r="W495" i="1"/>
  <c r="A3487" i="1"/>
  <c r="D3487" i="1"/>
  <c r="F3487" i="1"/>
  <c r="H3487" i="1"/>
  <c r="I3487" i="1"/>
  <c r="L3487" i="1"/>
  <c r="M3487" i="1"/>
  <c r="V3487" i="1"/>
  <c r="W3487" i="1"/>
  <c r="A2836" i="1"/>
  <c r="D2836" i="1"/>
  <c r="F2836" i="1"/>
  <c r="H2836" i="1"/>
  <c r="I2836" i="1"/>
  <c r="L2836" i="1"/>
  <c r="M2836" i="1"/>
  <c r="V2836" i="1"/>
  <c r="W2836" i="1"/>
  <c r="A2855" i="1"/>
  <c r="D2855" i="1"/>
  <c r="F2855" i="1"/>
  <c r="H2855" i="1"/>
  <c r="I2855" i="1"/>
  <c r="L2855" i="1"/>
  <c r="M2855" i="1"/>
  <c r="V2855" i="1"/>
  <c r="W2855" i="1"/>
  <c r="A2993" i="1"/>
  <c r="D2993" i="1"/>
  <c r="F2993" i="1"/>
  <c r="H2993" i="1"/>
  <c r="I2993" i="1"/>
  <c r="L2993" i="1"/>
  <c r="M2993" i="1"/>
  <c r="V2993" i="1"/>
  <c r="W2993" i="1"/>
  <c r="A500" i="1"/>
  <c r="D500" i="1"/>
  <c r="F500" i="1"/>
  <c r="H500" i="1"/>
  <c r="I500" i="1"/>
  <c r="L500" i="1"/>
  <c r="M500" i="1"/>
  <c r="V500" i="1"/>
  <c r="W500" i="1"/>
  <c r="A2689" i="1"/>
  <c r="D2689" i="1"/>
  <c r="F2689" i="1"/>
  <c r="H2689" i="1"/>
  <c r="I2689" i="1"/>
  <c r="L2689" i="1"/>
  <c r="M2689" i="1"/>
  <c r="V2689" i="1"/>
  <c r="W2689" i="1"/>
  <c r="A3723" i="1"/>
  <c r="D3723" i="1"/>
  <c r="F3723" i="1"/>
  <c r="H3723" i="1"/>
  <c r="I3723" i="1"/>
  <c r="L3723" i="1"/>
  <c r="M3723" i="1"/>
  <c r="V3723" i="1"/>
  <c r="W3723" i="1"/>
  <c r="A27" i="1"/>
  <c r="D27" i="1"/>
  <c r="F27" i="1"/>
  <c r="H27" i="1"/>
  <c r="I27" i="1"/>
  <c r="L27" i="1"/>
  <c r="M27" i="1"/>
  <c r="V27" i="1"/>
  <c r="W27" i="1"/>
  <c r="A5594" i="1"/>
  <c r="D5594" i="1"/>
  <c r="F5594" i="1"/>
  <c r="H5594" i="1"/>
  <c r="I5594" i="1"/>
  <c r="L5594" i="1"/>
  <c r="M5594" i="1"/>
  <c r="V5594" i="1"/>
  <c r="W5594" i="1"/>
  <c r="A4617" i="1"/>
  <c r="D4617" i="1"/>
  <c r="F4617" i="1"/>
  <c r="H4617" i="1"/>
  <c r="I4617" i="1"/>
  <c r="L4617" i="1"/>
  <c r="M4617" i="1"/>
  <c r="V4617" i="1"/>
  <c r="W4617" i="1"/>
  <c r="A5536" i="1"/>
  <c r="D5536" i="1"/>
  <c r="F5536" i="1"/>
  <c r="H5536" i="1"/>
  <c r="I5536" i="1"/>
  <c r="L5536" i="1"/>
  <c r="M5536" i="1"/>
  <c r="V5536" i="1"/>
  <c r="W5536" i="1"/>
  <c r="A4870" i="1"/>
  <c r="D4870" i="1"/>
  <c r="F4870" i="1"/>
  <c r="H4870" i="1"/>
  <c r="I4870" i="1"/>
  <c r="L4870" i="1"/>
  <c r="M4870" i="1"/>
  <c r="V4870" i="1"/>
  <c r="W4870" i="1"/>
  <c r="A5436" i="1"/>
  <c r="D5436" i="1"/>
  <c r="F5436" i="1"/>
  <c r="H5436" i="1"/>
  <c r="I5436" i="1"/>
  <c r="L5436" i="1"/>
  <c r="M5436" i="1"/>
  <c r="V5436" i="1"/>
  <c r="W5436" i="1"/>
  <c r="A6045" i="1"/>
  <c r="D6045" i="1"/>
  <c r="F6045" i="1"/>
  <c r="H6045" i="1"/>
  <c r="I6045" i="1"/>
  <c r="L6045" i="1"/>
  <c r="M6045" i="1"/>
  <c r="V6045" i="1"/>
  <c r="W6045" i="1"/>
  <c r="A4067" i="1"/>
  <c r="D4067" i="1"/>
  <c r="F4067" i="1"/>
  <c r="H4067" i="1"/>
  <c r="I4067" i="1"/>
  <c r="L4067" i="1"/>
  <c r="M4067" i="1"/>
  <c r="V4067" i="1"/>
  <c r="W4067" i="1"/>
  <c r="A5696" i="1"/>
  <c r="D5696" i="1"/>
  <c r="F5696" i="1"/>
  <c r="H5696" i="1"/>
  <c r="I5696" i="1"/>
  <c r="L5696" i="1"/>
  <c r="M5696" i="1"/>
  <c r="V5696" i="1"/>
  <c r="W5696" i="1"/>
  <c r="A5793" i="1"/>
  <c r="D5793" i="1"/>
  <c r="F5793" i="1"/>
  <c r="H5793" i="1"/>
  <c r="I5793" i="1"/>
  <c r="L5793" i="1"/>
  <c r="M5793" i="1"/>
  <c r="V5793" i="1"/>
  <c r="W5793" i="1"/>
  <c r="A2096" i="1"/>
  <c r="D2096" i="1"/>
  <c r="F2096" i="1"/>
  <c r="H2096" i="1"/>
  <c r="I2096" i="1"/>
  <c r="L2096" i="1"/>
  <c r="M2096" i="1"/>
  <c r="V2096" i="1"/>
  <c r="W2096" i="1"/>
  <c r="A2224" i="1"/>
  <c r="D2224" i="1"/>
  <c r="F2224" i="1"/>
  <c r="H2224" i="1"/>
  <c r="I2224" i="1"/>
  <c r="L2224" i="1"/>
  <c r="M2224" i="1"/>
  <c r="V2224" i="1"/>
  <c r="W2224" i="1"/>
  <c r="A4627" i="1"/>
  <c r="D4627" i="1"/>
  <c r="F4627" i="1"/>
  <c r="H4627" i="1"/>
  <c r="I4627" i="1"/>
  <c r="L4627" i="1"/>
  <c r="M4627" i="1"/>
  <c r="V4627" i="1"/>
  <c r="W4627" i="1"/>
  <c r="A5832" i="1"/>
  <c r="D5832" i="1"/>
  <c r="F5832" i="1"/>
  <c r="H5832" i="1"/>
  <c r="I5832" i="1"/>
  <c r="L5832" i="1"/>
  <c r="M5832" i="1"/>
  <c r="V5832" i="1"/>
  <c r="W5832" i="1"/>
  <c r="A5743" i="1"/>
  <c r="D5743" i="1"/>
  <c r="F5743" i="1"/>
  <c r="H5743" i="1"/>
  <c r="I5743" i="1"/>
  <c r="L5743" i="1"/>
  <c r="M5743" i="1"/>
  <c r="V5743" i="1"/>
  <c r="W5743" i="1"/>
  <c r="A4027" i="1"/>
  <c r="D4027" i="1"/>
  <c r="F4027" i="1"/>
  <c r="H4027" i="1"/>
  <c r="I4027" i="1"/>
  <c r="L4027" i="1"/>
  <c r="M4027" i="1"/>
  <c r="V4027" i="1"/>
  <c r="W4027" i="1"/>
  <c r="A1429" i="1"/>
  <c r="D1429" i="1"/>
  <c r="F1429" i="1"/>
  <c r="H1429" i="1"/>
  <c r="I1429" i="1"/>
  <c r="L1429" i="1"/>
  <c r="M1429" i="1"/>
  <c r="V1429" i="1"/>
  <c r="W1429" i="1"/>
  <c r="A1432" i="1"/>
  <c r="D1432" i="1"/>
  <c r="F1432" i="1"/>
  <c r="H1432" i="1"/>
  <c r="I1432" i="1"/>
  <c r="L1432" i="1"/>
  <c r="M1432" i="1"/>
  <c r="V1432" i="1"/>
  <c r="W1432" i="1"/>
  <c r="A2491" i="1"/>
  <c r="D2491" i="1"/>
  <c r="F2491" i="1"/>
  <c r="H2491" i="1"/>
  <c r="I2491" i="1"/>
  <c r="L2491" i="1"/>
  <c r="M2491" i="1"/>
  <c r="V2491" i="1"/>
  <c r="W2491" i="1"/>
  <c r="A3943" i="1"/>
  <c r="D3943" i="1"/>
  <c r="F3943" i="1"/>
  <c r="H3943" i="1"/>
  <c r="I3943" i="1"/>
  <c r="L3943" i="1"/>
  <c r="M3943" i="1"/>
  <c r="V3943" i="1"/>
  <c r="W3943" i="1"/>
  <c r="A4313" i="1"/>
  <c r="D4313" i="1"/>
  <c r="F4313" i="1"/>
  <c r="H4313" i="1"/>
  <c r="I4313" i="1"/>
  <c r="L4313" i="1"/>
  <c r="M4313" i="1"/>
  <c r="V4313" i="1"/>
  <c r="W4313" i="1"/>
  <c r="A2378" i="1"/>
  <c r="D2378" i="1"/>
  <c r="F2378" i="1"/>
  <c r="H2378" i="1"/>
  <c r="I2378" i="1"/>
  <c r="L2378" i="1"/>
  <c r="M2378" i="1"/>
  <c r="V2378" i="1"/>
  <c r="W2378" i="1"/>
  <c r="A1004" i="1"/>
  <c r="D1004" i="1"/>
  <c r="F1004" i="1"/>
  <c r="H1004" i="1"/>
  <c r="I1004" i="1"/>
  <c r="L1004" i="1"/>
  <c r="M1004" i="1"/>
  <c r="V1004" i="1"/>
  <c r="W1004" i="1"/>
  <c r="A1042" i="1"/>
  <c r="D1042" i="1"/>
  <c r="F1042" i="1"/>
  <c r="H1042" i="1"/>
  <c r="I1042" i="1"/>
  <c r="L1042" i="1"/>
  <c r="M1042" i="1"/>
  <c r="V1042" i="1"/>
  <c r="W1042" i="1"/>
  <c r="A4937" i="1"/>
  <c r="D4937" i="1"/>
  <c r="F4937" i="1"/>
  <c r="H4937" i="1"/>
  <c r="I4937" i="1"/>
  <c r="L4937" i="1"/>
  <c r="M4937" i="1"/>
  <c r="V4937" i="1"/>
  <c r="W4937" i="1"/>
  <c r="A3294" i="1"/>
  <c r="D3294" i="1"/>
  <c r="F3294" i="1"/>
  <c r="H3294" i="1"/>
  <c r="I3294" i="1"/>
  <c r="L3294" i="1"/>
  <c r="M3294" i="1"/>
  <c r="V3294" i="1"/>
  <c r="W3294" i="1"/>
  <c r="A2573" i="1"/>
  <c r="D2573" i="1"/>
  <c r="F2573" i="1"/>
  <c r="H2573" i="1"/>
  <c r="I2573" i="1"/>
  <c r="L2573" i="1"/>
  <c r="M2573" i="1"/>
  <c r="V2573" i="1"/>
  <c r="W2573" i="1"/>
  <c r="A4743" i="1"/>
  <c r="D4743" i="1"/>
  <c r="F4743" i="1"/>
  <c r="H4743" i="1"/>
  <c r="I4743" i="1"/>
  <c r="L4743" i="1"/>
  <c r="M4743" i="1"/>
  <c r="V4743" i="1"/>
  <c r="W4743" i="1"/>
  <c r="A5895" i="1"/>
  <c r="D5895" i="1"/>
  <c r="F5895" i="1"/>
  <c r="H5895" i="1"/>
  <c r="I5895" i="1"/>
  <c r="L5895" i="1"/>
  <c r="M5895" i="1"/>
  <c r="V5895" i="1"/>
  <c r="W5895" i="1"/>
  <c r="A3365" i="1"/>
  <c r="D3365" i="1"/>
  <c r="F3365" i="1"/>
  <c r="H3365" i="1"/>
  <c r="I3365" i="1"/>
  <c r="L3365" i="1"/>
  <c r="M3365" i="1"/>
  <c r="V3365" i="1"/>
  <c r="W3365" i="1"/>
  <c r="A432" i="1"/>
  <c r="D432" i="1"/>
  <c r="F432" i="1"/>
  <c r="H432" i="1"/>
  <c r="I432" i="1"/>
  <c r="L432" i="1"/>
  <c r="M432" i="1"/>
  <c r="V432" i="1"/>
  <c r="W432" i="1"/>
  <c r="A947" i="1"/>
  <c r="D947" i="1"/>
  <c r="F947" i="1"/>
  <c r="H947" i="1"/>
  <c r="I947" i="1"/>
  <c r="L947" i="1"/>
  <c r="M947" i="1"/>
  <c r="V947" i="1"/>
  <c r="W947" i="1"/>
  <c r="A3288" i="1"/>
  <c r="D3288" i="1"/>
  <c r="F3288" i="1"/>
  <c r="H3288" i="1"/>
  <c r="I3288" i="1"/>
  <c r="L3288" i="1"/>
  <c r="M3288" i="1"/>
  <c r="V3288" i="1"/>
  <c r="W3288" i="1"/>
  <c r="A2986" i="1"/>
  <c r="D2986" i="1"/>
  <c r="F2986" i="1"/>
  <c r="H2986" i="1"/>
  <c r="I2986" i="1"/>
  <c r="L2986" i="1"/>
  <c r="M2986" i="1"/>
  <c r="V2986" i="1"/>
  <c r="W2986" i="1"/>
  <c r="A730" i="1"/>
  <c r="D730" i="1"/>
  <c r="F730" i="1"/>
  <c r="H730" i="1"/>
  <c r="I730" i="1"/>
  <c r="L730" i="1"/>
  <c r="M730" i="1"/>
  <c r="V730" i="1"/>
  <c r="W730" i="1"/>
  <c r="A590" i="1"/>
  <c r="D590" i="1"/>
  <c r="F590" i="1"/>
  <c r="H590" i="1"/>
  <c r="I590" i="1"/>
  <c r="L590" i="1"/>
  <c r="M590" i="1"/>
  <c r="V590" i="1"/>
  <c r="W590" i="1"/>
  <c r="A5183" i="1"/>
  <c r="D5183" i="1"/>
  <c r="F5183" i="1"/>
  <c r="H5183" i="1"/>
  <c r="I5183" i="1"/>
  <c r="L5183" i="1"/>
  <c r="M5183" i="1"/>
  <c r="V5183" i="1"/>
  <c r="W5183" i="1"/>
  <c r="A5150" i="1"/>
  <c r="D5150" i="1"/>
  <c r="F5150" i="1"/>
  <c r="H5150" i="1"/>
  <c r="I5150" i="1"/>
  <c r="L5150" i="1"/>
  <c r="M5150" i="1"/>
  <c r="V5150" i="1"/>
  <c r="W5150" i="1"/>
  <c r="A5381" i="1"/>
  <c r="D5381" i="1"/>
  <c r="F5381" i="1"/>
  <c r="H5381" i="1"/>
  <c r="I5381" i="1"/>
  <c r="L5381" i="1"/>
  <c r="M5381" i="1"/>
  <c r="V5381" i="1"/>
  <c r="W5381" i="1"/>
  <c r="A2067" i="1"/>
  <c r="D2067" i="1"/>
  <c r="F2067" i="1"/>
  <c r="H2067" i="1"/>
  <c r="I2067" i="1"/>
  <c r="L2067" i="1"/>
  <c r="M2067" i="1"/>
  <c r="V2067" i="1"/>
  <c r="W2067" i="1"/>
  <c r="A2082" i="1"/>
  <c r="D2082" i="1"/>
  <c r="F2082" i="1"/>
  <c r="H2082" i="1"/>
  <c r="I2082" i="1"/>
  <c r="L2082" i="1"/>
  <c r="M2082" i="1"/>
  <c r="V2082" i="1"/>
  <c r="W2082" i="1"/>
  <c r="A735" i="1"/>
  <c r="D735" i="1"/>
  <c r="F735" i="1"/>
  <c r="H735" i="1"/>
  <c r="I735" i="1"/>
  <c r="L735" i="1"/>
  <c r="M735" i="1"/>
  <c r="V735" i="1"/>
  <c r="W735" i="1"/>
  <c r="A902" i="1"/>
  <c r="D902" i="1"/>
  <c r="F902" i="1"/>
  <c r="H902" i="1"/>
  <c r="I902" i="1"/>
  <c r="L902" i="1"/>
  <c r="M902" i="1"/>
  <c r="V902" i="1"/>
  <c r="W902" i="1"/>
  <c r="A2716" i="1"/>
  <c r="D2716" i="1"/>
  <c r="F2716" i="1"/>
  <c r="H2716" i="1"/>
  <c r="I2716" i="1"/>
  <c r="L2716" i="1"/>
  <c r="M2716" i="1"/>
  <c r="V2716" i="1"/>
  <c r="W2716" i="1"/>
  <c r="A850" i="1"/>
  <c r="D850" i="1"/>
  <c r="F850" i="1"/>
  <c r="H850" i="1"/>
  <c r="I850" i="1"/>
  <c r="L850" i="1"/>
  <c r="M850" i="1"/>
  <c r="V850" i="1"/>
  <c r="W850" i="1"/>
  <c r="A1268" i="1"/>
  <c r="D1268" i="1"/>
  <c r="F1268" i="1"/>
  <c r="H1268" i="1"/>
  <c r="I1268" i="1"/>
  <c r="L1268" i="1"/>
  <c r="M1268" i="1"/>
  <c r="V1268" i="1"/>
  <c r="W1268" i="1"/>
  <c r="A177" i="1"/>
  <c r="D177" i="1"/>
  <c r="F177" i="1"/>
  <c r="H177" i="1"/>
  <c r="I177" i="1"/>
  <c r="L177" i="1"/>
  <c r="M177" i="1"/>
  <c r="V177" i="1"/>
  <c r="W177" i="1"/>
  <c r="A2657" i="1"/>
  <c r="D2657" i="1"/>
  <c r="F2657" i="1"/>
  <c r="H2657" i="1"/>
  <c r="I2657" i="1"/>
  <c r="L2657" i="1"/>
  <c r="M2657" i="1"/>
  <c r="V2657" i="1"/>
  <c r="W2657" i="1"/>
  <c r="A2765" i="1"/>
  <c r="D2765" i="1"/>
  <c r="F2765" i="1"/>
  <c r="H2765" i="1"/>
  <c r="I2765" i="1"/>
  <c r="L2765" i="1"/>
  <c r="M2765" i="1"/>
  <c r="V2765" i="1"/>
  <c r="W2765" i="1"/>
  <c r="A5994" i="1"/>
  <c r="D5994" i="1"/>
  <c r="F5994" i="1"/>
  <c r="H5994" i="1"/>
  <c r="I5994" i="1"/>
  <c r="L5994" i="1"/>
  <c r="M5994" i="1"/>
  <c r="V5994" i="1"/>
  <c r="W5994" i="1"/>
  <c r="A4357" i="1"/>
  <c r="D4357" i="1"/>
  <c r="F4357" i="1"/>
  <c r="H4357" i="1"/>
  <c r="I4357" i="1"/>
  <c r="L4357" i="1"/>
  <c r="M4357" i="1"/>
  <c r="V4357" i="1"/>
  <c r="W4357" i="1"/>
  <c r="A2249" i="1"/>
  <c r="D2249" i="1"/>
  <c r="F2249" i="1"/>
  <c r="H2249" i="1"/>
  <c r="I2249" i="1"/>
  <c r="L2249" i="1"/>
  <c r="M2249" i="1"/>
  <c r="V2249" i="1"/>
  <c r="W2249" i="1"/>
  <c r="A2590" i="1"/>
  <c r="D2590" i="1"/>
  <c r="F2590" i="1"/>
  <c r="H2590" i="1"/>
  <c r="I2590" i="1"/>
  <c r="L2590" i="1"/>
  <c r="M2590" i="1"/>
  <c r="V2590" i="1"/>
  <c r="W2590" i="1"/>
  <c r="A6104" i="1"/>
  <c r="D6104" i="1"/>
  <c r="F6104" i="1"/>
  <c r="H6104" i="1"/>
  <c r="I6104" i="1"/>
  <c r="L6104" i="1"/>
  <c r="M6104" i="1"/>
  <c r="V6104" i="1"/>
  <c r="W6104" i="1"/>
  <c r="A6213" i="1"/>
  <c r="D6213" i="1"/>
  <c r="F6213" i="1"/>
  <c r="H6213" i="1"/>
  <c r="I6213" i="1"/>
  <c r="L6213" i="1"/>
  <c r="M6213" i="1"/>
  <c r="V6213" i="1"/>
  <c r="W6213" i="1"/>
  <c r="A1588" i="1"/>
  <c r="D1588" i="1"/>
  <c r="F1588" i="1"/>
  <c r="H1588" i="1"/>
  <c r="I1588" i="1"/>
  <c r="L1588" i="1"/>
  <c r="M1588" i="1"/>
  <c r="V1588" i="1"/>
  <c r="W1588" i="1"/>
  <c r="A889" i="1"/>
  <c r="D889" i="1"/>
  <c r="F889" i="1"/>
  <c r="H889" i="1"/>
  <c r="I889" i="1"/>
  <c r="L889" i="1"/>
  <c r="M889" i="1"/>
  <c r="V889" i="1"/>
  <c r="W889" i="1"/>
  <c r="A988" i="1"/>
  <c r="D988" i="1"/>
  <c r="F988" i="1"/>
  <c r="H988" i="1"/>
  <c r="I988" i="1"/>
  <c r="L988" i="1"/>
  <c r="M988" i="1"/>
  <c r="V988" i="1"/>
  <c r="W988" i="1"/>
  <c r="A1108" i="1"/>
  <c r="D1108" i="1"/>
  <c r="F1108" i="1"/>
  <c r="H1108" i="1"/>
  <c r="I1108" i="1"/>
  <c r="L1108" i="1"/>
  <c r="M1108" i="1"/>
  <c r="V1108" i="1"/>
  <c r="W1108" i="1"/>
  <c r="A3021" i="1"/>
  <c r="D3021" i="1"/>
  <c r="F3021" i="1"/>
  <c r="H3021" i="1"/>
  <c r="I3021" i="1"/>
  <c r="L3021" i="1"/>
  <c r="M3021" i="1"/>
  <c r="V3021" i="1"/>
  <c r="W3021" i="1"/>
  <c r="A4013" i="1"/>
  <c r="D4013" i="1"/>
  <c r="F4013" i="1"/>
  <c r="H4013" i="1"/>
  <c r="I4013" i="1"/>
  <c r="L4013" i="1"/>
  <c r="M4013" i="1"/>
  <c r="V4013" i="1"/>
  <c r="W4013" i="1"/>
  <c r="A4192" i="1"/>
  <c r="D4192" i="1"/>
  <c r="F4192" i="1"/>
  <c r="H4192" i="1"/>
  <c r="I4192" i="1"/>
  <c r="L4192" i="1"/>
  <c r="M4192" i="1"/>
  <c r="V4192" i="1"/>
  <c r="W4192" i="1"/>
  <c r="A4365" i="1"/>
  <c r="D4365" i="1"/>
  <c r="F4365" i="1"/>
  <c r="H4365" i="1"/>
  <c r="I4365" i="1"/>
  <c r="L4365" i="1"/>
  <c r="M4365" i="1"/>
  <c r="V4365" i="1"/>
  <c r="W4365" i="1"/>
  <c r="A2642" i="1"/>
  <c r="D2642" i="1"/>
  <c r="F2642" i="1"/>
  <c r="H2642" i="1"/>
  <c r="I2642" i="1"/>
  <c r="L2642" i="1"/>
  <c r="M2642" i="1"/>
  <c r="V2642" i="1"/>
  <c r="W2642" i="1"/>
  <c r="A2723" i="1"/>
  <c r="D2723" i="1"/>
  <c r="F2723" i="1"/>
  <c r="H2723" i="1"/>
  <c r="I2723" i="1"/>
  <c r="L2723" i="1"/>
  <c r="M2723" i="1"/>
  <c r="V2723" i="1"/>
  <c r="W2723" i="1"/>
  <c r="A3399" i="1"/>
  <c r="D3399" i="1"/>
  <c r="F3399" i="1"/>
  <c r="H3399" i="1"/>
  <c r="I3399" i="1"/>
  <c r="L3399" i="1"/>
  <c r="M3399" i="1"/>
  <c r="V3399" i="1"/>
  <c r="W3399" i="1"/>
  <c r="A5259" i="1"/>
  <c r="D5259" i="1"/>
  <c r="F5259" i="1"/>
  <c r="H5259" i="1"/>
  <c r="I5259" i="1"/>
  <c r="L5259" i="1"/>
  <c r="M5259" i="1"/>
  <c r="V5259" i="1"/>
  <c r="W5259" i="1"/>
  <c r="A5341" i="1"/>
  <c r="D5341" i="1"/>
  <c r="F5341" i="1"/>
  <c r="H5341" i="1"/>
  <c r="I5341" i="1"/>
  <c r="L5341" i="1"/>
  <c r="M5341" i="1"/>
  <c r="V5341" i="1"/>
  <c r="W5341" i="1"/>
  <c r="A3034" i="1"/>
  <c r="D3034" i="1"/>
  <c r="F3034" i="1"/>
  <c r="H3034" i="1"/>
  <c r="I3034" i="1"/>
  <c r="L3034" i="1"/>
  <c r="M3034" i="1"/>
  <c r="V3034" i="1"/>
  <c r="W3034" i="1"/>
  <c r="A524" i="1"/>
  <c r="D524" i="1"/>
  <c r="F524" i="1"/>
  <c r="H524" i="1"/>
  <c r="I524" i="1"/>
  <c r="L524" i="1"/>
  <c r="M524" i="1"/>
  <c r="V524" i="1"/>
  <c r="W524" i="1"/>
  <c r="A543" i="1"/>
  <c r="D543" i="1"/>
  <c r="F543" i="1"/>
  <c r="H543" i="1"/>
  <c r="I543" i="1"/>
  <c r="L543" i="1"/>
  <c r="M543" i="1"/>
  <c r="V543" i="1"/>
  <c r="W543" i="1"/>
  <c r="A545" i="1"/>
  <c r="D545" i="1"/>
  <c r="F545" i="1"/>
  <c r="H545" i="1"/>
  <c r="I545" i="1"/>
  <c r="L545" i="1"/>
  <c r="M545" i="1"/>
  <c r="V545" i="1"/>
  <c r="W545" i="1"/>
  <c r="A1835" i="1"/>
  <c r="D1835" i="1"/>
  <c r="F1835" i="1"/>
  <c r="H1835" i="1"/>
  <c r="I1835" i="1"/>
  <c r="L1835" i="1"/>
  <c r="M1835" i="1"/>
  <c r="V1835" i="1"/>
  <c r="W1835" i="1"/>
  <c r="A2449" i="1"/>
  <c r="D2449" i="1"/>
  <c r="F2449" i="1"/>
  <c r="H2449" i="1"/>
  <c r="I2449" i="1"/>
  <c r="L2449" i="1"/>
  <c r="M2449" i="1"/>
  <c r="V2449" i="1"/>
  <c r="W2449" i="1"/>
  <c r="A2520" i="1"/>
  <c r="D2520" i="1"/>
  <c r="F2520" i="1"/>
  <c r="H2520" i="1"/>
  <c r="I2520" i="1"/>
  <c r="L2520" i="1"/>
  <c r="M2520" i="1"/>
  <c r="V2520" i="1"/>
  <c r="W2520" i="1"/>
  <c r="A5530" i="1"/>
  <c r="D5530" i="1"/>
  <c r="F5530" i="1"/>
  <c r="H5530" i="1"/>
  <c r="I5530" i="1"/>
  <c r="L5530" i="1"/>
  <c r="M5530" i="1"/>
  <c r="V5530" i="1"/>
  <c r="W5530" i="1"/>
  <c r="A5901" i="1"/>
  <c r="D5901" i="1"/>
  <c r="F5901" i="1"/>
  <c r="H5901" i="1"/>
  <c r="I5901" i="1"/>
  <c r="L5901" i="1"/>
  <c r="M5901" i="1"/>
  <c r="V5901" i="1"/>
  <c r="W5901" i="1"/>
  <c r="A3325" i="1"/>
  <c r="D3325" i="1"/>
  <c r="F3325" i="1"/>
  <c r="H3325" i="1"/>
  <c r="I3325" i="1"/>
  <c r="L3325" i="1"/>
  <c r="M3325" i="1"/>
  <c r="V3325" i="1"/>
  <c r="W3325" i="1"/>
  <c r="A121" i="1"/>
  <c r="D121" i="1"/>
  <c r="F121" i="1"/>
  <c r="H121" i="1"/>
  <c r="I121" i="1"/>
  <c r="L121" i="1"/>
  <c r="M121" i="1"/>
  <c r="V121" i="1"/>
  <c r="W121" i="1"/>
  <c r="A129" i="1"/>
  <c r="D129" i="1"/>
  <c r="F129" i="1"/>
  <c r="H129" i="1"/>
  <c r="I129" i="1"/>
  <c r="L129" i="1"/>
  <c r="M129" i="1"/>
  <c r="V129" i="1"/>
  <c r="W129" i="1"/>
  <c r="A96" i="1"/>
  <c r="D96" i="1"/>
  <c r="F96" i="1"/>
  <c r="H96" i="1"/>
  <c r="I96" i="1"/>
  <c r="L96" i="1"/>
  <c r="M96" i="1"/>
  <c r="V96" i="1"/>
  <c r="W96" i="1"/>
  <c r="A1777" i="1"/>
  <c r="D1777" i="1"/>
  <c r="F1777" i="1"/>
  <c r="H1777" i="1"/>
  <c r="I1777" i="1"/>
  <c r="L1777" i="1"/>
  <c r="M1777" i="1"/>
  <c r="V1777" i="1"/>
  <c r="W1777" i="1"/>
  <c r="A3405" i="1"/>
  <c r="D3405" i="1"/>
  <c r="F3405" i="1"/>
  <c r="H3405" i="1"/>
  <c r="I3405" i="1"/>
  <c r="L3405" i="1"/>
  <c r="M3405" i="1"/>
  <c r="V3405" i="1"/>
  <c r="W3405" i="1"/>
  <c r="A4328" i="1"/>
  <c r="D4328" i="1"/>
  <c r="F4328" i="1"/>
  <c r="H4328" i="1"/>
  <c r="I4328" i="1"/>
  <c r="L4328" i="1"/>
  <c r="M4328" i="1"/>
  <c r="V4328" i="1"/>
  <c r="W4328" i="1"/>
  <c r="A2013" i="1"/>
  <c r="D2013" i="1"/>
  <c r="F2013" i="1"/>
  <c r="H2013" i="1"/>
  <c r="I2013" i="1"/>
  <c r="L2013" i="1"/>
  <c r="M2013" i="1"/>
  <c r="V2013" i="1"/>
  <c r="W2013" i="1"/>
  <c r="A2753" i="1"/>
  <c r="D2753" i="1"/>
  <c r="F2753" i="1"/>
  <c r="H2753" i="1"/>
  <c r="I2753" i="1"/>
  <c r="L2753" i="1"/>
  <c r="M2753" i="1"/>
  <c r="V2753" i="1"/>
  <c r="W2753" i="1"/>
  <c r="A2766" i="1"/>
  <c r="D2766" i="1"/>
  <c r="F2766" i="1"/>
  <c r="H2766" i="1"/>
  <c r="I2766" i="1"/>
  <c r="L2766" i="1"/>
  <c r="M2766" i="1"/>
  <c r="V2766" i="1"/>
  <c r="W2766" i="1"/>
  <c r="A2841" i="1"/>
  <c r="D2841" i="1"/>
  <c r="F2841" i="1"/>
  <c r="H2841" i="1"/>
  <c r="I2841" i="1"/>
  <c r="L2841" i="1"/>
  <c r="M2841" i="1"/>
  <c r="V2841" i="1"/>
  <c r="W2841" i="1"/>
  <c r="A3039" i="1"/>
  <c r="D3039" i="1"/>
  <c r="F3039" i="1"/>
  <c r="H3039" i="1"/>
  <c r="I3039" i="1"/>
  <c r="L3039" i="1"/>
  <c r="M3039" i="1"/>
  <c r="V3039" i="1"/>
  <c r="W3039" i="1"/>
  <c r="A417" i="1"/>
  <c r="D417" i="1"/>
  <c r="F417" i="1"/>
  <c r="H417" i="1"/>
  <c r="I417" i="1"/>
  <c r="L417" i="1"/>
  <c r="M417" i="1"/>
  <c r="V417" i="1"/>
  <c r="W417" i="1"/>
  <c r="A4849" i="1"/>
  <c r="D4849" i="1"/>
  <c r="F4849" i="1"/>
  <c r="H4849" i="1"/>
  <c r="I4849" i="1"/>
  <c r="L4849" i="1"/>
  <c r="M4849" i="1"/>
  <c r="V4849" i="1"/>
  <c r="W4849" i="1"/>
  <c r="A4853" i="1"/>
  <c r="D4853" i="1"/>
  <c r="F4853" i="1"/>
  <c r="H4853" i="1"/>
  <c r="I4853" i="1"/>
  <c r="L4853" i="1"/>
  <c r="M4853" i="1"/>
  <c r="V4853" i="1"/>
  <c r="W4853" i="1"/>
  <c r="A4204" i="1"/>
  <c r="D4204" i="1"/>
  <c r="F4204" i="1"/>
  <c r="H4204" i="1"/>
  <c r="I4204" i="1"/>
  <c r="L4204" i="1"/>
  <c r="M4204" i="1"/>
  <c r="V4204" i="1"/>
  <c r="W4204" i="1"/>
  <c r="A3429" i="1"/>
  <c r="D3429" i="1"/>
  <c r="F3429" i="1"/>
  <c r="H3429" i="1"/>
  <c r="I3429" i="1"/>
  <c r="L3429" i="1"/>
  <c r="M3429" i="1"/>
  <c r="V3429" i="1"/>
  <c r="W3429" i="1"/>
  <c r="A5299" i="1"/>
  <c r="D5299" i="1"/>
  <c r="F5299" i="1"/>
  <c r="H5299" i="1"/>
  <c r="I5299" i="1"/>
  <c r="L5299" i="1"/>
  <c r="M5299" i="1"/>
  <c r="V5299" i="1"/>
  <c r="W5299" i="1"/>
  <c r="A5892" i="1"/>
  <c r="D5892" i="1"/>
  <c r="F5892" i="1"/>
  <c r="H5892" i="1"/>
  <c r="I5892" i="1"/>
  <c r="L5892" i="1"/>
  <c r="M5892" i="1"/>
  <c r="V5892" i="1"/>
  <c r="W5892" i="1"/>
  <c r="A4492" i="1"/>
  <c r="D4492" i="1"/>
  <c r="F4492" i="1"/>
  <c r="H4492" i="1"/>
  <c r="I4492" i="1"/>
  <c r="L4492" i="1"/>
  <c r="M4492" i="1"/>
  <c r="V4492" i="1"/>
  <c r="W4492" i="1"/>
  <c r="A5043" i="1"/>
  <c r="D5043" i="1"/>
  <c r="F5043" i="1"/>
  <c r="H5043" i="1"/>
  <c r="I5043" i="1"/>
  <c r="L5043" i="1"/>
  <c r="M5043" i="1"/>
  <c r="V5043" i="1"/>
  <c r="W5043" i="1"/>
  <c r="A4100" i="1"/>
  <c r="D4100" i="1"/>
  <c r="F4100" i="1"/>
  <c r="H4100" i="1"/>
  <c r="I4100" i="1"/>
  <c r="L4100" i="1"/>
  <c r="M4100" i="1"/>
  <c r="V4100" i="1"/>
  <c r="W4100" i="1"/>
  <c r="A471" i="1"/>
  <c r="D471" i="1"/>
  <c r="F471" i="1"/>
  <c r="H471" i="1"/>
  <c r="I471" i="1"/>
  <c r="L471" i="1"/>
  <c r="M471" i="1"/>
  <c r="V471" i="1"/>
  <c r="W471" i="1"/>
  <c r="A528" i="1"/>
  <c r="D528" i="1"/>
  <c r="F528" i="1"/>
  <c r="H528" i="1"/>
  <c r="I528" i="1"/>
  <c r="L528" i="1"/>
  <c r="M528" i="1"/>
  <c r="V528" i="1"/>
  <c r="W528" i="1"/>
  <c r="A4464" i="1"/>
  <c r="D4464" i="1"/>
  <c r="F4464" i="1"/>
  <c r="H4464" i="1"/>
  <c r="I4464" i="1"/>
  <c r="L4464" i="1"/>
  <c r="M4464" i="1"/>
  <c r="V4464" i="1"/>
  <c r="W4464" i="1"/>
  <c r="A3907" i="1"/>
  <c r="D3907" i="1"/>
  <c r="F3907" i="1"/>
  <c r="H3907" i="1"/>
  <c r="I3907" i="1"/>
  <c r="L3907" i="1"/>
  <c r="M3907" i="1"/>
  <c r="V3907" i="1"/>
  <c r="W3907" i="1"/>
  <c r="A5123" i="1"/>
  <c r="D5123" i="1"/>
  <c r="F5123" i="1"/>
  <c r="H5123" i="1"/>
  <c r="I5123" i="1"/>
  <c r="L5123" i="1"/>
  <c r="M5123" i="1"/>
  <c r="V5123" i="1"/>
  <c r="W5123" i="1"/>
  <c r="A6175" i="1"/>
  <c r="D6175" i="1"/>
  <c r="F6175" i="1"/>
  <c r="H6175" i="1"/>
  <c r="I6175" i="1"/>
  <c r="L6175" i="1"/>
  <c r="M6175" i="1"/>
  <c r="V6175" i="1"/>
  <c r="W6175" i="1"/>
  <c r="A2930" i="1"/>
  <c r="D2930" i="1"/>
  <c r="F2930" i="1"/>
  <c r="H2930" i="1"/>
  <c r="I2930" i="1"/>
  <c r="L2930" i="1"/>
  <c r="M2930" i="1"/>
  <c r="V2930" i="1"/>
  <c r="W2930" i="1"/>
  <c r="A3246" i="1"/>
  <c r="D3246" i="1"/>
  <c r="F3246" i="1"/>
  <c r="H3246" i="1"/>
  <c r="I3246" i="1"/>
  <c r="L3246" i="1"/>
  <c r="M3246" i="1"/>
  <c r="V3246" i="1"/>
  <c r="W3246" i="1"/>
  <c r="A3036" i="1"/>
  <c r="D3036" i="1"/>
  <c r="F3036" i="1"/>
  <c r="H3036" i="1"/>
  <c r="I3036" i="1"/>
  <c r="L3036" i="1"/>
  <c r="M3036" i="1"/>
  <c r="V3036" i="1"/>
  <c r="W3036" i="1"/>
  <c r="A6197" i="1"/>
  <c r="D6197" i="1"/>
  <c r="F6197" i="1"/>
  <c r="H6197" i="1"/>
  <c r="I6197" i="1"/>
  <c r="L6197" i="1"/>
  <c r="M6197" i="1"/>
  <c r="V6197" i="1"/>
  <c r="W6197" i="1"/>
  <c r="A1744" i="1"/>
  <c r="D1744" i="1"/>
  <c r="F1744" i="1"/>
  <c r="H1744" i="1"/>
  <c r="I1744" i="1"/>
  <c r="L1744" i="1"/>
  <c r="M1744" i="1"/>
  <c r="V1744" i="1"/>
  <c r="W1744" i="1"/>
  <c r="A2110" i="1"/>
  <c r="D2110" i="1"/>
  <c r="F2110" i="1"/>
  <c r="H2110" i="1"/>
  <c r="I2110" i="1"/>
  <c r="L2110" i="1"/>
  <c r="M2110" i="1"/>
  <c r="V2110" i="1"/>
  <c r="W2110" i="1"/>
  <c r="A490" i="1"/>
  <c r="D490" i="1"/>
  <c r="F490" i="1"/>
  <c r="H490" i="1"/>
  <c r="I490" i="1"/>
  <c r="L490" i="1"/>
  <c r="M490" i="1"/>
  <c r="V490" i="1"/>
  <c r="W490" i="1"/>
  <c r="A4537" i="1"/>
  <c r="D4537" i="1"/>
  <c r="F4537" i="1"/>
  <c r="H4537" i="1"/>
  <c r="I4537" i="1"/>
  <c r="L4537" i="1"/>
  <c r="M4537" i="1"/>
  <c r="V4537" i="1"/>
  <c r="W4537" i="1"/>
  <c r="A3073" i="1"/>
  <c r="D3073" i="1"/>
  <c r="F3073" i="1"/>
  <c r="H3073" i="1"/>
  <c r="I3073" i="1"/>
  <c r="L3073" i="1"/>
  <c r="M3073" i="1"/>
  <c r="V3073" i="1"/>
  <c r="W3073" i="1"/>
  <c r="A3473" i="1"/>
  <c r="D3473" i="1"/>
  <c r="F3473" i="1"/>
  <c r="H3473" i="1"/>
  <c r="I3473" i="1"/>
  <c r="L3473" i="1"/>
  <c r="M3473" i="1"/>
  <c r="V3473" i="1"/>
  <c r="W3473" i="1"/>
  <c r="A3539" i="1"/>
  <c r="D3539" i="1"/>
  <c r="F3539" i="1"/>
  <c r="H3539" i="1"/>
  <c r="I3539" i="1"/>
  <c r="L3539" i="1"/>
  <c r="M3539" i="1"/>
  <c r="V3539" i="1"/>
  <c r="W3539" i="1"/>
  <c r="A658" i="1"/>
  <c r="D658" i="1"/>
  <c r="F658" i="1"/>
  <c r="H658" i="1"/>
  <c r="I658" i="1"/>
  <c r="L658" i="1"/>
  <c r="M658" i="1"/>
  <c r="V658" i="1"/>
  <c r="W658" i="1"/>
  <c r="A2469" i="1"/>
  <c r="D2469" i="1"/>
  <c r="F2469" i="1"/>
  <c r="H2469" i="1"/>
  <c r="I2469" i="1"/>
  <c r="L2469" i="1"/>
  <c r="M2469" i="1"/>
  <c r="V2469" i="1"/>
  <c r="W2469" i="1"/>
  <c r="A4637" i="1"/>
  <c r="D4637" i="1"/>
  <c r="F4637" i="1"/>
  <c r="H4637" i="1"/>
  <c r="I4637" i="1"/>
  <c r="L4637" i="1"/>
  <c r="M4637" i="1"/>
  <c r="V4637" i="1"/>
  <c r="W4637" i="1"/>
  <c r="A4620" i="1"/>
  <c r="D4620" i="1"/>
  <c r="F4620" i="1"/>
  <c r="H4620" i="1"/>
  <c r="I4620" i="1"/>
  <c r="L4620" i="1"/>
  <c r="M4620" i="1"/>
  <c r="V4620" i="1"/>
  <c r="W4620" i="1"/>
  <c r="A5886" i="1"/>
  <c r="D5886" i="1"/>
  <c r="F5886" i="1"/>
  <c r="H5886" i="1"/>
  <c r="I5886" i="1"/>
  <c r="L5886" i="1"/>
  <c r="M5886" i="1"/>
  <c r="V5886" i="1"/>
  <c r="W5886" i="1"/>
  <c r="A4766" i="1"/>
  <c r="D4766" i="1"/>
  <c r="F4766" i="1"/>
  <c r="H4766" i="1"/>
  <c r="I4766" i="1"/>
  <c r="L4766" i="1"/>
  <c r="M4766" i="1"/>
  <c r="V4766" i="1"/>
  <c r="W4766" i="1"/>
  <c r="A1532" i="1"/>
  <c r="D1532" i="1"/>
  <c r="F1532" i="1"/>
  <c r="H1532" i="1"/>
  <c r="I1532" i="1"/>
  <c r="L1532" i="1"/>
  <c r="M1532" i="1"/>
  <c r="V1532" i="1"/>
  <c r="W1532" i="1"/>
  <c r="A1545" i="1"/>
  <c r="D1545" i="1"/>
  <c r="F1545" i="1"/>
  <c r="H1545" i="1"/>
  <c r="I1545" i="1"/>
  <c r="L1545" i="1"/>
  <c r="M1545" i="1"/>
  <c r="V1545" i="1"/>
  <c r="W1545" i="1"/>
  <c r="A4645" i="1"/>
  <c r="D4645" i="1"/>
  <c r="F4645" i="1"/>
  <c r="H4645" i="1"/>
  <c r="I4645" i="1"/>
  <c r="L4645" i="1"/>
  <c r="M4645" i="1"/>
  <c r="V4645" i="1"/>
  <c r="W4645" i="1"/>
  <c r="A4649" i="1"/>
  <c r="D4649" i="1"/>
  <c r="F4649" i="1"/>
  <c r="H4649" i="1"/>
  <c r="I4649" i="1"/>
  <c r="L4649" i="1"/>
  <c r="M4649" i="1"/>
  <c r="V4649" i="1"/>
  <c r="W4649" i="1"/>
  <c r="A4145" i="1"/>
  <c r="D4145" i="1"/>
  <c r="F4145" i="1"/>
  <c r="H4145" i="1"/>
  <c r="I4145" i="1"/>
  <c r="L4145" i="1"/>
  <c r="M4145" i="1"/>
  <c r="V4145" i="1"/>
  <c r="W4145" i="1"/>
  <c r="A4453" i="1"/>
  <c r="D4453" i="1"/>
  <c r="F4453" i="1"/>
  <c r="H4453" i="1"/>
  <c r="I4453" i="1"/>
  <c r="L4453" i="1"/>
  <c r="M4453" i="1"/>
  <c r="V4453" i="1"/>
  <c r="W4453" i="1"/>
  <c r="A651" i="1"/>
  <c r="D651" i="1"/>
  <c r="F651" i="1"/>
  <c r="H651" i="1"/>
  <c r="I651" i="1"/>
  <c r="L651" i="1"/>
  <c r="M651" i="1"/>
  <c r="V651" i="1"/>
  <c r="W651" i="1"/>
  <c r="A3705" i="1"/>
  <c r="D3705" i="1"/>
  <c r="F3705" i="1"/>
  <c r="H3705" i="1"/>
  <c r="I3705" i="1"/>
  <c r="L3705" i="1"/>
  <c r="M3705" i="1"/>
  <c r="V3705" i="1"/>
  <c r="W3705" i="1"/>
  <c r="A3940" i="1"/>
  <c r="D3940" i="1"/>
  <c r="F3940" i="1"/>
  <c r="H3940" i="1"/>
  <c r="I3940" i="1"/>
  <c r="L3940" i="1"/>
  <c r="M3940" i="1"/>
  <c r="V3940" i="1"/>
  <c r="W3940" i="1"/>
  <c r="A4370" i="1"/>
  <c r="D4370" i="1"/>
  <c r="F4370" i="1"/>
  <c r="H4370" i="1"/>
  <c r="I4370" i="1"/>
  <c r="L4370" i="1"/>
  <c r="M4370" i="1"/>
  <c r="V4370" i="1"/>
  <c r="W4370" i="1"/>
  <c r="A111" i="1"/>
  <c r="D111" i="1"/>
  <c r="F111" i="1"/>
  <c r="H111" i="1"/>
  <c r="I111" i="1"/>
  <c r="L111" i="1"/>
  <c r="M111" i="1"/>
  <c r="V111" i="1"/>
  <c r="W111" i="1"/>
  <c r="A3629" i="1"/>
  <c r="D3629" i="1"/>
  <c r="F3629" i="1"/>
  <c r="H3629" i="1"/>
  <c r="I3629" i="1"/>
  <c r="L3629" i="1"/>
  <c r="M3629" i="1"/>
  <c r="V3629" i="1"/>
  <c r="W3629" i="1"/>
  <c r="A3637" i="1"/>
  <c r="D3637" i="1"/>
  <c r="F3637" i="1"/>
  <c r="H3637" i="1"/>
  <c r="I3637" i="1"/>
  <c r="L3637" i="1"/>
  <c r="M3637" i="1"/>
  <c r="V3637" i="1"/>
  <c r="W3637" i="1"/>
  <c r="A3891" i="1"/>
  <c r="D3891" i="1"/>
  <c r="F3891" i="1"/>
  <c r="H3891" i="1"/>
  <c r="I3891" i="1"/>
  <c r="L3891" i="1"/>
  <c r="M3891" i="1"/>
  <c r="V3891" i="1"/>
  <c r="W3891" i="1"/>
  <c r="A1633" i="1"/>
  <c r="D1633" i="1"/>
  <c r="F1633" i="1"/>
  <c r="H1633" i="1"/>
  <c r="I1633" i="1"/>
  <c r="L1633" i="1"/>
  <c r="M1633" i="1"/>
  <c r="V1633" i="1"/>
  <c r="W1633" i="1"/>
  <c r="A5290" i="1"/>
  <c r="D5290" i="1"/>
  <c r="F5290" i="1"/>
  <c r="H5290" i="1"/>
  <c r="I5290" i="1"/>
  <c r="L5290" i="1"/>
  <c r="M5290" i="1"/>
  <c r="V5290" i="1"/>
  <c r="W5290" i="1"/>
  <c r="A1249" i="1"/>
  <c r="D1249" i="1"/>
  <c r="F1249" i="1"/>
  <c r="H1249" i="1"/>
  <c r="I1249" i="1"/>
  <c r="L1249" i="1"/>
  <c r="M1249" i="1"/>
  <c r="V1249" i="1"/>
  <c r="W1249" i="1"/>
  <c r="A1385" i="1"/>
  <c r="D1385" i="1"/>
  <c r="F1385" i="1"/>
  <c r="H1385" i="1"/>
  <c r="I1385" i="1"/>
  <c r="L1385" i="1"/>
  <c r="M1385" i="1"/>
  <c r="V1385" i="1"/>
  <c r="W1385" i="1"/>
  <c r="A5387" i="1"/>
  <c r="D5387" i="1"/>
  <c r="F5387" i="1"/>
  <c r="H5387" i="1"/>
  <c r="I5387" i="1"/>
  <c r="L5387" i="1"/>
  <c r="M5387" i="1"/>
  <c r="V5387" i="1"/>
  <c r="W5387" i="1"/>
  <c r="A5315" i="1"/>
  <c r="D5315" i="1"/>
  <c r="F5315" i="1"/>
  <c r="H5315" i="1"/>
  <c r="I5315" i="1"/>
  <c r="L5315" i="1"/>
  <c r="M5315" i="1"/>
  <c r="V5315" i="1"/>
  <c r="W5315" i="1"/>
  <c r="A4209" i="1"/>
  <c r="D4209" i="1"/>
  <c r="F4209" i="1"/>
  <c r="H4209" i="1"/>
  <c r="I4209" i="1"/>
  <c r="L4209" i="1"/>
  <c r="M4209" i="1"/>
  <c r="V4209" i="1"/>
  <c r="W4209" i="1"/>
  <c r="A4311" i="1"/>
  <c r="D4311" i="1"/>
  <c r="F4311" i="1"/>
  <c r="H4311" i="1"/>
  <c r="I4311" i="1"/>
  <c r="L4311" i="1"/>
  <c r="M4311" i="1"/>
  <c r="V4311" i="1"/>
  <c r="W4311" i="1"/>
  <c r="A3025" i="1"/>
  <c r="D3025" i="1"/>
  <c r="F3025" i="1"/>
  <c r="H3025" i="1"/>
  <c r="I3025" i="1"/>
  <c r="L3025" i="1"/>
  <c r="M3025" i="1"/>
  <c r="V3025" i="1"/>
  <c r="W3025" i="1"/>
  <c r="A3566" i="1"/>
  <c r="D3566" i="1"/>
  <c r="F3566" i="1"/>
  <c r="H3566" i="1"/>
  <c r="I3566" i="1"/>
  <c r="L3566" i="1"/>
  <c r="M3566" i="1"/>
  <c r="V3566" i="1"/>
  <c r="W3566" i="1"/>
  <c r="A1521" i="1"/>
  <c r="D1521" i="1"/>
  <c r="F1521" i="1"/>
  <c r="H1521" i="1"/>
  <c r="I1521" i="1"/>
  <c r="L1521" i="1"/>
  <c r="M1521" i="1"/>
  <c r="V1521" i="1"/>
  <c r="W1521" i="1"/>
  <c r="A1679" i="1"/>
  <c r="D1679" i="1"/>
  <c r="F1679" i="1"/>
  <c r="H1679" i="1"/>
  <c r="I1679" i="1"/>
  <c r="L1679" i="1"/>
  <c r="M1679" i="1"/>
  <c r="V1679" i="1"/>
  <c r="W1679" i="1"/>
  <c r="A5064" i="1"/>
  <c r="D5064" i="1"/>
  <c r="F5064" i="1"/>
  <c r="H5064" i="1"/>
  <c r="I5064" i="1"/>
  <c r="L5064" i="1"/>
  <c r="M5064" i="1"/>
  <c r="V5064" i="1"/>
  <c r="W5064" i="1"/>
  <c r="A3741" i="1"/>
  <c r="D3741" i="1"/>
  <c r="F3741" i="1"/>
  <c r="H3741" i="1"/>
  <c r="I3741" i="1"/>
  <c r="L3741" i="1"/>
  <c r="M3741" i="1"/>
  <c r="V3741" i="1"/>
  <c r="W3741" i="1"/>
  <c r="A722" i="1"/>
  <c r="D722" i="1"/>
  <c r="F722" i="1"/>
  <c r="H722" i="1"/>
  <c r="I722" i="1"/>
  <c r="L722" i="1"/>
  <c r="M722" i="1"/>
  <c r="V722" i="1"/>
  <c r="W722" i="1"/>
  <c r="A5380" i="1"/>
  <c r="D5380" i="1"/>
  <c r="F5380" i="1"/>
  <c r="H5380" i="1"/>
  <c r="I5380" i="1"/>
  <c r="L5380" i="1"/>
  <c r="M5380" i="1"/>
  <c r="V5380" i="1"/>
  <c r="W5380" i="1"/>
  <c r="A5801" i="1"/>
  <c r="D5801" i="1"/>
  <c r="F5801" i="1"/>
  <c r="H5801" i="1"/>
  <c r="I5801" i="1"/>
  <c r="L5801" i="1"/>
  <c r="M5801" i="1"/>
  <c r="V5801" i="1"/>
  <c r="W5801" i="1"/>
  <c r="A227" i="1"/>
  <c r="D227" i="1"/>
  <c r="F227" i="1"/>
  <c r="H227" i="1"/>
  <c r="I227" i="1"/>
  <c r="L227" i="1"/>
  <c r="M227" i="1"/>
  <c r="V227" i="1"/>
  <c r="W227" i="1"/>
  <c r="A801" i="1"/>
  <c r="D801" i="1"/>
  <c r="F801" i="1"/>
  <c r="H801" i="1"/>
  <c r="I801" i="1"/>
  <c r="L801" i="1"/>
  <c r="M801" i="1"/>
  <c r="V801" i="1"/>
  <c r="W801" i="1"/>
  <c r="A4873" i="1"/>
  <c r="D4873" i="1"/>
  <c r="F4873" i="1"/>
  <c r="H4873" i="1"/>
  <c r="I4873" i="1"/>
  <c r="L4873" i="1"/>
  <c r="M4873" i="1"/>
  <c r="V4873" i="1"/>
  <c r="W4873" i="1"/>
  <c r="A1634" i="1"/>
  <c r="D1634" i="1"/>
  <c r="F1634" i="1"/>
  <c r="H1634" i="1"/>
  <c r="I1634" i="1"/>
  <c r="L1634" i="1"/>
  <c r="M1634" i="1"/>
  <c r="V1634" i="1"/>
  <c r="W1634" i="1"/>
  <c r="A1105" i="1"/>
  <c r="D1105" i="1"/>
  <c r="F1105" i="1"/>
  <c r="H1105" i="1"/>
  <c r="I1105" i="1"/>
  <c r="L1105" i="1"/>
  <c r="M1105" i="1"/>
  <c r="V1105" i="1"/>
  <c r="W1105" i="1"/>
  <c r="A1791" i="1"/>
  <c r="D1791" i="1"/>
  <c r="F1791" i="1"/>
  <c r="H1791" i="1"/>
  <c r="I1791" i="1"/>
  <c r="L1791" i="1"/>
  <c r="M1791" i="1"/>
  <c r="V1791" i="1"/>
  <c r="W1791" i="1"/>
  <c r="A1821" i="1"/>
  <c r="D1821" i="1"/>
  <c r="F1821" i="1"/>
  <c r="H1821" i="1"/>
  <c r="I1821" i="1"/>
  <c r="L1821" i="1"/>
  <c r="M1821" i="1"/>
  <c r="V1821" i="1"/>
  <c r="W1821" i="1"/>
  <c r="A2675" i="1"/>
  <c r="D2675" i="1"/>
  <c r="F2675" i="1"/>
  <c r="H2675" i="1"/>
  <c r="I2675" i="1"/>
  <c r="L2675" i="1"/>
  <c r="M2675" i="1"/>
  <c r="V2675" i="1"/>
  <c r="W2675" i="1"/>
  <c r="A4035" i="1"/>
  <c r="D4035" i="1"/>
  <c r="F4035" i="1"/>
  <c r="H4035" i="1"/>
  <c r="I4035" i="1"/>
  <c r="L4035" i="1"/>
  <c r="M4035" i="1"/>
  <c r="V4035" i="1"/>
  <c r="W4035" i="1"/>
  <c r="A5486" i="1"/>
  <c r="D5486" i="1"/>
  <c r="F5486" i="1"/>
  <c r="H5486" i="1"/>
  <c r="I5486" i="1"/>
  <c r="L5486" i="1"/>
  <c r="M5486" i="1"/>
  <c r="V5486" i="1"/>
  <c r="W5486" i="1"/>
  <c r="A5606" i="1"/>
  <c r="D5606" i="1"/>
  <c r="F5606" i="1"/>
  <c r="H5606" i="1"/>
  <c r="I5606" i="1"/>
  <c r="L5606" i="1"/>
  <c r="M5606" i="1"/>
  <c r="V5606" i="1"/>
  <c r="W5606" i="1"/>
  <c r="A4426" i="1"/>
  <c r="D4426" i="1"/>
  <c r="F4426" i="1"/>
  <c r="H4426" i="1"/>
  <c r="I4426" i="1"/>
  <c r="L4426" i="1"/>
  <c r="M4426" i="1"/>
  <c r="V4426" i="1"/>
  <c r="W4426" i="1"/>
  <c r="A4702" i="1"/>
  <c r="D4702" i="1"/>
  <c r="F4702" i="1"/>
  <c r="H4702" i="1"/>
  <c r="I4702" i="1"/>
  <c r="L4702" i="1"/>
  <c r="M4702" i="1"/>
  <c r="V4702" i="1"/>
  <c r="W4702" i="1"/>
  <c r="A742" i="1"/>
  <c r="D742" i="1"/>
  <c r="F742" i="1"/>
  <c r="H742" i="1"/>
  <c r="I742" i="1"/>
  <c r="L742" i="1"/>
  <c r="M742" i="1"/>
  <c r="V742" i="1"/>
  <c r="W742" i="1"/>
  <c r="A252" i="1"/>
  <c r="D252" i="1"/>
  <c r="F252" i="1"/>
  <c r="H252" i="1"/>
  <c r="I252" i="1"/>
  <c r="L252" i="1"/>
  <c r="M252" i="1"/>
  <c r="V252" i="1"/>
  <c r="W252" i="1"/>
  <c r="A1019" i="1"/>
  <c r="D1019" i="1"/>
  <c r="F1019" i="1"/>
  <c r="H1019" i="1"/>
  <c r="I1019" i="1"/>
  <c r="L1019" i="1"/>
  <c r="M1019" i="1"/>
  <c r="V1019" i="1"/>
  <c r="W1019" i="1"/>
  <c r="A457" i="1"/>
  <c r="D457" i="1"/>
  <c r="F457" i="1"/>
  <c r="H457" i="1"/>
  <c r="I457" i="1"/>
  <c r="L457" i="1"/>
  <c r="M457" i="1"/>
  <c r="V457" i="1"/>
  <c r="W457" i="1"/>
  <c r="A1837" i="1"/>
  <c r="D1837" i="1"/>
  <c r="F1837" i="1"/>
  <c r="H1837" i="1"/>
  <c r="I1837" i="1"/>
  <c r="L1837" i="1"/>
  <c r="M1837" i="1"/>
  <c r="V1837" i="1"/>
  <c r="W1837" i="1"/>
  <c r="A4531" i="1"/>
  <c r="D4531" i="1"/>
  <c r="F4531" i="1"/>
  <c r="H4531" i="1"/>
  <c r="I4531" i="1"/>
  <c r="L4531" i="1"/>
  <c r="M4531" i="1"/>
  <c r="V4531" i="1"/>
  <c r="W4531" i="1"/>
  <c r="A4817" i="1"/>
  <c r="D4817" i="1"/>
  <c r="F4817" i="1"/>
  <c r="H4817" i="1"/>
  <c r="I4817" i="1"/>
  <c r="L4817" i="1"/>
  <c r="M4817" i="1"/>
  <c r="V4817" i="1"/>
  <c r="W4817" i="1"/>
  <c r="A408" i="1"/>
  <c r="D408" i="1"/>
  <c r="F408" i="1"/>
  <c r="H408" i="1"/>
  <c r="I408" i="1"/>
  <c r="L408" i="1"/>
  <c r="M408" i="1"/>
  <c r="V408" i="1"/>
  <c r="W408" i="1"/>
  <c r="A4012" i="1"/>
  <c r="D4012" i="1"/>
  <c r="F4012" i="1"/>
  <c r="H4012" i="1"/>
  <c r="I4012" i="1"/>
  <c r="L4012" i="1"/>
  <c r="M4012" i="1"/>
  <c r="V4012" i="1"/>
  <c r="W4012" i="1"/>
  <c r="A5221" i="1"/>
  <c r="D5221" i="1"/>
  <c r="F5221" i="1"/>
  <c r="H5221" i="1"/>
  <c r="I5221" i="1"/>
  <c r="L5221" i="1"/>
  <c r="M5221" i="1"/>
  <c r="V5221" i="1"/>
  <c r="W5221" i="1"/>
  <c r="A5492" i="1"/>
  <c r="D5492" i="1"/>
  <c r="F5492" i="1"/>
  <c r="H5492" i="1"/>
  <c r="I5492" i="1"/>
  <c r="L5492" i="1"/>
  <c r="M5492" i="1"/>
  <c r="V5492" i="1"/>
  <c r="W5492" i="1"/>
  <c r="A2521" i="1"/>
  <c r="D2521" i="1"/>
  <c r="F2521" i="1"/>
  <c r="H2521" i="1"/>
  <c r="I2521" i="1"/>
  <c r="L2521" i="1"/>
  <c r="M2521" i="1"/>
  <c r="V2521" i="1"/>
  <c r="W2521" i="1"/>
  <c r="A5386" i="1"/>
  <c r="D5386" i="1"/>
  <c r="F5386" i="1"/>
  <c r="H5386" i="1"/>
  <c r="I5386" i="1"/>
  <c r="L5386" i="1"/>
  <c r="M5386" i="1"/>
  <c r="V5386" i="1"/>
  <c r="W5386" i="1"/>
  <c r="A625" i="1"/>
  <c r="D625" i="1"/>
  <c r="F625" i="1"/>
  <c r="H625" i="1"/>
  <c r="I625" i="1"/>
  <c r="L625" i="1"/>
  <c r="M625" i="1"/>
  <c r="V625" i="1"/>
  <c r="W625" i="1"/>
  <c r="A2138" i="1"/>
  <c r="D2138" i="1"/>
  <c r="F2138" i="1"/>
  <c r="H2138" i="1"/>
  <c r="I2138" i="1"/>
  <c r="L2138" i="1"/>
  <c r="M2138" i="1"/>
  <c r="V2138" i="1"/>
  <c r="W2138" i="1"/>
  <c r="A2945" i="1"/>
  <c r="D2945" i="1"/>
  <c r="F2945" i="1"/>
  <c r="H2945" i="1"/>
  <c r="I2945" i="1"/>
  <c r="L2945" i="1"/>
  <c r="M2945" i="1"/>
  <c r="V2945" i="1"/>
  <c r="W2945" i="1"/>
  <c r="A2595" i="1"/>
  <c r="D2595" i="1"/>
  <c r="F2595" i="1"/>
  <c r="H2595" i="1"/>
  <c r="I2595" i="1"/>
  <c r="L2595" i="1"/>
  <c r="M2595" i="1"/>
  <c r="V2595" i="1"/>
  <c r="W2595" i="1"/>
  <c r="A184" i="1"/>
  <c r="D184" i="1"/>
  <c r="F184" i="1"/>
  <c r="H184" i="1"/>
  <c r="I184" i="1"/>
  <c r="L184" i="1"/>
  <c r="M184" i="1"/>
  <c r="V184" i="1"/>
  <c r="W184" i="1"/>
  <c r="A1011" i="1"/>
  <c r="D1011" i="1"/>
  <c r="F1011" i="1"/>
  <c r="H1011" i="1"/>
  <c r="I1011" i="1"/>
  <c r="L1011" i="1"/>
  <c r="M1011" i="1"/>
  <c r="V1011" i="1"/>
  <c r="W1011" i="1"/>
  <c r="A990" i="1"/>
  <c r="D990" i="1"/>
  <c r="F990" i="1"/>
  <c r="H990" i="1"/>
  <c r="I990" i="1"/>
  <c r="L990" i="1"/>
  <c r="M990" i="1"/>
  <c r="V990" i="1"/>
  <c r="W990" i="1"/>
  <c r="A4397" i="1"/>
  <c r="D4397" i="1"/>
  <c r="F4397" i="1"/>
  <c r="H4397" i="1"/>
  <c r="I4397" i="1"/>
  <c r="L4397" i="1"/>
  <c r="M4397" i="1"/>
  <c r="V4397" i="1"/>
  <c r="W4397" i="1"/>
  <c r="A459" i="1"/>
  <c r="D459" i="1"/>
  <c r="F459" i="1"/>
  <c r="H459" i="1"/>
  <c r="I459" i="1"/>
  <c r="L459" i="1"/>
  <c r="M459" i="1"/>
  <c r="V459" i="1"/>
  <c r="W459" i="1"/>
  <c r="A4375" i="1"/>
  <c r="D4375" i="1"/>
  <c r="F4375" i="1"/>
  <c r="H4375" i="1"/>
  <c r="I4375" i="1"/>
  <c r="L4375" i="1"/>
  <c r="M4375" i="1"/>
  <c r="V4375" i="1"/>
  <c r="W4375" i="1"/>
  <c r="A4419" i="1"/>
  <c r="D4419" i="1"/>
  <c r="F4419" i="1"/>
  <c r="H4419" i="1"/>
  <c r="I4419" i="1"/>
  <c r="L4419" i="1"/>
  <c r="M4419" i="1"/>
  <c r="V4419" i="1"/>
  <c r="W4419" i="1"/>
  <c r="A3986" i="1"/>
  <c r="D3986" i="1"/>
  <c r="F3986" i="1"/>
  <c r="H3986" i="1"/>
  <c r="I3986" i="1"/>
  <c r="L3986" i="1"/>
  <c r="M3986" i="1"/>
  <c r="V3986" i="1"/>
  <c r="W3986" i="1"/>
  <c r="A214" i="1"/>
  <c r="D214" i="1"/>
  <c r="F214" i="1"/>
  <c r="H214" i="1"/>
  <c r="I214" i="1"/>
  <c r="L214" i="1"/>
  <c r="M214" i="1"/>
  <c r="V214" i="1"/>
  <c r="W214" i="1"/>
  <c r="A2426" i="1"/>
  <c r="D2426" i="1"/>
  <c r="F2426" i="1"/>
  <c r="H2426" i="1"/>
  <c r="I2426" i="1"/>
  <c r="L2426" i="1"/>
  <c r="M2426" i="1"/>
  <c r="V2426" i="1"/>
  <c r="W2426" i="1"/>
  <c r="A2441" i="1"/>
  <c r="D2441" i="1"/>
  <c r="F2441" i="1"/>
  <c r="H2441" i="1"/>
  <c r="I2441" i="1"/>
  <c r="L2441" i="1"/>
  <c r="M2441" i="1"/>
  <c r="V2441" i="1"/>
  <c r="W2441" i="1"/>
  <c r="A952" i="1"/>
  <c r="D952" i="1"/>
  <c r="F952" i="1"/>
  <c r="H952" i="1"/>
  <c r="I952" i="1"/>
  <c r="L952" i="1"/>
  <c r="M952" i="1"/>
  <c r="V952" i="1"/>
  <c r="W952" i="1"/>
  <c r="A1281" i="1"/>
  <c r="D1281" i="1"/>
  <c r="F1281" i="1"/>
  <c r="H1281" i="1"/>
  <c r="I1281" i="1"/>
  <c r="L1281" i="1"/>
  <c r="M1281" i="1"/>
  <c r="V1281" i="1"/>
  <c r="W1281" i="1"/>
  <c r="A2940" i="1"/>
  <c r="D2940" i="1"/>
  <c r="F2940" i="1"/>
  <c r="H2940" i="1"/>
  <c r="I2940" i="1"/>
  <c r="L2940" i="1"/>
  <c r="M2940" i="1"/>
  <c r="V2940" i="1"/>
  <c r="W2940" i="1"/>
  <c r="A2076" i="1"/>
  <c r="D2076" i="1"/>
  <c r="F2076" i="1"/>
  <c r="H2076" i="1"/>
  <c r="I2076" i="1"/>
  <c r="L2076" i="1"/>
  <c r="M2076" i="1"/>
  <c r="V2076" i="1"/>
  <c r="W2076" i="1"/>
  <c r="A287" i="1"/>
  <c r="D287" i="1"/>
  <c r="F287" i="1"/>
  <c r="H287" i="1"/>
  <c r="I287" i="1"/>
  <c r="L287" i="1"/>
  <c r="M287" i="1"/>
  <c r="V287" i="1"/>
  <c r="W287" i="1"/>
  <c r="A223" i="1"/>
  <c r="D223" i="1"/>
  <c r="F223" i="1"/>
  <c r="H223" i="1"/>
  <c r="I223" i="1"/>
  <c r="L223" i="1"/>
  <c r="M223" i="1"/>
  <c r="V223" i="1"/>
  <c r="W223" i="1"/>
  <c r="A5177" i="1"/>
  <c r="D5177" i="1"/>
  <c r="F5177" i="1"/>
  <c r="H5177" i="1"/>
  <c r="I5177" i="1"/>
  <c r="L5177" i="1"/>
  <c r="M5177" i="1"/>
  <c r="V5177" i="1"/>
  <c r="W5177" i="1"/>
  <c r="A5608" i="1"/>
  <c r="D5608" i="1"/>
  <c r="F5608" i="1"/>
  <c r="H5608" i="1"/>
  <c r="I5608" i="1"/>
  <c r="L5608" i="1"/>
  <c r="M5608" i="1"/>
  <c r="V5608" i="1"/>
  <c r="W5608" i="1"/>
  <c r="A5154" i="1"/>
  <c r="D5154" i="1"/>
  <c r="F5154" i="1"/>
  <c r="H5154" i="1"/>
  <c r="I5154" i="1"/>
  <c r="L5154" i="1"/>
  <c r="M5154" i="1"/>
  <c r="V5154" i="1"/>
  <c r="W5154" i="1"/>
  <c r="A356" i="1"/>
  <c r="D356" i="1"/>
  <c r="F356" i="1"/>
  <c r="H356" i="1"/>
  <c r="I356" i="1"/>
  <c r="L356" i="1"/>
  <c r="M356" i="1"/>
  <c r="V356" i="1"/>
  <c r="W356" i="1"/>
  <c r="A4199" i="1"/>
  <c r="D4199" i="1"/>
  <c r="F4199" i="1"/>
  <c r="H4199" i="1"/>
  <c r="I4199" i="1"/>
  <c r="L4199" i="1"/>
  <c r="M4199" i="1"/>
  <c r="V4199" i="1"/>
  <c r="W4199" i="1"/>
  <c r="A3951" i="1"/>
  <c r="D3951" i="1"/>
  <c r="F3951" i="1"/>
  <c r="H3951" i="1"/>
  <c r="I3951" i="1"/>
  <c r="L3951" i="1"/>
  <c r="M3951" i="1"/>
  <c r="V3951" i="1"/>
  <c r="W3951" i="1"/>
  <c r="A4156" i="1"/>
  <c r="D4156" i="1"/>
  <c r="F4156" i="1"/>
  <c r="H4156" i="1"/>
  <c r="I4156" i="1"/>
  <c r="L4156" i="1"/>
  <c r="M4156" i="1"/>
  <c r="V4156" i="1"/>
  <c r="W4156" i="1"/>
  <c r="A1928" i="1"/>
  <c r="D1928" i="1"/>
  <c r="F1928" i="1"/>
  <c r="H1928" i="1"/>
  <c r="I1928" i="1"/>
  <c r="L1928" i="1"/>
  <c r="M1928" i="1"/>
  <c r="V1928" i="1"/>
  <c r="W1928" i="1"/>
  <c r="A5229" i="1"/>
  <c r="D5229" i="1"/>
  <c r="F5229" i="1"/>
  <c r="H5229" i="1"/>
  <c r="I5229" i="1"/>
  <c r="L5229" i="1"/>
  <c r="M5229" i="1"/>
  <c r="V5229" i="1"/>
  <c r="W5229" i="1"/>
  <c r="A4227" i="1"/>
  <c r="D4227" i="1"/>
  <c r="F4227" i="1"/>
  <c r="H4227" i="1"/>
  <c r="I4227" i="1"/>
  <c r="L4227" i="1"/>
  <c r="M4227" i="1"/>
  <c r="V4227" i="1"/>
  <c r="W4227" i="1"/>
  <c r="A916" i="1"/>
  <c r="D916" i="1"/>
  <c r="F916" i="1"/>
  <c r="H916" i="1"/>
  <c r="I916" i="1"/>
  <c r="L916" i="1"/>
  <c r="M916" i="1"/>
  <c r="V916" i="1"/>
  <c r="W916" i="1"/>
  <c r="A1151" i="1"/>
  <c r="D1151" i="1"/>
  <c r="F1151" i="1"/>
  <c r="H1151" i="1"/>
  <c r="I1151" i="1"/>
  <c r="L1151" i="1"/>
  <c r="M1151" i="1"/>
  <c r="V1151" i="1"/>
  <c r="W1151" i="1"/>
  <c r="A2739" i="1"/>
  <c r="D2739" i="1"/>
  <c r="F2739" i="1"/>
  <c r="H2739" i="1"/>
  <c r="I2739" i="1"/>
  <c r="L2739" i="1"/>
  <c r="M2739" i="1"/>
  <c r="V2739" i="1"/>
  <c r="W2739" i="1"/>
  <c r="A2979" i="1"/>
  <c r="D2979" i="1"/>
  <c r="F2979" i="1"/>
  <c r="H2979" i="1"/>
  <c r="I2979" i="1"/>
  <c r="L2979" i="1"/>
  <c r="M2979" i="1"/>
  <c r="V2979" i="1"/>
  <c r="W2979" i="1"/>
  <c r="A3271" i="1"/>
  <c r="D3271" i="1"/>
  <c r="F3271" i="1"/>
  <c r="H3271" i="1"/>
  <c r="I3271" i="1"/>
  <c r="L3271" i="1"/>
  <c r="M3271" i="1"/>
  <c r="V3271" i="1"/>
  <c r="W3271" i="1"/>
  <c r="A3525" i="1"/>
  <c r="D3525" i="1"/>
  <c r="F3525" i="1"/>
  <c r="H3525" i="1"/>
  <c r="I3525" i="1"/>
  <c r="L3525" i="1"/>
  <c r="M3525" i="1"/>
  <c r="V3525" i="1"/>
  <c r="W3525" i="1"/>
  <c r="A3834" i="1"/>
  <c r="D3834" i="1"/>
  <c r="F3834" i="1"/>
  <c r="H3834" i="1"/>
  <c r="I3834" i="1"/>
  <c r="L3834" i="1"/>
  <c r="M3834" i="1"/>
  <c r="V3834" i="1"/>
  <c r="W3834" i="1"/>
  <c r="A2713" i="1"/>
  <c r="D2713" i="1"/>
  <c r="F2713" i="1"/>
  <c r="H2713" i="1"/>
  <c r="I2713" i="1"/>
  <c r="L2713" i="1"/>
  <c r="M2713" i="1"/>
  <c r="V2713" i="1"/>
  <c r="W2713" i="1"/>
  <c r="A5037" i="1"/>
  <c r="D5037" i="1"/>
  <c r="F5037" i="1"/>
  <c r="H5037" i="1"/>
  <c r="I5037" i="1"/>
  <c r="L5037" i="1"/>
  <c r="M5037" i="1"/>
  <c r="V5037" i="1"/>
  <c r="W5037" i="1"/>
  <c r="A5093" i="1"/>
  <c r="D5093" i="1"/>
  <c r="F5093" i="1"/>
  <c r="H5093" i="1"/>
  <c r="I5093" i="1"/>
  <c r="L5093" i="1"/>
  <c r="M5093" i="1"/>
  <c r="V5093" i="1"/>
  <c r="W5093" i="1"/>
  <c r="A5045" i="1"/>
  <c r="D5045" i="1"/>
  <c r="F5045" i="1"/>
  <c r="H5045" i="1"/>
  <c r="I5045" i="1"/>
  <c r="L5045" i="1"/>
  <c r="M5045" i="1"/>
  <c r="V5045" i="1"/>
  <c r="W5045" i="1"/>
  <c r="A2584" i="1"/>
  <c r="D2584" i="1"/>
  <c r="F2584" i="1"/>
  <c r="H2584" i="1"/>
  <c r="I2584" i="1"/>
  <c r="L2584" i="1"/>
  <c r="M2584" i="1"/>
  <c r="V2584" i="1"/>
  <c r="W2584" i="1"/>
  <c r="A2511" i="1"/>
  <c r="D2511" i="1"/>
  <c r="F2511" i="1"/>
  <c r="H2511" i="1"/>
  <c r="I2511" i="1"/>
  <c r="L2511" i="1"/>
  <c r="M2511" i="1"/>
  <c r="V2511" i="1"/>
  <c r="W2511" i="1"/>
  <c r="A527" i="1"/>
  <c r="D527" i="1"/>
  <c r="F527" i="1"/>
  <c r="H527" i="1"/>
  <c r="I527" i="1"/>
  <c r="L527" i="1"/>
  <c r="M527" i="1"/>
  <c r="V527" i="1"/>
  <c r="W527" i="1"/>
  <c r="A5483" i="1"/>
  <c r="D5483" i="1"/>
  <c r="F5483" i="1"/>
  <c r="H5483" i="1"/>
  <c r="I5483" i="1"/>
  <c r="L5483" i="1"/>
  <c r="M5483" i="1"/>
  <c r="V5483" i="1"/>
  <c r="W5483" i="1"/>
  <c r="A1403" i="1"/>
  <c r="D1403" i="1"/>
  <c r="F1403" i="1"/>
  <c r="H1403" i="1"/>
  <c r="I1403" i="1"/>
  <c r="L1403" i="1"/>
  <c r="M1403" i="1"/>
  <c r="V1403" i="1"/>
  <c r="W1403" i="1"/>
  <c r="A5522" i="1"/>
  <c r="D5522" i="1"/>
  <c r="F5522" i="1"/>
  <c r="H5522" i="1"/>
  <c r="I5522" i="1"/>
  <c r="L5522" i="1"/>
  <c r="M5522" i="1"/>
  <c r="V5522" i="1"/>
  <c r="W5522" i="1"/>
  <c r="A5583" i="1"/>
  <c r="D5583" i="1"/>
  <c r="F5583" i="1"/>
  <c r="H5583" i="1"/>
  <c r="I5583" i="1"/>
  <c r="L5583" i="1"/>
  <c r="M5583" i="1"/>
  <c r="V5583" i="1"/>
  <c r="W5583" i="1"/>
  <c r="A5729" i="1"/>
  <c r="D5729" i="1"/>
  <c r="F5729" i="1"/>
  <c r="H5729" i="1"/>
  <c r="I5729" i="1"/>
  <c r="L5729" i="1"/>
  <c r="M5729" i="1"/>
  <c r="V5729" i="1"/>
  <c r="W5729" i="1"/>
  <c r="A5860" i="1"/>
  <c r="D5860" i="1"/>
  <c r="F5860" i="1"/>
  <c r="H5860" i="1"/>
  <c r="I5860" i="1"/>
  <c r="L5860" i="1"/>
  <c r="M5860" i="1"/>
  <c r="V5860" i="1"/>
  <c r="W5860" i="1"/>
  <c r="A6003" i="1"/>
  <c r="D6003" i="1"/>
  <c r="F6003" i="1"/>
  <c r="H6003" i="1"/>
  <c r="I6003" i="1"/>
  <c r="L6003" i="1"/>
  <c r="M6003" i="1"/>
  <c r="V6003" i="1"/>
  <c r="W6003" i="1"/>
  <c r="A4786" i="1"/>
  <c r="D4786" i="1"/>
  <c r="F4786" i="1"/>
  <c r="H4786" i="1"/>
  <c r="I4786" i="1"/>
  <c r="L4786" i="1"/>
  <c r="M4786" i="1"/>
  <c r="V4786" i="1"/>
  <c r="W4786" i="1"/>
  <c r="A236" i="1"/>
  <c r="D236" i="1"/>
  <c r="F236" i="1"/>
  <c r="H236" i="1"/>
  <c r="I236" i="1"/>
  <c r="L236" i="1"/>
  <c r="M236" i="1"/>
  <c r="V236" i="1"/>
  <c r="W236" i="1"/>
  <c r="A413" i="1"/>
  <c r="D413" i="1"/>
  <c r="F413" i="1"/>
  <c r="H413" i="1"/>
  <c r="I413" i="1"/>
  <c r="L413" i="1"/>
  <c r="M413" i="1"/>
  <c r="V413" i="1"/>
  <c r="W413" i="1"/>
  <c r="A702" i="1"/>
  <c r="D702" i="1"/>
  <c r="F702" i="1"/>
  <c r="H702" i="1"/>
  <c r="I702" i="1"/>
  <c r="L702" i="1"/>
  <c r="M702" i="1"/>
  <c r="V702" i="1"/>
  <c r="W702" i="1"/>
  <c r="A1035" i="1"/>
  <c r="D1035" i="1"/>
  <c r="F1035" i="1"/>
  <c r="H1035" i="1"/>
  <c r="I1035" i="1"/>
  <c r="L1035" i="1"/>
  <c r="M1035" i="1"/>
  <c r="V1035" i="1"/>
  <c r="W1035" i="1"/>
  <c r="A1577" i="1"/>
  <c r="D1577" i="1"/>
  <c r="F1577" i="1"/>
  <c r="H1577" i="1"/>
  <c r="I1577" i="1"/>
  <c r="L1577" i="1"/>
  <c r="M1577" i="1"/>
  <c r="V1577" i="1"/>
  <c r="W1577" i="1"/>
  <c r="A2668" i="1"/>
  <c r="D2668" i="1"/>
  <c r="F2668" i="1"/>
  <c r="H2668" i="1"/>
  <c r="I2668" i="1"/>
  <c r="L2668" i="1"/>
  <c r="M2668" i="1"/>
  <c r="V2668" i="1"/>
  <c r="W2668" i="1"/>
  <c r="A2814" i="1"/>
  <c r="D2814" i="1"/>
  <c r="F2814" i="1"/>
  <c r="H2814" i="1"/>
  <c r="I2814" i="1"/>
  <c r="L2814" i="1"/>
  <c r="M2814" i="1"/>
  <c r="V2814" i="1"/>
  <c r="W2814" i="1"/>
  <c r="A2984" i="1"/>
  <c r="D2984" i="1"/>
  <c r="F2984" i="1"/>
  <c r="H2984" i="1"/>
  <c r="I2984" i="1"/>
  <c r="L2984" i="1"/>
  <c r="M2984" i="1"/>
  <c r="V2984" i="1"/>
  <c r="W2984" i="1"/>
  <c r="A3219" i="1"/>
  <c r="D3219" i="1"/>
  <c r="F3219" i="1"/>
  <c r="H3219" i="1"/>
  <c r="I3219" i="1"/>
  <c r="L3219" i="1"/>
  <c r="M3219" i="1"/>
  <c r="V3219" i="1"/>
  <c r="W3219" i="1"/>
  <c r="A3512" i="1"/>
  <c r="D3512" i="1"/>
  <c r="F3512" i="1"/>
  <c r="H3512" i="1"/>
  <c r="I3512" i="1"/>
  <c r="L3512" i="1"/>
  <c r="M3512" i="1"/>
  <c r="V3512" i="1"/>
  <c r="W3512" i="1"/>
  <c r="A3521" i="1"/>
  <c r="D3521" i="1"/>
  <c r="F3521" i="1"/>
  <c r="H3521" i="1"/>
  <c r="I3521" i="1"/>
  <c r="L3521" i="1"/>
  <c r="M3521" i="1"/>
  <c r="V3521" i="1"/>
  <c r="W3521" i="1"/>
  <c r="A3843" i="1"/>
  <c r="D3843" i="1"/>
  <c r="F3843" i="1"/>
  <c r="H3843" i="1"/>
  <c r="I3843" i="1"/>
  <c r="L3843" i="1"/>
  <c r="M3843" i="1"/>
  <c r="V3843" i="1"/>
  <c r="W3843" i="1"/>
  <c r="A5441" i="1"/>
  <c r="D5441" i="1"/>
  <c r="F5441" i="1"/>
  <c r="H5441" i="1"/>
  <c r="I5441" i="1"/>
  <c r="L5441" i="1"/>
  <c r="M5441" i="1"/>
  <c r="V5441" i="1"/>
  <c r="W5441" i="1"/>
  <c r="A6027" i="1"/>
  <c r="D6027" i="1"/>
  <c r="F6027" i="1"/>
  <c r="H6027" i="1"/>
  <c r="I6027" i="1"/>
  <c r="L6027" i="1"/>
  <c r="M6027" i="1"/>
  <c r="V6027" i="1"/>
  <c r="W6027" i="1"/>
  <c r="A4960" i="1"/>
  <c r="D4960" i="1"/>
  <c r="F4960" i="1"/>
  <c r="H4960" i="1"/>
  <c r="I4960" i="1"/>
  <c r="L4960" i="1"/>
  <c r="M4960" i="1"/>
  <c r="V4960" i="1"/>
  <c r="W4960" i="1"/>
  <c r="A5704" i="1"/>
  <c r="D5704" i="1"/>
  <c r="F5704" i="1"/>
  <c r="H5704" i="1"/>
  <c r="I5704" i="1"/>
  <c r="L5704" i="1"/>
  <c r="M5704" i="1"/>
  <c r="V5704" i="1"/>
  <c r="W5704" i="1"/>
  <c r="A6139" i="1"/>
  <c r="D6139" i="1"/>
  <c r="F6139" i="1"/>
  <c r="H6139" i="1"/>
  <c r="I6139" i="1"/>
  <c r="L6139" i="1"/>
  <c r="M6139" i="1"/>
  <c r="V6139" i="1"/>
  <c r="W6139" i="1"/>
  <c r="A3494" i="1"/>
  <c r="D3494" i="1"/>
  <c r="F3494" i="1"/>
  <c r="H3494" i="1"/>
  <c r="I3494" i="1"/>
  <c r="L3494" i="1"/>
  <c r="M3494" i="1"/>
  <c r="V3494" i="1"/>
  <c r="W3494" i="1"/>
  <c r="A5679" i="1"/>
  <c r="D5679" i="1"/>
  <c r="F5679" i="1"/>
  <c r="H5679" i="1"/>
  <c r="I5679" i="1"/>
  <c r="L5679" i="1"/>
  <c r="M5679" i="1"/>
  <c r="V5679" i="1"/>
  <c r="W5679" i="1"/>
  <c r="A458" i="1"/>
  <c r="D458" i="1"/>
  <c r="F458" i="1"/>
  <c r="H458" i="1"/>
  <c r="I458" i="1"/>
  <c r="L458" i="1"/>
  <c r="M458" i="1"/>
  <c r="V458" i="1"/>
  <c r="W458" i="1"/>
  <c r="A3973" i="1"/>
  <c r="D3973" i="1"/>
  <c r="F3973" i="1"/>
  <c r="H3973" i="1"/>
  <c r="I3973" i="1"/>
  <c r="L3973" i="1"/>
  <c r="M3973" i="1"/>
  <c r="V3973" i="1"/>
  <c r="W3973" i="1"/>
  <c r="A4479" i="1"/>
  <c r="D4479" i="1"/>
  <c r="F4479" i="1"/>
  <c r="H4479" i="1"/>
  <c r="I4479" i="1"/>
  <c r="L4479" i="1"/>
  <c r="M4479" i="1"/>
  <c r="V4479" i="1"/>
  <c r="W4479" i="1"/>
  <c r="A3104" i="1"/>
  <c r="D3104" i="1"/>
  <c r="F3104" i="1"/>
  <c r="H3104" i="1"/>
  <c r="I3104" i="1"/>
  <c r="L3104" i="1"/>
  <c r="M3104" i="1"/>
  <c r="V3104" i="1"/>
  <c r="W3104" i="1"/>
  <c r="A3143" i="1"/>
  <c r="D3143" i="1"/>
  <c r="F3143" i="1"/>
  <c r="H3143" i="1"/>
  <c r="I3143" i="1"/>
  <c r="L3143" i="1"/>
  <c r="M3143" i="1"/>
  <c r="V3143" i="1"/>
  <c r="W3143" i="1"/>
  <c r="A2387" i="1"/>
  <c r="D2387" i="1"/>
  <c r="F2387" i="1"/>
  <c r="H2387" i="1"/>
  <c r="I2387" i="1"/>
  <c r="L2387" i="1"/>
  <c r="M2387" i="1"/>
  <c r="V2387" i="1"/>
  <c r="W2387" i="1"/>
  <c r="A778" i="1"/>
  <c r="D778" i="1"/>
  <c r="F778" i="1"/>
  <c r="H778" i="1"/>
  <c r="I778" i="1"/>
  <c r="L778" i="1"/>
  <c r="M778" i="1"/>
  <c r="V778" i="1"/>
  <c r="W778" i="1"/>
  <c r="A1772" i="1"/>
  <c r="D1772" i="1"/>
  <c r="F1772" i="1"/>
  <c r="H1772" i="1"/>
  <c r="I1772" i="1"/>
  <c r="L1772" i="1"/>
  <c r="M1772" i="1"/>
  <c r="V1772" i="1"/>
  <c r="W1772" i="1"/>
  <c r="A5273" i="1"/>
  <c r="D5273" i="1"/>
  <c r="F5273" i="1"/>
  <c r="H5273" i="1"/>
  <c r="I5273" i="1"/>
  <c r="L5273" i="1"/>
  <c r="M5273" i="1"/>
  <c r="V5273" i="1"/>
  <c r="W5273" i="1"/>
  <c r="A278" i="1"/>
  <c r="D278" i="1"/>
  <c r="F278" i="1"/>
  <c r="H278" i="1"/>
  <c r="I278" i="1"/>
  <c r="L278" i="1"/>
  <c r="M278" i="1"/>
  <c r="V278" i="1"/>
  <c r="W278" i="1"/>
  <c r="A2788" i="1"/>
  <c r="D2788" i="1"/>
  <c r="F2788" i="1"/>
  <c r="H2788" i="1"/>
  <c r="I2788" i="1"/>
  <c r="L2788" i="1"/>
  <c r="M2788" i="1"/>
  <c r="V2788" i="1"/>
  <c r="W2788" i="1"/>
  <c r="A3232" i="1"/>
  <c r="D3232" i="1"/>
  <c r="F3232" i="1"/>
  <c r="H3232" i="1"/>
  <c r="I3232" i="1"/>
  <c r="L3232" i="1"/>
  <c r="M3232" i="1"/>
  <c r="V3232" i="1"/>
  <c r="W3232" i="1"/>
  <c r="A1817" i="1"/>
  <c r="D1817" i="1"/>
  <c r="F1817" i="1"/>
  <c r="H1817" i="1"/>
  <c r="I1817" i="1"/>
  <c r="L1817" i="1"/>
  <c r="M1817" i="1"/>
  <c r="V1817" i="1"/>
  <c r="W1817" i="1"/>
  <c r="A1881" i="1"/>
  <c r="D1881" i="1"/>
  <c r="F1881" i="1"/>
  <c r="H1881" i="1"/>
  <c r="I1881" i="1"/>
  <c r="L1881" i="1"/>
  <c r="M1881" i="1"/>
  <c r="V1881" i="1"/>
  <c r="W1881" i="1"/>
  <c r="A5356" i="1"/>
  <c r="D5356" i="1"/>
  <c r="F5356" i="1"/>
  <c r="H5356" i="1"/>
  <c r="I5356" i="1"/>
  <c r="L5356" i="1"/>
  <c r="M5356" i="1"/>
  <c r="V5356" i="1"/>
  <c r="W5356" i="1"/>
  <c r="A5687" i="1"/>
  <c r="D5687" i="1"/>
  <c r="F5687" i="1"/>
  <c r="H5687" i="1"/>
  <c r="I5687" i="1"/>
  <c r="L5687" i="1"/>
  <c r="M5687" i="1"/>
  <c r="V5687" i="1"/>
  <c r="W5687" i="1"/>
  <c r="A2144" i="1"/>
  <c r="D2144" i="1"/>
  <c r="F2144" i="1"/>
  <c r="H2144" i="1"/>
  <c r="I2144" i="1"/>
  <c r="L2144" i="1"/>
  <c r="M2144" i="1"/>
  <c r="V2144" i="1"/>
  <c r="W2144" i="1"/>
  <c r="A2204" i="1"/>
  <c r="D2204" i="1"/>
  <c r="F2204" i="1"/>
  <c r="H2204" i="1"/>
  <c r="I2204" i="1"/>
  <c r="L2204" i="1"/>
  <c r="M2204" i="1"/>
  <c r="V2204" i="1"/>
  <c r="W2204" i="1"/>
  <c r="A4293" i="1"/>
  <c r="D4293" i="1"/>
  <c r="F4293" i="1"/>
  <c r="H4293" i="1"/>
  <c r="I4293" i="1"/>
  <c r="L4293" i="1"/>
  <c r="M4293" i="1"/>
  <c r="V4293" i="1"/>
  <c r="W4293" i="1"/>
  <c r="A4976" i="1"/>
  <c r="D4976" i="1"/>
  <c r="F4976" i="1"/>
  <c r="H4976" i="1"/>
  <c r="I4976" i="1"/>
  <c r="L4976" i="1"/>
  <c r="M4976" i="1"/>
  <c r="V4976" i="1"/>
  <c r="W4976" i="1"/>
  <c r="A5091" i="1"/>
  <c r="D5091" i="1"/>
  <c r="F5091" i="1"/>
  <c r="H5091" i="1"/>
  <c r="I5091" i="1"/>
  <c r="L5091" i="1"/>
  <c r="M5091" i="1"/>
  <c r="V5091" i="1"/>
  <c r="W5091" i="1"/>
  <c r="A5121" i="1"/>
  <c r="D5121" i="1"/>
  <c r="F5121" i="1"/>
  <c r="H5121" i="1"/>
  <c r="I5121" i="1"/>
  <c r="L5121" i="1"/>
  <c r="M5121" i="1"/>
  <c r="V5121" i="1"/>
  <c r="W5121" i="1"/>
  <c r="A5157" i="1"/>
  <c r="D5157" i="1"/>
  <c r="F5157" i="1"/>
  <c r="H5157" i="1"/>
  <c r="I5157" i="1"/>
  <c r="L5157" i="1"/>
  <c r="M5157" i="1"/>
  <c r="V5157" i="1"/>
  <c r="W5157" i="1"/>
  <c r="A929" i="1"/>
  <c r="D929" i="1"/>
  <c r="F929" i="1"/>
  <c r="H929" i="1"/>
  <c r="I929" i="1"/>
  <c r="L929" i="1"/>
  <c r="M929" i="1"/>
  <c r="V929" i="1"/>
  <c r="W929" i="1"/>
  <c r="A1026" i="1"/>
  <c r="D1026" i="1"/>
  <c r="F1026" i="1"/>
  <c r="H1026" i="1"/>
  <c r="I1026" i="1"/>
  <c r="L1026" i="1"/>
  <c r="M1026" i="1"/>
  <c r="V1026" i="1"/>
  <c r="W1026" i="1"/>
  <c r="A6075" i="1"/>
  <c r="D6075" i="1"/>
  <c r="F6075" i="1"/>
  <c r="H6075" i="1"/>
  <c r="I6075" i="1"/>
  <c r="L6075" i="1"/>
  <c r="M6075" i="1"/>
  <c r="V6075" i="1"/>
  <c r="W6075" i="1"/>
  <c r="A5172" i="1"/>
  <c r="D5172" i="1"/>
  <c r="F5172" i="1"/>
  <c r="H5172" i="1"/>
  <c r="I5172" i="1"/>
  <c r="L5172" i="1"/>
  <c r="M5172" i="1"/>
  <c r="V5172" i="1"/>
  <c r="W5172" i="1"/>
  <c r="A5175" i="1"/>
  <c r="D5175" i="1"/>
  <c r="F5175" i="1"/>
  <c r="H5175" i="1"/>
  <c r="I5175" i="1"/>
  <c r="L5175" i="1"/>
  <c r="M5175" i="1"/>
  <c r="V5175" i="1"/>
  <c r="W5175" i="1"/>
  <c r="A215" i="1"/>
  <c r="D215" i="1"/>
  <c r="F215" i="1"/>
  <c r="H215" i="1"/>
  <c r="I215" i="1"/>
  <c r="L215" i="1"/>
  <c r="M215" i="1"/>
  <c r="V215" i="1"/>
  <c r="W215" i="1"/>
  <c r="A4769" i="1"/>
  <c r="D4769" i="1"/>
  <c r="F4769" i="1"/>
  <c r="H4769" i="1"/>
  <c r="I4769" i="1"/>
  <c r="L4769" i="1"/>
  <c r="M4769" i="1"/>
  <c r="V4769" i="1"/>
  <c r="W4769" i="1"/>
  <c r="A3686" i="1"/>
  <c r="D3686" i="1"/>
  <c r="F3686" i="1"/>
  <c r="H3686" i="1"/>
  <c r="I3686" i="1"/>
  <c r="L3686" i="1"/>
  <c r="M3686" i="1"/>
  <c r="V3686" i="1"/>
  <c r="W3686" i="1"/>
  <c r="A2771" i="1"/>
  <c r="D2771" i="1"/>
  <c r="F2771" i="1"/>
  <c r="H2771" i="1"/>
  <c r="I2771" i="1"/>
  <c r="L2771" i="1"/>
  <c r="M2771" i="1"/>
  <c r="V2771" i="1"/>
  <c r="W2771" i="1"/>
  <c r="A2927" i="1"/>
  <c r="D2927" i="1"/>
  <c r="F2927" i="1"/>
  <c r="H2927" i="1"/>
  <c r="I2927" i="1"/>
  <c r="L2927" i="1"/>
  <c r="M2927" i="1"/>
  <c r="V2927" i="1"/>
  <c r="W2927" i="1"/>
  <c r="A5115" i="1"/>
  <c r="D5115" i="1"/>
  <c r="F5115" i="1"/>
  <c r="H5115" i="1"/>
  <c r="I5115" i="1"/>
  <c r="L5115" i="1"/>
  <c r="M5115" i="1"/>
  <c r="V5115" i="1"/>
  <c r="W5115" i="1"/>
  <c r="A5139" i="1"/>
  <c r="D5139" i="1"/>
  <c r="F5139" i="1"/>
  <c r="H5139" i="1"/>
  <c r="I5139" i="1"/>
  <c r="L5139" i="1"/>
  <c r="M5139" i="1"/>
  <c r="V5139" i="1"/>
  <c r="W5139" i="1"/>
  <c r="A509" i="1"/>
  <c r="D509" i="1"/>
  <c r="F509" i="1"/>
  <c r="H509" i="1"/>
  <c r="I509" i="1"/>
  <c r="L509" i="1"/>
  <c r="M509" i="1"/>
  <c r="V509" i="1"/>
  <c r="W509" i="1"/>
  <c r="A5669" i="1"/>
  <c r="D5669" i="1"/>
  <c r="F5669" i="1"/>
  <c r="H5669" i="1"/>
  <c r="I5669" i="1"/>
  <c r="L5669" i="1"/>
  <c r="M5669" i="1"/>
  <c r="V5669" i="1"/>
  <c r="W5669" i="1"/>
  <c r="A5024" i="1"/>
  <c r="D5024" i="1"/>
  <c r="F5024" i="1"/>
  <c r="H5024" i="1"/>
  <c r="I5024" i="1"/>
  <c r="L5024" i="1"/>
  <c r="M5024" i="1"/>
  <c r="V5024" i="1"/>
  <c r="W5024" i="1"/>
  <c r="A5397" i="1"/>
  <c r="D5397" i="1"/>
  <c r="F5397" i="1"/>
  <c r="H5397" i="1"/>
  <c r="I5397" i="1"/>
  <c r="L5397" i="1"/>
  <c r="M5397" i="1"/>
  <c r="V5397" i="1"/>
  <c r="W5397" i="1"/>
  <c r="A4423" i="1"/>
  <c r="D4423" i="1"/>
  <c r="F4423" i="1"/>
  <c r="H4423" i="1"/>
  <c r="I4423" i="1"/>
  <c r="L4423" i="1"/>
  <c r="M4423" i="1"/>
  <c r="V4423" i="1"/>
  <c r="W4423" i="1"/>
  <c r="A1262" i="1"/>
  <c r="D1262" i="1"/>
  <c r="F1262" i="1"/>
  <c r="H1262" i="1"/>
  <c r="I1262" i="1"/>
  <c r="L1262" i="1"/>
  <c r="M1262" i="1"/>
  <c r="V1262" i="1"/>
  <c r="W1262" i="1"/>
  <c r="A3298" i="1"/>
  <c r="D3298" i="1"/>
  <c r="F3298" i="1"/>
  <c r="H3298" i="1"/>
  <c r="I3298" i="1"/>
  <c r="L3298" i="1"/>
  <c r="M3298" i="1"/>
  <c r="V3298" i="1"/>
  <c r="W3298" i="1"/>
  <c r="A2357" i="1"/>
  <c r="D2357" i="1"/>
  <c r="F2357" i="1"/>
  <c r="H2357" i="1"/>
  <c r="I2357" i="1"/>
  <c r="L2357" i="1"/>
  <c r="M2357" i="1"/>
  <c r="V2357" i="1"/>
  <c r="W2357" i="1"/>
  <c r="A5884" i="1"/>
  <c r="D5884" i="1"/>
  <c r="F5884" i="1"/>
  <c r="H5884" i="1"/>
  <c r="I5884" i="1"/>
  <c r="L5884" i="1"/>
  <c r="M5884" i="1"/>
  <c r="V5884" i="1"/>
  <c r="W5884" i="1"/>
  <c r="A1239" i="1"/>
  <c r="D1239" i="1"/>
  <c r="F1239" i="1"/>
  <c r="H1239" i="1"/>
  <c r="I1239" i="1"/>
  <c r="L1239" i="1"/>
  <c r="M1239" i="1"/>
  <c r="V1239" i="1"/>
  <c r="W1239" i="1"/>
  <c r="A669" i="1"/>
  <c r="D669" i="1"/>
  <c r="F669" i="1"/>
  <c r="H669" i="1"/>
  <c r="I669" i="1"/>
  <c r="L669" i="1"/>
  <c r="M669" i="1"/>
  <c r="V669" i="1"/>
  <c r="W669" i="1"/>
  <c r="A1326" i="1"/>
  <c r="D1326" i="1"/>
  <c r="F1326" i="1"/>
  <c r="H1326" i="1"/>
  <c r="I1326" i="1"/>
  <c r="L1326" i="1"/>
  <c r="M1326" i="1"/>
  <c r="V1326" i="1"/>
  <c r="W1326" i="1"/>
  <c r="A5659" i="1"/>
  <c r="D5659" i="1"/>
  <c r="F5659" i="1"/>
  <c r="H5659" i="1"/>
  <c r="I5659" i="1"/>
  <c r="L5659" i="1"/>
  <c r="M5659" i="1"/>
  <c r="V5659" i="1"/>
  <c r="W5659" i="1"/>
  <c r="A4739" i="1"/>
  <c r="D4739" i="1"/>
  <c r="F4739" i="1"/>
  <c r="H4739" i="1"/>
  <c r="I4739" i="1"/>
  <c r="L4739" i="1"/>
  <c r="M4739" i="1"/>
  <c r="V4739" i="1"/>
  <c r="W4739" i="1"/>
  <c r="A5868" i="1"/>
  <c r="D5868" i="1"/>
  <c r="F5868" i="1"/>
  <c r="H5868" i="1"/>
  <c r="I5868" i="1"/>
  <c r="L5868" i="1"/>
  <c r="M5868" i="1"/>
  <c r="V5868" i="1"/>
  <c r="W5868" i="1"/>
  <c r="A578" i="1"/>
  <c r="D578" i="1"/>
  <c r="F578" i="1"/>
  <c r="H578" i="1"/>
  <c r="I578" i="1"/>
  <c r="L578" i="1"/>
  <c r="M578" i="1"/>
  <c r="V578" i="1"/>
  <c r="W578" i="1"/>
  <c r="A610" i="1"/>
  <c r="D610" i="1"/>
  <c r="F610" i="1"/>
  <c r="H610" i="1"/>
  <c r="I610" i="1"/>
  <c r="L610" i="1"/>
  <c r="M610" i="1"/>
  <c r="V610" i="1"/>
  <c r="W610" i="1"/>
  <c r="A5388" i="1"/>
  <c r="D5388" i="1"/>
  <c r="F5388" i="1"/>
  <c r="H5388" i="1"/>
  <c r="I5388" i="1"/>
  <c r="L5388" i="1"/>
  <c r="M5388" i="1"/>
  <c r="V5388" i="1"/>
  <c r="W5388" i="1"/>
  <c r="A3118" i="1"/>
  <c r="D3118" i="1"/>
  <c r="F3118" i="1"/>
  <c r="H3118" i="1"/>
  <c r="I3118" i="1"/>
  <c r="L3118" i="1"/>
  <c r="M3118" i="1"/>
  <c r="V3118" i="1"/>
  <c r="W3118" i="1"/>
  <c r="A481" i="1"/>
  <c r="D481" i="1"/>
  <c r="F481" i="1"/>
  <c r="H481" i="1"/>
  <c r="I481" i="1"/>
  <c r="L481" i="1"/>
  <c r="M481" i="1"/>
  <c r="V481" i="1"/>
  <c r="W481" i="1"/>
  <c r="A2051" i="1"/>
  <c r="D2051" i="1"/>
  <c r="F2051" i="1"/>
  <c r="H2051" i="1"/>
  <c r="I2051" i="1"/>
  <c r="L2051" i="1"/>
  <c r="M2051" i="1"/>
  <c r="V2051" i="1"/>
  <c r="W2051" i="1"/>
  <c r="A1368" i="1"/>
  <c r="D1368" i="1"/>
  <c r="F1368" i="1"/>
  <c r="H1368" i="1"/>
  <c r="I1368" i="1"/>
  <c r="L1368" i="1"/>
  <c r="M1368" i="1"/>
  <c r="V1368" i="1"/>
  <c r="W1368" i="1"/>
  <c r="A4576" i="1"/>
  <c r="D4576" i="1"/>
  <c r="F4576" i="1"/>
  <c r="H4576" i="1"/>
  <c r="I4576" i="1"/>
  <c r="L4576" i="1"/>
  <c r="M4576" i="1"/>
  <c r="V4576" i="1"/>
  <c r="W4576" i="1"/>
  <c r="A4622" i="1"/>
  <c r="D4622" i="1"/>
  <c r="F4622" i="1"/>
  <c r="H4622" i="1"/>
  <c r="I4622" i="1"/>
  <c r="L4622" i="1"/>
  <c r="M4622" i="1"/>
  <c r="V4622" i="1"/>
  <c r="W4622" i="1"/>
  <c r="A3589" i="1"/>
  <c r="D3589" i="1"/>
  <c r="F3589" i="1"/>
  <c r="H3589" i="1"/>
  <c r="I3589" i="1"/>
  <c r="L3589" i="1"/>
  <c r="M3589" i="1"/>
  <c r="V3589" i="1"/>
  <c r="W3589" i="1"/>
  <c r="A2258" i="1"/>
  <c r="D2258" i="1"/>
  <c r="F2258" i="1"/>
  <c r="H2258" i="1"/>
  <c r="I2258" i="1"/>
  <c r="L2258" i="1"/>
  <c r="M2258" i="1"/>
  <c r="V2258" i="1"/>
  <c r="W2258" i="1"/>
  <c r="A3804" i="1"/>
  <c r="D3804" i="1"/>
  <c r="F3804" i="1"/>
  <c r="H3804" i="1"/>
  <c r="I3804" i="1"/>
  <c r="L3804" i="1"/>
  <c r="M3804" i="1"/>
  <c r="V3804" i="1"/>
  <c r="W3804" i="1"/>
  <c r="A4123" i="1"/>
  <c r="D4123" i="1"/>
  <c r="F4123" i="1"/>
  <c r="H4123" i="1"/>
  <c r="I4123" i="1"/>
  <c r="L4123" i="1"/>
  <c r="M4123" i="1"/>
  <c r="V4123" i="1"/>
  <c r="W4123" i="1"/>
  <c r="A4221" i="1"/>
  <c r="D4221" i="1"/>
  <c r="F4221" i="1"/>
  <c r="H4221" i="1"/>
  <c r="I4221" i="1"/>
  <c r="L4221" i="1"/>
  <c r="M4221" i="1"/>
  <c r="V4221" i="1"/>
  <c r="W4221" i="1"/>
  <c r="A5872" i="1"/>
  <c r="D5872" i="1"/>
  <c r="F5872" i="1"/>
  <c r="H5872" i="1"/>
  <c r="I5872" i="1"/>
  <c r="L5872" i="1"/>
  <c r="M5872" i="1"/>
  <c r="V5872" i="1"/>
  <c r="W5872" i="1"/>
  <c r="A389" i="1"/>
  <c r="D389" i="1"/>
  <c r="F389" i="1"/>
  <c r="H389" i="1"/>
  <c r="I389" i="1"/>
  <c r="L389" i="1"/>
  <c r="M389" i="1"/>
  <c r="V389" i="1"/>
  <c r="W389" i="1"/>
  <c r="A4659" i="1"/>
  <c r="D4659" i="1"/>
  <c r="F4659" i="1"/>
  <c r="H4659" i="1"/>
  <c r="I4659" i="1"/>
  <c r="L4659" i="1"/>
  <c r="M4659" i="1"/>
  <c r="V4659" i="1"/>
  <c r="W4659" i="1"/>
  <c r="A1799" i="1"/>
  <c r="D1799" i="1"/>
  <c r="F1799" i="1"/>
  <c r="H1799" i="1"/>
  <c r="I1799" i="1"/>
  <c r="L1799" i="1"/>
  <c r="M1799" i="1"/>
  <c r="V1799" i="1"/>
  <c r="W1799" i="1"/>
  <c r="A2" i="1"/>
  <c r="D2" i="1"/>
  <c r="F2" i="1"/>
  <c r="H2" i="1"/>
  <c r="I2" i="1"/>
  <c r="L2" i="1"/>
  <c r="M2" i="1"/>
  <c r="V2" i="1"/>
  <c r="W2" i="1"/>
  <c r="A3832" i="1"/>
  <c r="D3832" i="1"/>
  <c r="F3832" i="1"/>
  <c r="H3832" i="1"/>
  <c r="I3832" i="1"/>
  <c r="L3832" i="1"/>
  <c r="M3832" i="1"/>
  <c r="V3832" i="1"/>
  <c r="W3832" i="1"/>
  <c r="A4472" i="1"/>
  <c r="D4472" i="1"/>
  <c r="F4472" i="1"/>
  <c r="H4472" i="1"/>
  <c r="I4472" i="1"/>
  <c r="L4472" i="1"/>
  <c r="M4472" i="1"/>
  <c r="V4472" i="1"/>
  <c r="W4472" i="1"/>
  <c r="A4240" i="1"/>
  <c r="D4240" i="1"/>
  <c r="F4240" i="1"/>
  <c r="H4240" i="1"/>
  <c r="I4240" i="1"/>
  <c r="L4240" i="1"/>
  <c r="M4240" i="1"/>
  <c r="V4240" i="1"/>
  <c r="W4240" i="1"/>
  <c r="A5473" i="1"/>
  <c r="D5473" i="1"/>
  <c r="F5473" i="1"/>
  <c r="H5473" i="1"/>
  <c r="I5473" i="1"/>
  <c r="L5473" i="1"/>
  <c r="M5473" i="1"/>
  <c r="V5473" i="1"/>
  <c r="W5473" i="1"/>
  <c r="A6161" i="1"/>
  <c r="D6161" i="1"/>
  <c r="F6161" i="1"/>
  <c r="H6161" i="1"/>
  <c r="I6161" i="1"/>
  <c r="L6161" i="1"/>
  <c r="M6161" i="1"/>
  <c r="V6161" i="1"/>
  <c r="W6161" i="1"/>
  <c r="A114" i="1"/>
  <c r="D114" i="1"/>
  <c r="F114" i="1"/>
  <c r="H114" i="1"/>
  <c r="I114" i="1"/>
  <c r="L114" i="1"/>
  <c r="M114" i="1"/>
  <c r="V114" i="1"/>
  <c r="W114" i="1"/>
  <c r="A285" i="1"/>
  <c r="D285" i="1"/>
  <c r="F285" i="1"/>
  <c r="H285" i="1"/>
  <c r="I285" i="1"/>
  <c r="L285" i="1"/>
  <c r="M285" i="1"/>
  <c r="V285" i="1"/>
  <c r="W285" i="1"/>
  <c r="A290" i="1"/>
  <c r="D290" i="1"/>
  <c r="F290" i="1"/>
  <c r="H290" i="1"/>
  <c r="I290" i="1"/>
  <c r="L290" i="1"/>
  <c r="M290" i="1"/>
  <c r="V290" i="1"/>
  <c r="W290" i="1"/>
  <c r="A250" i="1"/>
  <c r="D250" i="1"/>
  <c r="F250" i="1"/>
  <c r="H250" i="1"/>
  <c r="I250" i="1"/>
  <c r="L250" i="1"/>
  <c r="M250" i="1"/>
  <c r="V250" i="1"/>
  <c r="W250" i="1"/>
  <c r="A18" i="1"/>
  <c r="D18" i="1"/>
  <c r="F18" i="1"/>
  <c r="H18" i="1"/>
  <c r="I18" i="1"/>
  <c r="L18" i="1"/>
  <c r="M18" i="1"/>
  <c r="V18" i="1"/>
  <c r="W18" i="1"/>
  <c r="A5252" i="1"/>
  <c r="D5252" i="1"/>
  <c r="F5252" i="1"/>
  <c r="H5252" i="1"/>
  <c r="I5252" i="1"/>
  <c r="L5252" i="1"/>
  <c r="M5252" i="1"/>
  <c r="V5252" i="1"/>
  <c r="W5252" i="1"/>
  <c r="A3805" i="1"/>
  <c r="D3805" i="1"/>
  <c r="F3805" i="1"/>
  <c r="H3805" i="1"/>
  <c r="I3805" i="1"/>
  <c r="L3805" i="1"/>
  <c r="M3805" i="1"/>
  <c r="V3805" i="1"/>
  <c r="W3805" i="1"/>
  <c r="A3120" i="1"/>
  <c r="D3120" i="1"/>
  <c r="F3120" i="1"/>
  <c r="H3120" i="1"/>
  <c r="I3120" i="1"/>
  <c r="L3120" i="1"/>
  <c r="M3120" i="1"/>
  <c r="V3120" i="1"/>
  <c r="W3120" i="1"/>
  <c r="A3199" i="1"/>
  <c r="D3199" i="1"/>
  <c r="F3199" i="1"/>
  <c r="H3199" i="1"/>
  <c r="I3199" i="1"/>
  <c r="L3199" i="1"/>
  <c r="M3199" i="1"/>
  <c r="V3199" i="1"/>
  <c r="W3199" i="1"/>
  <c r="A3255" i="1"/>
  <c r="D3255" i="1"/>
  <c r="F3255" i="1"/>
  <c r="H3255" i="1"/>
  <c r="I3255" i="1"/>
  <c r="L3255" i="1"/>
  <c r="M3255" i="1"/>
  <c r="V3255" i="1"/>
  <c r="W3255" i="1"/>
  <c r="A1527" i="1"/>
  <c r="D1527" i="1"/>
  <c r="F1527" i="1"/>
  <c r="H1527" i="1"/>
  <c r="I1527" i="1"/>
  <c r="L1527" i="1"/>
  <c r="M1527" i="1"/>
  <c r="V1527" i="1"/>
  <c r="W1527" i="1"/>
  <c r="A4964" i="1"/>
  <c r="D4964" i="1"/>
  <c r="F4964" i="1"/>
  <c r="H4964" i="1"/>
  <c r="I4964" i="1"/>
  <c r="L4964" i="1"/>
  <c r="M4964" i="1"/>
  <c r="V4964" i="1"/>
  <c r="W4964" i="1"/>
  <c r="A2958" i="1"/>
  <c r="D2958" i="1"/>
  <c r="F2958" i="1"/>
  <c r="H2958" i="1"/>
  <c r="I2958" i="1"/>
  <c r="L2958" i="1"/>
  <c r="M2958" i="1"/>
  <c r="V2958" i="1"/>
  <c r="W2958" i="1"/>
  <c r="A932" i="1"/>
  <c r="D932" i="1"/>
  <c r="F932" i="1"/>
  <c r="H932" i="1"/>
  <c r="I932" i="1"/>
  <c r="L932" i="1"/>
  <c r="M932" i="1"/>
  <c r="V932" i="1"/>
  <c r="W932" i="1"/>
  <c r="A3068" i="1"/>
  <c r="D3068" i="1"/>
  <c r="F3068" i="1"/>
  <c r="H3068" i="1"/>
  <c r="I3068" i="1"/>
  <c r="L3068" i="1"/>
  <c r="M3068" i="1"/>
  <c r="V3068" i="1"/>
  <c r="W3068" i="1"/>
  <c r="A3469" i="1"/>
  <c r="D3469" i="1"/>
  <c r="F3469" i="1"/>
  <c r="H3469" i="1"/>
  <c r="I3469" i="1"/>
  <c r="L3469" i="1"/>
  <c r="M3469" i="1"/>
  <c r="V3469" i="1"/>
  <c r="W3469" i="1"/>
  <c r="A3541" i="1"/>
  <c r="D3541" i="1"/>
  <c r="F3541" i="1"/>
  <c r="H3541" i="1"/>
  <c r="I3541" i="1"/>
  <c r="L3541" i="1"/>
  <c r="M3541" i="1"/>
  <c r="V3541" i="1"/>
  <c r="W3541" i="1"/>
  <c r="A341" i="1"/>
  <c r="D341" i="1"/>
  <c r="F341" i="1"/>
  <c r="H341" i="1"/>
  <c r="I341" i="1"/>
  <c r="L341" i="1"/>
  <c r="M341" i="1"/>
  <c r="V341" i="1"/>
  <c r="W341" i="1"/>
  <c r="A3876" i="1"/>
  <c r="D3876" i="1"/>
  <c r="F3876" i="1"/>
  <c r="H3876" i="1"/>
  <c r="I3876" i="1"/>
  <c r="L3876" i="1"/>
  <c r="M3876" i="1"/>
  <c r="V3876" i="1"/>
  <c r="W3876" i="1"/>
  <c r="A5049" i="1"/>
  <c r="D5049" i="1"/>
  <c r="F5049" i="1"/>
  <c r="H5049" i="1"/>
  <c r="I5049" i="1"/>
  <c r="L5049" i="1"/>
  <c r="M5049" i="1"/>
  <c r="V5049" i="1"/>
  <c r="W5049" i="1"/>
  <c r="A5301" i="1"/>
  <c r="D5301" i="1"/>
  <c r="F5301" i="1"/>
  <c r="H5301" i="1"/>
  <c r="I5301" i="1"/>
  <c r="L5301" i="1"/>
  <c r="M5301" i="1"/>
  <c r="V5301" i="1"/>
  <c r="W5301" i="1"/>
  <c r="A1540" i="1"/>
  <c r="D1540" i="1"/>
  <c r="F1540" i="1"/>
  <c r="H1540" i="1"/>
  <c r="I1540" i="1"/>
  <c r="L1540" i="1"/>
  <c r="M1540" i="1"/>
  <c r="V1540" i="1"/>
  <c r="W1540" i="1"/>
  <c r="A1096" i="1"/>
  <c r="D1096" i="1"/>
  <c r="F1096" i="1"/>
  <c r="H1096" i="1"/>
  <c r="I1096" i="1"/>
  <c r="L1096" i="1"/>
  <c r="M1096" i="1"/>
  <c r="V1096" i="1"/>
  <c r="W1096" i="1"/>
  <c r="A2183" i="1"/>
  <c r="D2183" i="1"/>
  <c r="F2183" i="1"/>
  <c r="H2183" i="1"/>
  <c r="I2183" i="1"/>
  <c r="L2183" i="1"/>
  <c r="M2183" i="1"/>
  <c r="V2183" i="1"/>
  <c r="W2183" i="1"/>
  <c r="A643" i="1"/>
  <c r="D643" i="1"/>
  <c r="F643" i="1"/>
  <c r="H643" i="1"/>
  <c r="I643" i="1"/>
  <c r="L643" i="1"/>
  <c r="M643" i="1"/>
  <c r="V643" i="1"/>
  <c r="W643" i="1"/>
  <c r="A563" i="1"/>
  <c r="D563" i="1"/>
  <c r="F563" i="1"/>
  <c r="H563" i="1"/>
  <c r="I563" i="1"/>
  <c r="L563" i="1"/>
  <c r="M563" i="1"/>
  <c r="V563" i="1"/>
  <c r="W563" i="1"/>
  <c r="A3966" i="1"/>
  <c r="D3966" i="1"/>
  <c r="F3966" i="1"/>
  <c r="H3966" i="1"/>
  <c r="I3966" i="1"/>
  <c r="L3966" i="1"/>
  <c r="M3966" i="1"/>
  <c r="V3966" i="1"/>
  <c r="W3966" i="1"/>
  <c r="A3858" i="1"/>
  <c r="D3858" i="1"/>
  <c r="F3858" i="1"/>
  <c r="H3858" i="1"/>
  <c r="I3858" i="1"/>
  <c r="L3858" i="1"/>
  <c r="M3858" i="1"/>
  <c r="V3858" i="1"/>
  <c r="W3858" i="1"/>
  <c r="A2054" i="1"/>
  <c r="D2054" i="1"/>
  <c r="F2054" i="1"/>
  <c r="H2054" i="1"/>
  <c r="I2054" i="1"/>
  <c r="L2054" i="1"/>
  <c r="M2054" i="1"/>
  <c r="V2054" i="1"/>
  <c r="W2054" i="1"/>
  <c r="A468" i="1"/>
  <c r="D468" i="1"/>
  <c r="F468" i="1"/>
  <c r="H468" i="1"/>
  <c r="I468" i="1"/>
  <c r="L468" i="1"/>
  <c r="M468" i="1"/>
  <c r="V468" i="1"/>
  <c r="W468" i="1"/>
  <c r="A529" i="1"/>
  <c r="D529" i="1"/>
  <c r="F529" i="1"/>
  <c r="H529" i="1"/>
  <c r="I529" i="1"/>
  <c r="L529" i="1"/>
  <c r="M529" i="1"/>
  <c r="V529" i="1"/>
  <c r="W529" i="1"/>
  <c r="A213" i="1"/>
  <c r="D213" i="1"/>
  <c r="F213" i="1"/>
  <c r="H213" i="1"/>
  <c r="I213" i="1"/>
  <c r="L213" i="1"/>
  <c r="M213" i="1"/>
  <c r="V213" i="1"/>
  <c r="W213" i="1"/>
  <c r="A661" i="1"/>
  <c r="D661" i="1"/>
  <c r="F661" i="1"/>
  <c r="H661" i="1"/>
  <c r="I661" i="1"/>
  <c r="L661" i="1"/>
  <c r="M661" i="1"/>
  <c r="V661" i="1"/>
  <c r="W661" i="1"/>
  <c r="A794" i="1"/>
  <c r="D794" i="1"/>
  <c r="F794" i="1"/>
  <c r="H794" i="1"/>
  <c r="I794" i="1"/>
  <c r="L794" i="1"/>
  <c r="M794" i="1"/>
  <c r="V794" i="1"/>
  <c r="W794" i="1"/>
  <c r="A1788" i="1"/>
  <c r="D1788" i="1"/>
  <c r="F1788" i="1"/>
  <c r="H1788" i="1"/>
  <c r="I1788" i="1"/>
  <c r="L1788" i="1"/>
  <c r="M1788" i="1"/>
  <c r="V1788" i="1"/>
  <c r="W1788" i="1"/>
  <c r="A2332" i="1"/>
  <c r="D2332" i="1"/>
  <c r="F2332" i="1"/>
  <c r="H2332" i="1"/>
  <c r="I2332" i="1"/>
  <c r="L2332" i="1"/>
  <c r="M2332" i="1"/>
  <c r="V2332" i="1"/>
  <c r="W2332" i="1"/>
  <c r="A2550" i="1"/>
  <c r="D2550" i="1"/>
  <c r="F2550" i="1"/>
  <c r="H2550" i="1"/>
  <c r="I2550" i="1"/>
  <c r="L2550" i="1"/>
  <c r="M2550" i="1"/>
  <c r="V2550" i="1"/>
  <c r="W2550" i="1"/>
  <c r="A2458" i="1"/>
  <c r="D2458" i="1"/>
  <c r="F2458" i="1"/>
  <c r="H2458" i="1"/>
  <c r="I2458" i="1"/>
  <c r="L2458" i="1"/>
  <c r="M2458" i="1"/>
  <c r="V2458" i="1"/>
  <c r="W2458" i="1"/>
  <c r="A2480" i="1"/>
  <c r="D2480" i="1"/>
  <c r="F2480" i="1"/>
  <c r="H2480" i="1"/>
  <c r="I2480" i="1"/>
  <c r="L2480" i="1"/>
  <c r="M2480" i="1"/>
  <c r="V2480" i="1"/>
  <c r="W2480" i="1"/>
  <c r="A803" i="1"/>
  <c r="D803" i="1"/>
  <c r="F803" i="1"/>
  <c r="H803" i="1"/>
  <c r="I803" i="1"/>
  <c r="L803" i="1"/>
  <c r="M803" i="1"/>
  <c r="V803" i="1"/>
  <c r="W803" i="1"/>
  <c r="A3825" i="1"/>
  <c r="D3825" i="1"/>
  <c r="F3825" i="1"/>
  <c r="H3825" i="1"/>
  <c r="I3825" i="1"/>
  <c r="L3825" i="1"/>
  <c r="M3825" i="1"/>
  <c r="V3825" i="1"/>
  <c r="W3825" i="1"/>
  <c r="A4353" i="1"/>
  <c r="D4353" i="1"/>
  <c r="F4353" i="1"/>
  <c r="H4353" i="1"/>
  <c r="I4353" i="1"/>
  <c r="L4353" i="1"/>
  <c r="M4353" i="1"/>
  <c r="V4353" i="1"/>
  <c r="W4353" i="1"/>
  <c r="A3678" i="1"/>
  <c r="D3678" i="1"/>
  <c r="F3678" i="1"/>
  <c r="H3678" i="1"/>
  <c r="I3678" i="1"/>
  <c r="L3678" i="1"/>
  <c r="M3678" i="1"/>
  <c r="V3678" i="1"/>
  <c r="W3678" i="1"/>
  <c r="A3769" i="1"/>
  <c r="D3769" i="1"/>
  <c r="F3769" i="1"/>
  <c r="H3769" i="1"/>
  <c r="I3769" i="1"/>
  <c r="L3769" i="1"/>
  <c r="M3769" i="1"/>
  <c r="V3769" i="1"/>
  <c r="W3769" i="1"/>
  <c r="A3291" i="1"/>
  <c r="D3291" i="1"/>
  <c r="F3291" i="1"/>
  <c r="H3291" i="1"/>
  <c r="I3291" i="1"/>
  <c r="L3291" i="1"/>
  <c r="M3291" i="1"/>
  <c r="V3291" i="1"/>
  <c r="W3291" i="1"/>
  <c r="A5878" i="1"/>
  <c r="D5878" i="1"/>
  <c r="F5878" i="1"/>
  <c r="H5878" i="1"/>
  <c r="I5878" i="1"/>
  <c r="L5878" i="1"/>
  <c r="M5878" i="1"/>
  <c r="V5878" i="1"/>
  <c r="W5878" i="1"/>
  <c r="A1242" i="1"/>
  <c r="D1242" i="1"/>
  <c r="F1242" i="1"/>
  <c r="H1242" i="1"/>
  <c r="I1242" i="1"/>
  <c r="L1242" i="1"/>
  <c r="M1242" i="1"/>
  <c r="V1242" i="1"/>
  <c r="W1242" i="1"/>
  <c r="A1245" i="1"/>
  <c r="D1245" i="1"/>
  <c r="F1245" i="1"/>
  <c r="H1245" i="1"/>
  <c r="I1245" i="1"/>
  <c r="L1245" i="1"/>
  <c r="M1245" i="1"/>
  <c r="V1245" i="1"/>
  <c r="W1245" i="1"/>
  <c r="A886" i="1"/>
  <c r="D886" i="1"/>
  <c r="F886" i="1"/>
  <c r="H886" i="1"/>
  <c r="I886" i="1"/>
  <c r="L886" i="1"/>
  <c r="M886" i="1"/>
  <c r="V886" i="1"/>
  <c r="W886" i="1"/>
  <c r="A570" i="1"/>
  <c r="D570" i="1"/>
  <c r="F570" i="1"/>
  <c r="H570" i="1"/>
  <c r="I570" i="1"/>
  <c r="L570" i="1"/>
  <c r="M570" i="1"/>
  <c r="V570" i="1"/>
  <c r="W570" i="1"/>
  <c r="A1266" i="1"/>
  <c r="D1266" i="1"/>
  <c r="F1266" i="1"/>
  <c r="H1266" i="1"/>
  <c r="I1266" i="1"/>
  <c r="L1266" i="1"/>
  <c r="M1266" i="1"/>
  <c r="V1266" i="1"/>
  <c r="W1266" i="1"/>
  <c r="A1318" i="1"/>
  <c r="D1318" i="1"/>
  <c r="F1318" i="1"/>
  <c r="H1318" i="1"/>
  <c r="I1318" i="1"/>
  <c r="L1318" i="1"/>
  <c r="M1318" i="1"/>
  <c r="V1318" i="1"/>
  <c r="W1318" i="1"/>
  <c r="A5424" i="1"/>
  <c r="D5424" i="1"/>
  <c r="F5424" i="1"/>
  <c r="H5424" i="1"/>
  <c r="I5424" i="1"/>
  <c r="L5424" i="1"/>
  <c r="M5424" i="1"/>
  <c r="V5424" i="1"/>
  <c r="W5424" i="1"/>
  <c r="A4001" i="1"/>
  <c r="D4001" i="1"/>
  <c r="F4001" i="1"/>
  <c r="H4001" i="1"/>
  <c r="I4001" i="1"/>
  <c r="L4001" i="1"/>
  <c r="M4001" i="1"/>
  <c r="V4001" i="1"/>
  <c r="W4001" i="1"/>
  <c r="A4050" i="1"/>
  <c r="D4050" i="1"/>
  <c r="F4050" i="1"/>
  <c r="H4050" i="1"/>
  <c r="I4050" i="1"/>
  <c r="L4050" i="1"/>
  <c r="M4050" i="1"/>
  <c r="V4050" i="1"/>
  <c r="W4050" i="1"/>
  <c r="A2203" i="1"/>
  <c r="D2203" i="1"/>
  <c r="F2203" i="1"/>
  <c r="H2203" i="1"/>
  <c r="I2203" i="1"/>
  <c r="L2203" i="1"/>
  <c r="M2203" i="1"/>
  <c r="V2203" i="1"/>
  <c r="W2203" i="1"/>
  <c r="A1408" i="1"/>
  <c r="D1408" i="1"/>
  <c r="F1408" i="1"/>
  <c r="H1408" i="1"/>
  <c r="I1408" i="1"/>
  <c r="L1408" i="1"/>
  <c r="M1408" i="1"/>
  <c r="V1408" i="1"/>
  <c r="W1408" i="1"/>
  <c r="A5989" i="1"/>
  <c r="D5989" i="1"/>
  <c r="F5989" i="1"/>
  <c r="H5989" i="1"/>
  <c r="I5989" i="1"/>
  <c r="L5989" i="1"/>
  <c r="M5989" i="1"/>
  <c r="V5989" i="1"/>
  <c r="W5989" i="1"/>
  <c r="A6145" i="1"/>
  <c r="D6145" i="1"/>
  <c r="F6145" i="1"/>
  <c r="H6145" i="1"/>
  <c r="I6145" i="1"/>
  <c r="L6145" i="1"/>
  <c r="M6145" i="1"/>
  <c r="V6145" i="1"/>
  <c r="W6145" i="1"/>
  <c r="A493" i="1"/>
  <c r="D493" i="1"/>
  <c r="F493" i="1"/>
  <c r="H493" i="1"/>
  <c r="I493" i="1"/>
  <c r="L493" i="1"/>
  <c r="M493" i="1"/>
  <c r="V493" i="1"/>
  <c r="W493" i="1"/>
  <c r="A955" i="1"/>
  <c r="D955" i="1"/>
  <c r="F955" i="1"/>
  <c r="H955" i="1"/>
  <c r="I955" i="1"/>
  <c r="L955" i="1"/>
  <c r="M955" i="1"/>
  <c r="V955" i="1"/>
  <c r="W955" i="1"/>
  <c r="A1325" i="1"/>
  <c r="D1325" i="1"/>
  <c r="F1325" i="1"/>
  <c r="H1325" i="1"/>
  <c r="I1325" i="1"/>
  <c r="L1325" i="1"/>
  <c r="M1325" i="1"/>
  <c r="V1325" i="1"/>
  <c r="W1325" i="1"/>
  <c r="A4829" i="1"/>
  <c r="D4829" i="1"/>
  <c r="F4829" i="1"/>
  <c r="H4829" i="1"/>
  <c r="I4829" i="1"/>
  <c r="L4829" i="1"/>
  <c r="M4829" i="1"/>
  <c r="V4829" i="1"/>
  <c r="W4829" i="1"/>
  <c r="A2035" i="1"/>
  <c r="D2035" i="1"/>
  <c r="F2035" i="1"/>
  <c r="H2035" i="1"/>
  <c r="I2035" i="1"/>
  <c r="L2035" i="1"/>
  <c r="M2035" i="1"/>
  <c r="V2035" i="1"/>
  <c r="W2035" i="1"/>
  <c r="A649" i="1"/>
  <c r="D649" i="1"/>
  <c r="F649" i="1"/>
  <c r="H649" i="1"/>
  <c r="I649" i="1"/>
  <c r="L649" i="1"/>
  <c r="M649" i="1"/>
  <c r="V649" i="1"/>
  <c r="W649" i="1"/>
  <c r="A791" i="1"/>
  <c r="D791" i="1"/>
  <c r="F791" i="1"/>
  <c r="H791" i="1"/>
  <c r="I791" i="1"/>
  <c r="L791" i="1"/>
  <c r="M791" i="1"/>
  <c r="V791" i="1"/>
  <c r="W791" i="1"/>
  <c r="A3651" i="1"/>
  <c r="D3651" i="1"/>
  <c r="F3651" i="1"/>
  <c r="H3651" i="1"/>
  <c r="I3651" i="1"/>
  <c r="L3651" i="1"/>
  <c r="M3651" i="1"/>
  <c r="V3651" i="1"/>
  <c r="W3651" i="1"/>
  <c r="A1873" i="1"/>
  <c r="D1873" i="1"/>
  <c r="F1873" i="1"/>
  <c r="H1873" i="1"/>
  <c r="I1873" i="1"/>
  <c r="L1873" i="1"/>
  <c r="M1873" i="1"/>
  <c r="V1873" i="1"/>
  <c r="W1873" i="1"/>
  <c r="A1874" i="1"/>
  <c r="D1874" i="1"/>
  <c r="F1874" i="1"/>
  <c r="H1874" i="1"/>
  <c r="I1874" i="1"/>
  <c r="L1874" i="1"/>
  <c r="M1874" i="1"/>
  <c r="V1874" i="1"/>
  <c r="W1874" i="1"/>
  <c r="A443" i="1"/>
  <c r="D443" i="1"/>
  <c r="F443" i="1"/>
  <c r="H443" i="1"/>
  <c r="I443" i="1"/>
  <c r="L443" i="1"/>
  <c r="M443" i="1"/>
  <c r="V443" i="1"/>
  <c r="W443" i="1"/>
  <c r="A5182" i="1"/>
  <c r="D5182" i="1"/>
  <c r="F5182" i="1"/>
  <c r="H5182" i="1"/>
  <c r="I5182" i="1"/>
  <c r="L5182" i="1"/>
  <c r="M5182" i="1"/>
  <c r="V5182" i="1"/>
  <c r="W5182" i="1"/>
  <c r="A2346" i="1"/>
  <c r="D2346" i="1"/>
  <c r="F2346" i="1"/>
  <c r="H2346" i="1"/>
  <c r="I2346" i="1"/>
  <c r="L2346" i="1"/>
  <c r="M2346" i="1"/>
  <c r="V2346" i="1"/>
  <c r="W2346" i="1"/>
  <c r="A1946" i="1"/>
  <c r="D1946" i="1"/>
  <c r="F1946" i="1"/>
  <c r="H1946" i="1"/>
  <c r="I1946" i="1"/>
  <c r="L1946" i="1"/>
  <c r="M1946" i="1"/>
  <c r="V1946" i="1"/>
  <c r="W1946" i="1"/>
  <c r="A1936" i="1"/>
  <c r="D1936" i="1"/>
  <c r="F1936" i="1"/>
  <c r="H1936" i="1"/>
  <c r="I1936" i="1"/>
  <c r="L1936" i="1"/>
  <c r="M1936" i="1"/>
  <c r="V1936" i="1"/>
  <c r="W1936" i="1"/>
  <c r="A3031" i="1"/>
  <c r="D3031" i="1"/>
  <c r="F3031" i="1"/>
  <c r="H3031" i="1"/>
  <c r="I3031" i="1"/>
  <c r="L3031" i="1"/>
  <c r="M3031" i="1"/>
  <c r="V3031" i="1"/>
  <c r="W3031" i="1"/>
  <c r="A2650" i="1"/>
  <c r="D2650" i="1"/>
  <c r="F2650" i="1"/>
  <c r="H2650" i="1"/>
  <c r="I2650" i="1"/>
  <c r="L2650" i="1"/>
  <c r="M2650" i="1"/>
  <c r="V2650" i="1"/>
  <c r="W2650" i="1"/>
  <c r="A2832" i="1"/>
  <c r="D2832" i="1"/>
  <c r="F2832" i="1"/>
  <c r="H2832" i="1"/>
  <c r="I2832" i="1"/>
  <c r="L2832" i="1"/>
  <c r="M2832" i="1"/>
  <c r="V2832" i="1"/>
  <c r="W2832" i="1"/>
  <c r="A4296" i="1"/>
  <c r="D4296" i="1"/>
  <c r="F4296" i="1"/>
  <c r="H4296" i="1"/>
  <c r="I4296" i="1"/>
  <c r="L4296" i="1"/>
  <c r="M4296" i="1"/>
  <c r="V4296" i="1"/>
  <c r="W4296" i="1"/>
  <c r="A4573" i="1"/>
  <c r="D4573" i="1"/>
  <c r="F4573" i="1"/>
  <c r="H4573" i="1"/>
  <c r="I4573" i="1"/>
  <c r="L4573" i="1"/>
  <c r="M4573" i="1"/>
  <c r="V4573" i="1"/>
  <c r="W4573" i="1"/>
  <c r="A1169" i="1"/>
  <c r="D1169" i="1"/>
  <c r="F1169" i="1"/>
  <c r="H1169" i="1"/>
  <c r="I1169" i="1"/>
  <c r="L1169" i="1"/>
  <c r="M1169" i="1"/>
  <c r="V1169" i="1"/>
  <c r="W1169" i="1"/>
  <c r="A1181" i="1"/>
  <c r="D1181" i="1"/>
  <c r="F1181" i="1"/>
  <c r="H1181" i="1"/>
  <c r="I1181" i="1"/>
  <c r="L1181" i="1"/>
  <c r="M1181" i="1"/>
  <c r="V1181" i="1"/>
  <c r="W1181" i="1"/>
  <c r="A1170" i="1"/>
  <c r="D1170" i="1"/>
  <c r="F1170" i="1"/>
  <c r="H1170" i="1"/>
  <c r="I1170" i="1"/>
  <c r="L1170" i="1"/>
  <c r="M1170" i="1"/>
  <c r="V1170" i="1"/>
  <c r="W1170" i="1"/>
  <c r="A1183" i="1"/>
  <c r="D1183" i="1"/>
  <c r="F1183" i="1"/>
  <c r="H1183" i="1"/>
  <c r="I1183" i="1"/>
  <c r="L1183" i="1"/>
  <c r="M1183" i="1"/>
  <c r="V1183" i="1"/>
  <c r="W1183" i="1"/>
  <c r="A2063" i="1"/>
  <c r="D2063" i="1"/>
  <c r="F2063" i="1"/>
  <c r="H2063" i="1"/>
  <c r="I2063" i="1"/>
  <c r="L2063" i="1"/>
  <c r="M2063" i="1"/>
  <c r="V2063" i="1"/>
  <c r="W2063" i="1"/>
  <c r="A3287" i="1"/>
  <c r="D3287" i="1"/>
  <c r="F3287" i="1"/>
  <c r="H3287" i="1"/>
  <c r="I3287" i="1"/>
  <c r="L3287" i="1"/>
  <c r="M3287" i="1"/>
  <c r="V3287" i="1"/>
  <c r="W3287" i="1"/>
  <c r="A3722" i="1"/>
  <c r="D3722" i="1"/>
  <c r="F3722" i="1"/>
  <c r="H3722" i="1"/>
  <c r="I3722" i="1"/>
  <c r="L3722" i="1"/>
  <c r="M3722" i="1"/>
  <c r="V3722" i="1"/>
  <c r="W3722" i="1"/>
  <c r="A5908" i="1"/>
  <c r="D5908" i="1"/>
  <c r="F5908" i="1"/>
  <c r="H5908" i="1"/>
  <c r="I5908" i="1"/>
  <c r="L5908" i="1"/>
  <c r="M5908" i="1"/>
  <c r="V5908" i="1"/>
  <c r="W5908" i="1"/>
  <c r="A1741" i="1"/>
  <c r="D1741" i="1"/>
  <c r="F1741" i="1"/>
  <c r="H1741" i="1"/>
  <c r="I1741" i="1"/>
  <c r="L1741" i="1"/>
  <c r="M1741" i="1"/>
  <c r="V1741" i="1"/>
  <c r="W1741" i="1"/>
  <c r="A2304" i="1"/>
  <c r="D2304" i="1"/>
  <c r="F2304" i="1"/>
  <c r="H2304" i="1"/>
  <c r="I2304" i="1"/>
  <c r="L2304" i="1"/>
  <c r="M2304" i="1"/>
  <c r="V2304" i="1"/>
  <c r="W2304" i="1"/>
  <c r="A5169" i="1"/>
  <c r="D5169" i="1"/>
  <c r="F5169" i="1"/>
  <c r="H5169" i="1"/>
  <c r="I5169" i="1"/>
  <c r="L5169" i="1"/>
  <c r="M5169" i="1"/>
  <c r="V5169" i="1"/>
  <c r="W5169" i="1"/>
  <c r="A2557" i="1"/>
  <c r="D2557" i="1"/>
  <c r="F2557" i="1"/>
  <c r="H2557" i="1"/>
  <c r="I2557" i="1"/>
  <c r="L2557" i="1"/>
  <c r="M2557" i="1"/>
  <c r="V2557" i="1"/>
  <c r="W2557" i="1"/>
  <c r="A5261" i="1"/>
  <c r="D5261" i="1"/>
  <c r="F5261" i="1"/>
  <c r="H5261" i="1"/>
  <c r="I5261" i="1"/>
  <c r="L5261" i="1"/>
  <c r="M5261" i="1"/>
  <c r="V5261" i="1"/>
  <c r="W5261" i="1"/>
  <c r="A64" i="1"/>
  <c r="D64" i="1"/>
  <c r="F64" i="1"/>
  <c r="H64" i="1"/>
  <c r="I64" i="1"/>
  <c r="L64" i="1"/>
  <c r="M64" i="1"/>
  <c r="V64" i="1"/>
  <c r="W64" i="1"/>
  <c r="A2086" i="1"/>
  <c r="D2086" i="1"/>
  <c r="F2086" i="1"/>
  <c r="H2086" i="1"/>
  <c r="I2086" i="1"/>
  <c r="L2086" i="1"/>
  <c r="M2086" i="1"/>
  <c r="V2086" i="1"/>
  <c r="W2086" i="1"/>
  <c r="A2116" i="1"/>
  <c r="D2116" i="1"/>
  <c r="F2116" i="1"/>
  <c r="H2116" i="1"/>
  <c r="I2116" i="1"/>
  <c r="L2116" i="1"/>
  <c r="M2116" i="1"/>
  <c r="V2116" i="1"/>
  <c r="W2116" i="1"/>
  <c r="A1229" i="1"/>
  <c r="D1229" i="1"/>
  <c r="F1229" i="1"/>
  <c r="H1229" i="1"/>
  <c r="I1229" i="1"/>
  <c r="L1229" i="1"/>
  <c r="M1229" i="1"/>
  <c r="V1229" i="1"/>
  <c r="W1229" i="1"/>
  <c r="A5421" i="1"/>
  <c r="D5421" i="1"/>
  <c r="F5421" i="1"/>
  <c r="H5421" i="1"/>
  <c r="I5421" i="1"/>
  <c r="L5421" i="1"/>
  <c r="M5421" i="1"/>
  <c r="V5421" i="1"/>
  <c r="W5421" i="1"/>
  <c r="A2271" i="1"/>
  <c r="D2271" i="1"/>
  <c r="F2271" i="1"/>
  <c r="H2271" i="1"/>
  <c r="I2271" i="1"/>
  <c r="L2271" i="1"/>
  <c r="M2271" i="1"/>
  <c r="V2271" i="1"/>
  <c r="W2271" i="1"/>
  <c r="A1475" i="1"/>
  <c r="D1475" i="1"/>
  <c r="F1475" i="1"/>
  <c r="H1475" i="1"/>
  <c r="I1475" i="1"/>
  <c r="L1475" i="1"/>
  <c r="M1475" i="1"/>
  <c r="V1475" i="1"/>
  <c r="W1475" i="1"/>
  <c r="A1478" i="1"/>
  <c r="D1478" i="1"/>
  <c r="F1478" i="1"/>
  <c r="H1478" i="1"/>
  <c r="I1478" i="1"/>
  <c r="L1478" i="1"/>
  <c r="M1478" i="1"/>
  <c r="V1478" i="1"/>
  <c r="W1478" i="1"/>
  <c r="A1492" i="1"/>
  <c r="D1492" i="1"/>
  <c r="F1492" i="1"/>
  <c r="H1492" i="1"/>
  <c r="I1492" i="1"/>
  <c r="L1492" i="1"/>
  <c r="M1492" i="1"/>
  <c r="V1492" i="1"/>
  <c r="W1492" i="1"/>
  <c r="A1663" i="1"/>
  <c r="D1663" i="1"/>
  <c r="F1663" i="1"/>
  <c r="H1663" i="1"/>
  <c r="I1663" i="1"/>
  <c r="L1663" i="1"/>
  <c r="M1663" i="1"/>
  <c r="V1663" i="1"/>
  <c r="W1663" i="1"/>
  <c r="A2700" i="1"/>
  <c r="D2700" i="1"/>
  <c r="F2700" i="1"/>
  <c r="H2700" i="1"/>
  <c r="I2700" i="1"/>
  <c r="L2700" i="1"/>
  <c r="M2700" i="1"/>
  <c r="V2700" i="1"/>
  <c r="W2700" i="1"/>
  <c r="A2701" i="1"/>
  <c r="D2701" i="1"/>
  <c r="F2701" i="1"/>
  <c r="H2701" i="1"/>
  <c r="I2701" i="1"/>
  <c r="L2701" i="1"/>
  <c r="M2701" i="1"/>
  <c r="V2701" i="1"/>
  <c r="W2701" i="1"/>
  <c r="A2712" i="1"/>
  <c r="D2712" i="1"/>
  <c r="F2712" i="1"/>
  <c r="H2712" i="1"/>
  <c r="I2712" i="1"/>
  <c r="L2712" i="1"/>
  <c r="M2712" i="1"/>
  <c r="V2712" i="1"/>
  <c r="W2712" i="1"/>
  <c r="A4396" i="1"/>
  <c r="D4396" i="1"/>
  <c r="F4396" i="1"/>
  <c r="H4396" i="1"/>
  <c r="I4396" i="1"/>
  <c r="L4396" i="1"/>
  <c r="M4396" i="1"/>
  <c r="V4396" i="1"/>
  <c r="W4396" i="1"/>
  <c r="A1323" i="1"/>
  <c r="D1323" i="1"/>
  <c r="F1323" i="1"/>
  <c r="H1323" i="1"/>
  <c r="I1323" i="1"/>
  <c r="L1323" i="1"/>
  <c r="M1323" i="1"/>
  <c r="V1323" i="1"/>
  <c r="W1323" i="1"/>
  <c r="A1390" i="1"/>
  <c r="D1390" i="1"/>
  <c r="F1390" i="1"/>
  <c r="H1390" i="1"/>
  <c r="I1390" i="1"/>
  <c r="L1390" i="1"/>
  <c r="M1390" i="1"/>
  <c r="V1390" i="1"/>
  <c r="W1390" i="1"/>
  <c r="A2168" i="1"/>
  <c r="D2168" i="1"/>
  <c r="F2168" i="1"/>
  <c r="H2168" i="1"/>
  <c r="I2168" i="1"/>
  <c r="L2168" i="1"/>
  <c r="M2168" i="1"/>
  <c r="V2168" i="1"/>
  <c r="W2168" i="1"/>
  <c r="A4098" i="1"/>
  <c r="D4098" i="1"/>
  <c r="F4098" i="1"/>
  <c r="H4098" i="1"/>
  <c r="I4098" i="1"/>
  <c r="L4098" i="1"/>
  <c r="M4098" i="1"/>
  <c r="V4098" i="1"/>
  <c r="W4098" i="1"/>
  <c r="A1958" i="1"/>
  <c r="D1958" i="1"/>
  <c r="F1958" i="1"/>
  <c r="H1958" i="1"/>
  <c r="I1958" i="1"/>
  <c r="L1958" i="1"/>
  <c r="M1958" i="1"/>
  <c r="V1958" i="1"/>
  <c r="W1958" i="1"/>
  <c r="A1901" i="1"/>
  <c r="D1901" i="1"/>
  <c r="F1901" i="1"/>
  <c r="H1901" i="1"/>
  <c r="I1901" i="1"/>
  <c r="L1901" i="1"/>
  <c r="M1901" i="1"/>
  <c r="V1901" i="1"/>
  <c r="W1901" i="1"/>
  <c r="A461" i="1"/>
  <c r="D461" i="1"/>
  <c r="F461" i="1"/>
  <c r="H461" i="1"/>
  <c r="I461" i="1"/>
  <c r="L461" i="1"/>
  <c r="M461" i="1"/>
  <c r="V461" i="1"/>
  <c r="W461" i="1"/>
  <c r="A737" i="1"/>
  <c r="D737" i="1"/>
  <c r="F737" i="1"/>
  <c r="H737" i="1"/>
  <c r="I737" i="1"/>
  <c r="L737" i="1"/>
  <c r="M737" i="1"/>
  <c r="V737" i="1"/>
  <c r="W737" i="1"/>
  <c r="A3224" i="1"/>
  <c r="D3224" i="1"/>
  <c r="F3224" i="1"/>
  <c r="H3224" i="1"/>
  <c r="I3224" i="1"/>
  <c r="L3224" i="1"/>
  <c r="M3224" i="1"/>
  <c r="V3224" i="1"/>
  <c r="W3224" i="1"/>
  <c r="A3306" i="1"/>
  <c r="D3306" i="1"/>
  <c r="F3306" i="1"/>
  <c r="H3306" i="1"/>
  <c r="I3306" i="1"/>
  <c r="L3306" i="1"/>
  <c r="M3306" i="1"/>
  <c r="V3306" i="1"/>
  <c r="W3306" i="1"/>
  <c r="A158" i="1"/>
  <c r="D158" i="1"/>
  <c r="F158" i="1"/>
  <c r="H158" i="1"/>
  <c r="I158" i="1"/>
  <c r="L158" i="1"/>
  <c r="M158" i="1"/>
  <c r="V158" i="1"/>
  <c r="W158" i="1"/>
  <c r="A2303" i="1"/>
  <c r="D2303" i="1"/>
  <c r="F2303" i="1"/>
  <c r="H2303" i="1"/>
  <c r="I2303" i="1"/>
  <c r="L2303" i="1"/>
  <c r="M2303" i="1"/>
  <c r="V2303" i="1"/>
  <c r="W2303" i="1"/>
  <c r="A2560" i="1"/>
  <c r="D2560" i="1"/>
  <c r="F2560" i="1"/>
  <c r="H2560" i="1"/>
  <c r="I2560" i="1"/>
  <c r="L2560" i="1"/>
  <c r="M2560" i="1"/>
  <c r="V2560" i="1"/>
  <c r="W2560" i="1"/>
  <c r="A4878" i="1"/>
  <c r="D4878" i="1"/>
  <c r="F4878" i="1"/>
  <c r="H4878" i="1"/>
  <c r="I4878" i="1"/>
  <c r="L4878" i="1"/>
  <c r="M4878" i="1"/>
  <c r="V4878" i="1"/>
  <c r="W4878" i="1"/>
  <c r="A2079" i="1"/>
  <c r="D2079" i="1"/>
  <c r="F2079" i="1"/>
  <c r="H2079" i="1"/>
  <c r="I2079" i="1"/>
  <c r="L2079" i="1"/>
  <c r="M2079" i="1"/>
  <c r="V2079" i="1"/>
  <c r="W2079" i="1"/>
  <c r="A1629" i="1"/>
  <c r="D1629" i="1"/>
  <c r="F1629" i="1"/>
  <c r="H1629" i="1"/>
  <c r="I1629" i="1"/>
  <c r="L1629" i="1"/>
  <c r="M1629" i="1"/>
  <c r="V1629" i="1"/>
  <c r="W1629" i="1"/>
  <c r="A1639" i="1"/>
  <c r="D1639" i="1"/>
  <c r="F1639" i="1"/>
  <c r="H1639" i="1"/>
  <c r="I1639" i="1"/>
  <c r="L1639" i="1"/>
  <c r="M1639" i="1"/>
  <c r="V1639" i="1"/>
  <c r="W1639" i="1"/>
  <c r="A954" i="1"/>
  <c r="D954" i="1"/>
  <c r="F954" i="1"/>
  <c r="H954" i="1"/>
  <c r="I954" i="1"/>
  <c r="L954" i="1"/>
  <c r="M954" i="1"/>
  <c r="V954" i="1"/>
  <c r="W954" i="1"/>
  <c r="A1324" i="1"/>
  <c r="D1324" i="1"/>
  <c r="F1324" i="1"/>
  <c r="H1324" i="1"/>
  <c r="I1324" i="1"/>
  <c r="L1324" i="1"/>
  <c r="M1324" i="1"/>
  <c r="V1324" i="1"/>
  <c r="W1324" i="1"/>
  <c r="A1250" i="1"/>
  <c r="D1250" i="1"/>
  <c r="F1250" i="1"/>
  <c r="H1250" i="1"/>
  <c r="I1250" i="1"/>
  <c r="L1250" i="1"/>
  <c r="M1250" i="1"/>
  <c r="V1250" i="1"/>
  <c r="W1250" i="1"/>
  <c r="A1383" i="1"/>
  <c r="D1383" i="1"/>
  <c r="F1383" i="1"/>
  <c r="H1383" i="1"/>
  <c r="I1383" i="1"/>
  <c r="L1383" i="1"/>
  <c r="M1383" i="1"/>
  <c r="V1383" i="1"/>
  <c r="W1383" i="1"/>
  <c r="A167" i="1"/>
  <c r="D167" i="1"/>
  <c r="F167" i="1"/>
  <c r="H167" i="1"/>
  <c r="I167" i="1"/>
  <c r="L167" i="1"/>
  <c r="M167" i="1"/>
  <c r="V167" i="1"/>
  <c r="W167" i="1"/>
  <c r="A4337" i="1"/>
  <c r="D4337" i="1"/>
  <c r="F4337" i="1"/>
  <c r="H4337" i="1"/>
  <c r="I4337" i="1"/>
  <c r="L4337" i="1"/>
  <c r="M4337" i="1"/>
  <c r="V4337" i="1"/>
  <c r="W4337" i="1"/>
  <c r="A166" i="1"/>
  <c r="D166" i="1"/>
  <c r="F166" i="1"/>
  <c r="H166" i="1"/>
  <c r="I166" i="1"/>
  <c r="L166" i="1"/>
  <c r="M166" i="1"/>
  <c r="V166" i="1"/>
  <c r="W166" i="1"/>
  <c r="A5531" i="1"/>
  <c r="D5531" i="1"/>
  <c r="F5531" i="1"/>
  <c r="H5531" i="1"/>
  <c r="I5531" i="1"/>
  <c r="L5531" i="1"/>
  <c r="M5531" i="1"/>
  <c r="V5531" i="1"/>
  <c r="W5531" i="1"/>
  <c r="A5176" i="1"/>
  <c r="D5176" i="1"/>
  <c r="F5176" i="1"/>
  <c r="H5176" i="1"/>
  <c r="I5176" i="1"/>
  <c r="L5176" i="1"/>
  <c r="M5176" i="1"/>
  <c r="V5176" i="1"/>
  <c r="W5176" i="1"/>
  <c r="A2885" i="1"/>
  <c r="D2885" i="1"/>
  <c r="F2885" i="1"/>
  <c r="H2885" i="1"/>
  <c r="I2885" i="1"/>
  <c r="L2885" i="1"/>
  <c r="M2885" i="1"/>
  <c r="V2885" i="1"/>
  <c r="W2885" i="1"/>
  <c r="A3406" i="1"/>
  <c r="D3406" i="1"/>
  <c r="F3406" i="1"/>
  <c r="H3406" i="1"/>
  <c r="I3406" i="1"/>
  <c r="L3406" i="1"/>
  <c r="M3406" i="1"/>
  <c r="V3406" i="1"/>
  <c r="W3406" i="1"/>
  <c r="A1332" i="1"/>
  <c r="D1332" i="1"/>
  <c r="F1332" i="1"/>
  <c r="H1332" i="1"/>
  <c r="I1332" i="1"/>
  <c r="L1332" i="1"/>
  <c r="M1332" i="1"/>
  <c r="V1332" i="1"/>
  <c r="W1332" i="1"/>
  <c r="A5285" i="1"/>
  <c r="D5285" i="1"/>
  <c r="F5285" i="1"/>
  <c r="H5285" i="1"/>
  <c r="I5285" i="1"/>
  <c r="L5285" i="1"/>
  <c r="M5285" i="1"/>
  <c r="V5285" i="1"/>
  <c r="W5285" i="1"/>
  <c r="A4748" i="1"/>
  <c r="D4748" i="1"/>
  <c r="F4748" i="1"/>
  <c r="H4748" i="1"/>
  <c r="I4748" i="1"/>
  <c r="L4748" i="1"/>
  <c r="M4748" i="1"/>
  <c r="V4748" i="1"/>
  <c r="W4748" i="1"/>
  <c r="A4892" i="1"/>
  <c r="D4892" i="1"/>
  <c r="F4892" i="1"/>
  <c r="H4892" i="1"/>
  <c r="I4892" i="1"/>
  <c r="L4892" i="1"/>
  <c r="M4892" i="1"/>
  <c r="V4892" i="1"/>
  <c r="W4892" i="1"/>
  <c r="A466" i="1"/>
  <c r="D466" i="1"/>
  <c r="F466" i="1"/>
  <c r="H466" i="1"/>
  <c r="I466" i="1"/>
  <c r="L466" i="1"/>
  <c r="M466" i="1"/>
  <c r="V466" i="1"/>
  <c r="W466" i="1"/>
  <c r="A5101" i="1"/>
  <c r="D5101" i="1"/>
  <c r="F5101" i="1"/>
  <c r="H5101" i="1"/>
  <c r="I5101" i="1"/>
  <c r="L5101" i="1"/>
  <c r="M5101" i="1"/>
  <c r="V5101" i="1"/>
  <c r="W5101" i="1"/>
  <c r="A5654" i="1"/>
  <c r="D5654" i="1"/>
  <c r="F5654" i="1"/>
  <c r="H5654" i="1"/>
  <c r="I5654" i="1"/>
  <c r="L5654" i="1"/>
  <c r="M5654" i="1"/>
  <c r="V5654" i="1"/>
  <c r="W5654" i="1"/>
  <c r="A6089" i="1"/>
  <c r="D6089" i="1"/>
  <c r="F6089" i="1"/>
  <c r="H6089" i="1"/>
  <c r="I6089" i="1"/>
  <c r="L6089" i="1"/>
  <c r="M6089" i="1"/>
  <c r="V6089" i="1"/>
  <c r="W6089" i="1"/>
  <c r="A5224" i="1"/>
  <c r="D5224" i="1"/>
  <c r="F5224" i="1"/>
  <c r="H5224" i="1"/>
  <c r="I5224" i="1"/>
  <c r="L5224" i="1"/>
  <c r="M5224" i="1"/>
  <c r="V5224" i="1"/>
  <c r="W5224" i="1"/>
  <c r="A3440" i="1"/>
  <c r="D3440" i="1"/>
  <c r="F3440" i="1"/>
  <c r="H3440" i="1"/>
  <c r="I3440" i="1"/>
  <c r="L3440" i="1"/>
  <c r="M3440" i="1"/>
  <c r="V3440" i="1"/>
  <c r="W3440" i="1"/>
  <c r="A3774" i="1"/>
  <c r="D3774" i="1"/>
  <c r="F3774" i="1"/>
  <c r="H3774" i="1"/>
  <c r="I3774" i="1"/>
  <c r="L3774" i="1"/>
  <c r="M3774" i="1"/>
  <c r="V3774" i="1"/>
  <c r="W3774" i="1"/>
  <c r="A4030" i="1"/>
  <c r="D4030" i="1"/>
  <c r="F4030" i="1"/>
  <c r="H4030" i="1"/>
  <c r="I4030" i="1"/>
  <c r="L4030" i="1"/>
  <c r="M4030" i="1"/>
  <c r="V4030" i="1"/>
  <c r="W4030" i="1"/>
  <c r="A1235" i="1"/>
  <c r="D1235" i="1"/>
  <c r="F1235" i="1"/>
  <c r="H1235" i="1"/>
  <c r="I1235" i="1"/>
  <c r="L1235" i="1"/>
  <c r="M1235" i="1"/>
  <c r="V1235" i="1"/>
  <c r="W1235" i="1"/>
  <c r="A5646" i="1"/>
  <c r="D5646" i="1"/>
  <c r="F5646" i="1"/>
  <c r="H5646" i="1"/>
  <c r="I5646" i="1"/>
  <c r="L5646" i="1"/>
  <c r="M5646" i="1"/>
  <c r="V5646" i="1"/>
  <c r="W5646" i="1"/>
  <c r="A3145" i="1"/>
  <c r="D3145" i="1"/>
  <c r="F3145" i="1"/>
  <c r="H3145" i="1"/>
  <c r="I3145" i="1"/>
  <c r="L3145" i="1"/>
  <c r="M3145" i="1"/>
  <c r="V3145" i="1"/>
  <c r="W3145" i="1"/>
  <c r="A1942" i="1"/>
  <c r="D1942" i="1"/>
  <c r="F1942" i="1"/>
  <c r="H1942" i="1"/>
  <c r="I1942" i="1"/>
  <c r="L1942" i="1"/>
  <c r="M1942" i="1"/>
  <c r="V1942" i="1"/>
  <c r="W1942" i="1"/>
  <c r="A2428" i="1"/>
  <c r="D2428" i="1"/>
  <c r="F2428" i="1"/>
  <c r="H2428" i="1"/>
  <c r="I2428" i="1"/>
  <c r="L2428" i="1"/>
  <c r="M2428" i="1"/>
  <c r="V2428" i="1"/>
  <c r="W2428" i="1"/>
  <c r="A198" i="1"/>
  <c r="D198" i="1"/>
  <c r="F198" i="1"/>
  <c r="H198" i="1"/>
  <c r="I198" i="1"/>
  <c r="L198" i="1"/>
  <c r="M198" i="1"/>
  <c r="V198" i="1"/>
  <c r="W198" i="1"/>
  <c r="A199" i="1"/>
  <c r="D199" i="1"/>
  <c r="F199" i="1"/>
  <c r="H199" i="1"/>
  <c r="I199" i="1"/>
  <c r="L199" i="1"/>
  <c r="M199" i="1"/>
  <c r="V199" i="1"/>
  <c r="W199" i="1"/>
  <c r="A721" i="1"/>
  <c r="D721" i="1"/>
  <c r="F721" i="1"/>
  <c r="H721" i="1"/>
  <c r="I721" i="1"/>
  <c r="L721" i="1"/>
  <c r="M721" i="1"/>
  <c r="V721" i="1"/>
  <c r="W721" i="1"/>
  <c r="A1950" i="1"/>
  <c r="D1950" i="1"/>
  <c r="F1950" i="1"/>
  <c r="H1950" i="1"/>
  <c r="I1950" i="1"/>
  <c r="L1950" i="1"/>
  <c r="M1950" i="1"/>
  <c r="V1950" i="1"/>
  <c r="W1950" i="1"/>
  <c r="A1846" i="1"/>
  <c r="D1846" i="1"/>
  <c r="F1846" i="1"/>
  <c r="H1846" i="1"/>
  <c r="I1846" i="1"/>
  <c r="L1846" i="1"/>
  <c r="M1846" i="1"/>
  <c r="V1846" i="1"/>
  <c r="W1846" i="1"/>
  <c r="A3736" i="1"/>
  <c r="D3736" i="1"/>
  <c r="F3736" i="1"/>
  <c r="H3736" i="1"/>
  <c r="I3736" i="1"/>
  <c r="L3736" i="1"/>
  <c r="M3736" i="1"/>
  <c r="V3736" i="1"/>
  <c r="W3736" i="1"/>
  <c r="A3948" i="1"/>
  <c r="D3948" i="1"/>
  <c r="F3948" i="1"/>
  <c r="H3948" i="1"/>
  <c r="I3948" i="1"/>
  <c r="L3948" i="1"/>
  <c r="M3948" i="1"/>
  <c r="V3948" i="1"/>
  <c r="W3948" i="1"/>
  <c r="A934" i="1"/>
  <c r="D934" i="1"/>
  <c r="F934" i="1"/>
  <c r="H934" i="1"/>
  <c r="I934" i="1"/>
  <c r="L934" i="1"/>
  <c r="M934" i="1"/>
  <c r="V934" i="1"/>
  <c r="W934" i="1"/>
  <c r="A1413" i="1"/>
  <c r="D1413" i="1"/>
  <c r="F1413" i="1"/>
  <c r="H1413" i="1"/>
  <c r="I1413" i="1"/>
  <c r="L1413" i="1"/>
  <c r="M1413" i="1"/>
  <c r="V1413" i="1"/>
  <c r="W1413" i="1"/>
  <c r="A573" i="1"/>
  <c r="D573" i="1"/>
  <c r="F573" i="1"/>
  <c r="H573" i="1"/>
  <c r="I573" i="1"/>
  <c r="L573" i="1"/>
  <c r="M573" i="1"/>
  <c r="V573" i="1"/>
  <c r="W573" i="1"/>
  <c r="A633" i="1"/>
  <c r="D633" i="1"/>
  <c r="F633" i="1"/>
  <c r="H633" i="1"/>
  <c r="I633" i="1"/>
  <c r="L633" i="1"/>
  <c r="M633" i="1"/>
  <c r="V633" i="1"/>
  <c r="W633" i="1"/>
  <c r="A3426" i="1"/>
  <c r="D3426" i="1"/>
  <c r="F3426" i="1"/>
  <c r="H3426" i="1"/>
  <c r="I3426" i="1"/>
  <c r="L3426" i="1"/>
  <c r="M3426" i="1"/>
  <c r="V3426" i="1"/>
  <c r="W3426" i="1"/>
  <c r="A3445" i="1"/>
  <c r="D3445" i="1"/>
  <c r="F3445" i="1"/>
  <c r="H3445" i="1"/>
  <c r="I3445" i="1"/>
  <c r="L3445" i="1"/>
  <c r="M3445" i="1"/>
  <c r="V3445" i="1"/>
  <c r="W3445" i="1"/>
  <c r="A3447" i="1"/>
  <c r="D3447" i="1"/>
  <c r="F3447" i="1"/>
  <c r="H3447" i="1"/>
  <c r="I3447" i="1"/>
  <c r="L3447" i="1"/>
  <c r="M3447" i="1"/>
  <c r="V3447" i="1"/>
  <c r="W3447" i="1"/>
  <c r="A2343" i="1"/>
  <c r="D2343" i="1"/>
  <c r="F2343" i="1"/>
  <c r="H2343" i="1"/>
  <c r="I2343" i="1"/>
  <c r="L2343" i="1"/>
  <c r="M2343" i="1"/>
  <c r="V2343" i="1"/>
  <c r="W2343" i="1"/>
  <c r="A2460" i="1"/>
  <c r="D2460" i="1"/>
  <c r="F2460" i="1"/>
  <c r="H2460" i="1"/>
  <c r="I2460" i="1"/>
  <c r="L2460" i="1"/>
  <c r="M2460" i="1"/>
  <c r="V2460" i="1"/>
  <c r="W2460" i="1"/>
  <c r="A125" i="1"/>
  <c r="D125" i="1"/>
  <c r="F125" i="1"/>
  <c r="H125" i="1"/>
  <c r="I125" i="1"/>
  <c r="L125" i="1"/>
  <c r="M125" i="1"/>
  <c r="V125" i="1"/>
  <c r="W125" i="1"/>
  <c r="A5694" i="1"/>
  <c r="D5694" i="1"/>
  <c r="F5694" i="1"/>
  <c r="H5694" i="1"/>
  <c r="I5694" i="1"/>
  <c r="L5694" i="1"/>
  <c r="M5694" i="1"/>
  <c r="V5694" i="1"/>
  <c r="W5694" i="1"/>
  <c r="A3682" i="1"/>
  <c r="D3682" i="1"/>
  <c r="F3682" i="1"/>
  <c r="H3682" i="1"/>
  <c r="I3682" i="1"/>
  <c r="L3682" i="1"/>
  <c r="M3682" i="1"/>
  <c r="V3682" i="1"/>
  <c r="W3682" i="1"/>
  <c r="A4981" i="1"/>
  <c r="D4981" i="1"/>
  <c r="F4981" i="1"/>
  <c r="H4981" i="1"/>
  <c r="I4981" i="1"/>
  <c r="L4981" i="1"/>
  <c r="M4981" i="1"/>
  <c r="V4981" i="1"/>
  <c r="W4981" i="1"/>
  <c r="A2844" i="1"/>
  <c r="D2844" i="1"/>
  <c r="F2844" i="1"/>
  <c r="H2844" i="1"/>
  <c r="I2844" i="1"/>
  <c r="L2844" i="1"/>
  <c r="M2844" i="1"/>
  <c r="V2844" i="1"/>
  <c r="W2844" i="1"/>
  <c r="A310" i="1"/>
  <c r="D310" i="1"/>
  <c r="F310" i="1"/>
  <c r="H310" i="1"/>
  <c r="I310" i="1"/>
  <c r="L310" i="1"/>
  <c r="M310" i="1"/>
  <c r="V310" i="1"/>
  <c r="W310" i="1"/>
  <c r="A183" i="1"/>
  <c r="D183" i="1"/>
  <c r="F183" i="1"/>
  <c r="H183" i="1"/>
  <c r="I183" i="1"/>
  <c r="L183" i="1"/>
  <c r="M183" i="1"/>
  <c r="V183" i="1"/>
  <c r="W183" i="1"/>
  <c r="A382" i="1"/>
  <c r="D382" i="1"/>
  <c r="F382" i="1"/>
  <c r="H382" i="1"/>
  <c r="I382" i="1"/>
  <c r="L382" i="1"/>
  <c r="M382" i="1"/>
  <c r="V382" i="1"/>
  <c r="W382" i="1"/>
  <c r="A680" i="1"/>
  <c r="D680" i="1"/>
  <c r="F680" i="1"/>
  <c r="H680" i="1"/>
  <c r="I680" i="1"/>
  <c r="L680" i="1"/>
  <c r="M680" i="1"/>
  <c r="V680" i="1"/>
  <c r="W680" i="1"/>
  <c r="A1240" i="1"/>
  <c r="D1240" i="1"/>
  <c r="F1240" i="1"/>
  <c r="H1240" i="1"/>
  <c r="I1240" i="1"/>
  <c r="L1240" i="1"/>
  <c r="M1240" i="1"/>
  <c r="V1240" i="1"/>
  <c r="W1240" i="1"/>
  <c r="A1530" i="1"/>
  <c r="D1530" i="1"/>
  <c r="F1530" i="1"/>
  <c r="H1530" i="1"/>
  <c r="I1530" i="1"/>
  <c r="L1530" i="1"/>
  <c r="M1530" i="1"/>
  <c r="V1530" i="1"/>
  <c r="W1530" i="1"/>
  <c r="A1906" i="1"/>
  <c r="D1906" i="1"/>
  <c r="F1906" i="1"/>
  <c r="H1906" i="1"/>
  <c r="I1906" i="1"/>
  <c r="L1906" i="1"/>
  <c r="M1906" i="1"/>
  <c r="V1906" i="1"/>
  <c r="W1906" i="1"/>
  <c r="A2638" i="1"/>
  <c r="D2638" i="1"/>
  <c r="F2638" i="1"/>
  <c r="H2638" i="1"/>
  <c r="I2638" i="1"/>
  <c r="L2638" i="1"/>
  <c r="M2638" i="1"/>
  <c r="V2638" i="1"/>
  <c r="W2638" i="1"/>
  <c r="A2782" i="1"/>
  <c r="D2782" i="1"/>
  <c r="F2782" i="1"/>
  <c r="H2782" i="1"/>
  <c r="I2782" i="1"/>
  <c r="L2782" i="1"/>
  <c r="M2782" i="1"/>
  <c r="V2782" i="1"/>
  <c r="W2782" i="1"/>
  <c r="A3182" i="1"/>
  <c r="D3182" i="1"/>
  <c r="F3182" i="1"/>
  <c r="H3182" i="1"/>
  <c r="I3182" i="1"/>
  <c r="L3182" i="1"/>
  <c r="M3182" i="1"/>
  <c r="V3182" i="1"/>
  <c r="W3182" i="1"/>
  <c r="A3462" i="1"/>
  <c r="D3462" i="1"/>
  <c r="F3462" i="1"/>
  <c r="H3462" i="1"/>
  <c r="I3462" i="1"/>
  <c r="L3462" i="1"/>
  <c r="M3462" i="1"/>
  <c r="V3462" i="1"/>
  <c r="W3462" i="1"/>
  <c r="A3779" i="1"/>
  <c r="D3779" i="1"/>
  <c r="F3779" i="1"/>
  <c r="H3779" i="1"/>
  <c r="I3779" i="1"/>
  <c r="L3779" i="1"/>
  <c r="M3779" i="1"/>
  <c r="V3779" i="1"/>
  <c r="W3779" i="1"/>
  <c r="A5420" i="1"/>
  <c r="D5420" i="1"/>
  <c r="F5420" i="1"/>
  <c r="H5420" i="1"/>
  <c r="I5420" i="1"/>
  <c r="L5420" i="1"/>
  <c r="M5420" i="1"/>
  <c r="V5420" i="1"/>
  <c r="W5420" i="1"/>
  <c r="A2626" i="1"/>
  <c r="D2626" i="1"/>
  <c r="F2626" i="1"/>
  <c r="H2626" i="1"/>
  <c r="I2626" i="1"/>
  <c r="L2626" i="1"/>
  <c r="M2626" i="1"/>
  <c r="V2626" i="1"/>
  <c r="W2626" i="1"/>
  <c r="A5199" i="1"/>
  <c r="D5199" i="1"/>
  <c r="F5199" i="1"/>
  <c r="H5199" i="1"/>
  <c r="I5199" i="1"/>
  <c r="L5199" i="1"/>
  <c r="M5199" i="1"/>
  <c r="V5199" i="1"/>
  <c r="W5199" i="1"/>
  <c r="A5509" i="1"/>
  <c r="D5509" i="1"/>
  <c r="F5509" i="1"/>
  <c r="H5509" i="1"/>
  <c r="I5509" i="1"/>
  <c r="L5509" i="1"/>
  <c r="M5509" i="1"/>
  <c r="V5509" i="1"/>
  <c r="W5509" i="1"/>
  <c r="A5419" i="1"/>
  <c r="D5419" i="1"/>
  <c r="F5419" i="1"/>
  <c r="H5419" i="1"/>
  <c r="I5419" i="1"/>
  <c r="L5419" i="1"/>
  <c r="M5419" i="1"/>
  <c r="V5419" i="1"/>
  <c r="W5419" i="1"/>
  <c r="A5490" i="1"/>
  <c r="D5490" i="1"/>
  <c r="F5490" i="1"/>
  <c r="H5490" i="1"/>
  <c r="I5490" i="1"/>
  <c r="L5490" i="1"/>
  <c r="M5490" i="1"/>
  <c r="V5490" i="1"/>
  <c r="W5490" i="1"/>
  <c r="A1567" i="1"/>
  <c r="D1567" i="1"/>
  <c r="F1567" i="1"/>
  <c r="H1567" i="1"/>
  <c r="I1567" i="1"/>
  <c r="L1567" i="1"/>
  <c r="M1567" i="1"/>
  <c r="V1567" i="1"/>
  <c r="W1567" i="1"/>
  <c r="A2756" i="1"/>
  <c r="D2756" i="1"/>
  <c r="F2756" i="1"/>
  <c r="H2756" i="1"/>
  <c r="I2756" i="1"/>
  <c r="L2756" i="1"/>
  <c r="M2756" i="1"/>
  <c r="V2756" i="1"/>
  <c r="W2756" i="1"/>
  <c r="A5453" i="1"/>
  <c r="D5453" i="1"/>
  <c r="F5453" i="1"/>
  <c r="H5453" i="1"/>
  <c r="I5453" i="1"/>
  <c r="L5453" i="1"/>
  <c r="M5453" i="1"/>
  <c r="V5453" i="1"/>
  <c r="W5453" i="1"/>
  <c r="A1913" i="1"/>
  <c r="D1913" i="1"/>
  <c r="F1913" i="1"/>
  <c r="H1913" i="1"/>
  <c r="I1913" i="1"/>
  <c r="L1913" i="1"/>
  <c r="M1913" i="1"/>
  <c r="V1913" i="1"/>
  <c r="W1913" i="1"/>
  <c r="A3302" i="1"/>
  <c r="D3302" i="1"/>
  <c r="F3302" i="1"/>
  <c r="H3302" i="1"/>
  <c r="I3302" i="1"/>
  <c r="L3302" i="1"/>
  <c r="M3302" i="1"/>
  <c r="V3302" i="1"/>
  <c r="W3302" i="1"/>
  <c r="A1358" i="1"/>
  <c r="D1358" i="1"/>
  <c r="F1358" i="1"/>
  <c r="H1358" i="1"/>
  <c r="I1358" i="1"/>
  <c r="L1358" i="1"/>
  <c r="M1358" i="1"/>
  <c r="V1358" i="1"/>
  <c r="W1358" i="1"/>
  <c r="A4966" i="1"/>
  <c r="D4966" i="1"/>
  <c r="F4966" i="1"/>
  <c r="H4966" i="1"/>
  <c r="I4966" i="1"/>
  <c r="L4966" i="1"/>
  <c r="M4966" i="1"/>
  <c r="V4966" i="1"/>
  <c r="W4966" i="1"/>
  <c r="A3668" i="1"/>
  <c r="D3668" i="1"/>
  <c r="F3668" i="1"/>
  <c r="H3668" i="1"/>
  <c r="I3668" i="1"/>
  <c r="L3668" i="1"/>
  <c r="M3668" i="1"/>
  <c r="V3668" i="1"/>
  <c r="W3668" i="1"/>
  <c r="A6080" i="1"/>
  <c r="D6080" i="1"/>
  <c r="F6080" i="1"/>
  <c r="H6080" i="1"/>
  <c r="I6080" i="1"/>
  <c r="L6080" i="1"/>
  <c r="M6080" i="1"/>
  <c r="V6080" i="1"/>
  <c r="W6080" i="1"/>
  <c r="A3999" i="1"/>
  <c r="D3999" i="1"/>
  <c r="F3999" i="1"/>
  <c r="H3999" i="1"/>
  <c r="I3999" i="1"/>
  <c r="L3999" i="1"/>
  <c r="M3999" i="1"/>
  <c r="V3999" i="1"/>
  <c r="W3999" i="1"/>
  <c r="A4054" i="1"/>
  <c r="D4054" i="1"/>
  <c r="F4054" i="1"/>
  <c r="H4054" i="1"/>
  <c r="I4054" i="1"/>
  <c r="L4054" i="1"/>
  <c r="M4054" i="1"/>
  <c r="V4054" i="1"/>
  <c r="W4054" i="1"/>
  <c r="A4759" i="1"/>
  <c r="D4759" i="1"/>
  <c r="F4759" i="1"/>
  <c r="H4759" i="1"/>
  <c r="I4759" i="1"/>
  <c r="L4759" i="1"/>
  <c r="M4759" i="1"/>
  <c r="V4759" i="1"/>
  <c r="W4759" i="1"/>
  <c r="A5911" i="1"/>
  <c r="D5911" i="1"/>
  <c r="F5911" i="1"/>
  <c r="H5911" i="1"/>
  <c r="I5911" i="1"/>
  <c r="L5911" i="1"/>
  <c r="M5911" i="1"/>
  <c r="V5911" i="1"/>
  <c r="W5911" i="1"/>
  <c r="A6148" i="1"/>
  <c r="D6148" i="1"/>
  <c r="F6148" i="1"/>
  <c r="H6148" i="1"/>
  <c r="I6148" i="1"/>
  <c r="L6148" i="1"/>
  <c r="M6148" i="1"/>
  <c r="V6148" i="1"/>
  <c r="W6148" i="1"/>
  <c r="A5909" i="1"/>
  <c r="D5909" i="1"/>
  <c r="F5909" i="1"/>
  <c r="H5909" i="1"/>
  <c r="I5909" i="1"/>
  <c r="L5909" i="1"/>
  <c r="M5909" i="1"/>
  <c r="V5909" i="1"/>
  <c r="W5909" i="1"/>
  <c r="A6147" i="1"/>
  <c r="D6147" i="1"/>
  <c r="F6147" i="1"/>
  <c r="H6147" i="1"/>
  <c r="I6147" i="1"/>
  <c r="L6147" i="1"/>
  <c r="M6147" i="1"/>
  <c r="V6147" i="1"/>
  <c r="W6147" i="1"/>
  <c r="A5910" i="1"/>
  <c r="D5910" i="1"/>
  <c r="F5910" i="1"/>
  <c r="H5910" i="1"/>
  <c r="I5910" i="1"/>
  <c r="L5910" i="1"/>
  <c r="M5910" i="1"/>
  <c r="V5910" i="1"/>
  <c r="W5910" i="1"/>
  <c r="A6149" i="1"/>
  <c r="D6149" i="1"/>
  <c r="F6149" i="1"/>
  <c r="H6149" i="1"/>
  <c r="I6149" i="1"/>
  <c r="L6149" i="1"/>
  <c r="M6149" i="1"/>
  <c r="V6149" i="1"/>
  <c r="W6149" i="1"/>
  <c r="A311" i="1"/>
  <c r="D311" i="1"/>
  <c r="F311" i="1"/>
  <c r="H311" i="1"/>
  <c r="I311" i="1"/>
  <c r="L311" i="1"/>
  <c r="M311" i="1"/>
  <c r="V311" i="1"/>
  <c r="W311" i="1"/>
  <c r="A5192" i="1"/>
  <c r="D5192" i="1"/>
  <c r="F5192" i="1"/>
  <c r="H5192" i="1"/>
  <c r="I5192" i="1"/>
  <c r="L5192" i="1"/>
  <c r="M5192" i="1"/>
  <c r="V5192" i="1"/>
  <c r="W5192" i="1"/>
  <c r="A4575" i="1"/>
  <c r="D4575" i="1"/>
  <c r="F4575" i="1"/>
  <c r="H4575" i="1"/>
  <c r="I4575" i="1"/>
  <c r="L4575" i="1"/>
  <c r="M4575" i="1"/>
  <c r="V4575" i="1"/>
  <c r="W4575" i="1"/>
  <c r="A4909" i="1"/>
  <c r="D4909" i="1"/>
  <c r="F4909" i="1"/>
  <c r="H4909" i="1"/>
  <c r="I4909" i="1"/>
  <c r="L4909" i="1"/>
  <c r="M4909" i="1"/>
  <c r="V4909" i="1"/>
  <c r="W4909" i="1"/>
  <c r="A4753" i="1"/>
  <c r="D4753" i="1"/>
  <c r="F4753" i="1"/>
  <c r="H4753" i="1"/>
  <c r="I4753" i="1"/>
  <c r="L4753" i="1"/>
  <c r="M4753" i="1"/>
  <c r="V4753" i="1"/>
  <c r="W4753" i="1"/>
  <c r="A1174" i="1"/>
  <c r="D1174" i="1"/>
  <c r="F1174" i="1"/>
  <c r="H1174" i="1"/>
  <c r="I1174" i="1"/>
  <c r="L1174" i="1"/>
  <c r="M1174" i="1"/>
  <c r="V1174" i="1"/>
  <c r="W1174" i="1"/>
  <c r="A1178" i="1"/>
  <c r="D1178" i="1"/>
  <c r="F1178" i="1"/>
  <c r="H1178" i="1"/>
  <c r="I1178" i="1"/>
  <c r="L1178" i="1"/>
  <c r="M1178" i="1"/>
  <c r="V1178" i="1"/>
  <c r="W1178" i="1"/>
  <c r="A1173" i="1"/>
  <c r="D1173" i="1"/>
  <c r="F1173" i="1"/>
  <c r="H1173" i="1"/>
  <c r="I1173" i="1"/>
  <c r="L1173" i="1"/>
  <c r="M1173" i="1"/>
  <c r="V1173" i="1"/>
  <c r="W1173" i="1"/>
  <c r="A1177" i="1"/>
  <c r="D1177" i="1"/>
  <c r="F1177" i="1"/>
  <c r="H1177" i="1"/>
  <c r="I1177" i="1"/>
  <c r="L1177" i="1"/>
  <c r="M1177" i="1"/>
  <c r="V1177" i="1"/>
  <c r="W1177" i="1"/>
  <c r="A1401" i="1"/>
  <c r="D1401" i="1"/>
  <c r="F1401" i="1"/>
  <c r="H1401" i="1"/>
  <c r="I1401" i="1"/>
  <c r="L1401" i="1"/>
  <c r="M1401" i="1"/>
  <c r="V1401" i="1"/>
  <c r="W1401" i="1"/>
  <c r="A1078" i="1"/>
  <c r="D1078" i="1"/>
  <c r="F1078" i="1"/>
  <c r="H1078" i="1"/>
  <c r="I1078" i="1"/>
  <c r="L1078" i="1"/>
  <c r="M1078" i="1"/>
  <c r="V1078" i="1"/>
  <c r="W1078" i="1"/>
  <c r="A5796" i="1"/>
  <c r="D5796" i="1"/>
  <c r="F5796" i="1"/>
  <c r="H5796" i="1"/>
  <c r="I5796" i="1"/>
  <c r="L5796" i="1"/>
  <c r="M5796" i="1"/>
  <c r="V5796" i="1"/>
  <c r="W5796" i="1"/>
  <c r="A1781" i="1"/>
  <c r="D1781" i="1"/>
  <c r="F1781" i="1"/>
  <c r="H1781" i="1"/>
  <c r="I1781" i="1"/>
  <c r="L1781" i="1"/>
  <c r="M1781" i="1"/>
  <c r="V1781" i="1"/>
  <c r="W1781" i="1"/>
  <c r="A84" i="1"/>
  <c r="D84" i="1"/>
  <c r="F84" i="1"/>
  <c r="H84" i="1"/>
  <c r="I84" i="1"/>
  <c r="L84" i="1"/>
  <c r="M84" i="1"/>
  <c r="V84" i="1"/>
  <c r="W84" i="1"/>
  <c r="A181" i="1"/>
  <c r="D181" i="1"/>
  <c r="F181" i="1"/>
  <c r="H181" i="1"/>
  <c r="I181" i="1"/>
  <c r="L181" i="1"/>
  <c r="M181" i="1"/>
  <c r="V181" i="1"/>
  <c r="W181" i="1"/>
  <c r="A5218" i="1"/>
  <c r="D5218" i="1"/>
  <c r="F5218" i="1"/>
  <c r="H5218" i="1"/>
  <c r="I5218" i="1"/>
  <c r="L5218" i="1"/>
  <c r="M5218" i="1"/>
  <c r="V5218" i="1"/>
  <c r="W5218" i="1"/>
  <c r="A3379" i="1"/>
  <c r="D3379" i="1"/>
  <c r="F3379" i="1"/>
  <c r="H3379" i="1"/>
  <c r="I3379" i="1"/>
  <c r="L3379" i="1"/>
  <c r="M3379" i="1"/>
  <c r="V3379" i="1"/>
  <c r="W3379" i="1"/>
  <c r="A684" i="1"/>
  <c r="D684" i="1"/>
  <c r="F684" i="1"/>
  <c r="H684" i="1"/>
  <c r="I684" i="1"/>
  <c r="L684" i="1"/>
  <c r="M684" i="1"/>
  <c r="V684" i="1"/>
  <c r="W684" i="1"/>
  <c r="A2800" i="1"/>
  <c r="D2800" i="1"/>
  <c r="F2800" i="1"/>
  <c r="H2800" i="1"/>
  <c r="I2800" i="1"/>
  <c r="L2800" i="1"/>
  <c r="M2800" i="1"/>
  <c r="V2800" i="1"/>
  <c r="W2800" i="1"/>
  <c r="A4088" i="1"/>
  <c r="D4088" i="1"/>
  <c r="F4088" i="1"/>
  <c r="H4088" i="1"/>
  <c r="I4088" i="1"/>
  <c r="L4088" i="1"/>
  <c r="M4088" i="1"/>
  <c r="V4088" i="1"/>
  <c r="W4088" i="1"/>
  <c r="A1924" i="1"/>
  <c r="D1924" i="1"/>
  <c r="F1924" i="1"/>
  <c r="H1924" i="1"/>
  <c r="I1924" i="1"/>
  <c r="L1924" i="1"/>
  <c r="M1924" i="1"/>
  <c r="V1924" i="1"/>
  <c r="W1924" i="1"/>
  <c r="A2098" i="1"/>
  <c r="D2098" i="1"/>
  <c r="F2098" i="1"/>
  <c r="H2098" i="1"/>
  <c r="I2098" i="1"/>
  <c r="L2098" i="1"/>
  <c r="M2098" i="1"/>
  <c r="V2098" i="1"/>
  <c r="W2098" i="1"/>
  <c r="A5269" i="1"/>
  <c r="D5269" i="1"/>
  <c r="F5269" i="1"/>
  <c r="H5269" i="1"/>
  <c r="I5269" i="1"/>
  <c r="L5269" i="1"/>
  <c r="M5269" i="1"/>
  <c r="V5269" i="1"/>
  <c r="W5269" i="1"/>
  <c r="A5495" i="1"/>
  <c r="D5495" i="1"/>
  <c r="F5495" i="1"/>
  <c r="H5495" i="1"/>
  <c r="I5495" i="1"/>
  <c r="L5495" i="1"/>
  <c r="M5495" i="1"/>
  <c r="V5495" i="1"/>
  <c r="W5495" i="1"/>
  <c r="A1524" i="1"/>
  <c r="D1524" i="1"/>
  <c r="F1524" i="1"/>
  <c r="H1524" i="1"/>
  <c r="I1524" i="1"/>
  <c r="L1524" i="1"/>
  <c r="M1524" i="1"/>
  <c r="V1524" i="1"/>
  <c r="W1524" i="1"/>
  <c r="A2625" i="1"/>
  <c r="D2625" i="1"/>
  <c r="F2625" i="1"/>
  <c r="H2625" i="1"/>
  <c r="I2625" i="1"/>
  <c r="L2625" i="1"/>
  <c r="M2625" i="1"/>
  <c r="V2625" i="1"/>
  <c r="W2625" i="1"/>
  <c r="A5470" i="1"/>
  <c r="D5470" i="1"/>
  <c r="F5470" i="1"/>
  <c r="H5470" i="1"/>
  <c r="I5470" i="1"/>
  <c r="L5470" i="1"/>
  <c r="M5470" i="1"/>
  <c r="V5470" i="1"/>
  <c r="W5470" i="1"/>
  <c r="A6105" i="1"/>
  <c r="D6105" i="1"/>
  <c r="F6105" i="1"/>
  <c r="H6105" i="1"/>
  <c r="I6105" i="1"/>
  <c r="L6105" i="1"/>
  <c r="M6105" i="1"/>
  <c r="V6105" i="1"/>
  <c r="W6105" i="1"/>
  <c r="A4116" i="1"/>
  <c r="D4116" i="1"/>
  <c r="F4116" i="1"/>
  <c r="H4116" i="1"/>
  <c r="I4116" i="1"/>
  <c r="L4116" i="1"/>
  <c r="M4116" i="1"/>
  <c r="V4116" i="1"/>
  <c r="W4116" i="1"/>
  <c r="A4081" i="1"/>
  <c r="D4081" i="1"/>
  <c r="F4081" i="1"/>
  <c r="H4081" i="1"/>
  <c r="I4081" i="1"/>
  <c r="L4081" i="1"/>
  <c r="M4081" i="1"/>
  <c r="V4081" i="1"/>
  <c r="W4081" i="1"/>
  <c r="A4367" i="1"/>
  <c r="D4367" i="1"/>
  <c r="F4367" i="1"/>
  <c r="H4367" i="1"/>
  <c r="I4367" i="1"/>
  <c r="L4367" i="1"/>
  <c r="M4367" i="1"/>
  <c r="V4367" i="1"/>
  <c r="W4367" i="1"/>
  <c r="A3622" i="1"/>
  <c r="D3622" i="1"/>
  <c r="F3622" i="1"/>
  <c r="H3622" i="1"/>
  <c r="I3622" i="1"/>
  <c r="L3622" i="1"/>
  <c r="M3622" i="1"/>
  <c r="V3622" i="1"/>
  <c r="W3622" i="1"/>
  <c r="A3874" i="1"/>
  <c r="D3874" i="1"/>
  <c r="F3874" i="1"/>
  <c r="H3874" i="1"/>
  <c r="I3874" i="1"/>
  <c r="L3874" i="1"/>
  <c r="M3874" i="1"/>
  <c r="V3874" i="1"/>
  <c r="W3874" i="1"/>
  <c r="A3889" i="1"/>
  <c r="D3889" i="1"/>
  <c r="F3889" i="1"/>
  <c r="H3889" i="1"/>
  <c r="I3889" i="1"/>
  <c r="L3889" i="1"/>
  <c r="M3889" i="1"/>
  <c r="V3889" i="1"/>
  <c r="W3889" i="1"/>
  <c r="A6163" i="1"/>
  <c r="D6163" i="1"/>
  <c r="F6163" i="1"/>
  <c r="H6163" i="1"/>
  <c r="I6163" i="1"/>
  <c r="L6163" i="1"/>
  <c r="M6163" i="1"/>
  <c r="V6163" i="1"/>
  <c r="W6163" i="1"/>
  <c r="A1519" i="1"/>
  <c r="D1519" i="1"/>
  <c r="F1519" i="1"/>
  <c r="H1519" i="1"/>
  <c r="I1519" i="1"/>
  <c r="L1519" i="1"/>
  <c r="M1519" i="1"/>
  <c r="V1519" i="1"/>
  <c r="W1519" i="1"/>
  <c r="A2446" i="1"/>
  <c r="D2446" i="1"/>
  <c r="F2446" i="1"/>
  <c r="H2446" i="1"/>
  <c r="I2446" i="1"/>
  <c r="L2446" i="1"/>
  <c r="M2446" i="1"/>
  <c r="V2446" i="1"/>
  <c r="W2446" i="1"/>
  <c r="A6170" i="1"/>
  <c r="D6170" i="1"/>
  <c r="F6170" i="1"/>
  <c r="H6170" i="1"/>
  <c r="I6170" i="1"/>
  <c r="L6170" i="1"/>
  <c r="M6170" i="1"/>
  <c r="V6170" i="1"/>
  <c r="W6170" i="1"/>
  <c r="A4839" i="1"/>
  <c r="D4839" i="1"/>
  <c r="F4839" i="1"/>
  <c r="H4839" i="1"/>
  <c r="I4839" i="1"/>
  <c r="L4839" i="1"/>
  <c r="M4839" i="1"/>
  <c r="V4839" i="1"/>
  <c r="W4839" i="1"/>
  <c r="A3119" i="1"/>
  <c r="D3119" i="1"/>
  <c r="F3119" i="1"/>
  <c r="H3119" i="1"/>
  <c r="I3119" i="1"/>
  <c r="L3119" i="1"/>
  <c r="M3119" i="1"/>
  <c r="V3119" i="1"/>
  <c r="W3119" i="1"/>
  <c r="A3198" i="1"/>
  <c r="D3198" i="1"/>
  <c r="F3198" i="1"/>
  <c r="H3198" i="1"/>
  <c r="I3198" i="1"/>
  <c r="L3198" i="1"/>
  <c r="M3198" i="1"/>
  <c r="V3198" i="1"/>
  <c r="W3198" i="1"/>
  <c r="A3253" i="1"/>
  <c r="D3253" i="1"/>
  <c r="F3253" i="1"/>
  <c r="H3253" i="1"/>
  <c r="I3253" i="1"/>
  <c r="L3253" i="1"/>
  <c r="M3253" i="1"/>
  <c r="V3253" i="1"/>
  <c r="W3253" i="1"/>
  <c r="A3028" i="1"/>
  <c r="D3028" i="1"/>
  <c r="F3028" i="1"/>
  <c r="H3028" i="1"/>
  <c r="I3028" i="1"/>
  <c r="L3028" i="1"/>
  <c r="M3028" i="1"/>
  <c r="V3028" i="1"/>
  <c r="W3028" i="1"/>
  <c r="A3763" i="1"/>
  <c r="D3763" i="1"/>
  <c r="F3763" i="1"/>
  <c r="H3763" i="1"/>
  <c r="I3763" i="1"/>
  <c r="L3763" i="1"/>
  <c r="M3763" i="1"/>
  <c r="V3763" i="1"/>
  <c r="W3763" i="1"/>
  <c r="A5651" i="1"/>
  <c r="D5651" i="1"/>
  <c r="F5651" i="1"/>
  <c r="H5651" i="1"/>
  <c r="I5651" i="1"/>
  <c r="L5651" i="1"/>
  <c r="M5651" i="1"/>
  <c r="V5651" i="1"/>
  <c r="W5651" i="1"/>
  <c r="A4692" i="1"/>
  <c r="D4692" i="1"/>
  <c r="F4692" i="1"/>
  <c r="H4692" i="1"/>
  <c r="I4692" i="1"/>
  <c r="L4692" i="1"/>
  <c r="M4692" i="1"/>
  <c r="V4692" i="1"/>
  <c r="W4692" i="1"/>
  <c r="A4456" i="1"/>
  <c r="D4456" i="1"/>
  <c r="F4456" i="1"/>
  <c r="H4456" i="1"/>
  <c r="I4456" i="1"/>
  <c r="L4456" i="1"/>
  <c r="M4456" i="1"/>
  <c r="V4456" i="1"/>
  <c r="W4456" i="1"/>
  <c r="A371" i="1"/>
  <c r="D371" i="1"/>
  <c r="F371" i="1"/>
  <c r="H371" i="1"/>
  <c r="I371" i="1"/>
  <c r="L371" i="1"/>
  <c r="M371" i="1"/>
  <c r="V371" i="1"/>
  <c r="W371" i="1"/>
  <c r="A858" i="1"/>
  <c r="D858" i="1"/>
  <c r="F858" i="1"/>
  <c r="H858" i="1"/>
  <c r="I858" i="1"/>
  <c r="L858" i="1"/>
  <c r="M858" i="1"/>
  <c r="V858" i="1"/>
  <c r="W858" i="1"/>
  <c r="A2761" i="1"/>
  <c r="D2761" i="1"/>
  <c r="F2761" i="1"/>
  <c r="H2761" i="1"/>
  <c r="I2761" i="1"/>
  <c r="L2761" i="1"/>
  <c r="M2761" i="1"/>
  <c r="V2761" i="1"/>
  <c r="W2761" i="1"/>
  <c r="A5677" i="1"/>
  <c r="D5677" i="1"/>
  <c r="F5677" i="1"/>
  <c r="H5677" i="1"/>
  <c r="I5677" i="1"/>
  <c r="L5677" i="1"/>
  <c r="M5677" i="1"/>
  <c r="V5677" i="1"/>
  <c r="W5677" i="1"/>
  <c r="A3468" i="1"/>
  <c r="D3468" i="1"/>
  <c r="F3468" i="1"/>
  <c r="H3468" i="1"/>
  <c r="I3468" i="1"/>
  <c r="L3468" i="1"/>
  <c r="M3468" i="1"/>
  <c r="V3468" i="1"/>
  <c r="W3468" i="1"/>
  <c r="A3531" i="1"/>
  <c r="D3531" i="1"/>
  <c r="F3531" i="1"/>
  <c r="H3531" i="1"/>
  <c r="I3531" i="1"/>
  <c r="L3531" i="1"/>
  <c r="M3531" i="1"/>
  <c r="V3531" i="1"/>
  <c r="W3531" i="1"/>
  <c r="A3369" i="1"/>
  <c r="D3369" i="1"/>
  <c r="F3369" i="1"/>
  <c r="H3369" i="1"/>
  <c r="I3369" i="1"/>
  <c r="L3369" i="1"/>
  <c r="M3369" i="1"/>
  <c r="V3369" i="1"/>
  <c r="W3369" i="1"/>
  <c r="A4062" i="1"/>
  <c r="D4062" i="1"/>
  <c r="F4062" i="1"/>
  <c r="H4062" i="1"/>
  <c r="I4062" i="1"/>
  <c r="L4062" i="1"/>
  <c r="M4062" i="1"/>
  <c r="V4062" i="1"/>
  <c r="W4062" i="1"/>
  <c r="A1680" i="1"/>
  <c r="D1680" i="1"/>
  <c r="F1680" i="1"/>
  <c r="H1680" i="1"/>
  <c r="I1680" i="1"/>
  <c r="L1680" i="1"/>
  <c r="M1680" i="1"/>
  <c r="V1680" i="1"/>
  <c r="W1680" i="1"/>
  <c r="A5609" i="1"/>
  <c r="D5609" i="1"/>
  <c r="F5609" i="1"/>
  <c r="H5609" i="1"/>
  <c r="I5609" i="1"/>
  <c r="L5609" i="1"/>
  <c r="M5609" i="1"/>
  <c r="V5609" i="1"/>
  <c r="W5609" i="1"/>
  <c r="A71" i="1"/>
  <c r="D71" i="1"/>
  <c r="F71" i="1"/>
  <c r="H71" i="1"/>
  <c r="I71" i="1"/>
  <c r="L71" i="1"/>
  <c r="M71" i="1"/>
  <c r="V71" i="1"/>
  <c r="W71" i="1"/>
  <c r="A5919" i="1"/>
  <c r="D5919" i="1"/>
  <c r="F5919" i="1"/>
  <c r="H5919" i="1"/>
  <c r="I5919" i="1"/>
  <c r="L5919" i="1"/>
  <c r="M5919" i="1"/>
  <c r="V5919" i="1"/>
  <c r="W5919" i="1"/>
  <c r="A5477" i="1"/>
  <c r="D5477" i="1"/>
  <c r="F5477" i="1"/>
  <c r="H5477" i="1"/>
  <c r="I5477" i="1"/>
  <c r="L5477" i="1"/>
  <c r="M5477" i="1"/>
  <c r="V5477" i="1"/>
  <c r="W5477" i="1"/>
  <c r="A5503" i="1"/>
  <c r="D5503" i="1"/>
  <c r="F5503" i="1"/>
  <c r="H5503" i="1"/>
  <c r="I5503" i="1"/>
  <c r="L5503" i="1"/>
  <c r="M5503" i="1"/>
  <c r="V5503" i="1"/>
  <c r="W5503" i="1"/>
  <c r="A1203" i="1"/>
  <c r="D1203" i="1"/>
  <c r="F1203" i="1"/>
  <c r="H1203" i="1"/>
  <c r="I1203" i="1"/>
  <c r="L1203" i="1"/>
  <c r="M1203" i="1"/>
  <c r="V1203" i="1"/>
  <c r="W1203" i="1"/>
  <c r="A1614" i="1"/>
  <c r="D1614" i="1"/>
  <c r="F1614" i="1"/>
  <c r="H1614" i="1"/>
  <c r="I1614" i="1"/>
  <c r="L1614" i="1"/>
  <c r="M1614" i="1"/>
  <c r="V1614" i="1"/>
  <c r="W1614" i="1"/>
  <c r="A5739" i="1"/>
  <c r="D5739" i="1"/>
  <c r="F5739" i="1"/>
  <c r="H5739" i="1"/>
  <c r="I5739" i="1"/>
  <c r="L5739" i="1"/>
  <c r="M5739" i="1"/>
  <c r="V5739" i="1"/>
  <c r="W5739" i="1"/>
  <c r="A6094" i="1"/>
  <c r="D6094" i="1"/>
  <c r="F6094" i="1"/>
  <c r="H6094" i="1"/>
  <c r="I6094" i="1"/>
  <c r="L6094" i="1"/>
  <c r="M6094" i="1"/>
  <c r="V6094" i="1"/>
  <c r="W6094" i="1"/>
  <c r="A2470" i="1"/>
  <c r="D2470" i="1"/>
  <c r="F2470" i="1"/>
  <c r="H2470" i="1"/>
  <c r="I2470" i="1"/>
  <c r="L2470" i="1"/>
  <c r="M2470" i="1"/>
  <c r="V2470" i="1"/>
  <c r="W2470" i="1"/>
  <c r="A5773" i="1"/>
  <c r="D5773" i="1"/>
  <c r="F5773" i="1"/>
  <c r="H5773" i="1"/>
  <c r="I5773" i="1"/>
  <c r="L5773" i="1"/>
  <c r="M5773" i="1"/>
  <c r="V5773" i="1"/>
  <c r="W5773" i="1"/>
  <c r="A622" i="1"/>
  <c r="D622" i="1"/>
  <c r="F622" i="1"/>
  <c r="H622" i="1"/>
  <c r="I622" i="1"/>
  <c r="L622" i="1"/>
  <c r="M622" i="1"/>
  <c r="V622" i="1"/>
  <c r="W622" i="1"/>
  <c r="A2373" i="1"/>
  <c r="D2373" i="1"/>
  <c r="F2373" i="1"/>
  <c r="H2373" i="1"/>
  <c r="I2373" i="1"/>
  <c r="L2373" i="1"/>
  <c r="M2373" i="1"/>
  <c r="V2373" i="1"/>
  <c r="W2373" i="1"/>
  <c r="A3043" i="1"/>
  <c r="D3043" i="1"/>
  <c r="F3043" i="1"/>
  <c r="H3043" i="1"/>
  <c r="I3043" i="1"/>
  <c r="L3043" i="1"/>
  <c r="M3043" i="1"/>
  <c r="V3043" i="1"/>
  <c r="W3043" i="1"/>
  <c r="A216" i="1"/>
  <c r="D216" i="1"/>
  <c r="F216" i="1"/>
  <c r="H216" i="1"/>
  <c r="I216" i="1"/>
  <c r="L216" i="1"/>
  <c r="M216" i="1"/>
  <c r="V216" i="1"/>
  <c r="W216" i="1"/>
  <c r="A3584" i="1"/>
  <c r="D3584" i="1"/>
  <c r="F3584" i="1"/>
  <c r="H3584" i="1"/>
  <c r="I3584" i="1"/>
  <c r="L3584" i="1"/>
  <c r="M3584" i="1"/>
  <c r="V3584" i="1"/>
  <c r="W3584" i="1"/>
  <c r="A5937" i="1"/>
  <c r="D5937" i="1"/>
  <c r="F5937" i="1"/>
  <c r="H5937" i="1"/>
  <c r="I5937" i="1"/>
  <c r="L5937" i="1"/>
  <c r="M5937" i="1"/>
  <c r="V5937" i="1"/>
  <c r="W5937" i="1"/>
  <c r="A1192" i="1"/>
  <c r="D1192" i="1"/>
  <c r="F1192" i="1"/>
  <c r="H1192" i="1"/>
  <c r="I1192" i="1"/>
  <c r="L1192" i="1"/>
  <c r="M1192" i="1"/>
  <c r="V1192" i="1"/>
  <c r="W1192" i="1"/>
  <c r="A5122" i="1"/>
  <c r="D5122" i="1"/>
  <c r="F5122" i="1"/>
  <c r="H5122" i="1"/>
  <c r="I5122" i="1"/>
  <c r="L5122" i="1"/>
  <c r="M5122" i="1"/>
  <c r="V5122" i="1"/>
  <c r="W5122" i="1"/>
  <c r="A5125" i="1"/>
  <c r="D5125" i="1"/>
  <c r="F5125" i="1"/>
  <c r="H5125" i="1"/>
  <c r="I5125" i="1"/>
  <c r="L5125" i="1"/>
  <c r="M5125" i="1"/>
  <c r="V5125" i="1"/>
  <c r="W5125" i="1"/>
  <c r="A5333" i="1"/>
  <c r="D5333" i="1"/>
  <c r="F5333" i="1"/>
  <c r="H5333" i="1"/>
  <c r="I5333" i="1"/>
  <c r="L5333" i="1"/>
  <c r="M5333" i="1"/>
  <c r="V5333" i="1"/>
  <c r="W5333" i="1"/>
  <c r="A5349" i="1"/>
  <c r="D5349" i="1"/>
  <c r="F5349" i="1"/>
  <c r="H5349" i="1"/>
  <c r="I5349" i="1"/>
  <c r="L5349" i="1"/>
  <c r="M5349" i="1"/>
  <c r="V5349" i="1"/>
  <c r="W5349" i="1"/>
  <c r="A475" i="1"/>
  <c r="D475" i="1"/>
  <c r="F475" i="1"/>
  <c r="H475" i="1"/>
  <c r="I475" i="1"/>
  <c r="L475" i="1"/>
  <c r="M475" i="1"/>
  <c r="V475" i="1"/>
  <c r="W475" i="1"/>
  <c r="A2789" i="1"/>
  <c r="D2789" i="1"/>
  <c r="F2789" i="1"/>
  <c r="H2789" i="1"/>
  <c r="I2789" i="1"/>
  <c r="L2789" i="1"/>
  <c r="M2789" i="1"/>
  <c r="V2789" i="1"/>
  <c r="W2789" i="1"/>
  <c r="A4070" i="1"/>
  <c r="D4070" i="1"/>
  <c r="F4070" i="1"/>
  <c r="H4070" i="1"/>
  <c r="I4070" i="1"/>
  <c r="L4070" i="1"/>
  <c r="M4070" i="1"/>
  <c r="V4070" i="1"/>
  <c r="W4070" i="1"/>
  <c r="A3159" i="1"/>
  <c r="D3159" i="1"/>
  <c r="F3159" i="1"/>
  <c r="H3159" i="1"/>
  <c r="I3159" i="1"/>
  <c r="L3159" i="1"/>
  <c r="M3159" i="1"/>
  <c r="V3159" i="1"/>
  <c r="W3159" i="1"/>
  <c r="A1327" i="1"/>
  <c r="D1327" i="1"/>
  <c r="F1327" i="1"/>
  <c r="H1327" i="1"/>
  <c r="I1327" i="1"/>
  <c r="L1327" i="1"/>
  <c r="M1327" i="1"/>
  <c r="V1327" i="1"/>
  <c r="W1327" i="1"/>
  <c r="A5164" i="1"/>
  <c r="D5164" i="1"/>
  <c r="F5164" i="1"/>
  <c r="H5164" i="1"/>
  <c r="I5164" i="1"/>
  <c r="L5164" i="1"/>
  <c r="M5164" i="1"/>
  <c r="V5164" i="1"/>
  <c r="W5164" i="1"/>
  <c r="A5167" i="1"/>
  <c r="D5167" i="1"/>
  <c r="F5167" i="1"/>
  <c r="H5167" i="1"/>
  <c r="I5167" i="1"/>
  <c r="L5167" i="1"/>
  <c r="M5167" i="1"/>
  <c r="V5167" i="1"/>
  <c r="W5167" i="1"/>
  <c r="A3020" i="1"/>
  <c r="D3020" i="1"/>
  <c r="F3020" i="1"/>
  <c r="H3020" i="1"/>
  <c r="I3020" i="1"/>
  <c r="L3020" i="1"/>
  <c r="M3020" i="1"/>
  <c r="V3020" i="1"/>
  <c r="W3020" i="1"/>
  <c r="A3713" i="1"/>
  <c r="D3713" i="1"/>
  <c r="F3713" i="1"/>
  <c r="H3713" i="1"/>
  <c r="I3713" i="1"/>
  <c r="L3713" i="1"/>
  <c r="M3713" i="1"/>
  <c r="V3713" i="1"/>
  <c r="W3713" i="1"/>
  <c r="A1797" i="1"/>
  <c r="D1797" i="1"/>
  <c r="F1797" i="1"/>
  <c r="H1797" i="1"/>
  <c r="I1797" i="1"/>
  <c r="L1797" i="1"/>
  <c r="M1797" i="1"/>
  <c r="V1797" i="1"/>
  <c r="W1797" i="1"/>
  <c r="A2676" i="1"/>
  <c r="D2676" i="1"/>
  <c r="F2676" i="1"/>
  <c r="H2676" i="1"/>
  <c r="I2676" i="1"/>
  <c r="L2676" i="1"/>
  <c r="M2676" i="1"/>
  <c r="V2676" i="1"/>
  <c r="W2676" i="1"/>
  <c r="A1558" i="1"/>
  <c r="D1558" i="1"/>
  <c r="F1558" i="1"/>
  <c r="H1558" i="1"/>
  <c r="I1558" i="1"/>
  <c r="L1558" i="1"/>
  <c r="M1558" i="1"/>
  <c r="V1558" i="1"/>
  <c r="W1558" i="1"/>
  <c r="A1252" i="1"/>
  <c r="D1252" i="1"/>
  <c r="F1252" i="1"/>
  <c r="H1252" i="1"/>
  <c r="I1252" i="1"/>
  <c r="L1252" i="1"/>
  <c r="M1252" i="1"/>
  <c r="V1252" i="1"/>
  <c r="W1252" i="1"/>
  <c r="A4725" i="1"/>
  <c r="D4725" i="1"/>
  <c r="F4725" i="1"/>
  <c r="H4725" i="1"/>
  <c r="I4725" i="1"/>
  <c r="L4725" i="1"/>
  <c r="M4725" i="1"/>
  <c r="V4725" i="1"/>
  <c r="W4725" i="1"/>
  <c r="A6043" i="1"/>
  <c r="D6043" i="1"/>
  <c r="F6043" i="1"/>
  <c r="H6043" i="1"/>
  <c r="I6043" i="1"/>
  <c r="L6043" i="1"/>
  <c r="M6043" i="1"/>
  <c r="V6043" i="1"/>
  <c r="W6043" i="1"/>
  <c r="A910" i="1"/>
  <c r="D910" i="1"/>
  <c r="F910" i="1"/>
  <c r="H910" i="1"/>
  <c r="I910" i="1"/>
  <c r="L910" i="1"/>
  <c r="M910" i="1"/>
  <c r="V910" i="1"/>
  <c r="W910" i="1"/>
  <c r="A5181" i="1"/>
  <c r="D5181" i="1"/>
  <c r="F5181" i="1"/>
  <c r="H5181" i="1"/>
  <c r="I5181" i="1"/>
  <c r="L5181" i="1"/>
  <c r="M5181" i="1"/>
  <c r="V5181" i="1"/>
  <c r="W5181" i="1"/>
  <c r="A2561" i="1"/>
  <c r="D2561" i="1"/>
  <c r="F2561" i="1"/>
  <c r="H2561" i="1"/>
  <c r="I2561" i="1"/>
  <c r="L2561" i="1"/>
  <c r="M2561" i="1"/>
  <c r="V2561" i="1"/>
  <c r="W2561" i="1"/>
  <c r="A49" i="1"/>
  <c r="D49" i="1"/>
  <c r="F49" i="1"/>
  <c r="H49" i="1"/>
  <c r="I49" i="1"/>
  <c r="L49" i="1"/>
  <c r="M49" i="1"/>
  <c r="V49" i="1"/>
  <c r="W49" i="1"/>
  <c r="A5248" i="1"/>
  <c r="D5248" i="1"/>
  <c r="F5248" i="1"/>
  <c r="H5248" i="1"/>
  <c r="I5248" i="1"/>
  <c r="L5248" i="1"/>
  <c r="M5248" i="1"/>
  <c r="V5248" i="1"/>
  <c r="W5248" i="1"/>
  <c r="A1257" i="1"/>
  <c r="D1257" i="1"/>
  <c r="F1257" i="1"/>
  <c r="H1257" i="1"/>
  <c r="I1257" i="1"/>
  <c r="L1257" i="1"/>
  <c r="M1257" i="1"/>
  <c r="V1257" i="1"/>
  <c r="W1257" i="1"/>
  <c r="A1438" i="1"/>
  <c r="D1438" i="1"/>
  <c r="F1438" i="1"/>
  <c r="H1438" i="1"/>
  <c r="I1438" i="1"/>
  <c r="L1438" i="1"/>
  <c r="M1438" i="1"/>
  <c r="V1438" i="1"/>
  <c r="W1438" i="1"/>
  <c r="A5142" i="1"/>
  <c r="D5142" i="1"/>
  <c r="F5142" i="1"/>
  <c r="H5142" i="1"/>
  <c r="I5142" i="1"/>
  <c r="L5142" i="1"/>
  <c r="M5142" i="1"/>
  <c r="V5142" i="1"/>
  <c r="W5142" i="1"/>
  <c r="A3658" i="1"/>
  <c r="D3658" i="1"/>
  <c r="F3658" i="1"/>
  <c r="H3658" i="1"/>
  <c r="I3658" i="1"/>
  <c r="L3658" i="1"/>
  <c r="M3658" i="1"/>
  <c r="V3658" i="1"/>
  <c r="W3658" i="1"/>
  <c r="A4506" i="1"/>
  <c r="D4506" i="1"/>
  <c r="F4506" i="1"/>
  <c r="H4506" i="1"/>
  <c r="I4506" i="1"/>
  <c r="L4506" i="1"/>
  <c r="M4506" i="1"/>
  <c r="V4506" i="1"/>
  <c r="W4506" i="1"/>
  <c r="A1100" i="1"/>
  <c r="D1100" i="1"/>
  <c r="F1100" i="1"/>
  <c r="H1100" i="1"/>
  <c r="I1100" i="1"/>
  <c r="L1100" i="1"/>
  <c r="M1100" i="1"/>
  <c r="V1100" i="1"/>
  <c r="W1100" i="1"/>
  <c r="A564" i="1"/>
  <c r="D564" i="1"/>
  <c r="F564" i="1"/>
  <c r="H564" i="1"/>
  <c r="I564" i="1"/>
  <c r="L564" i="1"/>
  <c r="M564" i="1"/>
  <c r="V564" i="1"/>
  <c r="W564" i="1"/>
  <c r="A3557" i="1"/>
  <c r="D3557" i="1"/>
  <c r="F3557" i="1"/>
  <c r="H3557" i="1"/>
  <c r="I3557" i="1"/>
  <c r="L3557" i="1"/>
  <c r="M3557" i="1"/>
  <c r="V3557" i="1"/>
  <c r="W3557" i="1"/>
  <c r="A4095" i="1"/>
  <c r="D4095" i="1"/>
  <c r="F4095" i="1"/>
  <c r="H4095" i="1"/>
  <c r="I4095" i="1"/>
  <c r="L4095" i="1"/>
  <c r="M4095" i="1"/>
  <c r="V4095" i="1"/>
  <c r="W4095" i="1"/>
  <c r="A5821" i="1"/>
  <c r="D5821" i="1"/>
  <c r="F5821" i="1"/>
  <c r="H5821" i="1"/>
  <c r="I5821" i="1"/>
  <c r="L5821" i="1"/>
  <c r="M5821" i="1"/>
  <c r="V5821" i="1"/>
  <c r="W5821" i="1"/>
  <c r="A2070" i="1"/>
  <c r="D2070" i="1"/>
  <c r="F2070" i="1"/>
  <c r="H2070" i="1"/>
  <c r="I2070" i="1"/>
  <c r="L2070" i="1"/>
  <c r="M2070" i="1"/>
  <c r="V2070" i="1"/>
  <c r="W2070" i="1"/>
  <c r="A1954" i="1"/>
  <c r="D1954" i="1"/>
  <c r="F1954" i="1"/>
  <c r="H1954" i="1"/>
  <c r="I1954" i="1"/>
  <c r="L1954" i="1"/>
  <c r="M1954" i="1"/>
  <c r="V1954" i="1"/>
  <c r="W1954" i="1"/>
  <c r="A2225" i="1"/>
  <c r="D2225" i="1"/>
  <c r="F2225" i="1"/>
  <c r="H2225" i="1"/>
  <c r="I2225" i="1"/>
  <c r="L2225" i="1"/>
  <c r="M2225" i="1"/>
  <c r="V2225" i="1"/>
  <c r="W2225" i="1"/>
  <c r="A91" i="1"/>
  <c r="D91" i="1"/>
  <c r="F91" i="1"/>
  <c r="H91" i="1"/>
  <c r="I91" i="1"/>
  <c r="L91" i="1"/>
  <c r="M91" i="1"/>
  <c r="V91" i="1"/>
  <c r="W91" i="1"/>
  <c r="A4543" i="1"/>
  <c r="D4543" i="1"/>
  <c r="F4543" i="1"/>
  <c r="H4543" i="1"/>
  <c r="I4543" i="1"/>
  <c r="L4543" i="1"/>
  <c r="M4543" i="1"/>
  <c r="V4543" i="1"/>
  <c r="W4543" i="1"/>
  <c r="A317" i="1"/>
  <c r="D317" i="1"/>
  <c r="F317" i="1"/>
  <c r="H317" i="1"/>
  <c r="I317" i="1"/>
  <c r="L317" i="1"/>
  <c r="M317" i="1"/>
  <c r="V317" i="1"/>
  <c r="W317" i="1"/>
  <c r="A2321" i="1"/>
  <c r="D2321" i="1"/>
  <c r="F2321" i="1"/>
  <c r="H2321" i="1"/>
  <c r="I2321" i="1"/>
  <c r="L2321" i="1"/>
  <c r="M2321" i="1"/>
  <c r="V2321" i="1"/>
  <c r="W2321" i="1"/>
  <c r="A3432" i="1"/>
  <c r="D3432" i="1"/>
  <c r="F3432" i="1"/>
  <c r="H3432" i="1"/>
  <c r="I3432" i="1"/>
  <c r="L3432" i="1"/>
  <c r="M3432" i="1"/>
  <c r="V3432" i="1"/>
  <c r="W3432" i="1"/>
  <c r="A3453" i="1"/>
  <c r="D3453" i="1"/>
  <c r="F3453" i="1"/>
  <c r="H3453" i="1"/>
  <c r="I3453" i="1"/>
  <c r="L3453" i="1"/>
  <c r="M3453" i="1"/>
  <c r="V3453" i="1"/>
  <c r="W3453" i="1"/>
  <c r="A3597" i="1"/>
  <c r="D3597" i="1"/>
  <c r="F3597" i="1"/>
  <c r="H3597" i="1"/>
  <c r="I3597" i="1"/>
  <c r="L3597" i="1"/>
  <c r="M3597" i="1"/>
  <c r="V3597" i="1"/>
  <c r="W3597" i="1"/>
  <c r="A3788" i="1"/>
  <c r="D3788" i="1"/>
  <c r="F3788" i="1"/>
  <c r="H3788" i="1"/>
  <c r="I3788" i="1"/>
  <c r="L3788" i="1"/>
  <c r="M3788" i="1"/>
  <c r="V3788" i="1"/>
  <c r="W3788" i="1"/>
  <c r="A4770" i="1"/>
  <c r="D4770" i="1"/>
  <c r="F4770" i="1"/>
  <c r="H4770" i="1"/>
  <c r="I4770" i="1"/>
  <c r="L4770" i="1"/>
  <c r="M4770" i="1"/>
  <c r="V4770" i="1"/>
  <c r="W4770" i="1"/>
  <c r="A2326" i="1"/>
  <c r="D2326" i="1"/>
  <c r="F2326" i="1"/>
  <c r="H2326" i="1"/>
  <c r="I2326" i="1"/>
  <c r="L2326" i="1"/>
  <c r="M2326" i="1"/>
  <c r="V2326" i="1"/>
  <c r="W2326" i="1"/>
  <c r="A4586" i="1"/>
  <c r="D4586" i="1"/>
  <c r="F4586" i="1"/>
  <c r="H4586" i="1"/>
  <c r="I4586" i="1"/>
  <c r="L4586" i="1"/>
  <c r="M4586" i="1"/>
  <c r="V4586" i="1"/>
  <c r="W4586" i="1"/>
  <c r="A3192" i="1"/>
  <c r="D3192" i="1"/>
  <c r="F3192" i="1"/>
  <c r="H3192" i="1"/>
  <c r="I3192" i="1"/>
  <c r="L3192" i="1"/>
  <c r="M3192" i="1"/>
  <c r="V3192" i="1"/>
  <c r="W3192" i="1"/>
  <c r="A553" i="1"/>
  <c r="D553" i="1"/>
  <c r="F553" i="1"/>
  <c r="H553" i="1"/>
  <c r="I553" i="1"/>
  <c r="L553" i="1"/>
  <c r="M553" i="1"/>
  <c r="V553" i="1"/>
  <c r="W553" i="1"/>
  <c r="A5325" i="1"/>
  <c r="D5325" i="1"/>
  <c r="F5325" i="1"/>
  <c r="H5325" i="1"/>
  <c r="I5325" i="1"/>
  <c r="L5325" i="1"/>
  <c r="M5325" i="1"/>
  <c r="V5325" i="1"/>
  <c r="W5325" i="1"/>
  <c r="A686" i="1"/>
  <c r="D686" i="1"/>
  <c r="F686" i="1"/>
  <c r="H686" i="1"/>
  <c r="I686" i="1"/>
  <c r="L686" i="1"/>
  <c r="M686" i="1"/>
  <c r="V686" i="1"/>
  <c r="W686" i="1"/>
  <c r="A2376" i="1"/>
  <c r="D2376" i="1"/>
  <c r="F2376" i="1"/>
  <c r="H2376" i="1"/>
  <c r="I2376" i="1"/>
  <c r="L2376" i="1"/>
  <c r="M2376" i="1"/>
  <c r="V2376" i="1"/>
  <c r="W2376" i="1"/>
  <c r="A82" i="1"/>
  <c r="D82" i="1"/>
  <c r="F82" i="1"/>
  <c r="H82" i="1"/>
  <c r="I82" i="1"/>
  <c r="L82" i="1"/>
  <c r="M82" i="1"/>
  <c r="V82" i="1"/>
  <c r="W82" i="1"/>
  <c r="A78" i="1"/>
  <c r="D78" i="1"/>
  <c r="F78" i="1"/>
  <c r="H78" i="1"/>
  <c r="I78" i="1"/>
  <c r="L78" i="1"/>
  <c r="M78" i="1"/>
  <c r="V78" i="1"/>
  <c r="W78" i="1"/>
  <c r="A390" i="1"/>
  <c r="D390" i="1"/>
  <c r="F390" i="1"/>
  <c r="H390" i="1"/>
  <c r="I390" i="1"/>
  <c r="L390" i="1"/>
  <c r="M390" i="1"/>
  <c r="V390" i="1"/>
  <c r="W390" i="1"/>
  <c r="A326" i="1"/>
  <c r="D326" i="1"/>
  <c r="F326" i="1"/>
  <c r="H326" i="1"/>
  <c r="I326" i="1"/>
  <c r="L326" i="1"/>
  <c r="M326" i="1"/>
  <c r="V326" i="1"/>
  <c r="W326" i="1"/>
  <c r="A518" i="1"/>
  <c r="D518" i="1"/>
  <c r="F518" i="1"/>
  <c r="H518" i="1"/>
  <c r="I518" i="1"/>
  <c r="L518" i="1"/>
  <c r="M518" i="1"/>
  <c r="V518" i="1"/>
  <c r="W518" i="1"/>
  <c r="A623" i="1"/>
  <c r="D623" i="1"/>
  <c r="F623" i="1"/>
  <c r="H623" i="1"/>
  <c r="I623" i="1"/>
  <c r="L623" i="1"/>
  <c r="M623" i="1"/>
  <c r="V623" i="1"/>
  <c r="W623" i="1"/>
  <c r="A638" i="1"/>
  <c r="D638" i="1"/>
  <c r="F638" i="1"/>
  <c r="H638" i="1"/>
  <c r="I638" i="1"/>
  <c r="L638" i="1"/>
  <c r="M638" i="1"/>
  <c r="V638" i="1"/>
  <c r="W638" i="1"/>
  <c r="A682" i="1"/>
  <c r="D682" i="1"/>
  <c r="F682" i="1"/>
  <c r="H682" i="1"/>
  <c r="I682" i="1"/>
  <c r="L682" i="1"/>
  <c r="M682" i="1"/>
  <c r="V682" i="1"/>
  <c r="W682" i="1"/>
  <c r="A874" i="1"/>
  <c r="D874" i="1"/>
  <c r="F874" i="1"/>
  <c r="H874" i="1"/>
  <c r="I874" i="1"/>
  <c r="L874" i="1"/>
  <c r="M874" i="1"/>
  <c r="V874" i="1"/>
  <c r="W874" i="1"/>
  <c r="A692" i="1"/>
  <c r="D692" i="1"/>
  <c r="F692" i="1"/>
  <c r="H692" i="1"/>
  <c r="I692" i="1"/>
  <c r="L692" i="1"/>
  <c r="M692" i="1"/>
  <c r="V692" i="1"/>
  <c r="W692" i="1"/>
  <c r="A969" i="1"/>
  <c r="D969" i="1"/>
  <c r="F969" i="1"/>
  <c r="H969" i="1"/>
  <c r="I969" i="1"/>
  <c r="L969" i="1"/>
  <c r="M969" i="1"/>
  <c r="V969" i="1"/>
  <c r="W969" i="1"/>
  <c r="A989" i="1"/>
  <c r="D989" i="1"/>
  <c r="F989" i="1"/>
  <c r="H989" i="1"/>
  <c r="I989" i="1"/>
  <c r="L989" i="1"/>
  <c r="M989" i="1"/>
  <c r="V989" i="1"/>
  <c r="W989" i="1"/>
  <c r="A1018" i="1"/>
  <c r="D1018" i="1"/>
  <c r="F1018" i="1"/>
  <c r="H1018" i="1"/>
  <c r="I1018" i="1"/>
  <c r="L1018" i="1"/>
  <c r="M1018" i="1"/>
  <c r="V1018" i="1"/>
  <c r="W1018" i="1"/>
  <c r="A1039" i="1"/>
  <c r="D1039" i="1"/>
  <c r="F1039" i="1"/>
  <c r="H1039" i="1"/>
  <c r="I1039" i="1"/>
  <c r="L1039" i="1"/>
  <c r="M1039" i="1"/>
  <c r="V1039" i="1"/>
  <c r="W1039" i="1"/>
  <c r="A1219" i="1"/>
  <c r="D1219" i="1"/>
  <c r="F1219" i="1"/>
  <c r="H1219" i="1"/>
  <c r="I1219" i="1"/>
  <c r="L1219" i="1"/>
  <c r="M1219" i="1"/>
  <c r="V1219" i="1"/>
  <c r="W1219" i="1"/>
  <c r="A1230" i="1"/>
  <c r="D1230" i="1"/>
  <c r="F1230" i="1"/>
  <c r="H1230" i="1"/>
  <c r="I1230" i="1"/>
  <c r="L1230" i="1"/>
  <c r="M1230" i="1"/>
  <c r="V1230" i="1"/>
  <c r="W1230" i="1"/>
  <c r="A1421" i="1"/>
  <c r="D1421" i="1"/>
  <c r="F1421" i="1"/>
  <c r="H1421" i="1"/>
  <c r="I1421" i="1"/>
  <c r="L1421" i="1"/>
  <c r="M1421" i="1"/>
  <c r="V1421" i="1"/>
  <c r="W1421" i="1"/>
  <c r="A1264" i="1"/>
  <c r="D1264" i="1"/>
  <c r="F1264" i="1"/>
  <c r="H1264" i="1"/>
  <c r="I1264" i="1"/>
  <c r="L1264" i="1"/>
  <c r="M1264" i="1"/>
  <c r="V1264" i="1"/>
  <c r="W1264" i="1"/>
  <c r="A1491" i="1"/>
  <c r="D1491" i="1"/>
  <c r="F1491" i="1"/>
  <c r="H1491" i="1"/>
  <c r="I1491" i="1"/>
  <c r="L1491" i="1"/>
  <c r="M1491" i="1"/>
  <c r="V1491" i="1"/>
  <c r="W1491" i="1"/>
  <c r="A1664" i="1"/>
  <c r="D1664" i="1"/>
  <c r="F1664" i="1"/>
  <c r="H1664" i="1"/>
  <c r="I1664" i="1"/>
  <c r="L1664" i="1"/>
  <c r="M1664" i="1"/>
  <c r="V1664" i="1"/>
  <c r="W1664" i="1"/>
  <c r="A1818" i="1"/>
  <c r="D1818" i="1"/>
  <c r="F1818" i="1"/>
  <c r="H1818" i="1"/>
  <c r="I1818" i="1"/>
  <c r="L1818" i="1"/>
  <c r="M1818" i="1"/>
  <c r="V1818" i="1"/>
  <c r="W1818" i="1"/>
  <c r="A2046" i="1"/>
  <c r="D2046" i="1"/>
  <c r="F2046" i="1"/>
  <c r="H2046" i="1"/>
  <c r="I2046" i="1"/>
  <c r="L2046" i="1"/>
  <c r="M2046" i="1"/>
  <c r="V2046" i="1"/>
  <c r="W2046" i="1"/>
  <c r="A2281" i="1"/>
  <c r="D2281" i="1"/>
  <c r="F2281" i="1"/>
  <c r="H2281" i="1"/>
  <c r="I2281" i="1"/>
  <c r="L2281" i="1"/>
  <c r="M2281" i="1"/>
  <c r="V2281" i="1"/>
  <c r="W2281" i="1"/>
  <c r="A2277" i="1"/>
  <c r="D2277" i="1"/>
  <c r="F2277" i="1"/>
  <c r="H2277" i="1"/>
  <c r="I2277" i="1"/>
  <c r="L2277" i="1"/>
  <c r="M2277" i="1"/>
  <c r="V2277" i="1"/>
  <c r="W2277" i="1"/>
  <c r="A2705" i="1"/>
  <c r="D2705" i="1"/>
  <c r="F2705" i="1"/>
  <c r="H2705" i="1"/>
  <c r="I2705" i="1"/>
  <c r="L2705" i="1"/>
  <c r="M2705" i="1"/>
  <c r="V2705" i="1"/>
  <c r="W2705" i="1"/>
  <c r="A2727" i="1"/>
  <c r="D2727" i="1"/>
  <c r="F2727" i="1"/>
  <c r="H2727" i="1"/>
  <c r="I2727" i="1"/>
  <c r="L2727" i="1"/>
  <c r="M2727" i="1"/>
  <c r="V2727" i="1"/>
  <c r="W2727" i="1"/>
  <c r="A2964" i="1"/>
  <c r="D2964" i="1"/>
  <c r="F2964" i="1"/>
  <c r="H2964" i="1"/>
  <c r="I2964" i="1"/>
  <c r="L2964" i="1"/>
  <c r="M2964" i="1"/>
  <c r="V2964" i="1"/>
  <c r="W2964" i="1"/>
  <c r="A2971" i="1"/>
  <c r="D2971" i="1"/>
  <c r="F2971" i="1"/>
  <c r="H2971" i="1"/>
  <c r="I2971" i="1"/>
  <c r="L2971" i="1"/>
  <c r="M2971" i="1"/>
  <c r="V2971" i="1"/>
  <c r="W2971" i="1"/>
  <c r="A3244" i="1"/>
  <c r="D3244" i="1"/>
  <c r="F3244" i="1"/>
  <c r="H3244" i="1"/>
  <c r="I3244" i="1"/>
  <c r="L3244" i="1"/>
  <c r="M3244" i="1"/>
  <c r="V3244" i="1"/>
  <c r="W3244" i="1"/>
  <c r="A3212" i="1"/>
  <c r="D3212" i="1"/>
  <c r="F3212" i="1"/>
  <c r="H3212" i="1"/>
  <c r="I3212" i="1"/>
  <c r="L3212" i="1"/>
  <c r="M3212" i="1"/>
  <c r="V3212" i="1"/>
  <c r="W3212" i="1"/>
  <c r="A3745" i="1"/>
  <c r="D3745" i="1"/>
  <c r="F3745" i="1"/>
  <c r="H3745" i="1"/>
  <c r="I3745" i="1"/>
  <c r="L3745" i="1"/>
  <c r="M3745" i="1"/>
  <c r="V3745" i="1"/>
  <c r="W3745" i="1"/>
  <c r="A3914" i="1"/>
  <c r="D3914" i="1"/>
  <c r="F3914" i="1"/>
  <c r="H3914" i="1"/>
  <c r="I3914" i="1"/>
  <c r="L3914" i="1"/>
  <c r="M3914" i="1"/>
  <c r="V3914" i="1"/>
  <c r="W3914" i="1"/>
  <c r="A3915" i="1"/>
  <c r="D3915" i="1"/>
  <c r="F3915" i="1"/>
  <c r="H3915" i="1"/>
  <c r="I3915" i="1"/>
  <c r="L3915" i="1"/>
  <c r="M3915" i="1"/>
  <c r="V3915" i="1"/>
  <c r="W3915" i="1"/>
  <c r="A4029" i="1"/>
  <c r="D4029" i="1"/>
  <c r="F4029" i="1"/>
  <c r="H4029" i="1"/>
  <c r="I4029" i="1"/>
  <c r="L4029" i="1"/>
  <c r="M4029" i="1"/>
  <c r="V4029" i="1"/>
  <c r="W4029" i="1"/>
  <c r="A4415" i="1"/>
  <c r="D4415" i="1"/>
  <c r="F4415" i="1"/>
  <c r="H4415" i="1"/>
  <c r="I4415" i="1"/>
  <c r="L4415" i="1"/>
  <c r="M4415" i="1"/>
  <c r="V4415" i="1"/>
  <c r="W4415" i="1"/>
  <c r="A4518" i="1"/>
  <c r="D4518" i="1"/>
  <c r="F4518" i="1"/>
  <c r="H4518" i="1"/>
  <c r="I4518" i="1"/>
  <c r="L4518" i="1"/>
  <c r="M4518" i="1"/>
  <c r="V4518" i="1"/>
  <c r="W4518" i="1"/>
  <c r="A4737" i="1"/>
  <c r="D4737" i="1"/>
  <c r="F4737" i="1"/>
  <c r="H4737" i="1"/>
  <c r="I4737" i="1"/>
  <c r="L4737" i="1"/>
  <c r="M4737" i="1"/>
  <c r="V4737" i="1"/>
  <c r="W4737" i="1"/>
  <c r="A4789" i="1"/>
  <c r="D4789" i="1"/>
  <c r="F4789" i="1"/>
  <c r="H4789" i="1"/>
  <c r="I4789" i="1"/>
  <c r="L4789" i="1"/>
  <c r="M4789" i="1"/>
  <c r="V4789" i="1"/>
  <c r="W4789" i="1"/>
  <c r="A4816" i="1"/>
  <c r="D4816" i="1"/>
  <c r="F4816" i="1"/>
  <c r="H4816" i="1"/>
  <c r="I4816" i="1"/>
  <c r="L4816" i="1"/>
  <c r="M4816" i="1"/>
  <c r="V4816" i="1"/>
  <c r="W4816" i="1"/>
  <c r="A4821" i="1"/>
  <c r="D4821" i="1"/>
  <c r="F4821" i="1"/>
  <c r="H4821" i="1"/>
  <c r="I4821" i="1"/>
  <c r="L4821" i="1"/>
  <c r="M4821" i="1"/>
  <c r="V4821" i="1"/>
  <c r="W4821" i="1"/>
  <c r="A4782" i="1"/>
  <c r="D4782" i="1"/>
  <c r="F4782" i="1"/>
  <c r="H4782" i="1"/>
  <c r="I4782" i="1"/>
  <c r="L4782" i="1"/>
  <c r="M4782" i="1"/>
  <c r="V4782" i="1"/>
  <c r="W4782" i="1"/>
  <c r="A4935" i="1"/>
  <c r="D4935" i="1"/>
  <c r="F4935" i="1"/>
  <c r="H4935" i="1"/>
  <c r="I4935" i="1"/>
  <c r="L4935" i="1"/>
  <c r="M4935" i="1"/>
  <c r="V4935" i="1"/>
  <c r="W4935" i="1"/>
  <c r="A4974" i="1"/>
  <c r="D4974" i="1"/>
  <c r="F4974" i="1"/>
  <c r="H4974" i="1"/>
  <c r="I4974" i="1"/>
  <c r="L4974" i="1"/>
  <c r="M4974" i="1"/>
  <c r="V4974" i="1"/>
  <c r="W4974" i="1"/>
  <c r="A4980" i="1"/>
  <c r="D4980" i="1"/>
  <c r="F4980" i="1"/>
  <c r="H4980" i="1"/>
  <c r="I4980" i="1"/>
  <c r="L4980" i="1"/>
  <c r="M4980" i="1"/>
  <c r="V4980" i="1"/>
  <c r="W4980" i="1"/>
  <c r="A5083" i="1"/>
  <c r="D5083" i="1"/>
  <c r="F5083" i="1"/>
  <c r="H5083" i="1"/>
  <c r="I5083" i="1"/>
  <c r="L5083" i="1"/>
  <c r="M5083" i="1"/>
  <c r="V5083" i="1"/>
  <c r="W5083" i="1"/>
  <c r="A5130" i="1"/>
  <c r="D5130" i="1"/>
  <c r="F5130" i="1"/>
  <c r="H5130" i="1"/>
  <c r="I5130" i="1"/>
  <c r="L5130" i="1"/>
  <c r="M5130" i="1"/>
  <c r="V5130" i="1"/>
  <c r="W5130" i="1"/>
  <c r="A5137" i="1"/>
  <c r="D5137" i="1"/>
  <c r="F5137" i="1"/>
  <c r="H5137" i="1"/>
  <c r="I5137" i="1"/>
  <c r="L5137" i="1"/>
  <c r="M5137" i="1"/>
  <c r="V5137" i="1"/>
  <c r="W5137" i="1"/>
  <c r="A5173" i="1"/>
  <c r="D5173" i="1"/>
  <c r="F5173" i="1"/>
  <c r="H5173" i="1"/>
  <c r="I5173" i="1"/>
  <c r="L5173" i="1"/>
  <c r="M5173" i="1"/>
  <c r="V5173" i="1"/>
  <c r="W5173" i="1"/>
  <c r="A5146" i="1"/>
  <c r="D5146" i="1"/>
  <c r="F5146" i="1"/>
  <c r="H5146" i="1"/>
  <c r="I5146" i="1"/>
  <c r="L5146" i="1"/>
  <c r="M5146" i="1"/>
  <c r="V5146" i="1"/>
  <c r="W5146" i="1"/>
  <c r="A5319" i="1"/>
  <c r="D5319" i="1"/>
  <c r="F5319" i="1"/>
  <c r="H5319" i="1"/>
  <c r="I5319" i="1"/>
  <c r="L5319" i="1"/>
  <c r="M5319" i="1"/>
  <c r="V5319" i="1"/>
  <c r="W5319" i="1"/>
  <c r="A5328" i="1"/>
  <c r="D5328" i="1"/>
  <c r="F5328" i="1"/>
  <c r="H5328" i="1"/>
  <c r="I5328" i="1"/>
  <c r="L5328" i="1"/>
  <c r="M5328" i="1"/>
  <c r="V5328" i="1"/>
  <c r="W5328" i="1"/>
  <c r="A5461" i="1"/>
  <c r="D5461" i="1"/>
  <c r="F5461" i="1"/>
  <c r="H5461" i="1"/>
  <c r="I5461" i="1"/>
  <c r="L5461" i="1"/>
  <c r="M5461" i="1"/>
  <c r="V5461" i="1"/>
  <c r="W5461" i="1"/>
  <c r="A5558" i="1"/>
  <c r="D5558" i="1"/>
  <c r="F5558" i="1"/>
  <c r="H5558" i="1"/>
  <c r="I5558" i="1"/>
  <c r="L5558" i="1"/>
  <c r="M5558" i="1"/>
  <c r="V5558" i="1"/>
  <c r="W5558" i="1"/>
  <c r="A5824" i="1"/>
  <c r="D5824" i="1"/>
  <c r="F5824" i="1"/>
  <c r="H5824" i="1"/>
  <c r="I5824" i="1"/>
  <c r="L5824" i="1"/>
  <c r="M5824" i="1"/>
  <c r="V5824" i="1"/>
  <c r="W5824" i="1"/>
  <c r="A5837" i="1"/>
  <c r="D5837" i="1"/>
  <c r="F5837" i="1"/>
  <c r="H5837" i="1"/>
  <c r="I5837" i="1"/>
  <c r="L5837" i="1"/>
  <c r="M5837" i="1"/>
  <c r="V5837" i="1"/>
  <c r="W5837" i="1"/>
  <c r="A5916" i="1"/>
  <c r="D5916" i="1"/>
  <c r="F5916" i="1"/>
  <c r="H5916" i="1"/>
  <c r="I5916" i="1"/>
  <c r="L5916" i="1"/>
  <c r="M5916" i="1"/>
  <c r="V5916" i="1"/>
  <c r="W5916" i="1"/>
  <c r="A5928" i="1"/>
  <c r="D5928" i="1"/>
  <c r="F5928" i="1"/>
  <c r="H5928" i="1"/>
  <c r="I5928" i="1"/>
  <c r="L5928" i="1"/>
  <c r="M5928" i="1"/>
  <c r="V5928" i="1"/>
  <c r="W5928" i="1"/>
  <c r="A6152" i="1"/>
  <c r="D6152" i="1"/>
  <c r="F6152" i="1"/>
  <c r="H6152" i="1"/>
  <c r="I6152" i="1"/>
  <c r="L6152" i="1"/>
  <c r="M6152" i="1"/>
  <c r="V6152" i="1"/>
  <c r="W6152" i="1"/>
  <c r="A6198" i="1"/>
  <c r="D6198" i="1"/>
  <c r="F6198" i="1"/>
  <c r="H6198" i="1"/>
  <c r="I6198" i="1"/>
  <c r="L6198" i="1"/>
  <c r="M6198" i="1"/>
  <c r="V6198" i="1"/>
  <c r="W6198" i="1"/>
  <c r="A1729" i="1"/>
  <c r="D1729" i="1"/>
  <c r="F1729" i="1"/>
  <c r="H1729" i="1"/>
  <c r="I1729" i="1"/>
  <c r="L1729" i="1"/>
  <c r="M1729" i="1"/>
  <c r="V1729" i="1"/>
  <c r="W1729" i="1"/>
  <c r="A3615" i="1"/>
  <c r="D3615" i="1"/>
  <c r="F3615" i="1"/>
  <c r="H3615" i="1"/>
  <c r="I3615" i="1"/>
  <c r="L3615" i="1"/>
  <c r="M3615" i="1"/>
  <c r="V3615" i="1"/>
  <c r="W3615" i="1"/>
  <c r="A5794" i="1"/>
  <c r="D5794" i="1"/>
  <c r="F5794" i="1"/>
  <c r="H5794" i="1"/>
  <c r="I5794" i="1"/>
  <c r="L5794" i="1"/>
  <c r="M5794" i="1"/>
  <c r="V5794" i="1"/>
  <c r="W5794" i="1"/>
  <c r="A1340" i="1"/>
  <c r="D1340" i="1"/>
  <c r="F1340" i="1"/>
  <c r="H1340" i="1"/>
  <c r="I1340" i="1"/>
  <c r="L1340" i="1"/>
  <c r="M1340" i="1"/>
  <c r="V1340" i="1"/>
  <c r="W1340" i="1"/>
  <c r="A2604" i="1"/>
  <c r="D2604" i="1"/>
  <c r="F2604" i="1"/>
  <c r="H2604" i="1"/>
  <c r="I2604" i="1"/>
  <c r="L2604" i="1"/>
  <c r="M2604" i="1"/>
  <c r="V2604" i="1"/>
  <c r="W2604" i="1"/>
  <c r="A2634" i="1"/>
  <c r="D2634" i="1"/>
  <c r="F2634" i="1"/>
  <c r="H2634" i="1"/>
  <c r="I2634" i="1"/>
  <c r="L2634" i="1"/>
  <c r="M2634" i="1"/>
  <c r="V2634" i="1"/>
  <c r="W2634" i="1"/>
  <c r="A6061" i="1"/>
  <c r="D6061" i="1"/>
  <c r="F6061" i="1"/>
  <c r="H6061" i="1"/>
  <c r="I6061" i="1"/>
  <c r="L6061" i="1"/>
  <c r="M6061" i="1"/>
  <c r="V6061" i="1"/>
  <c r="W6061" i="1"/>
  <c r="A4085" i="1"/>
  <c r="D4085" i="1"/>
  <c r="F4085" i="1"/>
  <c r="H4085" i="1"/>
  <c r="I4085" i="1"/>
  <c r="L4085" i="1"/>
  <c r="M4085" i="1"/>
  <c r="V4085" i="1"/>
  <c r="W4085" i="1"/>
  <c r="A4840" i="1"/>
  <c r="D4840" i="1"/>
  <c r="F4840" i="1"/>
  <c r="H4840" i="1"/>
  <c r="I4840" i="1"/>
  <c r="L4840" i="1"/>
  <c r="M4840" i="1"/>
  <c r="V4840" i="1"/>
  <c r="W4840" i="1"/>
  <c r="A4708" i="1"/>
  <c r="D4708" i="1"/>
  <c r="F4708" i="1"/>
  <c r="H4708" i="1"/>
  <c r="I4708" i="1"/>
  <c r="L4708" i="1"/>
  <c r="M4708" i="1"/>
  <c r="V4708" i="1"/>
  <c r="W4708" i="1"/>
  <c r="A1503" i="1"/>
  <c r="D1503" i="1"/>
  <c r="F1503" i="1"/>
  <c r="H1503" i="1"/>
  <c r="I1503" i="1"/>
  <c r="L1503" i="1"/>
  <c r="M1503" i="1"/>
  <c r="V1503" i="1"/>
  <c r="W1503" i="1"/>
  <c r="A353" i="1"/>
  <c r="D353" i="1"/>
  <c r="F353" i="1"/>
  <c r="H353" i="1"/>
  <c r="I353" i="1"/>
  <c r="L353" i="1"/>
  <c r="M353" i="1"/>
  <c r="V353" i="1"/>
  <c r="W353" i="1"/>
  <c r="A3946" i="1"/>
  <c r="D3946" i="1"/>
  <c r="F3946" i="1"/>
  <c r="H3946" i="1"/>
  <c r="I3946" i="1"/>
  <c r="L3946" i="1"/>
  <c r="M3946" i="1"/>
  <c r="V3946" i="1"/>
  <c r="W3946" i="1"/>
  <c r="A5338" i="1"/>
  <c r="D5338" i="1"/>
  <c r="F5338" i="1"/>
  <c r="H5338" i="1"/>
  <c r="I5338" i="1"/>
  <c r="L5338" i="1"/>
  <c r="M5338" i="1"/>
  <c r="V5338" i="1"/>
  <c r="W5338" i="1"/>
  <c r="A5393" i="1"/>
  <c r="D5393" i="1"/>
  <c r="F5393" i="1"/>
  <c r="H5393" i="1"/>
  <c r="I5393" i="1"/>
  <c r="L5393" i="1"/>
  <c r="M5393" i="1"/>
  <c r="V5393" i="1"/>
  <c r="W5393" i="1"/>
  <c r="A5406" i="1"/>
  <c r="D5406" i="1"/>
  <c r="F5406" i="1"/>
  <c r="H5406" i="1"/>
  <c r="I5406" i="1"/>
  <c r="L5406" i="1"/>
  <c r="M5406" i="1"/>
  <c r="V5406" i="1"/>
  <c r="W5406" i="1"/>
  <c r="A1119" i="1"/>
  <c r="D1119" i="1"/>
  <c r="F1119" i="1"/>
  <c r="H1119" i="1"/>
  <c r="I1119" i="1"/>
  <c r="L1119" i="1"/>
  <c r="M1119" i="1"/>
  <c r="V1119" i="1"/>
  <c r="W1119" i="1"/>
  <c r="A1769" i="1"/>
  <c r="D1769" i="1"/>
  <c r="F1769" i="1"/>
  <c r="H1769" i="1"/>
  <c r="I1769" i="1"/>
  <c r="L1769" i="1"/>
  <c r="M1769" i="1"/>
  <c r="V1769" i="1"/>
  <c r="W1769" i="1"/>
  <c r="A4239" i="1"/>
  <c r="D4239" i="1"/>
  <c r="F4239" i="1"/>
  <c r="H4239" i="1"/>
  <c r="I4239" i="1"/>
  <c r="L4239" i="1"/>
  <c r="M4239" i="1"/>
  <c r="V4239" i="1"/>
  <c r="W4239" i="1"/>
  <c r="A3061" i="1"/>
  <c r="D3061" i="1"/>
  <c r="F3061" i="1"/>
  <c r="H3061" i="1"/>
  <c r="I3061" i="1"/>
  <c r="L3061" i="1"/>
  <c r="M3061" i="1"/>
  <c r="V3061" i="1"/>
  <c r="W3061" i="1"/>
  <c r="A6126" i="1"/>
  <c r="D6126" i="1"/>
  <c r="F6126" i="1"/>
  <c r="H6126" i="1"/>
  <c r="I6126" i="1"/>
  <c r="L6126" i="1"/>
  <c r="M6126" i="1"/>
  <c r="V6126" i="1"/>
  <c r="W6126" i="1"/>
  <c r="A1083" i="1"/>
  <c r="D1083" i="1"/>
  <c r="F1083" i="1"/>
  <c r="H1083" i="1"/>
  <c r="I1083" i="1"/>
  <c r="L1083" i="1"/>
  <c r="M1083" i="1"/>
  <c r="V1083" i="1"/>
  <c r="W1083" i="1"/>
  <c r="A1565" i="1"/>
  <c r="D1565" i="1"/>
  <c r="F1565" i="1"/>
  <c r="H1565" i="1"/>
  <c r="I1565" i="1"/>
  <c r="L1565" i="1"/>
  <c r="M1565" i="1"/>
  <c r="V1565" i="1"/>
  <c r="W1565" i="1"/>
  <c r="A69" i="1"/>
  <c r="D69" i="1"/>
  <c r="F69" i="1"/>
  <c r="H69" i="1"/>
  <c r="I69" i="1"/>
  <c r="L69" i="1"/>
  <c r="M69" i="1"/>
  <c r="V69" i="1"/>
  <c r="W69" i="1"/>
  <c r="A4151" i="1"/>
  <c r="D4151" i="1"/>
  <c r="F4151" i="1"/>
  <c r="H4151" i="1"/>
  <c r="I4151" i="1"/>
  <c r="L4151" i="1"/>
  <c r="M4151" i="1"/>
  <c r="V4151" i="1"/>
  <c r="W4151" i="1"/>
  <c r="A2876" i="1"/>
  <c r="D2876" i="1"/>
  <c r="F2876" i="1"/>
  <c r="H2876" i="1"/>
  <c r="I2876" i="1"/>
  <c r="L2876" i="1"/>
  <c r="M2876" i="1"/>
  <c r="V2876" i="1"/>
  <c r="W2876" i="1"/>
  <c r="A808" i="1"/>
  <c r="D808" i="1"/>
  <c r="F808" i="1"/>
  <c r="H808" i="1"/>
  <c r="I808" i="1"/>
  <c r="L808" i="1"/>
  <c r="M808" i="1"/>
  <c r="V808" i="1"/>
  <c r="W808" i="1"/>
  <c r="A4272" i="1"/>
  <c r="D4272" i="1"/>
  <c r="F4272" i="1"/>
  <c r="H4272" i="1"/>
  <c r="I4272" i="1"/>
  <c r="L4272" i="1"/>
  <c r="M4272" i="1"/>
  <c r="V4272" i="1"/>
  <c r="W4272" i="1"/>
  <c r="A2513" i="1"/>
  <c r="D2513" i="1"/>
  <c r="F2513" i="1"/>
  <c r="H2513" i="1"/>
  <c r="I2513" i="1"/>
  <c r="L2513" i="1"/>
  <c r="M2513" i="1"/>
  <c r="V2513" i="1"/>
  <c r="W2513" i="1"/>
  <c r="A4526" i="1"/>
  <c r="D4526" i="1"/>
  <c r="F4526" i="1"/>
  <c r="H4526" i="1"/>
  <c r="I4526" i="1"/>
  <c r="L4526" i="1"/>
  <c r="M4526" i="1"/>
  <c r="V4526" i="1"/>
  <c r="W4526" i="1"/>
  <c r="A6116" i="1"/>
  <c r="D6116" i="1"/>
  <c r="F6116" i="1"/>
  <c r="H6116" i="1"/>
  <c r="I6116" i="1"/>
  <c r="L6116" i="1"/>
  <c r="M6116" i="1"/>
  <c r="V6116" i="1"/>
  <c r="W6116" i="1"/>
  <c r="A4599" i="1"/>
  <c r="D4599" i="1"/>
  <c r="F4599" i="1"/>
  <c r="H4599" i="1"/>
  <c r="I4599" i="1"/>
  <c r="L4599" i="1"/>
  <c r="M4599" i="1"/>
  <c r="V4599" i="1"/>
  <c r="W4599" i="1"/>
  <c r="A4687" i="1"/>
  <c r="D4687" i="1"/>
  <c r="F4687" i="1"/>
  <c r="H4687" i="1"/>
  <c r="I4687" i="1"/>
  <c r="L4687" i="1"/>
  <c r="M4687" i="1"/>
  <c r="V4687" i="1"/>
  <c r="W4687" i="1"/>
  <c r="A3095" i="1"/>
  <c r="D3095" i="1"/>
  <c r="F3095" i="1"/>
  <c r="H3095" i="1"/>
  <c r="I3095" i="1"/>
  <c r="L3095" i="1"/>
  <c r="M3095" i="1"/>
  <c r="V3095" i="1"/>
  <c r="W3095" i="1"/>
  <c r="A3142" i="1"/>
  <c r="D3142" i="1"/>
  <c r="F3142" i="1"/>
  <c r="H3142" i="1"/>
  <c r="I3142" i="1"/>
  <c r="L3142" i="1"/>
  <c r="M3142" i="1"/>
  <c r="V3142" i="1"/>
  <c r="W3142" i="1"/>
  <c r="A2843" i="1"/>
  <c r="D2843" i="1"/>
  <c r="F2843" i="1"/>
  <c r="H2843" i="1"/>
  <c r="I2843" i="1"/>
  <c r="L2843" i="1"/>
  <c r="M2843" i="1"/>
  <c r="V2843" i="1"/>
  <c r="W2843" i="1"/>
  <c r="A3375" i="1"/>
  <c r="D3375" i="1"/>
  <c r="F3375" i="1"/>
  <c r="H3375" i="1"/>
  <c r="I3375" i="1"/>
  <c r="L3375" i="1"/>
  <c r="M3375" i="1"/>
  <c r="V3375" i="1"/>
  <c r="W3375" i="1"/>
  <c r="A1556" i="1"/>
  <c r="D1556" i="1"/>
  <c r="F1556" i="1"/>
  <c r="H1556" i="1"/>
  <c r="I1556" i="1"/>
  <c r="L1556" i="1"/>
  <c r="M1556" i="1"/>
  <c r="V1556" i="1"/>
  <c r="W1556" i="1"/>
  <c r="A1575" i="1"/>
  <c r="D1575" i="1"/>
  <c r="F1575" i="1"/>
  <c r="H1575" i="1"/>
  <c r="I1575" i="1"/>
  <c r="L1575" i="1"/>
  <c r="M1575" i="1"/>
  <c r="V1575" i="1"/>
  <c r="W1575" i="1"/>
  <c r="A2235" i="1"/>
  <c r="D2235" i="1"/>
  <c r="F2235" i="1"/>
  <c r="H2235" i="1"/>
  <c r="I2235" i="1"/>
  <c r="L2235" i="1"/>
  <c r="M2235" i="1"/>
  <c r="V2235" i="1"/>
  <c r="W2235" i="1"/>
  <c r="A2935" i="1"/>
  <c r="D2935" i="1"/>
  <c r="F2935" i="1"/>
  <c r="H2935" i="1"/>
  <c r="I2935" i="1"/>
  <c r="L2935" i="1"/>
  <c r="M2935" i="1"/>
  <c r="V2935" i="1"/>
  <c r="W2935" i="1"/>
  <c r="A3856" i="1"/>
  <c r="D3856" i="1"/>
  <c r="F3856" i="1"/>
  <c r="H3856" i="1"/>
  <c r="I3856" i="1"/>
  <c r="L3856" i="1"/>
  <c r="M3856" i="1"/>
  <c r="V3856" i="1"/>
  <c r="W3856" i="1"/>
  <c r="A1046" i="1"/>
  <c r="D1046" i="1"/>
  <c r="F1046" i="1"/>
  <c r="H1046" i="1"/>
  <c r="I1046" i="1"/>
  <c r="L1046" i="1"/>
  <c r="M1046" i="1"/>
  <c r="V1046" i="1"/>
  <c r="W1046" i="1"/>
  <c r="A710" i="1"/>
  <c r="D710" i="1"/>
  <c r="F710" i="1"/>
  <c r="H710" i="1"/>
  <c r="I710" i="1"/>
  <c r="L710" i="1"/>
  <c r="M710" i="1"/>
  <c r="V710" i="1"/>
  <c r="W710" i="1"/>
  <c r="A1929" i="1"/>
  <c r="D1929" i="1"/>
  <c r="F1929" i="1"/>
  <c r="H1929" i="1"/>
  <c r="I1929" i="1"/>
  <c r="L1929" i="1"/>
  <c r="M1929" i="1"/>
  <c r="V1929" i="1"/>
  <c r="W1929" i="1"/>
  <c r="A5485" i="1"/>
  <c r="D5485" i="1"/>
  <c r="F5485" i="1"/>
  <c r="H5485" i="1"/>
  <c r="I5485" i="1"/>
  <c r="L5485" i="1"/>
  <c r="M5485" i="1"/>
  <c r="V5485" i="1"/>
  <c r="W5485" i="1"/>
  <c r="A5605" i="1"/>
  <c r="D5605" i="1"/>
  <c r="F5605" i="1"/>
  <c r="H5605" i="1"/>
  <c r="I5605" i="1"/>
  <c r="L5605" i="1"/>
  <c r="M5605" i="1"/>
  <c r="V5605" i="1"/>
  <c r="W5605" i="1"/>
  <c r="A5377" i="1"/>
  <c r="D5377" i="1"/>
  <c r="F5377" i="1"/>
  <c r="H5377" i="1"/>
  <c r="I5377" i="1"/>
  <c r="L5377" i="1"/>
  <c r="M5377" i="1"/>
  <c r="V5377" i="1"/>
  <c r="W5377" i="1"/>
  <c r="A818" i="1"/>
  <c r="D818" i="1"/>
  <c r="F818" i="1"/>
  <c r="H818" i="1"/>
  <c r="I818" i="1"/>
  <c r="L818" i="1"/>
  <c r="M818" i="1"/>
  <c r="V818" i="1"/>
  <c r="W818" i="1"/>
  <c r="A4312" i="1"/>
  <c r="D4312" i="1"/>
  <c r="F4312" i="1"/>
  <c r="H4312" i="1"/>
  <c r="I4312" i="1"/>
  <c r="L4312" i="1"/>
  <c r="M4312" i="1"/>
  <c r="V4312" i="1"/>
  <c r="W4312" i="1"/>
  <c r="A1861" i="1"/>
  <c r="D1861" i="1"/>
  <c r="F1861" i="1"/>
  <c r="H1861" i="1"/>
  <c r="I1861" i="1"/>
  <c r="L1861" i="1"/>
  <c r="M1861" i="1"/>
  <c r="V1861" i="1"/>
  <c r="W1861" i="1"/>
  <c r="A2455" i="1"/>
  <c r="D2455" i="1"/>
  <c r="F2455" i="1"/>
  <c r="H2455" i="1"/>
  <c r="I2455" i="1"/>
  <c r="L2455" i="1"/>
  <c r="M2455" i="1"/>
  <c r="V2455" i="1"/>
  <c r="W2455" i="1"/>
  <c r="A2126" i="1"/>
  <c r="D2126" i="1"/>
  <c r="F2126" i="1"/>
  <c r="H2126" i="1"/>
  <c r="I2126" i="1"/>
  <c r="L2126" i="1"/>
  <c r="M2126" i="1"/>
  <c r="V2126" i="1"/>
  <c r="W2126" i="1"/>
  <c r="A5533" i="1"/>
  <c r="D5533" i="1"/>
  <c r="F5533" i="1"/>
  <c r="H5533" i="1"/>
  <c r="I5533" i="1"/>
  <c r="L5533" i="1"/>
  <c r="M5533" i="1"/>
  <c r="V5533" i="1"/>
  <c r="W5533" i="1"/>
  <c r="A5939" i="1"/>
  <c r="D5939" i="1"/>
  <c r="F5939" i="1"/>
  <c r="H5939" i="1"/>
  <c r="I5939" i="1"/>
  <c r="L5939" i="1"/>
  <c r="M5939" i="1"/>
  <c r="V5939" i="1"/>
  <c r="W5939" i="1"/>
  <c r="A4898" i="1"/>
  <c r="D4898" i="1"/>
  <c r="F4898" i="1"/>
  <c r="H4898" i="1"/>
  <c r="I4898" i="1"/>
  <c r="L4898" i="1"/>
  <c r="M4898" i="1"/>
  <c r="V4898" i="1"/>
  <c r="W4898" i="1"/>
  <c r="A3801" i="1"/>
  <c r="D3801" i="1"/>
  <c r="F3801" i="1"/>
  <c r="H3801" i="1"/>
  <c r="I3801" i="1"/>
  <c r="L3801" i="1"/>
  <c r="M3801" i="1"/>
  <c r="V3801" i="1"/>
  <c r="W3801" i="1"/>
  <c r="A1396" i="1"/>
  <c r="D1396" i="1"/>
  <c r="F1396" i="1"/>
  <c r="H1396" i="1"/>
  <c r="I1396" i="1"/>
  <c r="L1396" i="1"/>
  <c r="M1396" i="1"/>
  <c r="V1396" i="1"/>
  <c r="W1396" i="1"/>
  <c r="A3571" i="1"/>
  <c r="D3571" i="1"/>
  <c r="F3571" i="1"/>
  <c r="H3571" i="1"/>
  <c r="I3571" i="1"/>
  <c r="L3571" i="1"/>
  <c r="M3571" i="1"/>
  <c r="V3571" i="1"/>
  <c r="W3571" i="1"/>
  <c r="A3663" i="1"/>
  <c r="D3663" i="1"/>
  <c r="F3663" i="1"/>
  <c r="H3663" i="1"/>
  <c r="I3663" i="1"/>
  <c r="L3663" i="1"/>
  <c r="M3663" i="1"/>
  <c r="V3663" i="1"/>
  <c r="W3663" i="1"/>
  <c r="A4314" i="1"/>
  <c r="D4314" i="1"/>
  <c r="F4314" i="1"/>
  <c r="H4314" i="1"/>
  <c r="I4314" i="1"/>
  <c r="L4314" i="1"/>
  <c r="M4314" i="1"/>
  <c r="V4314" i="1"/>
  <c r="W4314" i="1"/>
  <c r="A1926" i="1"/>
  <c r="D1926" i="1"/>
  <c r="F1926" i="1"/>
  <c r="H1926" i="1"/>
  <c r="I1926" i="1"/>
  <c r="L1926" i="1"/>
  <c r="M1926" i="1"/>
  <c r="V1926" i="1"/>
  <c r="W1926" i="1"/>
  <c r="A2641" i="1"/>
  <c r="D2641" i="1"/>
  <c r="F2641" i="1"/>
  <c r="H2641" i="1"/>
  <c r="I2641" i="1"/>
  <c r="L2641" i="1"/>
  <c r="M2641" i="1"/>
  <c r="V2641" i="1"/>
  <c r="W2641" i="1"/>
  <c r="A1585" i="1"/>
  <c r="D1585" i="1"/>
  <c r="F1585" i="1"/>
  <c r="H1585" i="1"/>
  <c r="I1585" i="1"/>
  <c r="L1585" i="1"/>
  <c r="M1585" i="1"/>
  <c r="V1585" i="1"/>
  <c r="W1585" i="1"/>
  <c r="A4500" i="1"/>
  <c r="D4500" i="1"/>
  <c r="F4500" i="1"/>
  <c r="H4500" i="1"/>
  <c r="I4500" i="1"/>
  <c r="L4500" i="1"/>
  <c r="M4500" i="1"/>
  <c r="V4500" i="1"/>
  <c r="W4500" i="1"/>
  <c r="A1161" i="1"/>
  <c r="D1161" i="1"/>
  <c r="F1161" i="1"/>
  <c r="H1161" i="1"/>
  <c r="I1161" i="1"/>
  <c r="L1161" i="1"/>
  <c r="M1161" i="1"/>
  <c r="V1161" i="1"/>
  <c r="W1161" i="1"/>
  <c r="A3361" i="1"/>
  <c r="D3361" i="1"/>
  <c r="F3361" i="1"/>
  <c r="H3361" i="1"/>
  <c r="I3361" i="1"/>
  <c r="L3361" i="1"/>
  <c r="M3361" i="1"/>
  <c r="V3361" i="1"/>
  <c r="W3361" i="1"/>
  <c r="A4281" i="1"/>
  <c r="D4281" i="1"/>
  <c r="F4281" i="1"/>
  <c r="H4281" i="1"/>
  <c r="I4281" i="1"/>
  <c r="L4281" i="1"/>
  <c r="M4281" i="1"/>
  <c r="V4281" i="1"/>
  <c r="W4281" i="1"/>
  <c r="A1804" i="1"/>
  <c r="D1804" i="1"/>
  <c r="F1804" i="1"/>
  <c r="H1804" i="1"/>
  <c r="I1804" i="1"/>
  <c r="L1804" i="1"/>
  <c r="M1804" i="1"/>
  <c r="V1804" i="1"/>
  <c r="W1804" i="1"/>
  <c r="A3950" i="1"/>
  <c r="D3950" i="1"/>
  <c r="F3950" i="1"/>
  <c r="H3950" i="1"/>
  <c r="I3950" i="1"/>
  <c r="L3950" i="1"/>
  <c r="M3950" i="1"/>
  <c r="V3950" i="1"/>
  <c r="W3950" i="1"/>
  <c r="A4157" i="1"/>
  <c r="D4157" i="1"/>
  <c r="F4157" i="1"/>
  <c r="H4157" i="1"/>
  <c r="I4157" i="1"/>
  <c r="L4157" i="1"/>
  <c r="M4157" i="1"/>
  <c r="V4157" i="1"/>
  <c r="W4157" i="1"/>
  <c r="A870" i="1"/>
  <c r="D870" i="1"/>
  <c r="F870" i="1"/>
  <c r="H870" i="1"/>
  <c r="I870" i="1"/>
  <c r="L870" i="1"/>
  <c r="M870" i="1"/>
  <c r="V870" i="1"/>
  <c r="W870" i="1"/>
  <c r="A1068" i="1"/>
  <c r="D1068" i="1"/>
  <c r="F1068" i="1"/>
  <c r="H1068" i="1"/>
  <c r="I1068" i="1"/>
  <c r="L1068" i="1"/>
  <c r="M1068" i="1"/>
  <c r="V1068" i="1"/>
  <c r="W1068" i="1"/>
  <c r="A1868" i="1"/>
  <c r="D1868" i="1"/>
  <c r="F1868" i="1"/>
  <c r="H1868" i="1"/>
  <c r="I1868" i="1"/>
  <c r="L1868" i="1"/>
  <c r="M1868" i="1"/>
  <c r="V1868" i="1"/>
  <c r="W1868" i="1"/>
  <c r="A3846" i="1"/>
  <c r="D3846" i="1"/>
  <c r="F3846" i="1"/>
  <c r="H3846" i="1"/>
  <c r="I3846" i="1"/>
  <c r="L3846" i="1"/>
  <c r="M3846" i="1"/>
  <c r="V3846" i="1"/>
  <c r="W3846" i="1"/>
  <c r="A3464" i="1"/>
  <c r="D3464" i="1"/>
  <c r="F3464" i="1"/>
  <c r="H3464" i="1"/>
  <c r="I3464" i="1"/>
  <c r="L3464" i="1"/>
  <c r="M3464" i="1"/>
  <c r="V3464" i="1"/>
  <c r="W3464" i="1"/>
  <c r="A3333" i="1"/>
  <c r="D3333" i="1"/>
  <c r="F3333" i="1"/>
  <c r="H3333" i="1"/>
  <c r="I3333" i="1"/>
  <c r="L3333" i="1"/>
  <c r="M3333" i="1"/>
  <c r="V3333" i="1"/>
  <c r="W3333" i="1"/>
  <c r="A3340" i="1"/>
  <c r="D3340" i="1"/>
  <c r="F3340" i="1"/>
  <c r="H3340" i="1"/>
  <c r="I3340" i="1"/>
  <c r="L3340" i="1"/>
  <c r="M3340" i="1"/>
  <c r="V3340" i="1"/>
  <c r="W3340" i="1"/>
  <c r="A5540" i="1"/>
  <c r="D5540" i="1"/>
  <c r="F5540" i="1"/>
  <c r="H5540" i="1"/>
  <c r="I5540" i="1"/>
  <c r="L5540" i="1"/>
  <c r="M5540" i="1"/>
  <c r="V5540" i="1"/>
  <c r="W5540" i="1"/>
  <c r="A5502" i="1"/>
  <c r="D5502" i="1"/>
  <c r="F5502" i="1"/>
  <c r="H5502" i="1"/>
  <c r="I5502" i="1"/>
  <c r="L5502" i="1"/>
  <c r="M5502" i="1"/>
  <c r="V5502" i="1"/>
  <c r="W5502" i="1"/>
  <c r="A2434" i="1"/>
  <c r="D2434" i="1"/>
  <c r="F2434" i="1"/>
  <c r="H2434" i="1"/>
  <c r="I2434" i="1"/>
  <c r="L2434" i="1"/>
  <c r="M2434" i="1"/>
  <c r="V2434" i="1"/>
  <c r="W2434" i="1"/>
  <c r="A4266" i="1"/>
  <c r="D4266" i="1"/>
  <c r="F4266" i="1"/>
  <c r="H4266" i="1"/>
  <c r="I4266" i="1"/>
  <c r="L4266" i="1"/>
  <c r="M4266" i="1"/>
  <c r="V4266" i="1"/>
  <c r="W4266" i="1"/>
  <c r="A2772" i="1"/>
  <c r="D2772" i="1"/>
  <c r="F2772" i="1"/>
  <c r="H2772" i="1"/>
  <c r="I2772" i="1"/>
  <c r="L2772" i="1"/>
  <c r="M2772" i="1"/>
  <c r="V2772" i="1"/>
  <c r="W2772" i="1"/>
  <c r="A2928" i="1"/>
  <c r="D2928" i="1"/>
  <c r="F2928" i="1"/>
  <c r="H2928" i="1"/>
  <c r="I2928" i="1"/>
  <c r="L2928" i="1"/>
  <c r="M2928" i="1"/>
  <c r="V2928" i="1"/>
  <c r="W2928" i="1"/>
  <c r="A5116" i="1"/>
  <c r="D5116" i="1"/>
  <c r="F5116" i="1"/>
  <c r="H5116" i="1"/>
  <c r="I5116" i="1"/>
  <c r="L5116" i="1"/>
  <c r="M5116" i="1"/>
  <c r="V5116" i="1"/>
  <c r="W5116" i="1"/>
  <c r="A5138" i="1"/>
  <c r="D5138" i="1"/>
  <c r="F5138" i="1"/>
  <c r="H5138" i="1"/>
  <c r="I5138" i="1"/>
  <c r="L5138" i="1"/>
  <c r="M5138" i="1"/>
  <c r="V5138" i="1"/>
  <c r="W5138" i="1"/>
  <c r="A5676" i="1"/>
  <c r="D5676" i="1"/>
  <c r="F5676" i="1"/>
  <c r="H5676" i="1"/>
  <c r="I5676" i="1"/>
  <c r="L5676" i="1"/>
  <c r="M5676" i="1"/>
  <c r="V5676" i="1"/>
  <c r="W5676" i="1"/>
  <c r="A5617" i="1"/>
  <c r="D5617" i="1"/>
  <c r="F5617" i="1"/>
  <c r="H5617" i="1"/>
  <c r="I5617" i="1"/>
  <c r="L5617" i="1"/>
  <c r="M5617" i="1"/>
  <c r="V5617" i="1"/>
  <c r="W5617" i="1"/>
  <c r="A5953" i="1"/>
  <c r="D5953" i="1"/>
  <c r="F5953" i="1"/>
  <c r="H5953" i="1"/>
  <c r="I5953" i="1"/>
  <c r="L5953" i="1"/>
  <c r="M5953" i="1"/>
  <c r="V5953" i="1"/>
  <c r="W5953" i="1"/>
  <c r="A5488" i="1"/>
  <c r="D5488" i="1"/>
  <c r="F5488" i="1"/>
  <c r="H5488" i="1"/>
  <c r="I5488" i="1"/>
  <c r="L5488" i="1"/>
  <c r="M5488" i="1"/>
  <c r="V5488" i="1"/>
  <c r="W5488" i="1"/>
  <c r="A4855" i="1"/>
  <c r="D4855" i="1"/>
  <c r="F4855" i="1"/>
  <c r="H4855" i="1"/>
  <c r="I4855" i="1"/>
  <c r="L4855" i="1"/>
  <c r="M4855" i="1"/>
  <c r="V4855" i="1"/>
  <c r="W4855" i="1"/>
  <c r="A5222" i="1"/>
  <c r="D5222" i="1"/>
  <c r="F5222" i="1"/>
  <c r="H5222" i="1"/>
  <c r="I5222" i="1"/>
  <c r="L5222" i="1"/>
  <c r="M5222" i="1"/>
  <c r="V5222" i="1"/>
  <c r="W5222" i="1"/>
  <c r="A1533" i="1"/>
  <c r="D1533" i="1"/>
  <c r="F1533" i="1"/>
  <c r="H1533" i="1"/>
  <c r="I1533" i="1"/>
  <c r="L1533" i="1"/>
  <c r="M1533" i="1"/>
  <c r="V1533" i="1"/>
  <c r="W1533" i="1"/>
  <c r="A1856" i="1"/>
  <c r="D1856" i="1"/>
  <c r="F1856" i="1"/>
  <c r="H1856" i="1"/>
  <c r="I1856" i="1"/>
  <c r="L1856" i="1"/>
  <c r="M1856" i="1"/>
  <c r="V1856" i="1"/>
  <c r="W1856" i="1"/>
  <c r="A2197" i="1"/>
  <c r="D2197" i="1"/>
  <c r="F2197" i="1"/>
  <c r="H2197" i="1"/>
  <c r="I2197" i="1"/>
  <c r="L2197" i="1"/>
  <c r="M2197" i="1"/>
  <c r="V2197" i="1"/>
  <c r="W2197" i="1"/>
  <c r="A418" i="1"/>
  <c r="D418" i="1"/>
  <c r="F418" i="1"/>
  <c r="H418" i="1"/>
  <c r="I418" i="1"/>
  <c r="L418" i="1"/>
  <c r="M418" i="1"/>
  <c r="V418" i="1"/>
  <c r="W418" i="1"/>
  <c r="A5471" i="1"/>
  <c r="D5471" i="1"/>
  <c r="F5471" i="1"/>
  <c r="H5471" i="1"/>
  <c r="I5471" i="1"/>
  <c r="L5471" i="1"/>
  <c r="M5471" i="1"/>
  <c r="V5471" i="1"/>
  <c r="W5471" i="1"/>
  <c r="A5557" i="1"/>
  <c r="D5557" i="1"/>
  <c r="F5557" i="1"/>
  <c r="H5557" i="1"/>
  <c r="I5557" i="1"/>
  <c r="L5557" i="1"/>
  <c r="M5557" i="1"/>
  <c r="V5557" i="1"/>
  <c r="W5557" i="1"/>
  <c r="A453" i="1"/>
  <c r="D453" i="1"/>
  <c r="F453" i="1"/>
  <c r="H453" i="1"/>
  <c r="I453" i="1"/>
  <c r="L453" i="1"/>
  <c r="M453" i="1"/>
  <c r="V453" i="1"/>
  <c r="W453" i="1"/>
  <c r="A1920" i="1"/>
  <c r="D1920" i="1"/>
  <c r="F1920" i="1"/>
  <c r="H1920" i="1"/>
  <c r="I1920" i="1"/>
  <c r="L1920" i="1"/>
  <c r="M1920" i="1"/>
  <c r="V1920" i="1"/>
  <c r="W1920" i="1"/>
  <c r="A2244" i="1"/>
  <c r="D2244" i="1"/>
  <c r="F2244" i="1"/>
  <c r="H2244" i="1"/>
  <c r="I2244" i="1"/>
  <c r="L2244" i="1"/>
  <c r="M2244" i="1"/>
  <c r="V2244" i="1"/>
  <c r="W2244" i="1"/>
  <c r="A4265" i="1"/>
  <c r="D4265" i="1"/>
  <c r="F4265" i="1"/>
  <c r="H4265" i="1"/>
  <c r="I4265" i="1"/>
  <c r="L4265" i="1"/>
  <c r="M4265" i="1"/>
  <c r="V4265" i="1"/>
  <c r="W4265" i="1"/>
  <c r="A2146" i="1"/>
  <c r="D2146" i="1"/>
  <c r="F2146" i="1"/>
  <c r="H2146" i="1"/>
  <c r="I2146" i="1"/>
  <c r="L2146" i="1"/>
  <c r="M2146" i="1"/>
  <c r="V2146" i="1"/>
  <c r="W2146" i="1"/>
  <c r="A1106" i="1"/>
  <c r="D1106" i="1"/>
  <c r="F1106" i="1"/>
  <c r="H1106" i="1"/>
  <c r="I1106" i="1"/>
  <c r="L1106" i="1"/>
  <c r="M1106" i="1"/>
  <c r="V1106" i="1"/>
  <c r="W1106" i="1"/>
  <c r="A2101" i="1"/>
  <c r="D2101" i="1"/>
  <c r="F2101" i="1"/>
  <c r="H2101" i="1"/>
  <c r="I2101" i="1"/>
  <c r="L2101" i="1"/>
  <c r="M2101" i="1"/>
  <c r="V2101" i="1"/>
  <c r="W2101" i="1"/>
  <c r="A5698" i="1"/>
  <c r="D5698" i="1"/>
  <c r="F5698" i="1"/>
  <c r="H5698" i="1"/>
  <c r="I5698" i="1"/>
  <c r="L5698" i="1"/>
  <c r="M5698" i="1"/>
  <c r="V5698" i="1"/>
  <c r="W5698" i="1"/>
  <c r="A5500" i="1"/>
  <c r="D5500" i="1"/>
  <c r="F5500" i="1"/>
  <c r="H5500" i="1"/>
  <c r="I5500" i="1"/>
  <c r="L5500" i="1"/>
  <c r="M5500" i="1"/>
  <c r="V5500" i="1"/>
  <c r="W5500" i="1"/>
  <c r="A5430" i="1"/>
  <c r="D5430" i="1"/>
  <c r="F5430" i="1"/>
  <c r="H5430" i="1"/>
  <c r="I5430" i="1"/>
  <c r="L5430" i="1"/>
  <c r="M5430" i="1"/>
  <c r="V5430" i="1"/>
  <c r="W5430" i="1"/>
  <c r="A3401" i="1"/>
  <c r="D3401" i="1"/>
  <c r="F3401" i="1"/>
  <c r="H3401" i="1"/>
  <c r="I3401" i="1"/>
  <c r="L3401" i="1"/>
  <c r="M3401" i="1"/>
  <c r="V3401" i="1"/>
  <c r="W3401" i="1"/>
  <c r="A4833" i="1"/>
  <c r="D4833" i="1"/>
  <c r="F4833" i="1"/>
  <c r="H4833" i="1"/>
  <c r="I4833" i="1"/>
  <c r="L4833" i="1"/>
  <c r="M4833" i="1"/>
  <c r="V4833" i="1"/>
  <c r="W4833" i="1"/>
  <c r="A2236" i="1"/>
  <c r="D2236" i="1"/>
  <c r="F2236" i="1"/>
  <c r="H2236" i="1"/>
  <c r="I2236" i="1"/>
  <c r="L2236" i="1"/>
  <c r="M2236" i="1"/>
  <c r="V2236" i="1"/>
  <c r="W2236" i="1"/>
  <c r="A94" i="1"/>
  <c r="D94" i="1"/>
  <c r="F94" i="1"/>
  <c r="H94" i="1"/>
  <c r="I94" i="1"/>
  <c r="L94" i="1"/>
  <c r="M94" i="1"/>
  <c r="V94" i="1"/>
  <c r="W94" i="1"/>
  <c r="A2732" i="1"/>
  <c r="D2732" i="1"/>
  <c r="F2732" i="1"/>
  <c r="H2732" i="1"/>
  <c r="I2732" i="1"/>
  <c r="L2732" i="1"/>
  <c r="M2732" i="1"/>
  <c r="V2732" i="1"/>
  <c r="W2732" i="1"/>
  <c r="A4437" i="1"/>
  <c r="D4437" i="1"/>
  <c r="F4437" i="1"/>
  <c r="H4437" i="1"/>
  <c r="I4437" i="1"/>
  <c r="L4437" i="1"/>
  <c r="M4437" i="1"/>
  <c r="V4437" i="1"/>
  <c r="W4437" i="1"/>
  <c r="A4520" i="1"/>
  <c r="D4520" i="1"/>
  <c r="F4520" i="1"/>
  <c r="H4520" i="1"/>
  <c r="I4520" i="1"/>
  <c r="L4520" i="1"/>
  <c r="M4520" i="1"/>
  <c r="V4520" i="1"/>
  <c r="W4520" i="1"/>
  <c r="A2921" i="1"/>
  <c r="D2921" i="1"/>
  <c r="F2921" i="1"/>
  <c r="H2921" i="1"/>
  <c r="I2921" i="1"/>
  <c r="L2921" i="1"/>
  <c r="M2921" i="1"/>
  <c r="V2921" i="1"/>
  <c r="W2921" i="1"/>
  <c r="A5159" i="1"/>
  <c r="D5159" i="1"/>
  <c r="F5159" i="1"/>
  <c r="H5159" i="1"/>
  <c r="I5159" i="1"/>
  <c r="L5159" i="1"/>
  <c r="M5159" i="1"/>
  <c r="V5159" i="1"/>
  <c r="W5159" i="1"/>
  <c r="A316" i="1"/>
  <c r="D316" i="1"/>
  <c r="F316" i="1"/>
  <c r="H316" i="1"/>
  <c r="I316" i="1"/>
  <c r="L316" i="1"/>
  <c r="M316" i="1"/>
  <c r="V316" i="1"/>
  <c r="W316" i="1"/>
  <c r="A5194" i="1"/>
  <c r="D5194" i="1"/>
  <c r="F5194" i="1"/>
  <c r="H5194" i="1"/>
  <c r="I5194" i="1"/>
  <c r="L5194" i="1"/>
  <c r="M5194" i="1"/>
  <c r="V5194" i="1"/>
  <c r="W5194" i="1"/>
  <c r="A3415" i="1"/>
  <c r="D3415" i="1"/>
  <c r="F3415" i="1"/>
  <c r="H3415" i="1"/>
  <c r="I3415" i="1"/>
  <c r="L3415" i="1"/>
  <c r="M3415" i="1"/>
  <c r="V3415" i="1"/>
  <c r="W3415" i="1"/>
  <c r="A3778" i="1"/>
  <c r="D3778" i="1"/>
  <c r="F3778" i="1"/>
  <c r="H3778" i="1"/>
  <c r="I3778" i="1"/>
  <c r="L3778" i="1"/>
  <c r="M3778" i="1"/>
  <c r="V3778" i="1"/>
  <c r="W3778" i="1"/>
  <c r="A4754" i="1"/>
  <c r="D4754" i="1"/>
  <c r="F4754" i="1"/>
  <c r="H4754" i="1"/>
  <c r="I4754" i="1"/>
  <c r="L4754" i="1"/>
  <c r="M4754" i="1"/>
  <c r="V4754" i="1"/>
  <c r="W4754" i="1"/>
  <c r="A4757" i="1"/>
  <c r="D4757" i="1"/>
  <c r="F4757" i="1"/>
  <c r="H4757" i="1"/>
  <c r="I4757" i="1"/>
  <c r="L4757" i="1"/>
  <c r="M4757" i="1"/>
  <c r="V4757" i="1"/>
  <c r="W4757" i="1"/>
  <c r="A4897" i="1"/>
  <c r="D4897" i="1"/>
  <c r="F4897" i="1"/>
  <c r="H4897" i="1"/>
  <c r="I4897" i="1"/>
  <c r="L4897" i="1"/>
  <c r="M4897" i="1"/>
  <c r="V4897" i="1"/>
  <c r="W4897" i="1"/>
  <c r="A1496" i="1"/>
  <c r="D1496" i="1"/>
  <c r="F1496" i="1"/>
  <c r="H1496" i="1"/>
  <c r="I1496" i="1"/>
  <c r="L1496" i="1"/>
  <c r="M1496" i="1"/>
  <c r="V1496" i="1"/>
  <c r="W1496" i="1"/>
  <c r="A1858" i="1"/>
  <c r="D1858" i="1"/>
  <c r="F1858" i="1"/>
  <c r="H1858" i="1"/>
  <c r="I1858" i="1"/>
  <c r="L1858" i="1"/>
  <c r="M1858" i="1"/>
  <c r="V1858" i="1"/>
  <c r="W1858" i="1"/>
  <c r="A5504" i="1"/>
  <c r="D5504" i="1"/>
  <c r="F5504" i="1"/>
  <c r="H5504" i="1"/>
  <c r="I5504" i="1"/>
  <c r="L5504" i="1"/>
  <c r="M5504" i="1"/>
  <c r="V5504" i="1"/>
  <c r="W5504" i="1"/>
  <c r="A1849" i="1"/>
  <c r="D1849" i="1"/>
  <c r="F1849" i="1"/>
  <c r="H1849" i="1"/>
  <c r="I1849" i="1"/>
  <c r="L1849" i="1"/>
  <c r="M1849" i="1"/>
  <c r="V1849" i="1"/>
  <c r="W1849" i="1"/>
  <c r="A2541" i="1"/>
  <c r="D2541" i="1"/>
  <c r="F2541" i="1"/>
  <c r="H2541" i="1"/>
  <c r="I2541" i="1"/>
  <c r="L2541" i="1"/>
  <c r="M2541" i="1"/>
  <c r="V2541" i="1"/>
  <c r="W2541" i="1"/>
  <c r="A109" i="1"/>
  <c r="D109" i="1"/>
  <c r="F109" i="1"/>
  <c r="H109" i="1"/>
  <c r="I109" i="1"/>
  <c r="L109" i="1"/>
  <c r="M109" i="1"/>
  <c r="V109" i="1"/>
  <c r="W109" i="1"/>
  <c r="A1060" i="1"/>
  <c r="D1060" i="1"/>
  <c r="F1060" i="1"/>
  <c r="H1060" i="1"/>
  <c r="I1060" i="1"/>
  <c r="L1060" i="1"/>
  <c r="M1060" i="1"/>
  <c r="V1060" i="1"/>
  <c r="W1060" i="1"/>
  <c r="A3669" i="1"/>
  <c r="D3669" i="1"/>
  <c r="F3669" i="1"/>
  <c r="H3669" i="1"/>
  <c r="I3669" i="1"/>
  <c r="L3669" i="1"/>
  <c r="M3669" i="1"/>
  <c r="V3669" i="1"/>
  <c r="W3669" i="1"/>
  <c r="A4471" i="1"/>
  <c r="D4471" i="1"/>
  <c r="F4471" i="1"/>
  <c r="H4471" i="1"/>
  <c r="I4471" i="1"/>
  <c r="L4471" i="1"/>
  <c r="M4471" i="1"/>
  <c r="V4471" i="1"/>
  <c r="W4471" i="1"/>
  <c r="A4254" i="1"/>
  <c r="D4254" i="1"/>
  <c r="F4254" i="1"/>
  <c r="H4254" i="1"/>
  <c r="I4254" i="1"/>
  <c r="L4254" i="1"/>
  <c r="M4254" i="1"/>
  <c r="V4254" i="1"/>
  <c r="W4254" i="1"/>
  <c r="A4616" i="1"/>
  <c r="D4616" i="1"/>
  <c r="F4616" i="1"/>
  <c r="H4616" i="1"/>
  <c r="I4616" i="1"/>
  <c r="L4616" i="1"/>
  <c r="M4616" i="1"/>
  <c r="V4616" i="1"/>
  <c r="W4616" i="1"/>
  <c r="A3371" i="1"/>
  <c r="D3371" i="1"/>
  <c r="F3371" i="1"/>
  <c r="H3371" i="1"/>
  <c r="I3371" i="1"/>
  <c r="L3371" i="1"/>
  <c r="M3371" i="1"/>
  <c r="V3371" i="1"/>
  <c r="W3371" i="1"/>
  <c r="A1233" i="1"/>
  <c r="D1233" i="1"/>
  <c r="F1233" i="1"/>
  <c r="H1233" i="1"/>
  <c r="I1233" i="1"/>
  <c r="L1233" i="1"/>
  <c r="M1233" i="1"/>
  <c r="V1233" i="1"/>
  <c r="W1233" i="1"/>
  <c r="A6157" i="1"/>
  <c r="D6157" i="1"/>
  <c r="F6157" i="1"/>
  <c r="H6157" i="1"/>
  <c r="I6157" i="1"/>
  <c r="L6157" i="1"/>
  <c r="M6157" i="1"/>
  <c r="V6157" i="1"/>
  <c r="W6157" i="1"/>
  <c r="A1775" i="1"/>
  <c r="D1775" i="1"/>
  <c r="F1775" i="1"/>
  <c r="H1775" i="1"/>
  <c r="I1775" i="1"/>
  <c r="L1775" i="1"/>
  <c r="M1775" i="1"/>
  <c r="V1775" i="1"/>
  <c r="W1775" i="1"/>
  <c r="A3955" i="1"/>
  <c r="D3955" i="1"/>
  <c r="F3955" i="1"/>
  <c r="H3955" i="1"/>
  <c r="I3955" i="1"/>
  <c r="L3955" i="1"/>
  <c r="M3955" i="1"/>
  <c r="V3955" i="1"/>
  <c r="W3955" i="1"/>
  <c r="A4593" i="1"/>
  <c r="D4593" i="1"/>
  <c r="F4593" i="1"/>
  <c r="H4593" i="1"/>
  <c r="I4593" i="1"/>
  <c r="L4593" i="1"/>
  <c r="M4593" i="1"/>
  <c r="V4593" i="1"/>
  <c r="W4593" i="1"/>
  <c r="A3035" i="1"/>
  <c r="D3035" i="1"/>
  <c r="F3035" i="1"/>
  <c r="H3035" i="1"/>
  <c r="I3035" i="1"/>
  <c r="L3035" i="1"/>
  <c r="M3035" i="1"/>
  <c r="V3035" i="1"/>
  <c r="W3035" i="1"/>
  <c r="A6056" i="1"/>
  <c r="D6056" i="1"/>
  <c r="F6056" i="1"/>
  <c r="H6056" i="1"/>
  <c r="I6056" i="1"/>
  <c r="L6056" i="1"/>
  <c r="M6056" i="1"/>
  <c r="V6056" i="1"/>
  <c r="W6056" i="1"/>
  <c r="A5038" i="1"/>
  <c r="D5038" i="1"/>
  <c r="F5038" i="1"/>
  <c r="H5038" i="1"/>
  <c r="I5038" i="1"/>
  <c r="L5038" i="1"/>
  <c r="M5038" i="1"/>
  <c r="V5038" i="1"/>
  <c r="W5038" i="1"/>
  <c r="A5092" i="1"/>
  <c r="D5092" i="1"/>
  <c r="F5092" i="1"/>
  <c r="H5092" i="1"/>
  <c r="I5092" i="1"/>
  <c r="L5092" i="1"/>
  <c r="M5092" i="1"/>
  <c r="V5092" i="1"/>
  <c r="W5092" i="1"/>
  <c r="A5613" i="1"/>
  <c r="D5613" i="1"/>
  <c r="F5613" i="1"/>
  <c r="H5613" i="1"/>
  <c r="I5613" i="1"/>
  <c r="L5613" i="1"/>
  <c r="M5613" i="1"/>
  <c r="V5613" i="1"/>
  <c r="W5613" i="1"/>
  <c r="A5548" i="1"/>
  <c r="D5548" i="1"/>
  <c r="F5548" i="1"/>
  <c r="H5548" i="1"/>
  <c r="I5548" i="1"/>
  <c r="L5548" i="1"/>
  <c r="M5548" i="1"/>
  <c r="V5548" i="1"/>
  <c r="W5548" i="1"/>
  <c r="A6066" i="1"/>
  <c r="D6066" i="1"/>
  <c r="F6066" i="1"/>
  <c r="H6066" i="1"/>
  <c r="I6066" i="1"/>
  <c r="L6066" i="1"/>
  <c r="M6066" i="1"/>
  <c r="V6066" i="1"/>
  <c r="W6066" i="1"/>
  <c r="A2072" i="1"/>
  <c r="D2072" i="1"/>
  <c r="F2072" i="1"/>
  <c r="H2072" i="1"/>
  <c r="I2072" i="1"/>
  <c r="L2072" i="1"/>
  <c r="M2072" i="1"/>
  <c r="V2072" i="1"/>
  <c r="W2072" i="1"/>
  <c r="A2568" i="1"/>
  <c r="D2568" i="1"/>
  <c r="F2568" i="1"/>
  <c r="H2568" i="1"/>
  <c r="I2568" i="1"/>
  <c r="L2568" i="1"/>
  <c r="M2568" i="1"/>
  <c r="V2568" i="1"/>
  <c r="W2568" i="1"/>
  <c r="A4561" i="1"/>
  <c r="D4561" i="1"/>
  <c r="F4561" i="1"/>
  <c r="H4561" i="1"/>
  <c r="I4561" i="1"/>
  <c r="L4561" i="1"/>
  <c r="M4561" i="1"/>
  <c r="V4561" i="1"/>
  <c r="W4561" i="1"/>
  <c r="A5249" i="1"/>
  <c r="D5249" i="1"/>
  <c r="F5249" i="1"/>
  <c r="H5249" i="1"/>
  <c r="I5249" i="1"/>
  <c r="L5249" i="1"/>
  <c r="M5249" i="1"/>
  <c r="V5249" i="1"/>
  <c r="W5249" i="1"/>
  <c r="A3995" i="1"/>
  <c r="D3995" i="1"/>
  <c r="F3995" i="1"/>
  <c r="H3995" i="1"/>
  <c r="I3995" i="1"/>
  <c r="L3995" i="1"/>
  <c r="M3995" i="1"/>
  <c r="V3995" i="1"/>
  <c r="W3995" i="1"/>
  <c r="A6082" i="1"/>
  <c r="D6082" i="1"/>
  <c r="F6082" i="1"/>
  <c r="H6082" i="1"/>
  <c r="I6082" i="1"/>
  <c r="L6082" i="1"/>
  <c r="M6082" i="1"/>
  <c r="V6082" i="1"/>
  <c r="W6082" i="1"/>
  <c r="A5247" i="1"/>
  <c r="D5247" i="1"/>
  <c r="F5247" i="1"/>
  <c r="H5247" i="1"/>
  <c r="I5247" i="1"/>
  <c r="L5247" i="1"/>
  <c r="M5247" i="1"/>
  <c r="V5247" i="1"/>
  <c r="W5247" i="1"/>
  <c r="A5906" i="1"/>
  <c r="D5906" i="1"/>
  <c r="F5906" i="1"/>
  <c r="H5906" i="1"/>
  <c r="I5906" i="1"/>
  <c r="L5906" i="1"/>
  <c r="M5906" i="1"/>
  <c r="V5906" i="1"/>
  <c r="W5906" i="1"/>
  <c r="A2990" i="1"/>
  <c r="D2990" i="1"/>
  <c r="F2990" i="1"/>
  <c r="H2990" i="1"/>
  <c r="I2990" i="1"/>
  <c r="L2990" i="1"/>
  <c r="M2990" i="1"/>
  <c r="V2990" i="1"/>
  <c r="W2990" i="1"/>
  <c r="A1896" i="1"/>
  <c r="D1896" i="1"/>
  <c r="F1896" i="1"/>
  <c r="H1896" i="1"/>
  <c r="I1896" i="1"/>
  <c r="L1896" i="1"/>
  <c r="M1896" i="1"/>
  <c r="V1896" i="1"/>
  <c r="W1896" i="1"/>
  <c r="A2043" i="1"/>
  <c r="D2043" i="1"/>
  <c r="F2043" i="1"/>
  <c r="H2043" i="1"/>
  <c r="I2043" i="1"/>
  <c r="L2043" i="1"/>
  <c r="M2043" i="1"/>
  <c r="V2043" i="1"/>
  <c r="W2043" i="1"/>
  <c r="A3121" i="1"/>
  <c r="D3121" i="1"/>
  <c r="F3121" i="1"/>
  <c r="H3121" i="1"/>
  <c r="I3121" i="1"/>
  <c r="L3121" i="1"/>
  <c r="M3121" i="1"/>
  <c r="V3121" i="1"/>
  <c r="W3121" i="1"/>
  <c r="A3196" i="1"/>
  <c r="D3196" i="1"/>
  <c r="F3196" i="1"/>
  <c r="H3196" i="1"/>
  <c r="I3196" i="1"/>
  <c r="L3196" i="1"/>
  <c r="M3196" i="1"/>
  <c r="V3196" i="1"/>
  <c r="W3196" i="1"/>
  <c r="A3256" i="1"/>
  <c r="D3256" i="1"/>
  <c r="F3256" i="1"/>
  <c r="H3256" i="1"/>
  <c r="I3256" i="1"/>
  <c r="L3256" i="1"/>
  <c r="M3256" i="1"/>
  <c r="V3256" i="1"/>
  <c r="W3256" i="1"/>
  <c r="A2213" i="1"/>
  <c r="D2213" i="1"/>
  <c r="F2213" i="1"/>
  <c r="H2213" i="1"/>
  <c r="I2213" i="1"/>
  <c r="L2213" i="1"/>
  <c r="M2213" i="1"/>
  <c r="V2213" i="1"/>
  <c r="W2213" i="1"/>
  <c r="A6132" i="1"/>
  <c r="D6132" i="1"/>
  <c r="F6132" i="1"/>
  <c r="H6132" i="1"/>
  <c r="I6132" i="1"/>
  <c r="L6132" i="1"/>
  <c r="M6132" i="1"/>
  <c r="V6132" i="1"/>
  <c r="W6132" i="1"/>
  <c r="A5358" i="1"/>
  <c r="D5358" i="1"/>
  <c r="F5358" i="1"/>
  <c r="H5358" i="1"/>
  <c r="I5358" i="1"/>
  <c r="L5358" i="1"/>
  <c r="M5358" i="1"/>
  <c r="V5358" i="1"/>
  <c r="W5358" i="1"/>
  <c r="A811" i="1"/>
  <c r="D811" i="1"/>
  <c r="F811" i="1"/>
  <c r="H811" i="1"/>
  <c r="I811" i="1"/>
  <c r="L811" i="1"/>
  <c r="M811" i="1"/>
  <c r="V811" i="1"/>
  <c r="W811" i="1"/>
  <c r="A1648" i="1"/>
  <c r="D1648" i="1"/>
  <c r="F1648" i="1"/>
  <c r="H1648" i="1"/>
  <c r="I1648" i="1"/>
  <c r="L1648" i="1"/>
  <c r="M1648" i="1"/>
  <c r="V1648" i="1"/>
  <c r="W1648" i="1"/>
  <c r="A4800" i="1"/>
  <c r="D4800" i="1"/>
  <c r="F4800" i="1"/>
  <c r="H4800" i="1"/>
  <c r="I4800" i="1"/>
  <c r="L4800" i="1"/>
  <c r="M4800" i="1"/>
  <c r="V4800" i="1"/>
  <c r="W4800" i="1"/>
  <c r="A2355" i="1"/>
  <c r="D2355" i="1"/>
  <c r="F2355" i="1"/>
  <c r="H2355" i="1"/>
  <c r="I2355" i="1"/>
  <c r="L2355" i="1"/>
  <c r="M2355" i="1"/>
  <c r="V2355" i="1"/>
  <c r="W2355" i="1"/>
  <c r="A3390" i="1"/>
  <c r="D3390" i="1"/>
  <c r="F3390" i="1"/>
  <c r="H3390" i="1"/>
  <c r="I3390" i="1"/>
  <c r="L3390" i="1"/>
  <c r="M3390" i="1"/>
  <c r="V3390" i="1"/>
  <c r="W3390" i="1"/>
  <c r="A1388" i="1"/>
  <c r="D1388" i="1"/>
  <c r="F1388" i="1"/>
  <c r="H1388" i="1"/>
  <c r="I1388" i="1"/>
  <c r="L1388" i="1"/>
  <c r="M1388" i="1"/>
  <c r="V1388" i="1"/>
  <c r="W1388" i="1"/>
  <c r="A4040" i="1"/>
  <c r="D4040" i="1"/>
  <c r="F4040" i="1"/>
  <c r="H4040" i="1"/>
  <c r="I4040" i="1"/>
  <c r="L4040" i="1"/>
  <c r="M4040" i="1"/>
  <c r="V4040" i="1"/>
  <c r="W4040" i="1"/>
  <c r="A4430" i="1"/>
  <c r="D4430" i="1"/>
  <c r="F4430" i="1"/>
  <c r="H4430" i="1"/>
  <c r="I4430" i="1"/>
  <c r="L4430" i="1"/>
  <c r="M4430" i="1"/>
  <c r="V4430" i="1"/>
  <c r="W4430" i="1"/>
  <c r="A379" i="1"/>
  <c r="D379" i="1"/>
  <c r="F379" i="1"/>
  <c r="H379" i="1"/>
  <c r="I379" i="1"/>
  <c r="L379" i="1"/>
  <c r="M379" i="1"/>
  <c r="V379" i="1"/>
  <c r="W379" i="1"/>
  <c r="A5601" i="1"/>
  <c r="D5601" i="1"/>
  <c r="F5601" i="1"/>
  <c r="H5601" i="1"/>
  <c r="I5601" i="1"/>
  <c r="L5601" i="1"/>
  <c r="M5601" i="1"/>
  <c r="V5601" i="1"/>
  <c r="W5601" i="1"/>
  <c r="A3012" i="1"/>
  <c r="D3012" i="1"/>
  <c r="F3012" i="1"/>
  <c r="H3012" i="1"/>
  <c r="I3012" i="1"/>
  <c r="L3012" i="1"/>
  <c r="M3012" i="1"/>
  <c r="V3012" i="1"/>
  <c r="W3012" i="1"/>
  <c r="A4276" i="1"/>
  <c r="D4276" i="1"/>
  <c r="F4276" i="1"/>
  <c r="H4276" i="1"/>
  <c r="I4276" i="1"/>
  <c r="L4276" i="1"/>
  <c r="M4276" i="1"/>
  <c r="V4276" i="1"/>
  <c r="W4276" i="1"/>
  <c r="A2904" i="1"/>
  <c r="D2904" i="1"/>
  <c r="F2904" i="1"/>
  <c r="H2904" i="1"/>
  <c r="I2904" i="1"/>
  <c r="L2904" i="1"/>
  <c r="M2904" i="1"/>
  <c r="V2904" i="1"/>
  <c r="W2904" i="1"/>
  <c r="A2905" i="1"/>
  <c r="D2905" i="1"/>
  <c r="F2905" i="1"/>
  <c r="H2905" i="1"/>
  <c r="I2905" i="1"/>
  <c r="L2905" i="1"/>
  <c r="M2905" i="1"/>
  <c r="V2905" i="1"/>
  <c r="W2905" i="1"/>
  <c r="A5637" i="1"/>
  <c r="D5637" i="1"/>
  <c r="F5637" i="1"/>
  <c r="H5637" i="1"/>
  <c r="I5637" i="1"/>
  <c r="L5637" i="1"/>
  <c r="M5637" i="1"/>
  <c r="V5637" i="1"/>
  <c r="W5637" i="1"/>
  <c r="A190" i="1"/>
  <c r="D190" i="1"/>
  <c r="F190" i="1"/>
  <c r="H190" i="1"/>
  <c r="I190" i="1"/>
  <c r="L190" i="1"/>
  <c r="M190" i="1"/>
  <c r="V190" i="1"/>
  <c r="W190" i="1"/>
  <c r="A2087" i="1"/>
  <c r="D2087" i="1"/>
  <c r="F2087" i="1"/>
  <c r="H2087" i="1"/>
  <c r="I2087" i="1"/>
  <c r="L2087" i="1"/>
  <c r="M2087" i="1"/>
  <c r="V2087" i="1"/>
  <c r="W2087" i="1"/>
  <c r="A2119" i="1"/>
  <c r="D2119" i="1"/>
  <c r="F2119" i="1"/>
  <c r="H2119" i="1"/>
  <c r="I2119" i="1"/>
  <c r="L2119" i="1"/>
  <c r="M2119" i="1"/>
  <c r="V2119" i="1"/>
  <c r="W2119" i="1"/>
  <c r="A4391" i="1"/>
  <c r="D4391" i="1"/>
  <c r="F4391" i="1"/>
  <c r="H4391" i="1"/>
  <c r="I4391" i="1"/>
  <c r="L4391" i="1"/>
  <c r="M4391" i="1"/>
  <c r="V4391" i="1"/>
  <c r="W4391" i="1"/>
  <c r="A4400" i="1"/>
  <c r="D4400" i="1"/>
  <c r="F4400" i="1"/>
  <c r="H4400" i="1"/>
  <c r="I4400" i="1"/>
  <c r="L4400" i="1"/>
  <c r="M4400" i="1"/>
  <c r="V4400" i="1"/>
  <c r="W4400" i="1"/>
  <c r="A6131" i="1"/>
  <c r="D6131" i="1"/>
  <c r="F6131" i="1"/>
  <c r="H6131" i="1"/>
  <c r="I6131" i="1"/>
  <c r="L6131" i="1"/>
  <c r="M6131" i="1"/>
  <c r="V6131" i="1"/>
  <c r="W6131" i="1"/>
  <c r="A763" i="1"/>
  <c r="D763" i="1"/>
  <c r="F763" i="1"/>
  <c r="H763" i="1"/>
  <c r="I763" i="1"/>
  <c r="L763" i="1"/>
  <c r="M763" i="1"/>
  <c r="V763" i="1"/>
  <c r="W763" i="1"/>
  <c r="A772" i="1"/>
  <c r="D772" i="1"/>
  <c r="F772" i="1"/>
  <c r="H772" i="1"/>
  <c r="I772" i="1"/>
  <c r="L772" i="1"/>
  <c r="M772" i="1"/>
  <c r="V772" i="1"/>
  <c r="W772" i="1"/>
  <c r="A1092" i="1"/>
  <c r="D1092" i="1"/>
  <c r="F1092" i="1"/>
  <c r="H1092" i="1"/>
  <c r="I1092" i="1"/>
  <c r="L1092" i="1"/>
  <c r="M1092" i="1"/>
  <c r="V1092" i="1"/>
  <c r="W1092" i="1"/>
  <c r="A1134" i="1"/>
  <c r="D1134" i="1"/>
  <c r="F1134" i="1"/>
  <c r="H1134" i="1"/>
  <c r="I1134" i="1"/>
  <c r="L1134" i="1"/>
  <c r="M1134" i="1"/>
  <c r="V1134" i="1"/>
  <c r="W1134" i="1"/>
  <c r="A154" i="1"/>
  <c r="D154" i="1"/>
  <c r="F154" i="1"/>
  <c r="H154" i="1"/>
  <c r="I154" i="1"/>
  <c r="L154" i="1"/>
  <c r="M154" i="1"/>
  <c r="V154" i="1"/>
  <c r="W154" i="1"/>
  <c r="A30" i="1"/>
  <c r="D30" i="1"/>
  <c r="F30" i="1"/>
  <c r="H30" i="1"/>
  <c r="I30" i="1"/>
  <c r="L30" i="1"/>
  <c r="M30" i="1"/>
  <c r="V30" i="1"/>
  <c r="W30" i="1"/>
  <c r="A2607" i="1"/>
  <c r="D2607" i="1"/>
  <c r="F2607" i="1"/>
  <c r="H2607" i="1"/>
  <c r="I2607" i="1"/>
  <c r="L2607" i="1"/>
  <c r="M2607" i="1"/>
  <c r="V2607" i="1"/>
  <c r="W2607" i="1"/>
  <c r="A779" i="1"/>
  <c r="D779" i="1"/>
  <c r="F779" i="1"/>
  <c r="H779" i="1"/>
  <c r="I779" i="1"/>
  <c r="L779" i="1"/>
  <c r="M779" i="1"/>
  <c r="V779" i="1"/>
  <c r="W779" i="1"/>
  <c r="A5482" i="1"/>
  <c r="D5482" i="1"/>
  <c r="F5482" i="1"/>
  <c r="H5482" i="1"/>
  <c r="I5482" i="1"/>
  <c r="L5482" i="1"/>
  <c r="M5482" i="1"/>
  <c r="V5482" i="1"/>
  <c r="W5482" i="1"/>
  <c r="A4247" i="1"/>
  <c r="D4247" i="1"/>
  <c r="F4247" i="1"/>
  <c r="H4247" i="1"/>
  <c r="I4247" i="1"/>
  <c r="L4247" i="1"/>
  <c r="M4247" i="1"/>
  <c r="V4247" i="1"/>
  <c r="W4247" i="1"/>
  <c r="A5978" i="1"/>
  <c r="D5978" i="1"/>
  <c r="F5978" i="1"/>
  <c r="H5978" i="1"/>
  <c r="I5978" i="1"/>
  <c r="L5978" i="1"/>
  <c r="M5978" i="1"/>
  <c r="V5978" i="1"/>
  <c r="W5978" i="1"/>
  <c r="A1080" i="1"/>
  <c r="D1080" i="1"/>
  <c r="F1080" i="1"/>
  <c r="H1080" i="1"/>
  <c r="I1080" i="1"/>
  <c r="L1080" i="1"/>
  <c r="M1080" i="1"/>
  <c r="V1080" i="1"/>
  <c r="W1080" i="1"/>
  <c r="A1570" i="1"/>
  <c r="D1570" i="1"/>
  <c r="F1570" i="1"/>
  <c r="H1570" i="1"/>
  <c r="I1570" i="1"/>
  <c r="L1570" i="1"/>
  <c r="M1570" i="1"/>
  <c r="V1570" i="1"/>
  <c r="W1570" i="1"/>
  <c r="A292" i="1"/>
  <c r="D292" i="1"/>
  <c r="F292" i="1"/>
  <c r="H292" i="1"/>
  <c r="I292" i="1"/>
  <c r="L292" i="1"/>
  <c r="M292" i="1"/>
  <c r="V292" i="1"/>
  <c r="W292" i="1"/>
  <c r="A357" i="1"/>
  <c r="D357" i="1"/>
  <c r="F357" i="1"/>
  <c r="H357" i="1"/>
  <c r="I357" i="1"/>
  <c r="L357" i="1"/>
  <c r="M357" i="1"/>
  <c r="V357" i="1"/>
  <c r="W357" i="1"/>
  <c r="A3808" i="1"/>
  <c r="D3808" i="1"/>
  <c r="F3808" i="1"/>
  <c r="H3808" i="1"/>
  <c r="I3808" i="1"/>
  <c r="L3808" i="1"/>
  <c r="M3808" i="1"/>
  <c r="V3808" i="1"/>
  <c r="W3808" i="1"/>
  <c r="A3301" i="1"/>
  <c r="D3301" i="1"/>
  <c r="F3301" i="1"/>
  <c r="H3301" i="1"/>
  <c r="I3301" i="1"/>
  <c r="L3301" i="1"/>
  <c r="M3301" i="1"/>
  <c r="V3301" i="1"/>
  <c r="W3301" i="1"/>
  <c r="A3897" i="1"/>
  <c r="D3897" i="1"/>
  <c r="F3897" i="1"/>
  <c r="H3897" i="1"/>
  <c r="I3897" i="1"/>
  <c r="L3897" i="1"/>
  <c r="M3897" i="1"/>
  <c r="V3897" i="1"/>
  <c r="W3897" i="1"/>
  <c r="A3828" i="1"/>
  <c r="D3828" i="1"/>
  <c r="F3828" i="1"/>
  <c r="H3828" i="1"/>
  <c r="I3828" i="1"/>
  <c r="L3828" i="1"/>
  <c r="M3828" i="1"/>
  <c r="V3828" i="1"/>
  <c r="W3828" i="1"/>
  <c r="A5893" i="1"/>
  <c r="D5893" i="1"/>
  <c r="F5893" i="1"/>
  <c r="H5893" i="1"/>
  <c r="I5893" i="1"/>
  <c r="L5893" i="1"/>
  <c r="M5893" i="1"/>
  <c r="V5893" i="1"/>
  <c r="W5893" i="1"/>
  <c r="A4724" i="1"/>
  <c r="D4724" i="1"/>
  <c r="F4724" i="1"/>
  <c r="H4724" i="1"/>
  <c r="I4724" i="1"/>
  <c r="L4724" i="1"/>
  <c r="M4724" i="1"/>
  <c r="V4724" i="1"/>
  <c r="W4724" i="1"/>
  <c r="A4734" i="1"/>
  <c r="D4734" i="1"/>
  <c r="F4734" i="1"/>
  <c r="H4734" i="1"/>
  <c r="I4734" i="1"/>
  <c r="L4734" i="1"/>
  <c r="M4734" i="1"/>
  <c r="V4734" i="1"/>
  <c r="W4734" i="1"/>
  <c r="A3699" i="1"/>
  <c r="D3699" i="1"/>
  <c r="F3699" i="1"/>
  <c r="H3699" i="1"/>
  <c r="I3699" i="1"/>
  <c r="L3699" i="1"/>
  <c r="M3699" i="1"/>
  <c r="V3699" i="1"/>
  <c r="W3699" i="1"/>
  <c r="A996" i="1"/>
  <c r="D996" i="1"/>
  <c r="F996" i="1"/>
  <c r="H996" i="1"/>
  <c r="I996" i="1"/>
  <c r="L996" i="1"/>
  <c r="M996" i="1"/>
  <c r="V996" i="1"/>
  <c r="W996" i="1"/>
  <c r="A2872" i="1"/>
  <c r="D2872" i="1"/>
  <c r="F2872" i="1"/>
  <c r="H2872" i="1"/>
  <c r="I2872" i="1"/>
  <c r="L2872" i="1"/>
  <c r="M2872" i="1"/>
  <c r="V2872" i="1"/>
  <c r="W2872" i="1"/>
  <c r="A5535" i="1"/>
  <c r="D5535" i="1"/>
  <c r="F5535" i="1"/>
  <c r="H5535" i="1"/>
  <c r="I5535" i="1"/>
  <c r="L5535" i="1"/>
  <c r="M5535" i="1"/>
  <c r="V5535" i="1"/>
  <c r="W5535" i="1"/>
  <c r="A6035" i="1"/>
  <c r="D6035" i="1"/>
  <c r="F6035" i="1"/>
  <c r="H6035" i="1"/>
  <c r="I6035" i="1"/>
  <c r="L6035" i="1"/>
  <c r="M6035" i="1"/>
  <c r="V6035" i="1"/>
  <c r="W6035" i="1"/>
  <c r="A1880" i="1"/>
  <c r="D1880" i="1"/>
  <c r="F1880" i="1"/>
  <c r="H1880" i="1"/>
  <c r="I1880" i="1"/>
  <c r="L1880" i="1"/>
  <c r="M1880" i="1"/>
  <c r="V1880" i="1"/>
  <c r="W1880" i="1"/>
  <c r="A6085" i="1"/>
  <c r="D6085" i="1"/>
  <c r="F6085" i="1"/>
  <c r="H6085" i="1"/>
  <c r="I6085" i="1"/>
  <c r="L6085" i="1"/>
  <c r="M6085" i="1"/>
  <c r="V6085" i="1"/>
  <c r="W6085" i="1"/>
  <c r="A5661" i="1"/>
  <c r="D5661" i="1"/>
  <c r="F5661" i="1"/>
  <c r="H5661" i="1"/>
  <c r="I5661" i="1"/>
  <c r="L5661" i="1"/>
  <c r="M5661" i="1"/>
  <c r="V5661" i="1"/>
  <c r="W5661" i="1"/>
  <c r="A2374" i="1"/>
  <c r="D2374" i="1"/>
  <c r="F2374" i="1"/>
  <c r="H2374" i="1"/>
  <c r="I2374" i="1"/>
  <c r="L2374" i="1"/>
  <c r="M2374" i="1"/>
  <c r="V2374" i="1"/>
  <c r="W2374" i="1"/>
  <c r="A3042" i="1"/>
  <c r="D3042" i="1"/>
  <c r="F3042" i="1"/>
  <c r="H3042" i="1"/>
  <c r="I3042" i="1"/>
  <c r="L3042" i="1"/>
  <c r="M3042" i="1"/>
  <c r="V3042" i="1"/>
  <c r="W3042" i="1"/>
  <c r="A3380" i="1"/>
  <c r="D3380" i="1"/>
  <c r="F3380" i="1"/>
  <c r="H3380" i="1"/>
  <c r="I3380" i="1"/>
  <c r="L3380" i="1"/>
  <c r="M3380" i="1"/>
  <c r="V3380" i="1"/>
  <c r="W3380" i="1"/>
  <c r="A945" i="1"/>
  <c r="D945" i="1"/>
  <c r="F945" i="1"/>
  <c r="H945" i="1"/>
  <c r="I945" i="1"/>
  <c r="L945" i="1"/>
  <c r="M945" i="1"/>
  <c r="V945" i="1"/>
  <c r="W945" i="1"/>
  <c r="A3177" i="1"/>
  <c r="D3177" i="1"/>
  <c r="F3177" i="1"/>
  <c r="H3177" i="1"/>
  <c r="I3177" i="1"/>
  <c r="L3177" i="1"/>
  <c r="M3177" i="1"/>
  <c r="V3177" i="1"/>
  <c r="W3177" i="1"/>
  <c r="A3214" i="1"/>
  <c r="D3214" i="1"/>
  <c r="F3214" i="1"/>
  <c r="H3214" i="1"/>
  <c r="I3214" i="1"/>
  <c r="L3214" i="1"/>
  <c r="M3214" i="1"/>
  <c r="V3214" i="1"/>
  <c r="W3214" i="1"/>
  <c r="A505" i="1"/>
  <c r="D505" i="1"/>
  <c r="F505" i="1"/>
  <c r="H505" i="1"/>
  <c r="I505" i="1"/>
  <c r="L505" i="1"/>
  <c r="M505" i="1"/>
  <c r="V505" i="1"/>
  <c r="W505" i="1"/>
  <c r="A4846" i="1"/>
  <c r="D4846" i="1"/>
  <c r="F4846" i="1"/>
  <c r="H4846" i="1"/>
  <c r="I4846" i="1"/>
  <c r="L4846" i="1"/>
  <c r="M4846" i="1"/>
  <c r="V4846" i="1"/>
  <c r="W4846" i="1"/>
  <c r="A6160" i="1"/>
  <c r="D6160" i="1"/>
  <c r="F6160" i="1"/>
  <c r="H6160" i="1"/>
  <c r="I6160" i="1"/>
  <c r="L6160" i="1"/>
  <c r="M6160" i="1"/>
  <c r="V6160" i="1"/>
  <c r="W6160" i="1"/>
  <c r="A4504" i="1"/>
  <c r="D4504" i="1"/>
  <c r="F4504" i="1"/>
  <c r="H4504" i="1"/>
  <c r="I4504" i="1"/>
  <c r="L4504" i="1"/>
  <c r="M4504" i="1"/>
  <c r="V4504" i="1"/>
  <c r="W4504" i="1"/>
  <c r="A5201" i="1"/>
  <c r="D5201" i="1"/>
  <c r="F5201" i="1"/>
  <c r="H5201" i="1"/>
  <c r="I5201" i="1"/>
  <c r="L5201" i="1"/>
  <c r="M5201" i="1"/>
  <c r="V5201" i="1"/>
  <c r="W5201" i="1"/>
  <c r="A5178" i="1"/>
  <c r="D5178" i="1"/>
  <c r="F5178" i="1"/>
  <c r="H5178" i="1"/>
  <c r="I5178" i="1"/>
  <c r="L5178" i="1"/>
  <c r="M5178" i="1"/>
  <c r="V5178" i="1"/>
  <c r="W5178" i="1"/>
  <c r="A5607" i="1"/>
  <c r="D5607" i="1"/>
  <c r="F5607" i="1"/>
  <c r="H5607" i="1"/>
  <c r="I5607" i="1"/>
  <c r="L5607" i="1"/>
  <c r="M5607" i="1"/>
  <c r="V5607" i="1"/>
  <c r="W5607" i="1"/>
  <c r="A4693" i="1"/>
  <c r="D4693" i="1"/>
  <c r="F4693" i="1"/>
  <c r="H4693" i="1"/>
  <c r="I4693" i="1"/>
  <c r="L4693" i="1"/>
  <c r="M4693" i="1"/>
  <c r="V4693" i="1"/>
  <c r="W4693" i="1"/>
  <c r="A4403" i="1"/>
  <c r="D4403" i="1"/>
  <c r="F4403" i="1"/>
  <c r="H4403" i="1"/>
  <c r="I4403" i="1"/>
  <c r="L4403" i="1"/>
  <c r="M4403" i="1"/>
  <c r="V4403" i="1"/>
  <c r="W4403" i="1"/>
  <c r="A4544" i="1"/>
  <c r="D4544" i="1"/>
  <c r="F4544" i="1"/>
  <c r="H4544" i="1"/>
  <c r="I4544" i="1"/>
  <c r="L4544" i="1"/>
  <c r="M4544" i="1"/>
  <c r="V4544" i="1"/>
  <c r="W4544" i="1"/>
  <c r="A4409" i="1"/>
  <c r="D4409" i="1"/>
  <c r="F4409" i="1"/>
  <c r="H4409" i="1"/>
  <c r="I4409" i="1"/>
  <c r="L4409" i="1"/>
  <c r="M4409" i="1"/>
  <c r="V4409" i="1"/>
  <c r="W4409" i="1"/>
  <c r="A4577" i="1"/>
  <c r="D4577" i="1"/>
  <c r="F4577" i="1"/>
  <c r="H4577" i="1"/>
  <c r="I4577" i="1"/>
  <c r="L4577" i="1"/>
  <c r="M4577" i="1"/>
  <c r="V4577" i="1"/>
  <c r="W4577" i="1"/>
  <c r="A92" i="1"/>
  <c r="D92" i="1"/>
  <c r="F92" i="1"/>
  <c r="H92" i="1"/>
  <c r="I92" i="1"/>
  <c r="L92" i="1"/>
  <c r="M92" i="1"/>
  <c r="V92" i="1"/>
  <c r="W92" i="1"/>
  <c r="A4540" i="1"/>
  <c r="D4540" i="1"/>
  <c r="F4540" i="1"/>
  <c r="H4540" i="1"/>
  <c r="I4540" i="1"/>
  <c r="L4540" i="1"/>
  <c r="M4540" i="1"/>
  <c r="V4540" i="1"/>
  <c r="W4540" i="1"/>
  <c r="A4213" i="1"/>
  <c r="D4213" i="1"/>
  <c r="F4213" i="1"/>
  <c r="H4213" i="1"/>
  <c r="I4213" i="1"/>
  <c r="L4213" i="1"/>
  <c r="M4213" i="1"/>
  <c r="V4213" i="1"/>
  <c r="W4213" i="1"/>
  <c r="A3428" i="1"/>
  <c r="D3428" i="1"/>
  <c r="F3428" i="1"/>
  <c r="H3428" i="1"/>
  <c r="I3428" i="1"/>
  <c r="L3428" i="1"/>
  <c r="M3428" i="1"/>
  <c r="V3428" i="1"/>
  <c r="W3428" i="1"/>
  <c r="A4058" i="1"/>
  <c r="D4058" i="1"/>
  <c r="F4058" i="1"/>
  <c r="H4058" i="1"/>
  <c r="I4058" i="1"/>
  <c r="L4058" i="1"/>
  <c r="M4058" i="1"/>
  <c r="V4058" i="1"/>
  <c r="W4058" i="1"/>
  <c r="A3030" i="1"/>
  <c r="D3030" i="1"/>
  <c r="F3030" i="1"/>
  <c r="H3030" i="1"/>
  <c r="I3030" i="1"/>
  <c r="L3030" i="1"/>
  <c r="M3030" i="1"/>
  <c r="V3030" i="1"/>
  <c r="W3030" i="1"/>
  <c r="A4923" i="1"/>
  <c r="D4923" i="1"/>
  <c r="F4923" i="1"/>
  <c r="H4923" i="1"/>
  <c r="I4923" i="1"/>
  <c r="L4923" i="1"/>
  <c r="M4923" i="1"/>
  <c r="V4923" i="1"/>
  <c r="W4923" i="1"/>
  <c r="A4917" i="1"/>
  <c r="D4917" i="1"/>
  <c r="F4917" i="1"/>
  <c r="H4917" i="1"/>
  <c r="I4917" i="1"/>
  <c r="L4917" i="1"/>
  <c r="M4917" i="1"/>
  <c r="V4917" i="1"/>
  <c r="W4917" i="1"/>
  <c r="A2216" i="1"/>
  <c r="D2216" i="1"/>
  <c r="F2216" i="1"/>
  <c r="H2216" i="1"/>
  <c r="I2216" i="1"/>
  <c r="L2216" i="1"/>
  <c r="M2216" i="1"/>
  <c r="V2216" i="1"/>
  <c r="W2216" i="1"/>
  <c r="A3715" i="1"/>
  <c r="D3715" i="1"/>
  <c r="F3715" i="1"/>
  <c r="H3715" i="1"/>
  <c r="I3715" i="1"/>
  <c r="L3715" i="1"/>
  <c r="M3715" i="1"/>
  <c r="V3715" i="1"/>
  <c r="W3715" i="1"/>
  <c r="A4340" i="1"/>
  <c r="D4340" i="1"/>
  <c r="F4340" i="1"/>
  <c r="H4340" i="1"/>
  <c r="I4340" i="1"/>
  <c r="L4340" i="1"/>
  <c r="M4340" i="1"/>
  <c r="V4340" i="1"/>
  <c r="W4340" i="1"/>
  <c r="A4137" i="1"/>
  <c r="D4137" i="1"/>
  <c r="F4137" i="1"/>
  <c r="H4137" i="1"/>
  <c r="I4137" i="1"/>
  <c r="L4137" i="1"/>
  <c r="M4137" i="1"/>
  <c r="V4137" i="1"/>
  <c r="W4137" i="1"/>
  <c r="A3738" i="1"/>
  <c r="D3738" i="1"/>
  <c r="F3738" i="1"/>
  <c r="H3738" i="1"/>
  <c r="I3738" i="1"/>
  <c r="L3738" i="1"/>
  <c r="M3738" i="1"/>
  <c r="V3738" i="1"/>
  <c r="W3738" i="1"/>
  <c r="A4716" i="1"/>
  <c r="D4716" i="1"/>
  <c r="F4716" i="1"/>
  <c r="H4716" i="1"/>
  <c r="I4716" i="1"/>
  <c r="L4716" i="1"/>
  <c r="M4716" i="1"/>
  <c r="V4716" i="1"/>
  <c r="W4716" i="1"/>
  <c r="A4487" i="1"/>
  <c r="D4487" i="1"/>
  <c r="F4487" i="1"/>
  <c r="H4487" i="1"/>
  <c r="I4487" i="1"/>
  <c r="L4487" i="1"/>
  <c r="M4487" i="1"/>
  <c r="V4487" i="1"/>
  <c r="W4487" i="1"/>
  <c r="A5336" i="1"/>
  <c r="D5336" i="1"/>
  <c r="F5336" i="1"/>
  <c r="H5336" i="1"/>
  <c r="I5336" i="1"/>
  <c r="L5336" i="1"/>
  <c r="M5336" i="1"/>
  <c r="V5336" i="1"/>
  <c r="W5336" i="1"/>
  <c r="A5255" i="1"/>
  <c r="D5255" i="1"/>
  <c r="F5255" i="1"/>
  <c r="H5255" i="1"/>
  <c r="I5255" i="1"/>
  <c r="L5255" i="1"/>
  <c r="M5255" i="1"/>
  <c r="V5255" i="1"/>
  <c r="W5255" i="1"/>
  <c r="A6020" i="1"/>
  <c r="D6020" i="1"/>
  <c r="F6020" i="1"/>
  <c r="H6020" i="1"/>
  <c r="I6020" i="1"/>
  <c r="L6020" i="1"/>
  <c r="M6020" i="1"/>
  <c r="V6020" i="1"/>
  <c r="W6020" i="1"/>
  <c r="A635" i="1"/>
  <c r="D635" i="1"/>
  <c r="F635" i="1"/>
  <c r="H635" i="1"/>
  <c r="I635" i="1"/>
  <c r="L635" i="1"/>
  <c r="M635" i="1"/>
  <c r="V635" i="1"/>
  <c r="W635" i="1"/>
  <c r="A555" i="1"/>
  <c r="D555" i="1"/>
  <c r="F555" i="1"/>
  <c r="H555" i="1"/>
  <c r="I555" i="1"/>
  <c r="L555" i="1"/>
  <c r="M555" i="1"/>
  <c r="V555" i="1"/>
  <c r="W555" i="1"/>
  <c r="A3747" i="1"/>
  <c r="D3747" i="1"/>
  <c r="F3747" i="1"/>
  <c r="H3747" i="1"/>
  <c r="I3747" i="1"/>
  <c r="L3747" i="1"/>
  <c r="M3747" i="1"/>
  <c r="V3747" i="1"/>
  <c r="W3747" i="1"/>
  <c r="A1226" i="1"/>
  <c r="D1226" i="1"/>
  <c r="F1226" i="1"/>
  <c r="H1226" i="1"/>
  <c r="I1226" i="1"/>
  <c r="L1226" i="1"/>
  <c r="M1226" i="1"/>
  <c r="V1226" i="1"/>
  <c r="W1226" i="1"/>
  <c r="A2580" i="1"/>
  <c r="D2580" i="1"/>
  <c r="F2580" i="1"/>
  <c r="H2580" i="1"/>
  <c r="I2580" i="1"/>
  <c r="L2580" i="1"/>
  <c r="M2580" i="1"/>
  <c r="V2580" i="1"/>
  <c r="W2580" i="1"/>
  <c r="A890" i="1"/>
  <c r="D890" i="1"/>
  <c r="F890" i="1"/>
  <c r="H890" i="1"/>
  <c r="I890" i="1"/>
  <c r="L890" i="1"/>
  <c r="M890" i="1"/>
  <c r="V890" i="1"/>
  <c r="W890" i="1"/>
  <c r="A861" i="1"/>
  <c r="D861" i="1"/>
  <c r="F861" i="1"/>
  <c r="H861" i="1"/>
  <c r="I861" i="1"/>
  <c r="L861" i="1"/>
  <c r="M861" i="1"/>
  <c r="V861" i="1"/>
  <c r="W861" i="1"/>
  <c r="A4562" i="1"/>
  <c r="D4562" i="1"/>
  <c r="F4562" i="1"/>
  <c r="H4562" i="1"/>
  <c r="I4562" i="1"/>
  <c r="L4562" i="1"/>
  <c r="M4562" i="1"/>
  <c r="V4562" i="1"/>
  <c r="W4562" i="1"/>
  <c r="A4696" i="1"/>
  <c r="D4696" i="1"/>
  <c r="F4696" i="1"/>
  <c r="H4696" i="1"/>
  <c r="I4696" i="1"/>
  <c r="L4696" i="1"/>
  <c r="M4696" i="1"/>
  <c r="V4696" i="1"/>
  <c r="W4696" i="1"/>
  <c r="A5383" i="1"/>
  <c r="D5383" i="1"/>
  <c r="F5383" i="1"/>
  <c r="H5383" i="1"/>
  <c r="I5383" i="1"/>
  <c r="L5383" i="1"/>
  <c r="M5383" i="1"/>
  <c r="V5383" i="1"/>
  <c r="W5383" i="1"/>
  <c r="A5686" i="1"/>
  <c r="D5686" i="1"/>
  <c r="F5686" i="1"/>
  <c r="H5686" i="1"/>
  <c r="I5686" i="1"/>
  <c r="L5686" i="1"/>
  <c r="M5686" i="1"/>
  <c r="V5686" i="1"/>
  <c r="W5686" i="1"/>
  <c r="A1816" i="1"/>
  <c r="D1816" i="1"/>
  <c r="F1816" i="1"/>
  <c r="H1816" i="1"/>
  <c r="I1816" i="1"/>
  <c r="L1816" i="1"/>
  <c r="M1816" i="1"/>
  <c r="V1816" i="1"/>
  <c r="W1816" i="1"/>
  <c r="A1587" i="1"/>
  <c r="D1587" i="1"/>
  <c r="F1587" i="1"/>
  <c r="H1587" i="1"/>
  <c r="I1587" i="1"/>
  <c r="L1587" i="1"/>
  <c r="M1587" i="1"/>
  <c r="V1587" i="1"/>
  <c r="W1587" i="1"/>
  <c r="A5949" i="1"/>
  <c r="D5949" i="1"/>
  <c r="F5949" i="1"/>
  <c r="H5949" i="1"/>
  <c r="I5949" i="1"/>
  <c r="L5949" i="1"/>
  <c r="M5949" i="1"/>
  <c r="V5949" i="1"/>
  <c r="W5949" i="1"/>
  <c r="A4872" i="1"/>
  <c r="D4872" i="1"/>
  <c r="F4872" i="1"/>
  <c r="H4872" i="1"/>
  <c r="I4872" i="1"/>
  <c r="L4872" i="1"/>
  <c r="M4872" i="1"/>
  <c r="V4872" i="1"/>
  <c r="W4872" i="1"/>
  <c r="A2989" i="1"/>
  <c r="D2989" i="1"/>
  <c r="F2989" i="1"/>
  <c r="H2989" i="1"/>
  <c r="I2989" i="1"/>
  <c r="L2989" i="1"/>
  <c r="M2989" i="1"/>
  <c r="V2989" i="1"/>
  <c r="W2989" i="1"/>
  <c r="A5925" i="1"/>
  <c r="D5925" i="1"/>
  <c r="F5925" i="1"/>
  <c r="H5925" i="1"/>
  <c r="I5925" i="1"/>
  <c r="L5925" i="1"/>
  <c r="M5925" i="1"/>
  <c r="V5925" i="1"/>
  <c r="W5925" i="1"/>
  <c r="A5270" i="1"/>
  <c r="D5270" i="1"/>
  <c r="F5270" i="1"/>
  <c r="H5270" i="1"/>
  <c r="I5270" i="1"/>
  <c r="L5270" i="1"/>
  <c r="M5270" i="1"/>
  <c r="V5270" i="1"/>
  <c r="W5270" i="1"/>
  <c r="A438" i="1"/>
  <c r="D438" i="1"/>
  <c r="F438" i="1"/>
  <c r="H438" i="1"/>
  <c r="I438" i="1"/>
  <c r="L438" i="1"/>
  <c r="M438" i="1"/>
  <c r="V438" i="1"/>
  <c r="W438" i="1"/>
  <c r="A219" i="1"/>
  <c r="D219" i="1"/>
  <c r="F219" i="1"/>
  <c r="H219" i="1"/>
  <c r="I219" i="1"/>
  <c r="L219" i="1"/>
  <c r="M219" i="1"/>
  <c r="V219" i="1"/>
  <c r="W219" i="1"/>
  <c r="A3593" i="1"/>
  <c r="D3593" i="1"/>
  <c r="F3593" i="1"/>
  <c r="H3593" i="1"/>
  <c r="I3593" i="1"/>
  <c r="L3593" i="1"/>
  <c r="M3593" i="1"/>
  <c r="V3593" i="1"/>
  <c r="W3593" i="1"/>
  <c r="A869" i="1"/>
  <c r="D869" i="1"/>
  <c r="F869" i="1"/>
  <c r="H869" i="1"/>
  <c r="I869" i="1"/>
  <c r="L869" i="1"/>
  <c r="M869" i="1"/>
  <c r="V869" i="1"/>
  <c r="W869" i="1"/>
  <c r="A1067" i="1"/>
  <c r="D1067" i="1"/>
  <c r="F1067" i="1"/>
  <c r="H1067" i="1"/>
  <c r="I1067" i="1"/>
  <c r="L1067" i="1"/>
  <c r="M1067" i="1"/>
  <c r="V1067" i="1"/>
  <c r="W1067" i="1"/>
  <c r="A2611" i="1"/>
  <c r="D2611" i="1"/>
  <c r="F2611" i="1"/>
  <c r="H2611" i="1"/>
  <c r="I2611" i="1"/>
  <c r="L2611" i="1"/>
  <c r="M2611" i="1"/>
  <c r="V2611" i="1"/>
  <c r="W2611" i="1"/>
  <c r="A1467" i="1"/>
  <c r="D1467" i="1"/>
  <c r="F1467" i="1"/>
  <c r="H1467" i="1"/>
  <c r="I1467" i="1"/>
  <c r="L1467" i="1"/>
  <c r="M1467" i="1"/>
  <c r="V1467" i="1"/>
  <c r="W1467" i="1"/>
  <c r="A3565" i="1"/>
  <c r="D3565" i="1"/>
  <c r="F3565" i="1"/>
  <c r="H3565" i="1"/>
  <c r="I3565" i="1"/>
  <c r="L3565" i="1"/>
  <c r="M3565" i="1"/>
  <c r="V3565" i="1"/>
  <c r="W3565" i="1"/>
  <c r="A4183" i="1"/>
  <c r="D4183" i="1"/>
  <c r="F4183" i="1"/>
  <c r="H4183" i="1"/>
  <c r="I4183" i="1"/>
  <c r="L4183" i="1"/>
  <c r="M4183" i="1"/>
  <c r="V4183" i="1"/>
  <c r="W4183" i="1"/>
  <c r="A646" i="1"/>
  <c r="D646" i="1"/>
  <c r="F646" i="1"/>
  <c r="H646" i="1"/>
  <c r="I646" i="1"/>
  <c r="L646" i="1"/>
  <c r="M646" i="1"/>
  <c r="V646" i="1"/>
  <c r="W646" i="1"/>
  <c r="A5036" i="1"/>
  <c r="D5036" i="1"/>
  <c r="F5036" i="1"/>
  <c r="H5036" i="1"/>
  <c r="I5036" i="1"/>
  <c r="L5036" i="1"/>
  <c r="M5036" i="1"/>
  <c r="V5036" i="1"/>
  <c r="W5036" i="1"/>
  <c r="A3310" i="1"/>
  <c r="D3310" i="1"/>
  <c r="F3310" i="1"/>
  <c r="H3310" i="1"/>
  <c r="I3310" i="1"/>
  <c r="L3310" i="1"/>
  <c r="M3310" i="1"/>
  <c r="V3310" i="1"/>
  <c r="W3310" i="1"/>
  <c r="A3337" i="1"/>
  <c r="D3337" i="1"/>
  <c r="F3337" i="1"/>
  <c r="H3337" i="1"/>
  <c r="I3337" i="1"/>
  <c r="L3337" i="1"/>
  <c r="M3337" i="1"/>
  <c r="V3337" i="1"/>
  <c r="W3337" i="1"/>
  <c r="A5082" i="1"/>
  <c r="D5082" i="1"/>
  <c r="F5082" i="1"/>
  <c r="H5082" i="1"/>
  <c r="I5082" i="1"/>
  <c r="L5082" i="1"/>
  <c r="M5082" i="1"/>
  <c r="V5082" i="1"/>
  <c r="W5082" i="1"/>
  <c r="A472" i="1"/>
  <c r="D472" i="1"/>
  <c r="F472" i="1"/>
  <c r="H472" i="1"/>
  <c r="I472" i="1"/>
  <c r="L472" i="1"/>
  <c r="M472" i="1"/>
  <c r="V472" i="1"/>
  <c r="W472" i="1"/>
  <c r="A531" i="1"/>
  <c r="D531" i="1"/>
  <c r="F531" i="1"/>
  <c r="H531" i="1"/>
  <c r="I531" i="1"/>
  <c r="L531" i="1"/>
  <c r="M531" i="1"/>
  <c r="V531" i="1"/>
  <c r="W531" i="1"/>
  <c r="A2939" i="1"/>
  <c r="D2939" i="1"/>
  <c r="F2939" i="1"/>
  <c r="H2939" i="1"/>
  <c r="I2939" i="1"/>
  <c r="L2939" i="1"/>
  <c r="M2939" i="1"/>
  <c r="V2939" i="1"/>
  <c r="W2939" i="1"/>
  <c r="A918" i="1"/>
  <c r="D918" i="1"/>
  <c r="F918" i="1"/>
  <c r="H918" i="1"/>
  <c r="I918" i="1"/>
  <c r="L918" i="1"/>
  <c r="M918" i="1"/>
  <c r="V918" i="1"/>
  <c r="W918" i="1"/>
  <c r="A3259" i="1"/>
  <c r="D3259" i="1"/>
  <c r="F3259" i="1"/>
  <c r="H3259" i="1"/>
  <c r="I3259" i="1"/>
  <c r="L3259" i="1"/>
  <c r="M3259" i="1"/>
  <c r="V3259" i="1"/>
  <c r="W3259" i="1"/>
  <c r="A933" i="1"/>
  <c r="D933" i="1"/>
  <c r="F933" i="1"/>
  <c r="H933" i="1"/>
  <c r="I933" i="1"/>
  <c r="L933" i="1"/>
  <c r="M933" i="1"/>
  <c r="V933" i="1"/>
  <c r="W933" i="1"/>
  <c r="A1412" i="1"/>
  <c r="D1412" i="1"/>
  <c r="F1412" i="1"/>
  <c r="H1412" i="1"/>
  <c r="I1412" i="1"/>
  <c r="L1412" i="1"/>
  <c r="M1412" i="1"/>
  <c r="V1412" i="1"/>
  <c r="W1412" i="1"/>
  <c r="A3331" i="1"/>
  <c r="D3331" i="1"/>
  <c r="F3331" i="1"/>
  <c r="H3331" i="1"/>
  <c r="I3331" i="1"/>
  <c r="L3331" i="1"/>
  <c r="M3331" i="1"/>
  <c r="V3331" i="1"/>
  <c r="W3331" i="1"/>
  <c r="A3394" i="1"/>
  <c r="D3394" i="1"/>
  <c r="F3394" i="1"/>
  <c r="H3394" i="1"/>
  <c r="I3394" i="1"/>
  <c r="L3394" i="1"/>
  <c r="M3394" i="1"/>
  <c r="V3394" i="1"/>
  <c r="W3394" i="1"/>
  <c r="A3412" i="1"/>
  <c r="D3412" i="1"/>
  <c r="F3412" i="1"/>
  <c r="H3412" i="1"/>
  <c r="I3412" i="1"/>
  <c r="L3412" i="1"/>
  <c r="M3412" i="1"/>
  <c r="V3412" i="1"/>
  <c r="W3412" i="1"/>
  <c r="A3461" i="1"/>
  <c r="D3461" i="1"/>
  <c r="F3461" i="1"/>
  <c r="H3461" i="1"/>
  <c r="I3461" i="1"/>
  <c r="L3461" i="1"/>
  <c r="M3461" i="1"/>
  <c r="V3461" i="1"/>
  <c r="W3461" i="1"/>
  <c r="A3498" i="1"/>
  <c r="D3498" i="1"/>
  <c r="F3498" i="1"/>
  <c r="H3498" i="1"/>
  <c r="I3498" i="1"/>
  <c r="L3498" i="1"/>
  <c r="M3498" i="1"/>
  <c r="V3498" i="1"/>
  <c r="W3498" i="1"/>
  <c r="A1191" i="1"/>
  <c r="D1191" i="1"/>
  <c r="F1191" i="1"/>
  <c r="H1191" i="1"/>
  <c r="I1191" i="1"/>
  <c r="L1191" i="1"/>
  <c r="M1191" i="1"/>
  <c r="V1191" i="1"/>
  <c r="W1191" i="1"/>
  <c r="A5097" i="1"/>
  <c r="D5097" i="1"/>
  <c r="F5097" i="1"/>
  <c r="H5097" i="1"/>
  <c r="I5097" i="1"/>
  <c r="L5097" i="1"/>
  <c r="M5097" i="1"/>
  <c r="V5097" i="1"/>
  <c r="W5097" i="1"/>
  <c r="A5240" i="1"/>
  <c r="D5240" i="1"/>
  <c r="F5240" i="1"/>
  <c r="H5240" i="1"/>
  <c r="I5240" i="1"/>
  <c r="L5240" i="1"/>
  <c r="M5240" i="1"/>
  <c r="V5240" i="1"/>
  <c r="W5240" i="1"/>
  <c r="A1451" i="1"/>
  <c r="D1451" i="1"/>
  <c r="F1451" i="1"/>
  <c r="H1451" i="1"/>
  <c r="I1451" i="1"/>
  <c r="L1451" i="1"/>
  <c r="M1451" i="1"/>
  <c r="V1451" i="1"/>
  <c r="W1451" i="1"/>
  <c r="A1696" i="1"/>
  <c r="D1696" i="1"/>
  <c r="F1696" i="1"/>
  <c r="H1696" i="1"/>
  <c r="I1696" i="1"/>
  <c r="L1696" i="1"/>
  <c r="M1696" i="1"/>
  <c r="V1696" i="1"/>
  <c r="W1696" i="1"/>
  <c r="A2628" i="1"/>
  <c r="D2628" i="1"/>
  <c r="F2628" i="1"/>
  <c r="H2628" i="1"/>
  <c r="I2628" i="1"/>
  <c r="L2628" i="1"/>
  <c r="M2628" i="1"/>
  <c r="V2628" i="1"/>
  <c r="W2628" i="1"/>
  <c r="A2923" i="1"/>
  <c r="D2923" i="1"/>
  <c r="F2923" i="1"/>
  <c r="H2923" i="1"/>
  <c r="I2923" i="1"/>
  <c r="L2923" i="1"/>
  <c r="M2923" i="1"/>
  <c r="V2923" i="1"/>
  <c r="W2923" i="1"/>
  <c r="A3158" i="1"/>
  <c r="D3158" i="1"/>
  <c r="F3158" i="1"/>
  <c r="H3158" i="1"/>
  <c r="I3158" i="1"/>
  <c r="L3158" i="1"/>
  <c r="M3158" i="1"/>
  <c r="V3158" i="1"/>
  <c r="W3158" i="1"/>
  <c r="A3422" i="1"/>
  <c r="D3422" i="1"/>
  <c r="F3422" i="1"/>
  <c r="H3422" i="1"/>
  <c r="I3422" i="1"/>
  <c r="L3422" i="1"/>
  <c r="M3422" i="1"/>
  <c r="V3422" i="1"/>
  <c r="W3422" i="1"/>
  <c r="A3761" i="1"/>
  <c r="D3761" i="1"/>
  <c r="F3761" i="1"/>
  <c r="H3761" i="1"/>
  <c r="I3761" i="1"/>
  <c r="L3761" i="1"/>
  <c r="M3761" i="1"/>
  <c r="V3761" i="1"/>
  <c r="W3761" i="1"/>
  <c r="A4521" i="1"/>
  <c r="D4521" i="1"/>
  <c r="F4521" i="1"/>
  <c r="H4521" i="1"/>
  <c r="I4521" i="1"/>
  <c r="L4521" i="1"/>
  <c r="M4521" i="1"/>
  <c r="V4521" i="1"/>
  <c r="W4521" i="1"/>
  <c r="A4638" i="1"/>
  <c r="D4638" i="1"/>
  <c r="F4638" i="1"/>
  <c r="H4638" i="1"/>
  <c r="I4638" i="1"/>
  <c r="L4638" i="1"/>
  <c r="M4638" i="1"/>
  <c r="V4638" i="1"/>
  <c r="W4638" i="1"/>
  <c r="A4755" i="1"/>
  <c r="D4755" i="1"/>
  <c r="F4755" i="1"/>
  <c r="H4755" i="1"/>
  <c r="I4755" i="1"/>
  <c r="L4755" i="1"/>
  <c r="M4755" i="1"/>
  <c r="V4755" i="1"/>
  <c r="W4755" i="1"/>
  <c r="A4799" i="1"/>
  <c r="D4799" i="1"/>
  <c r="F4799" i="1"/>
  <c r="H4799" i="1"/>
  <c r="I4799" i="1"/>
  <c r="L4799" i="1"/>
  <c r="M4799" i="1"/>
  <c r="V4799" i="1"/>
  <c r="W4799" i="1"/>
  <c r="A4947" i="1"/>
  <c r="D4947" i="1"/>
  <c r="F4947" i="1"/>
  <c r="H4947" i="1"/>
  <c r="I4947" i="1"/>
  <c r="L4947" i="1"/>
  <c r="M4947" i="1"/>
  <c r="V4947" i="1"/>
  <c r="W4947" i="1"/>
  <c r="A5569" i="1"/>
  <c r="D5569" i="1"/>
  <c r="F5569" i="1"/>
  <c r="H5569" i="1"/>
  <c r="I5569" i="1"/>
  <c r="L5569" i="1"/>
  <c r="M5569" i="1"/>
  <c r="V5569" i="1"/>
  <c r="W5569" i="1"/>
  <c r="A5715" i="1"/>
  <c r="D5715" i="1"/>
  <c r="F5715" i="1"/>
  <c r="H5715" i="1"/>
  <c r="I5715" i="1"/>
  <c r="L5715" i="1"/>
  <c r="M5715" i="1"/>
  <c r="V5715" i="1"/>
  <c r="W5715" i="1"/>
  <c r="A5991" i="1"/>
  <c r="D5991" i="1"/>
  <c r="F5991" i="1"/>
  <c r="H5991" i="1"/>
  <c r="I5991" i="1"/>
  <c r="L5991" i="1"/>
  <c r="M5991" i="1"/>
  <c r="V5991" i="1"/>
  <c r="W5991" i="1"/>
  <c r="A6124" i="1"/>
  <c r="D6124" i="1"/>
  <c r="F6124" i="1"/>
  <c r="H6124" i="1"/>
  <c r="I6124" i="1"/>
  <c r="L6124" i="1"/>
  <c r="M6124" i="1"/>
  <c r="V6124" i="1"/>
  <c r="W6124" i="1"/>
  <c r="A6049" i="1"/>
  <c r="D6049" i="1"/>
  <c r="F6049" i="1"/>
  <c r="H6049" i="1"/>
  <c r="I6049" i="1"/>
  <c r="L6049" i="1"/>
  <c r="M6049" i="1"/>
  <c r="V6049" i="1"/>
  <c r="W6049" i="1"/>
  <c r="A6091" i="1"/>
  <c r="D6091" i="1"/>
  <c r="F6091" i="1"/>
  <c r="H6091" i="1"/>
  <c r="I6091" i="1"/>
  <c r="L6091" i="1"/>
  <c r="M6091" i="1"/>
  <c r="V6091" i="1"/>
  <c r="W6091" i="1"/>
  <c r="A2857" i="1"/>
  <c r="D2857" i="1"/>
  <c r="F2857" i="1"/>
  <c r="H2857" i="1"/>
  <c r="I2857" i="1"/>
  <c r="L2857" i="1"/>
  <c r="M2857" i="1"/>
  <c r="V2857" i="1"/>
  <c r="W2857" i="1"/>
  <c r="A745" i="1"/>
  <c r="D745" i="1"/>
  <c r="F745" i="1"/>
  <c r="H745" i="1"/>
  <c r="I745" i="1"/>
  <c r="L745" i="1"/>
  <c r="M745" i="1"/>
  <c r="V745" i="1"/>
  <c r="W745" i="1"/>
  <c r="A896" i="1"/>
  <c r="D896" i="1"/>
  <c r="F896" i="1"/>
  <c r="H896" i="1"/>
  <c r="I896" i="1"/>
  <c r="L896" i="1"/>
  <c r="M896" i="1"/>
  <c r="V896" i="1"/>
  <c r="W896" i="1"/>
  <c r="A707" i="1"/>
  <c r="D707" i="1"/>
  <c r="F707" i="1"/>
  <c r="H707" i="1"/>
  <c r="I707" i="1"/>
  <c r="L707" i="1"/>
  <c r="M707" i="1"/>
  <c r="V707" i="1"/>
  <c r="W707" i="1"/>
  <c r="A867" i="1"/>
  <c r="D867" i="1"/>
  <c r="F867" i="1"/>
  <c r="H867" i="1"/>
  <c r="I867" i="1"/>
  <c r="L867" i="1"/>
  <c r="M867" i="1"/>
  <c r="V867" i="1"/>
  <c r="W867" i="1"/>
  <c r="A5337" i="1"/>
  <c r="D5337" i="1"/>
  <c r="F5337" i="1"/>
  <c r="H5337" i="1"/>
  <c r="I5337" i="1"/>
  <c r="L5337" i="1"/>
  <c r="M5337" i="1"/>
  <c r="V5337" i="1"/>
  <c r="W5337" i="1"/>
  <c r="A5256" i="1"/>
  <c r="D5256" i="1"/>
  <c r="F5256" i="1"/>
  <c r="H5256" i="1"/>
  <c r="I5256" i="1"/>
  <c r="L5256" i="1"/>
  <c r="M5256" i="1"/>
  <c r="V5256" i="1"/>
  <c r="W5256" i="1"/>
  <c r="A5276" i="1"/>
  <c r="D5276" i="1"/>
  <c r="F5276" i="1"/>
  <c r="H5276" i="1"/>
  <c r="I5276" i="1"/>
  <c r="L5276" i="1"/>
  <c r="M5276" i="1"/>
  <c r="V5276" i="1"/>
  <c r="W5276" i="1"/>
  <c r="A2345" i="1"/>
  <c r="D2345" i="1"/>
  <c r="F2345" i="1"/>
  <c r="H2345" i="1"/>
  <c r="I2345" i="1"/>
  <c r="L2345" i="1"/>
  <c r="M2345" i="1"/>
  <c r="V2345" i="1"/>
  <c r="W2345" i="1"/>
  <c r="A116" i="1"/>
  <c r="D116" i="1"/>
  <c r="F116" i="1"/>
  <c r="H116" i="1"/>
  <c r="I116" i="1"/>
  <c r="L116" i="1"/>
  <c r="M116" i="1"/>
  <c r="V116" i="1"/>
  <c r="W116" i="1"/>
  <c r="A160" i="1"/>
  <c r="D160" i="1"/>
  <c r="F160" i="1"/>
  <c r="H160" i="1"/>
  <c r="I160" i="1"/>
  <c r="L160" i="1"/>
  <c r="M160" i="1"/>
  <c r="V160" i="1"/>
  <c r="W160" i="1"/>
  <c r="A186" i="1"/>
  <c r="D186" i="1"/>
  <c r="F186" i="1"/>
  <c r="H186" i="1"/>
  <c r="I186" i="1"/>
  <c r="L186" i="1"/>
  <c r="M186" i="1"/>
  <c r="V186" i="1"/>
  <c r="W186" i="1"/>
  <c r="A5078" i="1"/>
  <c r="D5078" i="1"/>
  <c r="F5078" i="1"/>
  <c r="H5078" i="1"/>
  <c r="I5078" i="1"/>
  <c r="L5078" i="1"/>
  <c r="M5078" i="1"/>
  <c r="V5078" i="1"/>
  <c r="W5078" i="1"/>
  <c r="A85" i="1"/>
  <c r="D85" i="1"/>
  <c r="F85" i="1"/>
  <c r="H85" i="1"/>
  <c r="I85" i="1"/>
  <c r="L85" i="1"/>
  <c r="M85" i="1"/>
  <c r="V85" i="1"/>
  <c r="W85" i="1"/>
  <c r="A332" i="1"/>
  <c r="D332" i="1"/>
  <c r="F332" i="1"/>
  <c r="H332" i="1"/>
  <c r="I332" i="1"/>
  <c r="L332" i="1"/>
  <c r="M332" i="1"/>
  <c r="V332" i="1"/>
  <c r="W332" i="1"/>
  <c r="A681" i="1"/>
  <c r="D681" i="1"/>
  <c r="F681" i="1"/>
  <c r="H681" i="1"/>
  <c r="I681" i="1"/>
  <c r="L681" i="1"/>
  <c r="M681" i="1"/>
  <c r="V681" i="1"/>
  <c r="W681" i="1"/>
  <c r="A740" i="1"/>
  <c r="D740" i="1"/>
  <c r="F740" i="1"/>
  <c r="H740" i="1"/>
  <c r="I740" i="1"/>
  <c r="L740" i="1"/>
  <c r="M740" i="1"/>
  <c r="V740" i="1"/>
  <c r="W740" i="1"/>
  <c r="A2894" i="1"/>
  <c r="D2894" i="1"/>
  <c r="F2894" i="1"/>
  <c r="H2894" i="1"/>
  <c r="I2894" i="1"/>
  <c r="L2894" i="1"/>
  <c r="M2894" i="1"/>
  <c r="V2894" i="1"/>
  <c r="W2894" i="1"/>
  <c r="A3083" i="1"/>
  <c r="D3083" i="1"/>
  <c r="F3083" i="1"/>
  <c r="H3083" i="1"/>
  <c r="I3083" i="1"/>
  <c r="L3083" i="1"/>
  <c r="M3083" i="1"/>
  <c r="V3083" i="1"/>
  <c r="W3083" i="1"/>
  <c r="A3402" i="1"/>
  <c r="D3402" i="1"/>
  <c r="F3402" i="1"/>
  <c r="H3402" i="1"/>
  <c r="I3402" i="1"/>
  <c r="L3402" i="1"/>
  <c r="M3402" i="1"/>
  <c r="V3402" i="1"/>
  <c r="W3402" i="1"/>
  <c r="A3640" i="1"/>
  <c r="D3640" i="1"/>
  <c r="F3640" i="1"/>
  <c r="H3640" i="1"/>
  <c r="I3640" i="1"/>
  <c r="L3640" i="1"/>
  <c r="M3640" i="1"/>
  <c r="V3640" i="1"/>
  <c r="W3640" i="1"/>
  <c r="A3744" i="1"/>
  <c r="D3744" i="1"/>
  <c r="F3744" i="1"/>
  <c r="H3744" i="1"/>
  <c r="I3744" i="1"/>
  <c r="L3744" i="1"/>
  <c r="M3744" i="1"/>
  <c r="V3744" i="1"/>
  <c r="W3744" i="1"/>
  <c r="A4401" i="1"/>
  <c r="D4401" i="1"/>
  <c r="F4401" i="1"/>
  <c r="H4401" i="1"/>
  <c r="I4401" i="1"/>
  <c r="L4401" i="1"/>
  <c r="M4401" i="1"/>
  <c r="V4401" i="1"/>
  <c r="W4401" i="1"/>
  <c r="A4433" i="1"/>
  <c r="D4433" i="1"/>
  <c r="F4433" i="1"/>
  <c r="H4433" i="1"/>
  <c r="I4433" i="1"/>
  <c r="L4433" i="1"/>
  <c r="M4433" i="1"/>
  <c r="V4433" i="1"/>
  <c r="W4433" i="1"/>
  <c r="A4511" i="1"/>
  <c r="D4511" i="1"/>
  <c r="F4511" i="1"/>
  <c r="H4511" i="1"/>
  <c r="I4511" i="1"/>
  <c r="L4511" i="1"/>
  <c r="M4511" i="1"/>
  <c r="V4511" i="1"/>
  <c r="W4511" i="1"/>
  <c r="A4560" i="1"/>
  <c r="D4560" i="1"/>
  <c r="F4560" i="1"/>
  <c r="H4560" i="1"/>
  <c r="I4560" i="1"/>
  <c r="L4560" i="1"/>
  <c r="M4560" i="1"/>
  <c r="V4560" i="1"/>
  <c r="W4560" i="1"/>
  <c r="A4621" i="1"/>
  <c r="D4621" i="1"/>
  <c r="F4621" i="1"/>
  <c r="H4621" i="1"/>
  <c r="I4621" i="1"/>
  <c r="L4621" i="1"/>
  <c r="M4621" i="1"/>
  <c r="V4621" i="1"/>
  <c r="W4621" i="1"/>
  <c r="A4678" i="1"/>
  <c r="D4678" i="1"/>
  <c r="F4678" i="1"/>
  <c r="H4678" i="1"/>
  <c r="I4678" i="1"/>
  <c r="L4678" i="1"/>
  <c r="M4678" i="1"/>
  <c r="V4678" i="1"/>
  <c r="W4678" i="1"/>
  <c r="A4738" i="1"/>
  <c r="D4738" i="1"/>
  <c r="F4738" i="1"/>
  <c r="H4738" i="1"/>
  <c r="I4738" i="1"/>
  <c r="L4738" i="1"/>
  <c r="M4738" i="1"/>
  <c r="V4738" i="1"/>
  <c r="W4738" i="1"/>
  <c r="A5272" i="1"/>
  <c r="D5272" i="1"/>
  <c r="F5272" i="1"/>
  <c r="H5272" i="1"/>
  <c r="I5272" i="1"/>
  <c r="L5272" i="1"/>
  <c r="M5272" i="1"/>
  <c r="V5272" i="1"/>
  <c r="W5272" i="1"/>
  <c r="A5287" i="1"/>
  <c r="D5287" i="1"/>
  <c r="F5287" i="1"/>
  <c r="H5287" i="1"/>
  <c r="I5287" i="1"/>
  <c r="L5287" i="1"/>
  <c r="M5287" i="1"/>
  <c r="V5287" i="1"/>
  <c r="W5287" i="1"/>
  <c r="A5322" i="1"/>
  <c r="D5322" i="1"/>
  <c r="F5322" i="1"/>
  <c r="H5322" i="1"/>
  <c r="I5322" i="1"/>
  <c r="L5322" i="1"/>
  <c r="M5322" i="1"/>
  <c r="V5322" i="1"/>
  <c r="W5322" i="1"/>
  <c r="A5343" i="1"/>
  <c r="D5343" i="1"/>
  <c r="F5343" i="1"/>
  <c r="H5343" i="1"/>
  <c r="I5343" i="1"/>
  <c r="L5343" i="1"/>
  <c r="M5343" i="1"/>
  <c r="V5343" i="1"/>
  <c r="W5343" i="1"/>
  <c r="A1045" i="1"/>
  <c r="D1045" i="1"/>
  <c r="F1045" i="1"/>
  <c r="H1045" i="1"/>
  <c r="I1045" i="1"/>
  <c r="L1045" i="1"/>
  <c r="M1045" i="1"/>
  <c r="V1045" i="1"/>
  <c r="W1045" i="1"/>
  <c r="A3634" i="1"/>
  <c r="D3634" i="1"/>
  <c r="F3634" i="1"/>
  <c r="H3634" i="1"/>
  <c r="I3634" i="1"/>
  <c r="L3634" i="1"/>
  <c r="M3634" i="1"/>
  <c r="V3634" i="1"/>
  <c r="W3634" i="1"/>
  <c r="A4111" i="1"/>
  <c r="D4111" i="1"/>
  <c r="F4111" i="1"/>
  <c r="H4111" i="1"/>
  <c r="I4111" i="1"/>
  <c r="L4111" i="1"/>
  <c r="M4111" i="1"/>
  <c r="V4111" i="1"/>
  <c r="W4111" i="1"/>
  <c r="A3213" i="1"/>
  <c r="D3213" i="1"/>
  <c r="F3213" i="1"/>
  <c r="H3213" i="1"/>
  <c r="I3213" i="1"/>
  <c r="L3213" i="1"/>
  <c r="M3213" i="1"/>
  <c r="V3213" i="1"/>
  <c r="W3213" i="1"/>
  <c r="A4177" i="1"/>
  <c r="D4177" i="1"/>
  <c r="F4177" i="1"/>
  <c r="H4177" i="1"/>
  <c r="I4177" i="1"/>
  <c r="L4177" i="1"/>
  <c r="M4177" i="1"/>
  <c r="V4177" i="1"/>
  <c r="W4177" i="1"/>
  <c r="A4323" i="1"/>
  <c r="D4323" i="1"/>
  <c r="F4323" i="1"/>
  <c r="H4323" i="1"/>
  <c r="I4323" i="1"/>
  <c r="L4323" i="1"/>
  <c r="M4323" i="1"/>
  <c r="V4323" i="1"/>
  <c r="W4323" i="1"/>
  <c r="A4790" i="1"/>
  <c r="D4790" i="1"/>
  <c r="F4790" i="1"/>
  <c r="H4790" i="1"/>
  <c r="I4790" i="1"/>
  <c r="L4790" i="1"/>
  <c r="M4790" i="1"/>
  <c r="V4790" i="1"/>
  <c r="W4790" i="1"/>
  <c r="A4820" i="1"/>
  <c r="D4820" i="1"/>
  <c r="F4820" i="1"/>
  <c r="H4820" i="1"/>
  <c r="I4820" i="1"/>
  <c r="L4820" i="1"/>
  <c r="M4820" i="1"/>
  <c r="V4820" i="1"/>
  <c r="W4820" i="1"/>
  <c r="A5320" i="1"/>
  <c r="D5320" i="1"/>
  <c r="F5320" i="1"/>
  <c r="H5320" i="1"/>
  <c r="I5320" i="1"/>
  <c r="L5320" i="1"/>
  <c r="M5320" i="1"/>
  <c r="V5320" i="1"/>
  <c r="W5320" i="1"/>
  <c r="A5327" i="1"/>
  <c r="D5327" i="1"/>
  <c r="F5327" i="1"/>
  <c r="H5327" i="1"/>
  <c r="I5327" i="1"/>
  <c r="L5327" i="1"/>
  <c r="M5327" i="1"/>
  <c r="V5327" i="1"/>
  <c r="W5327" i="1"/>
  <c r="A2639" i="1"/>
  <c r="D2639" i="1"/>
  <c r="F2639" i="1"/>
  <c r="H2639" i="1"/>
  <c r="I2639" i="1"/>
  <c r="L2639" i="1"/>
  <c r="M2639" i="1"/>
  <c r="V2639" i="1"/>
  <c r="W2639" i="1"/>
  <c r="A4131" i="1"/>
  <c r="D4131" i="1"/>
  <c r="F4131" i="1"/>
  <c r="H4131" i="1"/>
  <c r="I4131" i="1"/>
  <c r="L4131" i="1"/>
  <c r="M4131" i="1"/>
  <c r="V4131" i="1"/>
  <c r="W4131" i="1"/>
  <c r="A1316" i="1"/>
  <c r="D1316" i="1"/>
  <c r="F1316" i="1"/>
  <c r="H1316" i="1"/>
  <c r="I1316" i="1"/>
  <c r="L1316" i="1"/>
  <c r="M1316" i="1"/>
  <c r="V1316" i="1"/>
  <c r="W1316" i="1"/>
  <c r="A2020" i="1"/>
  <c r="D2020" i="1"/>
  <c r="F2020" i="1"/>
  <c r="H2020" i="1"/>
  <c r="I2020" i="1"/>
  <c r="L2020" i="1"/>
  <c r="M2020" i="1"/>
  <c r="V2020" i="1"/>
  <c r="W2020" i="1"/>
  <c r="A4710" i="1"/>
  <c r="D4710" i="1"/>
  <c r="F4710" i="1"/>
  <c r="H4710" i="1"/>
  <c r="I4710" i="1"/>
  <c r="L4710" i="1"/>
  <c r="M4710" i="1"/>
  <c r="V4710" i="1"/>
  <c r="W4710" i="1"/>
  <c r="A2646" i="1"/>
  <c r="D2646" i="1"/>
  <c r="F2646" i="1"/>
  <c r="H2646" i="1"/>
  <c r="I2646" i="1"/>
  <c r="L2646" i="1"/>
  <c r="M2646" i="1"/>
  <c r="V2646" i="1"/>
  <c r="W2646" i="1"/>
  <c r="A2959" i="1"/>
  <c r="D2959" i="1"/>
  <c r="F2959" i="1"/>
  <c r="H2959" i="1"/>
  <c r="I2959" i="1"/>
  <c r="L2959" i="1"/>
  <c r="M2959" i="1"/>
  <c r="V2959" i="1"/>
  <c r="W2959" i="1"/>
  <c r="A3243" i="1"/>
  <c r="D3243" i="1"/>
  <c r="F3243" i="1"/>
  <c r="H3243" i="1"/>
  <c r="I3243" i="1"/>
  <c r="L3243" i="1"/>
  <c r="M3243" i="1"/>
  <c r="V3243" i="1"/>
  <c r="W3243" i="1"/>
  <c r="A364" i="1"/>
  <c r="D364" i="1"/>
  <c r="F364" i="1"/>
  <c r="H364" i="1"/>
  <c r="I364" i="1"/>
  <c r="L364" i="1"/>
  <c r="M364" i="1"/>
  <c r="V364" i="1"/>
  <c r="W364" i="1"/>
  <c r="A1362" i="1"/>
  <c r="D1362" i="1"/>
  <c r="F1362" i="1"/>
  <c r="H1362" i="1"/>
  <c r="I1362" i="1"/>
  <c r="L1362" i="1"/>
  <c r="M1362" i="1"/>
  <c r="V1362" i="1"/>
  <c r="W1362" i="1"/>
  <c r="A1935" i="1"/>
  <c r="D1935" i="1"/>
  <c r="F1935" i="1"/>
  <c r="H1935" i="1"/>
  <c r="I1935" i="1"/>
  <c r="L1935" i="1"/>
  <c r="M1935" i="1"/>
  <c r="V1935" i="1"/>
  <c r="W1935" i="1"/>
  <c r="A322" i="1"/>
  <c r="D322" i="1"/>
  <c r="F322" i="1"/>
  <c r="H322" i="1"/>
  <c r="I322" i="1"/>
  <c r="L322" i="1"/>
  <c r="M322" i="1"/>
  <c r="V322" i="1"/>
  <c r="W322" i="1"/>
  <c r="A1779" i="1"/>
  <c r="D1779" i="1"/>
  <c r="F1779" i="1"/>
  <c r="H1779" i="1"/>
  <c r="I1779" i="1"/>
  <c r="L1779" i="1"/>
  <c r="M1779" i="1"/>
  <c r="V1779" i="1"/>
  <c r="W1779" i="1"/>
  <c r="A6054" i="1"/>
  <c r="D6054" i="1"/>
  <c r="F6054" i="1"/>
  <c r="H6054" i="1"/>
  <c r="I6054" i="1"/>
  <c r="L6054" i="1"/>
  <c r="M6054" i="1"/>
  <c r="V6054" i="1"/>
  <c r="W6054" i="1"/>
  <c r="A1863" i="1"/>
  <c r="D1863" i="1"/>
  <c r="F1863" i="1"/>
  <c r="H1863" i="1"/>
  <c r="I1863" i="1"/>
  <c r="L1863" i="1"/>
  <c r="M1863" i="1"/>
  <c r="V1863" i="1"/>
  <c r="W1863" i="1"/>
  <c r="A5700" i="1"/>
  <c r="D5700" i="1"/>
  <c r="F5700" i="1"/>
  <c r="H5700" i="1"/>
  <c r="I5700" i="1"/>
  <c r="L5700" i="1"/>
  <c r="M5700" i="1"/>
  <c r="V5700" i="1"/>
  <c r="W5700" i="1"/>
  <c r="A2493" i="1"/>
  <c r="D2493" i="1"/>
  <c r="F2493" i="1"/>
  <c r="H2493" i="1"/>
  <c r="I2493" i="1"/>
  <c r="L2493" i="1"/>
  <c r="M2493" i="1"/>
  <c r="V2493" i="1"/>
  <c r="W2493" i="1"/>
  <c r="A4962" i="1"/>
  <c r="D4962" i="1"/>
  <c r="F4962" i="1"/>
  <c r="H4962" i="1"/>
  <c r="I4962" i="1"/>
  <c r="L4962" i="1"/>
  <c r="M4962" i="1"/>
  <c r="V4962" i="1"/>
  <c r="W4962" i="1"/>
  <c r="A327" i="1"/>
  <c r="D327" i="1"/>
  <c r="F327" i="1"/>
  <c r="H327" i="1"/>
  <c r="I327" i="1"/>
  <c r="L327" i="1"/>
  <c r="M327" i="1"/>
  <c r="V327" i="1"/>
  <c r="W327" i="1"/>
  <c r="A448" i="1"/>
  <c r="D448" i="1"/>
  <c r="F448" i="1"/>
  <c r="H448" i="1"/>
  <c r="I448" i="1"/>
  <c r="L448" i="1"/>
  <c r="M448" i="1"/>
  <c r="V448" i="1"/>
  <c r="W448" i="1"/>
  <c r="A900" i="1"/>
  <c r="D900" i="1"/>
  <c r="F900" i="1"/>
  <c r="H900" i="1"/>
  <c r="I900" i="1"/>
  <c r="L900" i="1"/>
  <c r="M900" i="1"/>
  <c r="V900" i="1"/>
  <c r="W900" i="1"/>
  <c r="A1232" i="1"/>
  <c r="D1232" i="1"/>
  <c r="F1232" i="1"/>
  <c r="H1232" i="1"/>
  <c r="I1232" i="1"/>
  <c r="L1232" i="1"/>
  <c r="M1232" i="1"/>
  <c r="V1232" i="1"/>
  <c r="W1232" i="1"/>
  <c r="A1828" i="1"/>
  <c r="D1828" i="1"/>
  <c r="F1828" i="1"/>
  <c r="H1828" i="1"/>
  <c r="I1828" i="1"/>
  <c r="L1828" i="1"/>
  <c r="M1828" i="1"/>
  <c r="V1828" i="1"/>
  <c r="W1828" i="1"/>
  <c r="A2047" i="1"/>
  <c r="D2047" i="1"/>
  <c r="F2047" i="1"/>
  <c r="H2047" i="1"/>
  <c r="I2047" i="1"/>
  <c r="L2047" i="1"/>
  <c r="M2047" i="1"/>
  <c r="V2047" i="1"/>
  <c r="W2047" i="1"/>
  <c r="A2733" i="1"/>
  <c r="D2733" i="1"/>
  <c r="F2733" i="1"/>
  <c r="H2733" i="1"/>
  <c r="I2733" i="1"/>
  <c r="L2733" i="1"/>
  <c r="M2733" i="1"/>
  <c r="V2733" i="1"/>
  <c r="W2733" i="1"/>
  <c r="A3260" i="1"/>
  <c r="D3260" i="1"/>
  <c r="F3260" i="1"/>
  <c r="H3260" i="1"/>
  <c r="I3260" i="1"/>
  <c r="L3260" i="1"/>
  <c r="M3260" i="1"/>
  <c r="V3260" i="1"/>
  <c r="W3260" i="1"/>
  <c r="A3641" i="1"/>
  <c r="D3641" i="1"/>
  <c r="F3641" i="1"/>
  <c r="H3641" i="1"/>
  <c r="I3641" i="1"/>
  <c r="L3641" i="1"/>
  <c r="M3641" i="1"/>
  <c r="V3641" i="1"/>
  <c r="W3641" i="1"/>
  <c r="A3732" i="1"/>
  <c r="D3732" i="1"/>
  <c r="F3732" i="1"/>
  <c r="H3732" i="1"/>
  <c r="I3732" i="1"/>
  <c r="L3732" i="1"/>
  <c r="M3732" i="1"/>
  <c r="V3732" i="1"/>
  <c r="W3732" i="1"/>
  <c r="A4434" i="1"/>
  <c r="D4434" i="1"/>
  <c r="F4434" i="1"/>
  <c r="H4434" i="1"/>
  <c r="I4434" i="1"/>
  <c r="L4434" i="1"/>
  <c r="M4434" i="1"/>
  <c r="V4434" i="1"/>
  <c r="W4434" i="1"/>
  <c r="A4509" i="1"/>
  <c r="D4509" i="1"/>
  <c r="F4509" i="1"/>
  <c r="H4509" i="1"/>
  <c r="I4509" i="1"/>
  <c r="L4509" i="1"/>
  <c r="M4509" i="1"/>
  <c r="V4509" i="1"/>
  <c r="W4509" i="1"/>
  <c r="A4679" i="1"/>
  <c r="D4679" i="1"/>
  <c r="F4679" i="1"/>
  <c r="H4679" i="1"/>
  <c r="I4679" i="1"/>
  <c r="L4679" i="1"/>
  <c r="M4679" i="1"/>
  <c r="V4679" i="1"/>
  <c r="W4679" i="1"/>
  <c r="A4735" i="1"/>
  <c r="D4735" i="1"/>
  <c r="F4735" i="1"/>
  <c r="H4735" i="1"/>
  <c r="I4735" i="1"/>
  <c r="L4735" i="1"/>
  <c r="M4735" i="1"/>
  <c r="V4735" i="1"/>
  <c r="W4735" i="1"/>
  <c r="A4933" i="1"/>
  <c r="D4933" i="1"/>
  <c r="F4933" i="1"/>
  <c r="H4933" i="1"/>
  <c r="I4933" i="1"/>
  <c r="L4933" i="1"/>
  <c r="M4933" i="1"/>
  <c r="V4933" i="1"/>
  <c r="W4933" i="1"/>
  <c r="A4985" i="1"/>
  <c r="D4985" i="1"/>
  <c r="F4985" i="1"/>
  <c r="H4985" i="1"/>
  <c r="I4985" i="1"/>
  <c r="L4985" i="1"/>
  <c r="M4985" i="1"/>
  <c r="V4985" i="1"/>
  <c r="W4985" i="1"/>
  <c r="A5476" i="1"/>
  <c r="D5476" i="1"/>
  <c r="F5476" i="1"/>
  <c r="H5476" i="1"/>
  <c r="I5476" i="1"/>
  <c r="L5476" i="1"/>
  <c r="M5476" i="1"/>
  <c r="V5476" i="1"/>
  <c r="W5476" i="1"/>
  <c r="A5553" i="1"/>
  <c r="D5553" i="1"/>
  <c r="F5553" i="1"/>
  <c r="H5553" i="1"/>
  <c r="I5553" i="1"/>
  <c r="L5553" i="1"/>
  <c r="M5553" i="1"/>
  <c r="V5553" i="1"/>
  <c r="W5553" i="1"/>
  <c r="A5829" i="1"/>
  <c r="D5829" i="1"/>
  <c r="F5829" i="1"/>
  <c r="H5829" i="1"/>
  <c r="I5829" i="1"/>
  <c r="L5829" i="1"/>
  <c r="M5829" i="1"/>
  <c r="V5829" i="1"/>
  <c r="W5829" i="1"/>
  <c r="A5836" i="1"/>
  <c r="D5836" i="1"/>
  <c r="F5836" i="1"/>
  <c r="H5836" i="1"/>
  <c r="I5836" i="1"/>
  <c r="L5836" i="1"/>
  <c r="M5836" i="1"/>
  <c r="V5836" i="1"/>
  <c r="W5836" i="1"/>
  <c r="A6102" i="1"/>
  <c r="D6102" i="1"/>
  <c r="F6102" i="1"/>
  <c r="H6102" i="1"/>
  <c r="I6102" i="1"/>
  <c r="L6102" i="1"/>
  <c r="M6102" i="1"/>
  <c r="V6102" i="1"/>
  <c r="W6102" i="1"/>
  <c r="A6212" i="1"/>
  <c r="D6212" i="1"/>
  <c r="F6212" i="1"/>
  <c r="H6212" i="1"/>
  <c r="I6212" i="1"/>
  <c r="L6212" i="1"/>
  <c r="M6212" i="1"/>
  <c r="V6212" i="1"/>
  <c r="W6212" i="1"/>
  <c r="A343" i="1"/>
  <c r="D343" i="1"/>
  <c r="F343" i="1"/>
  <c r="H343" i="1"/>
  <c r="I343" i="1"/>
  <c r="L343" i="1"/>
  <c r="M343" i="1"/>
  <c r="V343" i="1"/>
  <c r="W343" i="1"/>
  <c r="A1053" i="1"/>
  <c r="D1053" i="1"/>
  <c r="F1053" i="1"/>
  <c r="H1053" i="1"/>
  <c r="I1053" i="1"/>
  <c r="L1053" i="1"/>
  <c r="M1053" i="1"/>
  <c r="V1053" i="1"/>
  <c r="W1053" i="1"/>
  <c r="A3906" i="1"/>
  <c r="D3906" i="1"/>
  <c r="F3906" i="1"/>
  <c r="H3906" i="1"/>
  <c r="I3906" i="1"/>
  <c r="L3906" i="1"/>
  <c r="M3906" i="1"/>
  <c r="V3906" i="1"/>
  <c r="W3906" i="1"/>
  <c r="A4318" i="1"/>
  <c r="D4318" i="1"/>
  <c r="F4318" i="1"/>
  <c r="H4318" i="1"/>
  <c r="I4318" i="1"/>
  <c r="L4318" i="1"/>
  <c r="M4318" i="1"/>
  <c r="V4318" i="1"/>
  <c r="W4318" i="1"/>
  <c r="A4625" i="1"/>
  <c r="D4625" i="1"/>
  <c r="F4625" i="1"/>
  <c r="H4625" i="1"/>
  <c r="I4625" i="1"/>
  <c r="L4625" i="1"/>
  <c r="M4625" i="1"/>
  <c r="V4625" i="1"/>
  <c r="W4625" i="1"/>
  <c r="A3570" i="1"/>
  <c r="D3570" i="1"/>
  <c r="F3570" i="1"/>
  <c r="H3570" i="1"/>
  <c r="I3570" i="1"/>
  <c r="L3570" i="1"/>
  <c r="M3570" i="1"/>
  <c r="V3570" i="1"/>
  <c r="W3570" i="1"/>
  <c r="A678" i="1"/>
  <c r="D678" i="1"/>
  <c r="F678" i="1"/>
  <c r="H678" i="1"/>
  <c r="I678" i="1"/>
  <c r="L678" i="1"/>
  <c r="M678" i="1"/>
  <c r="V678" i="1"/>
  <c r="W678" i="1"/>
  <c r="A1209" i="1"/>
  <c r="D1209" i="1"/>
  <c r="F1209" i="1"/>
  <c r="H1209" i="1"/>
  <c r="I1209" i="1"/>
  <c r="L1209" i="1"/>
  <c r="M1209" i="1"/>
  <c r="V1209" i="1"/>
  <c r="W1209" i="1"/>
  <c r="A5466" i="1"/>
  <c r="D5466" i="1"/>
  <c r="F5466" i="1"/>
  <c r="H5466" i="1"/>
  <c r="I5466" i="1"/>
  <c r="L5466" i="1"/>
  <c r="M5466" i="1"/>
  <c r="V5466" i="1"/>
  <c r="W5466" i="1"/>
  <c r="A5817" i="1"/>
  <c r="D5817" i="1"/>
  <c r="F5817" i="1"/>
  <c r="H5817" i="1"/>
  <c r="I5817" i="1"/>
  <c r="L5817" i="1"/>
  <c r="M5817" i="1"/>
  <c r="V5817" i="1"/>
  <c r="W5817" i="1"/>
  <c r="A60" i="1"/>
  <c r="D60" i="1"/>
  <c r="F60" i="1"/>
  <c r="H60" i="1"/>
  <c r="I60" i="1"/>
  <c r="L60" i="1"/>
  <c r="M60" i="1"/>
  <c r="V60" i="1"/>
  <c r="W60" i="1"/>
  <c r="A903" i="1"/>
  <c r="D903" i="1"/>
  <c r="F903" i="1"/>
  <c r="H903" i="1"/>
  <c r="I903" i="1"/>
  <c r="L903" i="1"/>
  <c r="M903" i="1"/>
  <c r="V903" i="1"/>
  <c r="W903" i="1"/>
  <c r="A5643" i="1"/>
  <c r="D5643" i="1"/>
  <c r="F5643" i="1"/>
  <c r="H5643" i="1"/>
  <c r="I5643" i="1"/>
  <c r="L5643" i="1"/>
  <c r="M5643" i="1"/>
  <c r="V5643" i="1"/>
  <c r="W5643" i="1"/>
  <c r="A2309" i="1"/>
  <c r="D2309" i="1"/>
  <c r="F2309" i="1"/>
  <c r="H2309" i="1"/>
  <c r="I2309" i="1"/>
  <c r="L2309" i="1"/>
  <c r="M2309" i="1"/>
  <c r="V2309" i="1"/>
  <c r="W2309" i="1"/>
  <c r="A1339" i="1"/>
  <c r="D1339" i="1"/>
  <c r="F1339" i="1"/>
  <c r="H1339" i="1"/>
  <c r="I1339" i="1"/>
  <c r="L1339" i="1"/>
  <c r="M1339" i="1"/>
  <c r="V1339" i="1"/>
  <c r="W1339" i="1"/>
  <c r="A1506" i="1"/>
  <c r="D1506" i="1"/>
  <c r="F1506" i="1"/>
  <c r="H1506" i="1"/>
  <c r="I1506" i="1"/>
  <c r="L1506" i="1"/>
  <c r="M1506" i="1"/>
  <c r="V1506" i="1"/>
  <c r="W1506" i="1"/>
  <c r="A1668" i="1"/>
  <c r="D1668" i="1"/>
  <c r="F1668" i="1"/>
  <c r="H1668" i="1"/>
  <c r="I1668" i="1"/>
  <c r="L1668" i="1"/>
  <c r="M1668" i="1"/>
  <c r="V1668" i="1"/>
  <c r="W1668" i="1"/>
  <c r="A1618" i="1"/>
  <c r="D1618" i="1"/>
  <c r="F1618" i="1"/>
  <c r="H1618" i="1"/>
  <c r="I1618" i="1"/>
  <c r="L1618" i="1"/>
  <c r="M1618" i="1"/>
  <c r="V1618" i="1"/>
  <c r="W1618" i="1"/>
  <c r="A1727" i="1"/>
  <c r="D1727" i="1"/>
  <c r="F1727" i="1"/>
  <c r="H1727" i="1"/>
  <c r="I1727" i="1"/>
  <c r="L1727" i="1"/>
  <c r="M1727" i="1"/>
  <c r="V1727" i="1"/>
  <c r="W1727" i="1"/>
  <c r="A1553" i="1"/>
  <c r="D1553" i="1"/>
  <c r="F1553" i="1"/>
  <c r="H1553" i="1"/>
  <c r="I1553" i="1"/>
  <c r="L1553" i="1"/>
  <c r="M1553" i="1"/>
  <c r="V1553" i="1"/>
  <c r="W1553" i="1"/>
  <c r="A270" i="1"/>
  <c r="D270" i="1"/>
  <c r="F270" i="1"/>
  <c r="H270" i="1"/>
  <c r="I270" i="1"/>
  <c r="L270" i="1"/>
  <c r="M270" i="1"/>
  <c r="V270" i="1"/>
  <c r="W270" i="1"/>
  <c r="A195" i="1"/>
  <c r="D195" i="1"/>
  <c r="F195" i="1"/>
  <c r="H195" i="1"/>
  <c r="I195" i="1"/>
  <c r="L195" i="1"/>
  <c r="M195" i="1"/>
  <c r="V195" i="1"/>
  <c r="W195" i="1"/>
  <c r="A2171" i="1"/>
  <c r="D2171" i="1"/>
  <c r="F2171" i="1"/>
  <c r="H2171" i="1"/>
  <c r="I2171" i="1"/>
  <c r="L2171" i="1"/>
  <c r="M2171" i="1"/>
  <c r="V2171" i="1"/>
  <c r="W2171" i="1"/>
  <c r="A5314" i="1"/>
  <c r="D5314" i="1"/>
  <c r="F5314" i="1"/>
  <c r="H5314" i="1"/>
  <c r="I5314" i="1"/>
  <c r="L5314" i="1"/>
  <c r="M5314" i="1"/>
  <c r="V5314" i="1"/>
  <c r="W5314" i="1"/>
  <c r="A5789" i="1"/>
  <c r="D5789" i="1"/>
  <c r="F5789" i="1"/>
  <c r="H5789" i="1"/>
  <c r="I5789" i="1"/>
  <c r="L5789" i="1"/>
  <c r="M5789" i="1"/>
  <c r="V5789" i="1"/>
  <c r="W5789" i="1"/>
  <c r="A5749" i="1"/>
  <c r="D5749" i="1"/>
  <c r="F5749" i="1"/>
  <c r="H5749" i="1"/>
  <c r="I5749" i="1"/>
  <c r="L5749" i="1"/>
  <c r="M5749" i="1"/>
  <c r="V5749" i="1"/>
  <c r="W5749" i="1"/>
  <c r="A5506" i="1"/>
  <c r="D5506" i="1"/>
  <c r="F5506" i="1"/>
  <c r="H5506" i="1"/>
  <c r="I5506" i="1"/>
  <c r="L5506" i="1"/>
  <c r="M5506" i="1"/>
  <c r="V5506" i="1"/>
  <c r="W5506" i="1"/>
  <c r="A5507" i="1"/>
  <c r="D5507" i="1"/>
  <c r="F5507" i="1"/>
  <c r="H5507" i="1"/>
  <c r="I5507" i="1"/>
  <c r="L5507" i="1"/>
  <c r="M5507" i="1"/>
  <c r="V5507" i="1"/>
  <c r="W5507" i="1"/>
  <c r="A6032" i="1"/>
  <c r="D6032" i="1"/>
  <c r="F6032" i="1"/>
  <c r="H6032" i="1"/>
  <c r="I6032" i="1"/>
  <c r="L6032" i="1"/>
  <c r="M6032" i="1"/>
  <c r="V6032" i="1"/>
  <c r="W6032" i="1"/>
  <c r="A1124" i="1"/>
  <c r="D1124" i="1"/>
  <c r="F1124" i="1"/>
  <c r="H1124" i="1"/>
  <c r="I1124" i="1"/>
  <c r="L1124" i="1"/>
  <c r="M1124" i="1"/>
  <c r="V1124" i="1"/>
  <c r="W1124" i="1"/>
  <c r="A5204" i="1"/>
  <c r="D5204" i="1"/>
  <c r="F5204" i="1"/>
  <c r="H5204" i="1"/>
  <c r="I5204" i="1"/>
  <c r="L5204" i="1"/>
  <c r="M5204" i="1"/>
  <c r="V5204" i="1"/>
  <c r="W5204" i="1"/>
  <c r="A5203" i="1"/>
  <c r="D5203" i="1"/>
  <c r="F5203" i="1"/>
  <c r="H5203" i="1"/>
  <c r="I5203" i="1"/>
  <c r="L5203" i="1"/>
  <c r="M5203" i="1"/>
  <c r="V5203" i="1"/>
  <c r="W5203" i="1"/>
  <c r="A3927" i="1"/>
  <c r="D3927" i="1"/>
  <c r="F3927" i="1"/>
  <c r="H3927" i="1"/>
  <c r="I3927" i="1"/>
  <c r="L3927" i="1"/>
  <c r="M3927" i="1"/>
  <c r="V3927" i="1"/>
  <c r="W3927" i="1"/>
  <c r="A5513" i="1"/>
  <c r="D5513" i="1"/>
  <c r="F5513" i="1"/>
  <c r="H5513" i="1"/>
  <c r="I5513" i="1"/>
  <c r="L5513" i="1"/>
  <c r="M5513" i="1"/>
  <c r="V5513" i="1"/>
  <c r="W5513" i="1"/>
  <c r="A1512" i="1"/>
  <c r="D1512" i="1"/>
  <c r="F1512" i="1"/>
  <c r="H1512" i="1"/>
  <c r="I1512" i="1"/>
  <c r="L1512" i="1"/>
  <c r="M1512" i="1"/>
  <c r="V1512" i="1"/>
  <c r="W1512" i="1"/>
  <c r="A1695" i="1"/>
  <c r="D1695" i="1"/>
  <c r="F1695" i="1"/>
  <c r="H1695" i="1"/>
  <c r="I1695" i="1"/>
  <c r="L1695" i="1"/>
  <c r="M1695" i="1"/>
  <c r="V1695" i="1"/>
  <c r="W1695" i="1"/>
  <c r="A1637" i="1"/>
  <c r="D1637" i="1"/>
  <c r="F1637" i="1"/>
  <c r="H1637" i="1"/>
  <c r="I1637" i="1"/>
  <c r="L1637" i="1"/>
  <c r="M1637" i="1"/>
  <c r="V1637" i="1"/>
  <c r="W1637" i="1"/>
  <c r="A1652" i="1"/>
  <c r="D1652" i="1"/>
  <c r="F1652" i="1"/>
  <c r="H1652" i="1"/>
  <c r="I1652" i="1"/>
  <c r="L1652" i="1"/>
  <c r="M1652" i="1"/>
  <c r="V1652" i="1"/>
  <c r="W1652" i="1"/>
  <c r="A1724" i="1"/>
  <c r="D1724" i="1"/>
  <c r="F1724" i="1"/>
  <c r="H1724" i="1"/>
  <c r="I1724" i="1"/>
  <c r="L1724" i="1"/>
  <c r="M1724" i="1"/>
  <c r="V1724" i="1"/>
  <c r="W1724" i="1"/>
  <c r="A3936" i="1"/>
  <c r="D3936" i="1"/>
  <c r="F3936" i="1"/>
  <c r="H3936" i="1"/>
  <c r="I3936" i="1"/>
  <c r="L3936" i="1"/>
  <c r="M3936" i="1"/>
  <c r="V3936" i="1"/>
  <c r="W3936" i="1"/>
  <c r="A827" i="1"/>
  <c r="D827" i="1"/>
  <c r="F827" i="1"/>
  <c r="H827" i="1"/>
  <c r="I827" i="1"/>
  <c r="L827" i="1"/>
  <c r="M827" i="1"/>
  <c r="V827" i="1"/>
  <c r="W827" i="1"/>
  <c r="A1379" i="1"/>
  <c r="D1379" i="1"/>
  <c r="F1379" i="1"/>
  <c r="H1379" i="1"/>
  <c r="I1379" i="1"/>
  <c r="L1379" i="1"/>
  <c r="M1379" i="1"/>
  <c r="V1379" i="1"/>
  <c r="W1379" i="1"/>
  <c r="A2874" i="1"/>
  <c r="D2874" i="1"/>
  <c r="F2874" i="1"/>
  <c r="H2874" i="1"/>
  <c r="I2874" i="1"/>
  <c r="L2874" i="1"/>
  <c r="M2874" i="1"/>
  <c r="V2874" i="1"/>
  <c r="W2874" i="1"/>
  <c r="A1430" i="1"/>
  <c r="D1430" i="1"/>
  <c r="F1430" i="1"/>
  <c r="H1430" i="1"/>
  <c r="I1430" i="1"/>
  <c r="L1430" i="1"/>
  <c r="M1430" i="1"/>
  <c r="V1430" i="1"/>
  <c r="W1430" i="1"/>
  <c r="A2117" i="1"/>
  <c r="D2117" i="1"/>
  <c r="F2117" i="1"/>
  <c r="H2117" i="1"/>
  <c r="I2117" i="1"/>
  <c r="L2117" i="1"/>
  <c r="M2117" i="1"/>
  <c r="V2117" i="1"/>
  <c r="W2117" i="1"/>
  <c r="A4495" i="1"/>
  <c r="D4495" i="1"/>
  <c r="F4495" i="1"/>
  <c r="H4495" i="1"/>
  <c r="I4495" i="1"/>
  <c r="L4495" i="1"/>
  <c r="M4495" i="1"/>
  <c r="V4495" i="1"/>
  <c r="W4495" i="1"/>
  <c r="A41" i="1"/>
  <c r="D41" i="1"/>
  <c r="F41" i="1"/>
  <c r="H41" i="1"/>
  <c r="I41" i="1"/>
  <c r="L41" i="1"/>
  <c r="M41" i="1"/>
  <c r="V41" i="1"/>
  <c r="W41" i="1"/>
  <c r="A42" i="1"/>
  <c r="D42" i="1"/>
  <c r="F42" i="1"/>
  <c r="H42" i="1"/>
  <c r="I42" i="1"/>
  <c r="L42" i="1"/>
  <c r="M42" i="1"/>
  <c r="V42" i="1"/>
  <c r="W42" i="1"/>
  <c r="A153" i="1"/>
  <c r="D153" i="1"/>
  <c r="F153" i="1"/>
  <c r="H153" i="1"/>
  <c r="I153" i="1"/>
  <c r="L153" i="1"/>
  <c r="M153" i="1"/>
  <c r="V153" i="1"/>
  <c r="W153" i="1"/>
  <c r="A29" i="1"/>
  <c r="D29" i="1"/>
  <c r="F29" i="1"/>
  <c r="H29" i="1"/>
  <c r="I29" i="1"/>
  <c r="L29" i="1"/>
  <c r="M29" i="1"/>
  <c r="V29" i="1"/>
  <c r="W29" i="1"/>
  <c r="A3735" i="1"/>
  <c r="D3735" i="1"/>
  <c r="F3735" i="1"/>
  <c r="H3735" i="1"/>
  <c r="I3735" i="1"/>
  <c r="L3735" i="1"/>
  <c r="M3735" i="1"/>
  <c r="V3735" i="1"/>
  <c r="W3735" i="1"/>
  <c r="A5611" i="1"/>
  <c r="D5611" i="1"/>
  <c r="F5611" i="1"/>
  <c r="H5611" i="1"/>
  <c r="I5611" i="1"/>
  <c r="L5611" i="1"/>
  <c r="M5611" i="1"/>
  <c r="V5611" i="1"/>
  <c r="W5611" i="1"/>
  <c r="A5914" i="1"/>
  <c r="D5914" i="1"/>
  <c r="F5914" i="1"/>
  <c r="H5914" i="1"/>
  <c r="I5914" i="1"/>
  <c r="L5914" i="1"/>
  <c r="M5914" i="1"/>
  <c r="V5914" i="1"/>
  <c r="W5914" i="1"/>
  <c r="A2039" i="1"/>
  <c r="D2039" i="1"/>
  <c r="F2039" i="1"/>
  <c r="H2039" i="1"/>
  <c r="I2039" i="1"/>
  <c r="L2039" i="1"/>
  <c r="M2039" i="1"/>
  <c r="V2039" i="1"/>
  <c r="W2039" i="1"/>
  <c r="A2868" i="1"/>
  <c r="D2868" i="1"/>
  <c r="F2868" i="1"/>
  <c r="H2868" i="1"/>
  <c r="I2868" i="1"/>
  <c r="L2868" i="1"/>
  <c r="M2868" i="1"/>
  <c r="V2868" i="1"/>
  <c r="W2868" i="1"/>
  <c r="A3958" i="1"/>
  <c r="D3958" i="1"/>
  <c r="F3958" i="1"/>
  <c r="H3958" i="1"/>
  <c r="I3958" i="1"/>
  <c r="L3958" i="1"/>
  <c r="M3958" i="1"/>
  <c r="V3958" i="1"/>
  <c r="W3958" i="1"/>
  <c r="A5258" i="1"/>
  <c r="D5258" i="1"/>
  <c r="F5258" i="1"/>
  <c r="H5258" i="1"/>
  <c r="I5258" i="1"/>
  <c r="L5258" i="1"/>
  <c r="M5258" i="1"/>
  <c r="V5258" i="1"/>
  <c r="W5258" i="1"/>
  <c r="A5340" i="1"/>
  <c r="D5340" i="1"/>
  <c r="F5340" i="1"/>
  <c r="H5340" i="1"/>
  <c r="I5340" i="1"/>
  <c r="L5340" i="1"/>
  <c r="M5340" i="1"/>
  <c r="V5340" i="1"/>
  <c r="W5340" i="1"/>
  <c r="A4105" i="1"/>
  <c r="D4105" i="1"/>
  <c r="F4105" i="1"/>
  <c r="H4105" i="1"/>
  <c r="I4105" i="1"/>
  <c r="L4105" i="1"/>
  <c r="M4105" i="1"/>
  <c r="V4105" i="1"/>
  <c r="W4105" i="1"/>
  <c r="A4106" i="1"/>
  <c r="D4106" i="1"/>
  <c r="F4106" i="1"/>
  <c r="H4106" i="1"/>
  <c r="I4106" i="1"/>
  <c r="L4106" i="1"/>
  <c r="M4106" i="1"/>
  <c r="V4106" i="1"/>
  <c r="W4106" i="1"/>
  <c r="A4486" i="1"/>
  <c r="D4486" i="1"/>
  <c r="F4486" i="1"/>
  <c r="H4486" i="1"/>
  <c r="I4486" i="1"/>
  <c r="L4486" i="1"/>
  <c r="M4486" i="1"/>
  <c r="V4486" i="1"/>
  <c r="W4486" i="1"/>
  <c r="A3257" i="1"/>
  <c r="D3257" i="1"/>
  <c r="F3257" i="1"/>
  <c r="H3257" i="1"/>
  <c r="I3257" i="1"/>
  <c r="L3257" i="1"/>
  <c r="M3257" i="1"/>
  <c r="V3257" i="1"/>
  <c r="W3257" i="1"/>
  <c r="A3373" i="1"/>
  <c r="D3373" i="1"/>
  <c r="F3373" i="1"/>
  <c r="H3373" i="1"/>
  <c r="I3373" i="1"/>
  <c r="L3373" i="1"/>
  <c r="M3373" i="1"/>
  <c r="V3373" i="1"/>
  <c r="W3373" i="1"/>
  <c r="A2574" i="1"/>
  <c r="D2574" i="1"/>
  <c r="F2574" i="1"/>
  <c r="H2574" i="1"/>
  <c r="I2574" i="1"/>
  <c r="L2574" i="1"/>
  <c r="M2574" i="1"/>
  <c r="V2574" i="1"/>
  <c r="W2574" i="1"/>
  <c r="A3169" i="1"/>
  <c r="D3169" i="1"/>
  <c r="F3169" i="1"/>
  <c r="H3169" i="1"/>
  <c r="I3169" i="1"/>
  <c r="L3169" i="1"/>
  <c r="M3169" i="1"/>
  <c r="V3169" i="1"/>
  <c r="W3169" i="1"/>
  <c r="A320" i="1"/>
  <c r="D320" i="1"/>
  <c r="F320" i="1"/>
  <c r="H320" i="1"/>
  <c r="I320" i="1"/>
  <c r="L320" i="1"/>
  <c r="M320" i="1"/>
  <c r="V320" i="1"/>
  <c r="W320" i="1"/>
  <c r="A4510" i="1"/>
  <c r="D4510" i="1"/>
  <c r="F4510" i="1"/>
  <c r="H4510" i="1"/>
  <c r="I4510" i="1"/>
  <c r="L4510" i="1"/>
  <c r="M4510" i="1"/>
  <c r="V4510" i="1"/>
  <c r="W4510" i="1"/>
  <c r="A580" i="1"/>
  <c r="D580" i="1"/>
  <c r="F580" i="1"/>
  <c r="H580" i="1"/>
  <c r="I580" i="1"/>
  <c r="L580" i="1"/>
  <c r="M580" i="1"/>
  <c r="V580" i="1"/>
  <c r="W580" i="1"/>
  <c r="A605" i="1"/>
  <c r="D605" i="1"/>
  <c r="F605" i="1"/>
  <c r="H605" i="1"/>
  <c r="I605" i="1"/>
  <c r="L605" i="1"/>
  <c r="M605" i="1"/>
  <c r="V605" i="1"/>
  <c r="W605" i="1"/>
  <c r="A1700" i="1"/>
  <c r="D1700" i="1"/>
  <c r="F1700" i="1"/>
  <c r="H1700" i="1"/>
  <c r="I1700" i="1"/>
  <c r="L1700" i="1"/>
  <c r="M1700" i="1"/>
  <c r="V1700" i="1"/>
  <c r="W1700" i="1"/>
  <c r="A2578" i="1"/>
  <c r="D2578" i="1"/>
  <c r="F2578" i="1"/>
  <c r="H2578" i="1"/>
  <c r="I2578" i="1"/>
  <c r="L2578" i="1"/>
  <c r="M2578" i="1"/>
  <c r="V2578" i="1"/>
  <c r="W2578" i="1"/>
  <c r="A1380" i="1"/>
  <c r="D1380" i="1"/>
  <c r="F1380" i="1"/>
  <c r="H1380" i="1"/>
  <c r="I1380" i="1"/>
  <c r="L1380" i="1"/>
  <c r="M1380" i="1"/>
  <c r="V1380" i="1"/>
  <c r="W1380" i="1"/>
  <c r="A5774" i="1"/>
  <c r="D5774" i="1"/>
  <c r="F5774" i="1"/>
  <c r="H5774" i="1"/>
  <c r="I5774" i="1"/>
  <c r="L5774" i="1"/>
  <c r="M5774" i="1"/>
  <c r="V5774" i="1"/>
  <c r="W5774" i="1"/>
  <c r="A4451" i="1"/>
  <c r="D4451" i="1"/>
  <c r="F4451" i="1"/>
  <c r="H4451" i="1"/>
  <c r="I4451" i="1"/>
  <c r="L4451" i="1"/>
  <c r="M4451" i="1"/>
  <c r="V4451" i="1"/>
  <c r="W4451" i="1"/>
  <c r="A4843" i="1"/>
  <c r="D4843" i="1"/>
  <c r="F4843" i="1"/>
  <c r="H4843" i="1"/>
  <c r="I4843" i="1"/>
  <c r="L4843" i="1"/>
  <c r="M4843" i="1"/>
  <c r="V4843" i="1"/>
  <c r="W4843" i="1"/>
  <c r="A2173" i="1"/>
  <c r="D2173" i="1"/>
  <c r="F2173" i="1"/>
  <c r="H2173" i="1"/>
  <c r="I2173" i="1"/>
  <c r="L2173" i="1"/>
  <c r="M2173" i="1"/>
  <c r="V2173" i="1"/>
  <c r="W2173" i="1"/>
  <c r="A2222" i="1"/>
  <c r="D2222" i="1"/>
  <c r="F2222" i="1"/>
  <c r="H2222" i="1"/>
  <c r="I2222" i="1"/>
  <c r="L2222" i="1"/>
  <c r="M2222" i="1"/>
  <c r="V2222" i="1"/>
  <c r="W2222" i="1"/>
  <c r="A2257" i="1"/>
  <c r="D2257" i="1"/>
  <c r="F2257" i="1"/>
  <c r="H2257" i="1"/>
  <c r="I2257" i="1"/>
  <c r="L2257" i="1"/>
  <c r="M2257" i="1"/>
  <c r="V2257" i="1"/>
  <c r="W2257" i="1"/>
  <c r="A2266" i="1"/>
  <c r="D2266" i="1"/>
  <c r="F2266" i="1"/>
  <c r="H2266" i="1"/>
  <c r="I2266" i="1"/>
  <c r="L2266" i="1"/>
  <c r="M2266" i="1"/>
  <c r="V2266" i="1"/>
  <c r="W2266" i="1"/>
  <c r="A6018" i="1"/>
  <c r="D6018" i="1"/>
  <c r="F6018" i="1"/>
  <c r="H6018" i="1"/>
  <c r="I6018" i="1"/>
  <c r="L6018" i="1"/>
  <c r="M6018" i="1"/>
  <c r="V6018" i="1"/>
  <c r="W6018" i="1"/>
  <c r="A403" i="1"/>
  <c r="D403" i="1"/>
  <c r="F403" i="1"/>
  <c r="H403" i="1"/>
  <c r="I403" i="1"/>
  <c r="L403" i="1"/>
  <c r="M403" i="1"/>
  <c r="V403" i="1"/>
  <c r="W403" i="1"/>
  <c r="A2516" i="1"/>
  <c r="D2516" i="1"/>
  <c r="F2516" i="1"/>
  <c r="H2516" i="1"/>
  <c r="I2516" i="1"/>
  <c r="L2516" i="1"/>
  <c r="M2516" i="1"/>
  <c r="V2516" i="1"/>
  <c r="W2516" i="1"/>
  <c r="A1949" i="1"/>
  <c r="D1949" i="1"/>
  <c r="F1949" i="1"/>
  <c r="H1949" i="1"/>
  <c r="I1949" i="1"/>
  <c r="L1949" i="1"/>
  <c r="M1949" i="1"/>
  <c r="V1949" i="1"/>
  <c r="W1949" i="1"/>
  <c r="A3201" i="1"/>
  <c r="D3201" i="1"/>
  <c r="F3201" i="1"/>
  <c r="H3201" i="1"/>
  <c r="I3201" i="1"/>
  <c r="L3201" i="1"/>
  <c r="M3201" i="1"/>
  <c r="V3201" i="1"/>
  <c r="W3201" i="1"/>
  <c r="A2734" i="1"/>
  <c r="D2734" i="1"/>
  <c r="F2734" i="1"/>
  <c r="H2734" i="1"/>
  <c r="I2734" i="1"/>
  <c r="L2734" i="1"/>
  <c r="M2734" i="1"/>
  <c r="V2734" i="1"/>
  <c r="W2734" i="1"/>
  <c r="A2653" i="1"/>
  <c r="D2653" i="1"/>
  <c r="F2653" i="1"/>
  <c r="H2653" i="1"/>
  <c r="I2653" i="1"/>
  <c r="L2653" i="1"/>
  <c r="M2653" i="1"/>
  <c r="V2653" i="1"/>
  <c r="W2653" i="1"/>
  <c r="A865" i="1"/>
  <c r="D865" i="1"/>
  <c r="F865" i="1"/>
  <c r="H865" i="1"/>
  <c r="I865" i="1"/>
  <c r="L865" i="1"/>
  <c r="M865" i="1"/>
  <c r="V865" i="1"/>
  <c r="W865" i="1"/>
  <c r="A6120" i="1"/>
  <c r="D6120" i="1"/>
  <c r="F6120" i="1"/>
  <c r="H6120" i="1"/>
  <c r="I6120" i="1"/>
  <c r="L6120" i="1"/>
  <c r="M6120" i="1"/>
  <c r="V6120" i="1"/>
  <c r="W6120" i="1"/>
  <c r="A383" i="1"/>
  <c r="D383" i="1"/>
  <c r="F383" i="1"/>
  <c r="H383" i="1"/>
  <c r="I383" i="1"/>
  <c r="L383" i="1"/>
  <c r="M383" i="1"/>
  <c r="V383" i="1"/>
  <c r="W383" i="1"/>
  <c r="A387" i="1"/>
  <c r="D387" i="1"/>
  <c r="F387" i="1"/>
  <c r="H387" i="1"/>
  <c r="I387" i="1"/>
  <c r="L387" i="1"/>
  <c r="M387" i="1"/>
  <c r="V387" i="1"/>
  <c r="W387" i="1"/>
  <c r="A321" i="1"/>
  <c r="D321" i="1"/>
  <c r="F321" i="1"/>
  <c r="H321" i="1"/>
  <c r="I321" i="1"/>
  <c r="L321" i="1"/>
  <c r="M321" i="1"/>
  <c r="V321" i="1"/>
  <c r="W321" i="1"/>
  <c r="A1511" i="1"/>
  <c r="D1511" i="1"/>
  <c r="F1511" i="1"/>
  <c r="H1511" i="1"/>
  <c r="I1511" i="1"/>
  <c r="L1511" i="1"/>
  <c r="M1511" i="1"/>
  <c r="V1511" i="1"/>
  <c r="W1511" i="1"/>
  <c r="A1693" i="1"/>
  <c r="D1693" i="1"/>
  <c r="F1693" i="1"/>
  <c r="H1693" i="1"/>
  <c r="I1693" i="1"/>
  <c r="L1693" i="1"/>
  <c r="M1693" i="1"/>
  <c r="V1693" i="1"/>
  <c r="W1693" i="1"/>
  <c r="A5128" i="1"/>
  <c r="D5128" i="1"/>
  <c r="F5128" i="1"/>
  <c r="H5128" i="1"/>
  <c r="I5128" i="1"/>
  <c r="L5128" i="1"/>
  <c r="M5128" i="1"/>
  <c r="V5128" i="1"/>
  <c r="W5128" i="1"/>
  <c r="A5257" i="1"/>
  <c r="D5257" i="1"/>
  <c r="F5257" i="1"/>
  <c r="H5257" i="1"/>
  <c r="I5257" i="1"/>
  <c r="L5257" i="1"/>
  <c r="M5257" i="1"/>
  <c r="V5257" i="1"/>
  <c r="W5257" i="1"/>
  <c r="A5025" i="1"/>
  <c r="D5025" i="1"/>
  <c r="F5025" i="1"/>
  <c r="H5025" i="1"/>
  <c r="I5025" i="1"/>
  <c r="L5025" i="1"/>
  <c r="M5025" i="1"/>
  <c r="V5025" i="1"/>
  <c r="W5025" i="1"/>
  <c r="A5398" i="1"/>
  <c r="D5398" i="1"/>
  <c r="F5398" i="1"/>
  <c r="H5398" i="1"/>
  <c r="I5398" i="1"/>
  <c r="L5398" i="1"/>
  <c r="M5398" i="1"/>
  <c r="V5398" i="1"/>
  <c r="W5398" i="1"/>
  <c r="A5140" i="1"/>
  <c r="D5140" i="1"/>
  <c r="F5140" i="1"/>
  <c r="H5140" i="1"/>
  <c r="I5140" i="1"/>
  <c r="L5140" i="1"/>
  <c r="M5140" i="1"/>
  <c r="V5140" i="1"/>
  <c r="W5140" i="1"/>
  <c r="A348" i="1"/>
  <c r="D348" i="1"/>
  <c r="F348" i="1"/>
  <c r="H348" i="1"/>
  <c r="I348" i="1"/>
  <c r="L348" i="1"/>
  <c r="M348" i="1"/>
  <c r="V348" i="1"/>
  <c r="W348" i="1"/>
  <c r="A5429" i="1"/>
  <c r="D5429" i="1"/>
  <c r="F5429" i="1"/>
  <c r="H5429" i="1"/>
  <c r="I5429" i="1"/>
  <c r="L5429" i="1"/>
  <c r="M5429" i="1"/>
  <c r="V5429" i="1"/>
  <c r="W5429" i="1"/>
  <c r="A1612" i="1"/>
  <c r="D1612" i="1"/>
  <c r="F1612" i="1"/>
  <c r="H1612" i="1"/>
  <c r="I1612" i="1"/>
  <c r="L1612" i="1"/>
  <c r="M1612" i="1"/>
  <c r="V1612" i="1"/>
  <c r="W1612" i="1"/>
  <c r="A2862" i="1"/>
  <c r="D2862" i="1"/>
  <c r="F2862" i="1"/>
  <c r="H2862" i="1"/>
  <c r="I2862" i="1"/>
  <c r="L2862" i="1"/>
  <c r="M2862" i="1"/>
  <c r="V2862" i="1"/>
  <c r="W2862" i="1"/>
  <c r="A2152" i="1"/>
  <c r="D2152" i="1"/>
  <c r="F2152" i="1"/>
  <c r="H2152" i="1"/>
  <c r="I2152" i="1"/>
  <c r="L2152" i="1"/>
  <c r="M2152" i="1"/>
  <c r="V2152" i="1"/>
  <c r="W2152" i="1"/>
  <c r="A152" i="1"/>
  <c r="D152" i="1"/>
  <c r="F152" i="1"/>
  <c r="H152" i="1"/>
  <c r="I152" i="1"/>
  <c r="L152" i="1"/>
  <c r="M152" i="1"/>
  <c r="V152" i="1"/>
  <c r="W152" i="1"/>
  <c r="A4343" i="1"/>
  <c r="D4343" i="1"/>
  <c r="F4343" i="1"/>
  <c r="H4343" i="1"/>
  <c r="I4343" i="1"/>
  <c r="L4343" i="1"/>
  <c r="M4343" i="1"/>
  <c r="V4343" i="1"/>
  <c r="W4343" i="1"/>
  <c r="A5546" i="1"/>
  <c r="D5546" i="1"/>
  <c r="F5546" i="1"/>
  <c r="H5546" i="1"/>
  <c r="I5546" i="1"/>
  <c r="L5546" i="1"/>
  <c r="M5546" i="1"/>
  <c r="V5546" i="1"/>
  <c r="W5546" i="1"/>
  <c r="A2902" i="1"/>
  <c r="D2902" i="1"/>
  <c r="F2902" i="1"/>
  <c r="H2902" i="1"/>
  <c r="I2902" i="1"/>
  <c r="L2902" i="1"/>
  <c r="M2902" i="1"/>
  <c r="V2902" i="1"/>
  <c r="W2902" i="1"/>
  <c r="A4473" i="1"/>
  <c r="D4473" i="1"/>
  <c r="F4473" i="1"/>
  <c r="H4473" i="1"/>
  <c r="I4473" i="1"/>
  <c r="L4473" i="1"/>
  <c r="M4473" i="1"/>
  <c r="V4473" i="1"/>
  <c r="W4473" i="1"/>
  <c r="A5031" i="1"/>
  <c r="D5031" i="1"/>
  <c r="F5031" i="1"/>
  <c r="H5031" i="1"/>
  <c r="I5031" i="1"/>
  <c r="L5031" i="1"/>
  <c r="M5031" i="1"/>
  <c r="V5031" i="1"/>
  <c r="W5031" i="1"/>
  <c r="A1452" i="1"/>
  <c r="D1452" i="1"/>
  <c r="F1452" i="1"/>
  <c r="H1452" i="1"/>
  <c r="I1452" i="1"/>
  <c r="L1452" i="1"/>
  <c r="M1452" i="1"/>
  <c r="V1452" i="1"/>
  <c r="W1452" i="1"/>
  <c r="A1263" i="1"/>
  <c r="D1263" i="1"/>
  <c r="F1263" i="1"/>
  <c r="H1263" i="1"/>
  <c r="I1263" i="1"/>
  <c r="L1263" i="1"/>
  <c r="M1263" i="1"/>
  <c r="V1263" i="1"/>
  <c r="W1263" i="1"/>
  <c r="A3211" i="1"/>
  <c r="D3211" i="1"/>
  <c r="F3211" i="1"/>
  <c r="H3211" i="1"/>
  <c r="I3211" i="1"/>
  <c r="L3211" i="1"/>
  <c r="M3211" i="1"/>
  <c r="V3211" i="1"/>
  <c r="W3211" i="1"/>
  <c r="A5518" i="1"/>
  <c r="D5518" i="1"/>
  <c r="F5518" i="1"/>
  <c r="H5518" i="1"/>
  <c r="I5518" i="1"/>
  <c r="L5518" i="1"/>
  <c r="M5518" i="1"/>
  <c r="V5518" i="1"/>
  <c r="W5518" i="1"/>
  <c r="A5633" i="1"/>
  <c r="D5633" i="1"/>
  <c r="F5633" i="1"/>
  <c r="H5633" i="1"/>
  <c r="I5633" i="1"/>
  <c r="L5633" i="1"/>
  <c r="M5633" i="1"/>
  <c r="V5633" i="1"/>
  <c r="W5633" i="1"/>
  <c r="A5727" i="1"/>
  <c r="D5727" i="1"/>
  <c r="F5727" i="1"/>
  <c r="H5727" i="1"/>
  <c r="I5727" i="1"/>
  <c r="L5727" i="1"/>
  <c r="M5727" i="1"/>
  <c r="V5727" i="1"/>
  <c r="W5727" i="1"/>
  <c r="A5854" i="1"/>
  <c r="D5854" i="1"/>
  <c r="F5854" i="1"/>
  <c r="H5854" i="1"/>
  <c r="I5854" i="1"/>
  <c r="L5854" i="1"/>
  <c r="M5854" i="1"/>
  <c r="V5854" i="1"/>
  <c r="W5854" i="1"/>
  <c r="A6004" i="1"/>
  <c r="D6004" i="1"/>
  <c r="F6004" i="1"/>
  <c r="H6004" i="1"/>
  <c r="I6004" i="1"/>
  <c r="L6004" i="1"/>
  <c r="M6004" i="1"/>
  <c r="V6004" i="1"/>
  <c r="W6004" i="1"/>
  <c r="A4446" i="1"/>
  <c r="D4446" i="1"/>
  <c r="F4446" i="1"/>
  <c r="H4446" i="1"/>
  <c r="I4446" i="1"/>
  <c r="L4446" i="1"/>
  <c r="M4446" i="1"/>
  <c r="V4446" i="1"/>
  <c r="W4446" i="1"/>
  <c r="A2318" i="1"/>
  <c r="D2318" i="1"/>
  <c r="F2318" i="1"/>
  <c r="H2318" i="1"/>
  <c r="I2318" i="1"/>
  <c r="L2318" i="1"/>
  <c r="M2318" i="1"/>
  <c r="V2318" i="1"/>
  <c r="W2318" i="1"/>
  <c r="A3191" i="1"/>
  <c r="D3191" i="1"/>
  <c r="F3191" i="1"/>
  <c r="H3191" i="1"/>
  <c r="I3191" i="1"/>
  <c r="L3191" i="1"/>
  <c r="M3191" i="1"/>
  <c r="V3191" i="1"/>
  <c r="W3191" i="1"/>
  <c r="A734" i="1"/>
  <c r="D734" i="1"/>
  <c r="F734" i="1"/>
  <c r="H734" i="1"/>
  <c r="I734" i="1"/>
  <c r="L734" i="1"/>
  <c r="M734" i="1"/>
  <c r="V734" i="1"/>
  <c r="W734" i="1"/>
  <c r="A2702" i="1"/>
  <c r="D2702" i="1"/>
  <c r="F2702" i="1"/>
  <c r="H2702" i="1"/>
  <c r="I2702" i="1"/>
  <c r="L2702" i="1"/>
  <c r="M2702" i="1"/>
  <c r="V2702" i="1"/>
  <c r="W2702" i="1"/>
  <c r="A4457" i="1"/>
  <c r="D4457" i="1"/>
  <c r="F4457" i="1"/>
  <c r="H4457" i="1"/>
  <c r="I4457" i="1"/>
  <c r="L4457" i="1"/>
  <c r="M4457" i="1"/>
  <c r="V4457" i="1"/>
  <c r="W4457" i="1"/>
  <c r="A1333" i="1"/>
  <c r="D1333" i="1"/>
  <c r="F1333" i="1"/>
  <c r="H1333" i="1"/>
  <c r="I1333" i="1"/>
  <c r="L1333" i="1"/>
  <c r="M1333" i="1"/>
  <c r="V1333" i="1"/>
  <c r="W1333" i="1"/>
  <c r="A2616" i="1"/>
  <c r="D2616" i="1"/>
  <c r="F2616" i="1"/>
  <c r="H2616" i="1"/>
  <c r="I2616" i="1"/>
  <c r="L2616" i="1"/>
  <c r="M2616" i="1"/>
  <c r="V2616" i="1"/>
  <c r="W2616" i="1"/>
  <c r="A5124" i="1"/>
  <c r="D5124" i="1"/>
  <c r="F5124" i="1"/>
  <c r="H5124" i="1"/>
  <c r="I5124" i="1"/>
  <c r="L5124" i="1"/>
  <c r="M5124" i="1"/>
  <c r="V5124" i="1"/>
  <c r="W5124" i="1"/>
  <c r="A5877" i="1"/>
  <c r="D5877" i="1"/>
  <c r="F5877" i="1"/>
  <c r="H5877" i="1"/>
  <c r="I5877" i="1"/>
  <c r="L5877" i="1"/>
  <c r="M5877" i="1"/>
  <c r="V5877" i="1"/>
  <c r="W5877" i="1"/>
  <c r="A4765" i="1"/>
  <c r="D4765" i="1"/>
  <c r="F4765" i="1"/>
  <c r="H4765" i="1"/>
  <c r="I4765" i="1"/>
  <c r="L4765" i="1"/>
  <c r="M4765" i="1"/>
  <c r="V4765" i="1"/>
  <c r="W4765" i="1"/>
  <c r="A5751" i="1"/>
  <c r="D5751" i="1"/>
  <c r="F5751" i="1"/>
  <c r="H5751" i="1"/>
  <c r="I5751" i="1"/>
  <c r="L5751" i="1"/>
  <c r="M5751" i="1"/>
  <c r="V5751" i="1"/>
  <c r="W5751" i="1"/>
  <c r="A1407" i="1"/>
  <c r="D1407" i="1"/>
  <c r="F1407" i="1"/>
  <c r="H1407" i="1"/>
  <c r="I1407" i="1"/>
  <c r="L1407" i="1"/>
  <c r="M1407" i="1"/>
  <c r="V1407" i="1"/>
  <c r="W1407" i="1"/>
  <c r="A4289" i="1"/>
  <c r="D4289" i="1"/>
  <c r="F4289" i="1"/>
  <c r="H4289" i="1"/>
  <c r="I4289" i="1"/>
  <c r="L4289" i="1"/>
  <c r="M4289" i="1"/>
  <c r="V4289" i="1"/>
  <c r="W4289" i="1"/>
  <c r="A2384" i="1"/>
  <c r="D2384" i="1"/>
  <c r="F2384" i="1"/>
  <c r="H2384" i="1"/>
  <c r="I2384" i="1"/>
  <c r="L2384" i="1"/>
  <c r="M2384" i="1"/>
  <c r="V2384" i="1"/>
  <c r="W2384" i="1"/>
  <c r="A2962" i="1"/>
  <c r="D2962" i="1"/>
  <c r="F2962" i="1"/>
  <c r="H2962" i="1"/>
  <c r="I2962" i="1"/>
  <c r="L2962" i="1"/>
  <c r="M2962" i="1"/>
  <c r="V2962" i="1"/>
  <c r="W2962" i="1"/>
  <c r="A542" i="1"/>
  <c r="D542" i="1"/>
  <c r="F542" i="1"/>
  <c r="H542" i="1"/>
  <c r="I542" i="1"/>
  <c r="L542" i="1"/>
  <c r="M542" i="1"/>
  <c r="V542" i="1"/>
  <c r="W542" i="1"/>
  <c r="A3921" i="1"/>
  <c r="D3921" i="1"/>
  <c r="F3921" i="1"/>
  <c r="H3921" i="1"/>
  <c r="I3921" i="1"/>
  <c r="L3921" i="1"/>
  <c r="M3921" i="1"/>
  <c r="V3921" i="1"/>
  <c r="W3921" i="1"/>
  <c r="A538" i="1"/>
  <c r="D538" i="1"/>
  <c r="F538" i="1"/>
  <c r="H538" i="1"/>
  <c r="I538" i="1"/>
  <c r="L538" i="1"/>
  <c r="M538" i="1"/>
  <c r="V538" i="1"/>
  <c r="W538" i="1"/>
  <c r="A1498" i="1"/>
  <c r="D1498" i="1"/>
  <c r="F1498" i="1"/>
  <c r="H1498" i="1"/>
  <c r="I1498" i="1"/>
  <c r="L1498" i="1"/>
  <c r="M1498" i="1"/>
  <c r="V1498" i="1"/>
  <c r="W1498" i="1"/>
  <c r="A4781" i="1"/>
  <c r="D4781" i="1"/>
  <c r="F4781" i="1"/>
  <c r="H4781" i="1"/>
  <c r="I4781" i="1"/>
  <c r="L4781" i="1"/>
  <c r="M4781" i="1"/>
  <c r="V4781" i="1"/>
  <c r="W4781" i="1"/>
  <c r="A5712" i="1"/>
  <c r="D5712" i="1"/>
  <c r="F5712" i="1"/>
  <c r="H5712" i="1"/>
  <c r="I5712" i="1"/>
  <c r="L5712" i="1"/>
  <c r="M5712" i="1"/>
  <c r="V5712" i="1"/>
  <c r="W5712" i="1"/>
  <c r="A5759" i="1"/>
  <c r="D5759" i="1"/>
  <c r="F5759" i="1"/>
  <c r="H5759" i="1"/>
  <c r="I5759" i="1"/>
  <c r="L5759" i="1"/>
  <c r="M5759" i="1"/>
  <c r="V5759" i="1"/>
  <c r="W5759" i="1"/>
  <c r="A5993" i="1"/>
  <c r="D5993" i="1"/>
  <c r="F5993" i="1"/>
  <c r="H5993" i="1"/>
  <c r="I5993" i="1"/>
  <c r="L5993" i="1"/>
  <c r="M5993" i="1"/>
  <c r="V5993" i="1"/>
  <c r="W5993" i="1"/>
  <c r="A5880" i="1"/>
  <c r="D5880" i="1"/>
  <c r="F5880" i="1"/>
  <c r="H5880" i="1"/>
  <c r="I5880" i="1"/>
  <c r="L5880" i="1"/>
  <c r="M5880" i="1"/>
  <c r="V5880" i="1"/>
  <c r="W5880" i="1"/>
  <c r="A6063" i="1"/>
  <c r="D6063" i="1"/>
  <c r="F6063" i="1"/>
  <c r="H6063" i="1"/>
  <c r="I6063" i="1"/>
  <c r="L6063" i="1"/>
  <c r="M6063" i="1"/>
  <c r="V6063" i="1"/>
  <c r="W6063" i="1"/>
  <c r="A4408" i="1"/>
  <c r="D4408" i="1"/>
  <c r="F4408" i="1"/>
  <c r="H4408" i="1"/>
  <c r="I4408" i="1"/>
  <c r="L4408" i="1"/>
  <c r="M4408" i="1"/>
  <c r="V4408" i="1"/>
  <c r="W4408" i="1"/>
  <c r="A380" i="1"/>
  <c r="D380" i="1"/>
  <c r="F380" i="1"/>
  <c r="H380" i="1"/>
  <c r="I380" i="1"/>
  <c r="L380" i="1"/>
  <c r="M380" i="1"/>
  <c r="V380" i="1"/>
  <c r="W380" i="1"/>
  <c r="A1016" i="1"/>
  <c r="D1016" i="1"/>
  <c r="F1016" i="1"/>
  <c r="H1016" i="1"/>
  <c r="I1016" i="1"/>
  <c r="L1016" i="1"/>
  <c r="M1016" i="1"/>
  <c r="V1016" i="1"/>
  <c r="W1016" i="1"/>
  <c r="A5927" i="1"/>
  <c r="D5927" i="1"/>
  <c r="F5927" i="1"/>
  <c r="H5927" i="1"/>
  <c r="I5927" i="1"/>
  <c r="L5927" i="1"/>
  <c r="M5927" i="1"/>
  <c r="V5927" i="1"/>
  <c r="W5927" i="1"/>
  <c r="A4104" i="1"/>
  <c r="D4104" i="1"/>
  <c r="F4104" i="1"/>
  <c r="H4104" i="1"/>
  <c r="I4104" i="1"/>
  <c r="L4104" i="1"/>
  <c r="M4104" i="1"/>
  <c r="V4104" i="1"/>
  <c r="W4104" i="1"/>
  <c r="A953" i="1"/>
  <c r="D953" i="1"/>
  <c r="F953" i="1"/>
  <c r="H953" i="1"/>
  <c r="I953" i="1"/>
  <c r="L953" i="1"/>
  <c r="M953" i="1"/>
  <c r="V953" i="1"/>
  <c r="W953" i="1"/>
  <c r="A1282" i="1"/>
  <c r="D1282" i="1"/>
  <c r="F1282" i="1"/>
  <c r="H1282" i="1"/>
  <c r="I1282" i="1"/>
  <c r="L1282" i="1"/>
  <c r="M1282" i="1"/>
  <c r="V1282" i="1"/>
  <c r="W1282" i="1"/>
  <c r="A1591" i="1"/>
  <c r="D1591" i="1"/>
  <c r="F1591" i="1"/>
  <c r="H1591" i="1"/>
  <c r="I1591" i="1"/>
  <c r="L1591" i="1"/>
  <c r="M1591" i="1"/>
  <c r="V1591" i="1"/>
  <c r="W1591" i="1"/>
  <c r="A2141" i="1"/>
  <c r="D2141" i="1"/>
  <c r="F2141" i="1"/>
  <c r="H2141" i="1"/>
  <c r="I2141" i="1"/>
  <c r="L2141" i="1"/>
  <c r="M2141" i="1"/>
  <c r="V2141" i="1"/>
  <c r="W2141" i="1"/>
  <c r="A2682" i="1"/>
  <c r="D2682" i="1"/>
  <c r="F2682" i="1"/>
  <c r="H2682" i="1"/>
  <c r="I2682" i="1"/>
  <c r="L2682" i="1"/>
  <c r="M2682" i="1"/>
  <c r="V2682" i="1"/>
  <c r="W2682" i="1"/>
  <c r="A2826" i="1"/>
  <c r="D2826" i="1"/>
  <c r="F2826" i="1"/>
  <c r="H2826" i="1"/>
  <c r="I2826" i="1"/>
  <c r="L2826" i="1"/>
  <c r="M2826" i="1"/>
  <c r="V2826" i="1"/>
  <c r="W2826" i="1"/>
  <c r="A3006" i="1"/>
  <c r="D3006" i="1"/>
  <c r="F3006" i="1"/>
  <c r="H3006" i="1"/>
  <c r="I3006" i="1"/>
  <c r="L3006" i="1"/>
  <c r="M3006" i="1"/>
  <c r="V3006" i="1"/>
  <c r="W3006" i="1"/>
  <c r="A3345" i="1"/>
  <c r="D3345" i="1"/>
  <c r="F3345" i="1"/>
  <c r="H3345" i="1"/>
  <c r="I3345" i="1"/>
  <c r="L3345" i="1"/>
  <c r="M3345" i="1"/>
  <c r="V3345" i="1"/>
  <c r="W3345" i="1"/>
  <c r="A3645" i="1"/>
  <c r="D3645" i="1"/>
  <c r="F3645" i="1"/>
  <c r="H3645" i="1"/>
  <c r="I3645" i="1"/>
  <c r="L3645" i="1"/>
  <c r="M3645" i="1"/>
  <c r="V3645" i="1"/>
  <c r="W3645" i="1"/>
  <c r="A4460" i="1"/>
  <c r="D4460" i="1"/>
  <c r="F4460" i="1"/>
  <c r="H4460" i="1"/>
  <c r="I4460" i="1"/>
  <c r="L4460" i="1"/>
  <c r="M4460" i="1"/>
  <c r="V4460" i="1"/>
  <c r="W4460" i="1"/>
  <c r="A4681" i="1"/>
  <c r="D4681" i="1"/>
  <c r="F4681" i="1"/>
  <c r="H4681" i="1"/>
  <c r="I4681" i="1"/>
  <c r="L4681" i="1"/>
  <c r="M4681" i="1"/>
  <c r="V4681" i="1"/>
  <c r="W4681" i="1"/>
  <c r="A4824" i="1"/>
  <c r="D4824" i="1"/>
  <c r="F4824" i="1"/>
  <c r="H4824" i="1"/>
  <c r="I4824" i="1"/>
  <c r="L4824" i="1"/>
  <c r="M4824" i="1"/>
  <c r="V4824" i="1"/>
  <c r="W4824" i="1"/>
  <c r="A4987" i="1"/>
  <c r="D4987" i="1"/>
  <c r="F4987" i="1"/>
  <c r="H4987" i="1"/>
  <c r="I4987" i="1"/>
  <c r="L4987" i="1"/>
  <c r="M4987" i="1"/>
  <c r="V4987" i="1"/>
  <c r="W4987" i="1"/>
  <c r="A5479" i="1"/>
  <c r="D5479" i="1"/>
  <c r="F5479" i="1"/>
  <c r="H5479" i="1"/>
  <c r="I5479" i="1"/>
  <c r="L5479" i="1"/>
  <c r="M5479" i="1"/>
  <c r="V5479" i="1"/>
  <c r="W5479" i="1"/>
  <c r="A5587" i="1"/>
  <c r="D5587" i="1"/>
  <c r="F5587" i="1"/>
  <c r="H5587" i="1"/>
  <c r="I5587" i="1"/>
  <c r="L5587" i="1"/>
  <c r="M5587" i="1"/>
  <c r="V5587" i="1"/>
  <c r="W5587" i="1"/>
  <c r="A5733" i="1"/>
  <c r="D5733" i="1"/>
  <c r="F5733" i="1"/>
  <c r="H5733" i="1"/>
  <c r="I5733" i="1"/>
  <c r="L5733" i="1"/>
  <c r="M5733" i="1"/>
  <c r="V5733" i="1"/>
  <c r="W5733" i="1"/>
  <c r="A5858" i="1"/>
  <c r="D5858" i="1"/>
  <c r="F5858" i="1"/>
  <c r="H5858" i="1"/>
  <c r="I5858" i="1"/>
  <c r="L5858" i="1"/>
  <c r="M5858" i="1"/>
  <c r="V5858" i="1"/>
  <c r="W5858" i="1"/>
  <c r="A6010" i="1"/>
  <c r="D6010" i="1"/>
  <c r="F6010" i="1"/>
  <c r="H6010" i="1"/>
  <c r="I6010" i="1"/>
  <c r="L6010" i="1"/>
  <c r="M6010" i="1"/>
  <c r="V6010" i="1"/>
  <c r="W6010" i="1"/>
  <c r="A2640" i="1"/>
  <c r="D2640" i="1"/>
  <c r="F2640" i="1"/>
  <c r="H2640" i="1"/>
  <c r="I2640" i="1"/>
  <c r="L2640" i="1"/>
  <c r="M2640" i="1"/>
  <c r="V2640" i="1"/>
  <c r="W2640" i="1"/>
  <c r="A180" i="1"/>
  <c r="D180" i="1"/>
  <c r="F180" i="1"/>
  <c r="H180" i="1"/>
  <c r="I180" i="1"/>
  <c r="L180" i="1"/>
  <c r="M180" i="1"/>
  <c r="V180" i="1"/>
  <c r="W180" i="1"/>
  <c r="A328" i="1"/>
  <c r="D328" i="1"/>
  <c r="F328" i="1"/>
  <c r="H328" i="1"/>
  <c r="I328" i="1"/>
  <c r="L328" i="1"/>
  <c r="M328" i="1"/>
  <c r="V328" i="1"/>
  <c r="W328" i="1"/>
  <c r="A376" i="1"/>
  <c r="D376" i="1"/>
  <c r="F376" i="1"/>
  <c r="H376" i="1"/>
  <c r="I376" i="1"/>
  <c r="L376" i="1"/>
  <c r="M376" i="1"/>
  <c r="V376" i="1"/>
  <c r="W376" i="1"/>
  <c r="A3625" i="1"/>
  <c r="D3625" i="1"/>
  <c r="F3625" i="1"/>
  <c r="H3625" i="1"/>
  <c r="I3625" i="1"/>
  <c r="L3625" i="1"/>
  <c r="M3625" i="1"/>
  <c r="V3625" i="1"/>
  <c r="W3625" i="1"/>
  <c r="A350" i="1"/>
  <c r="D350" i="1"/>
  <c r="F350" i="1"/>
  <c r="H350" i="1"/>
  <c r="I350" i="1"/>
  <c r="L350" i="1"/>
  <c r="M350" i="1"/>
  <c r="V350" i="1"/>
  <c r="W350" i="1"/>
  <c r="A5842" i="1"/>
  <c r="D5842" i="1"/>
  <c r="F5842" i="1"/>
  <c r="H5842" i="1"/>
  <c r="I5842" i="1"/>
  <c r="L5842" i="1"/>
  <c r="M5842" i="1"/>
  <c r="V5842" i="1"/>
  <c r="W5842" i="1"/>
  <c r="A5501" i="1"/>
  <c r="D5501" i="1"/>
  <c r="F5501" i="1"/>
  <c r="H5501" i="1"/>
  <c r="I5501" i="1"/>
  <c r="L5501" i="1"/>
  <c r="M5501" i="1"/>
  <c r="V5501" i="1"/>
  <c r="W5501" i="1"/>
  <c r="A5431" i="1"/>
  <c r="D5431" i="1"/>
  <c r="F5431" i="1"/>
  <c r="H5431" i="1"/>
  <c r="I5431" i="1"/>
  <c r="L5431" i="1"/>
  <c r="M5431" i="1"/>
  <c r="V5431" i="1"/>
  <c r="W5431" i="1"/>
  <c r="A5791" i="1"/>
  <c r="D5791" i="1"/>
  <c r="F5791" i="1"/>
  <c r="H5791" i="1"/>
  <c r="I5791" i="1"/>
  <c r="L5791" i="1"/>
  <c r="M5791" i="1"/>
  <c r="V5791" i="1"/>
  <c r="W5791" i="1"/>
  <c r="A1466" i="1"/>
  <c r="D1466" i="1"/>
  <c r="F1466" i="1"/>
  <c r="H1466" i="1"/>
  <c r="I1466" i="1"/>
  <c r="L1466" i="1"/>
  <c r="M1466" i="1"/>
  <c r="V1466" i="1"/>
  <c r="W1466" i="1"/>
  <c r="A2637" i="1"/>
  <c r="D2637" i="1"/>
  <c r="F2637" i="1"/>
  <c r="H2637" i="1"/>
  <c r="I2637" i="1"/>
  <c r="L2637" i="1"/>
  <c r="M2637" i="1"/>
  <c r="V2637" i="1"/>
  <c r="W2637" i="1"/>
  <c r="A3180" i="1"/>
  <c r="D3180" i="1"/>
  <c r="F3180" i="1"/>
  <c r="H3180" i="1"/>
  <c r="I3180" i="1"/>
  <c r="L3180" i="1"/>
  <c r="M3180" i="1"/>
  <c r="V3180" i="1"/>
  <c r="W3180" i="1"/>
  <c r="A4614" i="1"/>
  <c r="D4614" i="1"/>
  <c r="F4614" i="1"/>
  <c r="H4614" i="1"/>
  <c r="I4614" i="1"/>
  <c r="L4614" i="1"/>
  <c r="M4614" i="1"/>
  <c r="V4614" i="1"/>
  <c r="W4614" i="1"/>
  <c r="A100" i="1"/>
  <c r="D100" i="1"/>
  <c r="F100" i="1"/>
  <c r="H100" i="1"/>
  <c r="I100" i="1"/>
  <c r="L100" i="1"/>
  <c r="M100" i="1"/>
  <c r="V100" i="1"/>
  <c r="W100" i="1"/>
  <c r="A148" i="1"/>
  <c r="D148" i="1"/>
  <c r="F148" i="1"/>
  <c r="H148" i="1"/>
  <c r="I148" i="1"/>
  <c r="L148" i="1"/>
  <c r="M148" i="1"/>
  <c r="V148" i="1"/>
  <c r="W148" i="1"/>
  <c r="A2708" i="1"/>
  <c r="D2708" i="1"/>
  <c r="F2708" i="1"/>
  <c r="H2708" i="1"/>
  <c r="I2708" i="1"/>
  <c r="L2708" i="1"/>
  <c r="M2708" i="1"/>
  <c r="V2708" i="1"/>
  <c r="W2708" i="1"/>
  <c r="A2724" i="1"/>
  <c r="D2724" i="1"/>
  <c r="F2724" i="1"/>
  <c r="H2724" i="1"/>
  <c r="I2724" i="1"/>
  <c r="L2724" i="1"/>
  <c r="M2724" i="1"/>
  <c r="V2724" i="1"/>
  <c r="W2724" i="1"/>
  <c r="A2131" i="1"/>
  <c r="D2131" i="1"/>
  <c r="F2131" i="1"/>
  <c r="H2131" i="1"/>
  <c r="I2131" i="1"/>
  <c r="L2131" i="1"/>
  <c r="M2131" i="1"/>
  <c r="V2131" i="1"/>
  <c r="W2131" i="1"/>
  <c r="A2274" i="1"/>
  <c r="D2274" i="1"/>
  <c r="F2274" i="1"/>
  <c r="H2274" i="1"/>
  <c r="I2274" i="1"/>
  <c r="L2274" i="1"/>
  <c r="M2274" i="1"/>
  <c r="V2274" i="1"/>
  <c r="W2274" i="1"/>
  <c r="A3277" i="1"/>
  <c r="D3277" i="1"/>
  <c r="F3277" i="1"/>
  <c r="H3277" i="1"/>
  <c r="I3277" i="1"/>
  <c r="L3277" i="1"/>
  <c r="M3277" i="1"/>
  <c r="V3277" i="1"/>
  <c r="W3277" i="1"/>
  <c r="A3923" i="1"/>
  <c r="D3923" i="1"/>
  <c r="F3923" i="1"/>
  <c r="H3923" i="1"/>
  <c r="I3923" i="1"/>
  <c r="L3923" i="1"/>
  <c r="M3923" i="1"/>
  <c r="V3923" i="1"/>
  <c r="W3923" i="1"/>
  <c r="A272" i="1"/>
  <c r="D272" i="1"/>
  <c r="F272" i="1"/>
  <c r="H272" i="1"/>
  <c r="I272" i="1"/>
  <c r="L272" i="1"/>
  <c r="M272" i="1"/>
  <c r="V272" i="1"/>
  <c r="W272" i="1"/>
  <c r="A3813" i="1"/>
  <c r="D3813" i="1"/>
  <c r="F3813" i="1"/>
  <c r="H3813" i="1"/>
  <c r="I3813" i="1"/>
  <c r="L3813" i="1"/>
  <c r="M3813" i="1"/>
  <c r="V3813" i="1"/>
  <c r="W3813" i="1"/>
  <c r="A3877" i="1"/>
  <c r="D3877" i="1"/>
  <c r="F3877" i="1"/>
  <c r="H3877" i="1"/>
  <c r="I3877" i="1"/>
  <c r="L3877" i="1"/>
  <c r="M3877" i="1"/>
  <c r="V3877" i="1"/>
  <c r="W3877" i="1"/>
  <c r="A5771" i="1"/>
  <c r="D5771" i="1"/>
  <c r="F5771" i="1"/>
  <c r="H5771" i="1"/>
  <c r="I5771" i="1"/>
  <c r="L5771" i="1"/>
  <c r="M5771" i="1"/>
  <c r="V5771" i="1"/>
  <c r="W5771" i="1"/>
  <c r="A6095" i="1"/>
  <c r="D6095" i="1"/>
  <c r="F6095" i="1"/>
  <c r="H6095" i="1"/>
  <c r="I6095" i="1"/>
  <c r="L6095" i="1"/>
  <c r="M6095" i="1"/>
  <c r="V6095" i="1"/>
  <c r="W6095" i="1"/>
  <c r="A2010" i="1"/>
  <c r="D2010" i="1"/>
  <c r="F2010" i="1"/>
  <c r="H2010" i="1"/>
  <c r="I2010" i="1"/>
  <c r="L2010" i="1"/>
  <c r="M2010" i="1"/>
  <c r="V2010" i="1"/>
  <c r="W2010" i="1"/>
  <c r="A2910" i="1"/>
  <c r="D2910" i="1"/>
  <c r="F2910" i="1"/>
  <c r="H2910" i="1"/>
  <c r="I2910" i="1"/>
  <c r="L2910" i="1"/>
  <c r="M2910" i="1"/>
  <c r="V2910" i="1"/>
  <c r="W2910" i="1"/>
  <c r="A4698" i="1"/>
  <c r="D4698" i="1"/>
  <c r="F4698" i="1"/>
  <c r="H4698" i="1"/>
  <c r="I4698" i="1"/>
  <c r="L4698" i="1"/>
  <c r="M4698" i="1"/>
  <c r="V4698" i="1"/>
  <c r="W4698" i="1"/>
  <c r="A3683" i="1"/>
  <c r="D3683" i="1"/>
  <c r="F3683" i="1"/>
  <c r="H3683" i="1"/>
  <c r="I3683" i="1"/>
  <c r="L3683" i="1"/>
  <c r="M3683" i="1"/>
  <c r="V3683" i="1"/>
  <c r="W3683" i="1"/>
  <c r="A2052" i="1"/>
  <c r="D2052" i="1"/>
  <c r="F2052" i="1"/>
  <c r="H2052" i="1"/>
  <c r="I2052" i="1"/>
  <c r="L2052" i="1"/>
  <c r="M2052" i="1"/>
  <c r="V2052" i="1"/>
  <c r="W2052" i="1"/>
  <c r="A2669" i="1"/>
  <c r="D2669" i="1"/>
  <c r="F2669" i="1"/>
  <c r="H2669" i="1"/>
  <c r="I2669" i="1"/>
  <c r="L2669" i="1"/>
  <c r="M2669" i="1"/>
  <c r="V2669" i="1"/>
  <c r="W2669" i="1"/>
  <c r="A2746" i="1"/>
  <c r="D2746" i="1"/>
  <c r="F2746" i="1"/>
  <c r="H2746" i="1"/>
  <c r="I2746" i="1"/>
  <c r="L2746" i="1"/>
  <c r="M2746" i="1"/>
  <c r="V2746" i="1"/>
  <c r="W2746" i="1"/>
  <c r="A2811" i="1"/>
  <c r="D2811" i="1"/>
  <c r="F2811" i="1"/>
  <c r="H2811" i="1"/>
  <c r="I2811" i="1"/>
  <c r="L2811" i="1"/>
  <c r="M2811" i="1"/>
  <c r="V2811" i="1"/>
  <c r="W2811" i="1"/>
  <c r="A2972" i="1"/>
  <c r="D2972" i="1"/>
  <c r="F2972" i="1"/>
  <c r="H2972" i="1"/>
  <c r="I2972" i="1"/>
  <c r="L2972" i="1"/>
  <c r="M2972" i="1"/>
  <c r="V2972" i="1"/>
  <c r="W2972" i="1"/>
  <c r="A3262" i="1"/>
  <c r="D3262" i="1"/>
  <c r="F3262" i="1"/>
  <c r="H3262" i="1"/>
  <c r="I3262" i="1"/>
  <c r="L3262" i="1"/>
  <c r="M3262" i="1"/>
  <c r="V3262" i="1"/>
  <c r="W3262" i="1"/>
  <c r="A3508" i="1"/>
  <c r="D3508" i="1"/>
  <c r="F3508" i="1"/>
  <c r="H3508" i="1"/>
  <c r="I3508" i="1"/>
  <c r="L3508" i="1"/>
  <c r="M3508" i="1"/>
  <c r="V3508" i="1"/>
  <c r="W3508" i="1"/>
  <c r="A3519" i="1"/>
  <c r="D3519" i="1"/>
  <c r="F3519" i="1"/>
  <c r="H3519" i="1"/>
  <c r="I3519" i="1"/>
  <c r="L3519" i="1"/>
  <c r="M3519" i="1"/>
  <c r="V3519" i="1"/>
  <c r="W3519" i="1"/>
  <c r="A4778" i="1"/>
  <c r="D4778" i="1"/>
  <c r="F4778" i="1"/>
  <c r="H4778" i="1"/>
  <c r="I4778" i="1"/>
  <c r="L4778" i="1"/>
  <c r="M4778" i="1"/>
  <c r="V4778" i="1"/>
  <c r="W4778" i="1"/>
  <c r="A4913" i="1"/>
  <c r="D4913" i="1"/>
  <c r="F4913" i="1"/>
  <c r="H4913" i="1"/>
  <c r="I4913" i="1"/>
  <c r="L4913" i="1"/>
  <c r="M4913" i="1"/>
  <c r="V4913" i="1"/>
  <c r="W4913" i="1"/>
  <c r="A5085" i="1"/>
  <c r="D5085" i="1"/>
  <c r="F5085" i="1"/>
  <c r="H5085" i="1"/>
  <c r="I5085" i="1"/>
  <c r="L5085" i="1"/>
  <c r="M5085" i="1"/>
  <c r="V5085" i="1"/>
  <c r="W5085" i="1"/>
  <c r="A5439" i="1"/>
  <c r="D5439" i="1"/>
  <c r="F5439" i="1"/>
  <c r="H5439" i="1"/>
  <c r="I5439" i="1"/>
  <c r="L5439" i="1"/>
  <c r="M5439" i="1"/>
  <c r="V5439" i="1"/>
  <c r="W5439" i="1"/>
  <c r="A5520" i="1"/>
  <c r="D5520" i="1"/>
  <c r="F5520" i="1"/>
  <c r="H5520" i="1"/>
  <c r="I5520" i="1"/>
  <c r="L5520" i="1"/>
  <c r="M5520" i="1"/>
  <c r="V5520" i="1"/>
  <c r="W5520" i="1"/>
  <c r="A5576" i="1"/>
  <c r="D5576" i="1"/>
  <c r="F5576" i="1"/>
  <c r="H5576" i="1"/>
  <c r="I5576" i="1"/>
  <c r="L5576" i="1"/>
  <c r="M5576" i="1"/>
  <c r="V5576" i="1"/>
  <c r="W5576" i="1"/>
  <c r="A5724" i="1"/>
  <c r="D5724" i="1"/>
  <c r="F5724" i="1"/>
  <c r="H5724" i="1"/>
  <c r="I5724" i="1"/>
  <c r="L5724" i="1"/>
  <c r="M5724" i="1"/>
  <c r="V5724" i="1"/>
  <c r="W5724" i="1"/>
  <c r="A5803" i="1"/>
  <c r="D5803" i="1"/>
  <c r="F5803" i="1"/>
  <c r="H5803" i="1"/>
  <c r="I5803" i="1"/>
  <c r="L5803" i="1"/>
  <c r="M5803" i="1"/>
  <c r="V5803" i="1"/>
  <c r="W5803" i="1"/>
  <c r="A5851" i="1"/>
  <c r="D5851" i="1"/>
  <c r="F5851" i="1"/>
  <c r="H5851" i="1"/>
  <c r="I5851" i="1"/>
  <c r="L5851" i="1"/>
  <c r="M5851" i="1"/>
  <c r="V5851" i="1"/>
  <c r="W5851" i="1"/>
  <c r="A5945" i="1"/>
  <c r="D5945" i="1"/>
  <c r="F5945" i="1"/>
  <c r="H5945" i="1"/>
  <c r="I5945" i="1"/>
  <c r="L5945" i="1"/>
  <c r="M5945" i="1"/>
  <c r="V5945" i="1"/>
  <c r="W5945" i="1"/>
  <c r="A6011" i="1"/>
  <c r="D6011" i="1"/>
  <c r="F6011" i="1"/>
  <c r="H6011" i="1"/>
  <c r="I6011" i="1"/>
  <c r="L6011" i="1"/>
  <c r="M6011" i="1"/>
  <c r="V6011" i="1"/>
  <c r="W6011" i="1"/>
  <c r="A6176" i="1"/>
  <c r="D6176" i="1"/>
  <c r="F6176" i="1"/>
  <c r="H6176" i="1"/>
  <c r="I6176" i="1"/>
  <c r="L6176" i="1"/>
  <c r="M6176" i="1"/>
  <c r="V6176" i="1"/>
  <c r="W6176" i="1"/>
  <c r="A1932" i="1"/>
  <c r="D1932" i="1"/>
  <c r="F1932" i="1"/>
  <c r="H1932" i="1"/>
  <c r="I1932" i="1"/>
  <c r="L1932" i="1"/>
  <c r="M1932" i="1"/>
  <c r="V1932" i="1"/>
  <c r="W1932" i="1"/>
  <c r="A1164" i="1"/>
  <c r="D1164" i="1"/>
  <c r="F1164" i="1"/>
  <c r="H1164" i="1"/>
  <c r="I1164" i="1"/>
  <c r="L1164" i="1"/>
  <c r="M1164" i="1"/>
  <c r="V1164" i="1"/>
  <c r="W1164" i="1"/>
  <c r="A4188" i="1"/>
  <c r="D4188" i="1"/>
  <c r="F4188" i="1"/>
  <c r="H4188" i="1"/>
  <c r="I4188" i="1"/>
  <c r="L4188" i="1"/>
  <c r="M4188" i="1"/>
  <c r="V4188" i="1"/>
  <c r="W4188" i="1"/>
  <c r="A4372" i="1"/>
  <c r="D4372" i="1"/>
  <c r="F4372" i="1"/>
  <c r="H4372" i="1"/>
  <c r="I4372" i="1"/>
  <c r="L4372" i="1"/>
  <c r="M4372" i="1"/>
  <c r="V4372" i="1"/>
  <c r="W4372" i="1"/>
  <c r="A4262" i="1"/>
  <c r="D4262" i="1"/>
  <c r="F4262" i="1"/>
  <c r="H4262" i="1"/>
  <c r="I4262" i="1"/>
  <c r="L4262" i="1"/>
  <c r="M4262" i="1"/>
  <c r="V4262" i="1"/>
  <c r="W4262" i="1"/>
  <c r="A4263" i="1"/>
  <c r="D4263" i="1"/>
  <c r="F4263" i="1"/>
  <c r="H4263" i="1"/>
  <c r="I4263" i="1"/>
  <c r="L4263" i="1"/>
  <c r="M4263" i="1"/>
  <c r="V4263" i="1"/>
  <c r="W4263" i="1"/>
  <c r="A449" i="1"/>
  <c r="D449" i="1"/>
  <c r="F449" i="1"/>
  <c r="H449" i="1"/>
  <c r="I449" i="1"/>
  <c r="L449" i="1"/>
  <c r="M449" i="1"/>
  <c r="V449" i="1"/>
  <c r="W449" i="1"/>
  <c r="A2492" i="1"/>
  <c r="D2492" i="1"/>
  <c r="F2492" i="1"/>
  <c r="H2492" i="1"/>
  <c r="I2492" i="1"/>
  <c r="L2492" i="1"/>
  <c r="M2492" i="1"/>
  <c r="V2492" i="1"/>
  <c r="W2492" i="1"/>
  <c r="A6214" i="1"/>
  <c r="D6214" i="1"/>
  <c r="F6214" i="1"/>
  <c r="H6214" i="1"/>
  <c r="I6214" i="1"/>
  <c r="L6214" i="1"/>
  <c r="M6214" i="1"/>
  <c r="V6214" i="1"/>
  <c r="W6214" i="1"/>
  <c r="A3666" i="1"/>
  <c r="D3666" i="1"/>
  <c r="F3666" i="1"/>
  <c r="H3666" i="1"/>
  <c r="I3666" i="1"/>
  <c r="L3666" i="1"/>
  <c r="M3666" i="1"/>
  <c r="V3666" i="1"/>
  <c r="W3666" i="1"/>
  <c r="A2512" i="1"/>
  <c r="D2512" i="1"/>
  <c r="F2512" i="1"/>
  <c r="H2512" i="1"/>
  <c r="I2512" i="1"/>
  <c r="L2512" i="1"/>
  <c r="M2512" i="1"/>
  <c r="V2512" i="1"/>
  <c r="W2512" i="1"/>
  <c r="A4776" i="1"/>
  <c r="D4776" i="1"/>
  <c r="F4776" i="1"/>
  <c r="H4776" i="1"/>
  <c r="I4776" i="1"/>
  <c r="L4776" i="1"/>
  <c r="M4776" i="1"/>
  <c r="V4776" i="1"/>
  <c r="W4776" i="1"/>
  <c r="A4825" i="1"/>
  <c r="D4825" i="1"/>
  <c r="F4825" i="1"/>
  <c r="H4825" i="1"/>
  <c r="I4825" i="1"/>
  <c r="L4825" i="1"/>
  <c r="M4825" i="1"/>
  <c r="V4825" i="1"/>
  <c r="W4825" i="1"/>
  <c r="A3613" i="1"/>
  <c r="D3613" i="1"/>
  <c r="F3613" i="1"/>
  <c r="H3613" i="1"/>
  <c r="I3613" i="1"/>
  <c r="L3613" i="1"/>
  <c r="M3613" i="1"/>
  <c r="V3613" i="1"/>
  <c r="W3613" i="1"/>
  <c r="A3278" i="1"/>
  <c r="D3278" i="1"/>
  <c r="F3278" i="1"/>
  <c r="H3278" i="1"/>
  <c r="I3278" i="1"/>
  <c r="L3278" i="1"/>
  <c r="M3278" i="1"/>
  <c r="V3278" i="1"/>
  <c r="W3278" i="1"/>
  <c r="A1990" i="1"/>
  <c r="D1990" i="1"/>
  <c r="F1990" i="1"/>
  <c r="H1990" i="1"/>
  <c r="I1990" i="1"/>
  <c r="L1990" i="1"/>
  <c r="M1990" i="1"/>
  <c r="V1990" i="1"/>
  <c r="W1990" i="1"/>
  <c r="A1933" i="1"/>
  <c r="D1933" i="1"/>
  <c r="F1933" i="1"/>
  <c r="H1933" i="1"/>
  <c r="I1933" i="1"/>
  <c r="L1933" i="1"/>
  <c r="M1933" i="1"/>
  <c r="V1933" i="1"/>
  <c r="W1933" i="1"/>
  <c r="A3332" i="1"/>
  <c r="D3332" i="1"/>
  <c r="F3332" i="1"/>
  <c r="H3332" i="1"/>
  <c r="I3332" i="1"/>
  <c r="L3332" i="1"/>
  <c r="M3332" i="1"/>
  <c r="V3332" i="1"/>
  <c r="W3332" i="1"/>
  <c r="A3339" i="1"/>
  <c r="D3339" i="1"/>
  <c r="F3339" i="1"/>
  <c r="H3339" i="1"/>
  <c r="I3339" i="1"/>
  <c r="L3339" i="1"/>
  <c r="M3339" i="1"/>
  <c r="V3339" i="1"/>
  <c r="W3339" i="1"/>
  <c r="A5924" i="1"/>
  <c r="D5924" i="1"/>
  <c r="F5924" i="1"/>
  <c r="H5924" i="1"/>
  <c r="I5924" i="1"/>
  <c r="L5924" i="1"/>
  <c r="M5924" i="1"/>
  <c r="V5924" i="1"/>
  <c r="W5924" i="1"/>
  <c r="A4077" i="1"/>
  <c r="D4077" i="1"/>
  <c r="F4077" i="1"/>
  <c r="H4077" i="1"/>
  <c r="I4077" i="1"/>
  <c r="L4077" i="1"/>
  <c r="M4077" i="1"/>
  <c r="V4077" i="1"/>
  <c r="W4077" i="1"/>
  <c r="A4484" i="1"/>
  <c r="D4484" i="1"/>
  <c r="F4484" i="1"/>
  <c r="H4484" i="1"/>
  <c r="I4484" i="1"/>
  <c r="L4484" i="1"/>
  <c r="M4484" i="1"/>
  <c r="V4484" i="1"/>
  <c r="W4484" i="1"/>
  <c r="A993" i="1"/>
  <c r="D993" i="1"/>
  <c r="F993" i="1"/>
  <c r="H993" i="1"/>
  <c r="I993" i="1"/>
  <c r="L993" i="1"/>
  <c r="M993" i="1"/>
  <c r="V993" i="1"/>
  <c r="W993" i="1"/>
  <c r="A2914" i="1"/>
  <c r="D2914" i="1"/>
  <c r="F2914" i="1"/>
  <c r="H2914" i="1"/>
  <c r="I2914" i="1"/>
  <c r="L2914" i="1"/>
  <c r="M2914" i="1"/>
  <c r="V2914" i="1"/>
  <c r="W2914" i="1"/>
  <c r="A2931" i="1"/>
  <c r="D2931" i="1"/>
  <c r="F2931" i="1"/>
  <c r="H2931" i="1"/>
  <c r="I2931" i="1"/>
  <c r="L2931" i="1"/>
  <c r="M2931" i="1"/>
  <c r="V2931" i="1"/>
  <c r="W2931" i="1"/>
  <c r="A4553" i="1"/>
  <c r="D4553" i="1"/>
  <c r="F4553" i="1"/>
  <c r="H4553" i="1"/>
  <c r="I4553" i="1"/>
  <c r="L4553" i="1"/>
  <c r="M4553" i="1"/>
  <c r="V4553" i="1"/>
  <c r="W4553" i="1"/>
  <c r="A4634" i="1"/>
  <c r="D4634" i="1"/>
  <c r="F4634" i="1"/>
  <c r="H4634" i="1"/>
  <c r="I4634" i="1"/>
  <c r="L4634" i="1"/>
  <c r="M4634" i="1"/>
  <c r="V4634" i="1"/>
  <c r="W4634" i="1"/>
  <c r="A4639" i="1"/>
  <c r="D4639" i="1"/>
  <c r="F4639" i="1"/>
  <c r="H4639" i="1"/>
  <c r="I4639" i="1"/>
  <c r="L4639" i="1"/>
  <c r="M4639" i="1"/>
  <c r="V4639" i="1"/>
  <c r="W4639" i="1"/>
  <c r="A5635" i="1"/>
  <c r="D5635" i="1"/>
  <c r="F5635" i="1"/>
  <c r="H5635" i="1"/>
  <c r="I5635" i="1"/>
  <c r="L5635" i="1"/>
  <c r="M5635" i="1"/>
  <c r="V5635" i="1"/>
  <c r="W5635" i="1"/>
  <c r="A3746" i="1"/>
  <c r="D3746" i="1"/>
  <c r="F3746" i="1"/>
  <c r="H3746" i="1"/>
  <c r="I3746" i="1"/>
  <c r="L3746" i="1"/>
  <c r="M3746" i="1"/>
  <c r="V3746" i="1"/>
  <c r="W3746" i="1"/>
  <c r="A3556" i="1"/>
  <c r="D3556" i="1"/>
  <c r="F3556" i="1"/>
  <c r="H3556" i="1"/>
  <c r="I3556" i="1"/>
  <c r="L3556" i="1"/>
  <c r="M3556" i="1"/>
  <c r="V3556" i="1"/>
  <c r="W3556" i="1"/>
  <c r="A4096" i="1"/>
  <c r="D4096" i="1"/>
  <c r="F4096" i="1"/>
  <c r="H4096" i="1"/>
  <c r="I4096" i="1"/>
  <c r="L4096" i="1"/>
  <c r="M4096" i="1"/>
  <c r="V4096" i="1"/>
  <c r="W4096" i="1"/>
  <c r="A5062" i="1"/>
  <c r="D5062" i="1"/>
  <c r="F5062" i="1"/>
  <c r="H5062" i="1"/>
  <c r="I5062" i="1"/>
  <c r="L5062" i="1"/>
  <c r="M5062" i="1"/>
  <c r="V5062" i="1"/>
  <c r="W5062" i="1"/>
  <c r="A5236" i="1"/>
  <c r="D5236" i="1"/>
  <c r="F5236" i="1"/>
  <c r="H5236" i="1"/>
  <c r="I5236" i="1"/>
  <c r="L5236" i="1"/>
  <c r="M5236" i="1"/>
  <c r="V5236" i="1"/>
  <c r="W5236" i="1"/>
  <c r="A397" i="1"/>
  <c r="D397" i="1"/>
  <c r="F397" i="1"/>
  <c r="H397" i="1"/>
  <c r="I397" i="1"/>
  <c r="L397" i="1"/>
  <c r="M397" i="1"/>
  <c r="V397" i="1"/>
  <c r="W397" i="1"/>
  <c r="A436" i="1"/>
  <c r="D436" i="1"/>
  <c r="F436" i="1"/>
  <c r="H436" i="1"/>
  <c r="I436" i="1"/>
  <c r="L436" i="1"/>
  <c r="M436" i="1"/>
  <c r="V436" i="1"/>
  <c r="W436" i="1"/>
  <c r="A2749" i="1"/>
  <c r="D2749" i="1"/>
  <c r="F2749" i="1"/>
  <c r="H2749" i="1"/>
  <c r="I2749" i="1"/>
  <c r="L2749" i="1"/>
  <c r="M2749" i="1"/>
  <c r="V2749" i="1"/>
  <c r="W2749" i="1"/>
  <c r="A6078" i="1"/>
  <c r="D6078" i="1"/>
  <c r="F6078" i="1"/>
  <c r="H6078" i="1"/>
  <c r="I6078" i="1"/>
  <c r="L6078" i="1"/>
  <c r="M6078" i="1"/>
  <c r="V6078" i="1"/>
  <c r="W6078" i="1"/>
  <c r="A1107" i="1"/>
  <c r="D1107" i="1"/>
  <c r="F1107" i="1"/>
  <c r="H1107" i="1"/>
  <c r="I1107" i="1"/>
  <c r="L1107" i="1"/>
  <c r="M1107" i="1"/>
  <c r="V1107" i="1"/>
  <c r="W1107" i="1"/>
  <c r="A1763" i="1"/>
  <c r="D1763" i="1"/>
  <c r="F1763" i="1"/>
  <c r="H1763" i="1"/>
  <c r="I1763" i="1"/>
  <c r="L1763" i="1"/>
  <c r="M1763" i="1"/>
  <c r="V1763" i="1"/>
  <c r="W1763" i="1"/>
  <c r="A2198" i="1"/>
  <c r="D2198" i="1"/>
  <c r="F2198" i="1"/>
  <c r="H2198" i="1"/>
  <c r="I2198" i="1"/>
  <c r="L2198" i="1"/>
  <c r="M2198" i="1"/>
  <c r="V2198" i="1"/>
  <c r="W2198" i="1"/>
  <c r="A4851" i="1"/>
  <c r="D4851" i="1"/>
  <c r="F4851" i="1"/>
  <c r="H4851" i="1"/>
  <c r="I4851" i="1"/>
  <c r="L4851" i="1"/>
  <c r="M4851" i="1"/>
  <c r="V4851" i="1"/>
  <c r="W4851" i="1"/>
  <c r="A5764" i="1"/>
  <c r="D5764" i="1"/>
  <c r="F5764" i="1"/>
  <c r="H5764" i="1"/>
  <c r="I5764" i="1"/>
  <c r="L5764" i="1"/>
  <c r="M5764" i="1"/>
  <c r="V5764" i="1"/>
  <c r="W5764" i="1"/>
  <c r="A1850" i="1"/>
  <c r="D1850" i="1"/>
  <c r="F1850" i="1"/>
  <c r="H1850" i="1"/>
  <c r="I1850" i="1"/>
  <c r="L1850" i="1"/>
  <c r="M1850" i="1"/>
  <c r="V1850" i="1"/>
  <c r="W1850" i="1"/>
  <c r="A2193" i="1"/>
  <c r="D2193" i="1"/>
  <c r="F2193" i="1"/>
  <c r="H2193" i="1"/>
  <c r="I2193" i="1"/>
  <c r="L2193" i="1"/>
  <c r="M2193" i="1"/>
  <c r="V2193" i="1"/>
  <c r="W2193" i="1"/>
  <c r="A3437" i="1"/>
  <c r="D3437" i="1"/>
  <c r="F3437" i="1"/>
  <c r="H3437" i="1"/>
  <c r="I3437" i="1"/>
  <c r="L3437" i="1"/>
  <c r="M3437" i="1"/>
  <c r="V3437" i="1"/>
  <c r="W3437" i="1"/>
  <c r="A3455" i="1"/>
  <c r="D3455" i="1"/>
  <c r="F3455" i="1"/>
  <c r="H3455" i="1"/>
  <c r="I3455" i="1"/>
  <c r="L3455" i="1"/>
  <c r="M3455" i="1"/>
  <c r="V3455" i="1"/>
  <c r="W3455" i="1"/>
  <c r="A3599" i="1"/>
  <c r="D3599" i="1"/>
  <c r="F3599" i="1"/>
  <c r="H3599" i="1"/>
  <c r="I3599" i="1"/>
  <c r="L3599" i="1"/>
  <c r="M3599" i="1"/>
  <c r="V3599" i="1"/>
  <c r="W3599" i="1"/>
  <c r="A3785" i="1"/>
  <c r="D3785" i="1"/>
  <c r="F3785" i="1"/>
  <c r="H3785" i="1"/>
  <c r="I3785" i="1"/>
  <c r="L3785" i="1"/>
  <c r="M3785" i="1"/>
  <c r="V3785" i="1"/>
  <c r="W3785" i="1"/>
  <c r="A595" i="1"/>
  <c r="D595" i="1"/>
  <c r="F595" i="1"/>
  <c r="H595" i="1"/>
  <c r="I595" i="1"/>
  <c r="L595" i="1"/>
  <c r="M595" i="1"/>
  <c r="V595" i="1"/>
  <c r="W595" i="1"/>
  <c r="A1800" i="1"/>
  <c r="D1800" i="1"/>
  <c r="F1800" i="1"/>
  <c r="H1800" i="1"/>
  <c r="I1800" i="1"/>
  <c r="L1800" i="1"/>
  <c r="M1800" i="1"/>
  <c r="V1800" i="1"/>
  <c r="W1800" i="1"/>
  <c r="A1759" i="1"/>
  <c r="D1759" i="1"/>
  <c r="F1759" i="1"/>
  <c r="H1759" i="1"/>
  <c r="I1759" i="1"/>
  <c r="L1759" i="1"/>
  <c r="M1759" i="1"/>
  <c r="V1759" i="1"/>
  <c r="W1759" i="1"/>
  <c r="A2478" i="1"/>
  <c r="D2478" i="1"/>
  <c r="F2478" i="1"/>
  <c r="H2478" i="1"/>
  <c r="I2478" i="1"/>
  <c r="L2478" i="1"/>
  <c r="M2478" i="1"/>
  <c r="V2478" i="1"/>
  <c r="W2478" i="1"/>
  <c r="A2350" i="1"/>
  <c r="D2350" i="1"/>
  <c r="F2350" i="1"/>
  <c r="H2350" i="1"/>
  <c r="I2350" i="1"/>
  <c r="L2350" i="1"/>
  <c r="M2350" i="1"/>
  <c r="V2350" i="1"/>
  <c r="W2350" i="1"/>
  <c r="A2554" i="1"/>
  <c r="D2554" i="1"/>
  <c r="F2554" i="1"/>
  <c r="H2554" i="1"/>
  <c r="I2554" i="1"/>
  <c r="L2554" i="1"/>
  <c r="M2554" i="1"/>
  <c r="V2554" i="1"/>
  <c r="W2554" i="1"/>
  <c r="A2691" i="1"/>
  <c r="D2691" i="1"/>
  <c r="F2691" i="1"/>
  <c r="H2691" i="1"/>
  <c r="I2691" i="1"/>
  <c r="L2691" i="1"/>
  <c r="M2691" i="1"/>
  <c r="V2691" i="1"/>
  <c r="W2691" i="1"/>
  <c r="A1925" i="1"/>
  <c r="D1925" i="1"/>
  <c r="F1925" i="1"/>
  <c r="H1925" i="1"/>
  <c r="I1925" i="1"/>
  <c r="L1925" i="1"/>
  <c r="M1925" i="1"/>
  <c r="V1925" i="1"/>
  <c r="W1925" i="1"/>
  <c r="A2099" i="1"/>
  <c r="D2099" i="1"/>
  <c r="F2099" i="1"/>
  <c r="H2099" i="1"/>
  <c r="I2099" i="1"/>
  <c r="L2099" i="1"/>
  <c r="M2099" i="1"/>
  <c r="V2099" i="1"/>
  <c r="W2099" i="1"/>
  <c r="A5149" i="1"/>
  <c r="D5149" i="1"/>
  <c r="F5149" i="1"/>
  <c r="H5149" i="1"/>
  <c r="I5149" i="1"/>
  <c r="L5149" i="1"/>
  <c r="M5149" i="1"/>
  <c r="V5149" i="1"/>
  <c r="W5149" i="1"/>
  <c r="A5382" i="1"/>
  <c r="D5382" i="1"/>
  <c r="F5382" i="1"/>
  <c r="H5382" i="1"/>
  <c r="I5382" i="1"/>
  <c r="L5382" i="1"/>
  <c r="M5382" i="1"/>
  <c r="V5382" i="1"/>
  <c r="W5382" i="1"/>
  <c r="A5205" i="1"/>
  <c r="D5205" i="1"/>
  <c r="F5205" i="1"/>
  <c r="H5205" i="1"/>
  <c r="I5205" i="1"/>
  <c r="L5205" i="1"/>
  <c r="M5205" i="1"/>
  <c r="V5205" i="1"/>
  <c r="W5205" i="1"/>
  <c r="A6117" i="1"/>
  <c r="D6117" i="1"/>
  <c r="F6117" i="1"/>
  <c r="H6117" i="1"/>
  <c r="I6117" i="1"/>
  <c r="L6117" i="1"/>
  <c r="M6117" i="1"/>
  <c r="V6117" i="1"/>
  <c r="W6117" i="1"/>
  <c r="A3384" i="1"/>
  <c r="D3384" i="1"/>
  <c r="F3384" i="1"/>
  <c r="H3384" i="1"/>
  <c r="I3384" i="1"/>
  <c r="L3384" i="1"/>
  <c r="M3384" i="1"/>
  <c r="V3384" i="1"/>
  <c r="W3384" i="1"/>
  <c r="A4854" i="1"/>
  <c r="D4854" i="1"/>
  <c r="F4854" i="1"/>
  <c r="H4854" i="1"/>
  <c r="I4854" i="1"/>
  <c r="L4854" i="1"/>
  <c r="M4854" i="1"/>
  <c r="V4854" i="1"/>
  <c r="W4854" i="1"/>
  <c r="A5063" i="1"/>
  <c r="D5063" i="1"/>
  <c r="F5063" i="1"/>
  <c r="H5063" i="1"/>
  <c r="I5063" i="1"/>
  <c r="L5063" i="1"/>
  <c r="M5063" i="1"/>
  <c r="V5063" i="1"/>
  <c r="W5063" i="1"/>
  <c r="A5235" i="1"/>
  <c r="D5235" i="1"/>
  <c r="F5235" i="1"/>
  <c r="H5235" i="1"/>
  <c r="I5235" i="1"/>
  <c r="L5235" i="1"/>
  <c r="M5235" i="1"/>
  <c r="V5235" i="1"/>
  <c r="W5235" i="1"/>
  <c r="A1743" i="1"/>
  <c r="D1743" i="1"/>
  <c r="F1743" i="1"/>
  <c r="H1743" i="1"/>
  <c r="I1743" i="1"/>
  <c r="L1743" i="1"/>
  <c r="M1743" i="1"/>
  <c r="V1743" i="1"/>
  <c r="W1743" i="1"/>
  <c r="A2108" i="1"/>
  <c r="D2108" i="1"/>
  <c r="F2108" i="1"/>
  <c r="H2108" i="1"/>
  <c r="I2108" i="1"/>
  <c r="L2108" i="1"/>
  <c r="M2108" i="1"/>
  <c r="V2108" i="1"/>
  <c r="W2108" i="1"/>
  <c r="A5265" i="1"/>
  <c r="D5265" i="1"/>
  <c r="F5265" i="1"/>
  <c r="H5265" i="1"/>
  <c r="I5265" i="1"/>
  <c r="L5265" i="1"/>
  <c r="M5265" i="1"/>
  <c r="V5265" i="1"/>
  <c r="W5265" i="1"/>
  <c r="A5271" i="1"/>
  <c r="D5271" i="1"/>
  <c r="F5271" i="1"/>
  <c r="H5271" i="1"/>
  <c r="I5271" i="1"/>
  <c r="L5271" i="1"/>
  <c r="M5271" i="1"/>
  <c r="V5271" i="1"/>
  <c r="W5271" i="1"/>
  <c r="A5274" i="1"/>
  <c r="D5274" i="1"/>
  <c r="F5274" i="1"/>
  <c r="H5274" i="1"/>
  <c r="I5274" i="1"/>
  <c r="L5274" i="1"/>
  <c r="M5274" i="1"/>
  <c r="V5274" i="1"/>
  <c r="W5274" i="1"/>
  <c r="A2444" i="1"/>
  <c r="D2444" i="1"/>
  <c r="F2444" i="1"/>
  <c r="H2444" i="1"/>
  <c r="I2444" i="1"/>
  <c r="L2444" i="1"/>
  <c r="M2444" i="1"/>
  <c r="V2444" i="1"/>
  <c r="W2444" i="1"/>
  <c r="A4140" i="1"/>
  <c r="D4140" i="1"/>
  <c r="F4140" i="1"/>
  <c r="H4140" i="1"/>
  <c r="I4140" i="1"/>
  <c r="L4140" i="1"/>
  <c r="M4140" i="1"/>
  <c r="V4140" i="1"/>
  <c r="W4140" i="1"/>
  <c r="A4350" i="1"/>
  <c r="D4350" i="1"/>
  <c r="F4350" i="1"/>
  <c r="H4350" i="1"/>
  <c r="I4350" i="1"/>
  <c r="L4350" i="1"/>
  <c r="M4350" i="1"/>
  <c r="V4350" i="1"/>
  <c r="W4350" i="1"/>
  <c r="A783" i="1"/>
  <c r="D783" i="1"/>
  <c r="F783" i="1"/>
  <c r="H783" i="1"/>
  <c r="I783" i="1"/>
  <c r="L783" i="1"/>
  <c r="M783" i="1"/>
  <c r="V783" i="1"/>
  <c r="W783" i="1"/>
  <c r="A2057" i="1"/>
  <c r="D2057" i="1"/>
  <c r="F2057" i="1"/>
  <c r="H2057" i="1"/>
  <c r="I2057" i="1"/>
  <c r="L2057" i="1"/>
  <c r="M2057" i="1"/>
  <c r="V2057" i="1"/>
  <c r="W2057" i="1"/>
  <c r="A2562" i="1"/>
  <c r="D2562" i="1"/>
  <c r="F2562" i="1"/>
  <c r="H2562" i="1"/>
  <c r="I2562" i="1"/>
  <c r="L2562" i="1"/>
  <c r="M2562" i="1"/>
  <c r="V2562" i="1"/>
  <c r="W2562" i="1"/>
  <c r="A3014" i="1"/>
  <c r="D3014" i="1"/>
  <c r="F3014" i="1"/>
  <c r="H3014" i="1"/>
  <c r="I3014" i="1"/>
  <c r="L3014" i="1"/>
  <c r="M3014" i="1"/>
  <c r="V3014" i="1"/>
  <c r="W3014" i="1"/>
  <c r="A3719" i="1"/>
  <c r="D3719" i="1"/>
  <c r="F3719" i="1"/>
  <c r="H3719" i="1"/>
  <c r="I3719" i="1"/>
  <c r="L3719" i="1"/>
  <c r="M3719" i="1"/>
  <c r="V3719" i="1"/>
  <c r="W3719" i="1"/>
  <c r="A3290" i="1"/>
  <c r="D3290" i="1"/>
  <c r="F3290" i="1"/>
  <c r="H3290" i="1"/>
  <c r="I3290" i="1"/>
  <c r="L3290" i="1"/>
  <c r="M3290" i="1"/>
  <c r="V3290" i="1"/>
  <c r="W3290" i="1"/>
  <c r="A4948" i="1"/>
  <c r="D4948" i="1"/>
  <c r="F4948" i="1"/>
  <c r="H4948" i="1"/>
  <c r="I4948" i="1"/>
  <c r="L4948" i="1"/>
  <c r="M4948" i="1"/>
  <c r="V4948" i="1"/>
  <c r="W4948" i="1"/>
  <c r="A4971" i="1"/>
  <c r="D4971" i="1"/>
  <c r="F4971" i="1"/>
  <c r="H4971" i="1"/>
  <c r="I4971" i="1"/>
  <c r="L4971" i="1"/>
  <c r="M4971" i="1"/>
  <c r="V4971" i="1"/>
  <c r="W4971" i="1"/>
  <c r="A5076" i="1"/>
  <c r="D5076" i="1"/>
  <c r="F5076" i="1"/>
  <c r="H5076" i="1"/>
  <c r="I5076" i="1"/>
  <c r="L5076" i="1"/>
  <c r="M5076" i="1"/>
  <c r="V5076" i="1"/>
  <c r="W5076" i="1"/>
  <c r="A1811" i="1"/>
  <c r="D1811" i="1"/>
  <c r="F1811" i="1"/>
  <c r="H1811" i="1"/>
  <c r="I1811" i="1"/>
  <c r="L1811" i="1"/>
  <c r="M1811" i="1"/>
  <c r="V1811" i="1"/>
  <c r="W1811" i="1"/>
  <c r="A2450" i="1"/>
  <c r="D2450" i="1"/>
  <c r="F2450" i="1"/>
  <c r="H2450" i="1"/>
  <c r="I2450" i="1"/>
  <c r="L2450" i="1"/>
  <c r="M2450" i="1"/>
  <c r="V2450" i="1"/>
  <c r="W2450" i="1"/>
  <c r="A835" i="1"/>
  <c r="D835" i="1"/>
  <c r="F835" i="1"/>
  <c r="H835" i="1"/>
  <c r="I835" i="1"/>
  <c r="L835" i="1"/>
  <c r="M835" i="1"/>
  <c r="V835" i="1"/>
  <c r="W835" i="1"/>
  <c r="A1132" i="1"/>
  <c r="D1132" i="1"/>
  <c r="F1132" i="1"/>
  <c r="H1132" i="1"/>
  <c r="I1132" i="1"/>
  <c r="L1132" i="1"/>
  <c r="M1132" i="1"/>
  <c r="V1132" i="1"/>
  <c r="W1132" i="1"/>
  <c r="A1189" i="1"/>
  <c r="D1189" i="1"/>
  <c r="F1189" i="1"/>
  <c r="H1189" i="1"/>
  <c r="I1189" i="1"/>
  <c r="L1189" i="1"/>
  <c r="M1189" i="1"/>
  <c r="V1189" i="1"/>
  <c r="W1189" i="1"/>
  <c r="A5573" i="1"/>
  <c r="D5573" i="1"/>
  <c r="F5573" i="1"/>
  <c r="H5573" i="1"/>
  <c r="I5573" i="1"/>
  <c r="L5573" i="1"/>
  <c r="M5573" i="1"/>
  <c r="V5573" i="1"/>
  <c r="W5573" i="1"/>
  <c r="A5671" i="1"/>
  <c r="D5671" i="1"/>
  <c r="F5671" i="1"/>
  <c r="H5671" i="1"/>
  <c r="I5671" i="1"/>
  <c r="L5671" i="1"/>
  <c r="M5671" i="1"/>
  <c r="V5671" i="1"/>
  <c r="W5671" i="1"/>
  <c r="A3610" i="1"/>
  <c r="D3610" i="1"/>
  <c r="F3610" i="1"/>
  <c r="H3610" i="1"/>
  <c r="I3610" i="1"/>
  <c r="L3610" i="1"/>
  <c r="M3610" i="1"/>
  <c r="V3610" i="1"/>
  <c r="W3610" i="1"/>
  <c r="A4036" i="1"/>
  <c r="D4036" i="1"/>
  <c r="F4036" i="1"/>
  <c r="H4036" i="1"/>
  <c r="I4036" i="1"/>
  <c r="L4036" i="1"/>
  <c r="M4036" i="1"/>
  <c r="V4036" i="1"/>
  <c r="W4036" i="1"/>
  <c r="A6118" i="1"/>
  <c r="D6118" i="1"/>
  <c r="F6118" i="1"/>
  <c r="H6118" i="1"/>
  <c r="I6118" i="1"/>
  <c r="L6118" i="1"/>
  <c r="M6118" i="1"/>
  <c r="V6118" i="1"/>
  <c r="W6118" i="1"/>
  <c r="A3396" i="1"/>
  <c r="D3396" i="1"/>
  <c r="F3396" i="1"/>
  <c r="H3396" i="1"/>
  <c r="I3396" i="1"/>
  <c r="L3396" i="1"/>
  <c r="M3396" i="1"/>
  <c r="V3396" i="1"/>
  <c r="W3396" i="1"/>
  <c r="A3411" i="1"/>
  <c r="D3411" i="1"/>
  <c r="F3411" i="1"/>
  <c r="H3411" i="1"/>
  <c r="I3411" i="1"/>
  <c r="L3411" i="1"/>
  <c r="M3411" i="1"/>
  <c r="V3411" i="1"/>
  <c r="W3411" i="1"/>
  <c r="A3460" i="1"/>
  <c r="D3460" i="1"/>
  <c r="F3460" i="1"/>
  <c r="H3460" i="1"/>
  <c r="I3460" i="1"/>
  <c r="L3460" i="1"/>
  <c r="M3460" i="1"/>
  <c r="V3460" i="1"/>
  <c r="W3460" i="1"/>
  <c r="A3496" i="1"/>
  <c r="D3496" i="1"/>
  <c r="F3496" i="1"/>
  <c r="H3496" i="1"/>
  <c r="I3496" i="1"/>
  <c r="L3496" i="1"/>
  <c r="M3496" i="1"/>
  <c r="V3496" i="1"/>
  <c r="W3496" i="1"/>
  <c r="A764" i="1"/>
  <c r="D764" i="1"/>
  <c r="F764" i="1"/>
  <c r="H764" i="1"/>
  <c r="I764" i="1"/>
  <c r="L764" i="1"/>
  <c r="M764" i="1"/>
  <c r="V764" i="1"/>
  <c r="W764" i="1"/>
  <c r="A771" i="1"/>
  <c r="D771" i="1"/>
  <c r="F771" i="1"/>
  <c r="H771" i="1"/>
  <c r="I771" i="1"/>
  <c r="L771" i="1"/>
  <c r="M771" i="1"/>
  <c r="V771" i="1"/>
  <c r="W771" i="1"/>
  <c r="A1091" i="1"/>
  <c r="D1091" i="1"/>
  <c r="F1091" i="1"/>
  <c r="H1091" i="1"/>
  <c r="I1091" i="1"/>
  <c r="L1091" i="1"/>
  <c r="M1091" i="1"/>
  <c r="V1091" i="1"/>
  <c r="W1091" i="1"/>
  <c r="A1133" i="1"/>
  <c r="D1133" i="1"/>
  <c r="F1133" i="1"/>
  <c r="H1133" i="1"/>
  <c r="I1133" i="1"/>
  <c r="L1133" i="1"/>
  <c r="M1133" i="1"/>
  <c r="V1133" i="1"/>
  <c r="W1133" i="1"/>
  <c r="A5716" i="1"/>
  <c r="D5716" i="1"/>
  <c r="F5716" i="1"/>
  <c r="H5716" i="1"/>
  <c r="I5716" i="1"/>
  <c r="L5716" i="1"/>
  <c r="M5716" i="1"/>
  <c r="V5716" i="1"/>
  <c r="W5716" i="1"/>
  <c r="A679" i="1"/>
  <c r="D679" i="1"/>
  <c r="F679" i="1"/>
  <c r="H679" i="1"/>
  <c r="I679" i="1"/>
  <c r="L679" i="1"/>
  <c r="M679" i="1"/>
  <c r="V679" i="1"/>
  <c r="W679" i="1"/>
  <c r="A1883" i="1"/>
  <c r="D1883" i="1"/>
  <c r="F1883" i="1"/>
  <c r="H1883" i="1"/>
  <c r="I1883" i="1"/>
  <c r="L1883" i="1"/>
  <c r="M1883" i="1"/>
  <c r="V1883" i="1"/>
  <c r="W1883" i="1"/>
  <c r="A6029" i="1"/>
  <c r="D6029" i="1"/>
  <c r="F6029" i="1"/>
  <c r="H6029" i="1"/>
  <c r="I6029" i="1"/>
  <c r="L6029" i="1"/>
  <c r="M6029" i="1"/>
  <c r="V6029" i="1"/>
  <c r="W6029" i="1"/>
  <c r="A4402" i="1"/>
  <c r="D4402" i="1"/>
  <c r="F4402" i="1"/>
  <c r="H4402" i="1"/>
  <c r="I4402" i="1"/>
  <c r="L4402" i="1"/>
  <c r="M4402" i="1"/>
  <c r="V4402" i="1"/>
  <c r="W4402" i="1"/>
  <c r="A4411" i="1"/>
  <c r="D4411" i="1"/>
  <c r="F4411" i="1"/>
  <c r="H4411" i="1"/>
  <c r="I4411" i="1"/>
  <c r="L4411" i="1"/>
  <c r="M4411" i="1"/>
  <c r="V4411" i="1"/>
  <c r="W4411" i="1"/>
  <c r="A1341" i="1"/>
  <c r="D1341" i="1"/>
  <c r="F1341" i="1"/>
  <c r="H1341" i="1"/>
  <c r="I1341" i="1"/>
  <c r="L1341" i="1"/>
  <c r="M1341" i="1"/>
  <c r="V1341" i="1"/>
  <c r="W1341" i="1"/>
  <c r="A4874" i="1"/>
  <c r="D4874" i="1"/>
  <c r="F4874" i="1"/>
  <c r="H4874" i="1"/>
  <c r="I4874" i="1"/>
  <c r="L4874" i="1"/>
  <c r="M4874" i="1"/>
  <c r="V4874" i="1"/>
  <c r="W4874" i="1"/>
  <c r="A3249" i="1"/>
  <c r="D3249" i="1"/>
  <c r="F3249" i="1"/>
  <c r="H3249" i="1"/>
  <c r="I3249" i="1"/>
  <c r="L3249" i="1"/>
  <c r="M3249" i="1"/>
  <c r="V3249" i="1"/>
  <c r="W3249" i="1"/>
  <c r="A4321" i="1"/>
  <c r="D4321" i="1"/>
  <c r="F4321" i="1"/>
  <c r="H4321" i="1"/>
  <c r="I4321" i="1"/>
  <c r="L4321" i="1"/>
  <c r="M4321" i="1"/>
  <c r="V4321" i="1"/>
  <c r="W4321" i="1"/>
  <c r="A3258" i="1"/>
  <c r="D3258" i="1"/>
  <c r="F3258" i="1"/>
  <c r="H3258" i="1"/>
  <c r="I3258" i="1"/>
  <c r="L3258" i="1"/>
  <c r="M3258" i="1"/>
  <c r="V3258" i="1"/>
  <c r="W3258" i="1"/>
  <c r="A3374" i="1"/>
  <c r="D3374" i="1"/>
  <c r="F3374" i="1"/>
  <c r="H3374" i="1"/>
  <c r="I3374" i="1"/>
  <c r="L3374" i="1"/>
  <c r="M3374" i="1"/>
  <c r="V3374" i="1"/>
  <c r="W3374" i="1"/>
  <c r="A260" i="1"/>
  <c r="D260" i="1"/>
  <c r="F260" i="1"/>
  <c r="H260" i="1"/>
  <c r="I260" i="1"/>
  <c r="L260" i="1"/>
  <c r="M260" i="1"/>
  <c r="V260" i="1"/>
  <c r="W260" i="1"/>
  <c r="A3284" i="1"/>
  <c r="D3284" i="1"/>
  <c r="F3284" i="1"/>
  <c r="H3284" i="1"/>
  <c r="I3284" i="1"/>
  <c r="L3284" i="1"/>
  <c r="M3284" i="1"/>
  <c r="V3284" i="1"/>
  <c r="W3284" i="1"/>
  <c r="A4952" i="1"/>
  <c r="D4952" i="1"/>
  <c r="F4952" i="1"/>
  <c r="H4952" i="1"/>
  <c r="I4952" i="1"/>
  <c r="L4952" i="1"/>
  <c r="M4952" i="1"/>
  <c r="V4952" i="1"/>
  <c r="W4952" i="1"/>
  <c r="A685" i="1"/>
  <c r="D685" i="1"/>
  <c r="F685" i="1"/>
  <c r="H685" i="1"/>
  <c r="I685" i="1"/>
  <c r="L685" i="1"/>
  <c r="M685" i="1"/>
  <c r="V685" i="1"/>
  <c r="W685" i="1"/>
  <c r="A5134" i="1"/>
  <c r="D5134" i="1"/>
  <c r="F5134" i="1"/>
  <c r="H5134" i="1"/>
  <c r="I5134" i="1"/>
  <c r="L5134" i="1"/>
  <c r="M5134" i="1"/>
  <c r="V5134" i="1"/>
  <c r="W5134" i="1"/>
  <c r="A2386" i="1"/>
  <c r="D2386" i="1"/>
  <c r="F2386" i="1"/>
  <c r="H2386" i="1"/>
  <c r="I2386" i="1"/>
  <c r="L2386" i="1"/>
  <c r="M2386" i="1"/>
  <c r="V2386" i="1"/>
  <c r="W2386" i="1"/>
  <c r="A2132" i="1"/>
  <c r="D2132" i="1"/>
  <c r="F2132" i="1"/>
  <c r="H2132" i="1"/>
  <c r="I2132" i="1"/>
  <c r="L2132" i="1"/>
  <c r="M2132" i="1"/>
  <c r="V2132" i="1"/>
  <c r="W2132" i="1"/>
  <c r="A2388" i="1"/>
  <c r="D2388" i="1"/>
  <c r="F2388" i="1"/>
  <c r="H2388" i="1"/>
  <c r="I2388" i="1"/>
  <c r="L2388" i="1"/>
  <c r="M2388" i="1"/>
  <c r="V2388" i="1"/>
  <c r="W2388" i="1"/>
  <c r="A612" i="1"/>
  <c r="D612" i="1"/>
  <c r="F612" i="1"/>
  <c r="H612" i="1"/>
  <c r="I612" i="1"/>
  <c r="L612" i="1"/>
  <c r="M612" i="1"/>
  <c r="V612" i="1"/>
  <c r="W612" i="1"/>
  <c r="A821" i="1"/>
  <c r="D821" i="1"/>
  <c r="F821" i="1"/>
  <c r="H821" i="1"/>
  <c r="I821" i="1"/>
  <c r="L821" i="1"/>
  <c r="M821" i="1"/>
  <c r="V821" i="1"/>
  <c r="W821" i="1"/>
  <c r="A4398" i="1"/>
  <c r="D4398" i="1"/>
  <c r="F4398" i="1"/>
  <c r="H4398" i="1"/>
  <c r="I4398" i="1"/>
  <c r="L4398" i="1"/>
  <c r="M4398" i="1"/>
  <c r="V4398" i="1"/>
  <c r="W4398" i="1"/>
  <c r="A4942" i="1"/>
  <c r="D4942" i="1"/>
  <c r="F4942" i="1"/>
  <c r="H4942" i="1"/>
  <c r="I4942" i="1"/>
  <c r="L4942" i="1"/>
  <c r="M4942" i="1"/>
  <c r="V4942" i="1"/>
  <c r="W4942" i="1"/>
  <c r="A3704" i="1"/>
  <c r="D3704" i="1"/>
  <c r="F3704" i="1"/>
  <c r="H3704" i="1"/>
  <c r="I3704" i="1"/>
  <c r="L3704" i="1"/>
  <c r="M3704" i="1"/>
  <c r="V3704" i="1"/>
  <c r="W3704" i="1"/>
  <c r="A3939" i="1"/>
  <c r="D3939" i="1"/>
  <c r="F3939" i="1"/>
  <c r="H3939" i="1"/>
  <c r="I3939" i="1"/>
  <c r="L3939" i="1"/>
  <c r="M3939" i="1"/>
  <c r="V3939" i="1"/>
  <c r="W3939" i="1"/>
  <c r="A4369" i="1"/>
  <c r="D4369" i="1"/>
  <c r="F4369" i="1"/>
  <c r="H4369" i="1"/>
  <c r="I4369" i="1"/>
  <c r="L4369" i="1"/>
  <c r="M4369" i="1"/>
  <c r="V4369" i="1"/>
  <c r="W4369" i="1"/>
  <c r="A2278" i="1"/>
  <c r="D2278" i="1"/>
  <c r="F2278" i="1"/>
  <c r="H2278" i="1"/>
  <c r="I2278" i="1"/>
  <c r="L2278" i="1"/>
  <c r="M2278" i="1"/>
  <c r="V2278" i="1"/>
  <c r="W2278" i="1"/>
  <c r="A840" i="1"/>
  <c r="D840" i="1"/>
  <c r="F840" i="1"/>
  <c r="H840" i="1"/>
  <c r="I840" i="1"/>
  <c r="L840" i="1"/>
  <c r="M840" i="1"/>
  <c r="V840" i="1"/>
  <c r="W840" i="1"/>
  <c r="A1027" i="1"/>
  <c r="D1027" i="1"/>
  <c r="F1027" i="1"/>
  <c r="H1027" i="1"/>
  <c r="I1027" i="1"/>
  <c r="L1027" i="1"/>
  <c r="M1027" i="1"/>
  <c r="V1027" i="1"/>
  <c r="W1027" i="1"/>
  <c r="A4331" i="1"/>
  <c r="D4331" i="1"/>
  <c r="F4331" i="1"/>
  <c r="H4331" i="1"/>
  <c r="I4331" i="1"/>
  <c r="L4331" i="1"/>
  <c r="M4331" i="1"/>
  <c r="V4331" i="1"/>
  <c r="W4331" i="1"/>
  <c r="A5161" i="1"/>
  <c r="D5161" i="1"/>
  <c r="F5161" i="1"/>
  <c r="H5161" i="1"/>
  <c r="I5161" i="1"/>
  <c r="L5161" i="1"/>
  <c r="M5161" i="1"/>
  <c r="V5161" i="1"/>
  <c r="W5161" i="1"/>
  <c r="A1377" i="1"/>
  <c r="D1377" i="1"/>
  <c r="F1377" i="1"/>
  <c r="H1377" i="1"/>
  <c r="I1377" i="1"/>
  <c r="L1377" i="1"/>
  <c r="M1377" i="1"/>
  <c r="V1377" i="1"/>
  <c r="W1377" i="1"/>
  <c r="A2864" i="1"/>
  <c r="D2864" i="1"/>
  <c r="F2864" i="1"/>
  <c r="H2864" i="1"/>
  <c r="I2864" i="1"/>
  <c r="L2864" i="1"/>
  <c r="M2864" i="1"/>
  <c r="V2864" i="1"/>
  <c r="W2864" i="1"/>
  <c r="A5022" i="1"/>
  <c r="D5022" i="1"/>
  <c r="F5022" i="1"/>
  <c r="H5022" i="1"/>
  <c r="I5022" i="1"/>
  <c r="L5022" i="1"/>
  <c r="M5022" i="1"/>
  <c r="V5022" i="1"/>
  <c r="W5022" i="1"/>
  <c r="A3968" i="1"/>
  <c r="D3968" i="1"/>
  <c r="F3968" i="1"/>
  <c r="H3968" i="1"/>
  <c r="I3968" i="1"/>
  <c r="L3968" i="1"/>
  <c r="M3968" i="1"/>
  <c r="V3968" i="1"/>
  <c r="W3968" i="1"/>
  <c r="A58" i="1"/>
  <c r="D58" i="1"/>
  <c r="F58" i="1"/>
  <c r="H58" i="1"/>
  <c r="I58" i="1"/>
  <c r="L58" i="1"/>
  <c r="M58" i="1"/>
  <c r="V58" i="1"/>
  <c r="W58" i="1"/>
  <c r="A1623" i="1"/>
  <c r="D1623" i="1"/>
  <c r="F1623" i="1"/>
  <c r="H1623" i="1"/>
  <c r="I1623" i="1"/>
  <c r="L1623" i="1"/>
  <c r="M1623" i="1"/>
  <c r="V1623" i="1"/>
  <c r="W1623" i="1"/>
  <c r="A2217" i="1"/>
  <c r="D2217" i="1"/>
  <c r="F2217" i="1"/>
  <c r="H2217" i="1"/>
  <c r="I2217" i="1"/>
  <c r="L2217" i="1"/>
  <c r="M2217" i="1"/>
  <c r="V2217" i="1"/>
  <c r="W2217" i="1"/>
  <c r="A4019" i="1"/>
  <c r="D4019" i="1"/>
  <c r="F4019" i="1"/>
  <c r="H4019" i="1"/>
  <c r="I4019" i="1"/>
  <c r="L4019" i="1"/>
  <c r="M4019" i="1"/>
  <c r="V4019" i="1"/>
  <c r="W4019" i="1"/>
  <c r="A210" i="1"/>
  <c r="D210" i="1"/>
  <c r="F210" i="1"/>
  <c r="H210" i="1"/>
  <c r="I210" i="1"/>
  <c r="L210" i="1"/>
  <c r="M210" i="1"/>
  <c r="V210" i="1"/>
  <c r="W210" i="1"/>
  <c r="A4491" i="1"/>
  <c r="D4491" i="1"/>
  <c r="F4491" i="1"/>
  <c r="H4491" i="1"/>
  <c r="I4491" i="1"/>
  <c r="L4491" i="1"/>
  <c r="M4491" i="1"/>
  <c r="V4491" i="1"/>
  <c r="W4491" i="1"/>
  <c r="A2848" i="1"/>
  <c r="D2848" i="1"/>
  <c r="F2848" i="1"/>
  <c r="H2848" i="1"/>
  <c r="I2848" i="1"/>
  <c r="L2848" i="1"/>
  <c r="M2848" i="1"/>
  <c r="V2848" i="1"/>
  <c r="W2848" i="1"/>
  <c r="A3706" i="1"/>
  <c r="D3706" i="1"/>
  <c r="F3706" i="1"/>
  <c r="H3706" i="1"/>
  <c r="I3706" i="1"/>
  <c r="L3706" i="1"/>
  <c r="M3706" i="1"/>
  <c r="V3706" i="1"/>
  <c r="W3706" i="1"/>
  <c r="A134" i="1"/>
  <c r="D134" i="1"/>
  <c r="F134" i="1"/>
  <c r="H134" i="1"/>
  <c r="I134" i="1"/>
  <c r="L134" i="1"/>
  <c r="M134" i="1"/>
  <c r="V134" i="1"/>
  <c r="W134" i="1"/>
  <c r="A422" i="1"/>
  <c r="D422" i="1"/>
  <c r="F422" i="1"/>
  <c r="H422" i="1"/>
  <c r="I422" i="1"/>
  <c r="L422" i="1"/>
  <c r="M422" i="1"/>
  <c r="V422" i="1"/>
  <c r="W422" i="1"/>
  <c r="A872" i="1"/>
  <c r="D872" i="1"/>
  <c r="F872" i="1"/>
  <c r="H872" i="1"/>
  <c r="I872" i="1"/>
  <c r="L872" i="1"/>
  <c r="M872" i="1"/>
  <c r="V872" i="1"/>
  <c r="W872" i="1"/>
  <c r="A1197" i="1"/>
  <c r="D1197" i="1"/>
  <c r="F1197" i="1"/>
  <c r="H1197" i="1"/>
  <c r="I1197" i="1"/>
  <c r="L1197" i="1"/>
  <c r="M1197" i="1"/>
  <c r="V1197" i="1"/>
  <c r="W1197" i="1"/>
  <c r="A2699" i="1"/>
  <c r="D2699" i="1"/>
  <c r="F2699" i="1"/>
  <c r="H2699" i="1"/>
  <c r="I2699" i="1"/>
  <c r="L2699" i="1"/>
  <c r="M2699" i="1"/>
  <c r="V2699" i="1"/>
  <c r="W2699" i="1"/>
  <c r="A2937" i="1"/>
  <c r="D2937" i="1"/>
  <c r="F2937" i="1"/>
  <c r="H2937" i="1"/>
  <c r="I2937" i="1"/>
  <c r="L2937" i="1"/>
  <c r="M2937" i="1"/>
  <c r="V2937" i="1"/>
  <c r="W2937" i="1"/>
  <c r="A3235" i="1"/>
  <c r="D3235" i="1"/>
  <c r="F3235" i="1"/>
  <c r="H3235" i="1"/>
  <c r="I3235" i="1"/>
  <c r="L3235" i="1"/>
  <c r="M3235" i="1"/>
  <c r="V3235" i="1"/>
  <c r="W3235" i="1"/>
  <c r="A3312" i="1"/>
  <c r="D3312" i="1"/>
  <c r="F3312" i="1"/>
  <c r="H3312" i="1"/>
  <c r="I3312" i="1"/>
  <c r="L3312" i="1"/>
  <c r="M3312" i="1"/>
  <c r="V3312" i="1"/>
  <c r="W3312" i="1"/>
  <c r="A3582" i="1"/>
  <c r="D3582" i="1"/>
  <c r="F3582" i="1"/>
  <c r="H3582" i="1"/>
  <c r="I3582" i="1"/>
  <c r="L3582" i="1"/>
  <c r="M3582" i="1"/>
  <c r="V3582" i="1"/>
  <c r="W3582" i="1"/>
  <c r="A5450" i="1"/>
  <c r="D5450" i="1"/>
  <c r="F5450" i="1"/>
  <c r="H5450" i="1"/>
  <c r="I5450" i="1"/>
  <c r="L5450" i="1"/>
  <c r="M5450" i="1"/>
  <c r="V5450" i="1"/>
  <c r="W5450" i="1"/>
  <c r="A5619" i="1"/>
  <c r="D5619" i="1"/>
  <c r="F5619" i="1"/>
  <c r="H5619" i="1"/>
  <c r="I5619" i="1"/>
  <c r="L5619" i="1"/>
  <c r="M5619" i="1"/>
  <c r="V5619" i="1"/>
  <c r="W5619" i="1"/>
  <c r="A5808" i="1"/>
  <c r="D5808" i="1"/>
  <c r="F5808" i="1"/>
  <c r="H5808" i="1"/>
  <c r="I5808" i="1"/>
  <c r="L5808" i="1"/>
  <c r="M5808" i="1"/>
  <c r="V5808" i="1"/>
  <c r="W5808" i="1"/>
  <c r="A3465" i="1"/>
  <c r="D3465" i="1"/>
  <c r="F3465" i="1"/>
  <c r="H3465" i="1"/>
  <c r="I3465" i="1"/>
  <c r="L3465" i="1"/>
  <c r="M3465" i="1"/>
  <c r="V3465" i="1"/>
  <c r="W3465" i="1"/>
  <c r="A1236" i="1"/>
  <c r="D1236" i="1"/>
  <c r="F1236" i="1"/>
  <c r="H1236" i="1"/>
  <c r="I1236" i="1"/>
  <c r="L1236" i="1"/>
  <c r="M1236" i="1"/>
  <c r="V1236" i="1"/>
  <c r="W1236" i="1"/>
  <c r="A2456" i="1"/>
  <c r="D2456" i="1"/>
  <c r="F2456" i="1"/>
  <c r="H2456" i="1"/>
  <c r="I2456" i="1"/>
  <c r="L2456" i="1"/>
  <c r="M2456" i="1"/>
  <c r="V2456" i="1"/>
  <c r="W2456" i="1"/>
  <c r="A777" i="1"/>
  <c r="D777" i="1"/>
  <c r="F777" i="1"/>
  <c r="H777" i="1"/>
  <c r="I777" i="1"/>
  <c r="L777" i="1"/>
  <c r="M777" i="1"/>
  <c r="V777" i="1"/>
  <c r="W777" i="1"/>
  <c r="A2344" i="1"/>
  <c r="D2344" i="1"/>
  <c r="F2344" i="1"/>
  <c r="H2344" i="1"/>
  <c r="I2344" i="1"/>
  <c r="L2344" i="1"/>
  <c r="M2344" i="1"/>
  <c r="V2344" i="1"/>
  <c r="W2344" i="1"/>
  <c r="A3085" i="1"/>
  <c r="D3085" i="1"/>
  <c r="F3085" i="1"/>
  <c r="H3085" i="1"/>
  <c r="I3085" i="1"/>
  <c r="L3085" i="1"/>
  <c r="M3085" i="1"/>
  <c r="V3085" i="1"/>
  <c r="W3085" i="1"/>
  <c r="A3129" i="1"/>
  <c r="D3129" i="1"/>
  <c r="F3129" i="1"/>
  <c r="H3129" i="1"/>
  <c r="I3129" i="1"/>
  <c r="L3129" i="1"/>
  <c r="M3129" i="1"/>
  <c r="V3129" i="1"/>
  <c r="W3129" i="1"/>
  <c r="A957" i="1"/>
  <c r="D957" i="1"/>
  <c r="F957" i="1"/>
  <c r="H957" i="1"/>
  <c r="I957" i="1"/>
  <c r="L957" i="1"/>
  <c r="M957" i="1"/>
  <c r="V957" i="1"/>
  <c r="W957" i="1"/>
  <c r="A693" i="1"/>
  <c r="D693" i="1"/>
  <c r="F693" i="1"/>
  <c r="H693" i="1"/>
  <c r="I693" i="1"/>
  <c r="L693" i="1"/>
  <c r="M693" i="1"/>
  <c r="V693" i="1"/>
  <c r="W693" i="1"/>
  <c r="A4039" i="1"/>
  <c r="D4039" i="1"/>
  <c r="F4039" i="1"/>
  <c r="H4039" i="1"/>
  <c r="I4039" i="1"/>
  <c r="L4039" i="1"/>
  <c r="M4039" i="1"/>
  <c r="V4039" i="1"/>
  <c r="W4039" i="1"/>
  <c r="A4339" i="1"/>
  <c r="D4339" i="1"/>
  <c r="F4339" i="1"/>
  <c r="H4339" i="1"/>
  <c r="I4339" i="1"/>
  <c r="L4339" i="1"/>
  <c r="M4339" i="1"/>
  <c r="V4339" i="1"/>
  <c r="W4339" i="1"/>
  <c r="A4467" i="1"/>
  <c r="D4467" i="1"/>
  <c r="F4467" i="1"/>
  <c r="H4467" i="1"/>
  <c r="I4467" i="1"/>
  <c r="L4467" i="1"/>
  <c r="M4467" i="1"/>
  <c r="V4467" i="1"/>
  <c r="W4467" i="1"/>
  <c r="A4856" i="1"/>
  <c r="D4856" i="1"/>
  <c r="F4856" i="1"/>
  <c r="H4856" i="1"/>
  <c r="I4856" i="1"/>
  <c r="L4856" i="1"/>
  <c r="M4856" i="1"/>
  <c r="V4856" i="1"/>
  <c r="W4856" i="1"/>
  <c r="A5755" i="1"/>
  <c r="D5755" i="1"/>
  <c r="F5755" i="1"/>
  <c r="H5755" i="1"/>
  <c r="I5755" i="1"/>
  <c r="L5755" i="1"/>
  <c r="M5755" i="1"/>
  <c r="V5755" i="1"/>
  <c r="W5755" i="1"/>
  <c r="A5754" i="1"/>
  <c r="D5754" i="1"/>
  <c r="F5754" i="1"/>
  <c r="H5754" i="1"/>
  <c r="I5754" i="1"/>
  <c r="L5754" i="1"/>
  <c r="M5754" i="1"/>
  <c r="V5754" i="1"/>
  <c r="W5754" i="1"/>
  <c r="A1457" i="1"/>
  <c r="D1457" i="1"/>
  <c r="F1457" i="1"/>
  <c r="H1457" i="1"/>
  <c r="I1457" i="1"/>
  <c r="L1457" i="1"/>
  <c r="M1457" i="1"/>
  <c r="V1457" i="1"/>
  <c r="W1457" i="1"/>
  <c r="A1516" i="1"/>
  <c r="D1516" i="1"/>
  <c r="F1516" i="1"/>
  <c r="H1516" i="1"/>
  <c r="I1516" i="1"/>
  <c r="L1516" i="1"/>
  <c r="M1516" i="1"/>
  <c r="V1516" i="1"/>
  <c r="W1516" i="1"/>
  <c r="A120" i="1"/>
  <c r="D120" i="1"/>
  <c r="F120" i="1"/>
  <c r="H120" i="1"/>
  <c r="I120" i="1"/>
  <c r="L120" i="1"/>
  <c r="M120" i="1"/>
  <c r="V120" i="1"/>
  <c r="W120" i="1"/>
  <c r="A4329" i="1"/>
  <c r="D4329" i="1"/>
  <c r="F4329" i="1"/>
  <c r="H4329" i="1"/>
  <c r="I4329" i="1"/>
  <c r="L4329" i="1"/>
  <c r="M4329" i="1"/>
  <c r="V4329" i="1"/>
  <c r="W4329" i="1"/>
  <c r="A4848" i="1"/>
  <c r="D4848" i="1"/>
  <c r="F4848" i="1"/>
  <c r="H4848" i="1"/>
  <c r="I4848" i="1"/>
  <c r="L4848" i="1"/>
  <c r="M4848" i="1"/>
  <c r="V4848" i="1"/>
  <c r="W4848" i="1"/>
  <c r="A2801" i="1"/>
  <c r="D2801" i="1"/>
  <c r="F2801" i="1"/>
  <c r="H2801" i="1"/>
  <c r="I2801" i="1"/>
  <c r="L2801" i="1"/>
  <c r="M2801" i="1"/>
  <c r="V2801" i="1"/>
  <c r="W2801" i="1"/>
  <c r="A4468" i="1"/>
  <c r="D4468" i="1"/>
  <c r="F4468" i="1"/>
  <c r="H4468" i="1"/>
  <c r="I4468" i="1"/>
  <c r="L4468" i="1"/>
  <c r="M4468" i="1"/>
  <c r="V4468" i="1"/>
  <c r="W4468" i="1"/>
  <c r="A4857" i="1"/>
  <c r="D4857" i="1"/>
  <c r="F4857" i="1"/>
  <c r="H4857" i="1"/>
  <c r="I4857" i="1"/>
  <c r="L4857" i="1"/>
  <c r="M4857" i="1"/>
  <c r="V4857" i="1"/>
  <c r="W4857" i="1"/>
  <c r="A4336" i="1"/>
  <c r="D4336" i="1"/>
  <c r="F4336" i="1"/>
  <c r="H4336" i="1"/>
  <c r="I4336" i="1"/>
  <c r="L4336" i="1"/>
  <c r="M4336" i="1"/>
  <c r="V4336" i="1"/>
  <c r="W4336" i="1"/>
  <c r="A369" i="1"/>
  <c r="D369" i="1"/>
  <c r="F369" i="1"/>
  <c r="H369" i="1"/>
  <c r="I369" i="1"/>
  <c r="L369" i="1"/>
  <c r="M369" i="1"/>
  <c r="V369" i="1"/>
  <c r="W369" i="1"/>
  <c r="A138" i="1"/>
  <c r="D138" i="1"/>
  <c r="F138" i="1"/>
  <c r="H138" i="1"/>
  <c r="I138" i="1"/>
  <c r="L138" i="1"/>
  <c r="M138" i="1"/>
  <c r="V138" i="1"/>
  <c r="W138" i="1"/>
  <c r="A1482" i="1"/>
  <c r="D1482" i="1"/>
  <c r="F1482" i="1"/>
  <c r="H1482" i="1"/>
  <c r="I1482" i="1"/>
  <c r="L1482" i="1"/>
  <c r="M1482" i="1"/>
  <c r="V1482" i="1"/>
  <c r="W1482" i="1"/>
  <c r="A1824" i="1"/>
  <c r="D1824" i="1"/>
  <c r="F1824" i="1"/>
  <c r="H1824" i="1"/>
  <c r="I1824" i="1"/>
  <c r="L1824" i="1"/>
  <c r="M1824" i="1"/>
  <c r="V1824" i="1"/>
  <c r="W1824" i="1"/>
  <c r="A3314" i="1"/>
  <c r="D3314" i="1"/>
  <c r="F3314" i="1"/>
  <c r="H3314" i="1"/>
  <c r="I3314" i="1"/>
  <c r="L3314" i="1"/>
  <c r="M3314" i="1"/>
  <c r="V3314" i="1"/>
  <c r="W3314" i="1"/>
  <c r="A172" i="1"/>
  <c r="D172" i="1"/>
  <c r="F172" i="1"/>
  <c r="H172" i="1"/>
  <c r="I172" i="1"/>
  <c r="L172" i="1"/>
  <c r="M172" i="1"/>
  <c r="V172" i="1"/>
  <c r="W172" i="1"/>
  <c r="A385" i="1"/>
  <c r="D385" i="1"/>
  <c r="F385" i="1"/>
  <c r="H385" i="1"/>
  <c r="I385" i="1"/>
  <c r="L385" i="1"/>
  <c r="M385" i="1"/>
  <c r="V385" i="1"/>
  <c r="W385" i="1"/>
  <c r="A4356" i="1"/>
  <c r="D4356" i="1"/>
  <c r="F4356" i="1"/>
  <c r="H4356" i="1"/>
  <c r="I4356" i="1"/>
  <c r="L4356" i="1"/>
  <c r="M4356" i="1"/>
  <c r="V4356" i="1"/>
  <c r="W4356" i="1"/>
  <c r="A1003" i="1"/>
  <c r="D1003" i="1"/>
  <c r="F1003" i="1"/>
  <c r="H1003" i="1"/>
  <c r="I1003" i="1"/>
  <c r="L1003" i="1"/>
  <c r="M1003" i="1"/>
  <c r="V1003" i="1"/>
  <c r="W1003" i="1"/>
  <c r="A5940" i="1"/>
  <c r="D5940" i="1"/>
  <c r="F5940" i="1"/>
  <c r="H5940" i="1"/>
  <c r="I5940" i="1"/>
  <c r="L5940" i="1"/>
  <c r="M5940" i="1"/>
  <c r="V5940" i="1"/>
  <c r="W5940" i="1"/>
  <c r="A4458" i="1"/>
  <c r="D4458" i="1"/>
  <c r="F4458" i="1"/>
  <c r="H4458" i="1"/>
  <c r="I4458" i="1"/>
  <c r="L4458" i="1"/>
  <c r="M4458" i="1"/>
  <c r="V4458" i="1"/>
  <c r="W4458" i="1"/>
  <c r="A4882" i="1"/>
  <c r="D4882" i="1"/>
  <c r="F4882" i="1"/>
  <c r="H4882" i="1"/>
  <c r="I4882" i="1"/>
  <c r="L4882" i="1"/>
  <c r="M4882" i="1"/>
  <c r="V4882" i="1"/>
  <c r="W4882" i="1"/>
  <c r="A784" i="1"/>
  <c r="D784" i="1"/>
  <c r="F784" i="1"/>
  <c r="H784" i="1"/>
  <c r="I784" i="1"/>
  <c r="L784" i="1"/>
  <c r="M784" i="1"/>
  <c r="V784" i="1"/>
  <c r="W784" i="1"/>
  <c r="A1812" i="1"/>
  <c r="D1812" i="1"/>
  <c r="F1812" i="1"/>
  <c r="H1812" i="1"/>
  <c r="I1812" i="1"/>
  <c r="L1812" i="1"/>
  <c r="M1812" i="1"/>
  <c r="V1812" i="1"/>
  <c r="W1812" i="1"/>
  <c r="A2259" i="1"/>
  <c r="D2259" i="1"/>
  <c r="F2259" i="1"/>
  <c r="H2259" i="1"/>
  <c r="I2259" i="1"/>
  <c r="L2259" i="1"/>
  <c r="M2259" i="1"/>
  <c r="V2259" i="1"/>
  <c r="W2259" i="1"/>
  <c r="A2283" i="1"/>
  <c r="D2283" i="1"/>
  <c r="F2283" i="1"/>
  <c r="H2283" i="1"/>
  <c r="I2283" i="1"/>
  <c r="L2283" i="1"/>
  <c r="M2283" i="1"/>
  <c r="V2283" i="1"/>
  <c r="W2283" i="1"/>
  <c r="A2888" i="1"/>
  <c r="D2888" i="1"/>
  <c r="F2888" i="1"/>
  <c r="H2888" i="1"/>
  <c r="I2888" i="1"/>
  <c r="L2888" i="1"/>
  <c r="M2888" i="1"/>
  <c r="V2888" i="1"/>
  <c r="W2888" i="1"/>
  <c r="A2891" i="1"/>
  <c r="D2891" i="1"/>
  <c r="F2891" i="1"/>
  <c r="H2891" i="1"/>
  <c r="I2891" i="1"/>
  <c r="L2891" i="1"/>
  <c r="M2891" i="1"/>
  <c r="V2891" i="1"/>
  <c r="W2891" i="1"/>
  <c r="A1815" i="1"/>
  <c r="D1815" i="1"/>
  <c r="F1815" i="1"/>
  <c r="H1815" i="1"/>
  <c r="I1815" i="1"/>
  <c r="L1815" i="1"/>
  <c r="M1815" i="1"/>
  <c r="V1815" i="1"/>
  <c r="W1815" i="1"/>
  <c r="A1829" i="1"/>
  <c r="D1829" i="1"/>
  <c r="F1829" i="1"/>
  <c r="H1829" i="1"/>
  <c r="I1829" i="1"/>
  <c r="L1829" i="1"/>
  <c r="M1829" i="1"/>
  <c r="V1829" i="1"/>
  <c r="W1829" i="1"/>
  <c r="A2245" i="1"/>
  <c r="D2245" i="1"/>
  <c r="F2245" i="1"/>
  <c r="H2245" i="1"/>
  <c r="I2245" i="1"/>
  <c r="L2245" i="1"/>
  <c r="M2245" i="1"/>
  <c r="V2245" i="1"/>
  <c r="W2245" i="1"/>
  <c r="A2571" i="1"/>
  <c r="D2571" i="1"/>
  <c r="F2571" i="1"/>
  <c r="H2571" i="1"/>
  <c r="I2571" i="1"/>
  <c r="L2571" i="1"/>
  <c r="M2571" i="1"/>
  <c r="V2571" i="1"/>
  <c r="W2571" i="1"/>
  <c r="A3245" i="1"/>
  <c r="D3245" i="1"/>
  <c r="F3245" i="1"/>
  <c r="H3245" i="1"/>
  <c r="I3245" i="1"/>
  <c r="L3245" i="1"/>
  <c r="M3245" i="1"/>
  <c r="V3245" i="1"/>
  <c r="W3245" i="1"/>
  <c r="A3604" i="1"/>
  <c r="D3604" i="1"/>
  <c r="F3604" i="1"/>
  <c r="H3604" i="1"/>
  <c r="I3604" i="1"/>
  <c r="L3604" i="1"/>
  <c r="M3604" i="1"/>
  <c r="V3604" i="1"/>
  <c r="W3604" i="1"/>
  <c r="A4200" i="1"/>
  <c r="D4200" i="1"/>
  <c r="F4200" i="1"/>
  <c r="H4200" i="1"/>
  <c r="I4200" i="1"/>
  <c r="L4200" i="1"/>
  <c r="M4200" i="1"/>
  <c r="V4200" i="1"/>
  <c r="W4200" i="1"/>
  <c r="A4973" i="1"/>
  <c r="D4973" i="1"/>
  <c r="F4973" i="1"/>
  <c r="H4973" i="1"/>
  <c r="I4973" i="1"/>
  <c r="L4973" i="1"/>
  <c r="M4973" i="1"/>
  <c r="V4973" i="1"/>
  <c r="W4973" i="1"/>
  <c r="A4979" i="1"/>
  <c r="D4979" i="1"/>
  <c r="F4979" i="1"/>
  <c r="H4979" i="1"/>
  <c r="I4979" i="1"/>
  <c r="L4979" i="1"/>
  <c r="M4979" i="1"/>
  <c r="V4979" i="1"/>
  <c r="W4979" i="1"/>
  <c r="A6207" i="1"/>
  <c r="D6207" i="1"/>
  <c r="F6207" i="1"/>
  <c r="H6207" i="1"/>
  <c r="I6207" i="1"/>
  <c r="L6207" i="1"/>
  <c r="M6207" i="1"/>
  <c r="V6207" i="1"/>
  <c r="W6207" i="1"/>
  <c r="A4241" i="1"/>
  <c r="D4241" i="1"/>
  <c r="F4241" i="1"/>
  <c r="H4241" i="1"/>
  <c r="I4241" i="1"/>
  <c r="L4241" i="1"/>
  <c r="M4241" i="1"/>
  <c r="V4241" i="1"/>
  <c r="W4241" i="1"/>
  <c r="A4243" i="1"/>
  <c r="D4243" i="1"/>
  <c r="F4243" i="1"/>
  <c r="H4243" i="1"/>
  <c r="I4243" i="1"/>
  <c r="L4243" i="1"/>
  <c r="M4243" i="1"/>
  <c r="V4243" i="1"/>
  <c r="W4243" i="1"/>
  <c r="A1331" i="1"/>
  <c r="D1331" i="1"/>
  <c r="F1331" i="1"/>
  <c r="H1331" i="1"/>
  <c r="I1331" i="1"/>
  <c r="L1331" i="1"/>
  <c r="M1331" i="1"/>
  <c r="V1331" i="1"/>
  <c r="W1331" i="1"/>
  <c r="A753" i="1"/>
  <c r="D753" i="1"/>
  <c r="F753" i="1"/>
  <c r="H753" i="1"/>
  <c r="I753" i="1"/>
  <c r="L753" i="1"/>
  <c r="M753" i="1"/>
  <c r="V753" i="1"/>
  <c r="W753" i="1"/>
  <c r="A781" i="1"/>
  <c r="D781" i="1"/>
  <c r="F781" i="1"/>
  <c r="H781" i="1"/>
  <c r="I781" i="1"/>
  <c r="L781" i="1"/>
  <c r="M781" i="1"/>
  <c r="V781" i="1"/>
  <c r="W781" i="1"/>
  <c r="A1212" i="1"/>
  <c r="D1212" i="1"/>
  <c r="F1212" i="1"/>
  <c r="H1212" i="1"/>
  <c r="I1212" i="1"/>
  <c r="L1212" i="1"/>
  <c r="M1212" i="1"/>
  <c r="V1212" i="1"/>
  <c r="W1212" i="1"/>
  <c r="A1459" i="1"/>
  <c r="D1459" i="1"/>
  <c r="F1459" i="1"/>
  <c r="H1459" i="1"/>
  <c r="I1459" i="1"/>
  <c r="L1459" i="1"/>
  <c r="M1459" i="1"/>
  <c r="V1459" i="1"/>
  <c r="W1459" i="1"/>
  <c r="A965" i="1"/>
  <c r="D965" i="1"/>
  <c r="F965" i="1"/>
  <c r="H965" i="1"/>
  <c r="I965" i="1"/>
  <c r="L965" i="1"/>
  <c r="M965" i="1"/>
  <c r="V965" i="1"/>
  <c r="W965" i="1"/>
  <c r="A70" i="1"/>
  <c r="D70" i="1"/>
  <c r="F70" i="1"/>
  <c r="H70" i="1"/>
  <c r="I70" i="1"/>
  <c r="L70" i="1"/>
  <c r="M70" i="1"/>
  <c r="V70" i="1"/>
  <c r="W70" i="1"/>
  <c r="A25" i="1"/>
  <c r="D25" i="1"/>
  <c r="F25" i="1"/>
  <c r="H25" i="1"/>
  <c r="I25" i="1"/>
  <c r="L25" i="1"/>
  <c r="M25" i="1"/>
  <c r="V25" i="1"/>
  <c r="W25" i="1"/>
  <c r="A358" i="1"/>
  <c r="D358" i="1"/>
  <c r="F358" i="1"/>
  <c r="H358" i="1"/>
  <c r="I358" i="1"/>
  <c r="L358" i="1"/>
  <c r="M358" i="1"/>
  <c r="V358" i="1"/>
  <c r="W358" i="1"/>
  <c r="A5680" i="1"/>
  <c r="D5680" i="1"/>
  <c r="F5680" i="1"/>
  <c r="H5680" i="1"/>
  <c r="I5680" i="1"/>
  <c r="L5680" i="1"/>
  <c r="M5680" i="1"/>
  <c r="V5680" i="1"/>
  <c r="W5680" i="1"/>
  <c r="A4746" i="1"/>
  <c r="D4746" i="1"/>
  <c r="F4746" i="1"/>
  <c r="H4746" i="1"/>
  <c r="I4746" i="1"/>
  <c r="L4746" i="1"/>
  <c r="M4746" i="1"/>
  <c r="V4746" i="1"/>
  <c r="W4746" i="1"/>
  <c r="A4758" i="1"/>
  <c r="D4758" i="1"/>
  <c r="F4758" i="1"/>
  <c r="H4758" i="1"/>
  <c r="I4758" i="1"/>
  <c r="L4758" i="1"/>
  <c r="M4758" i="1"/>
  <c r="V4758" i="1"/>
  <c r="W4758" i="1"/>
  <c r="A4983" i="1"/>
  <c r="D4983" i="1"/>
  <c r="F4983" i="1"/>
  <c r="H4983" i="1"/>
  <c r="I4983" i="1"/>
  <c r="L4983" i="1"/>
  <c r="M4983" i="1"/>
  <c r="V4983" i="1"/>
  <c r="W4983" i="1"/>
  <c r="A5685" i="1"/>
  <c r="D5685" i="1"/>
  <c r="F5685" i="1"/>
  <c r="H5685" i="1"/>
  <c r="I5685" i="1"/>
  <c r="L5685" i="1"/>
  <c r="M5685" i="1"/>
  <c r="V5685" i="1"/>
  <c r="W5685" i="1"/>
  <c r="A917" i="1"/>
  <c r="D917" i="1"/>
  <c r="F917" i="1"/>
  <c r="H917" i="1"/>
  <c r="I917" i="1"/>
  <c r="L917" i="1"/>
  <c r="M917" i="1"/>
  <c r="V917" i="1"/>
  <c r="W917" i="1"/>
  <c r="A1143" i="1"/>
  <c r="D1143" i="1"/>
  <c r="F1143" i="1"/>
  <c r="H1143" i="1"/>
  <c r="I1143" i="1"/>
  <c r="L1143" i="1"/>
  <c r="M1143" i="1"/>
  <c r="V1143" i="1"/>
  <c r="W1143" i="1"/>
  <c r="A1303" i="1"/>
  <c r="D1303" i="1"/>
  <c r="F1303" i="1"/>
  <c r="H1303" i="1"/>
  <c r="I1303" i="1"/>
  <c r="L1303" i="1"/>
  <c r="M1303" i="1"/>
  <c r="V1303" i="1"/>
  <c r="W1303" i="1"/>
  <c r="A1714" i="1"/>
  <c r="D1714" i="1"/>
  <c r="F1714" i="1"/>
  <c r="H1714" i="1"/>
  <c r="I1714" i="1"/>
  <c r="L1714" i="1"/>
  <c r="M1714" i="1"/>
  <c r="V1714" i="1"/>
  <c r="W1714" i="1"/>
  <c r="A2745" i="1"/>
  <c r="D2745" i="1"/>
  <c r="F2745" i="1"/>
  <c r="H2745" i="1"/>
  <c r="I2745" i="1"/>
  <c r="L2745" i="1"/>
  <c r="M2745" i="1"/>
  <c r="V2745" i="1"/>
  <c r="W2745" i="1"/>
  <c r="A2975" i="1"/>
  <c r="D2975" i="1"/>
  <c r="F2975" i="1"/>
  <c r="H2975" i="1"/>
  <c r="I2975" i="1"/>
  <c r="L2975" i="1"/>
  <c r="M2975" i="1"/>
  <c r="V2975" i="1"/>
  <c r="W2975" i="1"/>
  <c r="A3265" i="1"/>
  <c r="D3265" i="1"/>
  <c r="F3265" i="1"/>
  <c r="H3265" i="1"/>
  <c r="I3265" i="1"/>
  <c r="L3265" i="1"/>
  <c r="M3265" i="1"/>
  <c r="V3265" i="1"/>
  <c r="W3265" i="1"/>
  <c r="A3523" i="1"/>
  <c r="D3523" i="1"/>
  <c r="F3523" i="1"/>
  <c r="H3523" i="1"/>
  <c r="I3523" i="1"/>
  <c r="L3523" i="1"/>
  <c r="M3523" i="1"/>
  <c r="V3523" i="1"/>
  <c r="W3523" i="1"/>
  <c r="A3839" i="1"/>
  <c r="D3839" i="1"/>
  <c r="F3839" i="1"/>
  <c r="H3839" i="1"/>
  <c r="I3839" i="1"/>
  <c r="L3839" i="1"/>
  <c r="M3839" i="1"/>
  <c r="V3839" i="1"/>
  <c r="W3839" i="1"/>
  <c r="A5519" i="1"/>
  <c r="D5519" i="1"/>
  <c r="F5519" i="1"/>
  <c r="H5519" i="1"/>
  <c r="I5519" i="1"/>
  <c r="L5519" i="1"/>
  <c r="M5519" i="1"/>
  <c r="V5519" i="1"/>
  <c r="W5519" i="1"/>
  <c r="A5577" i="1"/>
  <c r="D5577" i="1"/>
  <c r="F5577" i="1"/>
  <c r="H5577" i="1"/>
  <c r="I5577" i="1"/>
  <c r="L5577" i="1"/>
  <c r="M5577" i="1"/>
  <c r="V5577" i="1"/>
  <c r="W5577" i="1"/>
  <c r="A5728" i="1"/>
  <c r="D5728" i="1"/>
  <c r="F5728" i="1"/>
  <c r="H5728" i="1"/>
  <c r="I5728" i="1"/>
  <c r="L5728" i="1"/>
  <c r="M5728" i="1"/>
  <c r="V5728" i="1"/>
  <c r="W5728" i="1"/>
  <c r="A5853" i="1"/>
  <c r="D5853" i="1"/>
  <c r="F5853" i="1"/>
  <c r="H5853" i="1"/>
  <c r="I5853" i="1"/>
  <c r="L5853" i="1"/>
  <c r="M5853" i="1"/>
  <c r="V5853" i="1"/>
  <c r="W5853" i="1"/>
  <c r="A6000" i="1"/>
  <c r="D6000" i="1"/>
  <c r="F6000" i="1"/>
  <c r="H6000" i="1"/>
  <c r="I6000" i="1"/>
  <c r="L6000" i="1"/>
  <c r="M6000" i="1"/>
  <c r="V6000" i="1"/>
  <c r="W6000" i="1"/>
  <c r="A17" i="1"/>
  <c r="D17" i="1"/>
  <c r="F17" i="1"/>
  <c r="H17" i="1"/>
  <c r="I17" i="1"/>
  <c r="L17" i="1"/>
  <c r="M17" i="1"/>
  <c r="V17" i="1"/>
  <c r="W17" i="1"/>
  <c r="A550" i="1"/>
  <c r="D550" i="1"/>
  <c r="F550" i="1"/>
  <c r="H550" i="1"/>
  <c r="I550" i="1"/>
  <c r="L550" i="1"/>
  <c r="M550" i="1"/>
  <c r="V550" i="1"/>
  <c r="W550" i="1"/>
  <c r="A2104" i="1"/>
  <c r="D2104" i="1"/>
  <c r="F2104" i="1"/>
  <c r="H2104" i="1"/>
  <c r="I2104" i="1"/>
  <c r="L2104" i="1"/>
  <c r="M2104" i="1"/>
  <c r="V2104" i="1"/>
  <c r="W2104" i="1"/>
  <c r="A139" i="1"/>
  <c r="D139" i="1"/>
  <c r="F139" i="1"/>
  <c r="H139" i="1"/>
  <c r="I139" i="1"/>
  <c r="L139" i="1"/>
  <c r="M139" i="1"/>
  <c r="V139" i="1"/>
  <c r="W139" i="1"/>
  <c r="A430" i="1"/>
  <c r="D430" i="1"/>
  <c r="F430" i="1"/>
  <c r="H430" i="1"/>
  <c r="I430" i="1"/>
  <c r="L430" i="1"/>
  <c r="M430" i="1"/>
  <c r="V430" i="1"/>
  <c r="W430" i="1"/>
  <c r="A881" i="1"/>
  <c r="D881" i="1"/>
  <c r="F881" i="1"/>
  <c r="H881" i="1"/>
  <c r="I881" i="1"/>
  <c r="L881" i="1"/>
  <c r="M881" i="1"/>
  <c r="V881" i="1"/>
  <c r="W881" i="1"/>
  <c r="A980" i="1"/>
  <c r="D980" i="1"/>
  <c r="F980" i="1"/>
  <c r="H980" i="1"/>
  <c r="I980" i="1"/>
  <c r="L980" i="1"/>
  <c r="M980" i="1"/>
  <c r="V980" i="1"/>
  <c r="W980" i="1"/>
  <c r="A1207" i="1"/>
  <c r="D1207" i="1"/>
  <c r="F1207" i="1"/>
  <c r="H1207" i="1"/>
  <c r="I1207" i="1"/>
  <c r="L1207" i="1"/>
  <c r="M1207" i="1"/>
  <c r="V1207" i="1"/>
  <c r="W1207" i="1"/>
  <c r="A1484" i="1"/>
  <c r="D1484" i="1"/>
  <c r="F1484" i="1"/>
  <c r="H1484" i="1"/>
  <c r="I1484" i="1"/>
  <c r="L1484" i="1"/>
  <c r="M1484" i="1"/>
  <c r="V1484" i="1"/>
  <c r="W1484" i="1"/>
  <c r="A2948" i="1"/>
  <c r="D2948" i="1"/>
  <c r="F2948" i="1"/>
  <c r="H2948" i="1"/>
  <c r="I2948" i="1"/>
  <c r="L2948" i="1"/>
  <c r="M2948" i="1"/>
  <c r="V2948" i="1"/>
  <c r="W2948" i="1"/>
  <c r="A3238" i="1"/>
  <c r="D3238" i="1"/>
  <c r="F3238" i="1"/>
  <c r="H3238" i="1"/>
  <c r="I3238" i="1"/>
  <c r="L3238" i="1"/>
  <c r="M3238" i="1"/>
  <c r="V3238" i="1"/>
  <c r="W3238" i="1"/>
  <c r="A3317" i="1"/>
  <c r="D3317" i="1"/>
  <c r="F3317" i="1"/>
  <c r="H3317" i="1"/>
  <c r="I3317" i="1"/>
  <c r="L3317" i="1"/>
  <c r="M3317" i="1"/>
  <c r="V3317" i="1"/>
  <c r="W3317" i="1"/>
  <c r="A3588" i="1"/>
  <c r="D3588" i="1"/>
  <c r="F3588" i="1"/>
  <c r="H3588" i="1"/>
  <c r="I3588" i="1"/>
  <c r="L3588" i="1"/>
  <c r="M3588" i="1"/>
  <c r="V3588" i="1"/>
  <c r="W3588" i="1"/>
  <c r="A5456" i="1"/>
  <c r="D5456" i="1"/>
  <c r="F5456" i="1"/>
  <c r="H5456" i="1"/>
  <c r="I5456" i="1"/>
  <c r="L5456" i="1"/>
  <c r="M5456" i="1"/>
  <c r="V5456" i="1"/>
  <c r="W5456" i="1"/>
  <c r="A5623" i="1"/>
  <c r="D5623" i="1"/>
  <c r="F5623" i="1"/>
  <c r="H5623" i="1"/>
  <c r="I5623" i="1"/>
  <c r="L5623" i="1"/>
  <c r="M5623" i="1"/>
  <c r="V5623" i="1"/>
  <c r="W5623" i="1"/>
  <c r="A5812" i="1"/>
  <c r="D5812" i="1"/>
  <c r="F5812" i="1"/>
  <c r="H5812" i="1"/>
  <c r="I5812" i="1"/>
  <c r="L5812" i="1"/>
  <c r="M5812" i="1"/>
  <c r="V5812" i="1"/>
  <c r="W5812" i="1"/>
  <c r="A5954" i="1"/>
  <c r="D5954" i="1"/>
  <c r="F5954" i="1"/>
  <c r="H5954" i="1"/>
  <c r="I5954" i="1"/>
  <c r="L5954" i="1"/>
  <c r="M5954" i="1"/>
  <c r="V5954" i="1"/>
  <c r="W5954" i="1"/>
  <c r="A6192" i="1"/>
  <c r="D6192" i="1"/>
  <c r="F6192" i="1"/>
  <c r="H6192" i="1"/>
  <c r="I6192" i="1"/>
  <c r="L6192" i="1"/>
  <c r="M6192" i="1"/>
  <c r="V6192" i="1"/>
  <c r="W6192" i="1"/>
  <c r="A981" i="1"/>
  <c r="D981" i="1"/>
  <c r="F981" i="1"/>
  <c r="H981" i="1"/>
  <c r="I981" i="1"/>
  <c r="L981" i="1"/>
  <c r="M981" i="1"/>
  <c r="V981" i="1"/>
  <c r="W981" i="1"/>
  <c r="A1294" i="1"/>
  <c r="D1294" i="1"/>
  <c r="F1294" i="1"/>
  <c r="H1294" i="1"/>
  <c r="I1294" i="1"/>
  <c r="L1294" i="1"/>
  <c r="M1294" i="1"/>
  <c r="V1294" i="1"/>
  <c r="W1294" i="1"/>
  <c r="A3853" i="1"/>
  <c r="D3853" i="1"/>
  <c r="F3853" i="1"/>
  <c r="H3853" i="1"/>
  <c r="I3853" i="1"/>
  <c r="L3853" i="1"/>
  <c r="M3853" i="1"/>
  <c r="V3853" i="1"/>
  <c r="W3853" i="1"/>
  <c r="A2286" i="1"/>
  <c r="D2286" i="1"/>
  <c r="F2286" i="1"/>
  <c r="H2286" i="1"/>
  <c r="I2286" i="1"/>
  <c r="L2286" i="1"/>
  <c r="M2286" i="1"/>
  <c r="V2286" i="1"/>
  <c r="W2286" i="1"/>
  <c r="A3960" i="1"/>
  <c r="D3960" i="1"/>
  <c r="F3960" i="1"/>
  <c r="H3960" i="1"/>
  <c r="I3960" i="1"/>
  <c r="L3960" i="1"/>
  <c r="M3960" i="1"/>
  <c r="V3960" i="1"/>
  <c r="W3960" i="1"/>
  <c r="A5282" i="1"/>
  <c r="D5282" i="1"/>
  <c r="F5282" i="1"/>
  <c r="H5282" i="1"/>
  <c r="I5282" i="1"/>
  <c r="L5282" i="1"/>
  <c r="M5282" i="1"/>
  <c r="V5282" i="1"/>
  <c r="W5282" i="1"/>
  <c r="A3347" i="1"/>
  <c r="D3347" i="1"/>
  <c r="F3347" i="1"/>
  <c r="H3347" i="1"/>
  <c r="I3347" i="1"/>
  <c r="L3347" i="1"/>
  <c r="M3347" i="1"/>
  <c r="V3347" i="1"/>
  <c r="W3347" i="1"/>
  <c r="A1971" i="1"/>
  <c r="D1971" i="1"/>
  <c r="F1971" i="1"/>
  <c r="H1971" i="1"/>
  <c r="I1971" i="1"/>
  <c r="L1971" i="1"/>
  <c r="M1971" i="1"/>
  <c r="V1971" i="1"/>
  <c r="W1971" i="1"/>
  <c r="A330" i="1"/>
  <c r="D330" i="1"/>
  <c r="F330" i="1"/>
  <c r="H330" i="1"/>
  <c r="I330" i="1"/>
  <c r="L330" i="1"/>
  <c r="M330" i="1"/>
  <c r="V330" i="1"/>
  <c r="W330" i="1"/>
  <c r="A3806" i="1"/>
  <c r="D3806" i="1"/>
  <c r="F3806" i="1"/>
  <c r="H3806" i="1"/>
  <c r="I3806" i="1"/>
  <c r="L3806" i="1"/>
  <c r="M3806" i="1"/>
  <c r="V3806" i="1"/>
  <c r="W3806" i="1"/>
  <c r="A5334" i="1"/>
  <c r="D5334" i="1"/>
  <c r="F5334" i="1"/>
  <c r="H5334" i="1"/>
  <c r="I5334" i="1"/>
  <c r="L5334" i="1"/>
  <c r="M5334" i="1"/>
  <c r="V5334" i="1"/>
  <c r="W5334" i="1"/>
  <c r="A5335" i="1"/>
  <c r="D5335" i="1"/>
  <c r="F5335" i="1"/>
  <c r="H5335" i="1"/>
  <c r="I5335" i="1"/>
  <c r="L5335" i="1"/>
  <c r="M5335" i="1"/>
  <c r="V5335" i="1"/>
  <c r="W5335" i="1"/>
  <c r="A5019" i="1"/>
  <c r="D5019" i="1"/>
  <c r="F5019" i="1"/>
  <c r="H5019" i="1"/>
  <c r="I5019" i="1"/>
  <c r="L5019" i="1"/>
  <c r="M5019" i="1"/>
  <c r="V5019" i="1"/>
  <c r="W5019" i="1"/>
  <c r="A788" i="1"/>
  <c r="D788" i="1"/>
  <c r="F788" i="1"/>
  <c r="H788" i="1"/>
  <c r="I788" i="1"/>
  <c r="L788" i="1"/>
  <c r="M788" i="1"/>
  <c r="V788" i="1"/>
  <c r="W788" i="1"/>
  <c r="A823" i="1"/>
  <c r="D823" i="1"/>
  <c r="F823" i="1"/>
  <c r="H823" i="1"/>
  <c r="I823" i="1"/>
  <c r="L823" i="1"/>
  <c r="M823" i="1"/>
  <c r="V823" i="1"/>
  <c r="W823" i="1"/>
  <c r="A944" i="1"/>
  <c r="D944" i="1"/>
  <c r="F944" i="1"/>
  <c r="H944" i="1"/>
  <c r="I944" i="1"/>
  <c r="L944" i="1"/>
  <c r="M944" i="1"/>
  <c r="V944" i="1"/>
  <c r="W944" i="1"/>
  <c r="A5059" i="1"/>
  <c r="D5059" i="1"/>
  <c r="F5059" i="1"/>
  <c r="H5059" i="1"/>
  <c r="I5059" i="1"/>
  <c r="L5059" i="1"/>
  <c r="M5059" i="1"/>
  <c r="V5059" i="1"/>
  <c r="W5059" i="1"/>
  <c r="A5303" i="1"/>
  <c r="D5303" i="1"/>
  <c r="F5303" i="1"/>
  <c r="H5303" i="1"/>
  <c r="I5303" i="1"/>
  <c r="L5303" i="1"/>
  <c r="M5303" i="1"/>
  <c r="V5303" i="1"/>
  <c r="W5303" i="1"/>
  <c r="A1531" i="1"/>
  <c r="D1531" i="1"/>
  <c r="F1531" i="1"/>
  <c r="H1531" i="1"/>
  <c r="I1531" i="1"/>
  <c r="L1531" i="1"/>
  <c r="M1531" i="1"/>
  <c r="V1531" i="1"/>
  <c r="W1531" i="1"/>
  <c r="A1855" i="1"/>
  <c r="D1855" i="1"/>
  <c r="F1855" i="1"/>
  <c r="H1855" i="1"/>
  <c r="I1855" i="1"/>
  <c r="L1855" i="1"/>
  <c r="M1855" i="1"/>
  <c r="V1855" i="1"/>
  <c r="W1855" i="1"/>
  <c r="A2195" i="1"/>
  <c r="D2195" i="1"/>
  <c r="F2195" i="1"/>
  <c r="H2195" i="1"/>
  <c r="I2195" i="1"/>
  <c r="L2195" i="1"/>
  <c r="M2195" i="1"/>
  <c r="V2195" i="1"/>
  <c r="W2195" i="1"/>
  <c r="A4445" i="1"/>
  <c r="D4445" i="1"/>
  <c r="F4445" i="1"/>
  <c r="H4445" i="1"/>
  <c r="I4445" i="1"/>
  <c r="L4445" i="1"/>
  <c r="M4445" i="1"/>
  <c r="V4445" i="1"/>
  <c r="W4445" i="1"/>
  <c r="A5195" i="1"/>
  <c r="D5195" i="1"/>
  <c r="F5195" i="1"/>
  <c r="H5195" i="1"/>
  <c r="I5195" i="1"/>
  <c r="L5195" i="1"/>
  <c r="M5195" i="1"/>
  <c r="V5195" i="1"/>
  <c r="W5195" i="1"/>
  <c r="A1641" i="1"/>
  <c r="D1641" i="1"/>
  <c r="F1641" i="1"/>
  <c r="H1641" i="1"/>
  <c r="I1641" i="1"/>
  <c r="L1641" i="1"/>
  <c r="M1641" i="1"/>
  <c r="V1641" i="1"/>
  <c r="W1641" i="1"/>
  <c r="A2025" i="1"/>
  <c r="D2025" i="1"/>
  <c r="F2025" i="1"/>
  <c r="H2025" i="1"/>
  <c r="I2025" i="1"/>
  <c r="L2025" i="1"/>
  <c r="M2025" i="1"/>
  <c r="V2025" i="1"/>
  <c r="W2025" i="1"/>
  <c r="A1882" i="1"/>
  <c r="D1882" i="1"/>
  <c r="F1882" i="1"/>
  <c r="H1882" i="1"/>
  <c r="I1882" i="1"/>
  <c r="L1882" i="1"/>
  <c r="M1882" i="1"/>
  <c r="V1882" i="1"/>
  <c r="W1882" i="1"/>
  <c r="A1808" i="1"/>
  <c r="D1808" i="1"/>
  <c r="F1808" i="1"/>
  <c r="H1808" i="1"/>
  <c r="I1808" i="1"/>
  <c r="L1808" i="1"/>
  <c r="M1808" i="1"/>
  <c r="V1808" i="1"/>
  <c r="W1808" i="1"/>
  <c r="A1052" i="1"/>
  <c r="D1052" i="1"/>
  <c r="F1052" i="1"/>
  <c r="H1052" i="1"/>
  <c r="I1052" i="1"/>
  <c r="L1052" i="1"/>
  <c r="M1052" i="1"/>
  <c r="V1052" i="1"/>
  <c r="W1052" i="1"/>
  <c r="A780" i="1"/>
  <c r="D780" i="1"/>
  <c r="F780" i="1"/>
  <c r="H780" i="1"/>
  <c r="I780" i="1"/>
  <c r="L780" i="1"/>
  <c r="M780" i="1"/>
  <c r="V780" i="1"/>
  <c r="W780" i="1"/>
  <c r="A2606" i="1"/>
  <c r="D2606" i="1"/>
  <c r="F2606" i="1"/>
  <c r="H2606" i="1"/>
  <c r="I2606" i="1"/>
  <c r="L2606" i="1"/>
  <c r="M2606" i="1"/>
  <c r="V2606" i="1"/>
  <c r="W2606" i="1"/>
  <c r="A2770" i="1"/>
  <c r="D2770" i="1"/>
  <c r="F2770" i="1"/>
  <c r="H2770" i="1"/>
  <c r="I2770" i="1"/>
  <c r="L2770" i="1"/>
  <c r="M2770" i="1"/>
  <c r="V2770" i="1"/>
  <c r="W2770" i="1"/>
  <c r="A5004" i="1"/>
  <c r="D5004" i="1"/>
  <c r="F5004" i="1"/>
  <c r="H5004" i="1"/>
  <c r="I5004" i="1"/>
  <c r="L5004" i="1"/>
  <c r="M5004" i="1"/>
  <c r="V5004" i="1"/>
  <c r="W5004" i="1"/>
  <c r="A1267" i="1"/>
  <c r="D1267" i="1"/>
  <c r="F1267" i="1"/>
  <c r="H1267" i="1"/>
  <c r="I1267" i="1"/>
  <c r="L1267" i="1"/>
  <c r="M1267" i="1"/>
  <c r="V1267" i="1"/>
  <c r="W1267" i="1"/>
  <c r="A2033" i="1"/>
  <c r="D2033" i="1"/>
  <c r="F2033" i="1"/>
  <c r="H2033" i="1"/>
  <c r="I2033" i="1"/>
  <c r="L2033" i="1"/>
  <c r="M2033" i="1"/>
  <c r="V2033" i="1"/>
  <c r="W2033" i="1"/>
  <c r="A1357" i="1"/>
  <c r="D1357" i="1"/>
  <c r="F1357" i="1"/>
  <c r="H1357" i="1"/>
  <c r="I1357" i="1"/>
  <c r="L1357" i="1"/>
  <c r="M1357" i="1"/>
  <c r="V1357" i="1"/>
  <c r="W1357" i="1"/>
  <c r="A793" i="1"/>
  <c r="D793" i="1"/>
  <c r="F793" i="1"/>
  <c r="H793" i="1"/>
  <c r="I793" i="1"/>
  <c r="L793" i="1"/>
  <c r="M793" i="1"/>
  <c r="V793" i="1"/>
  <c r="W793" i="1"/>
  <c r="A1995" i="1"/>
  <c r="D1995" i="1"/>
  <c r="F1995" i="1"/>
  <c r="H1995" i="1"/>
  <c r="I1995" i="1"/>
  <c r="L1995" i="1"/>
  <c r="M1995" i="1"/>
  <c r="V1995" i="1"/>
  <c r="W1995" i="1"/>
  <c r="A484" i="1"/>
  <c r="D484" i="1"/>
  <c r="F484" i="1"/>
  <c r="H484" i="1"/>
  <c r="I484" i="1"/>
  <c r="L484" i="1"/>
  <c r="M484" i="1"/>
  <c r="V484" i="1"/>
  <c r="W484" i="1"/>
  <c r="A282" i="1"/>
  <c r="D282" i="1"/>
  <c r="F282" i="1"/>
  <c r="H282" i="1"/>
  <c r="I282" i="1"/>
  <c r="L282" i="1"/>
  <c r="M282" i="1"/>
  <c r="V282" i="1"/>
  <c r="W282" i="1"/>
  <c r="A4498" i="1"/>
  <c r="D4498" i="1"/>
  <c r="F4498" i="1"/>
  <c r="H4498" i="1"/>
  <c r="I4498" i="1"/>
  <c r="L4498" i="1"/>
  <c r="M4498" i="1"/>
  <c r="V4498" i="1"/>
  <c r="W4498" i="1"/>
  <c r="A4852" i="1"/>
  <c r="D4852" i="1"/>
  <c r="F4852" i="1"/>
  <c r="H4852" i="1"/>
  <c r="I4852" i="1"/>
  <c r="L4852" i="1"/>
  <c r="M4852" i="1"/>
  <c r="V4852" i="1"/>
  <c r="W4852" i="1"/>
  <c r="A2201" i="1"/>
  <c r="D2201" i="1"/>
  <c r="F2201" i="1"/>
  <c r="H2201" i="1"/>
  <c r="I2201" i="1"/>
  <c r="L2201" i="1"/>
  <c r="M2201" i="1"/>
  <c r="V2201" i="1"/>
  <c r="W2201" i="1"/>
  <c r="A3688" i="1"/>
  <c r="D3688" i="1"/>
  <c r="F3688" i="1"/>
  <c r="H3688" i="1"/>
  <c r="I3688" i="1"/>
  <c r="L3688" i="1"/>
  <c r="M3688" i="1"/>
  <c r="V3688" i="1"/>
  <c r="W3688" i="1"/>
  <c r="A2715" i="1"/>
  <c r="D2715" i="1"/>
  <c r="F2715" i="1"/>
  <c r="H2715" i="1"/>
  <c r="I2715" i="1"/>
  <c r="L2715" i="1"/>
  <c r="M2715" i="1"/>
  <c r="V2715" i="1"/>
  <c r="W2715" i="1"/>
  <c r="A2717" i="1"/>
  <c r="D2717" i="1"/>
  <c r="F2717" i="1"/>
  <c r="H2717" i="1"/>
  <c r="I2717" i="1"/>
  <c r="L2717" i="1"/>
  <c r="M2717" i="1"/>
  <c r="V2717" i="1"/>
  <c r="W2717" i="1"/>
  <c r="A5598" i="1"/>
  <c r="D5598" i="1"/>
  <c r="F5598" i="1"/>
  <c r="H5598" i="1"/>
  <c r="I5598" i="1"/>
  <c r="L5598" i="1"/>
  <c r="M5598" i="1"/>
  <c r="V5598" i="1"/>
  <c r="W5598" i="1"/>
  <c r="A6166" i="1"/>
  <c r="D6166" i="1"/>
  <c r="F6166" i="1"/>
  <c r="H6166" i="1"/>
  <c r="I6166" i="1"/>
  <c r="L6166" i="1"/>
  <c r="M6166" i="1"/>
  <c r="V6166" i="1"/>
  <c r="W6166" i="1"/>
  <c r="A6173" i="1"/>
  <c r="D6173" i="1"/>
  <c r="F6173" i="1"/>
  <c r="H6173" i="1"/>
  <c r="I6173" i="1"/>
  <c r="L6173" i="1"/>
  <c r="M6173" i="1"/>
  <c r="V6173" i="1"/>
  <c r="W6173" i="1"/>
  <c r="A1392" i="1"/>
  <c r="D1392" i="1"/>
  <c r="F1392" i="1"/>
  <c r="H1392" i="1"/>
  <c r="I1392" i="1"/>
  <c r="L1392" i="1"/>
  <c r="M1392" i="1"/>
  <c r="V1392" i="1"/>
  <c r="W1392" i="1"/>
  <c r="A51" i="1"/>
  <c r="D51" i="1"/>
  <c r="F51" i="1"/>
  <c r="H51" i="1"/>
  <c r="I51" i="1"/>
  <c r="L51" i="1"/>
  <c r="M51" i="1"/>
  <c r="V51" i="1"/>
  <c r="W51" i="1"/>
  <c r="A3893" i="1"/>
  <c r="D3893" i="1"/>
  <c r="F3893" i="1"/>
  <c r="H3893" i="1"/>
  <c r="I3893" i="1"/>
  <c r="L3893" i="1"/>
  <c r="M3893" i="1"/>
  <c r="V3893" i="1"/>
  <c r="W3893" i="1"/>
  <c r="A4301" i="1"/>
  <c r="D4301" i="1"/>
  <c r="F4301" i="1"/>
  <c r="H4301" i="1"/>
  <c r="I4301" i="1"/>
  <c r="L4301" i="1"/>
  <c r="M4301" i="1"/>
  <c r="V4301" i="1"/>
  <c r="W4301" i="1"/>
  <c r="A4750" i="1"/>
  <c r="D4750" i="1"/>
  <c r="F4750" i="1"/>
  <c r="H4750" i="1"/>
  <c r="I4750" i="1"/>
  <c r="L4750" i="1"/>
  <c r="M4750" i="1"/>
  <c r="V4750" i="1"/>
  <c r="W4750" i="1"/>
  <c r="A4893" i="1"/>
  <c r="D4893" i="1"/>
  <c r="F4893" i="1"/>
  <c r="H4893" i="1"/>
  <c r="I4893" i="1"/>
  <c r="L4893" i="1"/>
  <c r="M4893" i="1"/>
  <c r="V4893" i="1"/>
  <c r="W4893" i="1"/>
  <c r="A462" i="1"/>
  <c r="D462" i="1"/>
  <c r="F462" i="1"/>
  <c r="H462" i="1"/>
  <c r="I462" i="1"/>
  <c r="L462" i="1"/>
  <c r="M462" i="1"/>
  <c r="V462" i="1"/>
  <c r="W462" i="1"/>
  <c r="A5855" i="1"/>
  <c r="D5855" i="1"/>
  <c r="F5855" i="1"/>
  <c r="H5855" i="1"/>
  <c r="I5855" i="1"/>
  <c r="L5855" i="1"/>
  <c r="M5855" i="1"/>
  <c r="V5855" i="1"/>
  <c r="W5855" i="1"/>
  <c r="A6009" i="1"/>
  <c r="D6009" i="1"/>
  <c r="F6009" i="1"/>
  <c r="H6009" i="1"/>
  <c r="I6009" i="1"/>
  <c r="L6009" i="1"/>
  <c r="M6009" i="1"/>
  <c r="V6009" i="1"/>
  <c r="W6009" i="1"/>
  <c r="A6071" i="1"/>
  <c r="D6071" i="1"/>
  <c r="F6071" i="1"/>
  <c r="H6071" i="1"/>
  <c r="I6071" i="1"/>
  <c r="L6071" i="1"/>
  <c r="M6071" i="1"/>
  <c r="V6071" i="1"/>
  <c r="W6071" i="1"/>
  <c r="A1140" i="1"/>
  <c r="D1140" i="1"/>
  <c r="F1140" i="1"/>
  <c r="H1140" i="1"/>
  <c r="I1140" i="1"/>
  <c r="L1140" i="1"/>
  <c r="M1140" i="1"/>
  <c r="V1140" i="1"/>
  <c r="W1140" i="1"/>
  <c r="A1301" i="1"/>
  <c r="D1301" i="1"/>
  <c r="F1301" i="1"/>
  <c r="H1301" i="1"/>
  <c r="I1301" i="1"/>
  <c r="L1301" i="1"/>
  <c r="M1301" i="1"/>
  <c r="V1301" i="1"/>
  <c r="W1301" i="1"/>
  <c r="A1717" i="1"/>
  <c r="D1717" i="1"/>
  <c r="F1717" i="1"/>
  <c r="H1717" i="1"/>
  <c r="I1717" i="1"/>
  <c r="L1717" i="1"/>
  <c r="M1717" i="1"/>
  <c r="V1717" i="1"/>
  <c r="W1717" i="1"/>
  <c r="A2671" i="1"/>
  <c r="D2671" i="1"/>
  <c r="F2671" i="1"/>
  <c r="H2671" i="1"/>
  <c r="I2671" i="1"/>
  <c r="L2671" i="1"/>
  <c r="M2671" i="1"/>
  <c r="V2671" i="1"/>
  <c r="W2671" i="1"/>
  <c r="A2743" i="1"/>
  <c r="D2743" i="1"/>
  <c r="F2743" i="1"/>
  <c r="H2743" i="1"/>
  <c r="I2743" i="1"/>
  <c r="L2743" i="1"/>
  <c r="M2743" i="1"/>
  <c r="V2743" i="1"/>
  <c r="W2743" i="1"/>
  <c r="A2976" i="1"/>
  <c r="D2976" i="1"/>
  <c r="F2976" i="1"/>
  <c r="H2976" i="1"/>
  <c r="I2976" i="1"/>
  <c r="L2976" i="1"/>
  <c r="M2976" i="1"/>
  <c r="V2976" i="1"/>
  <c r="W2976" i="1"/>
  <c r="A3267" i="1"/>
  <c r="D3267" i="1"/>
  <c r="F3267" i="1"/>
  <c r="H3267" i="1"/>
  <c r="I3267" i="1"/>
  <c r="L3267" i="1"/>
  <c r="M3267" i="1"/>
  <c r="V3267" i="1"/>
  <c r="W3267" i="1"/>
  <c r="A3526" i="1"/>
  <c r="D3526" i="1"/>
  <c r="F3526" i="1"/>
  <c r="H3526" i="1"/>
  <c r="I3526" i="1"/>
  <c r="L3526" i="1"/>
  <c r="M3526" i="1"/>
  <c r="V3526" i="1"/>
  <c r="W3526" i="1"/>
  <c r="A3837" i="1"/>
  <c r="D3837" i="1"/>
  <c r="F3837" i="1"/>
  <c r="H3837" i="1"/>
  <c r="I3837" i="1"/>
  <c r="L3837" i="1"/>
  <c r="M3837" i="1"/>
  <c r="V3837" i="1"/>
  <c r="W3837" i="1"/>
  <c r="A4046" i="1"/>
  <c r="D4046" i="1"/>
  <c r="F4046" i="1"/>
  <c r="H4046" i="1"/>
  <c r="I4046" i="1"/>
  <c r="L4046" i="1"/>
  <c r="M4046" i="1"/>
  <c r="V4046" i="1"/>
  <c r="W4046" i="1"/>
  <c r="A4126" i="1"/>
  <c r="D4126" i="1"/>
  <c r="F4126" i="1"/>
  <c r="H4126" i="1"/>
  <c r="I4126" i="1"/>
  <c r="L4126" i="1"/>
  <c r="M4126" i="1"/>
  <c r="V4126" i="1"/>
  <c r="W4126" i="1"/>
  <c r="A3560" i="1"/>
  <c r="D3560" i="1"/>
  <c r="F3560" i="1"/>
  <c r="H3560" i="1"/>
  <c r="I3560" i="1"/>
  <c r="L3560" i="1"/>
  <c r="M3560" i="1"/>
  <c r="V3560" i="1"/>
  <c r="W3560" i="1"/>
  <c r="A4488" i="1"/>
  <c r="D4488" i="1"/>
  <c r="F4488" i="1"/>
  <c r="H4488" i="1"/>
  <c r="I4488" i="1"/>
  <c r="L4488" i="1"/>
  <c r="M4488" i="1"/>
  <c r="V4488" i="1"/>
  <c r="W4488" i="1"/>
  <c r="A2447" i="1"/>
  <c r="D2447" i="1"/>
  <c r="F2447" i="1"/>
  <c r="H2447" i="1"/>
  <c r="I2447" i="1"/>
  <c r="L2447" i="1"/>
  <c r="M2447" i="1"/>
  <c r="V2447" i="1"/>
  <c r="W2447" i="1"/>
  <c r="A1867" i="1"/>
  <c r="D1867" i="1"/>
  <c r="F1867" i="1"/>
  <c r="H1867" i="1"/>
  <c r="I1867" i="1"/>
  <c r="L1867" i="1"/>
  <c r="M1867" i="1"/>
  <c r="V1867" i="1"/>
  <c r="W1867" i="1"/>
  <c r="A2597" i="1"/>
  <c r="D2597" i="1"/>
  <c r="F2597" i="1"/>
  <c r="H2597" i="1"/>
  <c r="I2597" i="1"/>
  <c r="L2597" i="1"/>
  <c r="M2597" i="1"/>
  <c r="V2597" i="1"/>
  <c r="W2597" i="1"/>
  <c r="A5317" i="1"/>
  <c r="D5317" i="1"/>
  <c r="F5317" i="1"/>
  <c r="H5317" i="1"/>
  <c r="I5317" i="1"/>
  <c r="L5317" i="1"/>
  <c r="M5317" i="1"/>
  <c r="V5317" i="1"/>
  <c r="W5317" i="1"/>
  <c r="A229" i="1"/>
  <c r="D229" i="1"/>
  <c r="F229" i="1"/>
  <c r="H229" i="1"/>
  <c r="I229" i="1"/>
  <c r="L229" i="1"/>
  <c r="M229" i="1"/>
  <c r="V229" i="1"/>
  <c r="W229" i="1"/>
  <c r="A792" i="1"/>
  <c r="D792" i="1"/>
  <c r="F792" i="1"/>
  <c r="H792" i="1"/>
  <c r="I792" i="1"/>
  <c r="L792" i="1"/>
  <c r="M792" i="1"/>
  <c r="V792" i="1"/>
  <c r="W792" i="1"/>
  <c r="A1366" i="1"/>
  <c r="D1366" i="1"/>
  <c r="F1366" i="1"/>
  <c r="H1366" i="1"/>
  <c r="I1366" i="1"/>
  <c r="L1366" i="1"/>
  <c r="M1366" i="1"/>
  <c r="V1366" i="1"/>
  <c r="W1366" i="1"/>
  <c r="A5437" i="1"/>
  <c r="D5437" i="1"/>
  <c r="F5437" i="1"/>
  <c r="H5437" i="1"/>
  <c r="I5437" i="1"/>
  <c r="L5437" i="1"/>
  <c r="M5437" i="1"/>
  <c r="V5437" i="1"/>
  <c r="W5437" i="1"/>
  <c r="A5900" i="1"/>
  <c r="D5900" i="1"/>
  <c r="F5900" i="1"/>
  <c r="H5900" i="1"/>
  <c r="I5900" i="1"/>
  <c r="L5900" i="1"/>
  <c r="M5900" i="1"/>
  <c r="V5900" i="1"/>
  <c r="W5900" i="1"/>
  <c r="A3899" i="1"/>
  <c r="D3899" i="1"/>
  <c r="F3899" i="1"/>
  <c r="H3899" i="1"/>
  <c r="I3899" i="1"/>
  <c r="L3899" i="1"/>
  <c r="M3899" i="1"/>
  <c r="V3899" i="1"/>
  <c r="W3899" i="1"/>
  <c r="A3910" i="1"/>
  <c r="D3910" i="1"/>
  <c r="F3910" i="1"/>
  <c r="H3910" i="1"/>
  <c r="I3910" i="1"/>
  <c r="L3910" i="1"/>
  <c r="M3910" i="1"/>
  <c r="V3910" i="1"/>
  <c r="W3910" i="1"/>
  <c r="A4982" i="1"/>
  <c r="D4982" i="1"/>
  <c r="F4982" i="1"/>
  <c r="H4982" i="1"/>
  <c r="I4982" i="1"/>
  <c r="L4982" i="1"/>
  <c r="M4982" i="1"/>
  <c r="V4982" i="1"/>
  <c r="W4982" i="1"/>
  <c r="A5131" i="1"/>
  <c r="D5131" i="1"/>
  <c r="F5131" i="1"/>
  <c r="H5131" i="1"/>
  <c r="I5131" i="1"/>
  <c r="L5131" i="1"/>
  <c r="M5131" i="1"/>
  <c r="V5131" i="1"/>
  <c r="W5131" i="1"/>
  <c r="A3434" i="1"/>
  <c r="D3434" i="1"/>
  <c r="F3434" i="1"/>
  <c r="H3434" i="1"/>
  <c r="I3434" i="1"/>
  <c r="L3434" i="1"/>
  <c r="M3434" i="1"/>
  <c r="V3434" i="1"/>
  <c r="W3434" i="1"/>
  <c r="A3452" i="1"/>
  <c r="D3452" i="1"/>
  <c r="F3452" i="1"/>
  <c r="H3452" i="1"/>
  <c r="I3452" i="1"/>
  <c r="L3452" i="1"/>
  <c r="M3452" i="1"/>
  <c r="V3452" i="1"/>
  <c r="W3452" i="1"/>
  <c r="A3598" i="1"/>
  <c r="D3598" i="1"/>
  <c r="F3598" i="1"/>
  <c r="H3598" i="1"/>
  <c r="I3598" i="1"/>
  <c r="L3598" i="1"/>
  <c r="M3598" i="1"/>
  <c r="V3598" i="1"/>
  <c r="W3598" i="1"/>
  <c r="A3784" i="1"/>
  <c r="D3784" i="1"/>
  <c r="F3784" i="1"/>
  <c r="H3784" i="1"/>
  <c r="I3784" i="1"/>
  <c r="L3784" i="1"/>
  <c r="M3784" i="1"/>
  <c r="V3784" i="1"/>
  <c r="W3784" i="1"/>
  <c r="A2162" i="1"/>
  <c r="D2162" i="1"/>
  <c r="F2162" i="1"/>
  <c r="H2162" i="1"/>
  <c r="I2162" i="1"/>
  <c r="L2162" i="1"/>
  <c r="M2162" i="1"/>
  <c r="V2162" i="1"/>
  <c r="W2162" i="1"/>
  <c r="A2207" i="1"/>
  <c r="D2207" i="1"/>
  <c r="F2207" i="1"/>
  <c r="H2207" i="1"/>
  <c r="I2207" i="1"/>
  <c r="L2207" i="1"/>
  <c r="M2207" i="1"/>
  <c r="V2207" i="1"/>
  <c r="W2207" i="1"/>
  <c r="A1601" i="1"/>
  <c r="D1601" i="1"/>
  <c r="F1601" i="1"/>
  <c r="H1601" i="1"/>
  <c r="I1601" i="1"/>
  <c r="L1601" i="1"/>
  <c r="M1601" i="1"/>
  <c r="V1601" i="1"/>
  <c r="W1601" i="1"/>
  <c r="A3103" i="1"/>
  <c r="D3103" i="1"/>
  <c r="F3103" i="1"/>
  <c r="H3103" i="1"/>
  <c r="I3103" i="1"/>
  <c r="L3103" i="1"/>
  <c r="M3103" i="1"/>
  <c r="V3103" i="1"/>
  <c r="W3103" i="1"/>
  <c r="A3126" i="1"/>
  <c r="D3126" i="1"/>
  <c r="F3126" i="1"/>
  <c r="H3126" i="1"/>
  <c r="I3126" i="1"/>
  <c r="L3126" i="1"/>
  <c r="M3126" i="1"/>
  <c r="V3126" i="1"/>
  <c r="W3126" i="1"/>
  <c r="A4127" i="1"/>
  <c r="D4127" i="1"/>
  <c r="F4127" i="1"/>
  <c r="H4127" i="1"/>
  <c r="I4127" i="1"/>
  <c r="L4127" i="1"/>
  <c r="M4127" i="1"/>
  <c r="V4127" i="1"/>
  <c r="W4127" i="1"/>
  <c r="A4541" i="1"/>
  <c r="D4541" i="1"/>
  <c r="F4541" i="1"/>
  <c r="H4541" i="1"/>
  <c r="I4541" i="1"/>
  <c r="L4541" i="1"/>
  <c r="M4541" i="1"/>
  <c r="V4541" i="1"/>
  <c r="W4541" i="1"/>
  <c r="A2084" i="1"/>
  <c r="D2084" i="1"/>
  <c r="F2084" i="1"/>
  <c r="H2084" i="1"/>
  <c r="I2084" i="1"/>
  <c r="L2084" i="1"/>
  <c r="M2084" i="1"/>
  <c r="V2084" i="1"/>
  <c r="W2084" i="1"/>
  <c r="A3717" i="1"/>
  <c r="D3717" i="1"/>
  <c r="F3717" i="1"/>
  <c r="H3717" i="1"/>
  <c r="I3717" i="1"/>
  <c r="L3717" i="1"/>
  <c r="M3717" i="1"/>
  <c r="V3717" i="1"/>
  <c r="W3717" i="1"/>
  <c r="A4114" i="1"/>
  <c r="D4114" i="1"/>
  <c r="F4114" i="1"/>
  <c r="H4114" i="1"/>
  <c r="I4114" i="1"/>
  <c r="L4114" i="1"/>
  <c r="M4114" i="1"/>
  <c r="V4114" i="1"/>
  <c r="W4114" i="1"/>
  <c r="A3555" i="1"/>
  <c r="D3555" i="1"/>
  <c r="F3555" i="1"/>
  <c r="H3555" i="1"/>
  <c r="I3555" i="1"/>
  <c r="L3555" i="1"/>
  <c r="M3555" i="1"/>
  <c r="V3555" i="1"/>
  <c r="W3555" i="1"/>
  <c r="A4093" i="1"/>
  <c r="D4093" i="1"/>
  <c r="F4093" i="1"/>
  <c r="H4093" i="1"/>
  <c r="I4093" i="1"/>
  <c r="L4093" i="1"/>
  <c r="M4093" i="1"/>
  <c r="V4093" i="1"/>
  <c r="W4093" i="1"/>
  <c r="A3023" i="1"/>
  <c r="D3023" i="1"/>
  <c r="F3023" i="1"/>
  <c r="H3023" i="1"/>
  <c r="I3023" i="1"/>
  <c r="L3023" i="1"/>
  <c r="M3023" i="1"/>
  <c r="V3023" i="1"/>
  <c r="W3023" i="1"/>
  <c r="A3092" i="1"/>
  <c r="D3092" i="1"/>
  <c r="F3092" i="1"/>
  <c r="H3092" i="1"/>
  <c r="I3092" i="1"/>
  <c r="L3092" i="1"/>
  <c r="M3092" i="1"/>
  <c r="V3092" i="1"/>
  <c r="W3092" i="1"/>
  <c r="A3136" i="1"/>
  <c r="D3136" i="1"/>
  <c r="F3136" i="1"/>
  <c r="H3136" i="1"/>
  <c r="I3136" i="1"/>
  <c r="L3136" i="1"/>
  <c r="M3136" i="1"/>
  <c r="V3136" i="1"/>
  <c r="W3136" i="1"/>
  <c r="A3896" i="1"/>
  <c r="D3896" i="1"/>
  <c r="F3896" i="1"/>
  <c r="H3896" i="1"/>
  <c r="I3896" i="1"/>
  <c r="L3896" i="1"/>
  <c r="M3896" i="1"/>
  <c r="V3896" i="1"/>
  <c r="W3896" i="1"/>
  <c r="A602" i="1"/>
  <c r="D602" i="1"/>
  <c r="F602" i="1"/>
  <c r="H602" i="1"/>
  <c r="I602" i="1"/>
  <c r="L602" i="1"/>
  <c r="M602" i="1"/>
  <c r="V602" i="1"/>
  <c r="W602" i="1"/>
  <c r="A615" i="1"/>
  <c r="D615" i="1"/>
  <c r="F615" i="1"/>
  <c r="H615" i="1"/>
  <c r="I615" i="1"/>
  <c r="L615" i="1"/>
  <c r="M615" i="1"/>
  <c r="V615" i="1"/>
  <c r="W615" i="1"/>
  <c r="A907" i="1"/>
  <c r="D907" i="1"/>
  <c r="F907" i="1"/>
  <c r="H907" i="1"/>
  <c r="I907" i="1"/>
  <c r="L907" i="1"/>
  <c r="M907" i="1"/>
  <c r="V907" i="1"/>
  <c r="W907" i="1"/>
  <c r="A1288" i="1"/>
  <c r="D1288" i="1"/>
  <c r="F1288" i="1"/>
  <c r="H1288" i="1"/>
  <c r="I1288" i="1"/>
  <c r="L1288" i="1"/>
  <c r="M1288" i="1"/>
  <c r="V1288" i="1"/>
  <c r="W1288" i="1"/>
  <c r="A3684" i="1"/>
  <c r="D3684" i="1"/>
  <c r="F3684" i="1"/>
  <c r="H3684" i="1"/>
  <c r="I3684" i="1"/>
  <c r="L3684" i="1"/>
  <c r="M3684" i="1"/>
  <c r="V3684" i="1"/>
  <c r="W3684" i="1"/>
  <c r="A4344" i="1"/>
  <c r="D4344" i="1"/>
  <c r="F4344" i="1"/>
  <c r="H4344" i="1"/>
  <c r="I4344" i="1"/>
  <c r="L4344" i="1"/>
  <c r="M4344" i="1"/>
  <c r="V4344" i="1"/>
  <c r="W4344" i="1"/>
  <c r="A3862" i="1"/>
  <c r="D3862" i="1"/>
  <c r="F3862" i="1"/>
  <c r="H3862" i="1"/>
  <c r="I3862" i="1"/>
  <c r="L3862" i="1"/>
  <c r="M3862" i="1"/>
  <c r="V3862" i="1"/>
  <c r="W3862" i="1"/>
  <c r="A4994" i="1"/>
  <c r="D4994" i="1"/>
  <c r="F4994" i="1"/>
  <c r="H4994" i="1"/>
  <c r="I4994" i="1"/>
  <c r="L4994" i="1"/>
  <c r="M4994" i="1"/>
  <c r="V4994" i="1"/>
  <c r="W4994" i="1"/>
  <c r="A5250" i="1"/>
  <c r="D5250" i="1"/>
  <c r="F5250" i="1"/>
  <c r="H5250" i="1"/>
  <c r="I5250" i="1"/>
  <c r="L5250" i="1"/>
  <c r="M5250" i="1"/>
  <c r="V5250" i="1"/>
  <c r="W5250" i="1"/>
  <c r="A4172" i="1"/>
  <c r="D4172" i="1"/>
  <c r="F4172" i="1"/>
  <c r="H4172" i="1"/>
  <c r="I4172" i="1"/>
  <c r="L4172" i="1"/>
  <c r="M4172" i="1"/>
  <c r="V4172" i="1"/>
  <c r="W4172" i="1"/>
  <c r="A5720" i="1"/>
  <c r="D5720" i="1"/>
  <c r="F5720" i="1"/>
  <c r="H5720" i="1"/>
  <c r="I5720" i="1"/>
  <c r="L5720" i="1"/>
  <c r="M5720" i="1"/>
  <c r="V5720" i="1"/>
  <c r="W5720" i="1"/>
  <c r="A2494" i="1"/>
  <c r="D2494" i="1"/>
  <c r="F2494" i="1"/>
  <c r="H2494" i="1"/>
  <c r="I2494" i="1"/>
  <c r="L2494" i="1"/>
  <c r="M2494" i="1"/>
  <c r="V2494" i="1"/>
  <c r="W2494" i="1"/>
  <c r="A3572" i="1"/>
  <c r="D3572" i="1"/>
  <c r="F3572" i="1"/>
  <c r="H3572" i="1"/>
  <c r="I3572" i="1"/>
  <c r="L3572" i="1"/>
  <c r="M3572" i="1"/>
  <c r="V3572" i="1"/>
  <c r="W3572" i="1"/>
  <c r="A4956" i="1"/>
  <c r="D4956" i="1"/>
  <c r="F4956" i="1"/>
  <c r="H4956" i="1"/>
  <c r="I4956" i="1"/>
  <c r="L4956" i="1"/>
  <c r="M4956" i="1"/>
  <c r="V4956" i="1"/>
  <c r="W4956" i="1"/>
  <c r="A1847" i="1"/>
  <c r="D1847" i="1"/>
  <c r="F1847" i="1"/>
  <c r="H1847" i="1"/>
  <c r="I1847" i="1"/>
  <c r="L1847" i="1"/>
  <c r="M1847" i="1"/>
  <c r="V1847" i="1"/>
  <c r="W1847" i="1"/>
  <c r="A204" i="1"/>
  <c r="D204" i="1"/>
  <c r="F204" i="1"/>
  <c r="H204" i="1"/>
  <c r="I204" i="1"/>
  <c r="L204" i="1"/>
  <c r="M204" i="1"/>
  <c r="V204" i="1"/>
  <c r="W204" i="1"/>
  <c r="A831" i="1"/>
  <c r="D831" i="1"/>
  <c r="F831" i="1"/>
  <c r="H831" i="1"/>
  <c r="I831" i="1"/>
  <c r="L831" i="1"/>
  <c r="M831" i="1"/>
  <c r="V831" i="1"/>
  <c r="W831" i="1"/>
  <c r="A1370" i="1"/>
  <c r="D1370" i="1"/>
  <c r="F1370" i="1"/>
  <c r="H1370" i="1"/>
  <c r="I1370" i="1"/>
  <c r="L1370" i="1"/>
  <c r="M1370" i="1"/>
  <c r="V1370" i="1"/>
  <c r="W1370" i="1"/>
  <c r="A6042" i="1"/>
  <c r="D6042" i="1"/>
  <c r="F6042" i="1"/>
  <c r="H6042" i="1"/>
  <c r="I6042" i="1"/>
  <c r="L6042" i="1"/>
  <c r="M6042" i="1"/>
  <c r="V6042" i="1"/>
  <c r="W6042" i="1"/>
  <c r="A157" i="1"/>
  <c r="D157" i="1"/>
  <c r="F157" i="1"/>
  <c r="H157" i="1"/>
  <c r="I157" i="1"/>
  <c r="L157" i="1"/>
  <c r="M157" i="1"/>
  <c r="V157" i="1"/>
  <c r="W157" i="1"/>
  <c r="A2169" i="1"/>
  <c r="D2169" i="1"/>
  <c r="F2169" i="1"/>
  <c r="H2169" i="1"/>
  <c r="I2169" i="1"/>
  <c r="L2169" i="1"/>
  <c r="M2169" i="1"/>
  <c r="V2169" i="1"/>
  <c r="W2169" i="1"/>
  <c r="A4158" i="1"/>
  <c r="D4158" i="1"/>
  <c r="F4158" i="1"/>
  <c r="H4158" i="1"/>
  <c r="I4158" i="1"/>
  <c r="L4158" i="1"/>
  <c r="M4158" i="1"/>
  <c r="V4158" i="1"/>
  <c r="W4158" i="1"/>
  <c r="A5013" i="1"/>
  <c r="D5013" i="1"/>
  <c r="F5013" i="1"/>
  <c r="H5013" i="1"/>
  <c r="I5013" i="1"/>
  <c r="L5013" i="1"/>
  <c r="M5013" i="1"/>
  <c r="V5013" i="1"/>
  <c r="W5013" i="1"/>
  <c r="A6060" i="1"/>
  <c r="D6060" i="1"/>
  <c r="F6060" i="1"/>
  <c r="H6060" i="1"/>
  <c r="I6060" i="1"/>
  <c r="L6060" i="1"/>
  <c r="M6060" i="1"/>
  <c r="V6060" i="1"/>
  <c r="W6060" i="1"/>
  <c r="A1202" i="1"/>
  <c r="D1202" i="1"/>
  <c r="F1202" i="1"/>
  <c r="H1202" i="1"/>
  <c r="I1202" i="1"/>
  <c r="L1202" i="1"/>
  <c r="M1202" i="1"/>
  <c r="V1202" i="1"/>
  <c r="W1202" i="1"/>
  <c r="A1476" i="1"/>
  <c r="D1476" i="1"/>
  <c r="F1476" i="1"/>
  <c r="H1476" i="1"/>
  <c r="I1476" i="1"/>
  <c r="L1476" i="1"/>
  <c r="M1476" i="1"/>
  <c r="V1476" i="1"/>
  <c r="W1476" i="1"/>
  <c r="A3576" i="1"/>
  <c r="D3576" i="1"/>
  <c r="F3576" i="1"/>
  <c r="H3576" i="1"/>
  <c r="I3576" i="1"/>
  <c r="L3576" i="1"/>
  <c r="M3576" i="1"/>
  <c r="V3576" i="1"/>
  <c r="W3576" i="1"/>
  <c r="A5597" i="1"/>
  <c r="D5597" i="1"/>
  <c r="F5597" i="1"/>
  <c r="H5597" i="1"/>
  <c r="I5597" i="1"/>
  <c r="L5597" i="1"/>
  <c r="M5597" i="1"/>
  <c r="V5597" i="1"/>
  <c r="W5597" i="1"/>
  <c r="A4358" i="1"/>
  <c r="D4358" i="1"/>
  <c r="F4358" i="1"/>
  <c r="H4358" i="1"/>
  <c r="I4358" i="1"/>
  <c r="L4358" i="1"/>
  <c r="M4358" i="1"/>
  <c r="V4358" i="1"/>
  <c r="W4358" i="1"/>
  <c r="A4635" i="1"/>
  <c r="D4635" i="1"/>
  <c r="F4635" i="1"/>
  <c r="H4635" i="1"/>
  <c r="I4635" i="1"/>
  <c r="L4635" i="1"/>
  <c r="M4635" i="1"/>
  <c r="V4635" i="1"/>
  <c r="W4635" i="1"/>
  <c r="A2252" i="1"/>
  <c r="D2252" i="1"/>
  <c r="F2252" i="1"/>
  <c r="H2252" i="1"/>
  <c r="I2252" i="1"/>
  <c r="L2252" i="1"/>
  <c r="M2252" i="1"/>
  <c r="V2252" i="1"/>
  <c r="W2252" i="1"/>
  <c r="A3032" i="1"/>
  <c r="D3032" i="1"/>
  <c r="F3032" i="1"/>
  <c r="H3032" i="1"/>
  <c r="I3032" i="1"/>
  <c r="L3032" i="1"/>
  <c r="M3032" i="1"/>
  <c r="V3032" i="1"/>
  <c r="W3032" i="1"/>
  <c r="A1447" i="1"/>
  <c r="D1447" i="1"/>
  <c r="F1447" i="1"/>
  <c r="H1447" i="1"/>
  <c r="I1447" i="1"/>
  <c r="L1447" i="1"/>
  <c r="M1447" i="1"/>
  <c r="V1447" i="1"/>
  <c r="W1447" i="1"/>
  <c r="A2533" i="1"/>
  <c r="D2533" i="1"/>
  <c r="F2533" i="1"/>
  <c r="H2533" i="1"/>
  <c r="I2533" i="1"/>
  <c r="L2533" i="1"/>
  <c r="M2533" i="1"/>
  <c r="V2533" i="1"/>
  <c r="W2533" i="1"/>
  <c r="A4650" i="1"/>
  <c r="D4650" i="1"/>
  <c r="F4650" i="1"/>
  <c r="H4650" i="1"/>
  <c r="I4650" i="1"/>
  <c r="L4650" i="1"/>
  <c r="M4650" i="1"/>
  <c r="V4650" i="1"/>
  <c r="W4650" i="1"/>
  <c r="A1742" i="1"/>
  <c r="D1742" i="1"/>
  <c r="F1742" i="1"/>
  <c r="H1742" i="1"/>
  <c r="I1742" i="1"/>
  <c r="L1742" i="1"/>
  <c r="M1742" i="1"/>
  <c r="V1742" i="1"/>
  <c r="W1742" i="1"/>
  <c r="A2305" i="1"/>
  <c r="D2305" i="1"/>
  <c r="F2305" i="1"/>
  <c r="H2305" i="1"/>
  <c r="I2305" i="1"/>
  <c r="L2305" i="1"/>
  <c r="M2305" i="1"/>
  <c r="V2305" i="1"/>
  <c r="W2305" i="1"/>
  <c r="A4233" i="1"/>
  <c r="D4233" i="1"/>
  <c r="F4233" i="1"/>
  <c r="H4233" i="1"/>
  <c r="I4233" i="1"/>
  <c r="L4233" i="1"/>
  <c r="M4233" i="1"/>
  <c r="V4233" i="1"/>
  <c r="W4233" i="1"/>
  <c r="A3483" i="1"/>
  <c r="D3483" i="1"/>
  <c r="F3483" i="1"/>
  <c r="H3483" i="1"/>
  <c r="I3483" i="1"/>
  <c r="L3483" i="1"/>
  <c r="M3483" i="1"/>
  <c r="V3483" i="1"/>
  <c r="W3483" i="1"/>
  <c r="A4904" i="1"/>
  <c r="D4904" i="1"/>
  <c r="F4904" i="1"/>
  <c r="H4904" i="1"/>
  <c r="I4904" i="1"/>
  <c r="L4904" i="1"/>
  <c r="M4904" i="1"/>
  <c r="V4904" i="1"/>
  <c r="W4904" i="1"/>
  <c r="A4273" i="1"/>
  <c r="D4273" i="1"/>
  <c r="F4273" i="1"/>
  <c r="H4273" i="1"/>
  <c r="I4273" i="1"/>
  <c r="L4273" i="1"/>
  <c r="M4273" i="1"/>
  <c r="V4273" i="1"/>
  <c r="W4273" i="1"/>
  <c r="A3809" i="1"/>
  <c r="D3809" i="1"/>
  <c r="F3809" i="1"/>
  <c r="H3809" i="1"/>
  <c r="I3809" i="1"/>
  <c r="L3809" i="1"/>
  <c r="M3809" i="1"/>
  <c r="V3809" i="1"/>
  <c r="W3809" i="1"/>
  <c r="A130" i="1"/>
  <c r="D130" i="1"/>
  <c r="F130" i="1"/>
  <c r="H130" i="1"/>
  <c r="I130" i="1"/>
  <c r="L130" i="1"/>
  <c r="M130" i="1"/>
  <c r="V130" i="1"/>
  <c r="W130" i="1"/>
  <c r="A1922" i="1"/>
  <c r="D1922" i="1"/>
  <c r="F1922" i="1"/>
  <c r="H1922" i="1"/>
  <c r="I1922" i="1"/>
  <c r="L1922" i="1"/>
  <c r="M1922" i="1"/>
  <c r="V1922" i="1"/>
  <c r="W1922" i="1"/>
  <c r="A4033" i="1"/>
  <c r="D4033" i="1"/>
  <c r="F4033" i="1"/>
  <c r="H4033" i="1"/>
  <c r="I4033" i="1"/>
  <c r="L4033" i="1"/>
  <c r="M4033" i="1"/>
  <c r="V4033" i="1"/>
  <c r="W4033" i="1"/>
  <c r="A2776" i="1"/>
  <c r="D2776" i="1"/>
  <c r="F2776" i="1"/>
  <c r="H2776" i="1"/>
  <c r="I2776" i="1"/>
  <c r="L2776" i="1"/>
  <c r="M2776" i="1"/>
  <c r="V2776" i="1"/>
  <c r="W2776" i="1"/>
  <c r="A6140" i="1"/>
  <c r="D6140" i="1"/>
  <c r="F6140" i="1"/>
  <c r="H6140" i="1"/>
  <c r="I6140" i="1"/>
  <c r="L6140" i="1"/>
  <c r="M6140" i="1"/>
  <c r="V6140" i="1"/>
  <c r="W6140" i="1"/>
  <c r="A2454" i="1"/>
  <c r="D2454" i="1"/>
  <c r="F2454" i="1"/>
  <c r="H2454" i="1"/>
  <c r="I2454" i="1"/>
  <c r="L2454" i="1"/>
  <c r="M2454" i="1"/>
  <c r="V2454" i="1"/>
  <c r="W2454" i="1"/>
  <c r="A2808" i="1"/>
  <c r="D2808" i="1"/>
  <c r="F2808" i="1"/>
  <c r="H2808" i="1"/>
  <c r="I2808" i="1"/>
  <c r="L2808" i="1"/>
  <c r="M2808" i="1"/>
  <c r="V2808" i="1"/>
  <c r="W2808" i="1"/>
  <c r="A5054" i="1"/>
  <c r="D5054" i="1"/>
  <c r="F5054" i="1"/>
  <c r="H5054" i="1"/>
  <c r="I5054" i="1"/>
  <c r="L5054" i="1"/>
  <c r="M5054" i="1"/>
  <c r="V5054" i="1"/>
  <c r="W5054" i="1"/>
  <c r="A5668" i="1"/>
  <c r="D5668" i="1"/>
  <c r="F5668" i="1"/>
  <c r="H5668" i="1"/>
  <c r="I5668" i="1"/>
  <c r="L5668" i="1"/>
  <c r="M5668" i="1"/>
  <c r="V5668" i="1"/>
  <c r="W5668" i="1"/>
  <c r="A5088" i="1"/>
  <c r="D5088" i="1"/>
  <c r="F5088" i="1"/>
  <c r="H5088" i="1"/>
  <c r="I5088" i="1"/>
  <c r="L5088" i="1"/>
  <c r="M5088" i="1"/>
  <c r="V5088" i="1"/>
  <c r="W5088" i="1"/>
  <c r="A1774" i="1"/>
  <c r="D1774" i="1"/>
  <c r="F1774" i="1"/>
  <c r="H1774" i="1"/>
  <c r="I1774" i="1"/>
  <c r="L1774" i="1"/>
  <c r="M1774" i="1"/>
  <c r="V1774" i="1"/>
  <c r="W1774" i="1"/>
  <c r="A1338" i="1"/>
  <c r="D1338" i="1"/>
  <c r="F1338" i="1"/>
  <c r="H1338" i="1"/>
  <c r="I1338" i="1"/>
  <c r="L1338" i="1"/>
  <c r="M1338" i="1"/>
  <c r="V1338" i="1"/>
  <c r="W1338" i="1"/>
  <c r="A1666" i="1"/>
  <c r="D1666" i="1"/>
  <c r="F1666" i="1"/>
  <c r="H1666" i="1"/>
  <c r="I1666" i="1"/>
  <c r="L1666" i="1"/>
  <c r="M1666" i="1"/>
  <c r="V1666" i="1"/>
  <c r="W1666" i="1"/>
  <c r="A1617" i="1"/>
  <c r="D1617" i="1"/>
  <c r="F1617" i="1"/>
  <c r="H1617" i="1"/>
  <c r="I1617" i="1"/>
  <c r="L1617" i="1"/>
  <c r="M1617" i="1"/>
  <c r="V1617" i="1"/>
  <c r="W1617" i="1"/>
  <c r="A1726" i="1"/>
  <c r="D1726" i="1"/>
  <c r="F1726" i="1"/>
  <c r="H1726" i="1"/>
  <c r="I1726" i="1"/>
  <c r="L1726" i="1"/>
  <c r="M1726" i="1"/>
  <c r="V1726" i="1"/>
  <c r="W1726" i="1"/>
  <c r="A2601" i="1"/>
  <c r="D2601" i="1"/>
  <c r="F2601" i="1"/>
  <c r="H2601" i="1"/>
  <c r="I2601" i="1"/>
  <c r="L2601" i="1"/>
  <c r="M2601" i="1"/>
  <c r="V2601" i="1"/>
  <c r="W2601" i="1"/>
  <c r="A5941" i="1"/>
  <c r="D5941" i="1"/>
  <c r="F5941" i="1"/>
  <c r="H5941" i="1"/>
  <c r="I5941" i="1"/>
  <c r="L5941" i="1"/>
  <c r="M5941" i="1"/>
  <c r="V5941" i="1"/>
  <c r="W5941" i="1"/>
  <c r="A2371" i="1"/>
  <c r="D2371" i="1"/>
  <c r="F2371" i="1"/>
  <c r="H2371" i="1"/>
  <c r="I2371" i="1"/>
  <c r="L2371" i="1"/>
  <c r="M2371" i="1"/>
  <c r="V2371" i="1"/>
  <c r="W2371" i="1"/>
  <c r="A941" i="1"/>
  <c r="D941" i="1"/>
  <c r="F941" i="1"/>
  <c r="H941" i="1"/>
  <c r="I941" i="1"/>
  <c r="L941" i="1"/>
  <c r="M941" i="1"/>
  <c r="V941" i="1"/>
  <c r="W941" i="1"/>
  <c r="A1554" i="1"/>
  <c r="D1554" i="1"/>
  <c r="F1554" i="1"/>
  <c r="H1554" i="1"/>
  <c r="I1554" i="1"/>
  <c r="L1554" i="1"/>
  <c r="M1554" i="1"/>
  <c r="V1554" i="1"/>
  <c r="W1554" i="1"/>
  <c r="A3001" i="1"/>
  <c r="D3001" i="1"/>
  <c r="F3001" i="1"/>
  <c r="H3001" i="1"/>
  <c r="I3001" i="1"/>
  <c r="L3001" i="1"/>
  <c r="M3001" i="1"/>
  <c r="V3001" i="1"/>
  <c r="W3001" i="1"/>
  <c r="A2714" i="1"/>
  <c r="D2714" i="1"/>
  <c r="F2714" i="1"/>
  <c r="H2714" i="1"/>
  <c r="I2714" i="1"/>
  <c r="L2714" i="1"/>
  <c r="M2714" i="1"/>
  <c r="V2714" i="1"/>
  <c r="W2714" i="1"/>
  <c r="A3649" i="1"/>
  <c r="D3649" i="1"/>
  <c r="F3649" i="1"/>
  <c r="H3649" i="1"/>
  <c r="I3649" i="1"/>
  <c r="L3649" i="1"/>
  <c r="M3649" i="1"/>
  <c r="V3649" i="1"/>
  <c r="W3649" i="1"/>
  <c r="A790" i="1"/>
  <c r="D790" i="1"/>
  <c r="F790" i="1"/>
  <c r="H790" i="1"/>
  <c r="I790" i="1"/>
  <c r="L790" i="1"/>
  <c r="M790" i="1"/>
  <c r="V790" i="1"/>
  <c r="W790" i="1"/>
  <c r="A3045" i="1"/>
  <c r="D3045" i="1"/>
  <c r="F3045" i="1"/>
  <c r="H3045" i="1"/>
  <c r="I3045" i="1"/>
  <c r="L3045" i="1"/>
  <c r="M3045" i="1"/>
  <c r="V3045" i="1"/>
  <c r="W3045" i="1"/>
  <c r="A5427" i="1"/>
  <c r="D5427" i="1"/>
  <c r="F5427" i="1"/>
  <c r="H5427" i="1"/>
  <c r="I5427" i="1"/>
  <c r="L5427" i="1"/>
  <c r="M5427" i="1"/>
  <c r="V5427" i="1"/>
  <c r="W5427" i="1"/>
  <c r="A5378" i="1"/>
  <c r="D5378" i="1"/>
  <c r="F5378" i="1"/>
  <c r="H5378" i="1"/>
  <c r="I5378" i="1"/>
  <c r="L5378" i="1"/>
  <c r="M5378" i="1"/>
  <c r="V5378" i="1"/>
  <c r="W5378" i="1"/>
  <c r="A1213" i="1"/>
  <c r="D1213" i="1"/>
  <c r="F1213" i="1"/>
  <c r="H1213" i="1"/>
  <c r="I1213" i="1"/>
  <c r="L1213" i="1"/>
  <c r="M1213" i="1"/>
  <c r="V1213" i="1"/>
  <c r="W1213" i="1"/>
  <c r="A1224" i="1"/>
  <c r="D1224" i="1"/>
  <c r="F1224" i="1"/>
  <c r="H1224" i="1"/>
  <c r="I1224" i="1"/>
  <c r="L1224" i="1"/>
  <c r="M1224" i="1"/>
  <c r="V1224" i="1"/>
  <c r="W1224" i="1"/>
  <c r="A1283" i="1"/>
  <c r="D1283" i="1"/>
  <c r="F1283" i="1"/>
  <c r="H1283" i="1"/>
  <c r="I1283" i="1"/>
  <c r="L1283" i="1"/>
  <c r="M1283" i="1"/>
  <c r="V1283" i="1"/>
  <c r="W1283" i="1"/>
  <c r="A1309" i="1"/>
  <c r="D1309" i="1"/>
  <c r="F1309" i="1"/>
  <c r="H1309" i="1"/>
  <c r="I1309" i="1"/>
  <c r="L1309" i="1"/>
  <c r="M1309" i="1"/>
  <c r="V1309" i="1"/>
  <c r="W1309" i="1"/>
  <c r="A1342" i="1"/>
  <c r="D1342" i="1"/>
  <c r="F1342" i="1"/>
  <c r="H1342" i="1"/>
  <c r="I1342" i="1"/>
  <c r="L1342" i="1"/>
  <c r="M1342" i="1"/>
  <c r="V1342" i="1"/>
  <c r="W1342" i="1"/>
  <c r="A1222" i="1"/>
  <c r="D1222" i="1"/>
  <c r="F1222" i="1"/>
  <c r="H1222" i="1"/>
  <c r="I1222" i="1"/>
  <c r="L1222" i="1"/>
  <c r="M1222" i="1"/>
  <c r="V1222" i="1"/>
  <c r="W1222" i="1"/>
  <c r="A2003" i="1"/>
  <c r="D2003" i="1"/>
  <c r="F2003" i="1"/>
  <c r="H2003" i="1"/>
  <c r="I2003" i="1"/>
  <c r="L2003" i="1"/>
  <c r="M2003" i="1"/>
  <c r="V2003" i="1"/>
  <c r="W2003" i="1"/>
  <c r="A4899" i="1"/>
  <c r="D4899" i="1"/>
  <c r="F4899" i="1"/>
  <c r="H4899" i="1"/>
  <c r="I4899" i="1"/>
  <c r="L4899" i="1"/>
  <c r="M4899" i="1"/>
  <c r="V4899" i="1"/>
  <c r="W4899" i="1"/>
  <c r="A5014" i="1"/>
  <c r="D5014" i="1"/>
  <c r="F5014" i="1"/>
  <c r="H5014" i="1"/>
  <c r="I5014" i="1"/>
  <c r="L5014" i="1"/>
  <c r="M5014" i="1"/>
  <c r="V5014" i="1"/>
  <c r="W5014" i="1"/>
  <c r="A4900" i="1"/>
  <c r="D4900" i="1"/>
  <c r="F4900" i="1"/>
  <c r="H4900" i="1"/>
  <c r="I4900" i="1"/>
  <c r="L4900" i="1"/>
  <c r="M4900" i="1"/>
  <c r="V4900" i="1"/>
  <c r="W4900" i="1"/>
  <c r="A2685" i="1"/>
  <c r="D2685" i="1"/>
  <c r="F2685" i="1"/>
  <c r="H2685" i="1"/>
  <c r="I2685" i="1"/>
  <c r="L2685" i="1"/>
  <c r="M2685" i="1"/>
  <c r="V2685" i="1"/>
  <c r="W2685" i="1"/>
  <c r="A6" i="1"/>
  <c r="D6" i="1"/>
  <c r="F6" i="1"/>
  <c r="H6" i="1"/>
  <c r="I6" i="1"/>
  <c r="L6" i="1"/>
  <c r="M6" i="1"/>
  <c r="V6" i="1"/>
  <c r="W6" i="1"/>
  <c r="A296" i="1"/>
  <c r="D296" i="1"/>
  <c r="F296" i="1"/>
  <c r="H296" i="1"/>
  <c r="I296" i="1"/>
  <c r="L296" i="1"/>
  <c r="M296" i="1"/>
  <c r="V296" i="1"/>
  <c r="W296" i="1"/>
  <c r="A912" i="1"/>
  <c r="D912" i="1"/>
  <c r="F912" i="1"/>
  <c r="H912" i="1"/>
  <c r="I912" i="1"/>
  <c r="L912" i="1"/>
  <c r="M912" i="1"/>
  <c r="V912" i="1"/>
  <c r="W912" i="1"/>
  <c r="A1148" i="1"/>
  <c r="D1148" i="1"/>
  <c r="F1148" i="1"/>
  <c r="H1148" i="1"/>
  <c r="I1148" i="1"/>
  <c r="L1148" i="1"/>
  <c r="M1148" i="1"/>
  <c r="V1148" i="1"/>
  <c r="W1148" i="1"/>
  <c r="A2466" i="1"/>
  <c r="D2466" i="1"/>
  <c r="F2466" i="1"/>
  <c r="H2466" i="1"/>
  <c r="I2466" i="1"/>
  <c r="L2466" i="1"/>
  <c r="M2466" i="1"/>
  <c r="V2466" i="1"/>
  <c r="W2466" i="1"/>
  <c r="A2777" i="1"/>
  <c r="D2777" i="1"/>
  <c r="F2777" i="1"/>
  <c r="H2777" i="1"/>
  <c r="I2777" i="1"/>
  <c r="L2777" i="1"/>
  <c r="M2777" i="1"/>
  <c r="V2777" i="1"/>
  <c r="W2777" i="1"/>
  <c r="A2234" i="1"/>
  <c r="D2234" i="1"/>
  <c r="F2234" i="1"/>
  <c r="H2234" i="1"/>
  <c r="I2234" i="1"/>
  <c r="L2234" i="1"/>
  <c r="M2234" i="1"/>
  <c r="V2234" i="1"/>
  <c r="W2234" i="1"/>
  <c r="A75" i="1"/>
  <c r="D75" i="1"/>
  <c r="F75" i="1"/>
  <c r="H75" i="1"/>
  <c r="I75" i="1"/>
  <c r="L75" i="1"/>
  <c r="M75" i="1"/>
  <c r="V75" i="1"/>
  <c r="W75" i="1"/>
  <c r="A5141" i="1"/>
  <c r="D5141" i="1"/>
  <c r="F5141" i="1"/>
  <c r="H5141" i="1"/>
  <c r="I5141" i="1"/>
  <c r="L5141" i="1"/>
  <c r="M5141" i="1"/>
  <c r="V5141" i="1"/>
  <c r="W5141" i="1"/>
  <c r="A4951" i="1"/>
  <c r="D4951" i="1"/>
  <c r="F4951" i="1"/>
  <c r="H4951" i="1"/>
  <c r="I4951" i="1"/>
  <c r="L4951" i="1"/>
  <c r="M4951" i="1"/>
  <c r="V4951" i="1"/>
  <c r="W4951" i="1"/>
  <c r="A2377" i="1"/>
  <c r="D2377" i="1"/>
  <c r="F2377" i="1"/>
  <c r="H2377" i="1"/>
  <c r="I2377" i="1"/>
  <c r="L2377" i="1"/>
  <c r="M2377" i="1"/>
  <c r="V2377" i="1"/>
  <c r="W2377" i="1"/>
  <c r="A2741" i="1"/>
  <c r="D2741" i="1"/>
  <c r="F2741" i="1"/>
  <c r="H2741" i="1"/>
  <c r="I2741" i="1"/>
  <c r="L2741" i="1"/>
  <c r="M2741" i="1"/>
  <c r="V2741" i="1"/>
  <c r="W2741" i="1"/>
  <c r="A2980" i="1"/>
  <c r="D2980" i="1"/>
  <c r="F2980" i="1"/>
  <c r="H2980" i="1"/>
  <c r="I2980" i="1"/>
  <c r="L2980" i="1"/>
  <c r="M2980" i="1"/>
  <c r="V2980" i="1"/>
  <c r="W2980" i="1"/>
  <c r="A3270" i="1"/>
  <c r="D3270" i="1"/>
  <c r="F3270" i="1"/>
  <c r="H3270" i="1"/>
  <c r="I3270" i="1"/>
  <c r="L3270" i="1"/>
  <c r="M3270" i="1"/>
  <c r="V3270" i="1"/>
  <c r="W3270" i="1"/>
  <c r="A3833" i="1"/>
  <c r="D3833" i="1"/>
  <c r="F3833" i="1"/>
  <c r="H3833" i="1"/>
  <c r="I3833" i="1"/>
  <c r="L3833" i="1"/>
  <c r="M3833" i="1"/>
  <c r="V3833" i="1"/>
  <c r="W3833" i="1"/>
  <c r="A5525" i="1"/>
  <c r="D5525" i="1"/>
  <c r="F5525" i="1"/>
  <c r="H5525" i="1"/>
  <c r="I5525" i="1"/>
  <c r="L5525" i="1"/>
  <c r="M5525" i="1"/>
  <c r="V5525" i="1"/>
  <c r="W5525" i="1"/>
  <c r="A5586" i="1"/>
  <c r="D5586" i="1"/>
  <c r="F5586" i="1"/>
  <c r="H5586" i="1"/>
  <c r="I5586" i="1"/>
  <c r="L5586" i="1"/>
  <c r="M5586" i="1"/>
  <c r="V5586" i="1"/>
  <c r="W5586" i="1"/>
  <c r="A5732" i="1"/>
  <c r="D5732" i="1"/>
  <c r="F5732" i="1"/>
  <c r="H5732" i="1"/>
  <c r="I5732" i="1"/>
  <c r="L5732" i="1"/>
  <c r="M5732" i="1"/>
  <c r="V5732" i="1"/>
  <c r="W5732" i="1"/>
  <c r="A5859" i="1"/>
  <c r="D5859" i="1"/>
  <c r="F5859" i="1"/>
  <c r="H5859" i="1"/>
  <c r="I5859" i="1"/>
  <c r="L5859" i="1"/>
  <c r="M5859" i="1"/>
  <c r="V5859" i="1"/>
  <c r="W5859" i="1"/>
  <c r="A5202" i="1"/>
  <c r="D5202" i="1"/>
  <c r="F5202" i="1"/>
  <c r="H5202" i="1"/>
  <c r="I5202" i="1"/>
  <c r="L5202" i="1"/>
  <c r="M5202" i="1"/>
  <c r="V5202" i="1"/>
  <c r="W5202" i="1"/>
  <c r="A1581" i="1"/>
  <c r="D1581" i="1"/>
  <c r="F1581" i="1"/>
  <c r="H1581" i="1"/>
  <c r="I1581" i="1"/>
  <c r="L1581" i="1"/>
  <c r="M1581" i="1"/>
  <c r="V1581" i="1"/>
  <c r="W1581" i="1"/>
  <c r="A5048" i="1"/>
  <c r="D5048" i="1"/>
  <c r="F5048" i="1"/>
  <c r="H5048" i="1"/>
  <c r="I5048" i="1"/>
  <c r="L5048" i="1"/>
  <c r="M5048" i="1"/>
  <c r="V5048" i="1"/>
  <c r="W5048" i="1"/>
  <c r="A1062" i="1"/>
  <c r="D1062" i="1"/>
  <c r="F1062" i="1"/>
  <c r="H1062" i="1"/>
  <c r="I1062" i="1"/>
  <c r="L1062" i="1"/>
  <c r="M1062" i="1"/>
  <c r="V1062" i="1"/>
  <c r="W1062" i="1"/>
  <c r="A1630" i="1"/>
  <c r="D1630" i="1"/>
  <c r="F1630" i="1"/>
  <c r="H1630" i="1"/>
  <c r="I1630" i="1"/>
  <c r="L1630" i="1"/>
  <c r="M1630" i="1"/>
  <c r="V1630" i="1"/>
  <c r="W1630" i="1"/>
  <c r="A2027" i="1"/>
  <c r="D2027" i="1"/>
  <c r="F2027" i="1"/>
  <c r="H2027" i="1"/>
  <c r="I2027" i="1"/>
  <c r="L2027" i="1"/>
  <c r="M2027" i="1"/>
  <c r="V2027" i="1"/>
  <c r="W2027" i="1"/>
  <c r="A3018" i="1"/>
  <c r="D3018" i="1"/>
  <c r="F3018" i="1"/>
  <c r="H3018" i="1"/>
  <c r="I3018" i="1"/>
  <c r="L3018" i="1"/>
  <c r="M3018" i="1"/>
  <c r="V3018" i="1"/>
  <c r="W3018" i="1"/>
  <c r="A4626" i="1"/>
  <c r="D4626" i="1"/>
  <c r="F4626" i="1"/>
  <c r="H4626" i="1"/>
  <c r="I4626" i="1"/>
  <c r="L4626" i="1"/>
  <c r="M4626" i="1"/>
  <c r="V4626" i="1"/>
  <c r="W4626" i="1"/>
  <c r="A5206" i="1"/>
  <c r="D5206" i="1"/>
  <c r="F5206" i="1"/>
  <c r="H5206" i="1"/>
  <c r="I5206" i="1"/>
  <c r="L5206" i="1"/>
  <c r="M5206" i="1"/>
  <c r="V5206" i="1"/>
  <c r="W5206" i="1"/>
  <c r="A5089" i="1"/>
  <c r="D5089" i="1"/>
  <c r="F5089" i="1"/>
  <c r="H5089" i="1"/>
  <c r="I5089" i="1"/>
  <c r="L5089" i="1"/>
  <c r="M5089" i="1"/>
  <c r="V5089" i="1"/>
  <c r="W5089" i="1"/>
  <c r="A1152" i="1"/>
  <c r="D1152" i="1"/>
  <c r="F1152" i="1"/>
  <c r="H1152" i="1"/>
  <c r="I1152" i="1"/>
  <c r="L1152" i="1"/>
  <c r="M1152" i="1"/>
  <c r="V1152" i="1"/>
  <c r="W1152" i="1"/>
  <c r="A4712" i="1"/>
  <c r="D4712" i="1"/>
  <c r="F4712" i="1"/>
  <c r="H4712" i="1"/>
  <c r="I4712" i="1"/>
  <c r="L4712" i="1"/>
  <c r="M4712" i="1"/>
  <c r="V4712" i="1"/>
  <c r="W4712" i="1"/>
  <c r="A3427" i="1"/>
  <c r="D3427" i="1"/>
  <c r="F3427" i="1"/>
  <c r="H3427" i="1"/>
  <c r="I3427" i="1"/>
  <c r="L3427" i="1"/>
  <c r="M3427" i="1"/>
  <c r="V3427" i="1"/>
  <c r="W3427" i="1"/>
  <c r="A4057" i="1"/>
  <c r="D4057" i="1"/>
  <c r="F4057" i="1"/>
  <c r="H4057" i="1"/>
  <c r="I4057" i="1"/>
  <c r="L4057" i="1"/>
  <c r="M4057" i="1"/>
  <c r="V4057" i="1"/>
  <c r="W4057" i="1"/>
  <c r="A4084" i="1"/>
  <c r="D4084" i="1"/>
  <c r="F4084" i="1"/>
  <c r="H4084" i="1"/>
  <c r="I4084" i="1"/>
  <c r="L4084" i="1"/>
  <c r="M4084" i="1"/>
  <c r="V4084" i="1"/>
  <c r="W4084" i="1"/>
  <c r="A4215" i="1"/>
  <c r="D4215" i="1"/>
  <c r="F4215" i="1"/>
  <c r="H4215" i="1"/>
  <c r="I4215" i="1"/>
  <c r="L4215" i="1"/>
  <c r="M4215" i="1"/>
  <c r="V4215" i="1"/>
  <c r="W4215" i="1"/>
  <c r="A3987" i="1"/>
  <c r="D3987" i="1"/>
  <c r="F3987" i="1"/>
  <c r="H3987" i="1"/>
  <c r="I3987" i="1"/>
  <c r="L3987" i="1"/>
  <c r="M3987" i="1"/>
  <c r="V3987" i="1"/>
  <c r="W3987" i="1"/>
  <c r="A277" i="1"/>
  <c r="D277" i="1"/>
  <c r="F277" i="1"/>
  <c r="H277" i="1"/>
  <c r="I277" i="1"/>
  <c r="L277" i="1"/>
  <c r="M277" i="1"/>
  <c r="V277" i="1"/>
  <c r="W277" i="1"/>
  <c r="A1798" i="1"/>
  <c r="D1798" i="1"/>
  <c r="F1798" i="1"/>
  <c r="H1798" i="1"/>
  <c r="I1798" i="1"/>
  <c r="L1798" i="1"/>
  <c r="M1798" i="1"/>
  <c r="V1798" i="1"/>
  <c r="W1798" i="1"/>
  <c r="A3679" i="1"/>
  <c r="D3679" i="1"/>
  <c r="F3679" i="1"/>
  <c r="H3679" i="1"/>
  <c r="I3679" i="1"/>
  <c r="L3679" i="1"/>
  <c r="M3679" i="1"/>
  <c r="V3679" i="1"/>
  <c r="W3679" i="1"/>
  <c r="A4299" i="1"/>
  <c r="D4299" i="1"/>
  <c r="F4299" i="1"/>
  <c r="H4299" i="1"/>
  <c r="I4299" i="1"/>
  <c r="L4299" i="1"/>
  <c r="M4299" i="1"/>
  <c r="V4299" i="1"/>
  <c r="W4299" i="1"/>
  <c r="A5000" i="1"/>
  <c r="D5000" i="1"/>
  <c r="F5000" i="1"/>
  <c r="H5000" i="1"/>
  <c r="I5000" i="1"/>
  <c r="L5000" i="1"/>
  <c r="M5000" i="1"/>
  <c r="V5000" i="1"/>
  <c r="W5000" i="1"/>
  <c r="A5409" i="1"/>
  <c r="D5409" i="1"/>
  <c r="F5409" i="1"/>
  <c r="H5409" i="1"/>
  <c r="I5409" i="1"/>
  <c r="L5409" i="1"/>
  <c r="M5409" i="1"/>
  <c r="V5409" i="1"/>
  <c r="W5409" i="1"/>
  <c r="A2164" i="1"/>
  <c r="D2164" i="1"/>
  <c r="F2164" i="1"/>
  <c r="H2164" i="1"/>
  <c r="I2164" i="1"/>
  <c r="L2164" i="1"/>
  <c r="M2164" i="1"/>
  <c r="V2164" i="1"/>
  <c r="W2164" i="1"/>
  <c r="A2206" i="1"/>
  <c r="D2206" i="1"/>
  <c r="F2206" i="1"/>
  <c r="H2206" i="1"/>
  <c r="I2206" i="1"/>
  <c r="L2206" i="1"/>
  <c r="M2206" i="1"/>
  <c r="V2206" i="1"/>
  <c r="W2206" i="1"/>
  <c r="A1500" i="1"/>
  <c r="D1500" i="1"/>
  <c r="F1500" i="1"/>
  <c r="H1500" i="1"/>
  <c r="I1500" i="1"/>
  <c r="L1500" i="1"/>
  <c r="M1500" i="1"/>
  <c r="V1500" i="1"/>
  <c r="W1500" i="1"/>
  <c r="A5072" i="1"/>
  <c r="D5072" i="1"/>
  <c r="F5072" i="1"/>
  <c r="H5072" i="1"/>
  <c r="I5072" i="1"/>
  <c r="L5072" i="1"/>
  <c r="M5072" i="1"/>
  <c r="V5072" i="1"/>
  <c r="W5072" i="1"/>
  <c r="A1963" i="1"/>
  <c r="D1963" i="1"/>
  <c r="F1963" i="1"/>
  <c r="H1963" i="1"/>
  <c r="I1963" i="1"/>
  <c r="L1963" i="1"/>
  <c r="M1963" i="1"/>
  <c r="V1963" i="1"/>
  <c r="W1963" i="1"/>
  <c r="A5152" i="1"/>
  <c r="D5152" i="1"/>
  <c r="F5152" i="1"/>
  <c r="H5152" i="1"/>
  <c r="I5152" i="1"/>
  <c r="L5152" i="1"/>
  <c r="M5152" i="1"/>
  <c r="V5152" i="1"/>
  <c r="W5152" i="1"/>
  <c r="A1810" i="1"/>
  <c r="D1810" i="1"/>
  <c r="F1810" i="1"/>
  <c r="H1810" i="1"/>
  <c r="I1810" i="1"/>
  <c r="L1810" i="1"/>
  <c r="M1810" i="1"/>
  <c r="V1810" i="1"/>
  <c r="W1810" i="1"/>
  <c r="A4279" i="1"/>
  <c r="D4279" i="1"/>
  <c r="F4279" i="1"/>
  <c r="H4279" i="1"/>
  <c r="I4279" i="1"/>
  <c r="L4279" i="1"/>
  <c r="M4279" i="1"/>
  <c r="V4279" i="1"/>
  <c r="W4279" i="1"/>
  <c r="A866" i="1"/>
  <c r="D866" i="1"/>
  <c r="F866" i="1"/>
  <c r="H866" i="1"/>
  <c r="I866" i="1"/>
  <c r="L866" i="1"/>
  <c r="M866" i="1"/>
  <c r="V866" i="1"/>
  <c r="W866" i="1"/>
  <c r="A6121" i="1"/>
  <c r="D6121" i="1"/>
  <c r="F6121" i="1"/>
  <c r="H6121" i="1"/>
  <c r="I6121" i="1"/>
  <c r="L6121" i="1"/>
  <c r="M6121" i="1"/>
  <c r="V6121" i="1"/>
  <c r="W6121" i="1"/>
  <c r="A2240" i="1"/>
  <c r="D2240" i="1"/>
  <c r="F2240" i="1"/>
  <c r="H2240" i="1"/>
  <c r="I2240" i="1"/>
  <c r="L2240" i="1"/>
  <c r="M2240" i="1"/>
  <c r="V2240" i="1"/>
  <c r="W2240" i="1"/>
  <c r="A1859" i="1"/>
  <c r="D1859" i="1"/>
  <c r="F1859" i="1"/>
  <c r="H1859" i="1"/>
  <c r="I1859" i="1"/>
  <c r="L1859" i="1"/>
  <c r="M1859" i="1"/>
  <c r="V1859" i="1"/>
  <c r="W1859" i="1"/>
  <c r="A3930" i="1"/>
  <c r="D3930" i="1"/>
  <c r="F3930" i="1"/>
  <c r="H3930" i="1"/>
  <c r="I3930" i="1"/>
  <c r="L3930" i="1"/>
  <c r="M3930" i="1"/>
  <c r="V3930" i="1"/>
  <c r="W3930" i="1"/>
  <c r="A4148" i="1"/>
  <c r="D4148" i="1"/>
  <c r="F4148" i="1"/>
  <c r="H4148" i="1"/>
  <c r="I4148" i="1"/>
  <c r="L4148" i="1"/>
  <c r="M4148" i="1"/>
  <c r="V4148" i="1"/>
  <c r="W4148" i="1"/>
  <c r="A1462" i="1"/>
  <c r="D1462" i="1"/>
  <c r="F1462" i="1"/>
  <c r="H1462" i="1"/>
  <c r="I1462" i="1"/>
  <c r="L1462" i="1"/>
  <c r="M1462" i="1"/>
  <c r="V1462" i="1"/>
  <c r="W1462" i="1"/>
  <c r="A1295" i="1"/>
  <c r="D1295" i="1"/>
  <c r="F1295" i="1"/>
  <c r="H1295" i="1"/>
  <c r="I1295" i="1"/>
  <c r="L1295" i="1"/>
  <c r="M1295" i="1"/>
  <c r="V1295" i="1"/>
  <c r="W1295" i="1"/>
  <c r="A1600" i="1"/>
  <c r="D1600" i="1"/>
  <c r="F1600" i="1"/>
  <c r="H1600" i="1"/>
  <c r="I1600" i="1"/>
  <c r="L1600" i="1"/>
  <c r="M1600" i="1"/>
  <c r="V1600" i="1"/>
  <c r="W1600" i="1"/>
  <c r="A1635" i="1"/>
  <c r="D1635" i="1"/>
  <c r="F1635" i="1"/>
  <c r="H1635" i="1"/>
  <c r="I1635" i="1"/>
  <c r="L1635" i="1"/>
  <c r="M1635" i="1"/>
  <c r="V1635" i="1"/>
  <c r="W1635" i="1"/>
  <c r="A3742" i="1"/>
  <c r="D3742" i="1"/>
  <c r="F3742" i="1"/>
  <c r="H3742" i="1"/>
  <c r="I3742" i="1"/>
  <c r="L3742" i="1"/>
  <c r="M3742" i="1"/>
  <c r="V3742" i="1"/>
  <c r="W3742" i="1"/>
  <c r="A4384" i="1"/>
  <c r="D4384" i="1"/>
  <c r="F4384" i="1"/>
  <c r="H4384" i="1"/>
  <c r="I4384" i="1"/>
  <c r="L4384" i="1"/>
  <c r="M4384" i="1"/>
  <c r="V4384" i="1"/>
  <c r="W4384" i="1"/>
  <c r="A3281" i="1"/>
  <c r="D3281" i="1"/>
  <c r="F3281" i="1"/>
  <c r="H3281" i="1"/>
  <c r="I3281" i="1"/>
  <c r="L3281" i="1"/>
  <c r="M3281" i="1"/>
  <c r="V3281" i="1"/>
  <c r="W3281" i="1"/>
  <c r="A4835" i="1"/>
  <c r="D4835" i="1"/>
  <c r="F4835" i="1"/>
  <c r="H4835" i="1"/>
  <c r="I4835" i="1"/>
  <c r="L4835" i="1"/>
  <c r="M4835" i="1"/>
  <c r="V4835" i="1"/>
  <c r="W4835" i="1"/>
  <c r="A3077" i="1"/>
  <c r="D3077" i="1"/>
  <c r="F3077" i="1"/>
  <c r="H3077" i="1"/>
  <c r="I3077" i="1"/>
  <c r="L3077" i="1"/>
  <c r="M3077" i="1"/>
  <c r="V3077" i="1"/>
  <c r="W3077" i="1"/>
  <c r="A4818" i="1"/>
  <c r="D4818" i="1"/>
  <c r="F4818" i="1"/>
  <c r="H4818" i="1"/>
  <c r="I4818" i="1"/>
  <c r="L4818" i="1"/>
  <c r="M4818" i="1"/>
  <c r="V4818" i="1"/>
  <c r="W4818" i="1"/>
  <c r="A5117" i="1"/>
  <c r="D5117" i="1"/>
  <c r="F5117" i="1"/>
  <c r="H5117" i="1"/>
  <c r="I5117" i="1"/>
  <c r="L5117" i="1"/>
  <c r="M5117" i="1"/>
  <c r="V5117" i="1"/>
  <c r="W5117" i="1"/>
  <c r="A5147" i="1"/>
  <c r="D5147" i="1"/>
  <c r="F5147" i="1"/>
  <c r="H5147" i="1"/>
  <c r="I5147" i="1"/>
  <c r="L5147" i="1"/>
  <c r="M5147" i="1"/>
  <c r="V5147" i="1"/>
  <c r="W5147" i="1"/>
  <c r="A5237" i="1"/>
  <c r="D5237" i="1"/>
  <c r="F5237" i="1"/>
  <c r="H5237" i="1"/>
  <c r="I5237" i="1"/>
  <c r="L5237" i="1"/>
  <c r="M5237" i="1"/>
  <c r="V5237" i="1"/>
  <c r="W5237" i="1"/>
  <c r="A885" i="1"/>
  <c r="D885" i="1"/>
  <c r="F885" i="1"/>
  <c r="H885" i="1"/>
  <c r="I885" i="1"/>
  <c r="L885" i="1"/>
  <c r="M885" i="1"/>
  <c r="V885" i="1"/>
  <c r="W885" i="1"/>
  <c r="A999" i="1"/>
  <c r="D999" i="1"/>
  <c r="F999" i="1"/>
  <c r="H999" i="1"/>
  <c r="I999" i="1"/>
  <c r="L999" i="1"/>
  <c r="M999" i="1"/>
  <c r="V999" i="1"/>
  <c r="W999" i="1"/>
  <c r="A1517" i="1"/>
  <c r="D1517" i="1"/>
  <c r="F1517" i="1"/>
  <c r="H1517" i="1"/>
  <c r="I1517" i="1"/>
  <c r="L1517" i="1"/>
  <c r="M1517" i="1"/>
  <c r="V1517" i="1"/>
  <c r="W1517" i="1"/>
  <c r="A1806" i="1"/>
  <c r="D1806" i="1"/>
  <c r="F1806" i="1"/>
  <c r="H1806" i="1"/>
  <c r="I1806" i="1"/>
  <c r="L1806" i="1"/>
  <c r="M1806" i="1"/>
  <c r="V1806" i="1"/>
  <c r="W1806" i="1"/>
  <c r="A1826" i="1"/>
  <c r="D1826" i="1"/>
  <c r="F1826" i="1"/>
  <c r="H1826" i="1"/>
  <c r="I1826" i="1"/>
  <c r="L1826" i="1"/>
  <c r="M1826" i="1"/>
  <c r="V1826" i="1"/>
  <c r="W1826" i="1"/>
  <c r="A2707" i="1"/>
  <c r="D2707" i="1"/>
  <c r="F2707" i="1"/>
  <c r="H2707" i="1"/>
  <c r="I2707" i="1"/>
  <c r="L2707" i="1"/>
  <c r="M2707" i="1"/>
  <c r="V2707" i="1"/>
  <c r="W2707" i="1"/>
  <c r="A2725" i="1"/>
  <c r="D2725" i="1"/>
  <c r="F2725" i="1"/>
  <c r="H2725" i="1"/>
  <c r="I2725" i="1"/>
  <c r="L2725" i="1"/>
  <c r="M2725" i="1"/>
  <c r="V2725" i="1"/>
  <c r="W2725" i="1"/>
  <c r="A3242" i="1"/>
  <c r="D3242" i="1"/>
  <c r="F3242" i="1"/>
  <c r="H3242" i="1"/>
  <c r="I3242" i="1"/>
  <c r="L3242" i="1"/>
  <c r="M3242" i="1"/>
  <c r="V3242" i="1"/>
  <c r="W3242" i="1"/>
  <c r="A3591" i="1"/>
  <c r="D3591" i="1"/>
  <c r="F3591" i="1"/>
  <c r="H3591" i="1"/>
  <c r="I3591" i="1"/>
  <c r="L3591" i="1"/>
  <c r="M3591" i="1"/>
  <c r="V3591" i="1"/>
  <c r="W3591" i="1"/>
  <c r="A3756" i="1"/>
  <c r="D3756" i="1"/>
  <c r="F3756" i="1"/>
  <c r="H3756" i="1"/>
  <c r="I3756" i="1"/>
  <c r="L3756" i="1"/>
  <c r="M3756" i="1"/>
  <c r="V3756" i="1"/>
  <c r="W3756" i="1"/>
  <c r="A4417" i="1"/>
  <c r="D4417" i="1"/>
  <c r="F4417" i="1"/>
  <c r="H4417" i="1"/>
  <c r="I4417" i="1"/>
  <c r="L4417" i="1"/>
  <c r="M4417" i="1"/>
  <c r="V4417" i="1"/>
  <c r="W4417" i="1"/>
  <c r="A4421" i="1"/>
  <c r="D4421" i="1"/>
  <c r="F4421" i="1"/>
  <c r="H4421" i="1"/>
  <c r="I4421" i="1"/>
  <c r="L4421" i="1"/>
  <c r="M4421" i="1"/>
  <c r="V4421" i="1"/>
  <c r="W4421" i="1"/>
  <c r="A4667" i="1"/>
  <c r="D4667" i="1"/>
  <c r="F4667" i="1"/>
  <c r="H4667" i="1"/>
  <c r="I4667" i="1"/>
  <c r="L4667" i="1"/>
  <c r="M4667" i="1"/>
  <c r="V4667" i="1"/>
  <c r="W4667" i="1"/>
  <c r="A4809" i="1"/>
  <c r="D4809" i="1"/>
  <c r="F4809" i="1"/>
  <c r="H4809" i="1"/>
  <c r="I4809" i="1"/>
  <c r="L4809" i="1"/>
  <c r="M4809" i="1"/>
  <c r="V4809" i="1"/>
  <c r="W4809" i="1"/>
  <c r="A4961" i="1"/>
  <c r="D4961" i="1"/>
  <c r="F4961" i="1"/>
  <c r="H4961" i="1"/>
  <c r="I4961" i="1"/>
  <c r="L4961" i="1"/>
  <c r="M4961" i="1"/>
  <c r="V4961" i="1"/>
  <c r="W4961" i="1"/>
  <c r="A4984" i="1"/>
  <c r="D4984" i="1"/>
  <c r="F4984" i="1"/>
  <c r="H4984" i="1"/>
  <c r="I4984" i="1"/>
  <c r="L4984" i="1"/>
  <c r="M4984" i="1"/>
  <c r="V4984" i="1"/>
  <c r="W4984" i="1"/>
  <c r="A5478" i="1"/>
  <c r="D5478" i="1"/>
  <c r="F5478" i="1"/>
  <c r="H5478" i="1"/>
  <c r="I5478" i="1"/>
  <c r="L5478" i="1"/>
  <c r="M5478" i="1"/>
  <c r="V5478" i="1"/>
  <c r="W5478" i="1"/>
  <c r="A5570" i="1"/>
  <c r="D5570" i="1"/>
  <c r="F5570" i="1"/>
  <c r="H5570" i="1"/>
  <c r="I5570" i="1"/>
  <c r="L5570" i="1"/>
  <c r="M5570" i="1"/>
  <c r="V5570" i="1"/>
  <c r="W5570" i="1"/>
  <c r="A5780" i="1"/>
  <c r="D5780" i="1"/>
  <c r="F5780" i="1"/>
  <c r="H5780" i="1"/>
  <c r="I5780" i="1"/>
  <c r="L5780" i="1"/>
  <c r="M5780" i="1"/>
  <c r="V5780" i="1"/>
  <c r="W5780" i="1"/>
  <c r="A5830" i="1"/>
  <c r="D5830" i="1"/>
  <c r="F5830" i="1"/>
  <c r="H5830" i="1"/>
  <c r="I5830" i="1"/>
  <c r="L5830" i="1"/>
  <c r="M5830" i="1"/>
  <c r="V5830" i="1"/>
  <c r="W5830" i="1"/>
  <c r="A5972" i="1"/>
  <c r="D5972" i="1"/>
  <c r="F5972" i="1"/>
  <c r="H5972" i="1"/>
  <c r="I5972" i="1"/>
  <c r="L5972" i="1"/>
  <c r="M5972" i="1"/>
  <c r="V5972" i="1"/>
  <c r="W5972" i="1"/>
  <c r="A6217" i="1"/>
  <c r="D6217" i="1"/>
  <c r="F6217" i="1"/>
  <c r="H6217" i="1"/>
  <c r="I6217" i="1"/>
  <c r="L6217" i="1"/>
  <c r="M6217" i="1"/>
  <c r="V6217" i="1"/>
  <c r="W6217" i="1"/>
  <c r="A1642" i="1"/>
  <c r="D1642" i="1"/>
  <c r="F1642" i="1"/>
  <c r="H1642" i="1"/>
  <c r="I1642" i="1"/>
  <c r="L1642" i="1"/>
  <c r="M1642" i="1"/>
  <c r="V1642" i="1"/>
  <c r="W1642" i="1"/>
  <c r="A406" i="1"/>
  <c r="D406" i="1"/>
  <c r="F406" i="1"/>
  <c r="H406" i="1"/>
  <c r="I406" i="1"/>
  <c r="L406" i="1"/>
  <c r="M406" i="1"/>
  <c r="V406" i="1"/>
  <c r="W406" i="1"/>
  <c r="A586" i="1"/>
  <c r="D586" i="1"/>
  <c r="F586" i="1"/>
  <c r="H586" i="1"/>
  <c r="I586" i="1"/>
  <c r="L586" i="1"/>
  <c r="M586" i="1"/>
  <c r="V586" i="1"/>
  <c r="W586" i="1"/>
  <c r="A1534" i="1"/>
  <c r="D1534" i="1"/>
  <c r="F1534" i="1"/>
  <c r="H1534" i="1"/>
  <c r="I1534" i="1"/>
  <c r="L1534" i="1"/>
  <c r="M1534" i="1"/>
  <c r="V1534" i="1"/>
  <c r="W1534" i="1"/>
  <c r="A248" i="1"/>
  <c r="D248" i="1"/>
  <c r="F248" i="1"/>
  <c r="H248" i="1"/>
  <c r="I248" i="1"/>
  <c r="L248" i="1"/>
  <c r="M248" i="1"/>
  <c r="V248" i="1"/>
  <c r="W248" i="1"/>
  <c r="A1864" i="1"/>
  <c r="D1864" i="1"/>
  <c r="F1864" i="1"/>
  <c r="H1864" i="1"/>
  <c r="I1864" i="1"/>
  <c r="L1864" i="1"/>
  <c r="M1864" i="1"/>
  <c r="V1864" i="1"/>
  <c r="W1864" i="1"/>
  <c r="A2598" i="1"/>
  <c r="D2598" i="1"/>
  <c r="F2598" i="1"/>
  <c r="H2598" i="1"/>
  <c r="I2598" i="1"/>
  <c r="L2598" i="1"/>
  <c r="M2598" i="1"/>
  <c r="V2598" i="1"/>
  <c r="W2598" i="1"/>
  <c r="A3727" i="1"/>
  <c r="D3727" i="1"/>
  <c r="F3727" i="1"/>
  <c r="H3727" i="1"/>
  <c r="I3727" i="1"/>
  <c r="L3727" i="1"/>
  <c r="M3727" i="1"/>
  <c r="V3727" i="1"/>
  <c r="W3727" i="1"/>
  <c r="A2313" i="1"/>
  <c r="D2313" i="1"/>
  <c r="F2313" i="1"/>
  <c r="H2313" i="1"/>
  <c r="I2313" i="1"/>
  <c r="L2313" i="1"/>
  <c r="M2313" i="1"/>
  <c r="V2313" i="1"/>
  <c r="W2313" i="1"/>
  <c r="A3393" i="1"/>
  <c r="D3393" i="1"/>
  <c r="F3393" i="1"/>
  <c r="H3393" i="1"/>
  <c r="I3393" i="1"/>
  <c r="L3393" i="1"/>
  <c r="M3393" i="1"/>
  <c r="V3393" i="1"/>
  <c r="W3393" i="1"/>
  <c r="A3482" i="1"/>
  <c r="D3482" i="1"/>
  <c r="F3482" i="1"/>
  <c r="H3482" i="1"/>
  <c r="I3482" i="1"/>
  <c r="L3482" i="1"/>
  <c r="M3482" i="1"/>
  <c r="V3482" i="1"/>
  <c r="W3482" i="1"/>
  <c r="A1166" i="1"/>
  <c r="D1166" i="1"/>
  <c r="F1166" i="1"/>
  <c r="H1166" i="1"/>
  <c r="I1166" i="1"/>
  <c r="L1166" i="1"/>
  <c r="M1166" i="1"/>
  <c r="V1166" i="1"/>
  <c r="W1166" i="1"/>
  <c r="A1176" i="1"/>
  <c r="D1176" i="1"/>
  <c r="F1176" i="1"/>
  <c r="H1176" i="1"/>
  <c r="I1176" i="1"/>
  <c r="L1176" i="1"/>
  <c r="M1176" i="1"/>
  <c r="V1176" i="1"/>
  <c r="W1176" i="1"/>
  <c r="A1871" i="1"/>
  <c r="D1871" i="1"/>
  <c r="F1871" i="1"/>
  <c r="H1871" i="1"/>
  <c r="I1871" i="1"/>
  <c r="L1871" i="1"/>
  <c r="M1871" i="1"/>
  <c r="V1871" i="1"/>
  <c r="W1871" i="1"/>
  <c r="A2314" i="1"/>
  <c r="D2314" i="1"/>
  <c r="F2314" i="1"/>
  <c r="H2314" i="1"/>
  <c r="I2314" i="1"/>
  <c r="L2314" i="1"/>
  <c r="M2314" i="1"/>
  <c r="V2314" i="1"/>
  <c r="W2314" i="1"/>
  <c r="A2583" i="1"/>
  <c r="D2583" i="1"/>
  <c r="F2583" i="1"/>
  <c r="H2583" i="1"/>
  <c r="I2583" i="1"/>
  <c r="L2583" i="1"/>
  <c r="M2583" i="1"/>
  <c r="V2583" i="1"/>
  <c r="W2583" i="1"/>
  <c r="A2529" i="1"/>
  <c r="D2529" i="1"/>
  <c r="F2529" i="1"/>
  <c r="H2529" i="1"/>
  <c r="I2529" i="1"/>
  <c r="L2529" i="1"/>
  <c r="M2529" i="1"/>
  <c r="V2529" i="1"/>
  <c r="W2529" i="1"/>
  <c r="A1097" i="1"/>
  <c r="D1097" i="1"/>
  <c r="F1097" i="1"/>
  <c r="H1097" i="1"/>
  <c r="I1097" i="1"/>
  <c r="L1097" i="1"/>
  <c r="M1097" i="1"/>
  <c r="V1097" i="1"/>
  <c r="W1097" i="1"/>
  <c r="A2182" i="1"/>
  <c r="D2182" i="1"/>
  <c r="F2182" i="1"/>
  <c r="H2182" i="1"/>
  <c r="I2182" i="1"/>
  <c r="L2182" i="1"/>
  <c r="M2182" i="1"/>
  <c r="V2182" i="1"/>
  <c r="W2182" i="1"/>
  <c r="A3961" i="1"/>
  <c r="D3961" i="1"/>
  <c r="F3961" i="1"/>
  <c r="H3961" i="1"/>
  <c r="I3961" i="1"/>
  <c r="L3961" i="1"/>
  <c r="M3961" i="1"/>
  <c r="V3961" i="1"/>
  <c r="W3961" i="1"/>
  <c r="A3416" i="1"/>
  <c r="D3416" i="1"/>
  <c r="F3416" i="1"/>
  <c r="H3416" i="1"/>
  <c r="I3416" i="1"/>
  <c r="L3416" i="1"/>
  <c r="M3416" i="1"/>
  <c r="V3416" i="1"/>
  <c r="W3416" i="1"/>
  <c r="A3816" i="1"/>
  <c r="D3816" i="1"/>
  <c r="F3816" i="1"/>
  <c r="H3816" i="1"/>
  <c r="I3816" i="1"/>
  <c r="L3816" i="1"/>
  <c r="M3816" i="1"/>
  <c r="V3816" i="1"/>
  <c r="W3816" i="1"/>
  <c r="A4950" i="1"/>
  <c r="D4950" i="1"/>
  <c r="F4950" i="1"/>
  <c r="H4950" i="1"/>
  <c r="I4950" i="1"/>
  <c r="L4950" i="1"/>
  <c r="M4950" i="1"/>
  <c r="V4950" i="1"/>
  <c r="W4950" i="1"/>
  <c r="A3275" i="1"/>
  <c r="D3275" i="1"/>
  <c r="F3275" i="1"/>
  <c r="H3275" i="1"/>
  <c r="I3275" i="1"/>
  <c r="L3275" i="1"/>
  <c r="M3275" i="1"/>
  <c r="V3275" i="1"/>
  <c r="W3275" i="1"/>
  <c r="A3479" i="1"/>
  <c r="D3479" i="1"/>
  <c r="F3479" i="1"/>
  <c r="H3479" i="1"/>
  <c r="I3479" i="1"/>
  <c r="L3479" i="1"/>
  <c r="M3479" i="1"/>
  <c r="V3479" i="1"/>
  <c r="W3479" i="1"/>
  <c r="A825" i="1"/>
  <c r="D825" i="1"/>
  <c r="F825" i="1"/>
  <c r="H825" i="1"/>
  <c r="I825" i="1"/>
  <c r="L825" i="1"/>
  <c r="M825" i="1"/>
  <c r="V825" i="1"/>
  <c r="W825" i="1"/>
  <c r="A5521" i="1"/>
  <c r="D5521" i="1"/>
  <c r="F5521" i="1"/>
  <c r="H5521" i="1"/>
  <c r="I5521" i="1"/>
  <c r="L5521" i="1"/>
  <c r="M5521" i="1"/>
  <c r="V5521" i="1"/>
  <c r="W5521" i="1"/>
  <c r="A5578" i="1"/>
  <c r="D5578" i="1"/>
  <c r="F5578" i="1"/>
  <c r="H5578" i="1"/>
  <c r="I5578" i="1"/>
  <c r="L5578" i="1"/>
  <c r="M5578" i="1"/>
  <c r="V5578" i="1"/>
  <c r="W5578" i="1"/>
  <c r="A5726" i="1"/>
  <c r="D5726" i="1"/>
  <c r="F5726" i="1"/>
  <c r="H5726" i="1"/>
  <c r="I5726" i="1"/>
  <c r="L5726" i="1"/>
  <c r="M5726" i="1"/>
  <c r="V5726" i="1"/>
  <c r="W5726" i="1"/>
  <c r="A5852" i="1"/>
  <c r="D5852" i="1"/>
  <c r="F5852" i="1"/>
  <c r="H5852" i="1"/>
  <c r="I5852" i="1"/>
  <c r="L5852" i="1"/>
  <c r="M5852" i="1"/>
  <c r="V5852" i="1"/>
  <c r="W5852" i="1"/>
  <c r="A6001" i="1"/>
  <c r="D6001" i="1"/>
  <c r="F6001" i="1"/>
  <c r="H6001" i="1"/>
  <c r="I6001" i="1"/>
  <c r="L6001" i="1"/>
  <c r="M6001" i="1"/>
  <c r="V6001" i="1"/>
  <c r="W6001" i="1"/>
  <c r="A3176" i="1"/>
  <c r="D3176" i="1"/>
  <c r="F3176" i="1"/>
  <c r="H3176" i="1"/>
  <c r="I3176" i="1"/>
  <c r="L3176" i="1"/>
  <c r="M3176" i="1"/>
  <c r="V3176" i="1"/>
  <c r="W3176" i="1"/>
  <c r="A2287" i="1"/>
  <c r="D2287" i="1"/>
  <c r="F2287" i="1"/>
  <c r="H2287" i="1"/>
  <c r="I2287" i="1"/>
  <c r="L2287" i="1"/>
  <c r="M2287" i="1"/>
  <c r="V2287" i="1"/>
  <c r="W2287" i="1"/>
  <c r="A2265" i="1"/>
  <c r="D2265" i="1"/>
  <c r="F2265" i="1"/>
  <c r="H2265" i="1"/>
  <c r="I2265" i="1"/>
  <c r="L2265" i="1"/>
  <c r="M2265" i="1"/>
  <c r="V2265" i="1"/>
  <c r="W2265" i="1"/>
  <c r="A5339" i="1"/>
  <c r="D5339" i="1"/>
  <c r="F5339" i="1"/>
  <c r="H5339" i="1"/>
  <c r="I5339" i="1"/>
  <c r="L5339" i="1"/>
  <c r="M5339" i="1"/>
  <c r="V5339" i="1"/>
  <c r="W5339" i="1"/>
  <c r="A244" i="1"/>
  <c r="D244" i="1"/>
  <c r="F244" i="1"/>
  <c r="H244" i="1"/>
  <c r="I244" i="1"/>
  <c r="L244" i="1"/>
  <c r="M244" i="1"/>
  <c r="V244" i="1"/>
  <c r="W244" i="1"/>
  <c r="A19" i="1"/>
  <c r="D19" i="1"/>
  <c r="F19" i="1"/>
  <c r="H19" i="1"/>
  <c r="I19" i="1"/>
  <c r="L19" i="1"/>
  <c r="M19" i="1"/>
  <c r="V19" i="1"/>
  <c r="W19" i="1"/>
  <c r="A5787" i="1"/>
  <c r="D5787" i="1"/>
  <c r="F5787" i="1"/>
  <c r="H5787" i="1"/>
  <c r="I5787" i="1"/>
  <c r="L5787" i="1"/>
  <c r="M5787" i="1"/>
  <c r="V5787" i="1"/>
  <c r="W5787" i="1"/>
  <c r="A5744" i="1"/>
  <c r="D5744" i="1"/>
  <c r="F5744" i="1"/>
  <c r="H5744" i="1"/>
  <c r="I5744" i="1"/>
  <c r="L5744" i="1"/>
  <c r="M5744" i="1"/>
  <c r="V5744" i="1"/>
  <c r="W5744" i="1"/>
  <c r="A107" i="1"/>
  <c r="D107" i="1"/>
  <c r="F107" i="1"/>
  <c r="H107" i="1"/>
  <c r="I107" i="1"/>
  <c r="L107" i="1"/>
  <c r="M107" i="1"/>
  <c r="V107" i="1"/>
  <c r="W107" i="1"/>
  <c r="A877" i="1"/>
  <c r="D877" i="1"/>
  <c r="F877" i="1"/>
  <c r="H877" i="1"/>
  <c r="I877" i="1"/>
  <c r="L877" i="1"/>
  <c r="M877" i="1"/>
  <c r="V877" i="1"/>
  <c r="W877" i="1"/>
  <c r="A1691" i="1"/>
  <c r="D1691" i="1"/>
  <c r="F1691" i="1"/>
  <c r="H1691" i="1"/>
  <c r="I1691" i="1"/>
  <c r="L1691" i="1"/>
  <c r="M1691" i="1"/>
  <c r="V1691" i="1"/>
  <c r="W1691" i="1"/>
  <c r="A4413" i="1"/>
  <c r="D4413" i="1"/>
  <c r="F4413" i="1"/>
  <c r="H4413" i="1"/>
  <c r="I4413" i="1"/>
  <c r="L4413" i="1"/>
  <c r="M4413" i="1"/>
  <c r="V4413" i="1"/>
  <c r="W4413" i="1"/>
  <c r="A4797" i="1"/>
  <c r="D4797" i="1"/>
  <c r="F4797" i="1"/>
  <c r="H4797" i="1"/>
  <c r="I4797" i="1"/>
  <c r="L4797" i="1"/>
  <c r="M4797" i="1"/>
  <c r="V4797" i="1"/>
  <c r="W4797" i="1"/>
  <c r="A5454" i="1"/>
  <c r="D5454" i="1"/>
  <c r="F5454" i="1"/>
  <c r="H5454" i="1"/>
  <c r="I5454" i="1"/>
  <c r="L5454" i="1"/>
  <c r="M5454" i="1"/>
  <c r="V5454" i="1"/>
  <c r="W5454" i="1"/>
  <c r="A5985" i="1"/>
  <c r="D5985" i="1"/>
  <c r="F5985" i="1"/>
  <c r="H5985" i="1"/>
  <c r="I5985" i="1"/>
  <c r="L5985" i="1"/>
  <c r="M5985" i="1"/>
  <c r="V5985" i="1"/>
  <c r="W5985" i="1"/>
  <c r="A5136" i="1"/>
  <c r="D5136" i="1"/>
  <c r="F5136" i="1"/>
  <c r="H5136" i="1"/>
  <c r="I5136" i="1"/>
  <c r="L5136" i="1"/>
  <c r="M5136" i="1"/>
  <c r="V5136" i="1"/>
  <c r="W5136" i="1"/>
  <c r="A5168" i="1"/>
  <c r="D5168" i="1"/>
  <c r="F5168" i="1"/>
  <c r="H5168" i="1"/>
  <c r="I5168" i="1"/>
  <c r="L5168" i="1"/>
  <c r="M5168" i="1"/>
  <c r="V5168" i="1"/>
  <c r="W5168" i="1"/>
  <c r="A446" i="1"/>
  <c r="D446" i="1"/>
  <c r="F446" i="1"/>
  <c r="H446" i="1"/>
  <c r="I446" i="1"/>
  <c r="L446" i="1"/>
  <c r="M446" i="1"/>
  <c r="V446" i="1"/>
  <c r="W446" i="1"/>
  <c r="A1513" i="1"/>
  <c r="D1513" i="1"/>
  <c r="F1513" i="1"/>
  <c r="H1513" i="1"/>
  <c r="I1513" i="1"/>
  <c r="L1513" i="1"/>
  <c r="M1513" i="1"/>
  <c r="V1513" i="1"/>
  <c r="W1513" i="1"/>
  <c r="A1681" i="1"/>
  <c r="D1681" i="1"/>
  <c r="F1681" i="1"/>
  <c r="H1681" i="1"/>
  <c r="I1681" i="1"/>
  <c r="L1681" i="1"/>
  <c r="M1681" i="1"/>
  <c r="V1681" i="1"/>
  <c r="W1681" i="1"/>
  <c r="A5459" i="1"/>
  <c r="D5459" i="1"/>
  <c r="F5459" i="1"/>
  <c r="H5459" i="1"/>
  <c r="I5459" i="1"/>
  <c r="L5459" i="1"/>
  <c r="M5459" i="1"/>
  <c r="V5459" i="1"/>
  <c r="W5459" i="1"/>
  <c r="A5560" i="1"/>
  <c r="D5560" i="1"/>
  <c r="F5560" i="1"/>
  <c r="H5560" i="1"/>
  <c r="I5560" i="1"/>
  <c r="L5560" i="1"/>
  <c r="M5560" i="1"/>
  <c r="V5560" i="1"/>
  <c r="W5560" i="1"/>
  <c r="A3324" i="1"/>
  <c r="D3324" i="1"/>
  <c r="F3324" i="1"/>
  <c r="H3324" i="1"/>
  <c r="I3324" i="1"/>
  <c r="L3324" i="1"/>
  <c r="M3324" i="1"/>
  <c r="V3324" i="1"/>
  <c r="W3324" i="1"/>
  <c r="A6142" i="1"/>
  <c r="D6142" i="1"/>
  <c r="F6142" i="1"/>
  <c r="H6142" i="1"/>
  <c r="I6142" i="1"/>
  <c r="L6142" i="1"/>
  <c r="M6142" i="1"/>
  <c r="V6142" i="1"/>
  <c r="W6142" i="1"/>
  <c r="A6144" i="1"/>
  <c r="D6144" i="1"/>
  <c r="F6144" i="1"/>
  <c r="H6144" i="1"/>
  <c r="I6144" i="1"/>
  <c r="L6144" i="1"/>
  <c r="M6144" i="1"/>
  <c r="V6144" i="1"/>
  <c r="W6144" i="1"/>
  <c r="A6154" i="1"/>
  <c r="D6154" i="1"/>
  <c r="F6154" i="1"/>
  <c r="H6154" i="1"/>
  <c r="I6154" i="1"/>
  <c r="L6154" i="1"/>
  <c r="M6154" i="1"/>
  <c r="V6154" i="1"/>
  <c r="W6154" i="1"/>
  <c r="A28" i="1"/>
  <c r="D28" i="1"/>
  <c r="F28" i="1"/>
  <c r="H28" i="1"/>
  <c r="I28" i="1"/>
  <c r="L28" i="1"/>
  <c r="M28" i="1"/>
  <c r="V28" i="1"/>
  <c r="W28" i="1"/>
  <c r="A1619" i="1"/>
  <c r="D1619" i="1"/>
  <c r="F1619" i="1"/>
  <c r="H1619" i="1"/>
  <c r="I1619" i="1"/>
  <c r="L1619" i="1"/>
  <c r="M1619" i="1"/>
  <c r="V1619" i="1"/>
  <c r="W1619" i="1"/>
  <c r="A5814" i="1"/>
  <c r="D5814" i="1"/>
  <c r="F5814" i="1"/>
  <c r="H5814" i="1"/>
  <c r="I5814" i="1"/>
  <c r="L5814" i="1"/>
  <c r="M5814" i="1"/>
  <c r="V5814" i="1"/>
  <c r="W5814" i="1"/>
  <c r="A5551" i="1"/>
  <c r="D5551" i="1"/>
  <c r="F5551" i="1"/>
  <c r="H5551" i="1"/>
  <c r="I5551" i="1"/>
  <c r="L5551" i="1"/>
  <c r="M5551" i="1"/>
  <c r="V5551" i="1"/>
  <c r="W5551" i="1"/>
  <c r="A1659" i="1"/>
  <c r="D1659" i="1"/>
  <c r="F1659" i="1"/>
  <c r="H1659" i="1"/>
  <c r="I1659" i="1"/>
  <c r="L1659" i="1"/>
  <c r="M1659" i="1"/>
  <c r="V1659" i="1"/>
  <c r="W1659" i="1"/>
  <c r="A5193" i="1"/>
  <c r="D5193" i="1"/>
  <c r="F5193" i="1"/>
  <c r="H5193" i="1"/>
  <c r="I5193" i="1"/>
  <c r="L5193" i="1"/>
  <c r="M5193" i="1"/>
  <c r="V5193" i="1"/>
  <c r="W5193" i="1"/>
  <c r="A6037" i="1"/>
  <c r="D6037" i="1"/>
  <c r="F6037" i="1"/>
  <c r="H6037" i="1"/>
  <c r="I6037" i="1"/>
  <c r="L6037" i="1"/>
  <c r="M6037" i="1"/>
  <c r="V6037" i="1"/>
  <c r="W6037" i="1"/>
  <c r="A611" i="1"/>
  <c r="D611" i="1"/>
  <c r="F611" i="1"/>
  <c r="H611" i="1"/>
  <c r="I611" i="1"/>
  <c r="L611" i="1"/>
  <c r="M611" i="1"/>
  <c r="V611" i="1"/>
  <c r="W611" i="1"/>
  <c r="A2059" i="1"/>
  <c r="D2059" i="1"/>
  <c r="F2059" i="1"/>
  <c r="H2059" i="1"/>
  <c r="I2059" i="1"/>
  <c r="L2059" i="1"/>
  <c r="M2059" i="1"/>
  <c r="V2059" i="1"/>
  <c r="W2059" i="1"/>
  <c r="A4534" i="1"/>
  <c r="D4534" i="1"/>
  <c r="F4534" i="1"/>
  <c r="H4534" i="1"/>
  <c r="I4534" i="1"/>
  <c r="L4534" i="1"/>
  <c r="M4534" i="1"/>
  <c r="V4534" i="1"/>
  <c r="W4534" i="1"/>
  <c r="A4094" i="1"/>
  <c r="D4094" i="1"/>
  <c r="F4094" i="1"/>
  <c r="H4094" i="1"/>
  <c r="I4094" i="1"/>
  <c r="L4094" i="1"/>
  <c r="M4094" i="1"/>
  <c r="V4094" i="1"/>
  <c r="W4094" i="1"/>
  <c r="A3737" i="1"/>
  <c r="D3737" i="1"/>
  <c r="F3737" i="1"/>
  <c r="H3737" i="1"/>
  <c r="I3737" i="1"/>
  <c r="L3737" i="1"/>
  <c r="M3737" i="1"/>
  <c r="V3737" i="1"/>
  <c r="W3737" i="1"/>
  <c r="A3919" i="1"/>
  <c r="D3919" i="1"/>
  <c r="F3919" i="1"/>
  <c r="H3919" i="1"/>
  <c r="I3919" i="1"/>
  <c r="L3919" i="1"/>
  <c r="M3919" i="1"/>
  <c r="V3919" i="1"/>
  <c r="W3919" i="1"/>
  <c r="A1783" i="1"/>
  <c r="D1783" i="1"/>
  <c r="F1783" i="1"/>
  <c r="H1783" i="1"/>
  <c r="I1783" i="1"/>
  <c r="L1783" i="1"/>
  <c r="M1783" i="1"/>
  <c r="V1783" i="1"/>
  <c r="W1783" i="1"/>
  <c r="A2372" i="1"/>
  <c r="D2372" i="1"/>
  <c r="F2372" i="1"/>
  <c r="H2372" i="1"/>
  <c r="I2372" i="1"/>
  <c r="L2372" i="1"/>
  <c r="M2372" i="1"/>
  <c r="V2372" i="1"/>
  <c r="W2372" i="1"/>
  <c r="A4142" i="1"/>
  <c r="D4142" i="1"/>
  <c r="F4142" i="1"/>
  <c r="H4142" i="1"/>
  <c r="I4142" i="1"/>
  <c r="L4142" i="1"/>
  <c r="M4142" i="1"/>
  <c r="V4142" i="1"/>
  <c r="W4142" i="1"/>
  <c r="A2779" i="1"/>
  <c r="D2779" i="1"/>
  <c r="F2779" i="1"/>
  <c r="H2779" i="1"/>
  <c r="I2779" i="1"/>
  <c r="L2779" i="1"/>
  <c r="M2779" i="1"/>
  <c r="V2779" i="1"/>
  <c r="W2779" i="1"/>
  <c r="A5960" i="1"/>
  <c r="D5960" i="1"/>
  <c r="F5960" i="1"/>
  <c r="H5960" i="1"/>
  <c r="I5960" i="1"/>
  <c r="L5960" i="1"/>
  <c r="M5960" i="1"/>
  <c r="V5960" i="1"/>
  <c r="W5960" i="1"/>
  <c r="A733" i="1"/>
  <c r="D733" i="1"/>
  <c r="F733" i="1"/>
  <c r="H733" i="1"/>
  <c r="I733" i="1"/>
  <c r="L733" i="1"/>
  <c r="M733" i="1"/>
  <c r="V733" i="1"/>
  <c r="W733" i="1"/>
  <c r="A752" i="1"/>
  <c r="D752" i="1"/>
  <c r="F752" i="1"/>
  <c r="H752" i="1"/>
  <c r="I752" i="1"/>
  <c r="L752" i="1"/>
  <c r="M752" i="1"/>
  <c r="V752" i="1"/>
  <c r="W752" i="1"/>
  <c r="A1391" i="1"/>
  <c r="D1391" i="1"/>
  <c r="F1391" i="1"/>
  <c r="H1391" i="1"/>
  <c r="I1391" i="1"/>
  <c r="L1391" i="1"/>
  <c r="M1391" i="1"/>
  <c r="V1391" i="1"/>
  <c r="W1391" i="1"/>
  <c r="A4727" i="1"/>
  <c r="D4727" i="1"/>
  <c r="F4727" i="1"/>
  <c r="H4727" i="1"/>
  <c r="I4727" i="1"/>
  <c r="L4727" i="1"/>
  <c r="M4727" i="1"/>
  <c r="V4727" i="1"/>
  <c r="W4727" i="1"/>
  <c r="A6088" i="1"/>
  <c r="D6088" i="1"/>
  <c r="F6088" i="1"/>
  <c r="H6088" i="1"/>
  <c r="I6088" i="1"/>
  <c r="L6088" i="1"/>
  <c r="M6088" i="1"/>
  <c r="V6088" i="1"/>
  <c r="W6088" i="1"/>
  <c r="A584" i="1"/>
  <c r="D584" i="1"/>
  <c r="F584" i="1"/>
  <c r="H584" i="1"/>
  <c r="I584" i="1"/>
  <c r="L584" i="1"/>
  <c r="M584" i="1"/>
  <c r="V584" i="1"/>
  <c r="W584" i="1"/>
  <c r="A274" i="1"/>
  <c r="D274" i="1"/>
  <c r="F274" i="1"/>
  <c r="H274" i="1"/>
  <c r="I274" i="1"/>
  <c r="L274" i="1"/>
  <c r="M274" i="1"/>
  <c r="V274" i="1"/>
  <c r="W274" i="1"/>
  <c r="A836" i="1"/>
  <c r="D836" i="1"/>
  <c r="F836" i="1"/>
  <c r="H836" i="1"/>
  <c r="I836" i="1"/>
  <c r="L836" i="1"/>
  <c r="M836" i="1"/>
  <c r="V836" i="1"/>
  <c r="W836" i="1"/>
  <c r="A5008" i="1"/>
  <c r="D5008" i="1"/>
  <c r="F5008" i="1"/>
  <c r="H5008" i="1"/>
  <c r="I5008" i="1"/>
  <c r="L5008" i="1"/>
  <c r="M5008" i="1"/>
  <c r="V5008" i="1"/>
  <c r="W5008" i="1"/>
  <c r="A3297" i="1"/>
  <c r="D3297" i="1"/>
  <c r="F3297" i="1"/>
  <c r="H3297" i="1"/>
  <c r="I3297" i="1"/>
  <c r="L3297" i="1"/>
  <c r="M3297" i="1"/>
  <c r="V3297" i="1"/>
  <c r="W3297" i="1"/>
  <c r="A4928" i="1"/>
  <c r="D4928" i="1"/>
  <c r="F4928" i="1"/>
  <c r="H4928" i="1"/>
  <c r="I4928" i="1"/>
  <c r="L4928" i="1"/>
  <c r="M4928" i="1"/>
  <c r="V4928" i="1"/>
  <c r="W4928" i="1"/>
  <c r="A4922" i="1"/>
  <c r="D4922" i="1"/>
  <c r="F4922" i="1"/>
  <c r="H4922" i="1"/>
  <c r="I4922" i="1"/>
  <c r="L4922" i="1"/>
  <c r="M4922" i="1"/>
  <c r="V4922" i="1"/>
  <c r="W4922" i="1"/>
  <c r="A99" i="1"/>
  <c r="D99" i="1"/>
  <c r="F99" i="1"/>
  <c r="H99" i="1"/>
  <c r="I99" i="1"/>
  <c r="L99" i="1"/>
  <c r="M99" i="1"/>
  <c r="V99" i="1"/>
  <c r="W99" i="1"/>
  <c r="A147" i="1"/>
  <c r="D147" i="1"/>
  <c r="F147" i="1"/>
  <c r="H147" i="1"/>
  <c r="I147" i="1"/>
  <c r="L147" i="1"/>
  <c r="M147" i="1"/>
  <c r="V147" i="1"/>
  <c r="W147" i="1"/>
  <c r="A4066" i="1"/>
  <c r="D4066" i="1"/>
  <c r="F4066" i="1"/>
  <c r="H4066" i="1"/>
  <c r="I4066" i="1"/>
  <c r="L4066" i="1"/>
  <c r="M4066" i="1"/>
  <c r="V4066" i="1"/>
  <c r="W4066" i="1"/>
  <c r="A2476" i="1"/>
  <c r="D2476" i="1"/>
  <c r="F2476" i="1"/>
  <c r="H2476" i="1"/>
  <c r="I2476" i="1"/>
  <c r="L2476" i="1"/>
  <c r="M2476" i="1"/>
  <c r="V2476" i="1"/>
  <c r="W2476" i="1"/>
  <c r="A2839" i="1"/>
  <c r="D2839" i="1"/>
  <c r="F2839" i="1"/>
  <c r="H2839" i="1"/>
  <c r="I2839" i="1"/>
  <c r="L2839" i="1"/>
  <c r="M2839" i="1"/>
  <c r="V2839" i="1"/>
  <c r="W2839" i="1"/>
  <c r="A2854" i="1"/>
  <c r="D2854" i="1"/>
  <c r="F2854" i="1"/>
  <c r="H2854" i="1"/>
  <c r="I2854" i="1"/>
  <c r="L2854" i="1"/>
  <c r="M2854" i="1"/>
  <c r="V2854" i="1"/>
  <c r="W2854" i="1"/>
  <c r="A2994" i="1"/>
  <c r="D2994" i="1"/>
  <c r="F2994" i="1"/>
  <c r="H2994" i="1"/>
  <c r="I2994" i="1"/>
  <c r="L2994" i="1"/>
  <c r="M2994" i="1"/>
  <c r="V2994" i="1"/>
  <c r="W2994" i="1"/>
  <c r="A5010" i="1"/>
  <c r="D5010" i="1"/>
  <c r="F5010" i="1"/>
  <c r="H5010" i="1"/>
  <c r="I5010" i="1"/>
  <c r="L5010" i="1"/>
  <c r="M5010" i="1"/>
  <c r="V5010" i="1"/>
  <c r="W5010" i="1"/>
  <c r="A1776" i="1"/>
  <c r="D1776" i="1"/>
  <c r="F1776" i="1"/>
  <c r="H1776" i="1"/>
  <c r="I1776" i="1"/>
  <c r="L1776" i="1"/>
  <c r="M1776" i="1"/>
  <c r="V1776" i="1"/>
  <c r="W1776" i="1"/>
  <c r="A4245" i="1"/>
  <c r="D4245" i="1"/>
  <c r="F4245" i="1"/>
  <c r="H4245" i="1"/>
  <c r="I4245" i="1"/>
  <c r="L4245" i="1"/>
  <c r="M4245" i="1"/>
  <c r="V4245" i="1"/>
  <c r="W4245" i="1"/>
  <c r="A200" i="1"/>
  <c r="D200" i="1"/>
  <c r="F200" i="1"/>
  <c r="H200" i="1"/>
  <c r="I200" i="1"/>
  <c r="L200" i="1"/>
  <c r="M200" i="1"/>
  <c r="V200" i="1"/>
  <c r="W200" i="1"/>
  <c r="A725" i="1"/>
  <c r="D725" i="1"/>
  <c r="F725" i="1"/>
  <c r="H725" i="1"/>
  <c r="I725" i="1"/>
  <c r="L725" i="1"/>
  <c r="M725" i="1"/>
  <c r="V725" i="1"/>
  <c r="W725" i="1"/>
  <c r="A732" i="1"/>
  <c r="D732" i="1"/>
  <c r="F732" i="1"/>
  <c r="H732" i="1"/>
  <c r="I732" i="1"/>
  <c r="L732" i="1"/>
  <c r="M732" i="1"/>
  <c r="V732" i="1"/>
  <c r="W732" i="1"/>
  <c r="A751" i="1"/>
  <c r="D751" i="1"/>
  <c r="F751" i="1"/>
  <c r="H751" i="1"/>
  <c r="I751" i="1"/>
  <c r="L751" i="1"/>
  <c r="M751" i="1"/>
  <c r="V751" i="1"/>
  <c r="W751" i="1"/>
  <c r="A3720" i="1"/>
  <c r="D3720" i="1"/>
  <c r="F3720" i="1"/>
  <c r="H3720" i="1"/>
  <c r="I3720" i="1"/>
  <c r="L3720" i="1"/>
  <c r="M3720" i="1"/>
  <c r="V3720" i="1"/>
  <c r="W3720" i="1"/>
  <c r="A4493" i="1"/>
  <c r="D4493" i="1"/>
  <c r="F4493" i="1"/>
  <c r="H4493" i="1"/>
  <c r="I4493" i="1"/>
  <c r="L4493" i="1"/>
  <c r="M4493" i="1"/>
  <c r="V4493" i="1"/>
  <c r="W4493" i="1"/>
  <c r="A1839" i="1"/>
  <c r="D1839" i="1"/>
  <c r="F1839" i="1"/>
  <c r="H1839" i="1"/>
  <c r="I1839" i="1"/>
  <c r="L1839" i="1"/>
  <c r="M1839" i="1"/>
  <c r="V1839" i="1"/>
  <c r="W1839" i="1"/>
  <c r="A2663" i="1"/>
  <c r="D2663" i="1"/>
  <c r="F2663" i="1"/>
  <c r="H2663" i="1"/>
  <c r="I2663" i="1"/>
  <c r="L2663" i="1"/>
  <c r="M2663" i="1"/>
  <c r="V2663" i="1"/>
  <c r="W2663" i="1"/>
  <c r="A2664" i="1"/>
  <c r="D2664" i="1"/>
  <c r="F2664" i="1"/>
  <c r="H2664" i="1"/>
  <c r="I2664" i="1"/>
  <c r="L2664" i="1"/>
  <c r="M2664" i="1"/>
  <c r="V2664" i="1"/>
  <c r="W2664" i="1"/>
  <c r="A4407" i="1"/>
  <c r="D4407" i="1"/>
  <c r="F4407" i="1"/>
  <c r="H4407" i="1"/>
  <c r="I4407" i="1"/>
  <c r="L4407" i="1"/>
  <c r="M4407" i="1"/>
  <c r="V4407" i="1"/>
  <c r="W4407" i="1"/>
  <c r="A5289" i="1"/>
  <c r="D5289" i="1"/>
  <c r="F5289" i="1"/>
  <c r="H5289" i="1"/>
  <c r="I5289" i="1"/>
  <c r="L5289" i="1"/>
  <c r="M5289" i="1"/>
  <c r="V5289" i="1"/>
  <c r="W5289" i="1"/>
  <c r="A1751" i="1"/>
  <c r="D1751" i="1"/>
  <c r="F1751" i="1"/>
  <c r="H1751" i="1"/>
  <c r="I1751" i="1"/>
  <c r="L1751" i="1"/>
  <c r="M1751" i="1"/>
  <c r="V1751" i="1"/>
  <c r="W1751" i="1"/>
  <c r="A2404" i="1"/>
  <c r="D2404" i="1"/>
  <c r="F2404" i="1"/>
  <c r="H2404" i="1"/>
  <c r="I2404" i="1"/>
  <c r="L2404" i="1"/>
  <c r="M2404" i="1"/>
  <c r="V2404" i="1"/>
  <c r="W2404" i="1"/>
  <c r="A2985" i="1"/>
  <c r="D2985" i="1"/>
  <c r="F2985" i="1"/>
  <c r="H2985" i="1"/>
  <c r="I2985" i="1"/>
  <c r="L2985" i="1"/>
  <c r="M2985" i="1"/>
  <c r="V2985" i="1"/>
  <c r="W2985" i="1"/>
  <c r="A1615" i="1"/>
  <c r="D1615" i="1"/>
  <c r="F1615" i="1"/>
  <c r="H1615" i="1"/>
  <c r="I1615" i="1"/>
  <c r="L1615" i="1"/>
  <c r="M1615" i="1"/>
  <c r="V1615" i="1"/>
  <c r="W1615" i="1"/>
  <c r="A2768" i="1"/>
  <c r="D2768" i="1"/>
  <c r="F2768" i="1"/>
  <c r="H2768" i="1"/>
  <c r="I2768" i="1"/>
  <c r="L2768" i="1"/>
  <c r="M2768" i="1"/>
  <c r="V2768" i="1"/>
  <c r="W2768" i="1"/>
  <c r="A5498" i="1"/>
  <c r="D5498" i="1"/>
  <c r="F5498" i="1"/>
  <c r="H5498" i="1"/>
  <c r="I5498" i="1"/>
  <c r="L5498" i="1"/>
  <c r="M5498" i="1"/>
  <c r="V5498" i="1"/>
  <c r="W5498" i="1"/>
  <c r="A4574" i="1"/>
  <c r="D4574" i="1"/>
  <c r="F4574" i="1"/>
  <c r="H4574" i="1"/>
  <c r="I4574" i="1"/>
  <c r="L4574" i="1"/>
  <c r="M4574" i="1"/>
  <c r="V4574" i="1"/>
  <c r="W4574" i="1"/>
  <c r="A4910" i="1"/>
  <c r="D4910" i="1"/>
  <c r="F4910" i="1"/>
  <c r="H4910" i="1"/>
  <c r="I4910" i="1"/>
  <c r="L4910" i="1"/>
  <c r="M4910" i="1"/>
  <c r="V4910" i="1"/>
  <c r="W4910" i="1"/>
  <c r="A6028" i="1"/>
  <c r="D6028" i="1"/>
  <c r="F6028" i="1"/>
  <c r="H6028" i="1"/>
  <c r="I6028" i="1"/>
  <c r="L6028" i="1"/>
  <c r="M6028" i="1"/>
  <c r="V6028" i="1"/>
  <c r="W6028" i="1"/>
  <c r="A1258" i="1"/>
  <c r="D1258" i="1"/>
  <c r="F1258" i="1"/>
  <c r="H1258" i="1"/>
  <c r="I1258" i="1"/>
  <c r="L1258" i="1"/>
  <c r="M1258" i="1"/>
  <c r="V1258" i="1"/>
  <c r="W1258" i="1"/>
  <c r="A1159" i="1"/>
  <c r="D1159" i="1"/>
  <c r="F1159" i="1"/>
  <c r="H1159" i="1"/>
  <c r="I1159" i="1"/>
  <c r="L1159" i="1"/>
  <c r="M1159" i="1"/>
  <c r="V1159" i="1"/>
  <c r="W1159" i="1"/>
  <c r="A5400" i="1"/>
  <c r="D5400" i="1"/>
  <c r="F5400" i="1"/>
  <c r="H5400" i="1"/>
  <c r="I5400" i="1"/>
  <c r="L5400" i="1"/>
  <c r="M5400" i="1"/>
  <c r="V5400" i="1"/>
  <c r="W5400" i="1"/>
  <c r="A796" i="1"/>
  <c r="D796" i="1"/>
  <c r="F796" i="1"/>
  <c r="H796" i="1"/>
  <c r="I796" i="1"/>
  <c r="L796" i="1"/>
  <c r="M796" i="1"/>
  <c r="V796" i="1"/>
  <c r="W796" i="1"/>
  <c r="A3485" i="1"/>
  <c r="D3485" i="1"/>
  <c r="F3485" i="1"/>
  <c r="H3485" i="1"/>
  <c r="I3485" i="1"/>
  <c r="L3485" i="1"/>
  <c r="M3485" i="1"/>
  <c r="V3485" i="1"/>
  <c r="W3485" i="1"/>
  <c r="A1344" i="1"/>
  <c r="D1344" i="1"/>
  <c r="F1344" i="1"/>
  <c r="H1344" i="1"/>
  <c r="I1344" i="1"/>
  <c r="L1344" i="1"/>
  <c r="M1344" i="1"/>
  <c r="V1344" i="1"/>
  <c r="W1344" i="1"/>
  <c r="A6065" i="1"/>
  <c r="D6065" i="1"/>
  <c r="F6065" i="1"/>
  <c r="H6065" i="1"/>
  <c r="I6065" i="1"/>
  <c r="L6065" i="1"/>
  <c r="M6065" i="1"/>
  <c r="V6065" i="1"/>
  <c r="W6065" i="1"/>
  <c r="A3208" i="1"/>
  <c r="D3208" i="1"/>
  <c r="F3208" i="1"/>
  <c r="H3208" i="1"/>
  <c r="I3208" i="1"/>
  <c r="L3208" i="1"/>
  <c r="M3208" i="1"/>
  <c r="V3208" i="1"/>
  <c r="W3208" i="1"/>
  <c r="A3578" i="1"/>
  <c r="D3578" i="1"/>
  <c r="F3578" i="1"/>
  <c r="H3578" i="1"/>
  <c r="I3578" i="1"/>
  <c r="L3578" i="1"/>
  <c r="M3578" i="1"/>
  <c r="V3578" i="1"/>
  <c r="W3578" i="1"/>
  <c r="A3772" i="1"/>
  <c r="D3772" i="1"/>
  <c r="F3772" i="1"/>
  <c r="H3772" i="1"/>
  <c r="I3772" i="1"/>
  <c r="L3772" i="1"/>
  <c r="M3772" i="1"/>
  <c r="V3772" i="1"/>
  <c r="W3772" i="1"/>
  <c r="A3094" i="1"/>
  <c r="D3094" i="1"/>
  <c r="F3094" i="1"/>
  <c r="H3094" i="1"/>
  <c r="I3094" i="1"/>
  <c r="L3094" i="1"/>
  <c r="M3094" i="1"/>
  <c r="V3094" i="1"/>
  <c r="W3094" i="1"/>
  <c r="A3149" i="1"/>
  <c r="D3149" i="1"/>
  <c r="F3149" i="1"/>
  <c r="H3149" i="1"/>
  <c r="I3149" i="1"/>
  <c r="L3149" i="1"/>
  <c r="M3149" i="1"/>
  <c r="V3149" i="1"/>
  <c r="W3149" i="1"/>
  <c r="A2497" i="1"/>
  <c r="D2497" i="1"/>
  <c r="F2497" i="1"/>
  <c r="H2497" i="1"/>
  <c r="I2497" i="1"/>
  <c r="L2497" i="1"/>
  <c r="M2497" i="1"/>
  <c r="V2497" i="1"/>
  <c r="W2497" i="1"/>
  <c r="A5549" i="1"/>
  <c r="D5549" i="1"/>
  <c r="F5549" i="1"/>
  <c r="H5549" i="1"/>
  <c r="I5549" i="1"/>
  <c r="L5549" i="1"/>
  <c r="M5549" i="1"/>
  <c r="V5549" i="1"/>
  <c r="W5549" i="1"/>
  <c r="A2316" i="1"/>
  <c r="D2316" i="1"/>
  <c r="F2316" i="1"/>
  <c r="H2316" i="1"/>
  <c r="I2316" i="1"/>
  <c r="L2316" i="1"/>
  <c r="M2316" i="1"/>
  <c r="V2316" i="1"/>
  <c r="W2316" i="1"/>
  <c r="A1395" i="1"/>
  <c r="D1395" i="1"/>
  <c r="F1395" i="1"/>
  <c r="H1395" i="1"/>
  <c r="I1395" i="1"/>
  <c r="L1395" i="1"/>
  <c r="M1395" i="1"/>
  <c r="V1395" i="1"/>
  <c r="W1395" i="1"/>
  <c r="A2587" i="1"/>
  <c r="D2587" i="1"/>
  <c r="F2587" i="1"/>
  <c r="H2587" i="1"/>
  <c r="I2587" i="1"/>
  <c r="L2587" i="1"/>
  <c r="M2587" i="1"/>
  <c r="V2587" i="1"/>
  <c r="W2587" i="1"/>
  <c r="A3355" i="1"/>
  <c r="D3355" i="1"/>
  <c r="F3355" i="1"/>
  <c r="H3355" i="1"/>
  <c r="I3355" i="1"/>
  <c r="L3355" i="1"/>
  <c r="M3355" i="1"/>
  <c r="V3355" i="1"/>
  <c r="W3355" i="1"/>
  <c r="A3729" i="1"/>
  <c r="D3729" i="1"/>
  <c r="F3729" i="1"/>
  <c r="H3729" i="1"/>
  <c r="I3729" i="1"/>
  <c r="L3729" i="1"/>
  <c r="M3729" i="1"/>
  <c r="V3729" i="1"/>
  <c r="W3729" i="1"/>
  <c r="A5295" i="1"/>
  <c r="D5295" i="1"/>
  <c r="F5295" i="1"/>
  <c r="H5295" i="1"/>
  <c r="I5295" i="1"/>
  <c r="L5295" i="1"/>
  <c r="M5295" i="1"/>
  <c r="V5295" i="1"/>
  <c r="W5295" i="1"/>
  <c r="A1005" i="1"/>
  <c r="D1005" i="1"/>
  <c r="F1005" i="1"/>
  <c r="H1005" i="1"/>
  <c r="I1005" i="1"/>
  <c r="L1005" i="1"/>
  <c r="M1005" i="1"/>
  <c r="V1005" i="1"/>
  <c r="W1005" i="1"/>
  <c r="A1673" i="1"/>
  <c r="D1673" i="1"/>
  <c r="F1673" i="1"/>
  <c r="H1673" i="1"/>
  <c r="I1673" i="1"/>
  <c r="L1673" i="1"/>
  <c r="M1673" i="1"/>
  <c r="V1673" i="1"/>
  <c r="W1673" i="1"/>
  <c r="A4390" i="1"/>
  <c r="D4390" i="1"/>
  <c r="F4390" i="1"/>
  <c r="H4390" i="1"/>
  <c r="I4390" i="1"/>
  <c r="L4390" i="1"/>
  <c r="M4390" i="1"/>
  <c r="V4390" i="1"/>
  <c r="W4390" i="1"/>
  <c r="A300" i="1"/>
  <c r="D300" i="1"/>
  <c r="F300" i="1"/>
  <c r="H300" i="1"/>
  <c r="I300" i="1"/>
  <c r="L300" i="1"/>
  <c r="M300" i="1"/>
  <c r="V300" i="1"/>
  <c r="W300" i="1"/>
  <c r="A922" i="1"/>
  <c r="D922" i="1"/>
  <c r="F922" i="1"/>
  <c r="H922" i="1"/>
  <c r="I922" i="1"/>
  <c r="L922" i="1"/>
  <c r="M922" i="1"/>
  <c r="V922" i="1"/>
  <c r="W922" i="1"/>
  <c r="A2742" i="1"/>
  <c r="D2742" i="1"/>
  <c r="F2742" i="1"/>
  <c r="H2742" i="1"/>
  <c r="I2742" i="1"/>
  <c r="L2742" i="1"/>
  <c r="M2742" i="1"/>
  <c r="V2742" i="1"/>
  <c r="W2742" i="1"/>
  <c r="A2978" i="1"/>
  <c r="D2978" i="1"/>
  <c r="F2978" i="1"/>
  <c r="H2978" i="1"/>
  <c r="I2978" i="1"/>
  <c r="L2978" i="1"/>
  <c r="M2978" i="1"/>
  <c r="V2978" i="1"/>
  <c r="W2978" i="1"/>
  <c r="A3269" i="1"/>
  <c r="D3269" i="1"/>
  <c r="F3269" i="1"/>
  <c r="H3269" i="1"/>
  <c r="I3269" i="1"/>
  <c r="L3269" i="1"/>
  <c r="M3269" i="1"/>
  <c r="V3269" i="1"/>
  <c r="W3269" i="1"/>
  <c r="A3528" i="1"/>
  <c r="D3528" i="1"/>
  <c r="F3528" i="1"/>
  <c r="H3528" i="1"/>
  <c r="I3528" i="1"/>
  <c r="L3528" i="1"/>
  <c r="M3528" i="1"/>
  <c r="V3528" i="1"/>
  <c r="W3528" i="1"/>
  <c r="A3836" i="1"/>
  <c r="D3836" i="1"/>
  <c r="F3836" i="1"/>
  <c r="H3836" i="1"/>
  <c r="I3836" i="1"/>
  <c r="L3836" i="1"/>
  <c r="M3836" i="1"/>
  <c r="V3836" i="1"/>
  <c r="W3836" i="1"/>
  <c r="A5524" i="1"/>
  <c r="D5524" i="1"/>
  <c r="F5524" i="1"/>
  <c r="H5524" i="1"/>
  <c r="I5524" i="1"/>
  <c r="L5524" i="1"/>
  <c r="M5524" i="1"/>
  <c r="V5524" i="1"/>
  <c r="W5524" i="1"/>
  <c r="A5585" i="1"/>
  <c r="D5585" i="1"/>
  <c r="F5585" i="1"/>
  <c r="H5585" i="1"/>
  <c r="I5585" i="1"/>
  <c r="L5585" i="1"/>
  <c r="M5585" i="1"/>
  <c r="V5585" i="1"/>
  <c r="W5585" i="1"/>
  <c r="A5731" i="1"/>
  <c r="D5731" i="1"/>
  <c r="F5731" i="1"/>
  <c r="H5731" i="1"/>
  <c r="I5731" i="1"/>
  <c r="L5731" i="1"/>
  <c r="M5731" i="1"/>
  <c r="V5731" i="1"/>
  <c r="W5731" i="1"/>
  <c r="A6008" i="1"/>
  <c r="D6008" i="1"/>
  <c r="F6008" i="1"/>
  <c r="H6008" i="1"/>
  <c r="I6008" i="1"/>
  <c r="L6008" i="1"/>
  <c r="M6008" i="1"/>
  <c r="V6008" i="1"/>
  <c r="W6008" i="1"/>
  <c r="A2414" i="1"/>
  <c r="D2414" i="1"/>
  <c r="F2414" i="1"/>
  <c r="H2414" i="1"/>
  <c r="I2414" i="1"/>
  <c r="L2414" i="1"/>
  <c r="M2414" i="1"/>
  <c r="V2414" i="1"/>
  <c r="W2414" i="1"/>
  <c r="A6177" i="1"/>
  <c r="D6177" i="1"/>
  <c r="F6177" i="1"/>
  <c r="H6177" i="1"/>
  <c r="I6177" i="1"/>
  <c r="L6177" i="1"/>
  <c r="M6177" i="1"/>
  <c r="V6177" i="1"/>
  <c r="W6177" i="1"/>
  <c r="A1221" i="1"/>
  <c r="D1221" i="1"/>
  <c r="F1221" i="1"/>
  <c r="H1221" i="1"/>
  <c r="I1221" i="1"/>
  <c r="L1221" i="1"/>
  <c r="M1221" i="1"/>
  <c r="V1221" i="1"/>
  <c r="W1221" i="1"/>
  <c r="A4322" i="1"/>
  <c r="D4322" i="1"/>
  <c r="F4322" i="1"/>
  <c r="H4322" i="1"/>
  <c r="I4322" i="1"/>
  <c r="L4322" i="1"/>
  <c r="M4322" i="1"/>
  <c r="V4322" i="1"/>
  <c r="W4322" i="1"/>
  <c r="A5094" i="1"/>
  <c r="D5094" i="1"/>
  <c r="F5094" i="1"/>
  <c r="H5094" i="1"/>
  <c r="I5094" i="1"/>
  <c r="L5094" i="1"/>
  <c r="M5094" i="1"/>
  <c r="V5094" i="1"/>
  <c r="W5094" i="1"/>
  <c r="A1957" i="1"/>
  <c r="D1957" i="1"/>
  <c r="F1957" i="1"/>
  <c r="H1957" i="1"/>
  <c r="I1957" i="1"/>
  <c r="L1957" i="1"/>
  <c r="M1957" i="1"/>
  <c r="V1957" i="1"/>
  <c r="W1957" i="1"/>
  <c r="A1900" i="1"/>
  <c r="D1900" i="1"/>
  <c r="F1900" i="1"/>
  <c r="H1900" i="1"/>
  <c r="I1900" i="1"/>
  <c r="L1900" i="1"/>
  <c r="M1900" i="1"/>
  <c r="V1900" i="1"/>
  <c r="W1900" i="1"/>
  <c r="A4589" i="1"/>
  <c r="D4589" i="1"/>
  <c r="F4589" i="1"/>
  <c r="H4589" i="1"/>
  <c r="I4589" i="1"/>
  <c r="L4589" i="1"/>
  <c r="M4589" i="1"/>
  <c r="V4589" i="1"/>
  <c r="W4589" i="1"/>
  <c r="A1911" i="1"/>
  <c r="D1911" i="1"/>
  <c r="F1911" i="1"/>
  <c r="H1911" i="1"/>
  <c r="I1911" i="1"/>
  <c r="L1911" i="1"/>
  <c r="M1911" i="1"/>
  <c r="V1911" i="1"/>
  <c r="W1911" i="1"/>
  <c r="A5417" i="1"/>
  <c r="D5417" i="1"/>
  <c r="F5417" i="1"/>
  <c r="H5417" i="1"/>
  <c r="I5417" i="1"/>
  <c r="L5417" i="1"/>
  <c r="M5417" i="1"/>
  <c r="V5417" i="1"/>
  <c r="W5417" i="1"/>
  <c r="A1172" i="1"/>
  <c r="D1172" i="1"/>
  <c r="F1172" i="1"/>
  <c r="H1172" i="1"/>
  <c r="I1172" i="1"/>
  <c r="L1172" i="1"/>
  <c r="M1172" i="1"/>
  <c r="V1172" i="1"/>
  <c r="W1172" i="1"/>
  <c r="A3850" i="1"/>
  <c r="D3850" i="1"/>
  <c r="F3850" i="1"/>
  <c r="H3850" i="1"/>
  <c r="I3850" i="1"/>
  <c r="L3850" i="1"/>
  <c r="M3850" i="1"/>
  <c r="V3850" i="1"/>
  <c r="W3850" i="1"/>
  <c r="A2907" i="1"/>
  <c r="D2907" i="1"/>
  <c r="F2907" i="1"/>
  <c r="H2907" i="1"/>
  <c r="I2907" i="1"/>
  <c r="L2907" i="1"/>
  <c r="M2907" i="1"/>
  <c r="V2907" i="1"/>
  <c r="W2907" i="1"/>
  <c r="A5232" i="1"/>
  <c r="D5232" i="1"/>
  <c r="F5232" i="1"/>
  <c r="H5232" i="1"/>
  <c r="I5232" i="1"/>
  <c r="L5232" i="1"/>
  <c r="M5232" i="1"/>
  <c r="V5232" i="1"/>
  <c r="W5232" i="1"/>
  <c r="A5047" i="1"/>
  <c r="D5047" i="1"/>
  <c r="F5047" i="1"/>
  <c r="H5047" i="1"/>
  <c r="I5047" i="1"/>
  <c r="L5047" i="1"/>
  <c r="M5047" i="1"/>
  <c r="V5047" i="1"/>
  <c r="W5047" i="1"/>
  <c r="A782" i="1"/>
  <c r="D782" i="1"/>
  <c r="F782" i="1"/>
  <c r="H782" i="1"/>
  <c r="I782" i="1"/>
  <c r="L782" i="1"/>
  <c r="M782" i="1"/>
  <c r="V782" i="1"/>
  <c r="W782" i="1"/>
  <c r="A2342" i="1"/>
  <c r="D2342" i="1"/>
  <c r="F2342" i="1"/>
  <c r="H2342" i="1"/>
  <c r="I2342" i="1"/>
  <c r="L2342" i="1"/>
  <c r="M2342" i="1"/>
  <c r="V2342" i="1"/>
  <c r="W2342" i="1"/>
  <c r="A3069" i="1"/>
  <c r="D3069" i="1"/>
  <c r="F3069" i="1"/>
  <c r="H3069" i="1"/>
  <c r="I3069" i="1"/>
  <c r="L3069" i="1"/>
  <c r="M3069" i="1"/>
  <c r="V3069" i="1"/>
  <c r="W3069" i="1"/>
  <c r="A3467" i="1"/>
  <c r="D3467" i="1"/>
  <c r="F3467" i="1"/>
  <c r="H3467" i="1"/>
  <c r="I3467" i="1"/>
  <c r="L3467" i="1"/>
  <c r="M3467" i="1"/>
  <c r="V3467" i="1"/>
  <c r="W3467" i="1"/>
  <c r="A3535" i="1"/>
  <c r="D3535" i="1"/>
  <c r="F3535" i="1"/>
  <c r="H3535" i="1"/>
  <c r="I3535" i="1"/>
  <c r="L3535" i="1"/>
  <c r="M3535" i="1"/>
  <c r="V3535" i="1"/>
  <c r="W3535" i="1"/>
  <c r="A3122" i="1"/>
  <c r="D3122" i="1"/>
  <c r="F3122" i="1"/>
  <c r="H3122" i="1"/>
  <c r="I3122" i="1"/>
  <c r="L3122" i="1"/>
  <c r="M3122" i="1"/>
  <c r="V3122" i="1"/>
  <c r="W3122" i="1"/>
  <c r="A3197" i="1"/>
  <c r="D3197" i="1"/>
  <c r="F3197" i="1"/>
  <c r="H3197" i="1"/>
  <c r="I3197" i="1"/>
  <c r="L3197" i="1"/>
  <c r="M3197" i="1"/>
  <c r="V3197" i="1"/>
  <c r="W3197" i="1"/>
  <c r="A3254" i="1"/>
  <c r="D3254" i="1"/>
  <c r="F3254" i="1"/>
  <c r="H3254" i="1"/>
  <c r="I3254" i="1"/>
  <c r="L3254" i="1"/>
  <c r="M3254" i="1"/>
  <c r="V3254" i="1"/>
  <c r="W3254" i="1"/>
  <c r="A5413" i="1"/>
  <c r="D5413" i="1"/>
  <c r="F5413" i="1"/>
  <c r="H5413" i="1"/>
  <c r="I5413" i="1"/>
  <c r="L5413" i="1"/>
  <c r="M5413" i="1"/>
  <c r="V5413" i="1"/>
  <c r="W5413" i="1"/>
  <c r="A914" i="1"/>
  <c r="D914" i="1"/>
  <c r="F914" i="1"/>
  <c r="H914" i="1"/>
  <c r="I914" i="1"/>
  <c r="L914" i="1"/>
  <c r="M914" i="1"/>
  <c r="V914" i="1"/>
  <c r="W914" i="1"/>
  <c r="A2066" i="1"/>
  <c r="D2066" i="1"/>
  <c r="F2066" i="1"/>
  <c r="H2066" i="1"/>
  <c r="I2066" i="1"/>
  <c r="L2066" i="1"/>
  <c r="M2066" i="1"/>
  <c r="V2066" i="1"/>
  <c r="W2066" i="1"/>
  <c r="A2083" i="1"/>
  <c r="D2083" i="1"/>
  <c r="F2083" i="1"/>
  <c r="H2083" i="1"/>
  <c r="I2083" i="1"/>
  <c r="L2083" i="1"/>
  <c r="M2083" i="1"/>
  <c r="V2083" i="1"/>
  <c r="W2083" i="1"/>
  <c r="A5384" i="1"/>
  <c r="D5384" i="1"/>
  <c r="F5384" i="1"/>
  <c r="H5384" i="1"/>
  <c r="I5384" i="1"/>
  <c r="L5384" i="1"/>
  <c r="M5384" i="1"/>
  <c r="V5384" i="1"/>
  <c r="W5384" i="1"/>
  <c r="A6077" i="1"/>
  <c r="D6077" i="1"/>
  <c r="F6077" i="1"/>
  <c r="H6077" i="1"/>
  <c r="I6077" i="1"/>
  <c r="L6077" i="1"/>
  <c r="M6077" i="1"/>
  <c r="V6077" i="1"/>
  <c r="W6077" i="1"/>
  <c r="A5798" i="1"/>
  <c r="D5798" i="1"/>
  <c r="F5798" i="1"/>
  <c r="H5798" i="1"/>
  <c r="I5798" i="1"/>
  <c r="L5798" i="1"/>
  <c r="M5798" i="1"/>
  <c r="V5798" i="1"/>
  <c r="W5798" i="1"/>
  <c r="A196" i="1"/>
  <c r="D196" i="1"/>
  <c r="F196" i="1"/>
  <c r="H196" i="1"/>
  <c r="I196" i="1"/>
  <c r="L196" i="1"/>
  <c r="M196" i="1"/>
  <c r="V196" i="1"/>
  <c r="W196" i="1"/>
  <c r="A1147" i="1"/>
  <c r="D1147" i="1"/>
  <c r="F1147" i="1"/>
  <c r="H1147" i="1"/>
  <c r="I1147" i="1"/>
  <c r="L1147" i="1"/>
  <c r="M1147" i="1"/>
  <c r="V1147" i="1"/>
  <c r="W1147" i="1"/>
  <c r="A3988" i="1"/>
  <c r="D3988" i="1"/>
  <c r="F3988" i="1"/>
  <c r="H3988" i="1"/>
  <c r="I3988" i="1"/>
  <c r="L3988" i="1"/>
  <c r="M3988" i="1"/>
  <c r="V3988" i="1"/>
  <c r="W3988" i="1"/>
  <c r="A882" i="1"/>
  <c r="D882" i="1"/>
  <c r="F882" i="1"/>
  <c r="H882" i="1"/>
  <c r="I882" i="1"/>
  <c r="L882" i="1"/>
  <c r="M882" i="1"/>
  <c r="V882" i="1"/>
  <c r="W882" i="1"/>
  <c r="A3661" i="1"/>
  <c r="D3661" i="1"/>
  <c r="F3661" i="1"/>
  <c r="H3661" i="1"/>
  <c r="I3661" i="1"/>
  <c r="L3661" i="1"/>
  <c r="M3661" i="1"/>
  <c r="V3661" i="1"/>
  <c r="W3661" i="1"/>
  <c r="A4507" i="1"/>
  <c r="D4507" i="1"/>
  <c r="F4507" i="1"/>
  <c r="H4507" i="1"/>
  <c r="I4507" i="1"/>
  <c r="L4507" i="1"/>
  <c r="M4507" i="1"/>
  <c r="V4507" i="1"/>
  <c r="W4507" i="1"/>
  <c r="A1962" i="1"/>
  <c r="D1962" i="1"/>
  <c r="F1962" i="1"/>
  <c r="H1962" i="1"/>
  <c r="I1962" i="1"/>
  <c r="L1962" i="1"/>
  <c r="M1962" i="1"/>
  <c r="V1962" i="1"/>
  <c r="W1962" i="1"/>
  <c r="A2484" i="1"/>
  <c r="D2484" i="1"/>
  <c r="F2484" i="1"/>
  <c r="H2484" i="1"/>
  <c r="I2484" i="1"/>
  <c r="L2484" i="1"/>
  <c r="M2484" i="1"/>
  <c r="V2484" i="1"/>
  <c r="W2484" i="1"/>
  <c r="A2538" i="1"/>
  <c r="D2538" i="1"/>
  <c r="F2538" i="1"/>
  <c r="H2538" i="1"/>
  <c r="I2538" i="1"/>
  <c r="L2538" i="1"/>
  <c r="M2538" i="1"/>
  <c r="V2538" i="1"/>
  <c r="W2538" i="1"/>
  <c r="A992" i="1"/>
  <c r="D992" i="1"/>
  <c r="F992" i="1"/>
  <c r="H992" i="1"/>
  <c r="I992" i="1"/>
  <c r="L992" i="1"/>
  <c r="M992" i="1"/>
  <c r="V992" i="1"/>
  <c r="W992" i="1"/>
  <c r="A3295" i="1"/>
  <c r="D3295" i="1"/>
  <c r="F3295" i="1"/>
  <c r="H3295" i="1"/>
  <c r="I3295" i="1"/>
  <c r="L3295" i="1"/>
  <c r="M3295" i="1"/>
  <c r="V3295" i="1"/>
  <c r="W3295" i="1"/>
  <c r="A5189" i="1"/>
  <c r="D5189" i="1"/>
  <c r="F5189" i="1"/>
  <c r="H5189" i="1"/>
  <c r="I5189" i="1"/>
  <c r="L5189" i="1"/>
  <c r="M5189" i="1"/>
  <c r="V5189" i="1"/>
  <c r="W5189" i="1"/>
  <c r="A4113" i="1"/>
  <c r="D4113" i="1"/>
  <c r="F4113" i="1"/>
  <c r="H4113" i="1"/>
  <c r="I4113" i="1"/>
  <c r="L4113" i="1"/>
  <c r="M4113" i="1"/>
  <c r="V4113" i="1"/>
  <c r="W4113" i="1"/>
  <c r="A3366" i="1"/>
  <c r="D3366" i="1"/>
  <c r="F3366" i="1"/>
  <c r="H3366" i="1"/>
  <c r="I3366" i="1"/>
  <c r="L3366" i="1"/>
  <c r="M3366" i="1"/>
  <c r="V3366" i="1"/>
  <c r="W3366" i="1"/>
  <c r="A6059" i="1"/>
  <c r="D6059" i="1"/>
  <c r="F6059" i="1"/>
  <c r="H6059" i="1"/>
  <c r="I6059" i="1"/>
  <c r="L6059" i="1"/>
  <c r="M6059" i="1"/>
  <c r="V6059" i="1"/>
  <c r="W6059" i="1"/>
  <c r="A68" i="1"/>
  <c r="D68" i="1"/>
  <c r="F68" i="1"/>
  <c r="H68" i="1"/>
  <c r="I68" i="1"/>
  <c r="L68" i="1"/>
  <c r="M68" i="1"/>
  <c r="V68" i="1"/>
  <c r="W68" i="1"/>
  <c r="A359" i="1"/>
  <c r="D359" i="1"/>
  <c r="F359" i="1"/>
  <c r="H359" i="1"/>
  <c r="I359" i="1"/>
  <c r="L359" i="1"/>
  <c r="M359" i="1"/>
  <c r="V359" i="1"/>
  <c r="W359" i="1"/>
  <c r="A4929" i="1"/>
  <c r="D4929" i="1"/>
  <c r="F4929" i="1"/>
  <c r="H4929" i="1"/>
  <c r="I4929" i="1"/>
  <c r="L4929" i="1"/>
  <c r="M4929" i="1"/>
  <c r="V4929" i="1"/>
  <c r="W4929" i="1"/>
  <c r="A4916" i="1"/>
  <c r="D4916" i="1"/>
  <c r="F4916" i="1"/>
  <c r="H4916" i="1"/>
  <c r="I4916" i="1"/>
  <c r="L4916" i="1"/>
  <c r="M4916" i="1"/>
  <c r="V4916" i="1"/>
  <c r="W4916" i="1"/>
  <c r="A5133" i="1"/>
  <c r="D5133" i="1"/>
  <c r="F5133" i="1"/>
  <c r="H5133" i="1"/>
  <c r="I5133" i="1"/>
  <c r="L5133" i="1"/>
  <c r="M5133" i="1"/>
  <c r="V5133" i="1"/>
  <c r="W5133" i="1"/>
  <c r="A281" i="1"/>
  <c r="D281" i="1"/>
  <c r="F281" i="1"/>
  <c r="H281" i="1"/>
  <c r="I281" i="1"/>
  <c r="L281" i="1"/>
  <c r="M281" i="1"/>
  <c r="V281" i="1"/>
  <c r="W281" i="1"/>
  <c r="A5318" i="1"/>
  <c r="D5318" i="1"/>
  <c r="F5318" i="1"/>
  <c r="H5318" i="1"/>
  <c r="I5318" i="1"/>
  <c r="L5318" i="1"/>
  <c r="M5318" i="1"/>
  <c r="V5318" i="1"/>
  <c r="W5318" i="1"/>
  <c r="A2532" i="1"/>
  <c r="D2532" i="1"/>
  <c r="F2532" i="1"/>
  <c r="H2532" i="1"/>
  <c r="I2532" i="1"/>
  <c r="L2532" i="1"/>
  <c r="M2532" i="1"/>
  <c r="V2532" i="1"/>
  <c r="W2532" i="1"/>
  <c r="A746" i="1"/>
  <c r="D746" i="1"/>
  <c r="F746" i="1"/>
  <c r="H746" i="1"/>
  <c r="I746" i="1"/>
  <c r="L746" i="1"/>
  <c r="M746" i="1"/>
  <c r="V746" i="1"/>
  <c r="W746" i="1"/>
  <c r="A895" i="1"/>
  <c r="D895" i="1"/>
  <c r="F895" i="1"/>
  <c r="H895" i="1"/>
  <c r="I895" i="1"/>
  <c r="L895" i="1"/>
  <c r="M895" i="1"/>
  <c r="V895" i="1"/>
  <c r="W895" i="1"/>
  <c r="A706" i="1"/>
  <c r="D706" i="1"/>
  <c r="F706" i="1"/>
  <c r="H706" i="1"/>
  <c r="I706" i="1"/>
  <c r="L706" i="1"/>
  <c r="M706" i="1"/>
  <c r="V706" i="1"/>
  <c r="W706" i="1"/>
  <c r="A868" i="1"/>
  <c r="D868" i="1"/>
  <c r="F868" i="1"/>
  <c r="H868" i="1"/>
  <c r="I868" i="1"/>
  <c r="L868" i="1"/>
  <c r="M868" i="1"/>
  <c r="V868" i="1"/>
  <c r="W868" i="1"/>
  <c r="A372" i="1"/>
  <c r="D372" i="1"/>
  <c r="F372" i="1"/>
  <c r="H372" i="1"/>
  <c r="I372" i="1"/>
  <c r="L372" i="1"/>
  <c r="M372" i="1"/>
  <c r="V372" i="1"/>
  <c r="W372" i="1"/>
  <c r="A231" i="1"/>
  <c r="D231" i="1"/>
  <c r="F231" i="1"/>
  <c r="H231" i="1"/>
  <c r="I231" i="1"/>
  <c r="L231" i="1"/>
  <c r="M231" i="1"/>
  <c r="V231" i="1"/>
  <c r="W231" i="1"/>
  <c r="A1356" i="1"/>
  <c r="D1356" i="1"/>
  <c r="F1356" i="1"/>
  <c r="H1356" i="1"/>
  <c r="I1356" i="1"/>
  <c r="L1356" i="1"/>
  <c r="M1356" i="1"/>
  <c r="V1356" i="1"/>
  <c r="W1356" i="1"/>
  <c r="A2032" i="1"/>
  <c r="D2032" i="1"/>
  <c r="F2032" i="1"/>
  <c r="H2032" i="1"/>
  <c r="I2032" i="1"/>
  <c r="L2032" i="1"/>
  <c r="M2032" i="1"/>
  <c r="V2032" i="1"/>
  <c r="W2032" i="1"/>
  <c r="A3934" i="1"/>
  <c r="D3934" i="1"/>
  <c r="F3934" i="1"/>
  <c r="H3934" i="1"/>
  <c r="I3934" i="1"/>
  <c r="L3934" i="1"/>
  <c r="M3934" i="1"/>
  <c r="V3934" i="1"/>
  <c r="W3934" i="1"/>
  <c r="A2645" i="1"/>
  <c r="D2645" i="1"/>
  <c r="F2645" i="1"/>
  <c r="H2645" i="1"/>
  <c r="I2645" i="1"/>
  <c r="L2645" i="1"/>
  <c r="M2645" i="1"/>
  <c r="V2645" i="1"/>
  <c r="W2645" i="1"/>
  <c r="A3404" i="1"/>
  <c r="D3404" i="1"/>
  <c r="F3404" i="1"/>
  <c r="H3404" i="1"/>
  <c r="I3404" i="1"/>
  <c r="L3404" i="1"/>
  <c r="M3404" i="1"/>
  <c r="V3404" i="1"/>
  <c r="W3404" i="1"/>
  <c r="A856" i="1"/>
  <c r="D856" i="1"/>
  <c r="F856" i="1"/>
  <c r="H856" i="1"/>
  <c r="I856" i="1"/>
  <c r="L856" i="1"/>
  <c r="M856" i="1"/>
  <c r="V856" i="1"/>
  <c r="W856" i="1"/>
  <c r="A1118" i="1"/>
  <c r="D1118" i="1"/>
  <c r="F1118" i="1"/>
  <c r="H1118" i="1"/>
  <c r="I1118" i="1"/>
  <c r="L1118" i="1"/>
  <c r="M1118" i="1"/>
  <c r="V1118" i="1"/>
  <c r="W1118" i="1"/>
  <c r="A4014" i="1"/>
  <c r="D4014" i="1"/>
  <c r="F4014" i="1"/>
  <c r="H4014" i="1"/>
  <c r="I4014" i="1"/>
  <c r="L4014" i="1"/>
  <c r="M4014" i="1"/>
  <c r="V4014" i="1"/>
  <c r="W4014" i="1"/>
  <c r="A5354" i="1"/>
  <c r="D5354" i="1"/>
  <c r="F5354" i="1"/>
  <c r="H5354" i="1"/>
  <c r="I5354" i="1"/>
  <c r="L5354" i="1"/>
  <c r="M5354" i="1"/>
  <c r="V5354" i="1"/>
  <c r="W5354" i="1"/>
  <c r="A748" i="1"/>
  <c r="D748" i="1"/>
  <c r="F748" i="1"/>
  <c r="H748" i="1"/>
  <c r="I748" i="1"/>
  <c r="L748" i="1"/>
  <c r="M748" i="1"/>
  <c r="V748" i="1"/>
  <c r="W748" i="1"/>
  <c r="A696" i="1"/>
  <c r="D696" i="1"/>
  <c r="F696" i="1"/>
  <c r="H696" i="1"/>
  <c r="I696" i="1"/>
  <c r="L696" i="1"/>
  <c r="M696" i="1"/>
  <c r="V696" i="1"/>
  <c r="W696" i="1"/>
  <c r="A2751" i="1"/>
  <c r="D2751" i="1"/>
  <c r="F2751" i="1"/>
  <c r="H2751" i="1"/>
  <c r="I2751" i="1"/>
  <c r="L2751" i="1"/>
  <c r="M2751" i="1"/>
  <c r="V2751" i="1"/>
  <c r="W2751" i="1"/>
  <c r="A3847" i="1"/>
  <c r="D3847" i="1"/>
  <c r="F3847" i="1"/>
  <c r="H3847" i="1"/>
  <c r="I3847" i="1"/>
  <c r="L3847" i="1"/>
  <c r="M3847" i="1"/>
  <c r="V3847" i="1"/>
  <c r="W3847" i="1"/>
  <c r="A4022" i="1"/>
  <c r="D4022" i="1"/>
  <c r="F4022" i="1"/>
  <c r="H4022" i="1"/>
  <c r="I4022" i="1"/>
  <c r="L4022" i="1"/>
  <c r="M4022" i="1"/>
  <c r="V4022" i="1"/>
  <c r="W4022" i="1"/>
  <c r="A4186" i="1"/>
  <c r="D4186" i="1"/>
  <c r="F4186" i="1"/>
  <c r="H4186" i="1"/>
  <c r="I4186" i="1"/>
  <c r="L4186" i="1"/>
  <c r="M4186" i="1"/>
  <c r="V4186" i="1"/>
  <c r="W4186" i="1"/>
  <c r="A4588" i="1"/>
  <c r="D4588" i="1"/>
  <c r="F4588" i="1"/>
  <c r="H4588" i="1"/>
  <c r="I4588" i="1"/>
  <c r="L4588" i="1"/>
  <c r="M4588" i="1"/>
  <c r="V4588" i="1"/>
  <c r="W4588" i="1"/>
  <c r="A4211" i="1"/>
  <c r="D4211" i="1"/>
  <c r="F4211" i="1"/>
  <c r="H4211" i="1"/>
  <c r="I4211" i="1"/>
  <c r="L4211" i="1"/>
  <c r="M4211" i="1"/>
  <c r="V4211" i="1"/>
  <c r="W4211" i="1"/>
  <c r="A4690" i="1"/>
  <c r="D4690" i="1"/>
  <c r="F4690" i="1"/>
  <c r="H4690" i="1"/>
  <c r="I4690" i="1"/>
  <c r="L4690" i="1"/>
  <c r="M4690" i="1"/>
  <c r="V4690" i="1"/>
  <c r="W4690" i="1"/>
  <c r="A2882" i="1"/>
  <c r="D2882" i="1"/>
  <c r="F2882" i="1"/>
  <c r="H2882" i="1"/>
  <c r="I2882" i="1"/>
  <c r="L2882" i="1"/>
  <c r="M2882" i="1"/>
  <c r="V2882" i="1"/>
  <c r="W2882" i="1"/>
  <c r="A2969" i="1"/>
  <c r="D2969" i="1"/>
  <c r="F2969" i="1"/>
  <c r="H2969" i="1"/>
  <c r="I2969" i="1"/>
  <c r="L2969" i="1"/>
  <c r="M2969" i="1"/>
  <c r="V2969" i="1"/>
  <c r="W2969" i="1"/>
  <c r="A2796" i="1"/>
  <c r="D2796" i="1"/>
  <c r="F2796" i="1"/>
  <c r="H2796" i="1"/>
  <c r="I2796" i="1"/>
  <c r="L2796" i="1"/>
  <c r="M2796" i="1"/>
  <c r="V2796" i="1"/>
  <c r="W2796" i="1"/>
  <c r="A5009" i="1"/>
  <c r="D5009" i="1"/>
  <c r="F5009" i="1"/>
  <c r="H5009" i="1"/>
  <c r="I5009" i="1"/>
  <c r="L5009" i="1"/>
  <c r="M5009" i="1"/>
  <c r="V5009" i="1"/>
  <c r="W5009" i="1"/>
  <c r="A3702" i="1"/>
  <c r="D3702" i="1"/>
  <c r="F3702" i="1"/>
  <c r="H3702" i="1"/>
  <c r="I3702" i="1"/>
  <c r="L3702" i="1"/>
  <c r="M3702" i="1"/>
  <c r="V3702" i="1"/>
  <c r="W3702" i="1"/>
  <c r="A4068" i="1"/>
  <c r="D4068" i="1"/>
  <c r="F4068" i="1"/>
  <c r="H4068" i="1"/>
  <c r="I4068" i="1"/>
  <c r="L4068" i="1"/>
  <c r="M4068" i="1"/>
  <c r="V4068" i="1"/>
  <c r="W4068" i="1"/>
  <c r="A1921" i="1"/>
  <c r="D1921" i="1"/>
  <c r="F1921" i="1"/>
  <c r="H1921" i="1"/>
  <c r="I1921" i="1"/>
  <c r="L1921" i="1"/>
  <c r="M1921" i="1"/>
  <c r="V1921" i="1"/>
  <c r="W1921" i="1"/>
  <c r="A1607" i="1"/>
  <c r="D1607" i="1"/>
  <c r="F1607" i="1"/>
  <c r="H1607" i="1"/>
  <c r="I1607" i="1"/>
  <c r="L1607" i="1"/>
  <c r="M1607" i="1"/>
  <c r="V1607" i="1"/>
  <c r="W1607" i="1"/>
  <c r="A3090" i="1"/>
  <c r="D3090" i="1"/>
  <c r="F3090" i="1"/>
  <c r="H3090" i="1"/>
  <c r="I3090" i="1"/>
  <c r="L3090" i="1"/>
  <c r="M3090" i="1"/>
  <c r="V3090" i="1"/>
  <c r="W3090" i="1"/>
  <c r="A3153" i="1"/>
  <c r="D3153" i="1"/>
  <c r="F3153" i="1"/>
  <c r="H3153" i="1"/>
  <c r="I3153" i="1"/>
  <c r="L3153" i="1"/>
  <c r="M3153" i="1"/>
  <c r="V3153" i="1"/>
  <c r="W3153" i="1"/>
  <c r="A2913" i="1"/>
  <c r="D2913" i="1"/>
  <c r="F2913" i="1"/>
  <c r="H2913" i="1"/>
  <c r="I2913" i="1"/>
  <c r="L2913" i="1"/>
  <c r="M2913" i="1"/>
  <c r="V2913" i="1"/>
  <c r="W2913" i="1"/>
  <c r="A1099" i="1"/>
  <c r="D1099" i="1"/>
  <c r="F1099" i="1"/>
  <c r="H1099" i="1"/>
  <c r="I1099" i="1"/>
  <c r="L1099" i="1"/>
  <c r="M1099" i="1"/>
  <c r="V1099" i="1"/>
  <c r="W1099" i="1"/>
  <c r="A2041" i="1"/>
  <c r="D2041" i="1"/>
  <c r="F2041" i="1"/>
  <c r="H2041" i="1"/>
  <c r="I2041" i="1"/>
  <c r="L2041" i="1"/>
  <c r="M2041" i="1"/>
  <c r="V2041" i="1"/>
  <c r="W2041" i="1"/>
  <c r="A3489" i="1"/>
  <c r="D3489" i="1"/>
  <c r="F3489" i="1"/>
  <c r="H3489" i="1"/>
  <c r="I3489" i="1"/>
  <c r="L3489" i="1"/>
  <c r="M3489" i="1"/>
  <c r="V3489" i="1"/>
  <c r="W3489" i="1"/>
  <c r="A5352" i="1"/>
  <c r="D5352" i="1"/>
  <c r="F5352" i="1"/>
  <c r="H5352" i="1"/>
  <c r="I5352" i="1"/>
  <c r="L5352" i="1"/>
  <c r="M5352" i="1"/>
  <c r="V5352" i="1"/>
  <c r="W5352" i="1"/>
  <c r="A667" i="1"/>
  <c r="D667" i="1"/>
  <c r="F667" i="1"/>
  <c r="H667" i="1"/>
  <c r="I667" i="1"/>
  <c r="L667" i="1"/>
  <c r="M667" i="1"/>
  <c r="V667" i="1"/>
  <c r="W667" i="1"/>
  <c r="A939" i="1"/>
  <c r="D939" i="1"/>
  <c r="F939" i="1"/>
  <c r="H939" i="1"/>
  <c r="I939" i="1"/>
  <c r="L939" i="1"/>
  <c r="M939" i="1"/>
  <c r="V939" i="1"/>
  <c r="W939" i="1"/>
  <c r="A1277" i="1"/>
  <c r="D1277" i="1"/>
  <c r="F1277" i="1"/>
  <c r="H1277" i="1"/>
  <c r="I1277" i="1"/>
  <c r="L1277" i="1"/>
  <c r="M1277" i="1"/>
  <c r="V1277" i="1"/>
  <c r="W1277" i="1"/>
  <c r="A1709" i="1"/>
  <c r="D1709" i="1"/>
  <c r="F1709" i="1"/>
  <c r="H1709" i="1"/>
  <c r="I1709" i="1"/>
  <c r="L1709" i="1"/>
  <c r="M1709" i="1"/>
  <c r="V1709" i="1"/>
  <c r="W1709" i="1"/>
  <c r="A1537" i="1"/>
  <c r="D1537" i="1"/>
  <c r="F1537" i="1"/>
  <c r="H1537" i="1"/>
  <c r="I1537" i="1"/>
  <c r="L1537" i="1"/>
  <c r="M1537" i="1"/>
  <c r="V1537" i="1"/>
  <c r="W1537" i="1"/>
  <c r="A1111" i="1"/>
  <c r="D1111" i="1"/>
  <c r="F1111" i="1"/>
  <c r="H1111" i="1"/>
  <c r="I1111" i="1"/>
  <c r="L1111" i="1"/>
  <c r="M1111" i="1"/>
  <c r="V1111" i="1"/>
  <c r="W1111" i="1"/>
  <c r="A760" i="1"/>
  <c r="D760" i="1"/>
  <c r="F760" i="1"/>
  <c r="H760" i="1"/>
  <c r="I760" i="1"/>
  <c r="L760" i="1"/>
  <c r="M760" i="1"/>
  <c r="V760" i="1"/>
  <c r="W760" i="1"/>
  <c r="A906" i="1"/>
  <c r="D906" i="1"/>
  <c r="F906" i="1"/>
  <c r="H906" i="1"/>
  <c r="I906" i="1"/>
  <c r="L906" i="1"/>
  <c r="M906" i="1"/>
  <c r="V906" i="1"/>
  <c r="W906" i="1"/>
  <c r="A2500" i="1"/>
  <c r="D2500" i="1"/>
  <c r="F2500" i="1"/>
  <c r="H2500" i="1"/>
  <c r="I2500" i="1"/>
  <c r="L2500" i="1"/>
  <c r="M2500" i="1"/>
  <c r="V2500" i="1"/>
  <c r="W2500" i="1"/>
  <c r="A2719" i="1"/>
  <c r="D2719" i="1"/>
  <c r="F2719" i="1"/>
  <c r="H2719" i="1"/>
  <c r="I2719" i="1"/>
  <c r="L2719" i="1"/>
  <c r="M2719" i="1"/>
  <c r="V2719" i="1"/>
  <c r="W2719" i="1"/>
  <c r="A3388" i="1"/>
  <c r="D3388" i="1"/>
  <c r="F3388" i="1"/>
  <c r="H3388" i="1"/>
  <c r="I3388" i="1"/>
  <c r="L3388" i="1"/>
  <c r="M3388" i="1"/>
  <c r="V3388" i="1"/>
  <c r="W3388" i="1"/>
  <c r="A2050" i="1"/>
  <c r="D2050" i="1"/>
  <c r="F2050" i="1"/>
  <c r="H2050" i="1"/>
  <c r="I2050" i="1"/>
  <c r="L2050" i="1"/>
  <c r="M2050" i="1"/>
  <c r="V2050" i="1"/>
  <c r="W2050" i="1"/>
  <c r="A4072" i="1"/>
  <c r="D4072" i="1"/>
  <c r="F4072" i="1"/>
  <c r="H4072" i="1"/>
  <c r="I4072" i="1"/>
  <c r="L4072" i="1"/>
  <c r="M4072" i="1"/>
  <c r="V4072" i="1"/>
  <c r="W4072" i="1"/>
  <c r="A1231" i="1"/>
  <c r="D1231" i="1"/>
  <c r="F1231" i="1"/>
  <c r="H1231" i="1"/>
  <c r="I1231" i="1"/>
  <c r="L1231" i="1"/>
  <c r="M1231" i="1"/>
  <c r="V1231" i="1"/>
  <c r="W1231" i="1"/>
  <c r="A1393" i="1"/>
  <c r="D1393" i="1"/>
  <c r="F1393" i="1"/>
  <c r="H1393" i="1"/>
  <c r="I1393" i="1"/>
  <c r="L1393" i="1"/>
  <c r="M1393" i="1"/>
  <c r="V1393" i="1"/>
  <c r="W1393" i="1"/>
  <c r="A4875" i="1"/>
  <c r="D4875" i="1"/>
  <c r="F4875" i="1"/>
  <c r="H4875" i="1"/>
  <c r="I4875" i="1"/>
  <c r="L4875" i="1"/>
  <c r="M4875" i="1"/>
  <c r="V4875" i="1"/>
  <c r="W4875" i="1"/>
  <c r="A2412" i="1"/>
  <c r="D2412" i="1"/>
  <c r="F2412" i="1"/>
  <c r="H2412" i="1"/>
  <c r="I2412" i="1"/>
  <c r="L2412" i="1"/>
  <c r="M2412" i="1"/>
  <c r="V2412" i="1"/>
  <c r="W2412" i="1"/>
  <c r="A176" i="1"/>
  <c r="D176" i="1"/>
  <c r="F176" i="1"/>
  <c r="H176" i="1"/>
  <c r="I176" i="1"/>
  <c r="L176" i="1"/>
  <c r="M176" i="1"/>
  <c r="V176" i="1"/>
  <c r="W176" i="1"/>
  <c r="A4253" i="1"/>
  <c r="D4253" i="1"/>
  <c r="F4253" i="1"/>
  <c r="H4253" i="1"/>
  <c r="I4253" i="1"/>
  <c r="L4253" i="1"/>
  <c r="M4253" i="1"/>
  <c r="V4253" i="1"/>
  <c r="W4253" i="1"/>
  <c r="A4615" i="1"/>
  <c r="D4615" i="1"/>
  <c r="F4615" i="1"/>
  <c r="H4615" i="1"/>
  <c r="I4615" i="1"/>
  <c r="L4615" i="1"/>
  <c r="M4615" i="1"/>
  <c r="V4615" i="1"/>
  <c r="W4615" i="1"/>
  <c r="A3041" i="1"/>
  <c r="D3041" i="1"/>
  <c r="F3041" i="1"/>
  <c r="H3041" i="1"/>
  <c r="I3041" i="1"/>
  <c r="L3041" i="1"/>
  <c r="M3041" i="1"/>
  <c r="V3041" i="1"/>
  <c r="W3041" i="1"/>
  <c r="A3206" i="1"/>
  <c r="D3206" i="1"/>
  <c r="F3206" i="1"/>
  <c r="H3206" i="1"/>
  <c r="I3206" i="1"/>
  <c r="L3206" i="1"/>
  <c r="M3206" i="1"/>
  <c r="V3206" i="1"/>
  <c r="W3206" i="1"/>
  <c r="A1987" i="1"/>
  <c r="D1987" i="1"/>
  <c r="F1987" i="1"/>
  <c r="H1987" i="1"/>
  <c r="I1987" i="1"/>
  <c r="L1987" i="1"/>
  <c r="M1987" i="1"/>
  <c r="V1987" i="1"/>
  <c r="W1987" i="1"/>
  <c r="A2123" i="1"/>
  <c r="D2123" i="1"/>
  <c r="F2123" i="1"/>
  <c r="H2123" i="1"/>
  <c r="I2123" i="1"/>
  <c r="L2123" i="1"/>
  <c r="M2123" i="1"/>
  <c r="V2123" i="1"/>
  <c r="W2123" i="1"/>
  <c r="A101" i="1"/>
  <c r="D101" i="1"/>
  <c r="F101" i="1"/>
  <c r="H101" i="1"/>
  <c r="I101" i="1"/>
  <c r="L101" i="1"/>
  <c r="M101" i="1"/>
  <c r="V101" i="1"/>
  <c r="W101" i="1"/>
  <c r="A20" i="1"/>
  <c r="D20" i="1"/>
  <c r="F20" i="1"/>
  <c r="H20" i="1"/>
  <c r="I20" i="1"/>
  <c r="L20" i="1"/>
  <c r="M20" i="1"/>
  <c r="V20" i="1"/>
  <c r="W20" i="1"/>
  <c r="A3912" i="1"/>
  <c r="D3912" i="1"/>
  <c r="F3912" i="1"/>
  <c r="H3912" i="1"/>
  <c r="I3912" i="1"/>
  <c r="L3912" i="1"/>
  <c r="M3912" i="1"/>
  <c r="V3912" i="1"/>
  <c r="W3912" i="1"/>
  <c r="A73" i="1"/>
  <c r="D73" i="1"/>
  <c r="F73" i="1"/>
  <c r="H73" i="1"/>
  <c r="I73" i="1"/>
  <c r="L73" i="1"/>
  <c r="M73" i="1"/>
  <c r="V73" i="1"/>
  <c r="W73" i="1"/>
  <c r="A3074" i="1"/>
  <c r="D3074" i="1"/>
  <c r="F3074" i="1"/>
  <c r="H3074" i="1"/>
  <c r="I3074" i="1"/>
  <c r="L3074" i="1"/>
  <c r="M3074" i="1"/>
  <c r="V3074" i="1"/>
  <c r="W3074" i="1"/>
  <c r="A3476" i="1"/>
  <c r="D3476" i="1"/>
  <c r="F3476" i="1"/>
  <c r="H3476" i="1"/>
  <c r="I3476" i="1"/>
  <c r="L3476" i="1"/>
  <c r="M3476" i="1"/>
  <c r="V3476" i="1"/>
  <c r="W3476" i="1"/>
  <c r="A3542" i="1"/>
  <c r="D3542" i="1"/>
  <c r="F3542" i="1"/>
  <c r="H3542" i="1"/>
  <c r="I3542" i="1"/>
  <c r="L3542" i="1"/>
  <c r="M3542" i="1"/>
  <c r="V3542" i="1"/>
  <c r="W3542" i="1"/>
  <c r="A2161" i="1"/>
  <c r="D2161" i="1"/>
  <c r="F2161" i="1"/>
  <c r="H2161" i="1"/>
  <c r="I2161" i="1"/>
  <c r="L2161" i="1"/>
  <c r="M2161" i="1"/>
  <c r="V2161" i="1"/>
  <c r="W2161" i="1"/>
  <c r="A2208" i="1"/>
  <c r="D2208" i="1"/>
  <c r="F2208" i="1"/>
  <c r="H2208" i="1"/>
  <c r="I2208" i="1"/>
  <c r="L2208" i="1"/>
  <c r="M2208" i="1"/>
  <c r="V2208" i="1"/>
  <c r="W2208" i="1"/>
  <c r="A5244" i="1"/>
  <c r="D5244" i="1"/>
  <c r="F5244" i="1"/>
  <c r="H5244" i="1"/>
  <c r="I5244" i="1"/>
  <c r="L5244" i="1"/>
  <c r="M5244" i="1"/>
  <c r="V5244" i="1"/>
  <c r="W5244" i="1"/>
  <c r="A2261" i="1"/>
  <c r="D2261" i="1"/>
  <c r="F2261" i="1"/>
  <c r="H2261" i="1"/>
  <c r="I2261" i="1"/>
  <c r="L2261" i="1"/>
  <c r="M2261" i="1"/>
  <c r="V2261" i="1"/>
  <c r="W2261" i="1"/>
  <c r="A2293" i="1"/>
  <c r="D2293" i="1"/>
  <c r="F2293" i="1"/>
  <c r="H2293" i="1"/>
  <c r="I2293" i="1"/>
  <c r="L2293" i="1"/>
  <c r="M2293" i="1"/>
  <c r="V2293" i="1"/>
  <c r="W2293" i="1"/>
  <c r="A342" i="1"/>
  <c r="D342" i="1"/>
  <c r="F342" i="1"/>
  <c r="H342" i="1"/>
  <c r="I342" i="1"/>
  <c r="L342" i="1"/>
  <c r="M342" i="1"/>
  <c r="V342" i="1"/>
  <c r="W342" i="1"/>
  <c r="A3282" i="1"/>
  <c r="D3282" i="1"/>
  <c r="F3282" i="1"/>
  <c r="H3282" i="1"/>
  <c r="I3282" i="1"/>
  <c r="L3282" i="1"/>
  <c r="M3282" i="1"/>
  <c r="V3282" i="1"/>
  <c r="W3282" i="1"/>
  <c r="A3721" i="1"/>
  <c r="D3721" i="1"/>
  <c r="F3721" i="1"/>
  <c r="H3721" i="1"/>
  <c r="I3721" i="1"/>
  <c r="L3721" i="1"/>
  <c r="M3721" i="1"/>
  <c r="V3721" i="1"/>
  <c r="W3721" i="1"/>
  <c r="A1985" i="1"/>
  <c r="D1985" i="1"/>
  <c r="F1985" i="1"/>
  <c r="H1985" i="1"/>
  <c r="I1985" i="1"/>
  <c r="L1985" i="1"/>
  <c r="M1985" i="1"/>
  <c r="V1985" i="1"/>
  <c r="W1985" i="1"/>
  <c r="A804" i="1"/>
  <c r="D804" i="1"/>
  <c r="F804" i="1"/>
  <c r="H804" i="1"/>
  <c r="I804" i="1"/>
  <c r="L804" i="1"/>
  <c r="M804" i="1"/>
  <c r="V804" i="1"/>
  <c r="W804" i="1"/>
  <c r="A3724" i="1"/>
  <c r="D3724" i="1"/>
  <c r="F3724" i="1"/>
  <c r="H3724" i="1"/>
  <c r="I3724" i="1"/>
  <c r="L3724" i="1"/>
  <c r="M3724" i="1"/>
  <c r="V3724" i="1"/>
  <c r="W3724" i="1"/>
  <c r="A6017" i="1"/>
  <c r="D6017" i="1"/>
  <c r="F6017" i="1"/>
  <c r="H6017" i="1"/>
  <c r="I6017" i="1"/>
  <c r="L6017" i="1"/>
  <c r="M6017" i="1"/>
  <c r="V6017" i="1"/>
  <c r="W6017" i="1"/>
  <c r="A4796" i="1"/>
  <c r="D4796" i="1"/>
  <c r="F4796" i="1"/>
  <c r="H4796" i="1"/>
  <c r="I4796" i="1"/>
  <c r="L4796" i="1"/>
  <c r="M4796" i="1"/>
  <c r="V4796" i="1"/>
  <c r="W4796" i="1"/>
  <c r="A469" i="1"/>
  <c r="D469" i="1"/>
  <c r="F469" i="1"/>
  <c r="H469" i="1"/>
  <c r="I469" i="1"/>
  <c r="L469" i="1"/>
  <c r="M469" i="1"/>
  <c r="V469" i="1"/>
  <c r="W469" i="1"/>
  <c r="A530" i="1"/>
  <c r="D530" i="1"/>
  <c r="F530" i="1"/>
  <c r="H530" i="1"/>
  <c r="I530" i="1"/>
  <c r="L530" i="1"/>
  <c r="M530" i="1"/>
  <c r="V530" i="1"/>
  <c r="W530" i="1"/>
  <c r="A34" i="1"/>
  <c r="D34" i="1"/>
  <c r="F34" i="1"/>
  <c r="H34" i="1"/>
  <c r="I34" i="1"/>
  <c r="L34" i="1"/>
  <c r="M34" i="1"/>
  <c r="V34" i="1"/>
  <c r="W34" i="1"/>
  <c r="A267" i="1"/>
  <c r="D267" i="1"/>
  <c r="F267" i="1"/>
  <c r="H267" i="1"/>
  <c r="I267" i="1"/>
  <c r="L267" i="1"/>
  <c r="M267" i="1"/>
  <c r="V267" i="1"/>
  <c r="W267" i="1"/>
  <c r="A4459" i="1"/>
  <c r="D4459" i="1"/>
  <c r="F4459" i="1"/>
  <c r="H4459" i="1"/>
  <c r="I4459" i="1"/>
  <c r="L4459" i="1"/>
  <c r="M4459" i="1"/>
  <c r="V4459" i="1"/>
  <c r="W4459" i="1"/>
  <c r="A1470" i="1"/>
  <c r="D1470" i="1"/>
  <c r="F1470" i="1"/>
  <c r="H1470" i="1"/>
  <c r="I1470" i="1"/>
  <c r="L1470" i="1"/>
  <c r="M1470" i="1"/>
  <c r="V1470" i="1"/>
  <c r="W1470" i="1"/>
  <c r="A5275" i="1"/>
  <c r="D5275" i="1"/>
  <c r="F5275" i="1"/>
  <c r="H5275" i="1"/>
  <c r="I5275" i="1"/>
  <c r="L5275" i="1"/>
  <c r="M5275" i="1"/>
  <c r="V5275" i="1"/>
  <c r="W5275" i="1"/>
  <c r="A964" i="1"/>
  <c r="D964" i="1"/>
  <c r="F964" i="1"/>
  <c r="H964" i="1"/>
  <c r="I964" i="1"/>
  <c r="L964" i="1"/>
  <c r="M964" i="1"/>
  <c r="V964" i="1"/>
  <c r="W964" i="1"/>
  <c r="A4363" i="1"/>
  <c r="D4363" i="1"/>
  <c r="F4363" i="1"/>
  <c r="H4363" i="1"/>
  <c r="I4363" i="1"/>
  <c r="L4363" i="1"/>
  <c r="M4363" i="1"/>
  <c r="V4363" i="1"/>
  <c r="W4363" i="1"/>
  <c r="A266" i="1"/>
  <c r="D266" i="1"/>
  <c r="F266" i="1"/>
  <c r="H266" i="1"/>
  <c r="I266" i="1"/>
  <c r="L266" i="1"/>
  <c r="M266" i="1"/>
  <c r="V266" i="1"/>
  <c r="W266" i="1"/>
  <c r="A2988" i="1"/>
  <c r="D2988" i="1"/>
  <c r="F2988" i="1"/>
  <c r="H2988" i="1"/>
  <c r="I2988" i="1"/>
  <c r="L2988" i="1"/>
  <c r="M2988" i="1"/>
  <c r="V2988" i="1"/>
  <c r="W2988" i="1"/>
  <c r="A3728" i="1"/>
  <c r="D3728" i="1"/>
  <c r="F3728" i="1"/>
  <c r="H3728" i="1"/>
  <c r="I3728" i="1"/>
  <c r="L3728" i="1"/>
  <c r="M3728" i="1"/>
  <c r="V3728" i="1"/>
  <c r="W3728" i="1"/>
  <c r="A5296" i="1"/>
  <c r="D5296" i="1"/>
  <c r="F5296" i="1"/>
  <c r="H5296" i="1"/>
  <c r="I5296" i="1"/>
  <c r="L5296" i="1"/>
  <c r="M5296" i="1"/>
  <c r="V5296" i="1"/>
  <c r="W5296" i="1"/>
  <c r="A998" i="1"/>
  <c r="D998" i="1"/>
  <c r="F998" i="1"/>
  <c r="H998" i="1"/>
  <c r="I998" i="1"/>
  <c r="L998" i="1"/>
  <c r="M998" i="1"/>
  <c r="V998" i="1"/>
  <c r="W998" i="1"/>
  <c r="A997" i="1"/>
  <c r="D997" i="1"/>
  <c r="F997" i="1"/>
  <c r="H997" i="1"/>
  <c r="I997" i="1"/>
  <c r="L997" i="1"/>
  <c r="M997" i="1"/>
  <c r="V997" i="1"/>
  <c r="W997" i="1"/>
  <c r="A2687" i="1"/>
  <c r="D2687" i="1"/>
  <c r="F2687" i="1"/>
  <c r="H2687" i="1"/>
  <c r="I2687" i="1"/>
  <c r="L2687" i="1"/>
  <c r="M2687" i="1"/>
  <c r="V2687" i="1"/>
  <c r="W2687" i="1"/>
  <c r="A2150" i="1"/>
  <c r="D2150" i="1"/>
  <c r="F2150" i="1"/>
  <c r="H2150" i="1"/>
  <c r="I2150" i="1"/>
  <c r="L2150" i="1"/>
  <c r="M2150" i="1"/>
  <c r="V2150" i="1"/>
  <c r="W2150" i="1"/>
  <c r="A5489" i="1"/>
  <c r="D5489" i="1"/>
  <c r="F5489" i="1"/>
  <c r="H5489" i="1"/>
  <c r="I5489" i="1"/>
  <c r="L5489" i="1"/>
  <c r="M5489" i="1"/>
  <c r="V5489" i="1"/>
  <c r="W5489" i="1"/>
  <c r="A648" i="1"/>
  <c r="D648" i="1"/>
  <c r="F648" i="1"/>
  <c r="H648" i="1"/>
  <c r="I648" i="1"/>
  <c r="L648" i="1"/>
  <c r="M648" i="1"/>
  <c r="V648" i="1"/>
  <c r="W648" i="1"/>
  <c r="A3087" i="1"/>
  <c r="D3087" i="1"/>
  <c r="F3087" i="1"/>
  <c r="H3087" i="1"/>
  <c r="I3087" i="1"/>
  <c r="L3087" i="1"/>
  <c r="M3087" i="1"/>
  <c r="V3087" i="1"/>
  <c r="W3087" i="1"/>
  <c r="A3128" i="1"/>
  <c r="D3128" i="1"/>
  <c r="F3128" i="1"/>
  <c r="H3128" i="1"/>
  <c r="I3128" i="1"/>
  <c r="L3128" i="1"/>
  <c r="M3128" i="1"/>
  <c r="V3128" i="1"/>
  <c r="W3128" i="1"/>
  <c r="A1244" i="1"/>
  <c r="D1244" i="1"/>
  <c r="F1244" i="1"/>
  <c r="H1244" i="1"/>
  <c r="I1244" i="1"/>
  <c r="L1244" i="1"/>
  <c r="M1244" i="1"/>
  <c r="V1244" i="1"/>
  <c r="W1244" i="1"/>
  <c r="A1382" i="1"/>
  <c r="D1382" i="1"/>
  <c r="F1382" i="1"/>
  <c r="H1382" i="1"/>
  <c r="I1382" i="1"/>
  <c r="L1382" i="1"/>
  <c r="M1382" i="1"/>
  <c r="V1382" i="1"/>
  <c r="W1382" i="1"/>
  <c r="A2643" i="1"/>
  <c r="D2643" i="1"/>
  <c r="F2643" i="1"/>
  <c r="H2643" i="1"/>
  <c r="I2643" i="1"/>
  <c r="L2643" i="1"/>
  <c r="M2643" i="1"/>
  <c r="V2643" i="1"/>
  <c r="W2643" i="1"/>
  <c r="A4677" i="1"/>
  <c r="D4677" i="1"/>
  <c r="F4677" i="1"/>
  <c r="H4677" i="1"/>
  <c r="I4677" i="1"/>
  <c r="L4677" i="1"/>
  <c r="M4677" i="1"/>
  <c r="V4677" i="1"/>
  <c r="W4677" i="1"/>
  <c r="A2884" i="1"/>
  <c r="D2884" i="1"/>
  <c r="F2884" i="1"/>
  <c r="H2884" i="1"/>
  <c r="I2884" i="1"/>
  <c r="L2884" i="1"/>
  <c r="M2884" i="1"/>
  <c r="V2884" i="1"/>
  <c r="W2884" i="1"/>
  <c r="A2967" i="1"/>
  <c r="D2967" i="1"/>
  <c r="F2967" i="1"/>
  <c r="H2967" i="1"/>
  <c r="I2967" i="1"/>
  <c r="L2967" i="1"/>
  <c r="M2967" i="1"/>
  <c r="V2967" i="1"/>
  <c r="W2967" i="1"/>
  <c r="A2794" i="1"/>
  <c r="D2794" i="1"/>
  <c r="F2794" i="1"/>
  <c r="H2794" i="1"/>
  <c r="I2794" i="1"/>
  <c r="L2794" i="1"/>
  <c r="M2794" i="1"/>
  <c r="V2794" i="1"/>
  <c r="W2794" i="1"/>
  <c r="A2012" i="1"/>
  <c r="D2012" i="1"/>
  <c r="F2012" i="1"/>
  <c r="H2012" i="1"/>
  <c r="I2012" i="1"/>
  <c r="L2012" i="1"/>
  <c r="M2012" i="1"/>
  <c r="V2012" i="1"/>
  <c r="W2012" i="1"/>
  <c r="A22" i="1"/>
  <c r="D22" i="1"/>
  <c r="F22" i="1"/>
  <c r="H22" i="1"/>
  <c r="I22" i="1"/>
  <c r="L22" i="1"/>
  <c r="M22" i="1"/>
  <c r="V22" i="1"/>
  <c r="W22" i="1"/>
  <c r="A6174" i="1"/>
  <c r="D6174" i="1"/>
  <c r="F6174" i="1"/>
  <c r="H6174" i="1"/>
  <c r="I6174" i="1"/>
  <c r="L6174" i="1"/>
  <c r="M6174" i="1"/>
  <c r="V6174" i="1"/>
  <c r="W6174" i="1"/>
  <c r="A3037" i="1"/>
  <c r="D3037" i="1"/>
  <c r="F3037" i="1"/>
  <c r="H3037" i="1"/>
  <c r="I3037" i="1"/>
  <c r="L3037" i="1"/>
  <c r="M3037" i="1"/>
  <c r="V3037" i="1"/>
  <c r="W3037" i="1"/>
  <c r="A151" i="1"/>
  <c r="D151" i="1"/>
  <c r="F151" i="1"/>
  <c r="H151" i="1"/>
  <c r="I151" i="1"/>
  <c r="L151" i="1"/>
  <c r="M151" i="1"/>
  <c r="V151" i="1"/>
  <c r="W151" i="1"/>
  <c r="A4393" i="1"/>
  <c r="D4393" i="1"/>
  <c r="F4393" i="1"/>
  <c r="H4393" i="1"/>
  <c r="I4393" i="1"/>
  <c r="L4393" i="1"/>
  <c r="M4393" i="1"/>
  <c r="V4393" i="1"/>
  <c r="W4393" i="1"/>
  <c r="A1110" i="1"/>
  <c r="D1110" i="1"/>
  <c r="F1110" i="1"/>
  <c r="H1110" i="1"/>
  <c r="I1110" i="1"/>
  <c r="L1110" i="1"/>
  <c r="M1110" i="1"/>
  <c r="V1110" i="1"/>
  <c r="W1110" i="1"/>
  <c r="A4542" i="1"/>
  <c r="D4542" i="1"/>
  <c r="F4542" i="1"/>
  <c r="H4542" i="1"/>
  <c r="I4542" i="1"/>
  <c r="L4542" i="1"/>
  <c r="M4542" i="1"/>
  <c r="V4542" i="1"/>
  <c r="W4542" i="1"/>
  <c r="A1967" i="1"/>
  <c r="D1967" i="1"/>
  <c r="F1967" i="1"/>
  <c r="H1967" i="1"/>
  <c r="I1967" i="1"/>
  <c r="L1967" i="1"/>
  <c r="M1967" i="1"/>
  <c r="V1967" i="1"/>
  <c r="W1967" i="1"/>
  <c r="A4600" i="1"/>
  <c r="D4600" i="1"/>
  <c r="F4600" i="1"/>
  <c r="H4600" i="1"/>
  <c r="I4600" i="1"/>
  <c r="L4600" i="1"/>
  <c r="M4600" i="1"/>
  <c r="V4600" i="1"/>
  <c r="W4600" i="1"/>
  <c r="A5017" i="1"/>
  <c r="D5017" i="1"/>
  <c r="F5017" i="1"/>
  <c r="H5017" i="1"/>
  <c r="I5017" i="1"/>
  <c r="L5017" i="1"/>
  <c r="M5017" i="1"/>
  <c r="V5017" i="1"/>
  <c r="W5017" i="1"/>
  <c r="A1525" i="1"/>
  <c r="D1525" i="1"/>
  <c r="F1525" i="1"/>
  <c r="H1525" i="1"/>
  <c r="I1525" i="1"/>
  <c r="L1525" i="1"/>
  <c r="M1525" i="1"/>
  <c r="V1525" i="1"/>
  <c r="W1525" i="1"/>
  <c r="A2630" i="1"/>
  <c r="D2630" i="1"/>
  <c r="F2630" i="1"/>
  <c r="H2630" i="1"/>
  <c r="I2630" i="1"/>
  <c r="L2630" i="1"/>
  <c r="M2630" i="1"/>
  <c r="V2630" i="1"/>
  <c r="W2630" i="1"/>
  <c r="A3515" i="1"/>
  <c r="D3515" i="1"/>
  <c r="F3515" i="1"/>
  <c r="H3515" i="1"/>
  <c r="I3515" i="1"/>
  <c r="L3515" i="1"/>
  <c r="M3515" i="1"/>
  <c r="V3515" i="1"/>
  <c r="W3515" i="1"/>
  <c r="A4427" i="1"/>
  <c r="D4427" i="1"/>
  <c r="F4427" i="1"/>
  <c r="H4427" i="1"/>
  <c r="I4427" i="1"/>
  <c r="L4427" i="1"/>
  <c r="M4427" i="1"/>
  <c r="V4427" i="1"/>
  <c r="W4427" i="1"/>
  <c r="A3356" i="1"/>
  <c r="D3356" i="1"/>
  <c r="F3356" i="1"/>
  <c r="H3356" i="1"/>
  <c r="I3356" i="1"/>
  <c r="L3356" i="1"/>
  <c r="M3356" i="1"/>
  <c r="V3356" i="1"/>
  <c r="W3356" i="1"/>
  <c r="A4592" i="1"/>
  <c r="D4592" i="1"/>
  <c r="F4592" i="1"/>
  <c r="H4592" i="1"/>
  <c r="I4592" i="1"/>
  <c r="L4592" i="1"/>
  <c r="M4592" i="1"/>
  <c r="V4592" i="1"/>
  <c r="W4592" i="1"/>
  <c r="A4590" i="1"/>
  <c r="D4590" i="1"/>
  <c r="F4590" i="1"/>
  <c r="H4590" i="1"/>
  <c r="I4590" i="1"/>
  <c r="L4590" i="1"/>
  <c r="M4590" i="1"/>
  <c r="V4590" i="1"/>
  <c r="W4590" i="1"/>
  <c r="A467" i="1"/>
  <c r="D467" i="1"/>
  <c r="F467" i="1"/>
  <c r="H467" i="1"/>
  <c r="I467" i="1"/>
  <c r="L467" i="1"/>
  <c r="M467" i="1"/>
  <c r="V467" i="1"/>
  <c r="W467" i="1"/>
  <c r="A532" i="1"/>
  <c r="D532" i="1"/>
  <c r="F532" i="1"/>
  <c r="H532" i="1"/>
  <c r="I532" i="1"/>
  <c r="L532" i="1"/>
  <c r="M532" i="1"/>
  <c r="V532" i="1"/>
  <c r="W532" i="1"/>
  <c r="A5591" i="1"/>
  <c r="D5591" i="1"/>
  <c r="F5591" i="1"/>
  <c r="H5591" i="1"/>
  <c r="I5591" i="1"/>
  <c r="L5591" i="1"/>
  <c r="M5591" i="1"/>
  <c r="V5591" i="1"/>
  <c r="W5591" i="1"/>
  <c r="A1251" i="1"/>
  <c r="D1251" i="1"/>
  <c r="F1251" i="1"/>
  <c r="H1251" i="1"/>
  <c r="I1251" i="1"/>
  <c r="L1251" i="1"/>
  <c r="M1251" i="1"/>
  <c r="V1251" i="1"/>
  <c r="W1251" i="1"/>
  <c r="A1384" i="1"/>
  <c r="D1384" i="1"/>
  <c r="F1384" i="1"/>
  <c r="H1384" i="1"/>
  <c r="I1384" i="1"/>
  <c r="L1384" i="1"/>
  <c r="M1384" i="1"/>
  <c r="V1384" i="1"/>
  <c r="W1384" i="1"/>
  <c r="A4190" i="1"/>
  <c r="D4190" i="1"/>
  <c r="F4190" i="1"/>
  <c r="H4190" i="1"/>
  <c r="I4190" i="1"/>
  <c r="L4190" i="1"/>
  <c r="M4190" i="1"/>
  <c r="V4190" i="1"/>
  <c r="W4190" i="1"/>
  <c r="A4362" i="1"/>
  <c r="D4362" i="1"/>
  <c r="F4362" i="1"/>
  <c r="H4362" i="1"/>
  <c r="I4362" i="1"/>
  <c r="L4362" i="1"/>
  <c r="M4362" i="1"/>
  <c r="V4362" i="1"/>
  <c r="W4362" i="1"/>
  <c r="A3300" i="1"/>
  <c r="D3300" i="1"/>
  <c r="F3300" i="1"/>
  <c r="H3300" i="1"/>
  <c r="I3300" i="1"/>
  <c r="L3300" i="1"/>
  <c r="M3300" i="1"/>
  <c r="V3300" i="1"/>
  <c r="W3300" i="1"/>
  <c r="A5230" i="1"/>
  <c r="D5230" i="1"/>
  <c r="F5230" i="1"/>
  <c r="H5230" i="1"/>
  <c r="I5230" i="1"/>
  <c r="L5230" i="1"/>
  <c r="M5230" i="1"/>
  <c r="V5230" i="1"/>
  <c r="W5230" i="1"/>
  <c r="A5511" i="1"/>
  <c r="D5511" i="1"/>
  <c r="F5511" i="1"/>
  <c r="H5511" i="1"/>
  <c r="I5511" i="1"/>
  <c r="L5511" i="1"/>
  <c r="M5511" i="1"/>
  <c r="V5511" i="1"/>
  <c r="W5511" i="1"/>
  <c r="A5736" i="1"/>
  <c r="D5736" i="1"/>
  <c r="F5736" i="1"/>
  <c r="H5736" i="1"/>
  <c r="I5736" i="1"/>
  <c r="L5736" i="1"/>
  <c r="M5736" i="1"/>
  <c r="V5736" i="1"/>
  <c r="W5736" i="1"/>
  <c r="A1526" i="1"/>
  <c r="D1526" i="1"/>
  <c r="F1526" i="1"/>
  <c r="H1526" i="1"/>
  <c r="I1526" i="1"/>
  <c r="L1526" i="1"/>
  <c r="M1526" i="1"/>
  <c r="V1526" i="1"/>
  <c r="W1526" i="1"/>
  <c r="A4963" i="1"/>
  <c r="D4963" i="1"/>
  <c r="F4963" i="1"/>
  <c r="H4963" i="1"/>
  <c r="I4963" i="1"/>
  <c r="L4963" i="1"/>
  <c r="M4963" i="1"/>
  <c r="V4963" i="1"/>
  <c r="W4963" i="1"/>
  <c r="A2238" i="1"/>
  <c r="D2238" i="1"/>
  <c r="F2238" i="1"/>
  <c r="H2238" i="1"/>
  <c r="I2238" i="1"/>
  <c r="L2238" i="1"/>
  <c r="M2238" i="1"/>
  <c r="V2238" i="1"/>
  <c r="W2238" i="1"/>
  <c r="A339" i="1"/>
  <c r="D339" i="1"/>
  <c r="F339" i="1"/>
  <c r="H339" i="1"/>
  <c r="I339" i="1"/>
  <c r="L339" i="1"/>
  <c r="M339" i="1"/>
  <c r="V339" i="1"/>
  <c r="W339" i="1"/>
  <c r="A2018" i="1"/>
  <c r="D2018" i="1"/>
  <c r="F2018" i="1"/>
  <c r="H2018" i="1"/>
  <c r="I2018" i="1"/>
  <c r="L2018" i="1"/>
  <c r="M2018" i="1"/>
  <c r="V2018" i="1"/>
  <c r="W2018" i="1"/>
  <c r="A4597" i="1"/>
  <c r="D4597" i="1"/>
  <c r="F4597" i="1"/>
  <c r="H4597" i="1"/>
  <c r="I4597" i="1"/>
  <c r="L4597" i="1"/>
  <c r="M4597" i="1"/>
  <c r="V4597" i="1"/>
  <c r="W4597" i="1"/>
  <c r="A4943" i="1"/>
  <c r="D4943" i="1"/>
  <c r="F4943" i="1"/>
  <c r="H4943" i="1"/>
  <c r="I4943" i="1"/>
  <c r="L4943" i="1"/>
  <c r="M4943" i="1"/>
  <c r="V4943" i="1"/>
  <c r="W4943" i="1"/>
  <c r="A6113" i="1"/>
  <c r="D6113" i="1"/>
  <c r="F6113" i="1"/>
  <c r="H6113" i="1"/>
  <c r="I6113" i="1"/>
  <c r="L6113" i="1"/>
  <c r="M6113" i="1"/>
  <c r="V6113" i="1"/>
  <c r="W6113" i="1"/>
  <c r="A4198" i="1"/>
  <c r="D4198" i="1"/>
  <c r="F4198" i="1"/>
  <c r="H4198" i="1"/>
  <c r="I4198" i="1"/>
  <c r="L4198" i="1"/>
  <c r="M4198" i="1"/>
  <c r="V4198" i="1"/>
  <c r="W4198" i="1"/>
  <c r="A5917" i="1"/>
  <c r="D5917" i="1"/>
  <c r="F5917" i="1"/>
  <c r="H5917" i="1"/>
  <c r="I5917" i="1"/>
  <c r="L5917" i="1"/>
  <c r="M5917" i="1"/>
  <c r="V5917" i="1"/>
  <c r="W5917" i="1"/>
  <c r="A6046" i="1"/>
  <c r="D6046" i="1"/>
  <c r="F6046" i="1"/>
  <c r="H6046" i="1"/>
  <c r="I6046" i="1"/>
  <c r="L6046" i="1"/>
  <c r="M6046" i="1"/>
  <c r="V6046" i="1"/>
  <c r="W6046" i="1"/>
  <c r="A6051" i="1"/>
  <c r="D6051" i="1"/>
  <c r="F6051" i="1"/>
  <c r="H6051" i="1"/>
  <c r="I6051" i="1"/>
  <c r="L6051" i="1"/>
  <c r="M6051" i="1"/>
  <c r="V6051" i="1"/>
  <c r="W6051" i="1"/>
  <c r="A3289" i="1"/>
  <c r="D3289" i="1"/>
  <c r="F3289" i="1"/>
  <c r="H3289" i="1"/>
  <c r="I3289" i="1"/>
  <c r="L3289" i="1"/>
  <c r="M3289" i="1"/>
  <c r="V3289" i="1"/>
  <c r="W3289" i="1"/>
  <c r="A6031" i="1"/>
  <c r="D6031" i="1"/>
  <c r="F6031" i="1"/>
  <c r="H6031" i="1"/>
  <c r="I6031" i="1"/>
  <c r="L6031" i="1"/>
  <c r="M6031" i="1"/>
  <c r="V6031" i="1"/>
  <c r="W6031" i="1"/>
  <c r="A1848" i="1"/>
  <c r="D1848" i="1"/>
  <c r="F1848" i="1"/>
  <c r="H1848" i="1"/>
  <c r="I1848" i="1"/>
  <c r="L1848" i="1"/>
  <c r="M1848" i="1"/>
  <c r="V1848" i="1"/>
  <c r="W1848" i="1"/>
  <c r="A2540" i="1"/>
  <c r="D2540" i="1"/>
  <c r="F2540" i="1"/>
  <c r="H2540" i="1"/>
  <c r="I2540" i="1"/>
  <c r="L2540" i="1"/>
  <c r="M2540" i="1"/>
  <c r="V2540" i="1"/>
  <c r="W2540" i="1"/>
  <c r="A1154" i="1"/>
  <c r="D1154" i="1"/>
  <c r="F1154" i="1"/>
  <c r="H1154" i="1"/>
  <c r="I1154" i="1"/>
  <c r="L1154" i="1"/>
  <c r="M1154" i="1"/>
  <c r="V1154" i="1"/>
  <c r="W1154" i="1"/>
  <c r="A2100" i="1"/>
  <c r="D2100" i="1"/>
  <c r="F2100" i="1"/>
  <c r="H2100" i="1"/>
  <c r="I2100" i="1"/>
  <c r="L2100" i="1"/>
  <c r="M2100" i="1"/>
  <c r="V2100" i="1"/>
  <c r="W2100" i="1"/>
  <c r="A2542" i="1"/>
  <c r="D2542" i="1"/>
  <c r="F2542" i="1"/>
  <c r="H2542" i="1"/>
  <c r="I2542" i="1"/>
  <c r="L2542" i="1"/>
  <c r="M2542" i="1"/>
  <c r="V2542" i="1"/>
  <c r="W2542" i="1"/>
  <c r="A2000" i="1"/>
  <c r="D2000" i="1"/>
  <c r="F2000" i="1"/>
  <c r="H2000" i="1"/>
  <c r="I2000" i="1"/>
  <c r="L2000" i="1"/>
  <c r="M2000" i="1"/>
  <c r="V2000" i="1"/>
  <c r="W2000" i="1"/>
  <c r="A2507" i="1"/>
  <c r="D2507" i="1"/>
  <c r="F2507" i="1"/>
  <c r="H2507" i="1"/>
  <c r="I2507" i="1"/>
  <c r="L2507" i="1"/>
  <c r="M2507" i="1"/>
  <c r="V2507" i="1"/>
  <c r="W2507" i="1"/>
  <c r="A2579" i="1"/>
  <c r="D2579" i="1"/>
  <c r="F2579" i="1"/>
  <c r="H2579" i="1"/>
  <c r="I2579" i="1"/>
  <c r="L2579" i="1"/>
  <c r="M2579" i="1"/>
  <c r="V2579" i="1"/>
  <c r="W2579" i="1"/>
  <c r="A3975" i="1"/>
  <c r="D3975" i="1"/>
  <c r="F3975" i="1"/>
  <c r="H3975" i="1"/>
  <c r="I3975" i="1"/>
  <c r="L3975" i="1"/>
  <c r="M3975" i="1"/>
  <c r="V3975" i="1"/>
  <c r="W3975" i="1"/>
  <c r="A3051" i="1"/>
  <c r="D3051" i="1"/>
  <c r="F3051" i="1"/>
  <c r="H3051" i="1"/>
  <c r="I3051" i="1"/>
  <c r="L3051" i="1"/>
  <c r="M3051" i="1"/>
  <c r="V3051" i="1"/>
  <c r="W3051" i="1"/>
  <c r="A2873" i="1"/>
  <c r="D2873" i="1"/>
  <c r="F2873" i="1"/>
  <c r="H2873" i="1"/>
  <c r="I2873" i="1"/>
  <c r="L2873" i="1"/>
  <c r="M2873" i="1"/>
  <c r="V2873" i="1"/>
  <c r="W2873" i="1"/>
  <c r="A723" i="1"/>
  <c r="D723" i="1"/>
  <c r="F723" i="1"/>
  <c r="H723" i="1"/>
  <c r="I723" i="1"/>
  <c r="L723" i="1"/>
  <c r="M723" i="1"/>
  <c r="V723" i="1"/>
  <c r="W723" i="1"/>
  <c r="A447" i="1"/>
  <c r="D447" i="1"/>
  <c r="F447" i="1"/>
  <c r="H447" i="1"/>
  <c r="I447" i="1"/>
  <c r="L447" i="1"/>
  <c r="M447" i="1"/>
  <c r="V447" i="1"/>
  <c r="W447" i="1"/>
  <c r="A4859" i="1"/>
  <c r="D4859" i="1"/>
  <c r="F4859" i="1"/>
  <c r="H4859" i="1"/>
  <c r="I4859" i="1"/>
  <c r="L4859" i="1"/>
  <c r="M4859" i="1"/>
  <c r="V4859" i="1"/>
  <c r="W4859" i="1"/>
  <c r="A4885" i="1"/>
  <c r="D4885" i="1"/>
  <c r="F4885" i="1"/>
  <c r="H4885" i="1"/>
  <c r="I4885" i="1"/>
  <c r="L4885" i="1"/>
  <c r="M4885" i="1"/>
  <c r="V4885" i="1"/>
  <c r="W4885" i="1"/>
  <c r="A4527" i="1"/>
  <c r="D4527" i="1"/>
  <c r="F4527" i="1"/>
  <c r="H4527" i="1"/>
  <c r="I4527" i="1"/>
  <c r="L4527" i="1"/>
  <c r="M4527" i="1"/>
  <c r="V4527" i="1"/>
  <c r="W4527" i="1"/>
  <c r="A1719" i="1"/>
  <c r="D1719" i="1"/>
  <c r="F1719" i="1"/>
  <c r="H1719" i="1"/>
  <c r="I1719" i="1"/>
  <c r="L1719" i="1"/>
  <c r="M1719" i="1"/>
  <c r="V1719" i="1"/>
  <c r="W1719" i="1"/>
  <c r="A2852" i="1"/>
  <c r="D2852" i="1"/>
  <c r="F2852" i="1"/>
  <c r="H2852" i="1"/>
  <c r="I2852" i="1"/>
  <c r="L2852" i="1"/>
  <c r="M2852" i="1"/>
  <c r="V2852" i="1"/>
  <c r="W2852" i="1"/>
  <c r="A1418" i="1"/>
  <c r="D1418" i="1"/>
  <c r="F1418" i="1"/>
  <c r="H1418" i="1"/>
  <c r="I1418" i="1"/>
  <c r="L1418" i="1"/>
  <c r="M1418" i="1"/>
  <c r="V1418" i="1"/>
  <c r="W1418" i="1"/>
  <c r="A57" i="1"/>
  <c r="D57" i="1"/>
  <c r="F57" i="1"/>
  <c r="H57" i="1"/>
  <c r="I57" i="1"/>
  <c r="L57" i="1"/>
  <c r="M57" i="1"/>
  <c r="V57" i="1"/>
  <c r="W57" i="1"/>
  <c r="A37" i="1"/>
  <c r="D37" i="1"/>
  <c r="F37" i="1"/>
  <c r="H37" i="1"/>
  <c r="I37" i="1"/>
  <c r="L37" i="1"/>
  <c r="M37" i="1"/>
  <c r="V37" i="1"/>
  <c r="W37" i="1"/>
  <c r="A1355" i="1"/>
  <c r="D1355" i="1"/>
  <c r="F1355" i="1"/>
  <c r="H1355" i="1"/>
  <c r="I1355" i="1"/>
  <c r="L1355" i="1"/>
  <c r="M1355" i="1"/>
  <c r="V1355" i="1"/>
  <c r="W1355" i="1"/>
  <c r="A1225" i="1"/>
  <c r="D1225" i="1"/>
  <c r="F1225" i="1"/>
  <c r="H1225" i="1"/>
  <c r="I1225" i="1"/>
  <c r="L1225" i="1"/>
  <c r="M1225" i="1"/>
  <c r="V1225" i="1"/>
  <c r="W1225" i="1"/>
  <c r="A5542" i="1"/>
  <c r="D5542" i="1"/>
  <c r="F5542" i="1"/>
  <c r="H5542" i="1"/>
  <c r="I5542" i="1"/>
  <c r="L5542" i="1"/>
  <c r="M5542" i="1"/>
  <c r="V5542" i="1"/>
  <c r="W5542" i="1"/>
  <c r="A1605" i="1"/>
  <c r="D1605" i="1"/>
  <c r="F1605" i="1"/>
  <c r="H1605" i="1"/>
  <c r="I1605" i="1"/>
  <c r="L1605" i="1"/>
  <c r="M1605" i="1"/>
  <c r="V1605" i="1"/>
  <c r="W1605" i="1"/>
  <c r="A2301" i="1"/>
  <c r="D2301" i="1"/>
  <c r="F2301" i="1"/>
  <c r="H2301" i="1"/>
  <c r="I2301" i="1"/>
  <c r="L2301" i="1"/>
  <c r="M2301" i="1"/>
  <c r="V2301" i="1"/>
  <c r="W2301" i="1"/>
  <c r="A1220" i="1"/>
  <c r="D1220" i="1"/>
  <c r="F1220" i="1"/>
  <c r="H1220" i="1"/>
  <c r="I1220" i="1"/>
  <c r="L1220" i="1"/>
  <c r="M1220" i="1"/>
  <c r="V1220" i="1"/>
  <c r="W1220" i="1"/>
  <c r="A3441" i="1"/>
  <c r="D3441" i="1"/>
  <c r="F3441" i="1"/>
  <c r="H3441" i="1"/>
  <c r="I3441" i="1"/>
  <c r="L3441" i="1"/>
  <c r="M3441" i="1"/>
  <c r="V3441" i="1"/>
  <c r="W3441" i="1"/>
  <c r="A4031" i="1"/>
  <c r="D4031" i="1"/>
  <c r="F4031" i="1"/>
  <c r="H4031" i="1"/>
  <c r="I4031" i="1"/>
  <c r="L4031" i="1"/>
  <c r="M4031" i="1"/>
  <c r="V4031" i="1"/>
  <c r="W4031" i="1"/>
  <c r="A4320" i="1"/>
  <c r="D4320" i="1"/>
  <c r="F4320" i="1"/>
  <c r="H4320" i="1"/>
  <c r="I4320" i="1"/>
  <c r="L4320" i="1"/>
  <c r="M4320" i="1"/>
  <c r="V4320" i="1"/>
  <c r="W4320" i="1"/>
  <c r="A275" i="1"/>
  <c r="D275" i="1"/>
  <c r="F275" i="1"/>
  <c r="H275" i="1"/>
  <c r="I275" i="1"/>
  <c r="L275" i="1"/>
  <c r="M275" i="1"/>
  <c r="V275" i="1"/>
  <c r="W275" i="1"/>
  <c r="A904" i="1"/>
  <c r="D904" i="1"/>
  <c r="F904" i="1"/>
  <c r="H904" i="1"/>
  <c r="I904" i="1"/>
  <c r="L904" i="1"/>
  <c r="M904" i="1"/>
  <c r="V904" i="1"/>
  <c r="W904" i="1"/>
  <c r="A1024" i="1"/>
  <c r="D1024" i="1"/>
  <c r="F1024" i="1"/>
  <c r="H1024" i="1"/>
  <c r="I1024" i="1"/>
  <c r="L1024" i="1"/>
  <c r="M1024" i="1"/>
  <c r="V1024" i="1"/>
  <c r="W1024" i="1"/>
  <c r="A6050" i="1"/>
  <c r="D6050" i="1"/>
  <c r="F6050" i="1"/>
  <c r="H6050" i="1"/>
  <c r="I6050" i="1"/>
  <c r="L6050" i="1"/>
  <c r="M6050" i="1"/>
  <c r="V6050" i="1"/>
  <c r="W6050" i="1"/>
  <c r="A6092" i="1"/>
  <c r="D6092" i="1"/>
  <c r="F6092" i="1"/>
  <c r="H6092" i="1"/>
  <c r="I6092" i="1"/>
  <c r="L6092" i="1"/>
  <c r="M6092" i="1"/>
  <c r="V6092" i="1"/>
  <c r="W6092" i="1"/>
  <c r="A4359" i="1"/>
  <c r="D4359" i="1"/>
  <c r="F4359" i="1"/>
  <c r="H4359" i="1"/>
  <c r="I4359" i="1"/>
  <c r="L4359" i="1"/>
  <c r="M4359" i="1"/>
  <c r="V4359" i="1"/>
  <c r="W4359" i="1"/>
  <c r="A2960" i="1"/>
  <c r="D2960" i="1"/>
  <c r="F2960" i="1"/>
  <c r="H2960" i="1"/>
  <c r="I2960" i="1"/>
  <c r="L2960" i="1"/>
  <c r="M2960" i="1"/>
  <c r="V2960" i="1"/>
  <c r="W2960" i="1"/>
  <c r="A3319" i="1"/>
  <c r="D3319" i="1"/>
  <c r="F3319" i="1"/>
  <c r="H3319" i="1"/>
  <c r="I3319" i="1"/>
  <c r="L3319" i="1"/>
  <c r="M3319" i="1"/>
  <c r="V3319" i="1"/>
  <c r="W3319" i="1"/>
  <c r="A3327" i="1"/>
  <c r="D3327" i="1"/>
  <c r="F3327" i="1"/>
  <c r="H3327" i="1"/>
  <c r="I3327" i="1"/>
  <c r="L3327" i="1"/>
  <c r="M3327" i="1"/>
  <c r="V3327" i="1"/>
  <c r="W3327" i="1"/>
  <c r="A3342" i="1"/>
  <c r="D3342" i="1"/>
  <c r="F3342" i="1"/>
  <c r="H3342" i="1"/>
  <c r="I3342" i="1"/>
  <c r="L3342" i="1"/>
  <c r="M3342" i="1"/>
  <c r="V3342" i="1"/>
  <c r="W3342" i="1"/>
  <c r="A3414" i="1"/>
  <c r="D3414" i="1"/>
  <c r="F3414" i="1"/>
  <c r="H3414" i="1"/>
  <c r="I3414" i="1"/>
  <c r="L3414" i="1"/>
  <c r="M3414" i="1"/>
  <c r="V3414" i="1"/>
  <c r="W3414" i="1"/>
  <c r="A4418" i="1"/>
  <c r="D4418" i="1"/>
  <c r="F4418" i="1"/>
  <c r="H4418" i="1"/>
  <c r="I4418" i="1"/>
  <c r="L4418" i="1"/>
  <c r="M4418" i="1"/>
  <c r="V4418" i="1"/>
  <c r="W4418" i="1"/>
  <c r="A4529" i="1"/>
  <c r="D4529" i="1"/>
  <c r="F4529" i="1"/>
  <c r="H4529" i="1"/>
  <c r="I4529" i="1"/>
  <c r="L4529" i="1"/>
  <c r="M4529" i="1"/>
  <c r="V4529" i="1"/>
  <c r="W4529" i="1"/>
  <c r="A4977" i="1"/>
  <c r="D4977" i="1"/>
  <c r="F4977" i="1"/>
  <c r="H4977" i="1"/>
  <c r="I4977" i="1"/>
  <c r="L4977" i="1"/>
  <c r="M4977" i="1"/>
  <c r="V4977" i="1"/>
  <c r="W4977" i="1"/>
  <c r="A1638" i="1"/>
  <c r="D1638" i="1"/>
  <c r="F1638" i="1"/>
  <c r="H1638" i="1"/>
  <c r="I1638" i="1"/>
  <c r="L1638" i="1"/>
  <c r="M1638" i="1"/>
  <c r="V1638" i="1"/>
  <c r="W1638" i="1"/>
  <c r="A1651" i="1"/>
  <c r="D1651" i="1"/>
  <c r="F1651" i="1"/>
  <c r="H1651" i="1"/>
  <c r="I1651" i="1"/>
  <c r="L1651" i="1"/>
  <c r="M1651" i="1"/>
  <c r="V1651" i="1"/>
  <c r="W1651" i="1"/>
  <c r="A1725" i="1"/>
  <c r="D1725" i="1"/>
  <c r="F1725" i="1"/>
  <c r="H1725" i="1"/>
  <c r="I1725" i="1"/>
  <c r="L1725" i="1"/>
  <c r="M1725" i="1"/>
  <c r="V1725" i="1"/>
  <c r="W1725" i="1"/>
  <c r="A4018" i="1"/>
  <c r="D4018" i="1"/>
  <c r="F4018" i="1"/>
  <c r="H4018" i="1"/>
  <c r="I4018" i="1"/>
  <c r="L4018" i="1"/>
  <c r="M4018" i="1"/>
  <c r="V4018" i="1"/>
  <c r="W4018" i="1"/>
  <c r="A2871" i="1"/>
  <c r="D2871" i="1"/>
  <c r="F2871" i="1"/>
  <c r="H2871" i="1"/>
  <c r="I2871" i="1"/>
  <c r="L2871" i="1"/>
  <c r="M2871" i="1"/>
  <c r="V2871" i="1"/>
  <c r="W2871" i="1"/>
  <c r="A820" i="1"/>
  <c r="D820" i="1"/>
  <c r="F820" i="1"/>
  <c r="H820" i="1"/>
  <c r="I820" i="1"/>
  <c r="L820" i="1"/>
  <c r="M820" i="1"/>
  <c r="V820" i="1"/>
  <c r="W820" i="1"/>
  <c r="A3049" i="1"/>
  <c r="D3049" i="1"/>
  <c r="F3049" i="1"/>
  <c r="H3049" i="1"/>
  <c r="I3049" i="1"/>
  <c r="L3049" i="1"/>
  <c r="M3049" i="1"/>
  <c r="V3049" i="1"/>
  <c r="W3049" i="1"/>
  <c r="A87" i="1"/>
  <c r="D87" i="1"/>
  <c r="F87" i="1"/>
  <c r="H87" i="1"/>
  <c r="I87" i="1"/>
  <c r="L87" i="1"/>
  <c r="M87" i="1"/>
  <c r="V87" i="1"/>
  <c r="W87" i="1"/>
  <c r="A345" i="1"/>
  <c r="D345" i="1"/>
  <c r="F345" i="1"/>
  <c r="H345" i="1"/>
  <c r="I345" i="1"/>
  <c r="L345" i="1"/>
  <c r="M345" i="1"/>
  <c r="V345" i="1"/>
  <c r="W345" i="1"/>
  <c r="A741" i="1"/>
  <c r="D741" i="1"/>
  <c r="F741" i="1"/>
  <c r="H741" i="1"/>
  <c r="I741" i="1"/>
  <c r="L741" i="1"/>
  <c r="M741" i="1"/>
  <c r="V741" i="1"/>
  <c r="W741" i="1"/>
  <c r="A1425" i="1"/>
  <c r="D1425" i="1"/>
  <c r="F1425" i="1"/>
  <c r="H1425" i="1"/>
  <c r="I1425" i="1"/>
  <c r="L1425" i="1"/>
  <c r="M1425" i="1"/>
  <c r="V1425" i="1"/>
  <c r="W1425" i="1"/>
  <c r="A2610" i="1"/>
  <c r="D2610" i="1"/>
  <c r="F2610" i="1"/>
  <c r="H2610" i="1"/>
  <c r="I2610" i="1"/>
  <c r="L2610" i="1"/>
  <c r="M2610" i="1"/>
  <c r="V2610" i="1"/>
  <c r="W2610" i="1"/>
  <c r="A2917" i="1"/>
  <c r="D2917" i="1"/>
  <c r="F2917" i="1"/>
  <c r="H2917" i="1"/>
  <c r="I2917" i="1"/>
  <c r="L2917" i="1"/>
  <c r="M2917" i="1"/>
  <c r="V2917" i="1"/>
  <c r="W2917" i="1"/>
  <c r="A3403" i="1"/>
  <c r="D3403" i="1"/>
  <c r="F3403" i="1"/>
  <c r="H3403" i="1"/>
  <c r="I3403" i="1"/>
  <c r="L3403" i="1"/>
  <c r="M3403" i="1"/>
  <c r="V3403" i="1"/>
  <c r="W3403" i="1"/>
  <c r="A4512" i="1"/>
  <c r="D4512" i="1"/>
  <c r="F4512" i="1"/>
  <c r="H4512" i="1"/>
  <c r="I4512" i="1"/>
  <c r="L4512" i="1"/>
  <c r="M4512" i="1"/>
  <c r="V4512" i="1"/>
  <c r="W4512" i="1"/>
  <c r="A4636" i="1"/>
  <c r="D4636" i="1"/>
  <c r="F4636" i="1"/>
  <c r="H4636" i="1"/>
  <c r="I4636" i="1"/>
  <c r="L4636" i="1"/>
  <c r="M4636" i="1"/>
  <c r="V4636" i="1"/>
  <c r="W4636" i="1"/>
  <c r="A4752" i="1"/>
  <c r="D4752" i="1"/>
  <c r="F4752" i="1"/>
  <c r="H4752" i="1"/>
  <c r="I4752" i="1"/>
  <c r="L4752" i="1"/>
  <c r="M4752" i="1"/>
  <c r="V4752" i="1"/>
  <c r="W4752" i="1"/>
  <c r="A4788" i="1"/>
  <c r="D4788" i="1"/>
  <c r="F4788" i="1"/>
  <c r="H4788" i="1"/>
  <c r="I4788" i="1"/>
  <c r="L4788" i="1"/>
  <c r="M4788" i="1"/>
  <c r="V4788" i="1"/>
  <c r="W4788" i="1"/>
  <c r="A4934" i="1"/>
  <c r="D4934" i="1"/>
  <c r="F4934" i="1"/>
  <c r="H4934" i="1"/>
  <c r="I4934" i="1"/>
  <c r="L4934" i="1"/>
  <c r="M4934" i="1"/>
  <c r="V4934" i="1"/>
  <c r="W4934" i="1"/>
  <c r="A4946" i="1"/>
  <c r="D4946" i="1"/>
  <c r="F4946" i="1"/>
  <c r="H4946" i="1"/>
  <c r="I4946" i="1"/>
  <c r="L4946" i="1"/>
  <c r="M4946" i="1"/>
  <c r="V4946" i="1"/>
  <c r="W4946" i="1"/>
  <c r="A5556" i="1"/>
  <c r="D5556" i="1"/>
  <c r="F5556" i="1"/>
  <c r="H5556" i="1"/>
  <c r="I5556" i="1"/>
  <c r="L5556" i="1"/>
  <c r="M5556" i="1"/>
  <c r="V5556" i="1"/>
  <c r="W5556" i="1"/>
  <c r="A5839" i="1"/>
  <c r="D5839" i="1"/>
  <c r="F5839" i="1"/>
  <c r="H5839" i="1"/>
  <c r="I5839" i="1"/>
  <c r="L5839" i="1"/>
  <c r="M5839" i="1"/>
  <c r="V5839" i="1"/>
  <c r="W5839" i="1"/>
  <c r="A5980" i="1"/>
  <c r="D5980" i="1"/>
  <c r="F5980" i="1"/>
  <c r="H5980" i="1"/>
  <c r="I5980" i="1"/>
  <c r="L5980" i="1"/>
  <c r="M5980" i="1"/>
  <c r="V5980" i="1"/>
  <c r="W5980" i="1"/>
  <c r="A4076" i="1"/>
  <c r="D4076" i="1"/>
  <c r="F4076" i="1"/>
  <c r="H4076" i="1"/>
  <c r="I4076" i="1"/>
  <c r="L4076" i="1"/>
  <c r="M4076" i="1"/>
  <c r="V4076" i="1"/>
  <c r="W4076" i="1"/>
  <c r="A3989" i="1"/>
  <c r="D3989" i="1"/>
  <c r="F3989" i="1"/>
  <c r="H3989" i="1"/>
  <c r="I3989" i="1"/>
  <c r="L3989" i="1"/>
  <c r="M3989" i="1"/>
  <c r="V3989" i="1"/>
  <c r="W3989" i="1"/>
  <c r="A4715" i="1"/>
  <c r="D4715" i="1"/>
  <c r="F4715" i="1"/>
  <c r="H4715" i="1"/>
  <c r="I4715" i="1"/>
  <c r="L4715" i="1"/>
  <c r="M4715" i="1"/>
  <c r="V4715" i="1"/>
  <c r="W4715" i="1"/>
  <c r="A5034" i="1"/>
  <c r="D5034" i="1"/>
  <c r="F5034" i="1"/>
  <c r="H5034" i="1"/>
  <c r="I5034" i="1"/>
  <c r="L5034" i="1"/>
  <c r="M5034" i="1"/>
  <c r="V5034" i="1"/>
  <c r="W5034" i="1"/>
  <c r="A2837" i="1"/>
  <c r="D2837" i="1"/>
  <c r="F2837" i="1"/>
  <c r="H2837" i="1"/>
  <c r="I2837" i="1"/>
  <c r="L2837" i="1"/>
  <c r="M2837" i="1"/>
  <c r="V2837" i="1"/>
  <c r="W2837" i="1"/>
  <c r="A2853" i="1"/>
  <c r="D2853" i="1"/>
  <c r="F2853" i="1"/>
  <c r="H2853" i="1"/>
  <c r="I2853" i="1"/>
  <c r="L2853" i="1"/>
  <c r="M2853" i="1"/>
  <c r="V2853" i="1"/>
  <c r="W2853" i="1"/>
  <c r="A2995" i="1"/>
  <c r="D2995" i="1"/>
  <c r="F2995" i="1"/>
  <c r="H2995" i="1"/>
  <c r="I2995" i="1"/>
  <c r="L2995" i="1"/>
  <c r="M2995" i="1"/>
  <c r="V2995" i="1"/>
  <c r="W2995" i="1"/>
  <c r="A3665" i="1"/>
  <c r="D3665" i="1"/>
  <c r="F3665" i="1"/>
  <c r="H3665" i="1"/>
  <c r="I3665" i="1"/>
  <c r="L3665" i="1"/>
  <c r="M3665" i="1"/>
  <c r="V3665" i="1"/>
  <c r="W3665" i="1"/>
  <c r="A5151" i="1"/>
  <c r="D5151" i="1"/>
  <c r="F5151" i="1"/>
  <c r="H5151" i="1"/>
  <c r="I5151" i="1"/>
  <c r="L5151" i="1"/>
  <c r="M5151" i="1"/>
  <c r="V5151" i="1"/>
  <c r="W5151" i="1"/>
  <c r="A5350" i="1"/>
  <c r="D5350" i="1"/>
  <c r="F5350" i="1"/>
  <c r="H5350" i="1"/>
  <c r="I5350" i="1"/>
  <c r="L5350" i="1"/>
  <c r="M5350" i="1"/>
  <c r="V5350" i="1"/>
  <c r="W5350" i="1"/>
  <c r="A3239" i="1"/>
  <c r="D3239" i="1"/>
  <c r="F3239" i="1"/>
  <c r="H3239" i="1"/>
  <c r="I3239" i="1"/>
  <c r="L3239" i="1"/>
  <c r="M3239" i="1"/>
  <c r="V3239" i="1"/>
  <c r="W3239" i="1"/>
  <c r="A3587" i="1"/>
  <c r="D3587" i="1"/>
  <c r="F3587" i="1"/>
  <c r="H3587" i="1"/>
  <c r="I3587" i="1"/>
  <c r="L3587" i="1"/>
  <c r="M3587" i="1"/>
  <c r="V3587" i="1"/>
  <c r="W3587" i="1"/>
  <c r="A5458" i="1"/>
  <c r="D5458" i="1"/>
  <c r="F5458" i="1"/>
  <c r="H5458" i="1"/>
  <c r="I5458" i="1"/>
  <c r="L5458" i="1"/>
  <c r="M5458" i="1"/>
  <c r="V5458" i="1"/>
  <c r="W5458" i="1"/>
  <c r="A5625" i="1"/>
  <c r="D5625" i="1"/>
  <c r="F5625" i="1"/>
  <c r="H5625" i="1"/>
  <c r="I5625" i="1"/>
  <c r="L5625" i="1"/>
  <c r="M5625" i="1"/>
  <c r="V5625" i="1"/>
  <c r="W5625" i="1"/>
  <c r="A5695" i="1"/>
  <c r="D5695" i="1"/>
  <c r="F5695" i="1"/>
  <c r="H5695" i="1"/>
  <c r="I5695" i="1"/>
  <c r="L5695" i="1"/>
  <c r="M5695" i="1"/>
  <c r="V5695" i="1"/>
  <c r="W5695" i="1"/>
  <c r="A5813" i="1"/>
  <c r="D5813" i="1"/>
  <c r="F5813" i="1"/>
  <c r="H5813" i="1"/>
  <c r="I5813" i="1"/>
  <c r="L5813" i="1"/>
  <c r="M5813" i="1"/>
  <c r="V5813" i="1"/>
  <c r="W5813" i="1"/>
  <c r="A5955" i="1"/>
  <c r="D5955" i="1"/>
  <c r="F5955" i="1"/>
  <c r="H5955" i="1"/>
  <c r="I5955" i="1"/>
  <c r="L5955" i="1"/>
  <c r="M5955" i="1"/>
  <c r="V5955" i="1"/>
  <c r="W5955" i="1"/>
  <c r="A6193" i="1"/>
  <c r="D6193" i="1"/>
  <c r="F6193" i="1"/>
  <c r="H6193" i="1"/>
  <c r="I6193" i="1"/>
  <c r="L6193" i="1"/>
  <c r="M6193" i="1"/>
  <c r="V6193" i="1"/>
  <c r="W6193" i="1"/>
  <c r="A3360" i="1"/>
  <c r="D3360" i="1"/>
  <c r="F3360" i="1"/>
  <c r="H3360" i="1"/>
  <c r="I3360" i="1"/>
  <c r="L3360" i="1"/>
  <c r="M3360" i="1"/>
  <c r="V3360" i="1"/>
  <c r="W3360" i="1"/>
  <c r="A3500" i="1"/>
  <c r="D3500" i="1"/>
  <c r="F3500" i="1"/>
  <c r="H3500" i="1"/>
  <c r="I3500" i="1"/>
  <c r="L3500" i="1"/>
  <c r="M3500" i="1"/>
  <c r="V3500" i="1"/>
  <c r="W3500" i="1"/>
  <c r="A510" i="1"/>
  <c r="D510" i="1"/>
  <c r="F510" i="1"/>
  <c r="H510" i="1"/>
  <c r="I510" i="1"/>
  <c r="L510" i="1"/>
  <c r="M510" i="1"/>
  <c r="V510" i="1"/>
  <c r="W510" i="1"/>
  <c r="A3017" i="1"/>
  <c r="D3017" i="1"/>
  <c r="F3017" i="1"/>
  <c r="H3017" i="1"/>
  <c r="I3017" i="1"/>
  <c r="L3017" i="1"/>
  <c r="M3017" i="1"/>
  <c r="V3017" i="1"/>
  <c r="W3017" i="1"/>
  <c r="A3904" i="1"/>
  <c r="D3904" i="1"/>
  <c r="F3904" i="1"/>
  <c r="H3904" i="1"/>
  <c r="I3904" i="1"/>
  <c r="L3904" i="1"/>
  <c r="M3904" i="1"/>
  <c r="V3904" i="1"/>
  <c r="W3904" i="1"/>
  <c r="A140" i="1"/>
  <c r="D140" i="1"/>
  <c r="F140" i="1"/>
  <c r="H140" i="1"/>
  <c r="I140" i="1"/>
  <c r="L140" i="1"/>
  <c r="M140" i="1"/>
  <c r="V140" i="1"/>
  <c r="W140" i="1"/>
  <c r="A431" i="1"/>
  <c r="D431" i="1"/>
  <c r="F431" i="1"/>
  <c r="H431" i="1"/>
  <c r="I431" i="1"/>
  <c r="L431" i="1"/>
  <c r="M431" i="1"/>
  <c r="V431" i="1"/>
  <c r="W431" i="1"/>
  <c r="A880" i="1"/>
  <c r="D880" i="1"/>
  <c r="F880" i="1"/>
  <c r="H880" i="1"/>
  <c r="I880" i="1"/>
  <c r="L880" i="1"/>
  <c r="M880" i="1"/>
  <c r="V880" i="1"/>
  <c r="W880" i="1"/>
  <c r="A979" i="1"/>
  <c r="D979" i="1"/>
  <c r="F979" i="1"/>
  <c r="H979" i="1"/>
  <c r="I979" i="1"/>
  <c r="L979" i="1"/>
  <c r="M979" i="1"/>
  <c r="V979" i="1"/>
  <c r="W979" i="1"/>
  <c r="A1206" i="1"/>
  <c r="D1206" i="1"/>
  <c r="F1206" i="1"/>
  <c r="H1206" i="1"/>
  <c r="I1206" i="1"/>
  <c r="L1206" i="1"/>
  <c r="M1206" i="1"/>
  <c r="V1206" i="1"/>
  <c r="W1206" i="1"/>
  <c r="A1483" i="1"/>
  <c r="D1483" i="1"/>
  <c r="F1483" i="1"/>
  <c r="H1483" i="1"/>
  <c r="I1483" i="1"/>
  <c r="L1483" i="1"/>
  <c r="M1483" i="1"/>
  <c r="V1483" i="1"/>
  <c r="W1483" i="1"/>
  <c r="A2703" i="1"/>
  <c r="D2703" i="1"/>
  <c r="F2703" i="1"/>
  <c r="H2703" i="1"/>
  <c r="I2703" i="1"/>
  <c r="L2703" i="1"/>
  <c r="M2703" i="1"/>
  <c r="V2703" i="1"/>
  <c r="W2703" i="1"/>
  <c r="A2946" i="1"/>
  <c r="D2946" i="1"/>
  <c r="F2946" i="1"/>
  <c r="H2946" i="1"/>
  <c r="I2946" i="1"/>
  <c r="L2946" i="1"/>
  <c r="M2946" i="1"/>
  <c r="V2946" i="1"/>
  <c r="W2946" i="1"/>
  <c r="A3237" i="1"/>
  <c r="D3237" i="1"/>
  <c r="F3237" i="1"/>
  <c r="H3237" i="1"/>
  <c r="I3237" i="1"/>
  <c r="L3237" i="1"/>
  <c r="M3237" i="1"/>
  <c r="V3237" i="1"/>
  <c r="W3237" i="1"/>
  <c r="A3316" i="1"/>
  <c r="D3316" i="1"/>
  <c r="F3316" i="1"/>
  <c r="H3316" i="1"/>
  <c r="I3316" i="1"/>
  <c r="L3316" i="1"/>
  <c r="M3316" i="1"/>
  <c r="V3316" i="1"/>
  <c r="W3316" i="1"/>
  <c r="A3585" i="1"/>
  <c r="D3585" i="1"/>
  <c r="F3585" i="1"/>
  <c r="H3585" i="1"/>
  <c r="I3585" i="1"/>
  <c r="L3585" i="1"/>
  <c r="M3585" i="1"/>
  <c r="V3585" i="1"/>
  <c r="W3585" i="1"/>
  <c r="A4669" i="1"/>
  <c r="D4669" i="1"/>
  <c r="F4669" i="1"/>
  <c r="H4669" i="1"/>
  <c r="I4669" i="1"/>
  <c r="L4669" i="1"/>
  <c r="M4669" i="1"/>
  <c r="V4669" i="1"/>
  <c r="W4669" i="1"/>
  <c r="A4967" i="1"/>
  <c r="D4967" i="1"/>
  <c r="F4967" i="1"/>
  <c r="H4967" i="1"/>
  <c r="I4967" i="1"/>
  <c r="L4967" i="1"/>
  <c r="M4967" i="1"/>
  <c r="V4967" i="1"/>
  <c r="W4967" i="1"/>
  <c r="A5455" i="1"/>
  <c r="D5455" i="1"/>
  <c r="F5455" i="1"/>
  <c r="H5455" i="1"/>
  <c r="I5455" i="1"/>
  <c r="L5455" i="1"/>
  <c r="M5455" i="1"/>
  <c r="V5455" i="1"/>
  <c r="W5455" i="1"/>
  <c r="A5624" i="1"/>
  <c r="D5624" i="1"/>
  <c r="F5624" i="1"/>
  <c r="H5624" i="1"/>
  <c r="I5624" i="1"/>
  <c r="L5624" i="1"/>
  <c r="M5624" i="1"/>
  <c r="V5624" i="1"/>
  <c r="W5624" i="1"/>
  <c r="A5956" i="1"/>
  <c r="D5956" i="1"/>
  <c r="F5956" i="1"/>
  <c r="H5956" i="1"/>
  <c r="I5956" i="1"/>
  <c r="L5956" i="1"/>
  <c r="M5956" i="1"/>
  <c r="V5956" i="1"/>
  <c r="W5956" i="1"/>
  <c r="A6189" i="1"/>
  <c r="D6189" i="1"/>
  <c r="F6189" i="1"/>
  <c r="H6189" i="1"/>
  <c r="I6189" i="1"/>
  <c r="L6189" i="1"/>
  <c r="M6189" i="1"/>
  <c r="V6189" i="1"/>
  <c r="W6189" i="1"/>
  <c r="A2016" i="1"/>
  <c r="D2016" i="1"/>
  <c r="F2016" i="1"/>
  <c r="H2016" i="1"/>
  <c r="I2016" i="1"/>
  <c r="L2016" i="1"/>
  <c r="M2016" i="1"/>
  <c r="V2016" i="1"/>
  <c r="W2016" i="1"/>
  <c r="A2290" i="1"/>
  <c r="D2290" i="1"/>
  <c r="F2290" i="1"/>
  <c r="H2290" i="1"/>
  <c r="I2290" i="1"/>
  <c r="L2290" i="1"/>
  <c r="M2290" i="1"/>
  <c r="V2290" i="1"/>
  <c r="W2290" i="1"/>
  <c r="A2175" i="1"/>
  <c r="D2175" i="1"/>
  <c r="F2175" i="1"/>
  <c r="H2175" i="1"/>
  <c r="I2175" i="1"/>
  <c r="L2175" i="1"/>
  <c r="M2175" i="1"/>
  <c r="V2175" i="1"/>
  <c r="W2175" i="1"/>
  <c r="A2178" i="1"/>
  <c r="D2178" i="1"/>
  <c r="F2178" i="1"/>
  <c r="H2178" i="1"/>
  <c r="I2178" i="1"/>
  <c r="L2178" i="1"/>
  <c r="M2178" i="1"/>
  <c r="V2178" i="1"/>
  <c r="W2178" i="1"/>
  <c r="A1422" i="1"/>
  <c r="D1422" i="1"/>
  <c r="F1422" i="1"/>
  <c r="H1422" i="1"/>
  <c r="I1422" i="1"/>
  <c r="L1422" i="1"/>
  <c r="M1422" i="1"/>
  <c r="V1422" i="1"/>
  <c r="W1422" i="1"/>
  <c r="A1820" i="1"/>
  <c r="D1820" i="1"/>
  <c r="F1820" i="1"/>
  <c r="H1820" i="1"/>
  <c r="I1820" i="1"/>
  <c r="L1820" i="1"/>
  <c r="M1820" i="1"/>
  <c r="V1820" i="1"/>
  <c r="W1820" i="1"/>
  <c r="A6167" i="1"/>
  <c r="D6167" i="1"/>
  <c r="F6167" i="1"/>
  <c r="H6167" i="1"/>
  <c r="I6167" i="1"/>
  <c r="L6167" i="1"/>
  <c r="M6167" i="1"/>
  <c r="V6167" i="1"/>
  <c r="W6167" i="1"/>
  <c r="A639" i="1"/>
  <c r="D639" i="1"/>
  <c r="F639" i="1"/>
  <c r="H639" i="1"/>
  <c r="I639" i="1"/>
  <c r="L639" i="1"/>
  <c r="M639" i="1"/>
  <c r="V639" i="1"/>
  <c r="W639" i="1"/>
  <c r="A557" i="1"/>
  <c r="D557" i="1"/>
  <c r="F557" i="1"/>
  <c r="H557" i="1"/>
  <c r="I557" i="1"/>
  <c r="L557" i="1"/>
  <c r="M557" i="1"/>
  <c r="V557" i="1"/>
  <c r="W557" i="1"/>
  <c r="A713" i="1"/>
  <c r="D713" i="1"/>
  <c r="F713" i="1"/>
  <c r="H713" i="1"/>
  <c r="I713" i="1"/>
  <c r="L713" i="1"/>
  <c r="M713" i="1"/>
  <c r="V713" i="1"/>
  <c r="W713" i="1"/>
  <c r="A4668" i="1"/>
  <c r="D4668" i="1"/>
  <c r="F4668" i="1"/>
  <c r="H4668" i="1"/>
  <c r="I4668" i="1"/>
  <c r="L4668" i="1"/>
  <c r="M4668" i="1"/>
  <c r="V4668" i="1"/>
  <c r="W4668" i="1"/>
  <c r="A4623" i="1"/>
  <c r="D4623" i="1"/>
  <c r="F4623" i="1"/>
  <c r="H4623" i="1"/>
  <c r="I4623" i="1"/>
  <c r="L4623" i="1"/>
  <c r="M4623" i="1"/>
  <c r="V4623" i="1"/>
  <c r="W4623" i="1"/>
  <c r="A4953" i="1"/>
  <c r="D4953" i="1"/>
  <c r="F4953" i="1"/>
  <c r="H4953" i="1"/>
  <c r="I4953" i="1"/>
  <c r="L4953" i="1"/>
  <c r="M4953" i="1"/>
  <c r="V4953" i="1"/>
  <c r="W4953" i="1"/>
  <c r="A1757" i="1"/>
  <c r="D1757" i="1"/>
  <c r="F1757" i="1"/>
  <c r="H1757" i="1"/>
  <c r="I1757" i="1"/>
  <c r="L1757" i="1"/>
  <c r="M1757" i="1"/>
  <c r="V1757" i="1"/>
  <c r="W1757" i="1"/>
  <c r="A6171" i="1"/>
  <c r="D6171" i="1"/>
  <c r="F6171" i="1"/>
  <c r="H6171" i="1"/>
  <c r="I6171" i="1"/>
  <c r="L6171" i="1"/>
  <c r="M6171" i="1"/>
  <c r="V6171" i="1"/>
  <c r="W6171" i="1"/>
  <c r="A393" i="1"/>
  <c r="D393" i="1"/>
  <c r="F393" i="1"/>
  <c r="H393" i="1"/>
  <c r="I393" i="1"/>
  <c r="L393" i="1"/>
  <c r="M393" i="1"/>
  <c r="V393" i="1"/>
  <c r="W393" i="1"/>
  <c r="A439" i="1"/>
  <c r="D439" i="1"/>
  <c r="F439" i="1"/>
  <c r="H439" i="1"/>
  <c r="I439" i="1"/>
  <c r="L439" i="1"/>
  <c r="M439" i="1"/>
  <c r="V439" i="1"/>
  <c r="W439" i="1"/>
  <c r="A366" i="1"/>
  <c r="D366" i="1"/>
  <c r="F366" i="1"/>
  <c r="H366" i="1"/>
  <c r="I366" i="1"/>
  <c r="L366" i="1"/>
  <c r="M366" i="1"/>
  <c r="V366" i="1"/>
  <c r="W366" i="1"/>
  <c r="A1539" i="1"/>
  <c r="D1539" i="1"/>
  <c r="F1539" i="1"/>
  <c r="H1539" i="1"/>
  <c r="I1539" i="1"/>
  <c r="L1539" i="1"/>
  <c r="M1539" i="1"/>
  <c r="V1539" i="1"/>
  <c r="W1539" i="1"/>
  <c r="A144" i="1"/>
  <c r="D144" i="1"/>
  <c r="F144" i="1"/>
  <c r="H144" i="1"/>
  <c r="I144" i="1"/>
  <c r="L144" i="1"/>
  <c r="M144" i="1"/>
  <c r="V144" i="1"/>
  <c r="W144" i="1"/>
  <c r="A146" i="1"/>
  <c r="D146" i="1"/>
  <c r="F146" i="1"/>
  <c r="H146" i="1"/>
  <c r="I146" i="1"/>
  <c r="L146" i="1"/>
  <c r="M146" i="1"/>
  <c r="V146" i="1"/>
  <c r="W146" i="1"/>
  <c r="A188" i="1"/>
  <c r="D188" i="1"/>
  <c r="F188" i="1"/>
  <c r="H188" i="1"/>
  <c r="I188" i="1"/>
  <c r="L188" i="1"/>
  <c r="M188" i="1"/>
  <c r="V188" i="1"/>
  <c r="W188" i="1"/>
  <c r="A755" i="1"/>
  <c r="D755" i="1"/>
  <c r="F755" i="1"/>
  <c r="H755" i="1"/>
  <c r="I755" i="1"/>
  <c r="L755" i="1"/>
  <c r="M755" i="1"/>
  <c r="V755" i="1"/>
  <c r="W755" i="1"/>
  <c r="A901" i="1"/>
  <c r="D901" i="1"/>
  <c r="F901" i="1"/>
  <c r="H901" i="1"/>
  <c r="I901" i="1"/>
  <c r="L901" i="1"/>
  <c r="M901" i="1"/>
  <c r="V901" i="1"/>
  <c r="W901" i="1"/>
  <c r="A994" i="1"/>
  <c r="D994" i="1"/>
  <c r="F994" i="1"/>
  <c r="H994" i="1"/>
  <c r="I994" i="1"/>
  <c r="L994" i="1"/>
  <c r="M994" i="1"/>
  <c r="V994" i="1"/>
  <c r="W994" i="1"/>
  <c r="A1040" i="1"/>
  <c r="D1040" i="1"/>
  <c r="F1040" i="1"/>
  <c r="H1040" i="1"/>
  <c r="I1040" i="1"/>
  <c r="L1040" i="1"/>
  <c r="M1040" i="1"/>
  <c r="V1040" i="1"/>
  <c r="W1040" i="1"/>
  <c r="A1043" i="1"/>
  <c r="D1043" i="1"/>
  <c r="F1043" i="1"/>
  <c r="H1043" i="1"/>
  <c r="I1043" i="1"/>
  <c r="L1043" i="1"/>
  <c r="M1043" i="1"/>
  <c r="V1043" i="1"/>
  <c r="W1043" i="1"/>
  <c r="A1215" i="1"/>
  <c r="D1215" i="1"/>
  <c r="F1215" i="1"/>
  <c r="H1215" i="1"/>
  <c r="I1215" i="1"/>
  <c r="L1215" i="1"/>
  <c r="M1215" i="1"/>
  <c r="V1215" i="1"/>
  <c r="W1215" i="1"/>
  <c r="A1243" i="1"/>
  <c r="D1243" i="1"/>
  <c r="F1243" i="1"/>
  <c r="H1243" i="1"/>
  <c r="I1243" i="1"/>
  <c r="L1243" i="1"/>
  <c r="M1243" i="1"/>
  <c r="V1243" i="1"/>
  <c r="W1243" i="1"/>
  <c r="A1261" i="1"/>
  <c r="D1261" i="1"/>
  <c r="F1261" i="1"/>
  <c r="H1261" i="1"/>
  <c r="I1261" i="1"/>
  <c r="L1261" i="1"/>
  <c r="M1261" i="1"/>
  <c r="V1261" i="1"/>
  <c r="W1261" i="1"/>
  <c r="A1419" i="1"/>
  <c r="D1419" i="1"/>
  <c r="F1419" i="1"/>
  <c r="H1419" i="1"/>
  <c r="I1419" i="1"/>
  <c r="L1419" i="1"/>
  <c r="M1419" i="1"/>
  <c r="V1419" i="1"/>
  <c r="W1419" i="1"/>
  <c r="A1494" i="1"/>
  <c r="D1494" i="1"/>
  <c r="F1494" i="1"/>
  <c r="H1494" i="1"/>
  <c r="I1494" i="1"/>
  <c r="L1494" i="1"/>
  <c r="M1494" i="1"/>
  <c r="V1494" i="1"/>
  <c r="W1494" i="1"/>
  <c r="A1518" i="1"/>
  <c r="D1518" i="1"/>
  <c r="F1518" i="1"/>
  <c r="H1518" i="1"/>
  <c r="I1518" i="1"/>
  <c r="L1518" i="1"/>
  <c r="M1518" i="1"/>
  <c r="V1518" i="1"/>
  <c r="W1518" i="1"/>
  <c r="A1549" i="1"/>
  <c r="D1549" i="1"/>
  <c r="F1549" i="1"/>
  <c r="H1549" i="1"/>
  <c r="I1549" i="1"/>
  <c r="L1549" i="1"/>
  <c r="M1549" i="1"/>
  <c r="V1549" i="1"/>
  <c r="W1549" i="1"/>
  <c r="A2143" i="1"/>
  <c r="D2143" i="1"/>
  <c r="F2143" i="1"/>
  <c r="H2143" i="1"/>
  <c r="I2143" i="1"/>
  <c r="L2143" i="1"/>
  <c r="M2143" i="1"/>
  <c r="V2143" i="1"/>
  <c r="W2143" i="1"/>
  <c r="A2784" i="1"/>
  <c r="D2784" i="1"/>
  <c r="F2784" i="1"/>
  <c r="H2784" i="1"/>
  <c r="I2784" i="1"/>
  <c r="L2784" i="1"/>
  <c r="M2784" i="1"/>
  <c r="V2784" i="1"/>
  <c r="W2784" i="1"/>
  <c r="A2951" i="1"/>
  <c r="D2951" i="1"/>
  <c r="F2951" i="1"/>
  <c r="H2951" i="1"/>
  <c r="I2951" i="1"/>
  <c r="L2951" i="1"/>
  <c r="M2951" i="1"/>
  <c r="V2951" i="1"/>
  <c r="W2951" i="1"/>
  <c r="A3190" i="1"/>
  <c r="D3190" i="1"/>
  <c r="F3190" i="1"/>
  <c r="H3190" i="1"/>
  <c r="I3190" i="1"/>
  <c r="L3190" i="1"/>
  <c r="M3190" i="1"/>
  <c r="V3190" i="1"/>
  <c r="W3190" i="1"/>
  <c r="A3193" i="1"/>
  <c r="D3193" i="1"/>
  <c r="F3193" i="1"/>
  <c r="H3193" i="1"/>
  <c r="I3193" i="1"/>
  <c r="L3193" i="1"/>
  <c r="M3193" i="1"/>
  <c r="V3193" i="1"/>
  <c r="W3193" i="1"/>
  <c r="A3252" i="1"/>
  <c r="D3252" i="1"/>
  <c r="F3252" i="1"/>
  <c r="H3252" i="1"/>
  <c r="I3252" i="1"/>
  <c r="L3252" i="1"/>
  <c r="M3252" i="1"/>
  <c r="V3252" i="1"/>
  <c r="W3252" i="1"/>
  <c r="A3321" i="1"/>
  <c r="D3321" i="1"/>
  <c r="F3321" i="1"/>
  <c r="H3321" i="1"/>
  <c r="I3321" i="1"/>
  <c r="L3321" i="1"/>
  <c r="M3321" i="1"/>
  <c r="V3321" i="1"/>
  <c r="W3321" i="1"/>
  <c r="A3326" i="1"/>
  <c r="D3326" i="1"/>
  <c r="F3326" i="1"/>
  <c r="H3326" i="1"/>
  <c r="I3326" i="1"/>
  <c r="L3326" i="1"/>
  <c r="M3326" i="1"/>
  <c r="V3326" i="1"/>
  <c r="W3326" i="1"/>
  <c r="A4431" i="1"/>
  <c r="D4431" i="1"/>
  <c r="F4431" i="1"/>
  <c r="H4431" i="1"/>
  <c r="I4431" i="1"/>
  <c r="L4431" i="1"/>
  <c r="M4431" i="1"/>
  <c r="V4431" i="1"/>
  <c r="W4431" i="1"/>
  <c r="A4514" i="1"/>
  <c r="D4514" i="1"/>
  <c r="F4514" i="1"/>
  <c r="H4514" i="1"/>
  <c r="I4514" i="1"/>
  <c r="L4514" i="1"/>
  <c r="M4514" i="1"/>
  <c r="V4514" i="1"/>
  <c r="W4514" i="1"/>
  <c r="A4674" i="1"/>
  <c r="D4674" i="1"/>
  <c r="F4674" i="1"/>
  <c r="H4674" i="1"/>
  <c r="I4674" i="1"/>
  <c r="L4674" i="1"/>
  <c r="M4674" i="1"/>
  <c r="V4674" i="1"/>
  <c r="W4674" i="1"/>
  <c r="A4736" i="1"/>
  <c r="D4736" i="1"/>
  <c r="F4736" i="1"/>
  <c r="H4736" i="1"/>
  <c r="I4736" i="1"/>
  <c r="L4736" i="1"/>
  <c r="M4736" i="1"/>
  <c r="V4736" i="1"/>
  <c r="W4736" i="1"/>
  <c r="A4807" i="1"/>
  <c r="D4807" i="1"/>
  <c r="F4807" i="1"/>
  <c r="H4807" i="1"/>
  <c r="I4807" i="1"/>
  <c r="L4807" i="1"/>
  <c r="M4807" i="1"/>
  <c r="V4807" i="1"/>
  <c r="W4807" i="1"/>
  <c r="A4813" i="1"/>
  <c r="D4813" i="1"/>
  <c r="F4813" i="1"/>
  <c r="H4813" i="1"/>
  <c r="I4813" i="1"/>
  <c r="L4813" i="1"/>
  <c r="M4813" i="1"/>
  <c r="V4813" i="1"/>
  <c r="W4813" i="1"/>
  <c r="A4939" i="1"/>
  <c r="D4939" i="1"/>
  <c r="F4939" i="1"/>
  <c r="H4939" i="1"/>
  <c r="I4939" i="1"/>
  <c r="L4939" i="1"/>
  <c r="M4939" i="1"/>
  <c r="V4939" i="1"/>
  <c r="W4939" i="1"/>
  <c r="A4954" i="1"/>
  <c r="D4954" i="1"/>
  <c r="F4954" i="1"/>
  <c r="H4954" i="1"/>
  <c r="I4954" i="1"/>
  <c r="L4954" i="1"/>
  <c r="M4954" i="1"/>
  <c r="V4954" i="1"/>
  <c r="W4954" i="1"/>
  <c r="A5135" i="1"/>
  <c r="D5135" i="1"/>
  <c r="F5135" i="1"/>
  <c r="H5135" i="1"/>
  <c r="I5135" i="1"/>
  <c r="L5135" i="1"/>
  <c r="M5135" i="1"/>
  <c r="V5135" i="1"/>
  <c r="W5135" i="1"/>
  <c r="A5160" i="1"/>
  <c r="D5160" i="1"/>
  <c r="F5160" i="1"/>
  <c r="H5160" i="1"/>
  <c r="I5160" i="1"/>
  <c r="L5160" i="1"/>
  <c r="M5160" i="1"/>
  <c r="V5160" i="1"/>
  <c r="W5160" i="1"/>
  <c r="A5288" i="1"/>
  <c r="D5288" i="1"/>
  <c r="F5288" i="1"/>
  <c r="H5288" i="1"/>
  <c r="I5288" i="1"/>
  <c r="L5288" i="1"/>
  <c r="M5288" i="1"/>
  <c r="V5288" i="1"/>
  <c r="W5288" i="1"/>
  <c r="A5321" i="1"/>
  <c r="D5321" i="1"/>
  <c r="F5321" i="1"/>
  <c r="H5321" i="1"/>
  <c r="I5321" i="1"/>
  <c r="L5321" i="1"/>
  <c r="M5321" i="1"/>
  <c r="V5321" i="1"/>
  <c r="W5321" i="1"/>
  <c r="A5330" i="1"/>
  <c r="D5330" i="1"/>
  <c r="F5330" i="1"/>
  <c r="H5330" i="1"/>
  <c r="I5330" i="1"/>
  <c r="L5330" i="1"/>
  <c r="M5330" i="1"/>
  <c r="V5330" i="1"/>
  <c r="W5330" i="1"/>
  <c r="A5628" i="1"/>
  <c r="D5628" i="1"/>
  <c r="F5628" i="1"/>
  <c r="H5628" i="1"/>
  <c r="I5628" i="1"/>
  <c r="L5628" i="1"/>
  <c r="M5628" i="1"/>
  <c r="V5628" i="1"/>
  <c r="W5628" i="1"/>
  <c r="A5630" i="1"/>
  <c r="D5630" i="1"/>
  <c r="F5630" i="1"/>
  <c r="H5630" i="1"/>
  <c r="I5630" i="1"/>
  <c r="L5630" i="1"/>
  <c r="M5630" i="1"/>
  <c r="V5630" i="1"/>
  <c r="W5630" i="1"/>
  <c r="A5971" i="1"/>
  <c r="D5971" i="1"/>
  <c r="F5971" i="1"/>
  <c r="H5971" i="1"/>
  <c r="I5971" i="1"/>
  <c r="L5971" i="1"/>
  <c r="M5971" i="1"/>
  <c r="V5971" i="1"/>
  <c r="W5971" i="1"/>
  <c r="A5981" i="1"/>
  <c r="D5981" i="1"/>
  <c r="F5981" i="1"/>
  <c r="H5981" i="1"/>
  <c r="I5981" i="1"/>
  <c r="L5981" i="1"/>
  <c r="M5981" i="1"/>
  <c r="V5981" i="1"/>
  <c r="W5981" i="1"/>
  <c r="A1310" i="1"/>
  <c r="D1310" i="1"/>
  <c r="F1310" i="1"/>
  <c r="H1310" i="1"/>
  <c r="I1310" i="1"/>
  <c r="L1310" i="1"/>
  <c r="M1310" i="1"/>
  <c r="V1310" i="1"/>
  <c r="W1310" i="1"/>
  <c r="A3364" i="1"/>
  <c r="D3364" i="1"/>
  <c r="F3364" i="1"/>
  <c r="H3364" i="1"/>
  <c r="I3364" i="1"/>
  <c r="L3364" i="1"/>
  <c r="M3364" i="1"/>
  <c r="V3364" i="1"/>
  <c r="W3364" i="1"/>
  <c r="A4223" i="1"/>
  <c r="D4223" i="1"/>
  <c r="F4223" i="1"/>
  <c r="H4223" i="1"/>
  <c r="I4223" i="1"/>
  <c r="L4223" i="1"/>
  <c r="M4223" i="1"/>
  <c r="V4223" i="1"/>
  <c r="W4223" i="1"/>
  <c r="A488" i="1"/>
  <c r="D488" i="1"/>
  <c r="F488" i="1"/>
  <c r="H488" i="1"/>
  <c r="I488" i="1"/>
  <c r="L488" i="1"/>
  <c r="M488" i="1"/>
  <c r="V488" i="1"/>
  <c r="W488" i="1"/>
  <c r="A4230" i="1"/>
  <c r="D4230" i="1"/>
  <c r="F4230" i="1"/>
  <c r="H4230" i="1"/>
  <c r="I4230" i="1"/>
  <c r="L4230" i="1"/>
  <c r="M4230" i="1"/>
  <c r="V4230" i="1"/>
  <c r="W4230" i="1"/>
  <c r="A4891" i="1"/>
  <c r="D4891" i="1"/>
  <c r="F4891" i="1"/>
  <c r="H4891" i="1"/>
  <c r="I4891" i="1"/>
  <c r="L4891" i="1"/>
  <c r="M4891" i="1"/>
  <c r="V4891" i="1"/>
  <c r="W4891" i="1"/>
  <c r="A4309" i="1"/>
  <c r="D4309" i="1"/>
  <c r="F4309" i="1"/>
  <c r="H4309" i="1"/>
  <c r="I4309" i="1"/>
  <c r="L4309" i="1"/>
  <c r="M4309" i="1"/>
  <c r="V4309" i="1"/>
  <c r="W4309" i="1"/>
  <c r="A5079" i="1"/>
  <c r="D5079" i="1"/>
  <c r="F5079" i="1"/>
  <c r="H5079" i="1"/>
  <c r="I5079" i="1"/>
  <c r="L5079" i="1"/>
  <c r="M5079" i="1"/>
  <c r="V5079" i="1"/>
  <c r="W5079" i="1"/>
  <c r="A283" i="1"/>
  <c r="D283" i="1"/>
  <c r="F283" i="1"/>
  <c r="H283" i="1"/>
  <c r="I283" i="1"/>
  <c r="L283" i="1"/>
  <c r="M283" i="1"/>
  <c r="V283" i="1"/>
  <c r="W283" i="1"/>
  <c r="A6047" i="1"/>
  <c r="D6047" i="1"/>
  <c r="F6047" i="1"/>
  <c r="H6047" i="1"/>
  <c r="I6047" i="1"/>
  <c r="L6047" i="1"/>
  <c r="M6047" i="1"/>
  <c r="V6047" i="1"/>
  <c r="W6047" i="1"/>
  <c r="A6052" i="1"/>
  <c r="D6052" i="1"/>
  <c r="F6052" i="1"/>
  <c r="H6052" i="1"/>
  <c r="I6052" i="1"/>
  <c r="L6052" i="1"/>
  <c r="M6052" i="1"/>
  <c r="V6052" i="1"/>
  <c r="W6052" i="1"/>
  <c r="A800" i="1"/>
  <c r="D800" i="1"/>
  <c r="F800" i="1"/>
  <c r="H800" i="1"/>
  <c r="I800" i="1"/>
  <c r="L800" i="1"/>
  <c r="M800" i="1"/>
  <c r="V800" i="1"/>
  <c r="W800" i="1"/>
  <c r="A4924" i="1"/>
  <c r="D4924" i="1"/>
  <c r="F4924" i="1"/>
  <c r="H4924" i="1"/>
  <c r="I4924" i="1"/>
  <c r="L4924" i="1"/>
  <c r="M4924" i="1"/>
  <c r="V4924" i="1"/>
  <c r="W4924" i="1"/>
  <c r="A4918" i="1"/>
  <c r="D4918" i="1"/>
  <c r="F4918" i="1"/>
  <c r="H4918" i="1"/>
  <c r="I4918" i="1"/>
  <c r="L4918" i="1"/>
  <c r="M4918" i="1"/>
  <c r="V4918" i="1"/>
  <c r="W4918" i="1"/>
  <c r="A4032" i="1"/>
  <c r="D4032" i="1"/>
  <c r="F4032" i="1"/>
  <c r="H4032" i="1"/>
  <c r="I4032" i="1"/>
  <c r="L4032" i="1"/>
  <c r="M4032" i="1"/>
  <c r="V4032" i="1"/>
  <c r="W4032" i="1"/>
  <c r="A5234" i="1"/>
  <c r="D5234" i="1"/>
  <c r="F5234" i="1"/>
  <c r="H5234" i="1"/>
  <c r="I5234" i="1"/>
  <c r="L5234" i="1"/>
  <c r="M5234" i="1"/>
  <c r="V5234" i="1"/>
  <c r="W5234" i="1"/>
  <c r="A5371" i="1"/>
  <c r="D5371" i="1"/>
  <c r="F5371" i="1"/>
  <c r="H5371" i="1"/>
  <c r="I5371" i="1"/>
  <c r="L5371" i="1"/>
  <c r="M5371" i="1"/>
  <c r="V5371" i="1"/>
  <c r="W5371" i="1"/>
  <c r="A1084" i="1"/>
  <c r="D1084" i="1"/>
  <c r="F1084" i="1"/>
  <c r="H1084" i="1"/>
  <c r="I1084" i="1"/>
  <c r="L1084" i="1"/>
  <c r="M1084" i="1"/>
  <c r="V1084" i="1"/>
  <c r="W1084" i="1"/>
  <c r="A2145" i="1"/>
  <c r="D2145" i="1"/>
  <c r="F2145" i="1"/>
  <c r="H2145" i="1"/>
  <c r="I2145" i="1"/>
  <c r="L2145" i="1"/>
  <c r="M2145" i="1"/>
  <c r="V2145" i="1"/>
  <c r="W2145" i="1"/>
  <c r="A4009" i="1"/>
  <c r="D4009" i="1"/>
  <c r="F4009" i="1"/>
  <c r="H4009" i="1"/>
  <c r="I4009" i="1"/>
  <c r="L4009" i="1"/>
  <c r="M4009" i="1"/>
  <c r="V4009" i="1"/>
  <c r="W4009" i="1"/>
  <c r="A4109" i="1"/>
  <c r="D4109" i="1"/>
  <c r="F4109" i="1"/>
  <c r="H4109" i="1"/>
  <c r="I4109" i="1"/>
  <c r="L4109" i="1"/>
  <c r="M4109" i="1"/>
  <c r="V4109" i="1"/>
  <c r="W4109" i="1"/>
  <c r="A4212" i="1"/>
  <c r="D4212" i="1"/>
  <c r="F4212" i="1"/>
  <c r="H4212" i="1"/>
  <c r="I4212" i="1"/>
  <c r="L4212" i="1"/>
  <c r="M4212" i="1"/>
  <c r="V4212" i="1"/>
  <c r="W4212" i="1"/>
  <c r="A1944" i="1"/>
  <c r="D1944" i="1"/>
  <c r="F1944" i="1"/>
  <c r="H1944" i="1"/>
  <c r="I1944" i="1"/>
  <c r="L1944" i="1"/>
  <c r="M1944" i="1"/>
  <c r="V1944" i="1"/>
  <c r="W1944" i="1"/>
  <c r="A2658" i="1"/>
  <c r="D2658" i="1"/>
  <c r="F2658" i="1"/>
  <c r="H2658" i="1"/>
  <c r="I2658" i="1"/>
  <c r="L2658" i="1"/>
  <c r="M2658" i="1"/>
  <c r="V2658" i="1"/>
  <c r="W2658" i="1"/>
  <c r="A2764" i="1"/>
  <c r="D2764" i="1"/>
  <c r="F2764" i="1"/>
  <c r="H2764" i="1"/>
  <c r="I2764" i="1"/>
  <c r="L2764" i="1"/>
  <c r="M2764" i="1"/>
  <c r="V2764" i="1"/>
  <c r="W2764" i="1"/>
  <c r="A3381" i="1"/>
  <c r="D3381" i="1"/>
  <c r="F3381" i="1"/>
  <c r="H3381" i="1"/>
  <c r="I3381" i="1"/>
  <c r="L3381" i="1"/>
  <c r="M3381" i="1"/>
  <c r="V3381" i="1"/>
  <c r="W3381" i="1"/>
  <c r="A5838" i="1"/>
  <c r="D5838" i="1"/>
  <c r="F5838" i="1"/>
  <c r="H5838" i="1"/>
  <c r="I5838" i="1"/>
  <c r="L5838" i="1"/>
  <c r="M5838" i="1"/>
  <c r="V5838" i="1"/>
  <c r="W5838" i="1"/>
  <c r="A3549" i="1"/>
  <c r="D3549" i="1"/>
  <c r="F3549" i="1"/>
  <c r="H3549" i="1"/>
  <c r="I3549" i="1"/>
  <c r="L3549" i="1"/>
  <c r="M3549" i="1"/>
  <c r="V3549" i="1"/>
  <c r="W3549" i="1"/>
  <c r="A4229" i="1"/>
  <c r="D4229" i="1"/>
  <c r="F4229" i="1"/>
  <c r="H4229" i="1"/>
  <c r="I4229" i="1"/>
  <c r="L4229" i="1"/>
  <c r="M4229" i="1"/>
  <c r="V4229" i="1"/>
  <c r="W4229" i="1"/>
  <c r="A620" i="1"/>
  <c r="D620" i="1"/>
  <c r="F620" i="1"/>
  <c r="H620" i="1"/>
  <c r="I620" i="1"/>
  <c r="L620" i="1"/>
  <c r="M620" i="1"/>
  <c r="V620" i="1"/>
  <c r="W620" i="1"/>
  <c r="A3059" i="1"/>
  <c r="D3059" i="1"/>
  <c r="F3059" i="1"/>
  <c r="H3059" i="1"/>
  <c r="I3059" i="1"/>
  <c r="L3059" i="1"/>
  <c r="M3059" i="1"/>
  <c r="V3059" i="1"/>
  <c r="W3059" i="1"/>
  <c r="A1845" i="1"/>
  <c r="D1845" i="1"/>
  <c r="F1845" i="1"/>
  <c r="H1845" i="1"/>
  <c r="I1845" i="1"/>
  <c r="L1845" i="1"/>
  <c r="M1845" i="1"/>
  <c r="V1845" i="1"/>
  <c r="W1845" i="1"/>
  <c r="A479" i="1"/>
  <c r="D479" i="1"/>
  <c r="F479" i="1"/>
  <c r="H479" i="1"/>
  <c r="I479" i="1"/>
  <c r="L479" i="1"/>
  <c r="M479" i="1"/>
  <c r="V479" i="1"/>
  <c r="W479" i="1"/>
  <c r="A677" i="1"/>
  <c r="D677" i="1"/>
  <c r="F677" i="1"/>
  <c r="H677" i="1"/>
  <c r="I677" i="1"/>
  <c r="L677" i="1"/>
  <c r="M677" i="1"/>
  <c r="V677" i="1"/>
  <c r="W677" i="1"/>
  <c r="A1238" i="1"/>
  <c r="D1238" i="1"/>
  <c r="F1238" i="1"/>
  <c r="H1238" i="1"/>
  <c r="I1238" i="1"/>
  <c r="L1238" i="1"/>
  <c r="M1238" i="1"/>
  <c r="V1238" i="1"/>
  <c r="W1238" i="1"/>
  <c r="A4801" i="1"/>
  <c r="D4801" i="1"/>
  <c r="F4801" i="1"/>
  <c r="H4801" i="1"/>
  <c r="I4801" i="1"/>
  <c r="L4801" i="1"/>
  <c r="M4801" i="1"/>
  <c r="V4801" i="1"/>
  <c r="W4801" i="1"/>
  <c r="A4038" i="1"/>
  <c r="D4038" i="1"/>
  <c r="F4038" i="1"/>
  <c r="H4038" i="1"/>
  <c r="I4038" i="1"/>
  <c r="L4038" i="1"/>
  <c r="M4038" i="1"/>
  <c r="V4038" i="1"/>
  <c r="W4038" i="1"/>
  <c r="A4041" i="1"/>
  <c r="D4041" i="1"/>
  <c r="F4041" i="1"/>
  <c r="H4041" i="1"/>
  <c r="I4041" i="1"/>
  <c r="L4041" i="1"/>
  <c r="M4041" i="1"/>
  <c r="V4041" i="1"/>
  <c r="W4041" i="1"/>
  <c r="A451" i="1"/>
  <c r="D451" i="1"/>
  <c r="F451" i="1"/>
  <c r="H451" i="1"/>
  <c r="I451" i="1"/>
  <c r="L451" i="1"/>
  <c r="M451" i="1"/>
  <c r="V451" i="1"/>
  <c r="W451" i="1"/>
  <c r="A452" i="1"/>
  <c r="D452" i="1"/>
  <c r="F452" i="1"/>
  <c r="H452" i="1"/>
  <c r="I452" i="1"/>
  <c r="L452" i="1"/>
  <c r="M452" i="1"/>
  <c r="V452" i="1"/>
  <c r="W452" i="1"/>
  <c r="A2149" i="1"/>
  <c r="D2149" i="1"/>
  <c r="F2149" i="1"/>
  <c r="H2149" i="1"/>
  <c r="I2149" i="1"/>
  <c r="L2149" i="1"/>
  <c r="M2149" i="1"/>
  <c r="V2149" i="1"/>
  <c r="W2149" i="1"/>
  <c r="A242" i="1"/>
  <c r="D242" i="1"/>
  <c r="F242" i="1"/>
  <c r="H242" i="1"/>
  <c r="I242" i="1"/>
  <c r="L242" i="1"/>
  <c r="M242" i="1"/>
  <c r="V242" i="1"/>
  <c r="W242" i="1"/>
  <c r="A4641" i="1"/>
  <c r="D4641" i="1"/>
  <c r="F4641" i="1"/>
  <c r="H4641" i="1"/>
  <c r="I4641" i="1"/>
  <c r="L4641" i="1"/>
  <c r="M4641" i="1"/>
  <c r="V4641" i="1"/>
  <c r="W4641" i="1"/>
  <c r="A5435" i="1"/>
  <c r="D5435" i="1"/>
  <c r="F5435" i="1"/>
  <c r="H5435" i="1"/>
  <c r="I5435" i="1"/>
  <c r="L5435" i="1"/>
  <c r="M5435" i="1"/>
  <c r="V5435" i="1"/>
  <c r="W5435" i="1"/>
  <c r="A3962" i="1"/>
  <c r="D3962" i="1"/>
  <c r="F3962" i="1"/>
  <c r="H3962" i="1"/>
  <c r="I3962" i="1"/>
  <c r="L3962" i="1"/>
  <c r="M3962" i="1"/>
  <c r="V3962" i="1"/>
  <c r="W3962" i="1"/>
  <c r="A2586" i="1"/>
  <c r="D2586" i="1"/>
  <c r="F2586" i="1"/>
  <c r="H2586" i="1"/>
  <c r="I2586" i="1"/>
  <c r="L2586" i="1"/>
  <c r="M2586" i="1"/>
  <c r="V2586" i="1"/>
  <c r="W2586" i="1"/>
  <c r="A2649" i="1"/>
  <c r="D2649" i="1"/>
  <c r="F2649" i="1"/>
  <c r="H2649" i="1"/>
  <c r="I2649" i="1"/>
  <c r="L2649" i="1"/>
  <c r="M2649" i="1"/>
  <c r="V2649" i="1"/>
  <c r="W2649" i="1"/>
  <c r="A3053" i="1"/>
  <c r="D3053" i="1"/>
  <c r="F3053" i="1"/>
  <c r="H3053" i="1"/>
  <c r="I3053" i="1"/>
  <c r="L3053" i="1"/>
  <c r="M3053" i="1"/>
  <c r="V3053" i="1"/>
  <c r="W3053" i="1"/>
  <c r="A5015" i="1"/>
  <c r="D5015" i="1"/>
  <c r="F5015" i="1"/>
  <c r="H5015" i="1"/>
  <c r="I5015" i="1"/>
  <c r="L5015" i="1"/>
  <c r="M5015" i="1"/>
  <c r="V5015" i="1"/>
  <c r="W5015" i="1"/>
  <c r="A1876" i="1"/>
  <c r="D1876" i="1"/>
  <c r="F1876" i="1"/>
  <c r="H1876" i="1"/>
  <c r="I1876" i="1"/>
  <c r="L1876" i="1"/>
  <c r="M1876" i="1"/>
  <c r="V1876" i="1"/>
  <c r="W1876" i="1"/>
  <c r="A1464" i="1"/>
  <c r="D1464" i="1"/>
  <c r="F1464" i="1"/>
  <c r="H1464" i="1"/>
  <c r="I1464" i="1"/>
  <c r="L1464" i="1"/>
  <c r="M1464" i="1"/>
  <c r="V1464" i="1"/>
  <c r="W1464" i="1"/>
  <c r="A4705" i="1"/>
  <c r="D4705" i="1"/>
  <c r="F4705" i="1"/>
  <c r="H4705" i="1"/>
  <c r="I4705" i="1"/>
  <c r="L4705" i="1"/>
  <c r="M4705" i="1"/>
  <c r="V4705" i="1"/>
  <c r="W4705" i="1"/>
  <c r="A2433" i="1"/>
  <c r="D2433" i="1"/>
  <c r="F2433" i="1"/>
  <c r="H2433" i="1"/>
  <c r="I2433" i="1"/>
  <c r="L2433" i="1"/>
  <c r="M2433" i="1"/>
  <c r="V2433" i="1"/>
  <c r="W2433" i="1"/>
  <c r="A4569" i="1"/>
  <c r="D4569" i="1"/>
  <c r="F4569" i="1"/>
  <c r="H4569" i="1"/>
  <c r="I4569" i="1"/>
  <c r="L4569" i="1"/>
  <c r="M4569" i="1"/>
  <c r="V4569" i="1"/>
  <c r="W4569" i="1"/>
  <c r="A2074" i="1"/>
  <c r="D2074" i="1"/>
  <c r="F2074" i="1"/>
  <c r="H2074" i="1"/>
  <c r="I2074" i="1"/>
  <c r="L2074" i="1"/>
  <c r="M2074" i="1"/>
  <c r="V2074" i="1"/>
  <c r="W2074" i="1"/>
  <c r="A5767" i="1"/>
  <c r="D5767" i="1"/>
  <c r="F5767" i="1"/>
  <c r="H5767" i="1"/>
  <c r="I5767" i="1"/>
  <c r="L5767" i="1"/>
  <c r="M5767" i="1"/>
  <c r="V5767" i="1"/>
  <c r="W5767" i="1"/>
  <c r="A5284" i="1"/>
  <c r="D5284" i="1"/>
  <c r="F5284" i="1"/>
  <c r="H5284" i="1"/>
  <c r="I5284" i="1"/>
  <c r="L5284" i="1"/>
  <c r="M5284" i="1"/>
  <c r="V5284" i="1"/>
  <c r="W5284" i="1"/>
  <c r="A744" i="1"/>
  <c r="D744" i="1"/>
  <c r="F744" i="1"/>
  <c r="H744" i="1"/>
  <c r="I744" i="1"/>
  <c r="L744" i="1"/>
  <c r="M744" i="1"/>
  <c r="V744" i="1"/>
  <c r="W744" i="1"/>
  <c r="A5422" i="1"/>
  <c r="D5422" i="1"/>
  <c r="F5422" i="1"/>
  <c r="H5422" i="1"/>
  <c r="I5422" i="1"/>
  <c r="L5422" i="1"/>
  <c r="M5422" i="1"/>
  <c r="V5422" i="1"/>
  <c r="W5422" i="1"/>
  <c r="A1645" i="1"/>
  <c r="D1645" i="1"/>
  <c r="F1645" i="1"/>
  <c r="H1645" i="1"/>
  <c r="I1645" i="1"/>
  <c r="L1645" i="1"/>
  <c r="M1645" i="1"/>
  <c r="V1645" i="1"/>
  <c r="W1645" i="1"/>
  <c r="A2157" i="1"/>
  <c r="D2157" i="1"/>
  <c r="F2157" i="1"/>
  <c r="H2157" i="1"/>
  <c r="I2157" i="1"/>
  <c r="L2157" i="1"/>
  <c r="M2157" i="1"/>
  <c r="V2157" i="1"/>
  <c r="W2157" i="1"/>
  <c r="A6093" i="1"/>
  <c r="D6093" i="1"/>
  <c r="F6093" i="1"/>
  <c r="H6093" i="1"/>
  <c r="I6093" i="1"/>
  <c r="L6093" i="1"/>
  <c r="M6093" i="1"/>
  <c r="V6093" i="1"/>
  <c r="W6093" i="1"/>
  <c r="A1082" i="1"/>
  <c r="D1082" i="1"/>
  <c r="F1082" i="1"/>
  <c r="H1082" i="1"/>
  <c r="I1082" i="1"/>
  <c r="L1082" i="1"/>
  <c r="M1082" i="1"/>
  <c r="V1082" i="1"/>
  <c r="W1082" i="1"/>
  <c r="A1568" i="1"/>
  <c r="D1568" i="1"/>
  <c r="F1568" i="1"/>
  <c r="H1568" i="1"/>
  <c r="I1568" i="1"/>
  <c r="L1568" i="1"/>
  <c r="M1568" i="1"/>
  <c r="V1568" i="1"/>
  <c r="W1568" i="1"/>
  <c r="A1337" i="1"/>
  <c r="D1337" i="1"/>
  <c r="F1337" i="1"/>
  <c r="H1337" i="1"/>
  <c r="I1337" i="1"/>
  <c r="L1337" i="1"/>
  <c r="M1337" i="1"/>
  <c r="V1337" i="1"/>
  <c r="W1337" i="1"/>
  <c r="A3766" i="1"/>
  <c r="D3766" i="1"/>
  <c r="F3766" i="1"/>
  <c r="H3766" i="1"/>
  <c r="I3766" i="1"/>
  <c r="L3766" i="1"/>
  <c r="M3766" i="1"/>
  <c r="V3766" i="1"/>
  <c r="W3766" i="1"/>
  <c r="A363" i="1"/>
  <c r="D363" i="1"/>
  <c r="F363" i="1"/>
  <c r="H363" i="1"/>
  <c r="I363" i="1"/>
  <c r="L363" i="1"/>
  <c r="M363" i="1"/>
  <c r="V363" i="1"/>
  <c r="W363" i="1"/>
  <c r="A4269" i="1"/>
  <c r="D4269" i="1"/>
  <c r="F4269" i="1"/>
  <c r="H4269" i="1"/>
  <c r="I4269" i="1"/>
  <c r="L4269" i="1"/>
  <c r="M4269" i="1"/>
  <c r="V4269" i="1"/>
  <c r="W4269" i="1"/>
  <c r="A3002" i="1"/>
  <c r="D3002" i="1"/>
  <c r="F3002" i="1"/>
  <c r="H3002" i="1"/>
  <c r="I3002" i="1"/>
  <c r="L3002" i="1"/>
  <c r="M3002" i="1"/>
  <c r="V3002" i="1"/>
  <c r="W3002" i="1"/>
  <c r="A4695" i="1"/>
  <c r="D4695" i="1"/>
  <c r="F4695" i="1"/>
  <c r="H4695" i="1"/>
  <c r="I4695" i="1"/>
  <c r="L4695" i="1"/>
  <c r="M4695" i="1"/>
  <c r="V4695" i="1"/>
  <c r="W4695" i="1"/>
  <c r="A5995" i="1"/>
  <c r="D5995" i="1"/>
  <c r="F5995" i="1"/>
  <c r="H5995" i="1"/>
  <c r="I5995" i="1"/>
  <c r="L5995" i="1"/>
  <c r="M5995" i="1"/>
  <c r="V5995" i="1"/>
  <c r="W5995" i="1"/>
  <c r="A3998" i="1"/>
  <c r="D3998" i="1"/>
  <c r="F3998" i="1"/>
  <c r="H3998" i="1"/>
  <c r="I3998" i="1"/>
  <c r="L3998" i="1"/>
  <c r="M3998" i="1"/>
  <c r="V3998" i="1"/>
  <c r="W3998" i="1"/>
  <c r="A4049" i="1"/>
  <c r="D4049" i="1"/>
  <c r="F4049" i="1"/>
  <c r="H4049" i="1"/>
  <c r="I4049" i="1"/>
  <c r="L4049" i="1"/>
  <c r="M4049" i="1"/>
  <c r="V4049" i="1"/>
  <c r="W4049" i="1"/>
  <c r="A1122" i="1"/>
  <c r="D1122" i="1"/>
  <c r="F1122" i="1"/>
  <c r="H1122" i="1"/>
  <c r="I1122" i="1"/>
  <c r="L1122" i="1"/>
  <c r="M1122" i="1"/>
  <c r="V1122" i="1"/>
  <c r="W1122" i="1"/>
  <c r="A2038" i="1"/>
  <c r="D2038" i="1"/>
  <c r="F2038" i="1"/>
  <c r="H2038" i="1"/>
  <c r="I2038" i="1"/>
  <c r="L2038" i="1"/>
  <c r="M2038" i="1"/>
  <c r="V2038" i="1"/>
  <c r="W2038" i="1"/>
  <c r="A4166" i="1"/>
  <c r="D4166" i="1"/>
  <c r="F4166" i="1"/>
  <c r="H4166" i="1"/>
  <c r="I4166" i="1"/>
  <c r="L4166" i="1"/>
  <c r="M4166" i="1"/>
  <c r="V4166" i="1"/>
  <c r="W4166" i="1"/>
  <c r="A4469" i="1"/>
  <c r="D4469" i="1"/>
  <c r="F4469" i="1"/>
  <c r="H4469" i="1"/>
  <c r="I4469" i="1"/>
  <c r="L4469" i="1"/>
  <c r="M4469" i="1"/>
  <c r="V4469" i="1"/>
  <c r="W4469" i="1"/>
  <c r="A4481" i="1"/>
  <c r="D4481" i="1"/>
  <c r="F4481" i="1"/>
  <c r="H4481" i="1"/>
  <c r="I4481" i="1"/>
  <c r="L4481" i="1"/>
  <c r="M4481" i="1"/>
  <c r="V4481" i="1"/>
  <c r="W4481" i="1"/>
  <c r="A4448" i="1"/>
  <c r="D4448" i="1"/>
  <c r="F4448" i="1"/>
  <c r="H4448" i="1"/>
  <c r="I4448" i="1"/>
  <c r="L4448" i="1"/>
  <c r="M4448" i="1"/>
  <c r="V4448" i="1"/>
  <c r="W4448" i="1"/>
  <c r="A4450" i="1"/>
  <c r="D4450" i="1"/>
  <c r="F4450" i="1"/>
  <c r="H4450" i="1"/>
  <c r="I4450" i="1"/>
  <c r="L4450" i="1"/>
  <c r="M4450" i="1"/>
  <c r="V4450" i="1"/>
  <c r="W4450" i="1"/>
  <c r="A4595" i="1"/>
  <c r="D4595" i="1"/>
  <c r="F4595" i="1"/>
  <c r="H4595" i="1"/>
  <c r="I4595" i="1"/>
  <c r="L4595" i="1"/>
  <c r="M4595" i="1"/>
  <c r="V4595" i="1"/>
  <c r="W4595" i="1"/>
  <c r="A843" i="1"/>
  <c r="D843" i="1"/>
  <c r="F843" i="1"/>
  <c r="H843" i="1"/>
  <c r="I843" i="1"/>
  <c r="L843" i="1"/>
  <c r="M843" i="1"/>
  <c r="V843" i="1"/>
  <c r="W843" i="1"/>
  <c r="A3215" i="1"/>
  <c r="D3215" i="1"/>
  <c r="F3215" i="1"/>
  <c r="H3215" i="1"/>
  <c r="I3215" i="1"/>
  <c r="L3215" i="1"/>
  <c r="M3215" i="1"/>
  <c r="V3215" i="1"/>
  <c r="W3215" i="1"/>
  <c r="A191" i="1"/>
  <c r="D191" i="1"/>
  <c r="F191" i="1"/>
  <c r="H191" i="1"/>
  <c r="I191" i="1"/>
  <c r="L191" i="1"/>
  <c r="M191" i="1"/>
  <c r="V191" i="1"/>
  <c r="W191" i="1"/>
  <c r="A3855" i="1"/>
  <c r="D3855" i="1"/>
  <c r="F3855" i="1"/>
  <c r="H3855" i="1"/>
  <c r="I3855" i="1"/>
  <c r="L3855" i="1"/>
  <c r="M3855" i="1"/>
  <c r="V3855" i="1"/>
  <c r="W3855" i="1"/>
  <c r="A1996" i="1"/>
  <c r="D1996" i="1"/>
  <c r="F1996" i="1"/>
  <c r="H1996" i="1"/>
  <c r="I1996" i="1"/>
  <c r="L1996" i="1"/>
  <c r="M1996" i="1"/>
  <c r="V1996" i="1"/>
  <c r="W1996" i="1"/>
  <c r="A2504" i="1"/>
  <c r="D2504" i="1"/>
  <c r="F2504" i="1"/>
  <c r="H2504" i="1"/>
  <c r="I2504" i="1"/>
  <c r="L2504" i="1"/>
  <c r="M2504" i="1"/>
  <c r="V2504" i="1"/>
  <c r="W2504" i="1"/>
  <c r="A4475" i="1"/>
  <c r="D4475" i="1"/>
  <c r="F4475" i="1"/>
  <c r="H4475" i="1"/>
  <c r="I4475" i="1"/>
  <c r="L4475" i="1"/>
  <c r="M4475" i="1"/>
  <c r="V4475" i="1"/>
  <c r="W4475" i="1"/>
  <c r="A5032" i="1"/>
  <c r="D5032" i="1"/>
  <c r="F5032" i="1"/>
  <c r="H5032" i="1"/>
  <c r="I5032" i="1"/>
  <c r="L5032" i="1"/>
  <c r="M5032" i="1"/>
  <c r="V5032" i="1"/>
  <c r="W5032" i="1"/>
  <c r="A76" i="1"/>
  <c r="D76" i="1"/>
  <c r="F76" i="1"/>
  <c r="H76" i="1"/>
  <c r="I76" i="1"/>
  <c r="L76" i="1"/>
  <c r="M76" i="1"/>
  <c r="V76" i="1"/>
  <c r="W76" i="1"/>
  <c r="A1535" i="1"/>
  <c r="D1535" i="1"/>
  <c r="F1535" i="1"/>
  <c r="H1535" i="1"/>
  <c r="I1535" i="1"/>
  <c r="L1535" i="1"/>
  <c r="M1535" i="1"/>
  <c r="V1535" i="1"/>
  <c r="W1535" i="1"/>
  <c r="A815" i="1"/>
  <c r="D815" i="1"/>
  <c r="F815" i="1"/>
  <c r="H815" i="1"/>
  <c r="I815" i="1"/>
  <c r="L815" i="1"/>
  <c r="M815" i="1"/>
  <c r="V815" i="1"/>
  <c r="W815" i="1"/>
  <c r="A2030" i="1"/>
  <c r="D2030" i="1"/>
  <c r="F2030" i="1"/>
  <c r="H2030" i="1"/>
  <c r="I2030" i="1"/>
  <c r="L2030" i="1"/>
  <c r="M2030" i="1"/>
  <c r="V2030" i="1"/>
  <c r="W2030" i="1"/>
  <c r="A3617" i="1"/>
  <c r="D3617" i="1"/>
  <c r="F3617" i="1"/>
  <c r="H3617" i="1"/>
  <c r="I3617" i="1"/>
  <c r="L3617" i="1"/>
  <c r="M3617" i="1"/>
  <c r="V3617" i="1"/>
  <c r="W3617" i="1"/>
  <c r="A3860" i="1"/>
  <c r="D3860" i="1"/>
  <c r="F3860" i="1"/>
  <c r="H3860" i="1"/>
  <c r="I3860" i="1"/>
  <c r="L3860" i="1"/>
  <c r="M3860" i="1"/>
  <c r="V3860" i="1"/>
  <c r="W3860" i="1"/>
  <c r="A3878" i="1"/>
  <c r="D3878" i="1"/>
  <c r="F3878" i="1"/>
  <c r="H3878" i="1"/>
  <c r="I3878" i="1"/>
  <c r="L3878" i="1"/>
  <c r="M3878" i="1"/>
  <c r="V3878" i="1"/>
  <c r="W3878" i="1"/>
  <c r="A4345" i="1"/>
  <c r="D4345" i="1"/>
  <c r="F4345" i="1"/>
  <c r="H4345" i="1"/>
  <c r="I4345" i="1"/>
  <c r="L4345" i="1"/>
  <c r="M4345" i="1"/>
  <c r="V4345" i="1"/>
  <c r="W4345" i="1"/>
  <c r="A498" i="1"/>
  <c r="D498" i="1"/>
  <c r="F498" i="1"/>
  <c r="H498" i="1"/>
  <c r="I498" i="1"/>
  <c r="L498" i="1"/>
  <c r="M498" i="1"/>
  <c r="V498" i="1"/>
  <c r="W498" i="1"/>
  <c r="A541" i="1"/>
  <c r="D541" i="1"/>
  <c r="F541" i="1"/>
  <c r="H541" i="1"/>
  <c r="I541" i="1"/>
  <c r="L541" i="1"/>
  <c r="M541" i="1"/>
  <c r="V541" i="1"/>
  <c r="W541" i="1"/>
  <c r="A551" i="1"/>
  <c r="D551" i="1"/>
  <c r="F551" i="1"/>
  <c r="H551" i="1"/>
  <c r="I551" i="1"/>
  <c r="L551" i="1"/>
  <c r="M551" i="1"/>
  <c r="V551" i="1"/>
  <c r="W551" i="1"/>
  <c r="A663" i="1"/>
  <c r="D663" i="1"/>
  <c r="F663" i="1"/>
  <c r="H663" i="1"/>
  <c r="I663" i="1"/>
  <c r="L663" i="1"/>
  <c r="M663" i="1"/>
  <c r="V663" i="1"/>
  <c r="W663" i="1"/>
  <c r="A3982" i="1"/>
  <c r="D3982" i="1"/>
  <c r="F3982" i="1"/>
  <c r="H3982" i="1"/>
  <c r="I3982" i="1"/>
  <c r="L3982" i="1"/>
  <c r="M3982" i="1"/>
  <c r="V3982" i="1"/>
  <c r="W3982" i="1"/>
  <c r="A805" i="1"/>
  <c r="D805" i="1"/>
  <c r="F805" i="1"/>
  <c r="H805" i="1"/>
  <c r="I805" i="1"/>
  <c r="L805" i="1"/>
  <c r="M805" i="1"/>
  <c r="V805" i="1"/>
  <c r="W805" i="1"/>
  <c r="A306" i="1"/>
  <c r="D306" i="1"/>
  <c r="F306" i="1"/>
  <c r="H306" i="1"/>
  <c r="I306" i="1"/>
  <c r="L306" i="1"/>
  <c r="M306" i="1"/>
  <c r="V306" i="1"/>
  <c r="W306" i="1"/>
  <c r="A360" i="1"/>
  <c r="D360" i="1"/>
  <c r="F360" i="1"/>
  <c r="H360" i="1"/>
  <c r="I360" i="1"/>
  <c r="L360" i="1"/>
  <c r="M360" i="1"/>
  <c r="V360" i="1"/>
  <c r="W360" i="1"/>
  <c r="A5060" i="1"/>
  <c r="D5060" i="1"/>
  <c r="F5060" i="1"/>
  <c r="H5060" i="1"/>
  <c r="I5060" i="1"/>
  <c r="L5060" i="1"/>
  <c r="M5060" i="1"/>
  <c r="V5060" i="1"/>
  <c r="W5060" i="1"/>
  <c r="A5304" i="1"/>
  <c r="D5304" i="1"/>
  <c r="F5304" i="1"/>
  <c r="H5304" i="1"/>
  <c r="I5304" i="1"/>
  <c r="L5304" i="1"/>
  <c r="M5304" i="1"/>
  <c r="V5304" i="1"/>
  <c r="W5304" i="1"/>
  <c r="A2463" i="1"/>
  <c r="D2463" i="1"/>
  <c r="F2463" i="1"/>
  <c r="H2463" i="1"/>
  <c r="I2463" i="1"/>
  <c r="L2463" i="1"/>
  <c r="M2463" i="1"/>
  <c r="V2463" i="1"/>
  <c r="W2463" i="1"/>
  <c r="A2473" i="1"/>
  <c r="D2473" i="1"/>
  <c r="F2473" i="1"/>
  <c r="H2473" i="1"/>
  <c r="I2473" i="1"/>
  <c r="L2473" i="1"/>
  <c r="M2473" i="1"/>
  <c r="V2473" i="1"/>
  <c r="W2473" i="1"/>
  <c r="A569" i="1"/>
  <c r="D569" i="1"/>
  <c r="F569" i="1"/>
  <c r="H569" i="1"/>
  <c r="I569" i="1"/>
  <c r="L569" i="1"/>
  <c r="M569" i="1"/>
  <c r="V569" i="1"/>
  <c r="W569" i="1"/>
  <c r="A1359" i="1"/>
  <c r="D1359" i="1"/>
  <c r="F1359" i="1"/>
  <c r="H1359" i="1"/>
  <c r="I1359" i="1"/>
  <c r="L1359" i="1"/>
  <c r="M1359" i="1"/>
  <c r="V1359" i="1"/>
  <c r="W1359" i="1"/>
  <c r="A1773" i="1"/>
  <c r="D1773" i="1"/>
  <c r="F1773" i="1"/>
  <c r="H1773" i="1"/>
  <c r="I1773" i="1"/>
  <c r="L1773" i="1"/>
  <c r="M1773" i="1"/>
  <c r="V1773" i="1"/>
  <c r="W1773" i="1"/>
  <c r="A3027" i="1"/>
  <c r="D3027" i="1"/>
  <c r="F3027" i="1"/>
  <c r="H3027" i="1"/>
  <c r="I3027" i="1"/>
  <c r="L3027" i="1"/>
  <c r="M3027" i="1"/>
  <c r="V3027" i="1"/>
  <c r="W3027" i="1"/>
  <c r="A3714" i="1"/>
  <c r="D3714" i="1"/>
  <c r="F3714" i="1"/>
  <c r="H3714" i="1"/>
  <c r="I3714" i="1"/>
  <c r="L3714" i="1"/>
  <c r="M3714" i="1"/>
  <c r="V3714" i="1"/>
  <c r="W3714" i="1"/>
  <c r="A437" i="1"/>
  <c r="D437" i="1"/>
  <c r="F437" i="1"/>
  <c r="H437" i="1"/>
  <c r="I437" i="1"/>
  <c r="L437" i="1"/>
  <c r="M437" i="1"/>
  <c r="V437" i="1"/>
  <c r="W437" i="1"/>
  <c r="A4787" i="1"/>
  <c r="D4787" i="1"/>
  <c r="F4787" i="1"/>
  <c r="H4787" i="1"/>
  <c r="I4787" i="1"/>
  <c r="L4787" i="1"/>
  <c r="M4787" i="1"/>
  <c r="V4787" i="1"/>
  <c r="W4787" i="1"/>
  <c r="A5979" i="1"/>
  <c r="D5979" i="1"/>
  <c r="F5979" i="1"/>
  <c r="H5979" i="1"/>
  <c r="I5979" i="1"/>
  <c r="L5979" i="1"/>
  <c r="M5979" i="1"/>
  <c r="V5979" i="1"/>
  <c r="W5979" i="1"/>
  <c r="A6076" i="1"/>
  <c r="D6076" i="1"/>
  <c r="F6076" i="1"/>
  <c r="H6076" i="1"/>
  <c r="I6076" i="1"/>
  <c r="L6076" i="1"/>
  <c r="M6076" i="1"/>
  <c r="V6076" i="1"/>
  <c r="W6076" i="1"/>
  <c r="A4648" i="1"/>
  <c r="D4648" i="1"/>
  <c r="F4648" i="1"/>
  <c r="H4648" i="1"/>
  <c r="I4648" i="1"/>
  <c r="L4648" i="1"/>
  <c r="M4648" i="1"/>
  <c r="V4648" i="1"/>
  <c r="W4648" i="1"/>
  <c r="A5948" i="1"/>
  <c r="D5948" i="1"/>
  <c r="F5948" i="1"/>
  <c r="H5948" i="1"/>
  <c r="I5948" i="1"/>
  <c r="L5948" i="1"/>
  <c r="M5948" i="1"/>
  <c r="V5948" i="1"/>
  <c r="W5948" i="1"/>
  <c r="A3905" i="1"/>
  <c r="D3905" i="1"/>
  <c r="F3905" i="1"/>
  <c r="H3905" i="1"/>
  <c r="I3905" i="1"/>
  <c r="L3905" i="1"/>
  <c r="M3905" i="1"/>
  <c r="V3905" i="1"/>
  <c r="W3905" i="1"/>
  <c r="A1616" i="1"/>
  <c r="D1616" i="1"/>
  <c r="F1616" i="1"/>
  <c r="H1616" i="1"/>
  <c r="I1616" i="1"/>
  <c r="L1616" i="1"/>
  <c r="M1616" i="1"/>
  <c r="V1616" i="1"/>
  <c r="W1616" i="1"/>
  <c r="A169" i="1"/>
  <c r="D169" i="1"/>
  <c r="F169" i="1"/>
  <c r="H169" i="1"/>
  <c r="I169" i="1"/>
  <c r="L169" i="1"/>
  <c r="M169" i="1"/>
  <c r="V169" i="1"/>
  <c r="W169" i="1"/>
  <c r="A4539" i="1"/>
  <c r="D4539" i="1"/>
  <c r="F4539" i="1"/>
  <c r="H4539" i="1"/>
  <c r="I4539" i="1"/>
  <c r="L4539" i="1"/>
  <c r="M4539" i="1"/>
  <c r="V4539" i="1"/>
  <c r="W4539" i="1"/>
  <c r="A4805" i="1"/>
  <c r="D4805" i="1"/>
  <c r="F4805" i="1"/>
  <c r="H4805" i="1"/>
  <c r="I4805" i="1"/>
  <c r="L4805" i="1"/>
  <c r="M4805" i="1"/>
  <c r="V4805" i="1"/>
  <c r="W4805" i="1"/>
  <c r="A2762" i="1"/>
  <c r="D2762" i="1"/>
  <c r="F2762" i="1"/>
  <c r="H2762" i="1"/>
  <c r="I2762" i="1"/>
  <c r="L2762" i="1"/>
  <c r="M2762" i="1"/>
  <c r="V2762" i="1"/>
  <c r="W2762" i="1"/>
  <c r="A2898" i="1"/>
  <c r="D2898" i="1"/>
  <c r="F2898" i="1"/>
  <c r="H2898" i="1"/>
  <c r="I2898" i="1"/>
  <c r="L2898" i="1"/>
  <c r="M2898" i="1"/>
  <c r="V2898" i="1"/>
  <c r="W2898" i="1"/>
  <c r="A4257" i="1"/>
  <c r="D4257" i="1"/>
  <c r="F4257" i="1"/>
  <c r="H4257" i="1"/>
  <c r="I4257" i="1"/>
  <c r="L4257" i="1"/>
  <c r="M4257" i="1"/>
  <c r="V4257" i="1"/>
  <c r="W4257" i="1"/>
  <c r="A1740" i="1"/>
  <c r="D1740" i="1"/>
  <c r="F1740" i="1"/>
  <c r="H1740" i="1"/>
  <c r="I1740" i="1"/>
  <c r="L1740" i="1"/>
  <c r="M1740" i="1"/>
  <c r="V1740" i="1"/>
  <c r="W1740" i="1"/>
  <c r="A1290" i="1"/>
  <c r="D1290" i="1"/>
  <c r="F1290" i="1"/>
  <c r="H1290" i="1"/>
  <c r="I1290" i="1"/>
  <c r="L1290" i="1"/>
  <c r="M1290" i="1"/>
  <c r="V1290" i="1"/>
  <c r="W1290" i="1"/>
  <c r="A3040" i="1"/>
  <c r="D3040" i="1"/>
  <c r="F3040" i="1"/>
  <c r="H3040" i="1"/>
  <c r="I3040" i="1"/>
  <c r="L3040" i="1"/>
  <c r="M3040" i="1"/>
  <c r="V3040" i="1"/>
  <c r="W3040" i="1"/>
  <c r="A3205" i="1"/>
  <c r="D3205" i="1"/>
  <c r="F3205" i="1"/>
  <c r="H3205" i="1"/>
  <c r="I3205" i="1"/>
  <c r="L3205" i="1"/>
  <c r="M3205" i="1"/>
  <c r="V3205" i="1"/>
  <c r="W3205" i="1"/>
  <c r="A460" i="1"/>
  <c r="D460" i="1"/>
  <c r="F460" i="1"/>
  <c r="H460" i="1"/>
  <c r="I460" i="1"/>
  <c r="L460" i="1"/>
  <c r="M460" i="1"/>
  <c r="V460" i="1"/>
  <c r="W460" i="1"/>
  <c r="A736" i="1"/>
  <c r="D736" i="1"/>
  <c r="F736" i="1"/>
  <c r="H736" i="1"/>
  <c r="I736" i="1"/>
  <c r="L736" i="1"/>
  <c r="M736" i="1"/>
  <c r="V736" i="1"/>
  <c r="W736" i="1"/>
  <c r="A1891" i="1"/>
  <c r="D1891" i="1"/>
  <c r="F1891" i="1"/>
  <c r="H1891" i="1"/>
  <c r="I1891" i="1"/>
  <c r="L1891" i="1"/>
  <c r="M1891" i="1"/>
  <c r="V1891" i="1"/>
  <c r="W1891" i="1"/>
  <c r="A124" i="1"/>
  <c r="D124" i="1"/>
  <c r="F124" i="1"/>
  <c r="H124" i="1"/>
  <c r="I124" i="1"/>
  <c r="L124" i="1"/>
  <c r="M124" i="1"/>
  <c r="V124" i="1"/>
  <c r="W124" i="1"/>
  <c r="A523" i="1"/>
  <c r="D523" i="1"/>
  <c r="F523" i="1"/>
  <c r="H523" i="1"/>
  <c r="I523" i="1"/>
  <c r="L523" i="1"/>
  <c r="M523" i="1"/>
  <c r="V523" i="1"/>
  <c r="W523" i="1"/>
  <c r="A2005" i="1"/>
  <c r="D2005" i="1"/>
  <c r="F2005" i="1"/>
  <c r="H2005" i="1"/>
  <c r="I2005" i="1"/>
  <c r="L2005" i="1"/>
  <c r="M2005" i="1"/>
  <c r="V2005" i="1"/>
  <c r="W2005" i="1"/>
  <c r="A2592" i="1"/>
  <c r="D2592" i="1"/>
  <c r="F2592" i="1"/>
  <c r="H2592" i="1"/>
  <c r="I2592" i="1"/>
  <c r="L2592" i="1"/>
  <c r="M2592" i="1"/>
  <c r="V2592" i="1"/>
  <c r="W2592" i="1"/>
  <c r="A2306" i="1"/>
  <c r="D2306" i="1"/>
  <c r="F2306" i="1"/>
  <c r="H2306" i="1"/>
  <c r="I2306" i="1"/>
  <c r="L2306" i="1"/>
  <c r="M2306" i="1"/>
  <c r="V2306" i="1"/>
  <c r="W2306" i="1"/>
  <c r="A5018" i="1"/>
  <c r="D5018" i="1"/>
  <c r="F5018" i="1"/>
  <c r="H5018" i="1"/>
  <c r="I5018" i="1"/>
  <c r="L5018" i="1"/>
  <c r="M5018" i="1"/>
  <c r="V5018" i="1"/>
  <c r="W5018" i="1"/>
  <c r="A1730" i="1"/>
  <c r="D1730" i="1"/>
  <c r="F1730" i="1"/>
  <c r="H1730" i="1"/>
  <c r="I1730" i="1"/>
  <c r="L1730" i="1"/>
  <c r="M1730" i="1"/>
  <c r="V1730" i="1"/>
  <c r="W1730" i="1"/>
  <c r="A2806" i="1"/>
  <c r="D2806" i="1"/>
  <c r="F2806" i="1"/>
  <c r="H2806" i="1"/>
  <c r="I2806" i="1"/>
  <c r="L2806" i="1"/>
  <c r="M2806" i="1"/>
  <c r="V2806" i="1"/>
  <c r="W2806" i="1"/>
  <c r="A5684" i="1"/>
  <c r="D5684" i="1"/>
  <c r="F5684" i="1"/>
  <c r="H5684" i="1"/>
  <c r="I5684" i="1"/>
  <c r="L5684" i="1"/>
  <c r="M5684" i="1"/>
  <c r="V5684" i="1"/>
  <c r="W5684" i="1"/>
  <c r="A1299" i="1"/>
  <c r="D1299" i="1"/>
  <c r="F1299" i="1"/>
  <c r="H1299" i="1"/>
  <c r="I1299" i="1"/>
  <c r="L1299" i="1"/>
  <c r="M1299" i="1"/>
  <c r="V1299" i="1"/>
  <c r="W1299" i="1"/>
  <c r="A1710" i="1"/>
  <c r="D1710" i="1"/>
  <c r="F1710" i="1"/>
  <c r="H1710" i="1"/>
  <c r="I1710" i="1"/>
  <c r="L1710" i="1"/>
  <c r="M1710" i="1"/>
  <c r="V1710" i="1"/>
  <c r="W1710" i="1"/>
  <c r="A340" i="1"/>
  <c r="D340" i="1"/>
  <c r="F340" i="1"/>
  <c r="H340" i="1"/>
  <c r="I340" i="1"/>
  <c r="L340" i="1"/>
  <c r="M340" i="1"/>
  <c r="V340" i="1"/>
  <c r="W340" i="1"/>
  <c r="A2019" i="1"/>
  <c r="D2019" i="1"/>
  <c r="F2019" i="1"/>
  <c r="H2019" i="1"/>
  <c r="I2019" i="1"/>
  <c r="L2019" i="1"/>
  <c r="M2019" i="1"/>
  <c r="V2019" i="1"/>
  <c r="W2019" i="1"/>
  <c r="A4598" i="1"/>
  <c r="D4598" i="1"/>
  <c r="F4598" i="1"/>
  <c r="H4598" i="1"/>
  <c r="I4598" i="1"/>
  <c r="L4598" i="1"/>
  <c r="M4598" i="1"/>
  <c r="V4598" i="1"/>
  <c r="W4598" i="1"/>
  <c r="A4944" i="1"/>
  <c r="D4944" i="1"/>
  <c r="F4944" i="1"/>
  <c r="H4944" i="1"/>
  <c r="I4944" i="1"/>
  <c r="L4944" i="1"/>
  <c r="M4944" i="1"/>
  <c r="V4944" i="1"/>
  <c r="W4944" i="1"/>
  <c r="A6114" i="1"/>
  <c r="D6114" i="1"/>
  <c r="F6114" i="1"/>
  <c r="H6114" i="1"/>
  <c r="I6114" i="1"/>
  <c r="L6114" i="1"/>
  <c r="M6114" i="1"/>
  <c r="V6114" i="1"/>
  <c r="W6114" i="1"/>
  <c r="A1755" i="1"/>
  <c r="D1755" i="1"/>
  <c r="F1755" i="1"/>
  <c r="H1755" i="1"/>
  <c r="I1755" i="1"/>
  <c r="L1755" i="1"/>
  <c r="M1755" i="1"/>
  <c r="V1755" i="1"/>
  <c r="W1755" i="1"/>
  <c r="A2393" i="1"/>
  <c r="D2393" i="1"/>
  <c r="F2393" i="1"/>
  <c r="H2393" i="1"/>
  <c r="I2393" i="1"/>
  <c r="L2393" i="1"/>
  <c r="M2393" i="1"/>
  <c r="V2393" i="1"/>
  <c r="W2393" i="1"/>
  <c r="A3052" i="1"/>
  <c r="D3052" i="1"/>
  <c r="F3052" i="1"/>
  <c r="H3052" i="1"/>
  <c r="I3052" i="1"/>
  <c r="L3052" i="1"/>
  <c r="M3052" i="1"/>
  <c r="V3052" i="1"/>
  <c r="W3052" i="1"/>
  <c r="A621" i="1"/>
  <c r="D621" i="1"/>
  <c r="F621" i="1"/>
  <c r="H621" i="1"/>
  <c r="I621" i="1"/>
  <c r="L621" i="1"/>
  <c r="M621" i="1"/>
  <c r="V621" i="1"/>
  <c r="W621" i="1"/>
  <c r="A5784" i="1"/>
  <c r="D5784" i="1"/>
  <c r="F5784" i="1"/>
  <c r="H5784" i="1"/>
  <c r="I5784" i="1"/>
  <c r="L5784" i="1"/>
  <c r="M5784" i="1"/>
  <c r="V5784" i="1"/>
  <c r="W5784" i="1"/>
  <c r="A5848" i="1"/>
  <c r="D5848" i="1"/>
  <c r="F5848" i="1"/>
  <c r="H5848" i="1"/>
  <c r="I5848" i="1"/>
  <c r="L5848" i="1"/>
  <c r="M5848" i="1"/>
  <c r="V5848" i="1"/>
  <c r="W5848" i="1"/>
  <c r="A1007" i="1"/>
  <c r="D1007" i="1"/>
  <c r="F1007" i="1"/>
  <c r="H1007" i="1"/>
  <c r="I1007" i="1"/>
  <c r="L1007" i="1"/>
  <c r="M1007" i="1"/>
  <c r="V1007" i="1"/>
  <c r="W1007" i="1"/>
  <c r="A1542" i="1"/>
  <c r="D1542" i="1"/>
  <c r="F1542" i="1"/>
  <c r="H1542" i="1"/>
  <c r="I1542" i="1"/>
  <c r="L1542" i="1"/>
  <c r="M1542" i="1"/>
  <c r="V1542" i="1"/>
  <c r="W1542" i="1"/>
  <c r="A126" i="1"/>
  <c r="D126" i="1"/>
  <c r="F126" i="1"/>
  <c r="H126" i="1"/>
  <c r="I126" i="1"/>
  <c r="L126" i="1"/>
  <c r="M126" i="1"/>
  <c r="V126" i="1"/>
  <c r="W126" i="1"/>
  <c r="A1444" i="1"/>
  <c r="D1444" i="1"/>
  <c r="F1444" i="1"/>
  <c r="H1444" i="1"/>
  <c r="I1444" i="1"/>
  <c r="L1444" i="1"/>
  <c r="M1444" i="1"/>
  <c r="V1444" i="1"/>
  <c r="W1444" i="1"/>
  <c r="A1485" i="1"/>
  <c r="D1485" i="1"/>
  <c r="F1485" i="1"/>
  <c r="H1485" i="1"/>
  <c r="I1485" i="1"/>
  <c r="L1485" i="1"/>
  <c r="M1485" i="1"/>
  <c r="V1485" i="1"/>
  <c r="W1485" i="1"/>
  <c r="A1689" i="1"/>
  <c r="D1689" i="1"/>
  <c r="F1689" i="1"/>
  <c r="H1689" i="1"/>
  <c r="I1689" i="1"/>
  <c r="L1689" i="1"/>
  <c r="M1689" i="1"/>
  <c r="V1689" i="1"/>
  <c r="W1689" i="1"/>
  <c r="A1802" i="1"/>
  <c r="D1802" i="1"/>
  <c r="F1802" i="1"/>
  <c r="H1802" i="1"/>
  <c r="I1802" i="1"/>
  <c r="L1802" i="1"/>
  <c r="M1802" i="1"/>
  <c r="V1802" i="1"/>
  <c r="W1802" i="1"/>
  <c r="A2065" i="1"/>
  <c r="D2065" i="1"/>
  <c r="F2065" i="1"/>
  <c r="H2065" i="1"/>
  <c r="I2065" i="1"/>
  <c r="L2065" i="1"/>
  <c r="M2065" i="1"/>
  <c r="V2065" i="1"/>
  <c r="W2065" i="1"/>
  <c r="A3124" i="1"/>
  <c r="D3124" i="1"/>
  <c r="F3124" i="1"/>
  <c r="H3124" i="1"/>
  <c r="I3124" i="1"/>
  <c r="L3124" i="1"/>
  <c r="M3124" i="1"/>
  <c r="V3124" i="1"/>
  <c r="W3124" i="1"/>
  <c r="A3181" i="1"/>
  <c r="D3181" i="1"/>
  <c r="F3181" i="1"/>
  <c r="H3181" i="1"/>
  <c r="I3181" i="1"/>
  <c r="L3181" i="1"/>
  <c r="M3181" i="1"/>
  <c r="V3181" i="1"/>
  <c r="W3181" i="1"/>
  <c r="A3757" i="1"/>
  <c r="D3757" i="1"/>
  <c r="F3757" i="1"/>
  <c r="H3757" i="1"/>
  <c r="I3757" i="1"/>
  <c r="L3757" i="1"/>
  <c r="M3757" i="1"/>
  <c r="V3757" i="1"/>
  <c r="W3757" i="1"/>
  <c r="A5634" i="1"/>
  <c r="D5634" i="1"/>
  <c r="F5634" i="1"/>
  <c r="H5634" i="1"/>
  <c r="I5634" i="1"/>
  <c r="L5634" i="1"/>
  <c r="M5634" i="1"/>
  <c r="V5634" i="1"/>
  <c r="W5634" i="1"/>
  <c r="A5642" i="1"/>
  <c r="D5642" i="1"/>
  <c r="F5642" i="1"/>
  <c r="H5642" i="1"/>
  <c r="I5642" i="1"/>
  <c r="L5642" i="1"/>
  <c r="M5642" i="1"/>
  <c r="V5642" i="1"/>
  <c r="W5642" i="1"/>
  <c r="A6119" i="1"/>
  <c r="D6119" i="1"/>
  <c r="F6119" i="1"/>
  <c r="H6119" i="1"/>
  <c r="I6119" i="1"/>
  <c r="L6119" i="1"/>
  <c r="M6119" i="1"/>
  <c r="V6119" i="1"/>
  <c r="W6119" i="1"/>
  <c r="A1877" i="1"/>
  <c r="D1877" i="1"/>
  <c r="F1877" i="1"/>
  <c r="H1877" i="1"/>
  <c r="I1877" i="1"/>
  <c r="L1877" i="1"/>
  <c r="M1877" i="1"/>
  <c r="V1877" i="1"/>
  <c r="W1877" i="1"/>
  <c r="A1875" i="1"/>
  <c r="D1875" i="1"/>
  <c r="F1875" i="1"/>
  <c r="H1875" i="1"/>
  <c r="I1875" i="1"/>
  <c r="L1875" i="1"/>
  <c r="M1875" i="1"/>
  <c r="V1875" i="1"/>
  <c r="W1875" i="1"/>
  <c r="A3695" i="1"/>
  <c r="D3695" i="1"/>
  <c r="F3695" i="1"/>
  <c r="H3695" i="1"/>
  <c r="I3695" i="1"/>
  <c r="L3695" i="1"/>
  <c r="M3695" i="1"/>
  <c r="V3695" i="1"/>
  <c r="W3695" i="1"/>
  <c r="A4237" i="1"/>
  <c r="D4237" i="1"/>
  <c r="F4237" i="1"/>
  <c r="H4237" i="1"/>
  <c r="I4237" i="1"/>
  <c r="L4237" i="1"/>
  <c r="M4237" i="1"/>
  <c r="V4237" i="1"/>
  <c r="W4237" i="1"/>
  <c r="A2564" i="1"/>
  <c r="D2564" i="1"/>
  <c r="F2564" i="1"/>
  <c r="H2564" i="1"/>
  <c r="I2564" i="1"/>
  <c r="L2564" i="1"/>
  <c r="M2564" i="1"/>
  <c r="V2564" i="1"/>
  <c r="W2564" i="1"/>
  <c r="A2352" i="1"/>
  <c r="D2352" i="1"/>
  <c r="F2352" i="1"/>
  <c r="H2352" i="1"/>
  <c r="I2352" i="1"/>
  <c r="L2352" i="1"/>
  <c r="M2352" i="1"/>
  <c r="V2352" i="1"/>
  <c r="W2352" i="1"/>
  <c r="A4414" i="1"/>
  <c r="D4414" i="1"/>
  <c r="F4414" i="1"/>
  <c r="H4414" i="1"/>
  <c r="I4414" i="1"/>
  <c r="L4414" i="1"/>
  <c r="M4414" i="1"/>
  <c r="V4414" i="1"/>
  <c r="W4414" i="1"/>
  <c r="A616" i="1"/>
  <c r="D616" i="1"/>
  <c r="F616" i="1"/>
  <c r="H616" i="1"/>
  <c r="I616" i="1"/>
  <c r="L616" i="1"/>
  <c r="M616" i="1"/>
  <c r="V616" i="1"/>
  <c r="W616" i="1"/>
  <c r="A720" i="1"/>
  <c r="D720" i="1"/>
  <c r="F720" i="1"/>
  <c r="H720" i="1"/>
  <c r="I720" i="1"/>
  <c r="L720" i="1"/>
  <c r="M720" i="1"/>
  <c r="V720" i="1"/>
  <c r="W720" i="1"/>
  <c r="A5667" i="1"/>
  <c r="D5667" i="1"/>
  <c r="F5667" i="1"/>
  <c r="H5667" i="1"/>
  <c r="I5667" i="1"/>
  <c r="L5667" i="1"/>
  <c r="M5667" i="1"/>
  <c r="V5667" i="1"/>
  <c r="W5667" i="1"/>
  <c r="A4134" i="1"/>
  <c r="D4134" i="1"/>
  <c r="F4134" i="1"/>
  <c r="H4134" i="1"/>
  <c r="I4134" i="1"/>
  <c r="L4134" i="1"/>
  <c r="M4134" i="1"/>
  <c r="V4134" i="1"/>
  <c r="W4134" i="1"/>
  <c r="A309" i="1"/>
  <c r="D309" i="1"/>
  <c r="F309" i="1"/>
  <c r="H309" i="1"/>
  <c r="I309" i="1"/>
  <c r="L309" i="1"/>
  <c r="M309" i="1"/>
  <c r="V309" i="1"/>
  <c r="W309" i="1"/>
  <c r="A362" i="1"/>
  <c r="D362" i="1"/>
  <c r="F362" i="1"/>
  <c r="H362" i="1"/>
  <c r="I362" i="1"/>
  <c r="L362" i="1"/>
  <c r="M362" i="1"/>
  <c r="V362" i="1"/>
  <c r="W362" i="1"/>
  <c r="A4906" i="1"/>
  <c r="D4906" i="1"/>
  <c r="F4906" i="1"/>
  <c r="H4906" i="1"/>
  <c r="I4906" i="1"/>
  <c r="L4906" i="1"/>
  <c r="M4906" i="1"/>
  <c r="V4906" i="1"/>
  <c r="W4906" i="1"/>
  <c r="A441" i="1"/>
  <c r="D441" i="1"/>
  <c r="F441" i="1"/>
  <c r="H441" i="1"/>
  <c r="I441" i="1"/>
  <c r="L441" i="1"/>
  <c r="M441" i="1"/>
  <c r="V441" i="1"/>
  <c r="W441" i="1"/>
  <c r="A402" i="1"/>
  <c r="D402" i="1"/>
  <c r="F402" i="1"/>
  <c r="H402" i="1"/>
  <c r="I402" i="1"/>
  <c r="L402" i="1"/>
  <c r="M402" i="1"/>
  <c r="V402" i="1"/>
  <c r="W402" i="1"/>
  <c r="A697" i="1"/>
  <c r="D697" i="1"/>
  <c r="F697" i="1"/>
  <c r="H697" i="1"/>
  <c r="I697" i="1"/>
  <c r="L697" i="1"/>
  <c r="M697" i="1"/>
  <c r="V697" i="1"/>
  <c r="W697" i="1"/>
  <c r="A2407" i="1"/>
  <c r="D2407" i="1"/>
  <c r="F2407" i="1"/>
  <c r="H2407" i="1"/>
  <c r="I2407" i="1"/>
  <c r="L2407" i="1"/>
  <c r="M2407" i="1"/>
  <c r="V2407" i="1"/>
  <c r="W2407" i="1"/>
  <c r="A5280" i="1"/>
  <c r="D5280" i="1"/>
  <c r="F5280" i="1"/>
  <c r="H5280" i="1"/>
  <c r="I5280" i="1"/>
  <c r="L5280" i="1"/>
  <c r="M5280" i="1"/>
  <c r="V5280" i="1"/>
  <c r="W5280" i="1"/>
  <c r="A14" i="1"/>
  <c r="D14" i="1"/>
  <c r="F14" i="1"/>
  <c r="H14" i="1"/>
  <c r="I14" i="1"/>
  <c r="L14" i="1"/>
  <c r="M14" i="1"/>
  <c r="V14" i="1"/>
  <c r="W14" i="1"/>
  <c r="A39" i="1"/>
  <c r="D39" i="1"/>
  <c r="F39" i="1"/>
  <c r="H39" i="1"/>
  <c r="I39" i="1"/>
  <c r="L39" i="1"/>
  <c r="M39" i="1"/>
  <c r="V39" i="1"/>
  <c r="W39" i="1"/>
  <c r="A1965" i="1"/>
  <c r="D1965" i="1"/>
  <c r="F1965" i="1"/>
  <c r="H1965" i="1"/>
  <c r="I1965" i="1"/>
  <c r="L1965" i="1"/>
  <c r="M1965" i="1"/>
  <c r="V1965" i="1"/>
  <c r="W1965" i="1"/>
  <c r="A683" i="1"/>
  <c r="D683" i="1"/>
  <c r="F683" i="1"/>
  <c r="H683" i="1"/>
  <c r="I683" i="1"/>
  <c r="L683" i="1"/>
  <c r="M683" i="1"/>
  <c r="V683" i="1"/>
  <c r="W683" i="1"/>
  <c r="A1116" i="1"/>
  <c r="D1116" i="1"/>
  <c r="F1116" i="1"/>
  <c r="H1116" i="1"/>
  <c r="I1116" i="1"/>
  <c r="L1116" i="1"/>
  <c r="M1116" i="1"/>
  <c r="V1116" i="1"/>
  <c r="W1116" i="1"/>
  <c r="A5590" i="1"/>
  <c r="D5590" i="1"/>
  <c r="F5590" i="1"/>
  <c r="H5590" i="1"/>
  <c r="I5590" i="1"/>
  <c r="L5590" i="1"/>
  <c r="M5590" i="1"/>
  <c r="V5590" i="1"/>
  <c r="W5590" i="1"/>
  <c r="A3439" i="1"/>
  <c r="D3439" i="1"/>
  <c r="F3439" i="1"/>
  <c r="H3439" i="1"/>
  <c r="I3439" i="1"/>
  <c r="L3439" i="1"/>
  <c r="M3439" i="1"/>
  <c r="V3439" i="1"/>
  <c r="W3439" i="1"/>
  <c r="A212" i="1"/>
  <c r="D212" i="1"/>
  <c r="F212" i="1"/>
  <c r="H212" i="1"/>
  <c r="I212" i="1"/>
  <c r="L212" i="1"/>
  <c r="M212" i="1"/>
  <c r="V212" i="1"/>
  <c r="W212" i="1"/>
  <c r="A640" i="1"/>
  <c r="D640" i="1"/>
  <c r="F640" i="1"/>
  <c r="H640" i="1"/>
  <c r="I640" i="1"/>
  <c r="L640" i="1"/>
  <c r="M640" i="1"/>
  <c r="V640" i="1"/>
  <c r="W640" i="1"/>
  <c r="A559" i="1"/>
  <c r="D559" i="1"/>
  <c r="F559" i="1"/>
  <c r="H559" i="1"/>
  <c r="I559" i="1"/>
  <c r="L559" i="1"/>
  <c r="M559" i="1"/>
  <c r="V559" i="1"/>
  <c r="W559" i="1"/>
  <c r="A718" i="1"/>
  <c r="D718" i="1"/>
  <c r="F718" i="1"/>
  <c r="H718" i="1"/>
  <c r="I718" i="1"/>
  <c r="L718" i="1"/>
  <c r="M718" i="1"/>
  <c r="V718" i="1"/>
  <c r="W718" i="1"/>
  <c r="A4483" i="1"/>
  <c r="D4483" i="1"/>
  <c r="F4483" i="1"/>
  <c r="H4483" i="1"/>
  <c r="I4483" i="1"/>
  <c r="L4483" i="1"/>
  <c r="M4483" i="1"/>
  <c r="V4483" i="1"/>
  <c r="W4483" i="1"/>
  <c r="A4580" i="1"/>
  <c r="D4580" i="1"/>
  <c r="F4580" i="1"/>
  <c r="H4580" i="1"/>
  <c r="I4580" i="1"/>
  <c r="L4580" i="1"/>
  <c r="M4580" i="1"/>
  <c r="V4580" i="1"/>
  <c r="W4580" i="1"/>
  <c r="A2058" i="1"/>
  <c r="D2058" i="1"/>
  <c r="F2058" i="1"/>
  <c r="H2058" i="1"/>
  <c r="I2058" i="1"/>
  <c r="L2058" i="1"/>
  <c r="M2058" i="1"/>
  <c r="V2058" i="1"/>
  <c r="W2058" i="1"/>
  <c r="A5898" i="1"/>
  <c r="D5898" i="1"/>
  <c r="F5898" i="1"/>
  <c r="H5898" i="1"/>
  <c r="I5898" i="1"/>
  <c r="L5898" i="1"/>
  <c r="M5898" i="1"/>
  <c r="V5898" i="1"/>
  <c r="W5898" i="1"/>
  <c r="A709" i="1"/>
  <c r="D709" i="1"/>
  <c r="F709" i="1"/>
  <c r="H709" i="1"/>
  <c r="I709" i="1"/>
  <c r="L709" i="1"/>
  <c r="M709" i="1"/>
  <c r="V709" i="1"/>
  <c r="W709" i="1"/>
  <c r="A761" i="1"/>
  <c r="D761" i="1"/>
  <c r="F761" i="1"/>
  <c r="H761" i="1"/>
  <c r="I761" i="1"/>
  <c r="L761" i="1"/>
  <c r="M761" i="1"/>
  <c r="V761" i="1"/>
  <c r="W761" i="1"/>
  <c r="A4234" i="1"/>
  <c r="D4234" i="1"/>
  <c r="F4234" i="1"/>
  <c r="H4234" i="1"/>
  <c r="I4234" i="1"/>
  <c r="L4234" i="1"/>
  <c r="M4234" i="1"/>
  <c r="V4234" i="1"/>
  <c r="W4234" i="1"/>
  <c r="A5433" i="1"/>
  <c r="D5433" i="1"/>
  <c r="F5433" i="1"/>
  <c r="H5433" i="1"/>
  <c r="I5433" i="1"/>
  <c r="L5433" i="1"/>
  <c r="M5433" i="1"/>
  <c r="V5433" i="1"/>
  <c r="W5433" i="1"/>
  <c r="A1677" i="1"/>
  <c r="D1677" i="1"/>
  <c r="F1677" i="1"/>
  <c r="H1677" i="1"/>
  <c r="I1677" i="1"/>
  <c r="L1677" i="1"/>
  <c r="M1677" i="1"/>
  <c r="V1677" i="1"/>
  <c r="W1677" i="1"/>
  <c r="A5279" i="1"/>
  <c r="D5279" i="1"/>
  <c r="F5279" i="1"/>
  <c r="H5279" i="1"/>
  <c r="I5279" i="1"/>
  <c r="L5279" i="1"/>
  <c r="M5279" i="1"/>
  <c r="V5279" i="1"/>
  <c r="W5279" i="1"/>
  <c r="A4429" i="1"/>
  <c r="D4429" i="1"/>
  <c r="F4429" i="1"/>
  <c r="H4429" i="1"/>
  <c r="I4429" i="1"/>
  <c r="L4429" i="1"/>
  <c r="M4429" i="1"/>
  <c r="V4429" i="1"/>
  <c r="W4429" i="1"/>
  <c r="A197" i="1"/>
  <c r="D197" i="1"/>
  <c r="F197" i="1"/>
  <c r="H197" i="1"/>
  <c r="I197" i="1"/>
  <c r="L197" i="1"/>
  <c r="M197" i="1"/>
  <c r="V197" i="1"/>
  <c r="W197" i="1"/>
  <c r="A593" i="1"/>
  <c r="D593" i="1"/>
  <c r="F593" i="1"/>
  <c r="H593" i="1"/>
  <c r="I593" i="1"/>
  <c r="L593" i="1"/>
  <c r="M593" i="1"/>
  <c r="V593" i="1"/>
  <c r="W593" i="1"/>
  <c r="A2354" i="1"/>
  <c r="D2354" i="1"/>
  <c r="F2354" i="1"/>
  <c r="H2354" i="1"/>
  <c r="I2354" i="1"/>
  <c r="L2354" i="1"/>
  <c r="M2354" i="1"/>
  <c r="V2354" i="1"/>
  <c r="W2354" i="1"/>
  <c r="A5975" i="1"/>
  <c r="D5975" i="1"/>
  <c r="F5975" i="1"/>
  <c r="H5975" i="1"/>
  <c r="I5975" i="1"/>
  <c r="L5975" i="1"/>
  <c r="M5975" i="1"/>
  <c r="V5975" i="1"/>
  <c r="W5975" i="1"/>
  <c r="A2694" i="1"/>
  <c r="D2694" i="1"/>
  <c r="F2694" i="1"/>
  <c r="H2694" i="1"/>
  <c r="I2694" i="1"/>
  <c r="L2694" i="1"/>
  <c r="M2694" i="1"/>
  <c r="V2694" i="1"/>
  <c r="W2694" i="1"/>
  <c r="A2011" i="1"/>
  <c r="D2011" i="1"/>
  <c r="F2011" i="1"/>
  <c r="H2011" i="1"/>
  <c r="I2011" i="1"/>
  <c r="L2011" i="1"/>
  <c r="M2011" i="1"/>
  <c r="V2011" i="1"/>
  <c r="W2011" i="1"/>
  <c r="A2443" i="1"/>
  <c r="D2443" i="1"/>
  <c r="F2443" i="1"/>
  <c r="H2443" i="1"/>
  <c r="I2443" i="1"/>
  <c r="L2443" i="1"/>
  <c r="M2443" i="1"/>
  <c r="V2443" i="1"/>
  <c r="W2443" i="1"/>
  <c r="A174" i="1"/>
  <c r="D174" i="1"/>
  <c r="F174" i="1"/>
  <c r="H174" i="1"/>
  <c r="I174" i="1"/>
  <c r="L174" i="1"/>
  <c r="M174" i="1"/>
  <c r="V174" i="1"/>
  <c r="W174" i="1"/>
  <c r="A6040" i="1"/>
  <c r="D6040" i="1"/>
  <c r="F6040" i="1"/>
  <c r="H6040" i="1"/>
  <c r="I6040" i="1"/>
  <c r="L6040" i="1"/>
  <c r="M6040" i="1"/>
  <c r="V6040" i="1"/>
  <c r="W6040" i="1"/>
  <c r="A2420" i="1"/>
  <c r="D2420" i="1"/>
  <c r="F2420" i="1"/>
  <c r="H2420" i="1"/>
  <c r="I2420" i="1"/>
  <c r="L2420" i="1"/>
  <c r="M2420" i="1"/>
  <c r="V2420" i="1"/>
  <c r="W2420" i="1"/>
  <c r="A4202" i="1"/>
  <c r="D4202" i="1"/>
  <c r="F4202" i="1"/>
  <c r="H4202" i="1"/>
  <c r="I4202" i="1"/>
  <c r="L4202" i="1"/>
  <c r="M4202" i="1"/>
  <c r="V4202" i="1"/>
  <c r="W4202" i="1"/>
  <c r="A4219" i="1"/>
  <c r="D4219" i="1"/>
  <c r="F4219" i="1"/>
  <c r="H4219" i="1"/>
  <c r="I4219" i="1"/>
  <c r="L4219" i="1"/>
  <c r="M4219" i="1"/>
  <c r="V4219" i="1"/>
  <c r="W4219" i="1"/>
  <c r="A2080" i="1"/>
  <c r="D2080" i="1"/>
  <c r="F2080" i="1"/>
  <c r="H2080" i="1"/>
  <c r="I2080" i="1"/>
  <c r="L2080" i="1"/>
  <c r="M2080" i="1"/>
  <c r="V2080" i="1"/>
  <c r="W2080" i="1"/>
  <c r="A1125" i="1"/>
  <c r="D1125" i="1"/>
  <c r="F1125" i="1"/>
  <c r="H1125" i="1"/>
  <c r="I1125" i="1"/>
  <c r="L1125" i="1"/>
  <c r="M1125" i="1"/>
  <c r="V1125" i="1"/>
  <c r="W1125" i="1"/>
  <c r="A4995" i="1"/>
  <c r="D4995" i="1"/>
  <c r="F4995" i="1"/>
  <c r="H4995" i="1"/>
  <c r="I4995" i="1"/>
  <c r="L4995" i="1"/>
  <c r="M4995" i="1"/>
  <c r="V4995" i="1"/>
  <c r="W4995" i="1"/>
  <c r="A5251" i="1"/>
  <c r="D5251" i="1"/>
  <c r="F5251" i="1"/>
  <c r="H5251" i="1"/>
  <c r="I5251" i="1"/>
  <c r="L5251" i="1"/>
  <c r="M5251" i="1"/>
  <c r="V5251" i="1"/>
  <c r="W5251" i="1"/>
  <c r="A4125" i="1"/>
  <c r="D4125" i="1"/>
  <c r="F4125" i="1"/>
  <c r="H4125" i="1"/>
  <c r="I4125" i="1"/>
  <c r="L4125" i="1"/>
  <c r="M4125" i="1"/>
  <c r="V4125" i="1"/>
  <c r="W4125" i="1"/>
  <c r="A2790" i="1"/>
  <c r="D2790" i="1"/>
  <c r="F2790" i="1"/>
  <c r="H2790" i="1"/>
  <c r="I2790" i="1"/>
  <c r="L2790" i="1"/>
  <c r="M2790" i="1"/>
  <c r="V2790" i="1"/>
  <c r="W2790" i="1"/>
  <c r="A1329" i="1"/>
  <c r="D1329" i="1"/>
  <c r="F1329" i="1"/>
  <c r="H1329" i="1"/>
  <c r="I1329" i="1"/>
  <c r="L1329" i="1"/>
  <c r="M1329" i="1"/>
  <c r="V1329" i="1"/>
  <c r="W1329" i="1"/>
  <c r="A1312" i="1"/>
  <c r="D1312" i="1"/>
  <c r="F1312" i="1"/>
  <c r="H1312" i="1"/>
  <c r="I1312" i="1"/>
  <c r="L1312" i="1"/>
  <c r="M1312" i="1"/>
  <c r="V1312" i="1"/>
  <c r="W1312" i="1"/>
  <c r="A826" i="1"/>
  <c r="D826" i="1"/>
  <c r="F826" i="1"/>
  <c r="H826" i="1"/>
  <c r="I826" i="1"/>
  <c r="L826" i="1"/>
  <c r="M826" i="1"/>
  <c r="V826" i="1"/>
  <c r="W826" i="1"/>
  <c r="A4694" i="1"/>
  <c r="D4694" i="1"/>
  <c r="F4694" i="1"/>
  <c r="H4694" i="1"/>
  <c r="I4694" i="1"/>
  <c r="L4694" i="1"/>
  <c r="M4694" i="1"/>
  <c r="V4694" i="1"/>
  <c r="W4694" i="1"/>
  <c r="A5510" i="1"/>
  <c r="D5510" i="1"/>
  <c r="F5510" i="1"/>
  <c r="H5510" i="1"/>
  <c r="I5510" i="1"/>
  <c r="L5510" i="1"/>
  <c r="M5510" i="1"/>
  <c r="V5510" i="1"/>
  <c r="W5510" i="1"/>
  <c r="A5364" i="1"/>
  <c r="D5364" i="1"/>
  <c r="F5364" i="1"/>
  <c r="H5364" i="1"/>
  <c r="I5364" i="1"/>
  <c r="L5364" i="1"/>
  <c r="M5364" i="1"/>
  <c r="V5364" i="1"/>
  <c r="W5364" i="1"/>
  <c r="A1514" i="1"/>
  <c r="D1514" i="1"/>
  <c r="F1514" i="1"/>
  <c r="H1514" i="1"/>
  <c r="I1514" i="1"/>
  <c r="L1514" i="1"/>
  <c r="M1514" i="1"/>
  <c r="V1514" i="1"/>
  <c r="W1514" i="1"/>
  <c r="A1682" i="1"/>
  <c r="D1682" i="1"/>
  <c r="F1682" i="1"/>
  <c r="H1682" i="1"/>
  <c r="I1682" i="1"/>
  <c r="L1682" i="1"/>
  <c r="M1682" i="1"/>
  <c r="V1682" i="1"/>
  <c r="W1682" i="1"/>
  <c r="A5595" i="1"/>
  <c r="D5595" i="1"/>
  <c r="F5595" i="1"/>
  <c r="H5595" i="1"/>
  <c r="I5595" i="1"/>
  <c r="L5595" i="1"/>
  <c r="M5595" i="1"/>
  <c r="V5595" i="1"/>
  <c r="W5595" i="1"/>
  <c r="A232" i="1"/>
  <c r="D232" i="1"/>
  <c r="F232" i="1"/>
  <c r="H232" i="1"/>
  <c r="I232" i="1"/>
  <c r="L232" i="1"/>
  <c r="M232" i="1"/>
  <c r="V232" i="1"/>
  <c r="W232" i="1"/>
  <c r="A2758" i="1"/>
  <c r="D2758" i="1"/>
  <c r="F2758" i="1"/>
  <c r="H2758" i="1"/>
  <c r="I2758" i="1"/>
  <c r="L2758" i="1"/>
  <c r="M2758" i="1"/>
  <c r="V2758" i="1"/>
  <c r="W2758" i="1"/>
  <c r="A4628" i="1"/>
  <c r="D4628" i="1"/>
  <c r="F4628" i="1"/>
  <c r="H4628" i="1"/>
  <c r="I4628" i="1"/>
  <c r="L4628" i="1"/>
  <c r="M4628" i="1"/>
  <c r="V4628" i="1"/>
  <c r="W4628" i="1"/>
  <c r="A1000" i="1"/>
  <c r="D1000" i="1"/>
  <c r="F1000" i="1"/>
  <c r="H1000" i="1"/>
  <c r="I1000" i="1"/>
  <c r="L1000" i="1"/>
  <c r="M1000" i="1"/>
  <c r="V1000" i="1"/>
  <c r="W1000" i="1"/>
  <c r="A4993" i="1"/>
  <c r="D4993" i="1"/>
  <c r="F4993" i="1"/>
  <c r="H4993" i="1"/>
  <c r="I4993" i="1"/>
  <c r="L4993" i="1"/>
  <c r="M4993" i="1"/>
  <c r="V4993" i="1"/>
  <c r="W4993" i="1"/>
  <c r="A3480" i="1"/>
  <c r="D3480" i="1"/>
  <c r="F3480" i="1"/>
  <c r="H3480" i="1"/>
  <c r="I3480" i="1"/>
  <c r="L3480" i="1"/>
  <c r="M3480" i="1"/>
  <c r="V3480" i="1"/>
  <c r="W3480" i="1"/>
  <c r="A3433" i="1"/>
  <c r="D3433" i="1"/>
  <c r="F3433" i="1"/>
  <c r="H3433" i="1"/>
  <c r="I3433" i="1"/>
  <c r="L3433" i="1"/>
  <c r="M3433" i="1"/>
  <c r="V3433" i="1"/>
  <c r="W3433" i="1"/>
  <c r="A3450" i="1"/>
  <c r="D3450" i="1"/>
  <c r="F3450" i="1"/>
  <c r="H3450" i="1"/>
  <c r="I3450" i="1"/>
  <c r="L3450" i="1"/>
  <c r="M3450" i="1"/>
  <c r="V3450" i="1"/>
  <c r="W3450" i="1"/>
  <c r="A2678" i="1"/>
  <c r="D2678" i="1"/>
  <c r="F2678" i="1"/>
  <c r="H2678" i="1"/>
  <c r="I2678" i="1"/>
  <c r="L2678" i="1"/>
  <c r="M2678" i="1"/>
  <c r="V2678" i="1"/>
  <c r="W2678" i="1"/>
  <c r="A5905" i="1"/>
  <c r="D5905" i="1"/>
  <c r="F5905" i="1"/>
  <c r="H5905" i="1"/>
  <c r="I5905" i="1"/>
  <c r="L5905" i="1"/>
  <c r="M5905" i="1"/>
  <c r="V5905" i="1"/>
  <c r="W5905" i="1"/>
  <c r="A4685" i="1"/>
  <c r="D4685" i="1"/>
  <c r="F4685" i="1"/>
  <c r="H4685" i="1"/>
  <c r="I4685" i="1"/>
  <c r="L4685" i="1"/>
  <c r="M4685" i="1"/>
  <c r="V4685" i="1"/>
  <c r="W4685" i="1"/>
  <c r="A4043" i="1"/>
  <c r="D4043" i="1"/>
  <c r="F4043" i="1"/>
  <c r="H4043" i="1"/>
  <c r="I4043" i="1"/>
  <c r="L4043" i="1"/>
  <c r="M4043" i="1"/>
  <c r="V4043" i="1"/>
  <c r="W4043" i="1"/>
  <c r="A5155" i="1"/>
  <c r="D5155" i="1"/>
  <c r="F5155" i="1"/>
  <c r="H5155" i="1"/>
  <c r="I5155" i="1"/>
  <c r="L5155" i="1"/>
  <c r="M5155" i="1"/>
  <c r="V5155" i="1"/>
  <c r="W5155" i="1"/>
  <c r="A2845" i="1"/>
  <c r="D2845" i="1"/>
  <c r="F2845" i="1"/>
  <c r="H2845" i="1"/>
  <c r="I2845" i="1"/>
  <c r="L2845" i="1"/>
  <c r="M2845" i="1"/>
  <c r="V2845" i="1"/>
  <c r="W2845" i="1"/>
  <c r="A3386" i="1"/>
  <c r="D3386" i="1"/>
  <c r="F3386" i="1"/>
  <c r="H3386" i="1"/>
  <c r="I3386" i="1"/>
  <c r="L3386" i="1"/>
  <c r="M3386" i="1"/>
  <c r="V3386" i="1"/>
  <c r="W3386" i="1"/>
  <c r="A2870" i="1"/>
  <c r="D2870" i="1"/>
  <c r="F2870" i="1"/>
  <c r="H2870" i="1"/>
  <c r="I2870" i="1"/>
  <c r="L2870" i="1"/>
  <c r="M2870" i="1"/>
  <c r="V2870" i="1"/>
  <c r="W2870" i="1"/>
  <c r="A3276" i="1"/>
  <c r="D3276" i="1"/>
  <c r="F3276" i="1"/>
  <c r="H3276" i="1"/>
  <c r="I3276" i="1"/>
  <c r="L3276" i="1"/>
  <c r="M3276" i="1"/>
  <c r="V3276" i="1"/>
  <c r="W3276" i="1"/>
  <c r="A5416" i="1"/>
  <c r="D5416" i="1"/>
  <c r="F5416" i="1"/>
  <c r="H5416" i="1"/>
  <c r="I5416" i="1"/>
  <c r="L5416" i="1"/>
  <c r="M5416" i="1"/>
  <c r="V5416" i="1"/>
  <c r="W5416" i="1"/>
  <c r="A1733" i="1"/>
  <c r="D1733" i="1"/>
  <c r="F1733" i="1"/>
  <c r="H1733" i="1"/>
  <c r="I1733" i="1"/>
  <c r="L1733" i="1"/>
  <c r="M1733" i="1"/>
  <c r="V1733" i="1"/>
  <c r="W1733" i="1"/>
  <c r="A554" i="1"/>
  <c r="D554" i="1"/>
  <c r="F554" i="1"/>
  <c r="H554" i="1"/>
  <c r="I554" i="1"/>
  <c r="L554" i="1"/>
  <c r="M554" i="1"/>
  <c r="V554" i="1"/>
  <c r="W554" i="1"/>
  <c r="A2330" i="1"/>
  <c r="D2330" i="1"/>
  <c r="F2330" i="1"/>
  <c r="H2330" i="1"/>
  <c r="I2330" i="1"/>
  <c r="L2330" i="1"/>
  <c r="M2330" i="1"/>
  <c r="V2330" i="1"/>
  <c r="W2330" i="1"/>
  <c r="A6188" i="1"/>
  <c r="D6188" i="1"/>
  <c r="F6188" i="1"/>
  <c r="H6188" i="1"/>
  <c r="I6188" i="1"/>
  <c r="L6188" i="1"/>
  <c r="M6188" i="1"/>
  <c r="V6188" i="1"/>
  <c r="W6188" i="1"/>
  <c r="A891" i="1"/>
  <c r="D891" i="1"/>
  <c r="F891" i="1"/>
  <c r="H891" i="1"/>
  <c r="I891" i="1"/>
  <c r="L891" i="1"/>
  <c r="M891" i="1"/>
  <c r="V891" i="1"/>
  <c r="W891" i="1"/>
  <c r="A860" i="1"/>
  <c r="D860" i="1"/>
  <c r="F860" i="1"/>
  <c r="H860" i="1"/>
  <c r="I860" i="1"/>
  <c r="L860" i="1"/>
  <c r="M860" i="1"/>
  <c r="V860" i="1"/>
  <c r="W860" i="1"/>
  <c r="A6086" i="1"/>
  <c r="D6086" i="1"/>
  <c r="F6086" i="1"/>
  <c r="H6086" i="1"/>
  <c r="I6086" i="1"/>
  <c r="L6086" i="1"/>
  <c r="M6086" i="1"/>
  <c r="V6086" i="1"/>
  <c r="W6086" i="1"/>
  <c r="A1048" i="1"/>
  <c r="D1048" i="1"/>
  <c r="F1048" i="1"/>
  <c r="H1048" i="1"/>
  <c r="I1048" i="1"/>
  <c r="L1048" i="1"/>
  <c r="M1048" i="1"/>
  <c r="V1048" i="1"/>
  <c r="W1048" i="1"/>
  <c r="A4630" i="1"/>
  <c r="D4630" i="1"/>
  <c r="F4630" i="1"/>
  <c r="H4630" i="1"/>
  <c r="I4630" i="1"/>
  <c r="L4630" i="1"/>
  <c r="M4630" i="1"/>
  <c r="V4630" i="1"/>
  <c r="W4630" i="1"/>
  <c r="A2495" i="1"/>
  <c r="D2495" i="1"/>
  <c r="F2495" i="1"/>
  <c r="H2495" i="1"/>
  <c r="I2495" i="1"/>
  <c r="L2495" i="1"/>
  <c r="M2495" i="1"/>
  <c r="V2495" i="1"/>
  <c r="W2495" i="1"/>
  <c r="A5312" i="1"/>
  <c r="D5312" i="1"/>
  <c r="F5312" i="1"/>
  <c r="H5312" i="1"/>
  <c r="I5312" i="1"/>
  <c r="L5312" i="1"/>
  <c r="M5312" i="1"/>
  <c r="V5312" i="1"/>
  <c r="W5312" i="1"/>
  <c r="A2906" i="1"/>
  <c r="D2906" i="1"/>
  <c r="F2906" i="1"/>
  <c r="H2906" i="1"/>
  <c r="I2906" i="1"/>
  <c r="L2906" i="1"/>
  <c r="M2906" i="1"/>
  <c r="V2906" i="1"/>
  <c r="W2906" i="1"/>
  <c r="A5313" i="1"/>
  <c r="D5313" i="1"/>
  <c r="F5313" i="1"/>
  <c r="H5313" i="1"/>
  <c r="I5313" i="1"/>
  <c r="L5313" i="1"/>
  <c r="M5313" i="1"/>
  <c r="V5313" i="1"/>
  <c r="W5313" i="1"/>
  <c r="A2055" i="1"/>
  <c r="D2055" i="1"/>
  <c r="F2055" i="1"/>
  <c r="H2055" i="1"/>
  <c r="I2055" i="1"/>
  <c r="L2055" i="1"/>
  <c r="M2055" i="1"/>
  <c r="V2055" i="1"/>
  <c r="W2055" i="1"/>
  <c r="A4184" i="1"/>
  <c r="D4184" i="1"/>
  <c r="F4184" i="1"/>
  <c r="H4184" i="1"/>
  <c r="I4184" i="1"/>
  <c r="L4184" i="1"/>
  <c r="M4184" i="1"/>
  <c r="V4184" i="1"/>
  <c r="W4184" i="1"/>
  <c r="A6079" i="1"/>
  <c r="D6079" i="1"/>
  <c r="F6079" i="1"/>
  <c r="H6079" i="1"/>
  <c r="I6079" i="1"/>
  <c r="L6079" i="1"/>
  <c r="M6079" i="1"/>
  <c r="V6079" i="1"/>
  <c r="W6079" i="1"/>
  <c r="A1997" i="1"/>
  <c r="D1997" i="1"/>
  <c r="F1997" i="1"/>
  <c r="H1997" i="1"/>
  <c r="I1997" i="1"/>
  <c r="L1997" i="1"/>
  <c r="M1997" i="1"/>
  <c r="V1997" i="1"/>
  <c r="W1997" i="1"/>
  <c r="A2503" i="1"/>
  <c r="D2503" i="1"/>
  <c r="F2503" i="1"/>
  <c r="H2503" i="1"/>
  <c r="I2503" i="1"/>
  <c r="L2503" i="1"/>
  <c r="M2503" i="1"/>
  <c r="V2503" i="1"/>
  <c r="W2503" i="1"/>
  <c r="A325" i="1"/>
  <c r="D325" i="1"/>
  <c r="F325" i="1"/>
  <c r="H325" i="1"/>
  <c r="I325" i="1"/>
  <c r="L325" i="1"/>
  <c r="M325" i="1"/>
  <c r="V325" i="1"/>
  <c r="W325" i="1"/>
  <c r="A1792" i="1"/>
  <c r="D1792" i="1"/>
  <c r="F1792" i="1"/>
  <c r="H1792" i="1"/>
  <c r="I1792" i="1"/>
  <c r="L1792" i="1"/>
  <c r="M1792" i="1"/>
  <c r="V1792" i="1"/>
  <c r="W1792" i="1"/>
  <c r="A883" i="1"/>
  <c r="D883" i="1"/>
  <c r="F883" i="1"/>
  <c r="H883" i="1"/>
  <c r="I883" i="1"/>
  <c r="L883" i="1"/>
  <c r="M883" i="1"/>
  <c r="V883" i="1"/>
  <c r="W883" i="1"/>
  <c r="A4689" i="1"/>
  <c r="D4689" i="1"/>
  <c r="F4689" i="1"/>
  <c r="H4689" i="1"/>
  <c r="I4689" i="1"/>
  <c r="L4689" i="1"/>
  <c r="M4689" i="1"/>
  <c r="V4689" i="1"/>
  <c r="W4689" i="1"/>
  <c r="A5294" i="1"/>
  <c r="D5294" i="1"/>
  <c r="F5294" i="1"/>
  <c r="H5294" i="1"/>
  <c r="I5294" i="1"/>
  <c r="L5294" i="1"/>
  <c r="M5294" i="1"/>
  <c r="V5294" i="1"/>
  <c r="W5294" i="1"/>
  <c r="A368" i="1"/>
  <c r="D368" i="1"/>
  <c r="F368" i="1"/>
  <c r="H368" i="1"/>
  <c r="I368" i="1"/>
  <c r="L368" i="1"/>
  <c r="M368" i="1"/>
  <c r="V368" i="1"/>
  <c r="W368" i="1"/>
  <c r="A4017" i="1"/>
  <c r="D4017" i="1"/>
  <c r="F4017" i="1"/>
  <c r="H4017" i="1"/>
  <c r="I4017" i="1"/>
  <c r="L4017" i="1"/>
  <c r="M4017" i="1"/>
  <c r="V4017" i="1"/>
  <c r="W4017" i="1"/>
  <c r="A4028" i="1"/>
  <c r="D4028" i="1"/>
  <c r="F4028" i="1"/>
  <c r="H4028" i="1"/>
  <c r="I4028" i="1"/>
  <c r="L4028" i="1"/>
  <c r="M4028" i="1"/>
  <c r="V4028" i="1"/>
  <c r="W4028" i="1"/>
  <c r="A1865" i="1"/>
  <c r="D1865" i="1"/>
  <c r="F1865" i="1"/>
  <c r="H1865" i="1"/>
  <c r="I1865" i="1"/>
  <c r="L1865" i="1"/>
  <c r="M1865" i="1"/>
  <c r="V1865" i="1"/>
  <c r="W1865" i="1"/>
  <c r="A2599" i="1"/>
  <c r="D2599" i="1"/>
  <c r="F2599" i="1"/>
  <c r="H2599" i="1"/>
  <c r="I2599" i="1"/>
  <c r="L2599" i="1"/>
  <c r="M2599" i="1"/>
  <c r="V2599" i="1"/>
  <c r="W2599" i="1"/>
  <c r="A1580" i="1"/>
  <c r="D1580" i="1"/>
  <c r="F1580" i="1"/>
  <c r="H1580" i="1"/>
  <c r="I1580" i="1"/>
  <c r="L1580" i="1"/>
  <c r="M1580" i="1"/>
  <c r="V1580" i="1"/>
  <c r="W1580" i="1"/>
  <c r="A5310" i="1"/>
  <c r="D5310" i="1"/>
  <c r="F5310" i="1"/>
  <c r="H5310" i="1"/>
  <c r="I5310" i="1"/>
  <c r="L5310" i="1"/>
  <c r="M5310" i="1"/>
  <c r="V5310" i="1"/>
  <c r="W5310" i="1"/>
  <c r="A293" i="1"/>
  <c r="D293" i="1"/>
  <c r="F293" i="1"/>
  <c r="H293" i="1"/>
  <c r="I293" i="1"/>
  <c r="L293" i="1"/>
  <c r="M293" i="1"/>
  <c r="V293" i="1"/>
  <c r="W293" i="1"/>
  <c r="A539" i="1"/>
  <c r="D539" i="1"/>
  <c r="F539" i="1"/>
  <c r="H539" i="1"/>
  <c r="I539" i="1"/>
  <c r="L539" i="1"/>
  <c r="M539" i="1"/>
  <c r="V539" i="1"/>
  <c r="W539" i="1"/>
  <c r="A913" i="1"/>
  <c r="D913" i="1"/>
  <c r="F913" i="1"/>
  <c r="H913" i="1"/>
  <c r="I913" i="1"/>
  <c r="L913" i="1"/>
  <c r="M913" i="1"/>
  <c r="V913" i="1"/>
  <c r="W913" i="1"/>
  <c r="A1142" i="1"/>
  <c r="D1142" i="1"/>
  <c r="F1142" i="1"/>
  <c r="H1142" i="1"/>
  <c r="I1142" i="1"/>
  <c r="L1142" i="1"/>
  <c r="M1142" i="1"/>
  <c r="V1142" i="1"/>
  <c r="W1142" i="1"/>
  <c r="A1286" i="1"/>
  <c r="D1286" i="1"/>
  <c r="F1286" i="1"/>
  <c r="H1286" i="1"/>
  <c r="I1286" i="1"/>
  <c r="L1286" i="1"/>
  <c r="M1286" i="1"/>
  <c r="V1286" i="1"/>
  <c r="W1286" i="1"/>
  <c r="A1300" i="1"/>
  <c r="D1300" i="1"/>
  <c r="F1300" i="1"/>
  <c r="H1300" i="1"/>
  <c r="I1300" i="1"/>
  <c r="L1300" i="1"/>
  <c r="M1300" i="1"/>
  <c r="V1300" i="1"/>
  <c r="W1300" i="1"/>
  <c r="A1713" i="1"/>
  <c r="D1713" i="1"/>
  <c r="F1713" i="1"/>
  <c r="H1713" i="1"/>
  <c r="I1713" i="1"/>
  <c r="L1713" i="1"/>
  <c r="M1713" i="1"/>
  <c r="V1713" i="1"/>
  <c r="W1713" i="1"/>
  <c r="A2973" i="1"/>
  <c r="D2973" i="1"/>
  <c r="F2973" i="1"/>
  <c r="H2973" i="1"/>
  <c r="I2973" i="1"/>
  <c r="L2973" i="1"/>
  <c r="M2973" i="1"/>
  <c r="V2973" i="1"/>
  <c r="W2973" i="1"/>
  <c r="A3261" i="1"/>
  <c r="D3261" i="1"/>
  <c r="F3261" i="1"/>
  <c r="H3261" i="1"/>
  <c r="I3261" i="1"/>
  <c r="L3261" i="1"/>
  <c r="M3261" i="1"/>
  <c r="V3261" i="1"/>
  <c r="W3261" i="1"/>
  <c r="A3520" i="1"/>
  <c r="D3520" i="1"/>
  <c r="F3520" i="1"/>
  <c r="H3520" i="1"/>
  <c r="I3520" i="1"/>
  <c r="L3520" i="1"/>
  <c r="M3520" i="1"/>
  <c r="V3520" i="1"/>
  <c r="W3520" i="1"/>
  <c r="A3840" i="1"/>
  <c r="D3840" i="1"/>
  <c r="F3840" i="1"/>
  <c r="H3840" i="1"/>
  <c r="I3840" i="1"/>
  <c r="L3840" i="1"/>
  <c r="M3840" i="1"/>
  <c r="V3840" i="1"/>
  <c r="W3840" i="1"/>
  <c r="A5514" i="1"/>
  <c r="D5514" i="1"/>
  <c r="F5514" i="1"/>
  <c r="H5514" i="1"/>
  <c r="I5514" i="1"/>
  <c r="L5514" i="1"/>
  <c r="M5514" i="1"/>
  <c r="V5514" i="1"/>
  <c r="W5514" i="1"/>
  <c r="A5575" i="1"/>
  <c r="D5575" i="1"/>
  <c r="F5575" i="1"/>
  <c r="H5575" i="1"/>
  <c r="I5575" i="1"/>
  <c r="L5575" i="1"/>
  <c r="M5575" i="1"/>
  <c r="V5575" i="1"/>
  <c r="W5575" i="1"/>
  <c r="A5723" i="1"/>
  <c r="D5723" i="1"/>
  <c r="F5723" i="1"/>
  <c r="H5723" i="1"/>
  <c r="I5723" i="1"/>
  <c r="L5723" i="1"/>
  <c r="M5723" i="1"/>
  <c r="V5723" i="1"/>
  <c r="W5723" i="1"/>
  <c r="A257" i="1"/>
  <c r="D257" i="1"/>
  <c r="F257" i="1"/>
  <c r="H257" i="1"/>
  <c r="I257" i="1"/>
  <c r="L257" i="1"/>
  <c r="M257" i="1"/>
  <c r="V257" i="1"/>
  <c r="W257" i="1"/>
  <c r="A1073" i="1"/>
  <c r="D1073" i="1"/>
  <c r="F1073" i="1"/>
  <c r="H1073" i="1"/>
  <c r="I1073" i="1"/>
  <c r="L1073" i="1"/>
  <c r="M1073" i="1"/>
  <c r="V1073" i="1"/>
  <c r="W1073" i="1"/>
  <c r="A1347" i="1"/>
  <c r="D1347" i="1"/>
  <c r="F1347" i="1"/>
  <c r="H1347" i="1"/>
  <c r="I1347" i="1"/>
  <c r="L1347" i="1"/>
  <c r="M1347" i="1"/>
  <c r="V1347" i="1"/>
  <c r="W1347" i="1"/>
  <c r="A1594" i="1"/>
  <c r="D1594" i="1"/>
  <c r="F1594" i="1"/>
  <c r="H1594" i="1"/>
  <c r="I1594" i="1"/>
  <c r="L1594" i="1"/>
  <c r="M1594" i="1"/>
  <c r="V1594" i="1"/>
  <c r="W1594" i="1"/>
  <c r="A2684" i="1"/>
  <c r="D2684" i="1"/>
  <c r="F2684" i="1"/>
  <c r="H2684" i="1"/>
  <c r="I2684" i="1"/>
  <c r="L2684" i="1"/>
  <c r="M2684" i="1"/>
  <c r="V2684" i="1"/>
  <c r="W2684" i="1"/>
  <c r="A2830" i="1"/>
  <c r="D2830" i="1"/>
  <c r="F2830" i="1"/>
  <c r="H2830" i="1"/>
  <c r="I2830" i="1"/>
  <c r="L2830" i="1"/>
  <c r="M2830" i="1"/>
  <c r="V2830" i="1"/>
  <c r="W2830" i="1"/>
  <c r="A3009" i="1"/>
  <c r="D3009" i="1"/>
  <c r="F3009" i="1"/>
  <c r="H3009" i="1"/>
  <c r="I3009" i="1"/>
  <c r="L3009" i="1"/>
  <c r="M3009" i="1"/>
  <c r="V3009" i="1"/>
  <c r="W3009" i="1"/>
  <c r="A3352" i="1"/>
  <c r="D3352" i="1"/>
  <c r="F3352" i="1"/>
  <c r="H3352" i="1"/>
  <c r="I3352" i="1"/>
  <c r="L3352" i="1"/>
  <c r="M3352" i="1"/>
  <c r="V3352" i="1"/>
  <c r="W3352" i="1"/>
  <c r="A3648" i="1"/>
  <c r="D3648" i="1"/>
  <c r="F3648" i="1"/>
  <c r="H3648" i="1"/>
  <c r="I3648" i="1"/>
  <c r="L3648" i="1"/>
  <c r="M3648" i="1"/>
  <c r="V3648" i="1"/>
  <c r="W3648" i="1"/>
  <c r="A5561" i="1"/>
  <c r="D5561" i="1"/>
  <c r="F5561" i="1"/>
  <c r="H5561" i="1"/>
  <c r="I5561" i="1"/>
  <c r="L5561" i="1"/>
  <c r="M5561" i="1"/>
  <c r="V5561" i="1"/>
  <c r="W5561" i="1"/>
  <c r="A5564" i="1"/>
  <c r="D5564" i="1"/>
  <c r="F5564" i="1"/>
  <c r="H5564" i="1"/>
  <c r="I5564" i="1"/>
  <c r="L5564" i="1"/>
  <c r="M5564" i="1"/>
  <c r="V5564" i="1"/>
  <c r="W5564" i="1"/>
  <c r="A5870" i="1"/>
  <c r="D5870" i="1"/>
  <c r="F5870" i="1"/>
  <c r="H5870" i="1"/>
  <c r="I5870" i="1"/>
  <c r="L5870" i="1"/>
  <c r="M5870" i="1"/>
  <c r="V5870" i="1"/>
  <c r="W5870" i="1"/>
  <c r="A4522" i="1"/>
  <c r="D4522" i="1"/>
  <c r="F4522" i="1"/>
  <c r="H4522" i="1"/>
  <c r="I4522" i="1"/>
  <c r="L4522" i="1"/>
  <c r="M4522" i="1"/>
  <c r="V4522" i="1"/>
  <c r="W4522" i="1"/>
  <c r="A5053" i="1"/>
  <c r="D5053" i="1"/>
  <c r="F5053" i="1"/>
  <c r="H5053" i="1"/>
  <c r="I5053" i="1"/>
  <c r="L5053" i="1"/>
  <c r="M5053" i="1"/>
  <c r="V5053" i="1"/>
  <c r="W5053" i="1"/>
  <c r="A544" i="1"/>
  <c r="D544" i="1"/>
  <c r="F544" i="1"/>
  <c r="H544" i="1"/>
  <c r="I544" i="1"/>
  <c r="L544" i="1"/>
  <c r="M544" i="1"/>
  <c r="V544" i="1"/>
  <c r="W544" i="1"/>
  <c r="A548" i="1"/>
  <c r="D548" i="1"/>
  <c r="F548" i="1"/>
  <c r="H548" i="1"/>
  <c r="I548" i="1"/>
  <c r="L548" i="1"/>
  <c r="M548" i="1"/>
  <c r="V548" i="1"/>
  <c r="W548" i="1"/>
  <c r="A4133" i="1"/>
  <c r="D4133" i="1"/>
  <c r="F4133" i="1"/>
  <c r="H4133" i="1"/>
  <c r="I4133" i="1"/>
  <c r="L4133" i="1"/>
  <c r="M4133" i="1"/>
  <c r="V4133" i="1"/>
  <c r="W4133" i="1"/>
  <c r="A3175" i="1"/>
  <c r="D3175" i="1"/>
  <c r="F3175" i="1"/>
  <c r="H3175" i="1"/>
  <c r="I3175" i="1"/>
  <c r="L3175" i="1"/>
  <c r="M3175" i="1"/>
  <c r="V3175" i="1"/>
  <c r="W3175" i="1"/>
  <c r="A664" i="1"/>
  <c r="D664" i="1"/>
  <c r="F664" i="1"/>
  <c r="H664" i="1"/>
  <c r="I664" i="1"/>
  <c r="L664" i="1"/>
  <c r="M664" i="1"/>
  <c r="V664" i="1"/>
  <c r="W664" i="1"/>
  <c r="A936" i="1"/>
  <c r="D936" i="1"/>
  <c r="F936" i="1"/>
  <c r="H936" i="1"/>
  <c r="I936" i="1"/>
  <c r="L936" i="1"/>
  <c r="M936" i="1"/>
  <c r="V936" i="1"/>
  <c r="W936" i="1"/>
  <c r="A1278" i="1"/>
  <c r="D1278" i="1"/>
  <c r="F1278" i="1"/>
  <c r="H1278" i="1"/>
  <c r="I1278" i="1"/>
  <c r="L1278" i="1"/>
  <c r="M1278" i="1"/>
  <c r="V1278" i="1"/>
  <c r="W1278" i="1"/>
  <c r="A3608" i="1"/>
  <c r="D3608" i="1"/>
  <c r="F3608" i="1"/>
  <c r="H3608" i="1"/>
  <c r="I3608" i="1"/>
  <c r="L3608" i="1"/>
  <c r="M3608" i="1"/>
  <c r="V3608" i="1"/>
  <c r="W3608" i="1"/>
  <c r="A3755" i="1"/>
  <c r="D3755" i="1"/>
  <c r="F3755" i="1"/>
  <c r="H3755" i="1"/>
  <c r="I3755" i="1"/>
  <c r="L3755" i="1"/>
  <c r="M3755" i="1"/>
  <c r="V3755" i="1"/>
  <c r="W3755" i="1"/>
  <c r="A976" i="1"/>
  <c r="D976" i="1"/>
  <c r="F976" i="1"/>
  <c r="H976" i="1"/>
  <c r="I976" i="1"/>
  <c r="L976" i="1"/>
  <c r="M976" i="1"/>
  <c r="V976" i="1"/>
  <c r="W976" i="1"/>
  <c r="A4175" i="1"/>
  <c r="D4175" i="1"/>
  <c r="F4175" i="1"/>
  <c r="H4175" i="1"/>
  <c r="I4175" i="1"/>
  <c r="L4175" i="1"/>
  <c r="M4175" i="1"/>
  <c r="V4175" i="1"/>
  <c r="W4175" i="1"/>
  <c r="A6048" i="1"/>
  <c r="D6048" i="1"/>
  <c r="F6048" i="1"/>
  <c r="H6048" i="1"/>
  <c r="I6048" i="1"/>
  <c r="L6048" i="1"/>
  <c r="M6048" i="1"/>
  <c r="V6048" i="1"/>
  <c r="W6048" i="1"/>
  <c r="A5943" i="1"/>
  <c r="D5943" i="1"/>
  <c r="F5943" i="1"/>
  <c r="H5943" i="1"/>
  <c r="I5943" i="1"/>
  <c r="L5943" i="1"/>
  <c r="M5943" i="1"/>
  <c r="V5943" i="1"/>
  <c r="W5943" i="1"/>
  <c r="A2900" i="1"/>
  <c r="D2900" i="1"/>
  <c r="F2900" i="1"/>
  <c r="H2900" i="1"/>
  <c r="I2900" i="1"/>
  <c r="L2900" i="1"/>
  <c r="M2900" i="1"/>
  <c r="V2900" i="1"/>
  <c r="W2900" i="1"/>
  <c r="A185" i="1"/>
  <c r="D185" i="1"/>
  <c r="F185" i="1"/>
  <c r="H185" i="1"/>
  <c r="I185" i="1"/>
  <c r="L185" i="1"/>
  <c r="M185" i="1"/>
  <c r="V185" i="1"/>
  <c r="W185" i="1"/>
  <c r="A427" i="1"/>
  <c r="D427" i="1"/>
  <c r="F427" i="1"/>
  <c r="H427" i="1"/>
  <c r="I427" i="1"/>
  <c r="L427" i="1"/>
  <c r="M427" i="1"/>
  <c r="V427" i="1"/>
  <c r="W427" i="1"/>
  <c r="A1399" i="1"/>
  <c r="D1399" i="1"/>
  <c r="F1399" i="1"/>
  <c r="H1399" i="1"/>
  <c r="I1399" i="1"/>
  <c r="L1399" i="1"/>
  <c r="M1399" i="1"/>
  <c r="V1399" i="1"/>
  <c r="W1399" i="1"/>
  <c r="A2349" i="1"/>
  <c r="D2349" i="1"/>
  <c r="F2349" i="1"/>
  <c r="H2349" i="1"/>
  <c r="I2349" i="1"/>
  <c r="L2349" i="1"/>
  <c r="M2349" i="1"/>
  <c r="V2349" i="1"/>
  <c r="W2349" i="1"/>
  <c r="A2614" i="1"/>
  <c r="D2614" i="1"/>
  <c r="F2614" i="1"/>
  <c r="H2614" i="1"/>
  <c r="I2614" i="1"/>
  <c r="L2614" i="1"/>
  <c r="M2614" i="1"/>
  <c r="V2614" i="1"/>
  <c r="W2614" i="1"/>
  <c r="A2697" i="1"/>
  <c r="D2697" i="1"/>
  <c r="F2697" i="1"/>
  <c r="H2697" i="1"/>
  <c r="I2697" i="1"/>
  <c r="L2697" i="1"/>
  <c r="M2697" i="1"/>
  <c r="V2697" i="1"/>
  <c r="W2697" i="1"/>
  <c r="A2333" i="1"/>
  <c r="D2333" i="1"/>
  <c r="F2333" i="1"/>
  <c r="H2333" i="1"/>
  <c r="I2333" i="1"/>
  <c r="L2333" i="1"/>
  <c r="M2333" i="1"/>
  <c r="V2333" i="1"/>
  <c r="W2333" i="1"/>
  <c r="A2457" i="1"/>
  <c r="D2457" i="1"/>
  <c r="F2457" i="1"/>
  <c r="H2457" i="1"/>
  <c r="I2457" i="1"/>
  <c r="L2457" i="1"/>
  <c r="M2457" i="1"/>
  <c r="V2457" i="1"/>
  <c r="W2457" i="1"/>
  <c r="A2481" i="1"/>
  <c r="D2481" i="1"/>
  <c r="F2481" i="1"/>
  <c r="H2481" i="1"/>
  <c r="I2481" i="1"/>
  <c r="L2481" i="1"/>
  <c r="M2481" i="1"/>
  <c r="V2481" i="1"/>
  <c r="W2481" i="1"/>
  <c r="A3280" i="1"/>
  <c r="D3280" i="1"/>
  <c r="F3280" i="1"/>
  <c r="H3280" i="1"/>
  <c r="I3280" i="1"/>
  <c r="L3280" i="1"/>
  <c r="M3280" i="1"/>
  <c r="V3280" i="1"/>
  <c r="W3280" i="1"/>
  <c r="A411" i="1"/>
  <c r="D411" i="1"/>
  <c r="F411" i="1"/>
  <c r="H411" i="1"/>
  <c r="I411" i="1"/>
  <c r="L411" i="1"/>
  <c r="M411" i="1"/>
  <c r="V411" i="1"/>
  <c r="W411" i="1"/>
  <c r="A5699" i="1"/>
  <c r="D5699" i="1"/>
  <c r="F5699" i="1"/>
  <c r="H5699" i="1"/>
  <c r="I5699" i="1"/>
  <c r="L5699" i="1"/>
  <c r="M5699" i="1"/>
  <c r="V5699" i="1"/>
  <c r="W5699" i="1"/>
  <c r="A239" i="1"/>
  <c r="D239" i="1"/>
  <c r="F239" i="1"/>
  <c r="H239" i="1"/>
  <c r="I239" i="1"/>
  <c r="L239" i="1"/>
  <c r="M239" i="1"/>
  <c r="V239" i="1"/>
  <c r="W239" i="1"/>
  <c r="A255" i="1"/>
  <c r="D255" i="1"/>
  <c r="F255" i="1"/>
  <c r="H255" i="1"/>
  <c r="I255" i="1"/>
  <c r="L255" i="1"/>
  <c r="M255" i="1"/>
  <c r="V255" i="1"/>
  <c r="W255" i="1"/>
  <c r="A3397" i="1"/>
  <c r="D3397" i="1"/>
  <c r="F3397" i="1"/>
  <c r="H3397" i="1"/>
  <c r="I3397" i="1"/>
  <c r="L3397" i="1"/>
  <c r="M3397" i="1"/>
  <c r="V3397" i="1"/>
  <c r="W3397" i="1"/>
  <c r="A2347" i="1"/>
  <c r="D2347" i="1"/>
  <c r="F2347" i="1"/>
  <c r="H2347" i="1"/>
  <c r="I2347" i="1"/>
  <c r="L2347" i="1"/>
  <c r="M2347" i="1"/>
  <c r="V2347" i="1"/>
  <c r="W2347" i="1"/>
  <c r="A2248" i="1"/>
  <c r="D2248" i="1"/>
  <c r="F2248" i="1"/>
  <c r="H2248" i="1"/>
  <c r="I2248" i="1"/>
  <c r="L2248" i="1"/>
  <c r="M2248" i="1"/>
  <c r="V2248" i="1"/>
  <c r="W2248" i="1"/>
  <c r="A2272" i="1"/>
  <c r="D2272" i="1"/>
  <c r="F2272" i="1"/>
  <c r="H2272" i="1"/>
  <c r="I2272" i="1"/>
  <c r="L2272" i="1"/>
  <c r="M2272" i="1"/>
  <c r="V2272" i="1"/>
  <c r="W2272" i="1"/>
  <c r="A4610" i="1"/>
  <c r="D4610" i="1"/>
  <c r="F4610" i="1"/>
  <c r="H4610" i="1"/>
  <c r="I4610" i="1"/>
  <c r="L4610" i="1"/>
  <c r="M4610" i="1"/>
  <c r="V4610" i="1"/>
  <c r="W4610" i="1"/>
  <c r="A312" i="1"/>
  <c r="D312" i="1"/>
  <c r="F312" i="1"/>
  <c r="H312" i="1"/>
  <c r="I312" i="1"/>
  <c r="L312" i="1"/>
  <c r="M312" i="1"/>
  <c r="V312" i="1"/>
  <c r="W312" i="1"/>
  <c r="A699" i="1"/>
  <c r="D699" i="1"/>
  <c r="F699" i="1"/>
  <c r="H699" i="1"/>
  <c r="I699" i="1"/>
  <c r="L699" i="1"/>
  <c r="M699" i="1"/>
  <c r="V699" i="1"/>
  <c r="W699" i="1"/>
  <c r="A1168" i="1"/>
  <c r="D1168" i="1"/>
  <c r="F1168" i="1"/>
  <c r="H1168" i="1"/>
  <c r="I1168" i="1"/>
  <c r="L1168" i="1"/>
  <c r="M1168" i="1"/>
  <c r="V1168" i="1"/>
  <c r="W1168" i="1"/>
  <c r="A1182" i="1"/>
  <c r="D1182" i="1"/>
  <c r="F1182" i="1"/>
  <c r="H1182" i="1"/>
  <c r="I1182" i="1"/>
  <c r="L1182" i="1"/>
  <c r="M1182" i="1"/>
  <c r="V1182" i="1"/>
  <c r="W1182" i="1"/>
  <c r="A1167" i="1"/>
  <c r="D1167" i="1"/>
  <c r="F1167" i="1"/>
  <c r="H1167" i="1"/>
  <c r="I1167" i="1"/>
  <c r="L1167" i="1"/>
  <c r="M1167" i="1"/>
  <c r="V1167" i="1"/>
  <c r="W1167" i="1"/>
  <c r="A1180" i="1"/>
  <c r="D1180" i="1"/>
  <c r="F1180" i="1"/>
  <c r="H1180" i="1"/>
  <c r="I1180" i="1"/>
  <c r="L1180" i="1"/>
  <c r="M1180" i="1"/>
  <c r="V1180" i="1"/>
  <c r="W1180" i="1"/>
  <c r="A4728" i="1"/>
  <c r="D4728" i="1"/>
  <c r="F4728" i="1"/>
  <c r="H4728" i="1"/>
  <c r="I4728" i="1"/>
  <c r="L4728" i="1"/>
  <c r="M4728" i="1"/>
  <c r="V4728" i="1"/>
  <c r="W4728" i="1"/>
  <c r="A2113" i="1"/>
  <c r="D2113" i="1"/>
  <c r="F2113" i="1"/>
  <c r="H2113" i="1"/>
  <c r="I2113" i="1"/>
  <c r="L2113" i="1"/>
  <c r="M2113" i="1"/>
  <c r="V2113" i="1"/>
  <c r="W2113" i="1"/>
  <c r="A2231" i="1"/>
  <c r="D2231" i="1"/>
  <c r="F2231" i="1"/>
  <c r="H2231" i="1"/>
  <c r="I2231" i="1"/>
  <c r="L2231" i="1"/>
  <c r="M2231" i="1"/>
  <c r="V2231" i="1"/>
  <c r="W2231" i="1"/>
  <c r="A2488" i="1"/>
  <c r="D2488" i="1"/>
  <c r="F2488" i="1"/>
  <c r="H2488" i="1"/>
  <c r="I2488" i="1"/>
  <c r="L2488" i="1"/>
  <c r="M2488" i="1"/>
  <c r="V2488" i="1"/>
  <c r="W2488" i="1"/>
  <c r="A5005" i="1"/>
  <c r="D5005" i="1"/>
  <c r="F5005" i="1"/>
  <c r="H5005" i="1"/>
  <c r="I5005" i="1"/>
  <c r="L5005" i="1"/>
  <c r="M5005" i="1"/>
  <c r="V5005" i="1"/>
  <c r="W5005" i="1"/>
  <c r="A2866" i="1"/>
  <c r="D2866" i="1"/>
  <c r="F2866" i="1"/>
  <c r="H2866" i="1"/>
  <c r="I2866" i="1"/>
  <c r="L2866" i="1"/>
  <c r="M2866" i="1"/>
  <c r="V2866" i="1"/>
  <c r="W2866" i="1"/>
  <c r="A618" i="1"/>
  <c r="D618" i="1"/>
  <c r="F618" i="1"/>
  <c r="H618" i="1"/>
  <c r="I618" i="1"/>
  <c r="L618" i="1"/>
  <c r="M618" i="1"/>
  <c r="V618" i="1"/>
  <c r="W618" i="1"/>
  <c r="A719" i="1"/>
  <c r="D719" i="1"/>
  <c r="F719" i="1"/>
  <c r="H719" i="1"/>
  <c r="I719" i="1"/>
  <c r="L719" i="1"/>
  <c r="M719" i="1"/>
  <c r="V719" i="1"/>
  <c r="W719" i="1"/>
  <c r="A1750" i="1"/>
  <c r="D1750" i="1"/>
  <c r="F1750" i="1"/>
  <c r="H1750" i="1"/>
  <c r="I1750" i="1"/>
  <c r="L1750" i="1"/>
  <c r="M1750" i="1"/>
  <c r="V1750" i="1"/>
  <c r="W1750" i="1"/>
  <c r="A2399" i="1"/>
  <c r="D2399" i="1"/>
  <c r="F2399" i="1"/>
  <c r="H2399" i="1"/>
  <c r="I2399" i="1"/>
  <c r="L2399" i="1"/>
  <c r="M2399" i="1"/>
  <c r="V2399" i="1"/>
  <c r="W2399" i="1"/>
  <c r="A4619" i="1"/>
  <c r="D4619" i="1"/>
  <c r="F4619" i="1"/>
  <c r="H4619" i="1"/>
  <c r="I4619" i="1"/>
  <c r="L4619" i="1"/>
  <c r="M4619" i="1"/>
  <c r="V4619" i="1"/>
  <c r="W4619" i="1"/>
  <c r="A1852" i="1"/>
  <c r="D1852" i="1"/>
  <c r="F1852" i="1"/>
  <c r="H1852" i="1"/>
  <c r="I1852" i="1"/>
  <c r="L1852" i="1"/>
  <c r="M1852" i="1"/>
  <c r="V1852" i="1"/>
  <c r="W1852" i="1"/>
  <c r="A2192" i="1"/>
  <c r="D2192" i="1"/>
  <c r="F2192" i="1"/>
  <c r="H2192" i="1"/>
  <c r="I2192" i="1"/>
  <c r="L2192" i="1"/>
  <c r="M2192" i="1"/>
  <c r="V2192" i="1"/>
  <c r="W2192" i="1"/>
  <c r="A1977" i="1"/>
  <c r="D1977" i="1"/>
  <c r="F1977" i="1"/>
  <c r="H1977" i="1"/>
  <c r="I1977" i="1"/>
  <c r="L1977" i="1"/>
  <c r="M1977" i="1"/>
  <c r="V1977" i="1"/>
  <c r="W1977" i="1"/>
  <c r="A2124" i="1"/>
  <c r="D2124" i="1"/>
  <c r="F2124" i="1"/>
  <c r="H2124" i="1"/>
  <c r="I2124" i="1"/>
  <c r="L2124" i="1"/>
  <c r="M2124" i="1"/>
  <c r="V2124" i="1"/>
  <c r="W2124" i="1"/>
  <c r="A5106" i="1"/>
  <c r="D5106" i="1"/>
  <c r="F5106" i="1"/>
  <c r="H5106" i="1"/>
  <c r="I5106" i="1"/>
  <c r="L5106" i="1"/>
  <c r="M5106" i="1"/>
  <c r="V5106" i="1"/>
  <c r="W5106" i="1"/>
  <c r="A5370" i="1"/>
  <c r="D5370" i="1"/>
  <c r="F5370" i="1"/>
  <c r="H5370" i="1"/>
  <c r="I5370" i="1"/>
  <c r="L5370" i="1"/>
  <c r="M5370" i="1"/>
  <c r="V5370" i="1"/>
  <c r="W5370" i="1"/>
  <c r="A1604" i="1"/>
  <c r="D1604" i="1"/>
  <c r="F1604" i="1"/>
  <c r="H1604" i="1"/>
  <c r="I1604" i="1"/>
  <c r="L1604" i="1"/>
  <c r="M1604" i="1"/>
  <c r="V1604" i="1"/>
  <c r="W1604" i="1"/>
  <c r="A2518" i="1"/>
  <c r="D2518" i="1"/>
  <c r="F2518" i="1"/>
  <c r="H2518" i="1"/>
  <c r="I2518" i="1"/>
  <c r="L2518" i="1"/>
  <c r="M2518" i="1"/>
  <c r="V2518" i="1"/>
  <c r="W2518" i="1"/>
  <c r="A960" i="1"/>
  <c r="D960" i="1"/>
  <c r="F960" i="1"/>
  <c r="H960" i="1"/>
  <c r="I960" i="1"/>
  <c r="L960" i="1"/>
  <c r="M960" i="1"/>
  <c r="V960" i="1"/>
  <c r="W960" i="1"/>
  <c r="A3759" i="1"/>
  <c r="D3759" i="1"/>
  <c r="F3759" i="1"/>
  <c r="H3759" i="1"/>
  <c r="I3759" i="1"/>
  <c r="L3759" i="1"/>
  <c r="M3759" i="1"/>
  <c r="V3759" i="1"/>
  <c r="W3759" i="1"/>
  <c r="A5722" i="1"/>
  <c r="D5722" i="1"/>
  <c r="F5722" i="1"/>
  <c r="H5722" i="1"/>
  <c r="I5722" i="1"/>
  <c r="L5722" i="1"/>
  <c r="M5722" i="1"/>
  <c r="V5722" i="1"/>
  <c r="W5722" i="1"/>
  <c r="A233" i="1"/>
  <c r="D233" i="1"/>
  <c r="F233" i="1"/>
  <c r="H233" i="1"/>
  <c r="I233" i="1"/>
  <c r="L233" i="1"/>
  <c r="M233" i="1"/>
  <c r="V233" i="1"/>
  <c r="W233" i="1"/>
  <c r="A5545" i="1"/>
  <c r="D5545" i="1"/>
  <c r="F5545" i="1"/>
  <c r="H5545" i="1"/>
  <c r="I5545" i="1"/>
  <c r="L5545" i="1"/>
  <c r="M5545" i="1"/>
  <c r="V5545" i="1"/>
  <c r="W5545" i="1"/>
  <c r="A1254" i="1"/>
  <c r="D1254" i="1"/>
  <c r="F1254" i="1"/>
  <c r="H1254" i="1"/>
  <c r="I1254" i="1"/>
  <c r="L1254" i="1"/>
  <c r="M1254" i="1"/>
  <c r="V1254" i="1"/>
  <c r="W1254" i="1"/>
  <c r="A3577" i="1"/>
  <c r="D3577" i="1"/>
  <c r="F3577" i="1"/>
  <c r="H3577" i="1"/>
  <c r="I3577" i="1"/>
  <c r="L3577" i="1"/>
  <c r="M3577" i="1"/>
  <c r="V3577" i="1"/>
  <c r="W3577" i="1"/>
  <c r="A2233" i="1"/>
  <c r="D2233" i="1"/>
  <c r="F2233" i="1"/>
  <c r="H2233" i="1"/>
  <c r="I2233" i="1"/>
  <c r="L2233" i="1"/>
  <c r="M2233" i="1"/>
  <c r="V2233" i="1"/>
  <c r="W2233" i="1"/>
  <c r="A1703" i="1"/>
  <c r="D1703" i="1"/>
  <c r="F1703" i="1"/>
  <c r="H1703" i="1"/>
  <c r="I1703" i="1"/>
  <c r="L1703" i="1"/>
  <c r="M1703" i="1"/>
  <c r="V1703" i="1"/>
  <c r="W1703" i="1"/>
  <c r="A3070" i="1"/>
  <c r="D3070" i="1"/>
  <c r="F3070" i="1"/>
  <c r="H3070" i="1"/>
  <c r="I3070" i="1"/>
  <c r="L3070" i="1"/>
  <c r="M3070" i="1"/>
  <c r="V3070" i="1"/>
  <c r="W3070" i="1"/>
  <c r="A3470" i="1"/>
  <c r="D3470" i="1"/>
  <c r="F3470" i="1"/>
  <c r="H3470" i="1"/>
  <c r="I3470" i="1"/>
  <c r="L3470" i="1"/>
  <c r="M3470" i="1"/>
  <c r="V3470" i="1"/>
  <c r="W3470" i="1"/>
  <c r="A3540" i="1"/>
  <c r="D3540" i="1"/>
  <c r="F3540" i="1"/>
  <c r="H3540" i="1"/>
  <c r="I3540" i="1"/>
  <c r="L3540" i="1"/>
  <c r="M3540" i="1"/>
  <c r="V3540" i="1"/>
  <c r="W3540" i="1"/>
  <c r="A470" i="1"/>
  <c r="D470" i="1"/>
  <c r="F470" i="1"/>
  <c r="H470" i="1"/>
  <c r="I470" i="1"/>
  <c r="L470" i="1"/>
  <c r="M470" i="1"/>
  <c r="V470" i="1"/>
  <c r="W470" i="1"/>
  <c r="A533" i="1"/>
  <c r="D533" i="1"/>
  <c r="F533" i="1"/>
  <c r="H533" i="1"/>
  <c r="I533" i="1"/>
  <c r="L533" i="1"/>
  <c r="M533" i="1"/>
  <c r="V533" i="1"/>
  <c r="W533" i="1"/>
  <c r="A599" i="1"/>
  <c r="D599" i="1"/>
  <c r="F599" i="1"/>
  <c r="H599" i="1"/>
  <c r="I599" i="1"/>
  <c r="L599" i="1"/>
  <c r="M599" i="1"/>
  <c r="V599" i="1"/>
  <c r="W599" i="1"/>
  <c r="A5283" i="1"/>
  <c r="D5283" i="1"/>
  <c r="F5283" i="1"/>
  <c r="H5283" i="1"/>
  <c r="I5283" i="1"/>
  <c r="L5283" i="1"/>
  <c r="M5283" i="1"/>
  <c r="V5283" i="1"/>
  <c r="W5283" i="1"/>
  <c r="A2824" i="1"/>
  <c r="D2824" i="1"/>
  <c r="F2824" i="1"/>
  <c r="H2824" i="1"/>
  <c r="I2824" i="1"/>
  <c r="L2824" i="1"/>
  <c r="M2824" i="1"/>
  <c r="V2824" i="1"/>
  <c r="W2824" i="1"/>
  <c r="A3055" i="1"/>
  <c r="D3055" i="1"/>
  <c r="F3055" i="1"/>
  <c r="H3055" i="1"/>
  <c r="I3055" i="1"/>
  <c r="L3055" i="1"/>
  <c r="M3055" i="1"/>
  <c r="V3055" i="1"/>
  <c r="W3055" i="1"/>
  <c r="A3064" i="1"/>
  <c r="D3064" i="1"/>
  <c r="F3064" i="1"/>
  <c r="H3064" i="1"/>
  <c r="I3064" i="1"/>
  <c r="L3064" i="1"/>
  <c r="M3064" i="1"/>
  <c r="V3064" i="1"/>
  <c r="W3064" i="1"/>
  <c r="A2294" i="1"/>
  <c r="D2294" i="1"/>
  <c r="F2294" i="1"/>
  <c r="H2294" i="1"/>
  <c r="I2294" i="1"/>
  <c r="L2294" i="1"/>
  <c r="M2294" i="1"/>
  <c r="V2294" i="1"/>
  <c r="W2294" i="1"/>
  <c r="A2296" i="1"/>
  <c r="D2296" i="1"/>
  <c r="F2296" i="1"/>
  <c r="H2296" i="1"/>
  <c r="I2296" i="1"/>
  <c r="L2296" i="1"/>
  <c r="M2296" i="1"/>
  <c r="V2296" i="1"/>
  <c r="W2296" i="1"/>
  <c r="A2073" i="1"/>
  <c r="D2073" i="1"/>
  <c r="F2073" i="1"/>
  <c r="H2073" i="1"/>
  <c r="I2073" i="1"/>
  <c r="L2073" i="1"/>
  <c r="M2073" i="1"/>
  <c r="V2073" i="1"/>
  <c r="W2073" i="1"/>
  <c r="A2569" i="1"/>
  <c r="D2569" i="1"/>
  <c r="F2569" i="1"/>
  <c r="H2569" i="1"/>
  <c r="I2569" i="1"/>
  <c r="L2569" i="1"/>
  <c r="M2569" i="1"/>
  <c r="V2569" i="1"/>
  <c r="W2569" i="1"/>
  <c r="A1702" i="1"/>
  <c r="D1702" i="1"/>
  <c r="F1702" i="1"/>
  <c r="H1702" i="1"/>
  <c r="I1702" i="1"/>
  <c r="L1702" i="1"/>
  <c r="M1702" i="1"/>
  <c r="V1702" i="1"/>
  <c r="W1702" i="1"/>
  <c r="A262" i="1"/>
  <c r="D262" i="1"/>
  <c r="F262" i="1"/>
  <c r="H262" i="1"/>
  <c r="I262" i="1"/>
  <c r="L262" i="1"/>
  <c r="M262" i="1"/>
  <c r="V262" i="1"/>
  <c r="W262" i="1"/>
  <c r="A1890" i="1"/>
  <c r="D1890" i="1"/>
  <c r="F1890" i="1"/>
  <c r="H1890" i="1"/>
  <c r="I1890" i="1"/>
  <c r="L1890" i="1"/>
  <c r="M1890" i="1"/>
  <c r="V1890" i="1"/>
  <c r="W1890" i="1"/>
  <c r="A2053" i="1"/>
  <c r="D2053" i="1"/>
  <c r="F2053" i="1"/>
  <c r="H2053" i="1"/>
  <c r="I2053" i="1"/>
  <c r="L2053" i="1"/>
  <c r="M2053" i="1"/>
  <c r="V2053" i="1"/>
  <c r="W2053" i="1"/>
  <c r="A5896" i="1"/>
  <c r="D5896" i="1"/>
  <c r="F5896" i="1"/>
  <c r="H5896" i="1"/>
  <c r="I5896" i="1"/>
  <c r="L5896" i="1"/>
  <c r="M5896" i="1"/>
  <c r="V5896" i="1"/>
  <c r="W5896" i="1"/>
  <c r="A3953" i="1"/>
  <c r="D3953" i="1"/>
  <c r="F3953" i="1"/>
  <c r="H3953" i="1"/>
  <c r="I3953" i="1"/>
  <c r="L3953" i="1"/>
  <c r="M3953" i="1"/>
  <c r="V3953" i="1"/>
  <c r="W3953" i="1"/>
  <c r="A483" i="1"/>
  <c r="D483" i="1"/>
  <c r="F483" i="1"/>
  <c r="H483" i="1"/>
  <c r="I483" i="1"/>
  <c r="L483" i="1"/>
  <c r="M483" i="1"/>
  <c r="V483" i="1"/>
  <c r="W483" i="1"/>
  <c r="A5593" i="1"/>
  <c r="D5593" i="1"/>
  <c r="F5593" i="1"/>
  <c r="H5593" i="1"/>
  <c r="I5593" i="1"/>
  <c r="L5593" i="1"/>
  <c r="M5593" i="1"/>
  <c r="V5593" i="1"/>
  <c r="W5593" i="1"/>
  <c r="A3792" i="1"/>
  <c r="D3792" i="1"/>
  <c r="F3792" i="1"/>
  <c r="H3792" i="1"/>
  <c r="I3792" i="1"/>
  <c r="L3792" i="1"/>
  <c r="M3792" i="1"/>
  <c r="V3792" i="1"/>
  <c r="W3792" i="1"/>
  <c r="A4002" i="1"/>
  <c r="D4002" i="1"/>
  <c r="F4002" i="1"/>
  <c r="H4002" i="1"/>
  <c r="I4002" i="1"/>
  <c r="L4002" i="1"/>
  <c r="M4002" i="1"/>
  <c r="V4002" i="1"/>
  <c r="W4002" i="1"/>
  <c r="A4053" i="1"/>
  <c r="D4053" i="1"/>
  <c r="F4053" i="1"/>
  <c r="H4053" i="1"/>
  <c r="I4053" i="1"/>
  <c r="L4053" i="1"/>
  <c r="M4053" i="1"/>
  <c r="V4053" i="1"/>
  <c r="W4053" i="1"/>
  <c r="A4902" i="1"/>
  <c r="D4902" i="1"/>
  <c r="F4902" i="1"/>
  <c r="H4902" i="1"/>
  <c r="I4902" i="1"/>
  <c r="L4902" i="1"/>
  <c r="M4902" i="1"/>
  <c r="V4902" i="1"/>
  <c r="W4902" i="1"/>
  <c r="A3798" i="1"/>
  <c r="D3798" i="1"/>
  <c r="F3798" i="1"/>
  <c r="H3798" i="1"/>
  <c r="I3798" i="1"/>
  <c r="L3798" i="1"/>
  <c r="M3798" i="1"/>
  <c r="V3798" i="1"/>
  <c r="W3798" i="1"/>
  <c r="A1188" i="1"/>
  <c r="D1188" i="1"/>
  <c r="F1188" i="1"/>
  <c r="H1188" i="1"/>
  <c r="I1188" i="1"/>
  <c r="L1188" i="1"/>
  <c r="M1188" i="1"/>
  <c r="V1188" i="1"/>
  <c r="W1188" i="1"/>
  <c r="A168" i="1"/>
  <c r="D168" i="1"/>
  <c r="F168" i="1"/>
  <c r="H168" i="1"/>
  <c r="I168" i="1"/>
  <c r="L168" i="1"/>
  <c r="M168" i="1"/>
  <c r="V168" i="1"/>
  <c r="W168" i="1"/>
  <c r="A170" i="1"/>
  <c r="D170" i="1"/>
  <c r="F170" i="1"/>
  <c r="H170" i="1"/>
  <c r="I170" i="1"/>
  <c r="L170" i="1"/>
  <c r="M170" i="1"/>
  <c r="V170" i="1"/>
  <c r="W170" i="1"/>
  <c r="A2425" i="1"/>
  <c r="D2425" i="1"/>
  <c r="F2425" i="1"/>
  <c r="H2425" i="1"/>
  <c r="I2425" i="1"/>
  <c r="L2425" i="1"/>
  <c r="M2425" i="1"/>
  <c r="V2425" i="1"/>
  <c r="W2425" i="1"/>
  <c r="A2440" i="1"/>
  <c r="D2440" i="1"/>
  <c r="F2440" i="1"/>
  <c r="H2440" i="1"/>
  <c r="I2440" i="1"/>
  <c r="L2440" i="1"/>
  <c r="M2440" i="1"/>
  <c r="V2440" i="1"/>
  <c r="W2440" i="1"/>
  <c r="A31" i="1"/>
  <c r="D31" i="1"/>
  <c r="F31" i="1"/>
  <c r="H31" i="1"/>
  <c r="I31" i="1"/>
  <c r="L31" i="1"/>
  <c r="M31" i="1"/>
  <c r="V31" i="1"/>
  <c r="W31" i="1"/>
  <c r="A3851" i="1"/>
  <c r="D3851" i="1"/>
  <c r="F3851" i="1"/>
  <c r="H3851" i="1"/>
  <c r="I3851" i="1"/>
  <c r="L3851" i="1"/>
  <c r="M3851" i="1"/>
  <c r="V3851" i="1"/>
  <c r="W3851" i="1"/>
  <c r="A487" i="1"/>
  <c r="D487" i="1"/>
  <c r="F487" i="1"/>
  <c r="H487" i="1"/>
  <c r="I487" i="1"/>
  <c r="L487" i="1"/>
  <c r="M487" i="1"/>
  <c r="V487" i="1"/>
  <c r="W487" i="1"/>
  <c r="A1522" i="1"/>
  <c r="D1522" i="1"/>
  <c r="F1522" i="1"/>
  <c r="H1522" i="1"/>
  <c r="I1522" i="1"/>
  <c r="L1522" i="1"/>
  <c r="M1522" i="1"/>
  <c r="V1522" i="1"/>
  <c r="W1522" i="1"/>
  <c r="A1674" i="1"/>
  <c r="D1674" i="1"/>
  <c r="F1674" i="1"/>
  <c r="H1674" i="1"/>
  <c r="I1674" i="1"/>
  <c r="L1674" i="1"/>
  <c r="M1674" i="1"/>
  <c r="V1674" i="1"/>
  <c r="W1674" i="1"/>
  <c r="A1807" i="1"/>
  <c r="D1807" i="1"/>
  <c r="F1807" i="1"/>
  <c r="H1807" i="1"/>
  <c r="I1807" i="1"/>
  <c r="L1807" i="1"/>
  <c r="M1807" i="1"/>
  <c r="V1807" i="1"/>
  <c r="W1807" i="1"/>
  <c r="A6165" i="1"/>
  <c r="D6165" i="1"/>
  <c r="F6165" i="1"/>
  <c r="H6165" i="1"/>
  <c r="I6165" i="1"/>
  <c r="L6165" i="1"/>
  <c r="M6165" i="1"/>
  <c r="V6165" i="1"/>
  <c r="W6165" i="1"/>
  <c r="A48" i="1"/>
  <c r="D48" i="1"/>
  <c r="F48" i="1"/>
  <c r="H48" i="1"/>
  <c r="I48" i="1"/>
  <c r="L48" i="1"/>
  <c r="M48" i="1"/>
  <c r="V48" i="1"/>
  <c r="W48" i="1"/>
  <c r="A1089" i="1"/>
  <c r="D1089" i="1"/>
  <c r="F1089" i="1"/>
  <c r="H1089" i="1"/>
  <c r="I1089" i="1"/>
  <c r="L1089" i="1"/>
  <c r="M1089" i="1"/>
  <c r="V1089" i="1"/>
  <c r="W1089" i="1"/>
  <c r="A1787" i="1"/>
  <c r="D1787" i="1"/>
  <c r="F1787" i="1"/>
  <c r="H1787" i="1"/>
  <c r="I1787" i="1"/>
  <c r="L1787" i="1"/>
  <c r="M1787" i="1"/>
  <c r="V1787" i="1"/>
  <c r="W1787" i="1"/>
  <c r="A3709" i="1"/>
  <c r="D3709" i="1"/>
  <c r="F3709" i="1"/>
  <c r="H3709" i="1"/>
  <c r="I3709" i="1"/>
  <c r="L3709" i="1"/>
  <c r="M3709" i="1"/>
  <c r="V3709" i="1"/>
  <c r="W3709" i="1"/>
  <c r="A3831" i="1"/>
  <c r="D3831" i="1"/>
  <c r="F3831" i="1"/>
  <c r="H3831" i="1"/>
  <c r="I3831" i="1"/>
  <c r="L3831" i="1"/>
  <c r="M3831" i="1"/>
  <c r="V3831" i="1"/>
  <c r="W3831" i="1"/>
  <c r="A2624" i="1"/>
  <c r="D2624" i="1"/>
  <c r="F2624" i="1"/>
  <c r="H2624" i="1"/>
  <c r="I2624" i="1"/>
  <c r="L2624" i="1"/>
  <c r="M2624" i="1"/>
  <c r="V2624" i="1"/>
  <c r="W2624" i="1"/>
  <c r="A3430" i="1"/>
  <c r="D3430" i="1"/>
  <c r="F3430" i="1"/>
  <c r="H3430" i="1"/>
  <c r="I3430" i="1"/>
  <c r="L3430" i="1"/>
  <c r="M3430" i="1"/>
  <c r="V3430" i="1"/>
  <c r="W3430" i="1"/>
  <c r="A3454" i="1"/>
  <c r="D3454" i="1"/>
  <c r="F3454" i="1"/>
  <c r="H3454" i="1"/>
  <c r="I3454" i="1"/>
  <c r="L3454" i="1"/>
  <c r="M3454" i="1"/>
  <c r="V3454" i="1"/>
  <c r="W3454" i="1"/>
  <c r="A3594" i="1"/>
  <c r="D3594" i="1"/>
  <c r="F3594" i="1"/>
  <c r="H3594" i="1"/>
  <c r="I3594" i="1"/>
  <c r="L3594" i="1"/>
  <c r="M3594" i="1"/>
  <c r="V3594" i="1"/>
  <c r="W3594" i="1"/>
  <c r="A3783" i="1"/>
  <c r="D3783" i="1"/>
  <c r="F3783" i="1"/>
  <c r="H3783" i="1"/>
  <c r="I3783" i="1"/>
  <c r="L3783" i="1"/>
  <c r="M3783" i="1"/>
  <c r="V3783" i="1"/>
  <c r="W3783" i="1"/>
  <c r="A3664" i="1"/>
  <c r="D3664" i="1"/>
  <c r="F3664" i="1"/>
  <c r="H3664" i="1"/>
  <c r="I3664" i="1"/>
  <c r="L3664" i="1"/>
  <c r="M3664" i="1"/>
  <c r="V3664" i="1"/>
  <c r="W3664" i="1"/>
  <c r="A4847" i="1"/>
  <c r="D4847" i="1"/>
  <c r="F4847" i="1"/>
  <c r="H4847" i="1"/>
  <c r="I4847" i="1"/>
  <c r="L4847" i="1"/>
  <c r="M4847" i="1"/>
  <c r="V4847" i="1"/>
  <c r="W4847" i="1"/>
  <c r="A5604" i="1"/>
  <c r="D5604" i="1"/>
  <c r="F5604" i="1"/>
  <c r="H5604" i="1"/>
  <c r="I5604" i="1"/>
  <c r="L5604" i="1"/>
  <c r="M5604" i="1"/>
  <c r="V5604" i="1"/>
  <c r="W5604" i="1"/>
  <c r="A2602" i="1"/>
  <c r="D2602" i="1"/>
  <c r="F2602" i="1"/>
  <c r="H2602" i="1"/>
  <c r="I2602" i="1"/>
  <c r="L2602" i="1"/>
  <c r="M2602" i="1"/>
  <c r="V2602" i="1"/>
  <c r="W2602" i="1"/>
  <c r="A1974" i="1"/>
  <c r="D1974" i="1"/>
  <c r="F1974" i="1"/>
  <c r="H1974" i="1"/>
  <c r="I1974" i="1"/>
  <c r="L1974" i="1"/>
  <c r="M1974" i="1"/>
  <c r="V1974" i="1"/>
  <c r="W1974" i="1"/>
  <c r="A671" i="1"/>
  <c r="D671" i="1"/>
  <c r="F671" i="1"/>
  <c r="H671" i="1"/>
  <c r="I671" i="1"/>
  <c r="L671" i="1"/>
  <c r="M671" i="1"/>
  <c r="V671" i="1"/>
  <c r="W671" i="1"/>
  <c r="A4258" i="1"/>
  <c r="D4258" i="1"/>
  <c r="F4258" i="1"/>
  <c r="H4258" i="1"/>
  <c r="I4258" i="1"/>
  <c r="L4258" i="1"/>
  <c r="M4258" i="1"/>
  <c r="V4258" i="1"/>
  <c r="W4258" i="1"/>
  <c r="A189" i="1"/>
  <c r="D189" i="1"/>
  <c r="F189" i="1"/>
  <c r="H189" i="1"/>
  <c r="I189" i="1"/>
  <c r="L189" i="1"/>
  <c r="M189" i="1"/>
  <c r="V189" i="1"/>
  <c r="W189" i="1"/>
  <c r="A512" i="1"/>
  <c r="D512" i="1"/>
  <c r="F512" i="1"/>
  <c r="H512" i="1"/>
  <c r="I512" i="1"/>
  <c r="L512" i="1"/>
  <c r="M512" i="1"/>
  <c r="V512" i="1"/>
  <c r="W512" i="1"/>
  <c r="A2267" i="1"/>
  <c r="D2267" i="1"/>
  <c r="F2267" i="1"/>
  <c r="H2267" i="1"/>
  <c r="I2267" i="1"/>
  <c r="L2267" i="1"/>
  <c r="M2267" i="1"/>
  <c r="V2267" i="1"/>
  <c r="W2267" i="1"/>
  <c r="A1012" i="1"/>
  <c r="D1012" i="1"/>
  <c r="F1012" i="1"/>
  <c r="H1012" i="1"/>
  <c r="I1012" i="1"/>
  <c r="L1012" i="1"/>
  <c r="M1012" i="1"/>
  <c r="V1012" i="1"/>
  <c r="W1012" i="1"/>
  <c r="A1803" i="1"/>
  <c r="D1803" i="1"/>
  <c r="F1803" i="1"/>
  <c r="H1803" i="1"/>
  <c r="I1803" i="1"/>
  <c r="L1803" i="1"/>
  <c r="M1803" i="1"/>
  <c r="V1803" i="1"/>
  <c r="W1803" i="1"/>
  <c r="A2327" i="1"/>
  <c r="D2327" i="1"/>
  <c r="F2327" i="1"/>
  <c r="H2327" i="1"/>
  <c r="I2327" i="1"/>
  <c r="L2327" i="1"/>
  <c r="M2327" i="1"/>
  <c r="V2327" i="1"/>
  <c r="W2327" i="1"/>
  <c r="A5539" i="1"/>
  <c r="D5539" i="1"/>
  <c r="F5539" i="1"/>
  <c r="H5539" i="1"/>
  <c r="I5539" i="1"/>
  <c r="L5539" i="1"/>
  <c r="M5539" i="1"/>
  <c r="V5539" i="1"/>
  <c r="W5539" i="1"/>
  <c r="A5876" i="1"/>
  <c r="D5876" i="1"/>
  <c r="F5876" i="1"/>
  <c r="H5876" i="1"/>
  <c r="I5876" i="1"/>
  <c r="L5876" i="1"/>
  <c r="M5876" i="1"/>
  <c r="V5876" i="1"/>
  <c r="W5876" i="1"/>
  <c r="A631" i="1"/>
  <c r="D631" i="1"/>
  <c r="F631" i="1"/>
  <c r="H631" i="1"/>
  <c r="I631" i="1"/>
  <c r="L631" i="1"/>
  <c r="M631" i="1"/>
  <c r="V631" i="1"/>
  <c r="W631" i="1"/>
  <c r="A3363" i="1"/>
  <c r="D3363" i="1"/>
  <c r="F3363" i="1"/>
  <c r="H3363" i="1"/>
  <c r="I3363" i="1"/>
  <c r="L3363" i="1"/>
  <c r="M3363" i="1"/>
  <c r="V3363" i="1"/>
  <c r="W3363" i="1"/>
  <c r="A4224" i="1"/>
  <c r="D4224" i="1"/>
  <c r="F4224" i="1"/>
  <c r="H4224" i="1"/>
  <c r="I4224" i="1"/>
  <c r="L4224" i="1"/>
  <c r="M4224" i="1"/>
  <c r="V4224" i="1"/>
  <c r="W4224" i="1"/>
  <c r="A1656" i="1"/>
  <c r="D1656" i="1"/>
  <c r="F1656" i="1"/>
  <c r="H1656" i="1"/>
  <c r="I1656" i="1"/>
  <c r="L1656" i="1"/>
  <c r="M1656" i="1"/>
  <c r="V1656" i="1"/>
  <c r="W1656" i="1"/>
  <c r="A4193" i="1"/>
  <c r="D4193" i="1"/>
  <c r="F4193" i="1"/>
  <c r="H4193" i="1"/>
  <c r="I4193" i="1"/>
  <c r="L4193" i="1"/>
  <c r="M4193" i="1"/>
  <c r="V4193" i="1"/>
  <c r="W4193" i="1"/>
  <c r="A1397" i="1"/>
  <c r="D1397" i="1"/>
  <c r="F1397" i="1"/>
  <c r="H1397" i="1"/>
  <c r="I1397" i="1"/>
  <c r="L1397" i="1"/>
  <c r="M1397" i="1"/>
  <c r="V1397" i="1"/>
  <c r="W1397" i="1"/>
  <c r="A1778" i="1"/>
  <c r="D1778" i="1"/>
  <c r="F1778" i="1"/>
  <c r="H1778" i="1"/>
  <c r="I1778" i="1"/>
  <c r="L1778" i="1"/>
  <c r="M1778" i="1"/>
  <c r="V1778" i="1"/>
  <c r="W1778" i="1"/>
  <c r="A4731" i="1"/>
  <c r="D4731" i="1"/>
  <c r="F4731" i="1"/>
  <c r="H4731" i="1"/>
  <c r="I4731" i="1"/>
  <c r="L4731" i="1"/>
  <c r="M4731" i="1"/>
  <c r="V4731" i="1"/>
  <c r="W4731" i="1"/>
  <c r="A3372" i="1"/>
  <c r="D3372" i="1"/>
  <c r="F3372" i="1"/>
  <c r="H3372" i="1"/>
  <c r="I3372" i="1"/>
  <c r="L3372" i="1"/>
  <c r="M3372" i="1"/>
  <c r="V3372" i="1"/>
  <c r="W3372" i="1"/>
  <c r="A5096" i="1"/>
  <c r="D5096" i="1"/>
  <c r="F5096" i="1"/>
  <c r="H5096" i="1"/>
  <c r="I5096" i="1"/>
  <c r="L5096" i="1"/>
  <c r="M5096" i="1"/>
  <c r="V5096" i="1"/>
  <c r="W5096" i="1"/>
  <c r="A5239" i="1"/>
  <c r="D5239" i="1"/>
  <c r="F5239" i="1"/>
  <c r="H5239" i="1"/>
  <c r="I5239" i="1"/>
  <c r="L5239" i="1"/>
  <c r="M5239" i="1"/>
  <c r="V5239" i="1"/>
  <c r="W5239" i="1"/>
  <c r="A1978" i="1"/>
  <c r="D1978" i="1"/>
  <c r="F1978" i="1"/>
  <c r="H1978" i="1"/>
  <c r="I1978" i="1"/>
  <c r="L1978" i="1"/>
  <c r="M1978" i="1"/>
  <c r="V1978" i="1"/>
  <c r="W1978" i="1"/>
  <c r="A1723" i="1"/>
  <c r="D1723" i="1"/>
  <c r="F1723" i="1"/>
  <c r="H1723" i="1"/>
  <c r="I1723" i="1"/>
  <c r="L1723" i="1"/>
  <c r="M1723" i="1"/>
  <c r="V1723" i="1"/>
  <c r="W1723" i="1"/>
  <c r="A1753" i="1"/>
  <c r="D1753" i="1"/>
  <c r="F1753" i="1"/>
  <c r="H1753" i="1"/>
  <c r="I1753" i="1"/>
  <c r="L1753" i="1"/>
  <c r="M1753" i="1"/>
  <c r="V1753" i="1"/>
  <c r="W1753" i="1"/>
  <c r="A2401" i="1"/>
  <c r="D2401" i="1"/>
  <c r="F2401" i="1"/>
  <c r="H2401" i="1"/>
  <c r="I2401" i="1"/>
  <c r="L2401" i="1"/>
  <c r="M2401" i="1"/>
  <c r="V2401" i="1"/>
  <c r="W2401" i="1"/>
  <c r="A4090" i="1"/>
  <c r="D4090" i="1"/>
  <c r="F4090" i="1"/>
  <c r="H4090" i="1"/>
  <c r="I4090" i="1"/>
  <c r="L4090" i="1"/>
  <c r="M4090" i="1"/>
  <c r="V4090" i="1"/>
  <c r="W4090" i="1"/>
  <c r="A4059" i="1"/>
  <c r="D4059" i="1"/>
  <c r="F4059" i="1"/>
  <c r="H4059" i="1"/>
  <c r="I4059" i="1"/>
  <c r="L4059" i="1"/>
  <c r="M4059" i="1"/>
  <c r="V4059" i="1"/>
  <c r="W4059" i="1"/>
  <c r="A33" i="1"/>
  <c r="D33" i="1"/>
  <c r="F33" i="1"/>
  <c r="H33" i="1"/>
  <c r="I33" i="1"/>
  <c r="L33" i="1"/>
  <c r="M33" i="1"/>
  <c r="V33" i="1"/>
  <c r="W33" i="1"/>
  <c r="A35" i="1"/>
  <c r="D35" i="1"/>
  <c r="F35" i="1"/>
  <c r="H35" i="1"/>
  <c r="I35" i="1"/>
  <c r="L35" i="1"/>
  <c r="M35" i="1"/>
  <c r="V35" i="1"/>
  <c r="W35" i="1"/>
  <c r="A1361" i="1"/>
  <c r="D1361" i="1"/>
  <c r="F1361" i="1"/>
  <c r="H1361" i="1"/>
  <c r="I1361" i="1"/>
  <c r="L1361" i="1"/>
  <c r="M1361" i="1"/>
  <c r="V1361" i="1"/>
  <c r="W1361" i="1"/>
  <c r="A1938" i="1"/>
  <c r="D1938" i="1"/>
  <c r="F1938" i="1"/>
  <c r="H1938" i="1"/>
  <c r="I1938" i="1"/>
  <c r="L1938" i="1"/>
  <c r="M1938" i="1"/>
  <c r="V1938" i="1"/>
  <c r="W1938" i="1"/>
  <c r="A4290" i="1"/>
  <c r="D4290" i="1"/>
  <c r="F4290" i="1"/>
  <c r="H4290" i="1"/>
  <c r="I4290" i="1"/>
  <c r="L4290" i="1"/>
  <c r="M4290" i="1"/>
  <c r="V4290" i="1"/>
  <c r="W4290" i="1"/>
  <c r="A1559" i="1"/>
  <c r="D1559" i="1"/>
  <c r="F1559" i="1"/>
  <c r="H1559" i="1"/>
  <c r="I1559" i="1"/>
  <c r="L1559" i="1"/>
  <c r="M1559" i="1"/>
  <c r="V1559" i="1"/>
  <c r="W1559" i="1"/>
  <c r="A3872" i="1"/>
  <c r="D3872" i="1"/>
  <c r="F3872" i="1"/>
  <c r="H3872" i="1"/>
  <c r="I3872" i="1"/>
  <c r="L3872" i="1"/>
  <c r="M3872" i="1"/>
  <c r="V3872" i="1"/>
  <c r="W3872" i="1"/>
  <c r="A2064" i="1"/>
  <c r="D2064" i="1"/>
  <c r="F2064" i="1"/>
  <c r="H2064" i="1"/>
  <c r="I2064" i="1"/>
  <c r="L2064" i="1"/>
  <c r="M2064" i="1"/>
  <c r="V2064" i="1"/>
  <c r="W2064" i="1"/>
  <c r="A2415" i="1"/>
  <c r="D2415" i="1"/>
  <c r="F2415" i="1"/>
  <c r="H2415" i="1"/>
  <c r="I2415" i="1"/>
  <c r="L2415" i="1"/>
  <c r="M2415" i="1"/>
  <c r="V2415" i="1"/>
  <c r="W2415" i="1"/>
  <c r="A2335" i="1"/>
  <c r="D2335" i="1"/>
  <c r="F2335" i="1"/>
  <c r="H2335" i="1"/>
  <c r="I2335" i="1"/>
  <c r="L2335" i="1"/>
  <c r="M2335" i="1"/>
  <c r="V2335" i="1"/>
  <c r="W2335" i="1"/>
  <c r="A4380" i="1"/>
  <c r="D4380" i="1"/>
  <c r="F4380" i="1"/>
  <c r="H4380" i="1"/>
  <c r="I4380" i="1"/>
  <c r="L4380" i="1"/>
  <c r="M4380" i="1"/>
  <c r="V4380" i="1"/>
  <c r="W4380" i="1"/>
  <c r="A5849" i="1"/>
  <c r="D5849" i="1"/>
  <c r="F5849" i="1"/>
  <c r="H5849" i="1"/>
  <c r="I5849" i="1"/>
  <c r="L5849" i="1"/>
  <c r="M5849" i="1"/>
  <c r="V5849" i="1"/>
  <c r="W5849" i="1"/>
  <c r="A243" i="1"/>
  <c r="D243" i="1"/>
  <c r="F243" i="1"/>
  <c r="H243" i="1"/>
  <c r="I243" i="1"/>
  <c r="L243" i="1"/>
  <c r="M243" i="1"/>
  <c r="V243" i="1"/>
  <c r="W243" i="1"/>
  <c r="A5999" i="1"/>
  <c r="D5999" i="1"/>
  <c r="F5999" i="1"/>
  <c r="H5999" i="1"/>
  <c r="I5999" i="1"/>
  <c r="L5999" i="1"/>
  <c r="M5999" i="1"/>
  <c r="V5999" i="1"/>
  <c r="W5999" i="1"/>
  <c r="A1063" i="1"/>
  <c r="D1063" i="1"/>
  <c r="F1063" i="1"/>
  <c r="H1063" i="1"/>
  <c r="I1063" i="1"/>
  <c r="L1063" i="1"/>
  <c r="M1063" i="1"/>
  <c r="V1063" i="1"/>
  <c r="W1063" i="1"/>
  <c r="A4161" i="1"/>
  <c r="D4161" i="1"/>
  <c r="F4161" i="1"/>
  <c r="H4161" i="1"/>
  <c r="I4161" i="1"/>
  <c r="L4161" i="1"/>
  <c r="M4161" i="1"/>
  <c r="V4161" i="1"/>
  <c r="W4161" i="1"/>
  <c r="A155" i="1"/>
  <c r="D155" i="1"/>
  <c r="F155" i="1"/>
  <c r="H155" i="1"/>
  <c r="I155" i="1"/>
  <c r="L155" i="1"/>
  <c r="M155" i="1"/>
  <c r="V155" i="1"/>
  <c r="W155" i="1"/>
  <c r="A474" i="1"/>
  <c r="D474" i="1"/>
  <c r="F474" i="1"/>
  <c r="H474" i="1"/>
  <c r="I474" i="1"/>
  <c r="L474" i="1"/>
  <c r="M474" i="1"/>
  <c r="V474" i="1"/>
  <c r="W474" i="1"/>
  <c r="A485" i="1"/>
  <c r="D485" i="1"/>
  <c r="F485" i="1"/>
  <c r="H485" i="1"/>
  <c r="I485" i="1"/>
  <c r="L485" i="1"/>
  <c r="M485" i="1"/>
  <c r="V485" i="1"/>
  <c r="W485" i="1"/>
  <c r="A567" i="1"/>
  <c r="D567" i="1"/>
  <c r="F567" i="1"/>
  <c r="H567" i="1"/>
  <c r="I567" i="1"/>
  <c r="L567" i="1"/>
  <c r="M567" i="1"/>
  <c r="V567" i="1"/>
  <c r="W567" i="1"/>
  <c r="A3543" i="1"/>
  <c r="D3543" i="1"/>
  <c r="F3543" i="1"/>
  <c r="H3543" i="1"/>
  <c r="I3543" i="1"/>
  <c r="L3543" i="1"/>
  <c r="M3543" i="1"/>
  <c r="V3543" i="1"/>
  <c r="W3543" i="1"/>
  <c r="A4303" i="1"/>
  <c r="D4303" i="1"/>
  <c r="F4303" i="1"/>
  <c r="H4303" i="1"/>
  <c r="I4303" i="1"/>
  <c r="L4303" i="1"/>
  <c r="M4303" i="1"/>
  <c r="V4303" i="1"/>
  <c r="W4303" i="1"/>
  <c r="A1993" i="1"/>
  <c r="D1993" i="1"/>
  <c r="F1993" i="1"/>
  <c r="H1993" i="1"/>
  <c r="I1993" i="1"/>
  <c r="L1993" i="1"/>
  <c r="M1993" i="1"/>
  <c r="V1993" i="1"/>
  <c r="W1993" i="1"/>
  <c r="A2575" i="1"/>
  <c r="D2575" i="1"/>
  <c r="F2575" i="1"/>
  <c r="H2575" i="1"/>
  <c r="I2575" i="1"/>
  <c r="L2575" i="1"/>
  <c r="M2575" i="1"/>
  <c r="V2575" i="1"/>
  <c r="W2575" i="1"/>
  <c r="A4150" i="1"/>
  <c r="D4150" i="1"/>
  <c r="F4150" i="1"/>
  <c r="H4150" i="1"/>
  <c r="I4150" i="1"/>
  <c r="L4150" i="1"/>
  <c r="M4150" i="1"/>
  <c r="V4150" i="1"/>
  <c r="W4150" i="1"/>
  <c r="A2390" i="1"/>
  <c r="D2390" i="1"/>
  <c r="F2390" i="1"/>
  <c r="H2390" i="1"/>
  <c r="I2390" i="1"/>
  <c r="L2390" i="1"/>
  <c r="M2390" i="1"/>
  <c r="V2390" i="1"/>
  <c r="W2390" i="1"/>
  <c r="A3967" i="1"/>
  <c r="D3967" i="1"/>
  <c r="F3967" i="1"/>
  <c r="H3967" i="1"/>
  <c r="I3967" i="1"/>
  <c r="L3967" i="1"/>
  <c r="M3967" i="1"/>
  <c r="V3967" i="1"/>
  <c r="W3967" i="1"/>
  <c r="A1398" i="1"/>
  <c r="D1398" i="1"/>
  <c r="F1398" i="1"/>
  <c r="H1398" i="1"/>
  <c r="I1398" i="1"/>
  <c r="L1398" i="1"/>
  <c r="M1398" i="1"/>
  <c r="V1398" i="1"/>
  <c r="W1398" i="1"/>
  <c r="A1259" i="1"/>
  <c r="D1259" i="1"/>
  <c r="F1259" i="1"/>
  <c r="H1259" i="1"/>
  <c r="I1259" i="1"/>
  <c r="L1259" i="1"/>
  <c r="M1259" i="1"/>
  <c r="V1259" i="1"/>
  <c r="W1259" i="1"/>
  <c r="A644" i="1"/>
  <c r="D644" i="1"/>
  <c r="F644" i="1"/>
  <c r="H644" i="1"/>
  <c r="I644" i="1"/>
  <c r="L644" i="1"/>
  <c r="M644" i="1"/>
  <c r="V644" i="1"/>
  <c r="W644" i="1"/>
  <c r="A562" i="1"/>
  <c r="D562" i="1"/>
  <c r="F562" i="1"/>
  <c r="H562" i="1"/>
  <c r="I562" i="1"/>
  <c r="L562" i="1"/>
  <c r="M562" i="1"/>
  <c r="V562" i="1"/>
  <c r="W562" i="1"/>
  <c r="A717" i="1"/>
  <c r="D717" i="1"/>
  <c r="F717" i="1"/>
  <c r="H717" i="1"/>
  <c r="I717" i="1"/>
  <c r="L717" i="1"/>
  <c r="M717" i="1"/>
  <c r="V717" i="1"/>
  <c r="W717" i="1"/>
  <c r="A1809" i="1"/>
  <c r="D1809" i="1"/>
  <c r="F1809" i="1"/>
  <c r="H1809" i="1"/>
  <c r="I1809" i="1"/>
  <c r="L1809" i="1"/>
  <c r="M1809" i="1"/>
  <c r="V1809" i="1"/>
  <c r="W1809" i="1"/>
  <c r="A5359" i="1"/>
  <c r="D5359" i="1"/>
  <c r="F5359" i="1"/>
  <c r="H5359" i="1"/>
  <c r="I5359" i="1"/>
  <c r="L5359" i="1"/>
  <c r="M5359" i="1"/>
  <c r="V5359" i="1"/>
  <c r="W5359" i="1"/>
  <c r="A5098" i="1"/>
  <c r="D5098" i="1"/>
  <c r="F5098" i="1"/>
  <c r="H5098" i="1"/>
  <c r="I5098" i="1"/>
  <c r="L5098" i="1"/>
  <c r="M5098" i="1"/>
  <c r="V5098" i="1"/>
  <c r="W5098" i="1"/>
  <c r="A5214" i="1"/>
  <c r="D5214" i="1"/>
  <c r="F5214" i="1"/>
  <c r="H5214" i="1"/>
  <c r="I5214" i="1"/>
  <c r="L5214" i="1"/>
  <c r="M5214" i="1"/>
  <c r="V5214" i="1"/>
  <c r="W5214" i="1"/>
  <c r="A657" i="1"/>
  <c r="D657" i="1"/>
  <c r="F657" i="1"/>
  <c r="H657" i="1"/>
  <c r="I657" i="1"/>
  <c r="L657" i="1"/>
  <c r="M657" i="1"/>
  <c r="V657" i="1"/>
  <c r="W657" i="1"/>
  <c r="A1081" i="1"/>
  <c r="D1081" i="1"/>
  <c r="F1081" i="1"/>
  <c r="H1081" i="1"/>
  <c r="I1081" i="1"/>
  <c r="L1081" i="1"/>
  <c r="M1081" i="1"/>
  <c r="V1081" i="1"/>
  <c r="W1081" i="1"/>
  <c r="A1569" i="1"/>
  <c r="D1569" i="1"/>
  <c r="F1569" i="1"/>
  <c r="H1569" i="1"/>
  <c r="I1569" i="1"/>
  <c r="L1569" i="1"/>
  <c r="M1569" i="1"/>
  <c r="V1569" i="1"/>
  <c r="W1569" i="1"/>
  <c r="A4376" i="1"/>
  <c r="D4376" i="1"/>
  <c r="F4376" i="1"/>
  <c r="H4376" i="1"/>
  <c r="I4376" i="1"/>
  <c r="L4376" i="1"/>
  <c r="M4376" i="1"/>
  <c r="V4376" i="1"/>
  <c r="W4376" i="1"/>
  <c r="A4420" i="1"/>
  <c r="D4420" i="1"/>
  <c r="F4420" i="1"/>
  <c r="H4420" i="1"/>
  <c r="I4420" i="1"/>
  <c r="L4420" i="1"/>
  <c r="M4420" i="1"/>
  <c r="V4420" i="1"/>
  <c r="W4420" i="1"/>
  <c r="A5657" i="1"/>
  <c r="D5657" i="1"/>
  <c r="F5657" i="1"/>
  <c r="H5657" i="1"/>
  <c r="I5657" i="1"/>
  <c r="L5657" i="1"/>
  <c r="M5657" i="1"/>
  <c r="V5657" i="1"/>
  <c r="W5657" i="1"/>
  <c r="A4756" i="1"/>
  <c r="D4756" i="1"/>
  <c r="F4756" i="1"/>
  <c r="H4756" i="1"/>
  <c r="I4756" i="1"/>
  <c r="L4756" i="1"/>
  <c r="M4756" i="1"/>
  <c r="V4756" i="1"/>
  <c r="W4756" i="1"/>
  <c r="A4087" i="1"/>
  <c r="D4087" i="1"/>
  <c r="F4087" i="1"/>
  <c r="H4087" i="1"/>
  <c r="I4087" i="1"/>
  <c r="L4087" i="1"/>
  <c r="M4087" i="1"/>
  <c r="V4087" i="1"/>
  <c r="W4087" i="1"/>
  <c r="A4326" i="1"/>
  <c r="D4326" i="1"/>
  <c r="F4326" i="1"/>
  <c r="H4326" i="1"/>
  <c r="I4326" i="1"/>
  <c r="L4326" i="1"/>
  <c r="M4326" i="1"/>
  <c r="V4326" i="1"/>
  <c r="W4326" i="1"/>
  <c r="A1739" i="1"/>
  <c r="D1739" i="1"/>
  <c r="F1739" i="1"/>
  <c r="H1739" i="1"/>
  <c r="I1739" i="1"/>
  <c r="L1739" i="1"/>
  <c r="M1739" i="1"/>
  <c r="V1739" i="1"/>
  <c r="W1739" i="1"/>
  <c r="A2523" i="1"/>
  <c r="D2523" i="1"/>
  <c r="F2523" i="1"/>
  <c r="H2523" i="1"/>
  <c r="I2523" i="1"/>
  <c r="L2523" i="1"/>
  <c r="M2523" i="1"/>
  <c r="V2523" i="1"/>
  <c r="W2523" i="1"/>
  <c r="A56" i="1"/>
  <c r="D56" i="1"/>
  <c r="F56" i="1"/>
  <c r="H56" i="1"/>
  <c r="I56" i="1"/>
  <c r="L56" i="1"/>
  <c r="M56" i="1"/>
  <c r="V56" i="1"/>
  <c r="W56" i="1"/>
  <c r="A659" i="1"/>
  <c r="D659" i="1"/>
  <c r="F659" i="1"/>
  <c r="H659" i="1"/>
  <c r="I659" i="1"/>
  <c r="L659" i="1"/>
  <c r="M659" i="1"/>
  <c r="V659" i="1"/>
  <c r="W659" i="1"/>
  <c r="A5414" i="1"/>
  <c r="D5414" i="1"/>
  <c r="F5414" i="1"/>
  <c r="H5414" i="1"/>
  <c r="I5414" i="1"/>
  <c r="L5414" i="1"/>
  <c r="M5414" i="1"/>
  <c r="V5414" i="1"/>
  <c r="W5414" i="1"/>
  <c r="A1905" i="1"/>
  <c r="D1905" i="1"/>
  <c r="F1905" i="1"/>
  <c r="H1905" i="1"/>
  <c r="I1905" i="1"/>
  <c r="L1905" i="1"/>
  <c r="M1905" i="1"/>
  <c r="V1905" i="1"/>
  <c r="W1905" i="1"/>
  <c r="A2337" i="1"/>
  <c r="D2337" i="1"/>
  <c r="F2337" i="1"/>
  <c r="H2337" i="1"/>
  <c r="I2337" i="1"/>
  <c r="L2337" i="1"/>
  <c r="M2337" i="1"/>
  <c r="V2337" i="1"/>
  <c r="W2337" i="1"/>
  <c r="A2442" i="1"/>
  <c r="D2442" i="1"/>
  <c r="F2442" i="1"/>
  <c r="H2442" i="1"/>
  <c r="I2442" i="1"/>
  <c r="L2442" i="1"/>
  <c r="M2442" i="1"/>
  <c r="V2442" i="1"/>
  <c r="W2442" i="1"/>
  <c r="A4717" i="1"/>
  <c r="D4717" i="1"/>
  <c r="F4717" i="1"/>
  <c r="H4717" i="1"/>
  <c r="I4717" i="1"/>
  <c r="L4717" i="1"/>
  <c r="M4717" i="1"/>
  <c r="V4717" i="1"/>
  <c r="W4717" i="1"/>
  <c r="A4112" i="1"/>
  <c r="D4112" i="1"/>
  <c r="F4112" i="1"/>
  <c r="H4112" i="1"/>
  <c r="I4112" i="1"/>
  <c r="L4112" i="1"/>
  <c r="M4112" i="1"/>
  <c r="V4112" i="1"/>
  <c r="W4112" i="1"/>
  <c r="A3823" i="1"/>
  <c r="D3823" i="1"/>
  <c r="F3823" i="1"/>
  <c r="H3823" i="1"/>
  <c r="I3823" i="1"/>
  <c r="L3823" i="1"/>
  <c r="M3823" i="1"/>
  <c r="V3823" i="1"/>
  <c r="W3823" i="1"/>
  <c r="A4163" i="1"/>
  <c r="D4163" i="1"/>
  <c r="F4163" i="1"/>
  <c r="H4163" i="1"/>
  <c r="I4163" i="1"/>
  <c r="L4163" i="1"/>
  <c r="M4163" i="1"/>
  <c r="V4163" i="1"/>
  <c r="W4163" i="1"/>
  <c r="A4005" i="1"/>
  <c r="D4005" i="1"/>
  <c r="F4005" i="1"/>
  <c r="H4005" i="1"/>
  <c r="I4005" i="1"/>
  <c r="L4005" i="1"/>
  <c r="M4005" i="1"/>
  <c r="V4005" i="1"/>
  <c r="W4005" i="1"/>
  <c r="A1940" i="1"/>
  <c r="D1940" i="1"/>
  <c r="F1940" i="1"/>
  <c r="H1940" i="1"/>
  <c r="I1940" i="1"/>
  <c r="L1940" i="1"/>
  <c r="M1940" i="1"/>
  <c r="V1940" i="1"/>
  <c r="W1940" i="1"/>
  <c r="A2297" i="1"/>
  <c r="D2297" i="1"/>
  <c r="F2297" i="1"/>
  <c r="H2297" i="1"/>
  <c r="I2297" i="1"/>
  <c r="L2297" i="1"/>
  <c r="M2297" i="1"/>
  <c r="V2297" i="1"/>
  <c r="W2297" i="1"/>
  <c r="A2558" i="1"/>
  <c r="D2558" i="1"/>
  <c r="F2558" i="1"/>
  <c r="H2558" i="1"/>
  <c r="I2558" i="1"/>
  <c r="L2558" i="1"/>
  <c r="M2558" i="1"/>
  <c r="V2558" i="1"/>
  <c r="W2558" i="1"/>
  <c r="A2621" i="1"/>
  <c r="D2621" i="1"/>
  <c r="F2621" i="1"/>
  <c r="H2621" i="1"/>
  <c r="I2621" i="1"/>
  <c r="L2621" i="1"/>
  <c r="M2621" i="1"/>
  <c r="V2621" i="1"/>
  <c r="W2621" i="1"/>
  <c r="A1536" i="1"/>
  <c r="D1536" i="1"/>
  <c r="F1536" i="1"/>
  <c r="H1536" i="1"/>
  <c r="I1536" i="1"/>
  <c r="L1536" i="1"/>
  <c r="M1536" i="1"/>
  <c r="V1536" i="1"/>
  <c r="W1536" i="1"/>
  <c r="A2329" i="1"/>
  <c r="D2329" i="1"/>
  <c r="F2329" i="1"/>
  <c r="H2329" i="1"/>
  <c r="I2329" i="1"/>
  <c r="L2329" i="1"/>
  <c r="M2329" i="1"/>
  <c r="V2329" i="1"/>
  <c r="W2329" i="1"/>
  <c r="A6024" i="1"/>
  <c r="D6024" i="1"/>
  <c r="F6024" i="1"/>
  <c r="H6024" i="1"/>
  <c r="I6024" i="1"/>
  <c r="L6024" i="1"/>
  <c r="M6024" i="1"/>
  <c r="V6024" i="1"/>
  <c r="W6024" i="1"/>
  <c r="A3690" i="1"/>
  <c r="D3690" i="1"/>
  <c r="F3690" i="1"/>
  <c r="H3690" i="1"/>
  <c r="I3690" i="1"/>
  <c r="L3690" i="1"/>
  <c r="M3690" i="1"/>
  <c r="V3690" i="1"/>
  <c r="W3690" i="1"/>
  <c r="A3675" i="1"/>
  <c r="D3675" i="1"/>
  <c r="F3675" i="1"/>
  <c r="H3675" i="1"/>
  <c r="I3675" i="1"/>
  <c r="L3675" i="1"/>
  <c r="M3675" i="1"/>
  <c r="V3675" i="1"/>
  <c r="W3675" i="1"/>
  <c r="A5267" i="1"/>
  <c r="D5267" i="1"/>
  <c r="F5267" i="1"/>
  <c r="H5267" i="1"/>
  <c r="I5267" i="1"/>
  <c r="L5267" i="1"/>
  <c r="M5267" i="1"/>
  <c r="V5267" i="1"/>
  <c r="W5267" i="1"/>
  <c r="A5057" i="1"/>
  <c r="D5057" i="1"/>
  <c r="F5057" i="1"/>
  <c r="H5057" i="1"/>
  <c r="I5057" i="1"/>
  <c r="L5057" i="1"/>
  <c r="M5057" i="1"/>
  <c r="V5057" i="1"/>
  <c r="W5057" i="1"/>
  <c r="A4277" i="1"/>
  <c r="D4277" i="1"/>
  <c r="F4277" i="1"/>
  <c r="H4277" i="1"/>
  <c r="I4277" i="1"/>
  <c r="L4277" i="1"/>
  <c r="M4277" i="1"/>
  <c r="V4277" i="1"/>
  <c r="W4277" i="1"/>
  <c r="A108" i="1"/>
  <c r="D108" i="1"/>
  <c r="F108" i="1"/>
  <c r="H108" i="1"/>
  <c r="I108" i="1"/>
  <c r="L108" i="1"/>
  <c r="M108" i="1"/>
  <c r="V108" i="1"/>
  <c r="W108" i="1"/>
  <c r="A1998" i="1"/>
  <c r="D1998" i="1"/>
  <c r="F1998" i="1"/>
  <c r="H1998" i="1"/>
  <c r="I1998" i="1"/>
  <c r="L1998" i="1"/>
  <c r="M1998" i="1"/>
  <c r="V1998" i="1"/>
  <c r="W1998" i="1"/>
  <c r="A2505" i="1"/>
  <c r="D2505" i="1"/>
  <c r="F2505" i="1"/>
  <c r="H2505" i="1"/>
  <c r="I2505" i="1"/>
  <c r="L2505" i="1"/>
  <c r="M2505" i="1"/>
  <c r="V2505" i="1"/>
  <c r="W2505" i="1"/>
  <c r="A5641" i="1"/>
  <c r="D5641" i="1"/>
  <c r="F5641" i="1"/>
  <c r="H5641" i="1"/>
  <c r="I5641" i="1"/>
  <c r="L5641" i="1"/>
  <c r="M5641" i="1"/>
  <c r="V5641" i="1"/>
  <c r="W5641" i="1"/>
  <c r="A5778" i="1"/>
  <c r="D5778" i="1"/>
  <c r="F5778" i="1"/>
  <c r="H5778" i="1"/>
  <c r="I5778" i="1"/>
  <c r="L5778" i="1"/>
  <c r="M5778" i="1"/>
  <c r="V5778" i="1"/>
  <c r="W5778" i="1"/>
  <c r="A4503" i="1"/>
  <c r="D4503" i="1"/>
  <c r="F4503" i="1"/>
  <c r="H4503" i="1"/>
  <c r="I4503" i="1"/>
  <c r="L4503" i="1"/>
  <c r="M4503" i="1"/>
  <c r="V4503" i="1"/>
  <c r="W4503" i="1"/>
  <c r="A346" i="1"/>
  <c r="D346" i="1"/>
  <c r="F346" i="1"/>
  <c r="H346" i="1"/>
  <c r="I346" i="1"/>
  <c r="L346" i="1"/>
  <c r="M346" i="1"/>
  <c r="V346" i="1"/>
  <c r="W346" i="1"/>
  <c r="A688" i="1"/>
  <c r="D688" i="1"/>
  <c r="F688" i="1"/>
  <c r="H688" i="1"/>
  <c r="I688" i="1"/>
  <c r="L688" i="1"/>
  <c r="M688" i="1"/>
  <c r="V688" i="1"/>
  <c r="W688" i="1"/>
  <c r="A5002" i="1"/>
  <c r="D5002" i="1"/>
  <c r="F5002" i="1"/>
  <c r="H5002" i="1"/>
  <c r="I5002" i="1"/>
  <c r="L5002" i="1"/>
  <c r="M5002" i="1"/>
  <c r="V5002" i="1"/>
  <c r="W5002" i="1"/>
  <c r="A4655" i="1"/>
  <c r="D4655" i="1"/>
  <c r="F4655" i="1"/>
  <c r="H4655" i="1"/>
  <c r="I4655" i="1"/>
  <c r="L4655" i="1"/>
  <c r="M4655" i="1"/>
  <c r="V4655" i="1"/>
  <c r="W4655" i="1"/>
  <c r="A1009" i="1"/>
  <c r="D1009" i="1"/>
  <c r="F1009" i="1"/>
  <c r="H1009" i="1"/>
  <c r="I1009" i="1"/>
  <c r="L1009" i="1"/>
  <c r="M1009" i="1"/>
  <c r="V1009" i="1"/>
  <c r="W1009" i="1"/>
  <c r="A4998" i="1"/>
  <c r="D4998" i="1"/>
  <c r="F4998" i="1"/>
  <c r="H4998" i="1"/>
  <c r="I4998" i="1"/>
  <c r="L4998" i="1"/>
  <c r="M4998" i="1"/>
  <c r="V4998" i="1"/>
  <c r="W4998" i="1"/>
  <c r="A3368" i="1"/>
  <c r="D3368" i="1"/>
  <c r="F3368" i="1"/>
  <c r="H3368" i="1"/>
  <c r="I3368" i="1"/>
  <c r="L3368" i="1"/>
  <c r="M3368" i="1"/>
  <c r="V3368" i="1"/>
  <c r="W3368" i="1"/>
  <c r="A4476" i="1"/>
  <c r="D4476" i="1"/>
  <c r="F4476" i="1"/>
  <c r="H4476" i="1"/>
  <c r="I4476" i="1"/>
  <c r="L4476" i="1"/>
  <c r="M4476" i="1"/>
  <c r="V4476" i="1"/>
  <c r="W4476" i="1"/>
  <c r="A3931" i="1"/>
  <c r="D3931" i="1"/>
  <c r="F3931" i="1"/>
  <c r="H3931" i="1"/>
  <c r="I3931" i="1"/>
  <c r="L3931" i="1"/>
  <c r="M3931" i="1"/>
  <c r="V3931" i="1"/>
  <c r="W3931" i="1"/>
  <c r="A814" i="1"/>
  <c r="D814" i="1"/>
  <c r="F814" i="1"/>
  <c r="H814" i="1"/>
  <c r="I814" i="1"/>
  <c r="L814" i="1"/>
  <c r="M814" i="1"/>
  <c r="V814" i="1"/>
  <c r="W814" i="1"/>
  <c r="A2029" i="1"/>
  <c r="D2029" i="1"/>
  <c r="F2029" i="1"/>
  <c r="H2029" i="1"/>
  <c r="I2029" i="1"/>
  <c r="L2029" i="1"/>
  <c r="M2029" i="1"/>
  <c r="V2029" i="1"/>
  <c r="W2029" i="1"/>
  <c r="A674" i="1"/>
  <c r="D674" i="1"/>
  <c r="F674" i="1"/>
  <c r="H674" i="1"/>
  <c r="I674" i="1"/>
  <c r="L674" i="1"/>
  <c r="M674" i="1"/>
  <c r="V674" i="1"/>
  <c r="W674" i="1"/>
  <c r="A875" i="1"/>
  <c r="D875" i="1"/>
  <c r="F875" i="1"/>
  <c r="H875" i="1"/>
  <c r="I875" i="1"/>
  <c r="L875" i="1"/>
  <c r="M875" i="1"/>
  <c r="V875" i="1"/>
  <c r="W875" i="1"/>
  <c r="A3114" i="1"/>
  <c r="D3114" i="1"/>
  <c r="F3114" i="1"/>
  <c r="H3114" i="1"/>
  <c r="I3114" i="1"/>
  <c r="L3114" i="1"/>
  <c r="M3114" i="1"/>
  <c r="V3114" i="1"/>
  <c r="W3114" i="1"/>
  <c r="A3148" i="1"/>
  <c r="D3148" i="1"/>
  <c r="F3148" i="1"/>
  <c r="H3148" i="1"/>
  <c r="I3148" i="1"/>
  <c r="L3148" i="1"/>
  <c r="M3148" i="1"/>
  <c r="V3148" i="1"/>
  <c r="W3148" i="1"/>
  <c r="A5445" i="1"/>
  <c r="D5445" i="1"/>
  <c r="F5445" i="1"/>
  <c r="H5445" i="1"/>
  <c r="I5445" i="1"/>
  <c r="L5445" i="1"/>
  <c r="M5445" i="1"/>
  <c r="V5445" i="1"/>
  <c r="W5445" i="1"/>
  <c r="A5599" i="1"/>
  <c r="D5599" i="1"/>
  <c r="F5599" i="1"/>
  <c r="H5599" i="1"/>
  <c r="I5599" i="1"/>
  <c r="L5599" i="1"/>
  <c r="M5599" i="1"/>
  <c r="V5599" i="1"/>
  <c r="W5599" i="1"/>
  <c r="A5653" i="1"/>
  <c r="D5653" i="1"/>
  <c r="F5653" i="1"/>
  <c r="H5653" i="1"/>
  <c r="I5653" i="1"/>
  <c r="L5653" i="1"/>
  <c r="M5653" i="1"/>
  <c r="V5653" i="1"/>
  <c r="W5653" i="1"/>
  <c r="A3436" i="1"/>
  <c r="D3436" i="1"/>
  <c r="F3436" i="1"/>
  <c r="H3436" i="1"/>
  <c r="I3436" i="1"/>
  <c r="L3436" i="1"/>
  <c r="M3436" i="1"/>
  <c r="V3436" i="1"/>
  <c r="W3436" i="1"/>
  <c r="A3451" i="1"/>
  <c r="D3451" i="1"/>
  <c r="F3451" i="1"/>
  <c r="H3451" i="1"/>
  <c r="I3451" i="1"/>
  <c r="L3451" i="1"/>
  <c r="M3451" i="1"/>
  <c r="V3451" i="1"/>
  <c r="W3451" i="1"/>
  <c r="A3596" i="1"/>
  <c r="D3596" i="1"/>
  <c r="F3596" i="1"/>
  <c r="H3596" i="1"/>
  <c r="I3596" i="1"/>
  <c r="L3596" i="1"/>
  <c r="M3596" i="1"/>
  <c r="V3596" i="1"/>
  <c r="W3596" i="1"/>
  <c r="A3787" i="1"/>
  <c r="D3787" i="1"/>
  <c r="F3787" i="1"/>
  <c r="H3787" i="1"/>
  <c r="I3787" i="1"/>
  <c r="L3787" i="1"/>
  <c r="M3787" i="1"/>
  <c r="V3787" i="1"/>
  <c r="W3787" i="1"/>
  <c r="A2190" i="1"/>
  <c r="D2190" i="1"/>
  <c r="F2190" i="1"/>
  <c r="H2190" i="1"/>
  <c r="I2190" i="1"/>
  <c r="L2190" i="1"/>
  <c r="M2190" i="1"/>
  <c r="V2190" i="1"/>
  <c r="W2190" i="1"/>
  <c r="A3166" i="1"/>
  <c r="D3166" i="1"/>
  <c r="F3166" i="1"/>
  <c r="H3166" i="1"/>
  <c r="I3166" i="1"/>
  <c r="L3166" i="1"/>
  <c r="M3166" i="1"/>
  <c r="V3166" i="1"/>
  <c r="W3166" i="1"/>
  <c r="A3423" i="1"/>
  <c r="D3423" i="1"/>
  <c r="F3423" i="1"/>
  <c r="H3423" i="1"/>
  <c r="I3423" i="1"/>
  <c r="L3423" i="1"/>
  <c r="M3423" i="1"/>
  <c r="V3423" i="1"/>
  <c r="W3423" i="1"/>
  <c r="A568" i="1"/>
  <c r="D568" i="1"/>
  <c r="F568" i="1"/>
  <c r="H568" i="1"/>
  <c r="I568" i="1"/>
  <c r="L568" i="1"/>
  <c r="M568" i="1"/>
  <c r="V568" i="1"/>
  <c r="W568" i="1"/>
  <c r="A577" i="1"/>
  <c r="D577" i="1"/>
  <c r="F577" i="1"/>
  <c r="H577" i="1"/>
  <c r="I577" i="1"/>
  <c r="L577" i="1"/>
  <c r="M577" i="1"/>
  <c r="V577" i="1"/>
  <c r="W577" i="1"/>
  <c r="A6057" i="1"/>
  <c r="D6057" i="1"/>
  <c r="F6057" i="1"/>
  <c r="H6057" i="1"/>
  <c r="I6057" i="1"/>
  <c r="L6057" i="1"/>
  <c r="M6057" i="1"/>
  <c r="V6057" i="1"/>
  <c r="W6057" i="1"/>
  <c r="A1956" i="1"/>
  <c r="D1956" i="1"/>
  <c r="F1956" i="1"/>
  <c r="H1956" i="1"/>
  <c r="I1956" i="1"/>
  <c r="L1956" i="1"/>
  <c r="M1956" i="1"/>
  <c r="V1956" i="1"/>
  <c r="W1956" i="1"/>
  <c r="A4351" i="1"/>
  <c r="D4351" i="1"/>
  <c r="F4351" i="1"/>
  <c r="H4351" i="1"/>
  <c r="I4351" i="1"/>
  <c r="L4351" i="1"/>
  <c r="M4351" i="1"/>
  <c r="V4351" i="1"/>
  <c r="W4351" i="1"/>
  <c r="A4352" i="1"/>
  <c r="D4352" i="1"/>
  <c r="F4352" i="1"/>
  <c r="H4352" i="1"/>
  <c r="I4352" i="1"/>
  <c r="L4352" i="1"/>
  <c r="M4352" i="1"/>
  <c r="V4352" i="1"/>
  <c r="W4352" i="1"/>
  <c r="A1843" i="1"/>
  <c r="D1843" i="1"/>
  <c r="F1843" i="1"/>
  <c r="H1843" i="1"/>
  <c r="I1843" i="1"/>
  <c r="L1843" i="1"/>
  <c r="M1843" i="1"/>
  <c r="V1843" i="1"/>
  <c r="W1843" i="1"/>
  <c r="A4300" i="1"/>
  <c r="D4300" i="1"/>
  <c r="F4300" i="1"/>
  <c r="H4300" i="1"/>
  <c r="I4300" i="1"/>
  <c r="L4300" i="1"/>
  <c r="M4300" i="1"/>
  <c r="V4300" i="1"/>
  <c r="W4300" i="1"/>
  <c r="A1054" i="1"/>
  <c r="D1054" i="1"/>
  <c r="F1054" i="1"/>
  <c r="H1054" i="1"/>
  <c r="I1054" i="1"/>
  <c r="L1054" i="1"/>
  <c r="M1054" i="1"/>
  <c r="V1054" i="1"/>
  <c r="W1054" i="1"/>
  <c r="A4762" i="1"/>
  <c r="D4762" i="1"/>
  <c r="F4762" i="1"/>
  <c r="H4762" i="1"/>
  <c r="I4762" i="1"/>
  <c r="L4762" i="1"/>
  <c r="M4762" i="1"/>
  <c r="V4762" i="1"/>
  <c r="W4762" i="1"/>
  <c r="A5797" i="1"/>
  <c r="D5797" i="1"/>
  <c r="F5797" i="1"/>
  <c r="H5797" i="1"/>
  <c r="I5797" i="1"/>
  <c r="L5797" i="1"/>
  <c r="M5797" i="1"/>
  <c r="V5797" i="1"/>
  <c r="W5797" i="1"/>
  <c r="A454" i="1"/>
  <c r="D454" i="1"/>
  <c r="F454" i="1"/>
  <c r="H454" i="1"/>
  <c r="I454" i="1"/>
  <c r="L454" i="1"/>
  <c r="M454" i="1"/>
  <c r="V454" i="1"/>
  <c r="W454" i="1"/>
  <c r="A2709" i="1"/>
  <c r="D2709" i="1"/>
  <c r="F2709" i="1"/>
  <c r="H2709" i="1"/>
  <c r="I2709" i="1"/>
  <c r="L2709" i="1"/>
  <c r="M2709" i="1"/>
  <c r="V2709" i="1"/>
  <c r="W2709" i="1"/>
  <c r="A5961" i="1"/>
  <c r="D5961" i="1"/>
  <c r="F5961" i="1"/>
  <c r="H5961" i="1"/>
  <c r="I5961" i="1"/>
  <c r="L5961" i="1"/>
  <c r="M5961" i="1"/>
  <c r="V5961" i="1"/>
  <c r="W5961" i="1"/>
  <c r="A2954" i="1"/>
  <c r="D2954" i="1"/>
  <c r="F2954" i="1"/>
  <c r="H2954" i="1"/>
  <c r="I2954" i="1"/>
  <c r="L2954" i="1"/>
  <c r="M2954" i="1"/>
  <c r="V2954" i="1"/>
  <c r="W2954" i="1"/>
  <c r="A5544" i="1"/>
  <c r="D5544" i="1"/>
  <c r="F5544" i="1"/>
  <c r="H5544" i="1"/>
  <c r="I5544" i="1"/>
  <c r="L5544" i="1"/>
  <c r="M5544" i="1"/>
  <c r="V5544" i="1"/>
  <c r="W5544" i="1"/>
  <c r="A4048" i="1"/>
  <c r="D4048" i="1"/>
  <c r="F4048" i="1"/>
  <c r="H4048" i="1"/>
  <c r="I4048" i="1"/>
  <c r="L4048" i="1"/>
  <c r="M4048" i="1"/>
  <c r="V4048" i="1"/>
  <c r="W4048" i="1"/>
  <c r="A5095" i="1"/>
  <c r="D5095" i="1"/>
  <c r="F5095" i="1"/>
  <c r="H5095" i="1"/>
  <c r="I5095" i="1"/>
  <c r="L5095" i="1"/>
  <c r="M5095" i="1"/>
  <c r="V5095" i="1"/>
  <c r="W5095" i="1"/>
  <c r="A6134" i="1"/>
  <c r="D6134" i="1"/>
  <c r="F6134" i="1"/>
  <c r="H6134" i="1"/>
  <c r="I6134" i="1"/>
  <c r="L6134" i="1"/>
  <c r="M6134" i="1"/>
  <c r="V6134" i="1"/>
  <c r="W6134" i="1"/>
  <c r="A4268" i="1"/>
  <c r="D4268" i="1"/>
  <c r="F4268" i="1"/>
  <c r="H4268" i="1"/>
  <c r="I4268" i="1"/>
  <c r="L4268" i="1"/>
  <c r="M4268" i="1"/>
  <c r="V4268" i="1"/>
  <c r="W4268" i="1"/>
  <c r="A1844" i="1"/>
  <c r="D1844" i="1"/>
  <c r="F1844" i="1"/>
  <c r="H1844" i="1"/>
  <c r="I1844" i="1"/>
  <c r="L1844" i="1"/>
  <c r="M1844" i="1"/>
  <c r="V1844" i="1"/>
  <c r="W1844" i="1"/>
  <c r="A2526" i="1"/>
  <c r="D2526" i="1"/>
  <c r="F2526" i="1"/>
  <c r="H2526" i="1"/>
  <c r="I2526" i="1"/>
  <c r="L2526" i="1"/>
  <c r="M2526" i="1"/>
  <c r="V2526" i="1"/>
  <c r="W2526" i="1"/>
  <c r="A4122" i="1"/>
  <c r="D4122" i="1"/>
  <c r="F4122" i="1"/>
  <c r="H4122" i="1"/>
  <c r="I4122" i="1"/>
  <c r="L4122" i="1"/>
  <c r="M4122" i="1"/>
  <c r="V4122" i="1"/>
  <c r="W4122" i="1"/>
  <c r="A4302" i="1"/>
  <c r="D4302" i="1"/>
  <c r="F4302" i="1"/>
  <c r="H4302" i="1"/>
  <c r="I4302" i="1"/>
  <c r="L4302" i="1"/>
  <c r="M4302" i="1"/>
  <c r="V4302" i="1"/>
  <c r="W4302" i="1"/>
  <c r="A4502" i="1"/>
  <c r="D4502" i="1"/>
  <c r="F4502" i="1"/>
  <c r="H4502" i="1"/>
  <c r="I4502" i="1"/>
  <c r="L4502" i="1"/>
  <c r="M4502" i="1"/>
  <c r="V4502" i="1"/>
  <c r="W4502" i="1"/>
  <c r="A1463" i="1"/>
  <c r="D1463" i="1"/>
  <c r="F1463" i="1"/>
  <c r="H1463" i="1"/>
  <c r="I1463" i="1"/>
  <c r="L1463" i="1"/>
  <c r="M1463" i="1"/>
  <c r="V1463" i="1"/>
  <c r="W1463" i="1"/>
  <c r="A1292" i="1"/>
  <c r="D1292" i="1"/>
  <c r="F1292" i="1"/>
  <c r="H1292" i="1"/>
  <c r="I1292" i="1"/>
  <c r="L1292" i="1"/>
  <c r="M1292" i="1"/>
  <c r="V1292" i="1"/>
  <c r="W1292" i="1"/>
  <c r="A1598" i="1"/>
  <c r="D1598" i="1"/>
  <c r="F1598" i="1"/>
  <c r="H1598" i="1"/>
  <c r="I1598" i="1"/>
  <c r="L1598" i="1"/>
  <c r="M1598" i="1"/>
  <c r="V1598" i="1"/>
  <c r="W1598" i="1"/>
  <c r="A1647" i="1"/>
  <c r="D1647" i="1"/>
  <c r="F1647" i="1"/>
  <c r="H1647" i="1"/>
  <c r="I1647" i="1"/>
  <c r="L1647" i="1"/>
  <c r="M1647" i="1"/>
  <c r="V1647" i="1"/>
  <c r="W1647" i="1"/>
  <c r="A1765" i="1"/>
  <c r="D1765" i="1"/>
  <c r="F1765" i="1"/>
  <c r="H1765" i="1"/>
  <c r="I1765" i="1"/>
  <c r="L1765" i="1"/>
  <c r="M1765" i="1"/>
  <c r="V1765" i="1"/>
  <c r="W1765" i="1"/>
  <c r="A650" i="1"/>
  <c r="D650" i="1"/>
  <c r="F650" i="1"/>
  <c r="H650" i="1"/>
  <c r="I650" i="1"/>
  <c r="L650" i="1"/>
  <c r="M650" i="1"/>
  <c r="V650" i="1"/>
  <c r="W650" i="1"/>
  <c r="A1655" i="1"/>
  <c r="D1655" i="1"/>
  <c r="F1655" i="1"/>
  <c r="H1655" i="1"/>
  <c r="I1655" i="1"/>
  <c r="L1655" i="1"/>
  <c r="M1655" i="1"/>
  <c r="V1655" i="1"/>
  <c r="W1655" i="1"/>
  <c r="A2270" i="1"/>
  <c r="D2270" i="1"/>
  <c r="F2270" i="1"/>
  <c r="H2270" i="1"/>
  <c r="I2270" i="1"/>
  <c r="L2270" i="1"/>
  <c r="M2270" i="1"/>
  <c r="V2270" i="1"/>
  <c r="W2270" i="1"/>
  <c r="A1550" i="1"/>
  <c r="D1550" i="1"/>
  <c r="F1550" i="1"/>
  <c r="H1550" i="1"/>
  <c r="I1550" i="1"/>
  <c r="L1550" i="1"/>
  <c r="M1550" i="1"/>
  <c r="V1550" i="1"/>
  <c r="W1550" i="1"/>
  <c r="A2451" i="1"/>
  <c r="D2451" i="1"/>
  <c r="F2451" i="1"/>
  <c r="H2451" i="1"/>
  <c r="I2451" i="1"/>
  <c r="L2451" i="1"/>
  <c r="M2451" i="1"/>
  <c r="V2451" i="1"/>
  <c r="W2451" i="1"/>
  <c r="A2648" i="1"/>
  <c r="D2648" i="1"/>
  <c r="F2648" i="1"/>
  <c r="H2648" i="1"/>
  <c r="I2648" i="1"/>
  <c r="L2648" i="1"/>
  <c r="M2648" i="1"/>
  <c r="V2648" i="1"/>
  <c r="W2648" i="1"/>
  <c r="A3204" i="1"/>
  <c r="D3204" i="1"/>
  <c r="F3204" i="1"/>
  <c r="H3204" i="1"/>
  <c r="I3204" i="1"/>
  <c r="L3204" i="1"/>
  <c r="M3204" i="1"/>
  <c r="V3204" i="1"/>
  <c r="W3204" i="1"/>
  <c r="A4654" i="1"/>
  <c r="D4654" i="1"/>
  <c r="F4654" i="1"/>
  <c r="H4654" i="1"/>
  <c r="I4654" i="1"/>
  <c r="L4654" i="1"/>
  <c r="M4654" i="1"/>
  <c r="V4654" i="1"/>
  <c r="W4654" i="1"/>
  <c r="A6158" i="1"/>
  <c r="D6158" i="1"/>
  <c r="F6158" i="1"/>
  <c r="H6158" i="1"/>
  <c r="I6158" i="1"/>
  <c r="L6158" i="1"/>
  <c r="M6158" i="1"/>
  <c r="V6158" i="1"/>
  <c r="W6158" i="1"/>
  <c r="A395" i="1"/>
  <c r="D395" i="1"/>
  <c r="F395" i="1"/>
  <c r="H395" i="1"/>
  <c r="I395" i="1"/>
  <c r="L395" i="1"/>
  <c r="M395" i="1"/>
  <c r="V395" i="1"/>
  <c r="W395" i="1"/>
  <c r="A1460" i="1"/>
  <c r="D1460" i="1"/>
  <c r="F1460" i="1"/>
  <c r="H1460" i="1"/>
  <c r="I1460" i="1"/>
  <c r="L1460" i="1"/>
  <c r="M1460" i="1"/>
  <c r="V1460" i="1"/>
  <c r="W1460" i="1"/>
  <c r="A1291" i="1"/>
  <c r="D1291" i="1"/>
  <c r="F1291" i="1"/>
  <c r="H1291" i="1"/>
  <c r="I1291" i="1"/>
  <c r="L1291" i="1"/>
  <c r="M1291" i="1"/>
  <c r="V1291" i="1"/>
  <c r="W1291" i="1"/>
  <c r="A1597" i="1"/>
  <c r="D1597" i="1"/>
  <c r="F1597" i="1"/>
  <c r="H1597" i="1"/>
  <c r="I1597" i="1"/>
  <c r="L1597" i="1"/>
  <c r="M1597" i="1"/>
  <c r="V1597" i="1"/>
  <c r="W1597" i="1"/>
  <c r="A1646" i="1"/>
  <c r="D1646" i="1"/>
  <c r="F1646" i="1"/>
  <c r="H1646" i="1"/>
  <c r="I1646" i="1"/>
  <c r="L1646" i="1"/>
  <c r="M1646" i="1"/>
  <c r="V1646" i="1"/>
  <c r="W1646" i="1"/>
  <c r="A1766" i="1"/>
  <c r="D1766" i="1"/>
  <c r="F1766" i="1"/>
  <c r="H1766" i="1"/>
  <c r="I1766" i="1"/>
  <c r="L1766" i="1"/>
  <c r="M1766" i="1"/>
  <c r="V1766" i="1"/>
  <c r="W1766" i="1"/>
  <c r="A5185" i="1"/>
  <c r="D5185" i="1"/>
  <c r="F5185" i="1"/>
  <c r="H5185" i="1"/>
  <c r="I5185" i="1"/>
  <c r="L5185" i="1"/>
  <c r="M5185" i="1"/>
  <c r="V5185" i="1"/>
  <c r="W5185" i="1"/>
  <c r="A5046" i="1"/>
  <c r="D5046" i="1"/>
  <c r="F5046" i="1"/>
  <c r="H5046" i="1"/>
  <c r="I5046" i="1"/>
  <c r="L5046" i="1"/>
  <c r="M5046" i="1"/>
  <c r="V5046" i="1"/>
  <c r="W5046" i="1"/>
  <c r="A2471" i="1"/>
  <c r="D2471" i="1"/>
  <c r="F2471" i="1"/>
  <c r="H2471" i="1"/>
  <c r="I2471" i="1"/>
  <c r="L2471" i="1"/>
  <c r="M2471" i="1"/>
  <c r="V2471" i="1"/>
  <c r="W2471" i="1"/>
  <c r="A2125" i="1"/>
  <c r="D2125" i="1"/>
  <c r="F2125" i="1"/>
  <c r="H2125" i="1"/>
  <c r="I2125" i="1"/>
  <c r="L2125" i="1"/>
  <c r="M2125" i="1"/>
  <c r="V2125" i="1"/>
  <c r="W2125" i="1"/>
  <c r="A4226" i="1"/>
  <c r="D4226" i="1"/>
  <c r="F4226" i="1"/>
  <c r="H4226" i="1"/>
  <c r="I4226" i="1"/>
  <c r="L4226" i="1"/>
  <c r="M4226" i="1"/>
  <c r="V4226" i="1"/>
  <c r="W4226" i="1"/>
  <c r="A1919" i="1"/>
  <c r="D1919" i="1"/>
  <c r="F1919" i="1"/>
  <c r="H1919" i="1"/>
  <c r="I1919" i="1"/>
  <c r="L1919" i="1"/>
  <c r="M1919" i="1"/>
  <c r="V1919" i="1"/>
  <c r="W1919" i="1"/>
  <c r="A812" i="1"/>
  <c r="D812" i="1"/>
  <c r="F812" i="1"/>
  <c r="H812" i="1"/>
  <c r="I812" i="1"/>
  <c r="L812" i="1"/>
  <c r="M812" i="1"/>
  <c r="V812" i="1"/>
  <c r="W812" i="1"/>
  <c r="A1784" i="1"/>
  <c r="D1784" i="1"/>
  <c r="F1784" i="1"/>
  <c r="H1784" i="1"/>
  <c r="I1784" i="1"/>
  <c r="L1784" i="1"/>
  <c r="M1784" i="1"/>
  <c r="V1784" i="1"/>
  <c r="W1784" i="1"/>
  <c r="A4075" i="1"/>
  <c r="D4075" i="1"/>
  <c r="F4075" i="1"/>
  <c r="H4075" i="1"/>
  <c r="I4075" i="1"/>
  <c r="L4075" i="1"/>
  <c r="M4075" i="1"/>
  <c r="V4075" i="1"/>
  <c r="W4075" i="1"/>
  <c r="A5297" i="1"/>
  <c r="D5297" i="1"/>
  <c r="F5297" i="1"/>
  <c r="H5297" i="1"/>
  <c r="I5297" i="1"/>
  <c r="L5297" i="1"/>
  <c r="M5297" i="1"/>
  <c r="V5297" i="1"/>
  <c r="W5297" i="1"/>
  <c r="A66" i="1"/>
  <c r="D66" i="1"/>
  <c r="F66" i="1"/>
  <c r="H66" i="1"/>
  <c r="I66" i="1"/>
  <c r="L66" i="1"/>
  <c r="M66" i="1"/>
  <c r="V66" i="1"/>
  <c r="W66" i="1"/>
  <c r="A892" i="1"/>
  <c r="D892" i="1"/>
  <c r="F892" i="1"/>
  <c r="H892" i="1"/>
  <c r="I892" i="1"/>
  <c r="L892" i="1"/>
  <c r="M892" i="1"/>
  <c r="V892" i="1"/>
  <c r="W892" i="1"/>
  <c r="A4812" i="1"/>
  <c r="D4812" i="1"/>
  <c r="F4812" i="1"/>
  <c r="H4812" i="1"/>
  <c r="I4812" i="1"/>
  <c r="L4812" i="1"/>
  <c r="M4812" i="1"/>
  <c r="V4812" i="1"/>
  <c r="W4812" i="1"/>
  <c r="A2619" i="1"/>
  <c r="D2619" i="1"/>
  <c r="F2619" i="1"/>
  <c r="H2619" i="1"/>
  <c r="I2619" i="1"/>
  <c r="L2619" i="1"/>
  <c r="M2619" i="1"/>
  <c r="V2619" i="1"/>
  <c r="W2619" i="1"/>
  <c r="A2340" i="1"/>
  <c r="D2340" i="1"/>
  <c r="F2340" i="1"/>
  <c r="H2340" i="1"/>
  <c r="I2340" i="1"/>
  <c r="L2340" i="1"/>
  <c r="M2340" i="1"/>
  <c r="V2340" i="1"/>
  <c r="W2340" i="1"/>
  <c r="A1260" i="1"/>
  <c r="D1260" i="1"/>
  <c r="F1260" i="1"/>
  <c r="H1260" i="1"/>
  <c r="I1260" i="1"/>
  <c r="L1260" i="1"/>
  <c r="M1260" i="1"/>
  <c r="V1260" i="1"/>
  <c r="W1260" i="1"/>
  <c r="A3341" i="1"/>
  <c r="D3341" i="1"/>
  <c r="F3341" i="1"/>
  <c r="H3341" i="1"/>
  <c r="I3341" i="1"/>
  <c r="L3341" i="1"/>
  <c r="M3341" i="1"/>
  <c r="V3341" i="1"/>
  <c r="W3341" i="1"/>
  <c r="A3420" i="1"/>
  <c r="D3420" i="1"/>
  <c r="F3420" i="1"/>
  <c r="H3420" i="1"/>
  <c r="I3420" i="1"/>
  <c r="L3420" i="1"/>
  <c r="M3420" i="1"/>
  <c r="V3420" i="1"/>
  <c r="W3420" i="1"/>
  <c r="A3924" i="1"/>
  <c r="D3924" i="1"/>
  <c r="F3924" i="1"/>
  <c r="H3924" i="1"/>
  <c r="I3924" i="1"/>
  <c r="L3924" i="1"/>
  <c r="M3924" i="1"/>
  <c r="V3924" i="1"/>
  <c r="W3924" i="1"/>
  <c r="A4021" i="1"/>
  <c r="D4021" i="1"/>
  <c r="F4021" i="1"/>
  <c r="H4021" i="1"/>
  <c r="I4021" i="1"/>
  <c r="L4021" i="1"/>
  <c r="M4021" i="1"/>
  <c r="V4021" i="1"/>
  <c r="W4021" i="1"/>
  <c r="A4083" i="1"/>
  <c r="D4083" i="1"/>
  <c r="F4083" i="1"/>
  <c r="H4083" i="1"/>
  <c r="I4083" i="1"/>
  <c r="L4083" i="1"/>
  <c r="M4083" i="1"/>
  <c r="V4083" i="1"/>
  <c r="W4083" i="1"/>
  <c r="A4559" i="1"/>
  <c r="D4559" i="1"/>
  <c r="F4559" i="1"/>
  <c r="H4559" i="1"/>
  <c r="I4559" i="1"/>
  <c r="L4559" i="1"/>
  <c r="M4559" i="1"/>
  <c r="V4559" i="1"/>
  <c r="W4559" i="1"/>
  <c r="A4633" i="1"/>
  <c r="D4633" i="1"/>
  <c r="F4633" i="1"/>
  <c r="H4633" i="1"/>
  <c r="I4633" i="1"/>
  <c r="L4633" i="1"/>
  <c r="M4633" i="1"/>
  <c r="V4633" i="1"/>
  <c r="W4633" i="1"/>
  <c r="A4747" i="1"/>
  <c r="D4747" i="1"/>
  <c r="F4747" i="1"/>
  <c r="H4747" i="1"/>
  <c r="I4747" i="1"/>
  <c r="L4747" i="1"/>
  <c r="M4747" i="1"/>
  <c r="V4747" i="1"/>
  <c r="W4747" i="1"/>
  <c r="A5807" i="1"/>
  <c r="D5807" i="1"/>
  <c r="F5807" i="1"/>
  <c r="H5807" i="1"/>
  <c r="I5807" i="1"/>
  <c r="L5807" i="1"/>
  <c r="M5807" i="1"/>
  <c r="V5807" i="1"/>
  <c r="W5807" i="1"/>
  <c r="A5819" i="1"/>
  <c r="D5819" i="1"/>
  <c r="F5819" i="1"/>
  <c r="H5819" i="1"/>
  <c r="I5819" i="1"/>
  <c r="L5819" i="1"/>
  <c r="M5819" i="1"/>
  <c r="V5819" i="1"/>
  <c r="W5819" i="1"/>
  <c r="A6141" i="1"/>
  <c r="D6141" i="1"/>
  <c r="F6141" i="1"/>
  <c r="H6141" i="1"/>
  <c r="I6141" i="1"/>
  <c r="L6141" i="1"/>
  <c r="M6141" i="1"/>
  <c r="V6141" i="1"/>
  <c r="W6141" i="1"/>
  <c r="A6143" i="1"/>
  <c r="D6143" i="1"/>
  <c r="F6143" i="1"/>
  <c r="H6143" i="1"/>
  <c r="I6143" i="1"/>
  <c r="L6143" i="1"/>
  <c r="M6143" i="1"/>
  <c r="V6143" i="1"/>
  <c r="W6143" i="1"/>
  <c r="A6153" i="1"/>
  <c r="D6153" i="1"/>
  <c r="F6153" i="1"/>
  <c r="H6153" i="1"/>
  <c r="I6153" i="1"/>
  <c r="L6153" i="1"/>
  <c r="M6153" i="1"/>
  <c r="V6153" i="1"/>
  <c r="W6153" i="1"/>
  <c r="A4867" i="1"/>
  <c r="D4867" i="1"/>
  <c r="F4867" i="1"/>
  <c r="H4867" i="1"/>
  <c r="I4867" i="1"/>
  <c r="L4867" i="1"/>
  <c r="M4867" i="1"/>
  <c r="V4867" i="1"/>
  <c r="W4867" i="1"/>
  <c r="A4866" i="1"/>
  <c r="D4866" i="1"/>
  <c r="F4866" i="1"/>
  <c r="H4866" i="1"/>
  <c r="I4866" i="1"/>
  <c r="L4866" i="1"/>
  <c r="M4866" i="1"/>
  <c r="V4866" i="1"/>
  <c r="W4866" i="1"/>
  <c r="A6067" i="1"/>
  <c r="D6067" i="1"/>
  <c r="F6067" i="1"/>
  <c r="H6067" i="1"/>
  <c r="I6067" i="1"/>
  <c r="L6067" i="1"/>
  <c r="M6067" i="1"/>
  <c r="V6067" i="1"/>
  <c r="W6067" i="1"/>
  <c r="A4382" i="1"/>
  <c r="D4382" i="1"/>
  <c r="F4382" i="1"/>
  <c r="H4382" i="1"/>
  <c r="I4382" i="1"/>
  <c r="L4382" i="1"/>
  <c r="M4382" i="1"/>
  <c r="V4382" i="1"/>
  <c r="W4382" i="1"/>
  <c r="A3395" i="1"/>
  <c r="D3395" i="1"/>
  <c r="F3395" i="1"/>
  <c r="H3395" i="1"/>
  <c r="I3395" i="1"/>
  <c r="L3395" i="1"/>
  <c r="M3395" i="1"/>
  <c r="V3395" i="1"/>
  <c r="W3395" i="1"/>
  <c r="A3410" i="1"/>
  <c r="D3410" i="1"/>
  <c r="F3410" i="1"/>
  <c r="H3410" i="1"/>
  <c r="I3410" i="1"/>
  <c r="L3410" i="1"/>
  <c r="M3410" i="1"/>
  <c r="V3410" i="1"/>
  <c r="W3410" i="1"/>
  <c r="A3497" i="1"/>
  <c r="D3497" i="1"/>
  <c r="F3497" i="1"/>
  <c r="H3497" i="1"/>
  <c r="I3497" i="1"/>
  <c r="L3497" i="1"/>
  <c r="M3497" i="1"/>
  <c r="V3497" i="1"/>
  <c r="W3497" i="1"/>
  <c r="A3499" i="1"/>
  <c r="D3499" i="1"/>
  <c r="F3499" i="1"/>
  <c r="H3499" i="1"/>
  <c r="I3499" i="1"/>
  <c r="L3499" i="1"/>
  <c r="M3499" i="1"/>
  <c r="V3499" i="1"/>
  <c r="W3499" i="1"/>
  <c r="A5828" i="1"/>
  <c r="D5828" i="1"/>
  <c r="F5828" i="1"/>
  <c r="H5828" i="1"/>
  <c r="I5828" i="1"/>
  <c r="L5828" i="1"/>
  <c r="M5828" i="1"/>
  <c r="V5828" i="1"/>
  <c r="W5828" i="1"/>
  <c r="A4115" i="1"/>
  <c r="D4115" i="1"/>
  <c r="F4115" i="1"/>
  <c r="H4115" i="1"/>
  <c r="I4115" i="1"/>
  <c r="L4115" i="1"/>
  <c r="M4115" i="1"/>
  <c r="V4115" i="1"/>
  <c r="W4115" i="1"/>
  <c r="A4080" i="1"/>
  <c r="D4080" i="1"/>
  <c r="F4080" i="1"/>
  <c r="H4080" i="1"/>
  <c r="I4080" i="1"/>
  <c r="L4080" i="1"/>
  <c r="M4080" i="1"/>
  <c r="V4080" i="1"/>
  <c r="W4080" i="1"/>
  <c r="A4366" i="1"/>
  <c r="D4366" i="1"/>
  <c r="F4366" i="1"/>
  <c r="H4366" i="1"/>
  <c r="I4366" i="1"/>
  <c r="L4366" i="1"/>
  <c r="M4366" i="1"/>
  <c r="V4366" i="1"/>
  <c r="W4366" i="1"/>
  <c r="A1013" i="1"/>
  <c r="D1013" i="1"/>
  <c r="F1013" i="1"/>
  <c r="H1013" i="1"/>
  <c r="I1013" i="1"/>
  <c r="L1013" i="1"/>
  <c r="M1013" i="1"/>
  <c r="V1013" i="1"/>
  <c r="W1013" i="1"/>
  <c r="A2730" i="1"/>
  <c r="D2730" i="1"/>
  <c r="F2730" i="1"/>
  <c r="H2730" i="1"/>
  <c r="I2730" i="1"/>
  <c r="L2730" i="1"/>
  <c r="M2730" i="1"/>
  <c r="V2730" i="1"/>
  <c r="W2730" i="1"/>
  <c r="A2912" i="1"/>
  <c r="D2912" i="1"/>
  <c r="F2912" i="1"/>
  <c r="H2912" i="1"/>
  <c r="I2912" i="1"/>
  <c r="L2912" i="1"/>
  <c r="M2912" i="1"/>
  <c r="V2912" i="1"/>
  <c r="W2912" i="1"/>
  <c r="A4990" i="1"/>
  <c r="D4990" i="1"/>
  <c r="F4990" i="1"/>
  <c r="H4990" i="1"/>
  <c r="I4990" i="1"/>
  <c r="L4990" i="1"/>
  <c r="M4990" i="1"/>
  <c r="V4990" i="1"/>
  <c r="W4990" i="1"/>
  <c r="A5003" i="1"/>
  <c r="D5003" i="1"/>
  <c r="F5003" i="1"/>
  <c r="H5003" i="1"/>
  <c r="I5003" i="1"/>
  <c r="L5003" i="1"/>
  <c r="M5003" i="1"/>
  <c r="V5003" i="1"/>
  <c r="W5003" i="1"/>
  <c r="A5785" i="1"/>
  <c r="D5785" i="1"/>
  <c r="F5785" i="1"/>
  <c r="H5785" i="1"/>
  <c r="I5785" i="1"/>
  <c r="L5785" i="1"/>
  <c r="M5785" i="1"/>
  <c r="V5785" i="1"/>
  <c r="W5785" i="1"/>
  <c r="A5746" i="1"/>
  <c r="D5746" i="1"/>
  <c r="F5746" i="1"/>
  <c r="H5746" i="1"/>
  <c r="I5746" i="1"/>
  <c r="L5746" i="1"/>
  <c r="M5746" i="1"/>
  <c r="V5746" i="1"/>
  <c r="W5746" i="1"/>
  <c r="A4248" i="1"/>
  <c r="D4248" i="1"/>
  <c r="F4248" i="1"/>
  <c r="H4248" i="1"/>
  <c r="I4248" i="1"/>
  <c r="L4248" i="1"/>
  <c r="M4248" i="1"/>
  <c r="V4248" i="1"/>
  <c r="W4248" i="1"/>
  <c r="A5228" i="1"/>
  <c r="D5228" i="1"/>
  <c r="F5228" i="1"/>
  <c r="H5228" i="1"/>
  <c r="I5228" i="1"/>
  <c r="L5228" i="1"/>
  <c r="M5228" i="1"/>
  <c r="V5228" i="1"/>
  <c r="W5228" i="1"/>
  <c r="A2336" i="1"/>
  <c r="D2336" i="1"/>
  <c r="F2336" i="1"/>
  <c r="H2336" i="1"/>
  <c r="I2336" i="1"/>
  <c r="L2336" i="1"/>
  <c r="M2336" i="1"/>
  <c r="V2336" i="1"/>
  <c r="W2336" i="1"/>
  <c r="A5268" i="1"/>
  <c r="D5268" i="1"/>
  <c r="F5268" i="1"/>
  <c r="H5268" i="1"/>
  <c r="I5268" i="1"/>
  <c r="L5268" i="1"/>
  <c r="M5268" i="1"/>
  <c r="V5268" i="1"/>
  <c r="W5268" i="1"/>
  <c r="A4672" i="1"/>
  <c r="D4672" i="1"/>
  <c r="F4672" i="1"/>
  <c r="H4672" i="1"/>
  <c r="I4672" i="1"/>
  <c r="L4672" i="1"/>
  <c r="M4672" i="1"/>
  <c r="V4672" i="1"/>
  <c r="W4672" i="1"/>
  <c r="A5463" i="1"/>
  <c r="D5463" i="1"/>
  <c r="F5463" i="1"/>
  <c r="H5463" i="1"/>
  <c r="I5463" i="1"/>
  <c r="L5463" i="1"/>
  <c r="M5463" i="1"/>
  <c r="V5463" i="1"/>
  <c r="W5463" i="1"/>
  <c r="A3189" i="1"/>
  <c r="D3189" i="1"/>
  <c r="F3189" i="1"/>
  <c r="H3189" i="1"/>
  <c r="I3189" i="1"/>
  <c r="L3189" i="1"/>
  <c r="M3189" i="1"/>
  <c r="V3189" i="1"/>
  <c r="W3189" i="1"/>
  <c r="A5475" i="1"/>
  <c r="D5475" i="1"/>
  <c r="F5475" i="1"/>
  <c r="H5475" i="1"/>
  <c r="I5475" i="1"/>
  <c r="L5475" i="1"/>
  <c r="M5475" i="1"/>
  <c r="V5475" i="1"/>
  <c r="W5475" i="1"/>
  <c r="A1584" i="1"/>
  <c r="D1584" i="1"/>
  <c r="F1584" i="1"/>
  <c r="H1584" i="1"/>
  <c r="I1584" i="1"/>
  <c r="L1584" i="1"/>
  <c r="M1584" i="1"/>
  <c r="V1584" i="1"/>
  <c r="W1584" i="1"/>
  <c r="A4793" i="1"/>
  <c r="D4793" i="1"/>
  <c r="F4793" i="1"/>
  <c r="H4793" i="1"/>
  <c r="I4793" i="1"/>
  <c r="L4793" i="1"/>
  <c r="M4793" i="1"/>
  <c r="V4793" i="1"/>
  <c r="W4793" i="1"/>
  <c r="A1661" i="1"/>
  <c r="D1661" i="1"/>
  <c r="F1661" i="1"/>
  <c r="H1661" i="1"/>
  <c r="I1661" i="1"/>
  <c r="L1661" i="1"/>
  <c r="M1661" i="1"/>
  <c r="V1661" i="1"/>
  <c r="W1661" i="1"/>
  <c r="A556" i="1"/>
  <c r="D556" i="1"/>
  <c r="F556" i="1"/>
  <c r="H556" i="1"/>
  <c r="I556" i="1"/>
  <c r="L556" i="1"/>
  <c r="M556" i="1"/>
  <c r="V556" i="1"/>
  <c r="W556" i="1"/>
  <c r="A995" i="1"/>
  <c r="D995" i="1"/>
  <c r="F995" i="1"/>
  <c r="H995" i="1"/>
  <c r="I995" i="1"/>
  <c r="L995" i="1"/>
  <c r="M995" i="1"/>
  <c r="V995" i="1"/>
  <c r="W995" i="1"/>
  <c r="A5011" i="1"/>
  <c r="D5011" i="1"/>
  <c r="F5011" i="1"/>
  <c r="H5011" i="1"/>
  <c r="I5011" i="1"/>
  <c r="L5011" i="1"/>
  <c r="M5011" i="1"/>
  <c r="V5011" i="1"/>
  <c r="W5011" i="1"/>
  <c r="A2636" i="1"/>
  <c r="D2636" i="1"/>
  <c r="F2636" i="1"/>
  <c r="H2636" i="1"/>
  <c r="I2636" i="1"/>
  <c r="L2636" i="1"/>
  <c r="M2636" i="1"/>
  <c r="V2636" i="1"/>
  <c r="W2636" i="1"/>
  <c r="A3179" i="1"/>
  <c r="D3179" i="1"/>
  <c r="F3179" i="1"/>
  <c r="H3179" i="1"/>
  <c r="I3179" i="1"/>
  <c r="L3179" i="1"/>
  <c r="M3179" i="1"/>
  <c r="V3179" i="1"/>
  <c r="W3179" i="1"/>
  <c r="A323" i="1"/>
  <c r="D323" i="1"/>
  <c r="F323" i="1"/>
  <c r="H323" i="1"/>
  <c r="I323" i="1"/>
  <c r="L323" i="1"/>
  <c r="M323" i="1"/>
  <c r="V323" i="1"/>
  <c r="W323" i="1"/>
  <c r="A5682" i="1"/>
  <c r="D5682" i="1"/>
  <c r="F5682" i="1"/>
  <c r="H5682" i="1"/>
  <c r="I5682" i="1"/>
  <c r="L5682" i="1"/>
  <c r="M5682" i="1"/>
  <c r="V5682" i="1"/>
  <c r="W5682" i="1"/>
  <c r="A217" i="1"/>
  <c r="D217" i="1"/>
  <c r="F217" i="1"/>
  <c r="H217" i="1"/>
  <c r="I217" i="1"/>
  <c r="L217" i="1"/>
  <c r="M217" i="1"/>
  <c r="V217" i="1"/>
  <c r="W217" i="1"/>
  <c r="A26" i="1"/>
  <c r="D26" i="1"/>
  <c r="F26" i="1"/>
  <c r="H26" i="1"/>
  <c r="I26" i="1"/>
  <c r="L26" i="1"/>
  <c r="M26" i="1"/>
  <c r="V26" i="1"/>
  <c r="W26" i="1"/>
  <c r="A5044" i="1"/>
  <c r="D5044" i="1"/>
  <c r="F5044" i="1"/>
  <c r="H5044" i="1"/>
  <c r="I5044" i="1"/>
  <c r="L5044" i="1"/>
  <c r="M5044" i="1"/>
  <c r="V5044" i="1"/>
  <c r="W5044" i="1"/>
  <c r="A802" i="1"/>
  <c r="D802" i="1"/>
  <c r="F802" i="1"/>
  <c r="H802" i="1"/>
  <c r="I802" i="1"/>
  <c r="L802" i="1"/>
  <c r="M802" i="1"/>
  <c r="V802" i="1"/>
  <c r="W802" i="1"/>
  <c r="A975" i="1"/>
  <c r="D975" i="1"/>
  <c r="F975" i="1"/>
  <c r="H975" i="1"/>
  <c r="I975" i="1"/>
  <c r="L975" i="1"/>
  <c r="M975" i="1"/>
  <c r="V975" i="1"/>
  <c r="W975" i="1"/>
  <c r="A1698" i="1"/>
  <c r="D1698" i="1"/>
  <c r="F1698" i="1"/>
  <c r="H1698" i="1"/>
  <c r="I1698" i="1"/>
  <c r="L1698" i="1"/>
  <c r="M1698" i="1"/>
  <c r="V1698" i="1"/>
  <c r="W1698" i="1"/>
  <c r="A1589" i="1"/>
  <c r="D1589" i="1"/>
  <c r="F1589" i="1"/>
  <c r="H1589" i="1"/>
  <c r="I1589" i="1"/>
  <c r="L1589" i="1"/>
  <c r="M1589" i="1"/>
  <c r="V1589" i="1"/>
  <c r="W1589" i="1"/>
  <c r="A3357" i="1"/>
  <c r="D3357" i="1"/>
  <c r="F3357" i="1"/>
  <c r="H3357" i="1"/>
  <c r="I3357" i="1"/>
  <c r="L3357" i="1"/>
  <c r="M3357" i="1"/>
  <c r="V3357" i="1"/>
  <c r="W3357" i="1"/>
  <c r="A4287" i="1"/>
  <c r="D4287" i="1"/>
  <c r="F4287" i="1"/>
  <c r="H4287" i="1"/>
  <c r="I4287" i="1"/>
  <c r="L4287" i="1"/>
  <c r="M4287" i="1"/>
  <c r="V4287" i="1"/>
  <c r="W4287" i="1"/>
  <c r="A3502" i="1"/>
  <c r="D3502" i="1"/>
  <c r="F3502" i="1"/>
  <c r="H3502" i="1"/>
  <c r="I3502" i="1"/>
  <c r="L3502" i="1"/>
  <c r="M3502" i="1"/>
  <c r="V3502" i="1"/>
  <c r="W3502" i="1"/>
  <c r="A1983" i="1"/>
  <c r="D1983" i="1"/>
  <c r="F1983" i="1"/>
  <c r="H1983" i="1"/>
  <c r="I1983" i="1"/>
  <c r="L1983" i="1"/>
  <c r="M1983" i="1"/>
  <c r="V1983" i="1"/>
  <c r="W1983" i="1"/>
  <c r="A5638" i="1"/>
  <c r="D5638" i="1"/>
  <c r="F5638" i="1"/>
  <c r="H5638" i="1"/>
  <c r="I5638" i="1"/>
  <c r="L5638" i="1"/>
  <c r="M5638" i="1"/>
  <c r="V5638" i="1"/>
  <c r="W5638" i="1"/>
  <c r="A2219" i="1"/>
  <c r="D2219" i="1"/>
  <c r="F2219" i="1"/>
  <c r="H2219" i="1"/>
  <c r="I2219" i="1"/>
  <c r="L2219" i="1"/>
  <c r="M2219" i="1"/>
  <c r="V2219" i="1"/>
  <c r="W2219" i="1"/>
  <c r="A2370" i="1"/>
  <c r="D2370" i="1"/>
  <c r="F2370" i="1"/>
  <c r="H2370" i="1"/>
  <c r="I2370" i="1"/>
  <c r="L2370" i="1"/>
  <c r="M2370" i="1"/>
  <c r="V2370" i="1"/>
  <c r="W2370" i="1"/>
  <c r="A963" i="1"/>
  <c r="D963" i="1"/>
  <c r="F963" i="1"/>
  <c r="H963" i="1"/>
  <c r="I963" i="1"/>
  <c r="L963" i="1"/>
  <c r="M963" i="1"/>
  <c r="V963" i="1"/>
  <c r="W963" i="1"/>
  <c r="A3607" i="1"/>
  <c r="D3607" i="1"/>
  <c r="F3607" i="1"/>
  <c r="H3607" i="1"/>
  <c r="I3607" i="1"/>
  <c r="L3607" i="1"/>
  <c r="M3607" i="1"/>
  <c r="V3607" i="1"/>
  <c r="W3607" i="1"/>
  <c r="A3606" i="1"/>
  <c r="D3606" i="1"/>
  <c r="F3606" i="1"/>
  <c r="H3606" i="1"/>
  <c r="I3606" i="1"/>
  <c r="L3606" i="1"/>
  <c r="M3606" i="1"/>
  <c r="V3606" i="1"/>
  <c r="W3606" i="1"/>
  <c r="A1738" i="1"/>
  <c r="D1738" i="1"/>
  <c r="F1738" i="1"/>
  <c r="H1738" i="1"/>
  <c r="I1738" i="1"/>
  <c r="L1738" i="1"/>
  <c r="M1738" i="1"/>
  <c r="V1738" i="1"/>
  <c r="W1738" i="1"/>
  <c r="A102" i="1"/>
  <c r="D102" i="1"/>
  <c r="F102" i="1"/>
  <c r="H102" i="1"/>
  <c r="I102" i="1"/>
  <c r="L102" i="1"/>
  <c r="M102" i="1"/>
  <c r="V102" i="1"/>
  <c r="W102" i="1"/>
  <c r="A21" i="1"/>
  <c r="D21" i="1"/>
  <c r="F21" i="1"/>
  <c r="H21" i="1"/>
  <c r="I21" i="1"/>
  <c r="L21" i="1"/>
  <c r="M21" i="1"/>
  <c r="V21" i="1"/>
  <c r="W21" i="1"/>
  <c r="A854" i="1"/>
  <c r="D854" i="1"/>
  <c r="F854" i="1"/>
  <c r="H854" i="1"/>
  <c r="I854" i="1"/>
  <c r="L854" i="1"/>
  <c r="M854" i="1"/>
  <c r="V854" i="1"/>
  <c r="W854" i="1"/>
  <c r="A5080" i="1"/>
  <c r="D5080" i="1"/>
  <c r="F5080" i="1"/>
  <c r="H5080" i="1"/>
  <c r="I5080" i="1"/>
  <c r="L5080" i="1"/>
  <c r="M5080" i="1"/>
  <c r="V5080" i="1"/>
  <c r="W5080" i="1"/>
  <c r="A6156" i="1"/>
  <c r="D6156" i="1"/>
  <c r="F6156" i="1"/>
  <c r="H6156" i="1"/>
  <c r="I6156" i="1"/>
  <c r="L6156" i="1"/>
  <c r="M6156" i="1"/>
  <c r="V6156" i="1"/>
  <c r="W6156" i="1"/>
  <c r="A839" i="1"/>
  <c r="D839" i="1"/>
  <c r="F839" i="1"/>
  <c r="H839" i="1"/>
  <c r="I839" i="1"/>
  <c r="L839" i="1"/>
  <c r="M839" i="1"/>
  <c r="V839" i="1"/>
  <c r="W839" i="1"/>
  <c r="A1028" i="1"/>
  <c r="D1028" i="1"/>
  <c r="F1028" i="1"/>
  <c r="H1028" i="1"/>
  <c r="I1028" i="1"/>
  <c r="L1028" i="1"/>
  <c r="M1028" i="1"/>
  <c r="V1028" i="1"/>
  <c r="W1028" i="1"/>
  <c r="A1722" i="1"/>
  <c r="D1722" i="1"/>
  <c r="F1722" i="1"/>
  <c r="H1722" i="1"/>
  <c r="I1722" i="1"/>
  <c r="L1722" i="1"/>
  <c r="M1722" i="1"/>
  <c r="V1722" i="1"/>
  <c r="W1722" i="1"/>
  <c r="A1660" i="1"/>
  <c r="D1660" i="1"/>
  <c r="F1660" i="1"/>
  <c r="H1660" i="1"/>
  <c r="I1660" i="1"/>
  <c r="L1660" i="1"/>
  <c r="M1660" i="1"/>
  <c r="V1660" i="1"/>
  <c r="W1660" i="1"/>
  <c r="A4671" i="1"/>
  <c r="D4671" i="1"/>
  <c r="F4671" i="1"/>
  <c r="H4671" i="1"/>
  <c r="I4671" i="1"/>
  <c r="L4671" i="1"/>
  <c r="M4671" i="1"/>
  <c r="V4671" i="1"/>
  <c r="W4671" i="1"/>
  <c r="A4499" i="1"/>
  <c r="D4499" i="1"/>
  <c r="F4499" i="1"/>
  <c r="H4499" i="1"/>
  <c r="I4499" i="1"/>
  <c r="L4499" i="1"/>
  <c r="M4499" i="1"/>
  <c r="V4499" i="1"/>
  <c r="W4499" i="1"/>
  <c r="A5491" i="1"/>
  <c r="D5491" i="1"/>
  <c r="F5491" i="1"/>
  <c r="H5491" i="1"/>
  <c r="I5491" i="1"/>
  <c r="L5491" i="1"/>
  <c r="M5491" i="1"/>
  <c r="V5491" i="1"/>
  <c r="W5491" i="1"/>
  <c r="A5374" i="1"/>
  <c r="D5374" i="1"/>
  <c r="F5374" i="1"/>
  <c r="H5374" i="1"/>
  <c r="I5374" i="1"/>
  <c r="L5374" i="1"/>
  <c r="M5374" i="1"/>
  <c r="V5374" i="1"/>
  <c r="W5374" i="1"/>
  <c r="A1538" i="1"/>
  <c r="D1538" i="1"/>
  <c r="F1538" i="1"/>
  <c r="H1538" i="1"/>
  <c r="I1538" i="1"/>
  <c r="L1538" i="1"/>
  <c r="M1538" i="1"/>
  <c r="V1538" i="1"/>
  <c r="W1538" i="1"/>
  <c r="A2925" i="1"/>
  <c r="D2925" i="1"/>
  <c r="F2925" i="1"/>
  <c r="H2925" i="1"/>
  <c r="I2925" i="1"/>
  <c r="L2925" i="1"/>
  <c r="M2925" i="1"/>
  <c r="V2925" i="1"/>
  <c r="W2925" i="1"/>
  <c r="A5081" i="1"/>
  <c r="D5081" i="1"/>
  <c r="F5081" i="1"/>
  <c r="H5081" i="1"/>
  <c r="I5081" i="1"/>
  <c r="L5081" i="1"/>
  <c r="M5081" i="1"/>
  <c r="V5081" i="1"/>
  <c r="W5081" i="1"/>
  <c r="A5799" i="1"/>
  <c r="D5799" i="1"/>
  <c r="F5799" i="1"/>
  <c r="H5799" i="1"/>
  <c r="I5799" i="1"/>
  <c r="L5799" i="1"/>
  <c r="M5799" i="1"/>
  <c r="V5799" i="1"/>
  <c r="W5799" i="1"/>
  <c r="A5969" i="1"/>
  <c r="D5969" i="1"/>
  <c r="F5969" i="1"/>
  <c r="H5969" i="1"/>
  <c r="I5969" i="1"/>
  <c r="L5969" i="1"/>
  <c r="M5969" i="1"/>
  <c r="V5969" i="1"/>
  <c r="W5969" i="1"/>
  <c r="A4208" i="1"/>
  <c r="D4208" i="1"/>
  <c r="F4208" i="1"/>
  <c r="H4208" i="1"/>
  <c r="I4208" i="1"/>
  <c r="L4208" i="1"/>
  <c r="M4208" i="1"/>
  <c r="V4208" i="1"/>
  <c r="W4208" i="1"/>
  <c r="A5683" i="1"/>
  <c r="D5683" i="1"/>
  <c r="F5683" i="1"/>
  <c r="H5683" i="1"/>
  <c r="I5683" i="1"/>
  <c r="L5683" i="1"/>
  <c r="M5683" i="1"/>
  <c r="V5683" i="1"/>
  <c r="W5683" i="1"/>
  <c r="A4881" i="1"/>
  <c r="D4881" i="1"/>
  <c r="F4881" i="1"/>
  <c r="H4881" i="1"/>
  <c r="I4881" i="1"/>
  <c r="L4881" i="1"/>
  <c r="M4881" i="1"/>
  <c r="V4881" i="1"/>
  <c r="W4881" i="1"/>
  <c r="A893" i="1"/>
  <c r="D893" i="1"/>
  <c r="F893" i="1"/>
  <c r="H893" i="1"/>
  <c r="I893" i="1"/>
  <c r="L893" i="1"/>
  <c r="M893" i="1"/>
  <c r="V893" i="1"/>
  <c r="W893" i="1"/>
  <c r="A4442" i="1"/>
  <c r="D4442" i="1"/>
  <c r="F4442" i="1"/>
  <c r="H4442" i="1"/>
  <c r="I4442" i="1"/>
  <c r="L4442" i="1"/>
  <c r="M4442" i="1"/>
  <c r="V4442" i="1"/>
  <c r="W4442" i="1"/>
  <c r="A4176" i="1"/>
  <c r="D4176" i="1"/>
  <c r="F4176" i="1"/>
  <c r="H4176" i="1"/>
  <c r="I4176" i="1"/>
  <c r="L4176" i="1"/>
  <c r="M4176" i="1"/>
  <c r="V4176" i="1"/>
  <c r="W4176" i="1"/>
  <c r="A4295" i="1"/>
  <c r="D4295" i="1"/>
  <c r="F4295" i="1"/>
  <c r="H4295" i="1"/>
  <c r="I4295" i="1"/>
  <c r="L4295" i="1"/>
  <c r="M4295" i="1"/>
  <c r="V4295" i="1"/>
  <c r="W4295" i="1"/>
  <c r="A6030" i="1"/>
  <c r="D6030" i="1"/>
  <c r="F6030" i="1"/>
  <c r="H6030" i="1"/>
  <c r="I6030" i="1"/>
  <c r="L6030" i="1"/>
  <c r="M6030" i="1"/>
  <c r="V6030" i="1"/>
  <c r="W6030" i="1"/>
  <c r="A259" i="1"/>
  <c r="D259" i="1"/>
  <c r="F259" i="1"/>
  <c r="H259" i="1"/>
  <c r="I259" i="1"/>
  <c r="L259" i="1"/>
  <c r="M259" i="1"/>
  <c r="V259" i="1"/>
  <c r="W259" i="1"/>
  <c r="A4792" i="1"/>
  <c r="D4792" i="1"/>
  <c r="F4792" i="1"/>
  <c r="H4792" i="1"/>
  <c r="I4792" i="1"/>
  <c r="L4792" i="1"/>
  <c r="M4792" i="1"/>
  <c r="V4792" i="1"/>
  <c r="W4792" i="1"/>
  <c r="A4383" i="1"/>
  <c r="D4383" i="1"/>
  <c r="F4383" i="1"/>
  <c r="H4383" i="1"/>
  <c r="I4383" i="1"/>
  <c r="L4383" i="1"/>
  <c r="M4383" i="1"/>
  <c r="V4383" i="1"/>
  <c r="W4383" i="1"/>
  <c r="A4406" i="1"/>
  <c r="D4406" i="1"/>
  <c r="F4406" i="1"/>
  <c r="H4406" i="1"/>
  <c r="I4406" i="1"/>
  <c r="L4406" i="1"/>
  <c r="M4406" i="1"/>
  <c r="V4406" i="1"/>
  <c r="W4406" i="1"/>
  <c r="A5790" i="1"/>
  <c r="D5790" i="1"/>
  <c r="F5790" i="1"/>
  <c r="H5790" i="1"/>
  <c r="I5790" i="1"/>
  <c r="L5790" i="1"/>
  <c r="M5790" i="1"/>
  <c r="V5790" i="1"/>
  <c r="W5790" i="1"/>
  <c r="A5747" i="1"/>
  <c r="D5747" i="1"/>
  <c r="F5747" i="1"/>
  <c r="H5747" i="1"/>
  <c r="I5747" i="1"/>
  <c r="L5747" i="1"/>
  <c r="M5747" i="1"/>
  <c r="V5747" i="1"/>
  <c r="W5747" i="1"/>
  <c r="A4379" i="1"/>
  <c r="D4379" i="1"/>
  <c r="F4379" i="1"/>
  <c r="H4379" i="1"/>
  <c r="I4379" i="1"/>
  <c r="L4379" i="1"/>
  <c r="M4379" i="1"/>
  <c r="V4379" i="1"/>
  <c r="W4379" i="1"/>
  <c r="A150" i="1"/>
  <c r="D150" i="1"/>
  <c r="F150" i="1"/>
  <c r="H150" i="1"/>
  <c r="I150" i="1"/>
  <c r="L150" i="1"/>
  <c r="M150" i="1"/>
  <c r="V150" i="1"/>
  <c r="W150" i="1"/>
  <c r="A304" i="1"/>
  <c r="D304" i="1"/>
  <c r="F304" i="1"/>
  <c r="H304" i="1"/>
  <c r="I304" i="1"/>
  <c r="L304" i="1"/>
  <c r="M304" i="1"/>
  <c r="V304" i="1"/>
  <c r="W304" i="1"/>
  <c r="A704" i="1"/>
  <c r="D704" i="1"/>
  <c r="F704" i="1"/>
  <c r="H704" i="1"/>
  <c r="I704" i="1"/>
  <c r="L704" i="1"/>
  <c r="M704" i="1"/>
  <c r="V704" i="1"/>
  <c r="W704" i="1"/>
  <c r="A924" i="1"/>
  <c r="D924" i="1"/>
  <c r="F924" i="1"/>
  <c r="H924" i="1"/>
  <c r="I924" i="1"/>
  <c r="L924" i="1"/>
  <c r="M924" i="1"/>
  <c r="V924" i="1"/>
  <c r="W924" i="1"/>
  <c r="A3351" i="1"/>
  <c r="D3351" i="1"/>
  <c r="F3351" i="1"/>
  <c r="H3351" i="1"/>
  <c r="I3351" i="1"/>
  <c r="L3351" i="1"/>
  <c r="M3351" i="1"/>
  <c r="V3351" i="1"/>
  <c r="W3351" i="1"/>
  <c r="A3511" i="1"/>
  <c r="D3511" i="1"/>
  <c r="F3511" i="1"/>
  <c r="H3511" i="1"/>
  <c r="I3511" i="1"/>
  <c r="L3511" i="1"/>
  <c r="M3511" i="1"/>
  <c r="V3511" i="1"/>
  <c r="W3511" i="1"/>
  <c r="A3845" i="1"/>
  <c r="D3845" i="1"/>
  <c r="F3845" i="1"/>
  <c r="H3845" i="1"/>
  <c r="I3845" i="1"/>
  <c r="L3845" i="1"/>
  <c r="M3845" i="1"/>
  <c r="V3845" i="1"/>
  <c r="W3845" i="1"/>
  <c r="A3631" i="1"/>
  <c r="D3631" i="1"/>
  <c r="F3631" i="1"/>
  <c r="H3631" i="1"/>
  <c r="I3631" i="1"/>
  <c r="L3631" i="1"/>
  <c r="M3631" i="1"/>
  <c r="V3631" i="1"/>
  <c r="W3631" i="1"/>
  <c r="A1697" i="1"/>
  <c r="D1697" i="1"/>
  <c r="F1697" i="1"/>
  <c r="H1697" i="1"/>
  <c r="I1697" i="1"/>
  <c r="L1697" i="1"/>
  <c r="M1697" i="1"/>
  <c r="V1697" i="1"/>
  <c r="W1697" i="1"/>
  <c r="A3922" i="1"/>
  <c r="D3922" i="1"/>
  <c r="F3922" i="1"/>
  <c r="H3922" i="1"/>
  <c r="I3922" i="1"/>
  <c r="L3922" i="1"/>
  <c r="M3922" i="1"/>
  <c r="V3922" i="1"/>
  <c r="W3922" i="1"/>
  <c r="A4008" i="1"/>
  <c r="D4008" i="1"/>
  <c r="F4008" i="1"/>
  <c r="H4008" i="1"/>
  <c r="I4008" i="1"/>
  <c r="L4008" i="1"/>
  <c r="M4008" i="1"/>
  <c r="V4008" i="1"/>
  <c r="W4008" i="1"/>
  <c r="A5309" i="1"/>
  <c r="D5309" i="1"/>
  <c r="F5309" i="1"/>
  <c r="H5309" i="1"/>
  <c r="I5309" i="1"/>
  <c r="L5309" i="1"/>
  <c r="M5309" i="1"/>
  <c r="V5309" i="1"/>
  <c r="W5309" i="1"/>
  <c r="A9" i="1"/>
  <c r="D9" i="1"/>
  <c r="F9" i="1"/>
  <c r="H9" i="1"/>
  <c r="I9" i="1"/>
  <c r="L9" i="1"/>
  <c r="M9" i="1"/>
  <c r="V9" i="1"/>
  <c r="W9" i="1"/>
  <c r="A235" i="1"/>
  <c r="D235" i="1"/>
  <c r="F235" i="1"/>
  <c r="H235" i="1"/>
  <c r="I235" i="1"/>
  <c r="L235" i="1"/>
  <c r="M235" i="1"/>
  <c r="V235" i="1"/>
  <c r="W235" i="1"/>
  <c r="A302" i="1"/>
  <c r="D302" i="1"/>
  <c r="F302" i="1"/>
  <c r="H302" i="1"/>
  <c r="I302" i="1"/>
  <c r="L302" i="1"/>
  <c r="M302" i="1"/>
  <c r="V302" i="1"/>
  <c r="W302" i="1"/>
  <c r="A703" i="1"/>
  <c r="D703" i="1"/>
  <c r="F703" i="1"/>
  <c r="H703" i="1"/>
  <c r="I703" i="1"/>
  <c r="L703" i="1"/>
  <c r="M703" i="1"/>
  <c r="V703" i="1"/>
  <c r="W703" i="1"/>
  <c r="A923" i="1"/>
  <c r="D923" i="1"/>
  <c r="F923" i="1"/>
  <c r="H923" i="1"/>
  <c r="I923" i="1"/>
  <c r="L923" i="1"/>
  <c r="M923" i="1"/>
  <c r="V923" i="1"/>
  <c r="W923" i="1"/>
  <c r="A1033" i="1"/>
  <c r="D1033" i="1"/>
  <c r="F1033" i="1"/>
  <c r="H1033" i="1"/>
  <c r="I1033" i="1"/>
  <c r="L1033" i="1"/>
  <c r="M1033" i="1"/>
  <c r="V1033" i="1"/>
  <c r="W1033" i="1"/>
  <c r="A1072" i="1"/>
  <c r="D1072" i="1"/>
  <c r="F1072" i="1"/>
  <c r="H1072" i="1"/>
  <c r="I1072" i="1"/>
  <c r="L1072" i="1"/>
  <c r="M1072" i="1"/>
  <c r="V1072" i="1"/>
  <c r="W1072" i="1"/>
  <c r="A1285" i="1"/>
  <c r="D1285" i="1"/>
  <c r="F1285" i="1"/>
  <c r="H1285" i="1"/>
  <c r="I1285" i="1"/>
  <c r="L1285" i="1"/>
  <c r="M1285" i="1"/>
  <c r="V1285" i="1"/>
  <c r="W1285" i="1"/>
  <c r="A1305" i="1"/>
  <c r="D1305" i="1"/>
  <c r="F1305" i="1"/>
  <c r="H1305" i="1"/>
  <c r="I1305" i="1"/>
  <c r="L1305" i="1"/>
  <c r="M1305" i="1"/>
  <c r="V1305" i="1"/>
  <c r="W1305" i="1"/>
  <c r="A1592" i="1"/>
  <c r="D1592" i="1"/>
  <c r="F1592" i="1"/>
  <c r="H1592" i="1"/>
  <c r="I1592" i="1"/>
  <c r="L1592" i="1"/>
  <c r="M1592" i="1"/>
  <c r="V1592" i="1"/>
  <c r="W1592" i="1"/>
  <c r="A2667" i="1"/>
  <c r="D2667" i="1"/>
  <c r="F2667" i="1"/>
  <c r="H2667" i="1"/>
  <c r="I2667" i="1"/>
  <c r="L2667" i="1"/>
  <c r="M2667" i="1"/>
  <c r="V2667" i="1"/>
  <c r="W2667" i="1"/>
  <c r="A2683" i="1"/>
  <c r="D2683" i="1"/>
  <c r="F2683" i="1"/>
  <c r="H2683" i="1"/>
  <c r="I2683" i="1"/>
  <c r="L2683" i="1"/>
  <c r="M2683" i="1"/>
  <c r="V2683" i="1"/>
  <c r="W2683" i="1"/>
  <c r="A2810" i="1"/>
  <c r="D2810" i="1"/>
  <c r="F2810" i="1"/>
  <c r="H2810" i="1"/>
  <c r="I2810" i="1"/>
  <c r="L2810" i="1"/>
  <c r="M2810" i="1"/>
  <c r="V2810" i="1"/>
  <c r="W2810" i="1"/>
  <c r="A2829" i="1"/>
  <c r="D2829" i="1"/>
  <c r="F2829" i="1"/>
  <c r="H2829" i="1"/>
  <c r="I2829" i="1"/>
  <c r="L2829" i="1"/>
  <c r="M2829" i="1"/>
  <c r="V2829" i="1"/>
  <c r="W2829" i="1"/>
  <c r="A3008" i="1"/>
  <c r="D3008" i="1"/>
  <c r="F3008" i="1"/>
  <c r="H3008" i="1"/>
  <c r="I3008" i="1"/>
  <c r="L3008" i="1"/>
  <c r="M3008" i="1"/>
  <c r="V3008" i="1"/>
  <c r="W3008" i="1"/>
  <c r="A3217" i="1"/>
  <c r="D3217" i="1"/>
  <c r="F3217" i="1"/>
  <c r="H3217" i="1"/>
  <c r="I3217" i="1"/>
  <c r="L3217" i="1"/>
  <c r="M3217" i="1"/>
  <c r="V3217" i="1"/>
  <c r="W3217" i="1"/>
  <c r="A3349" i="1"/>
  <c r="D3349" i="1"/>
  <c r="F3349" i="1"/>
  <c r="H3349" i="1"/>
  <c r="I3349" i="1"/>
  <c r="L3349" i="1"/>
  <c r="M3349" i="1"/>
  <c r="V3349" i="1"/>
  <c r="W3349" i="1"/>
  <c r="A3510" i="1"/>
  <c r="D3510" i="1"/>
  <c r="F3510" i="1"/>
  <c r="H3510" i="1"/>
  <c r="I3510" i="1"/>
  <c r="L3510" i="1"/>
  <c r="M3510" i="1"/>
  <c r="V3510" i="1"/>
  <c r="W3510" i="1"/>
  <c r="A3646" i="1"/>
  <c r="D3646" i="1"/>
  <c r="F3646" i="1"/>
  <c r="H3646" i="1"/>
  <c r="I3646" i="1"/>
  <c r="L3646" i="1"/>
  <c r="M3646" i="1"/>
  <c r="V3646" i="1"/>
  <c r="W3646" i="1"/>
  <c r="A4438" i="1"/>
  <c r="D4438" i="1"/>
  <c r="F4438" i="1"/>
  <c r="H4438" i="1"/>
  <c r="I4438" i="1"/>
  <c r="L4438" i="1"/>
  <c r="M4438" i="1"/>
  <c r="V4438" i="1"/>
  <c r="W4438" i="1"/>
  <c r="A4584" i="1"/>
  <c r="D4584" i="1"/>
  <c r="F4584" i="1"/>
  <c r="H4584" i="1"/>
  <c r="I4584" i="1"/>
  <c r="L4584" i="1"/>
  <c r="M4584" i="1"/>
  <c r="V4584" i="1"/>
  <c r="W4584" i="1"/>
  <c r="A4663" i="1"/>
  <c r="D4663" i="1"/>
  <c r="F4663" i="1"/>
  <c r="H4663" i="1"/>
  <c r="I4663" i="1"/>
  <c r="L4663" i="1"/>
  <c r="M4663" i="1"/>
  <c r="V4663" i="1"/>
  <c r="W4663" i="1"/>
  <c r="A4865" i="1"/>
  <c r="D4865" i="1"/>
  <c r="F4865" i="1"/>
  <c r="H4865" i="1"/>
  <c r="I4865" i="1"/>
  <c r="L4865" i="1"/>
  <c r="M4865" i="1"/>
  <c r="V4865" i="1"/>
  <c r="W4865" i="1"/>
  <c r="A5040" i="1"/>
  <c r="D5040" i="1"/>
  <c r="F5040" i="1"/>
  <c r="H5040" i="1"/>
  <c r="I5040" i="1"/>
  <c r="L5040" i="1"/>
  <c r="M5040" i="1"/>
  <c r="V5040" i="1"/>
  <c r="W5040" i="1"/>
  <c r="A5438" i="1"/>
  <c r="D5438" i="1"/>
  <c r="F5438" i="1"/>
  <c r="H5438" i="1"/>
  <c r="I5438" i="1"/>
  <c r="L5438" i="1"/>
  <c r="M5438" i="1"/>
  <c r="V5438" i="1"/>
  <c r="W5438" i="1"/>
  <c r="A5526" i="1"/>
  <c r="D5526" i="1"/>
  <c r="F5526" i="1"/>
  <c r="H5526" i="1"/>
  <c r="I5526" i="1"/>
  <c r="L5526" i="1"/>
  <c r="M5526" i="1"/>
  <c r="V5526" i="1"/>
  <c r="W5526" i="1"/>
  <c r="A5649" i="1"/>
  <c r="D5649" i="1"/>
  <c r="F5649" i="1"/>
  <c r="H5649" i="1"/>
  <c r="I5649" i="1"/>
  <c r="L5649" i="1"/>
  <c r="M5649" i="1"/>
  <c r="V5649" i="1"/>
  <c r="W5649" i="1"/>
  <c r="A5691" i="1"/>
  <c r="D5691" i="1"/>
  <c r="F5691" i="1"/>
  <c r="H5691" i="1"/>
  <c r="I5691" i="1"/>
  <c r="L5691" i="1"/>
  <c r="M5691" i="1"/>
  <c r="V5691" i="1"/>
  <c r="W5691" i="1"/>
  <c r="A5738" i="1"/>
  <c r="D5738" i="1"/>
  <c r="F5738" i="1"/>
  <c r="H5738" i="1"/>
  <c r="I5738" i="1"/>
  <c r="L5738" i="1"/>
  <c r="M5738" i="1"/>
  <c r="V5738" i="1"/>
  <c r="W5738" i="1"/>
  <c r="A5802" i="1"/>
  <c r="D5802" i="1"/>
  <c r="F5802" i="1"/>
  <c r="H5802" i="1"/>
  <c r="I5802" i="1"/>
  <c r="L5802" i="1"/>
  <c r="M5802" i="1"/>
  <c r="V5802" i="1"/>
  <c r="W5802" i="1"/>
  <c r="A5864" i="1"/>
  <c r="D5864" i="1"/>
  <c r="F5864" i="1"/>
  <c r="H5864" i="1"/>
  <c r="I5864" i="1"/>
  <c r="L5864" i="1"/>
  <c r="M5864" i="1"/>
  <c r="V5864" i="1"/>
  <c r="W5864" i="1"/>
  <c r="A5946" i="1"/>
  <c r="D5946" i="1"/>
  <c r="F5946" i="1"/>
  <c r="H5946" i="1"/>
  <c r="I5946" i="1"/>
  <c r="L5946" i="1"/>
  <c r="M5946" i="1"/>
  <c r="V5946" i="1"/>
  <c r="W5946" i="1"/>
  <c r="A6013" i="1"/>
  <c r="D6013" i="1"/>
  <c r="F6013" i="1"/>
  <c r="H6013" i="1"/>
  <c r="I6013" i="1"/>
  <c r="L6013" i="1"/>
  <c r="M6013" i="1"/>
  <c r="V6013" i="1"/>
  <c r="W6013" i="1"/>
  <c r="A4246" i="1"/>
  <c r="D4246" i="1"/>
  <c r="F4246" i="1"/>
  <c r="H4246" i="1"/>
  <c r="I4246" i="1"/>
  <c r="L4246" i="1"/>
  <c r="M4246" i="1"/>
  <c r="V4246" i="1"/>
  <c r="W4246" i="1"/>
  <c r="A4661" i="1"/>
  <c r="D4661" i="1"/>
  <c r="F4661" i="1"/>
  <c r="H4661" i="1"/>
  <c r="I4661" i="1"/>
  <c r="L4661" i="1"/>
  <c r="M4661" i="1"/>
  <c r="V4661" i="1"/>
  <c r="W4661" i="1"/>
  <c r="A1376" i="1"/>
  <c r="D1376" i="1"/>
  <c r="F1376" i="1"/>
  <c r="H1376" i="1"/>
  <c r="I1376" i="1"/>
  <c r="L1376" i="1"/>
  <c r="M1376" i="1"/>
  <c r="V1376" i="1"/>
  <c r="W1376" i="1"/>
  <c r="A2798" i="1"/>
  <c r="D2798" i="1"/>
  <c r="F2798" i="1"/>
  <c r="H2798" i="1"/>
  <c r="I2798" i="1"/>
  <c r="L2798" i="1"/>
  <c r="M2798" i="1"/>
  <c r="V2798" i="1"/>
  <c r="W2798" i="1"/>
  <c r="A2615" i="1"/>
  <c r="D2615" i="1"/>
  <c r="F2615" i="1"/>
  <c r="H2615" i="1"/>
  <c r="I2615" i="1"/>
  <c r="L2615" i="1"/>
  <c r="M2615" i="1"/>
  <c r="V2615" i="1"/>
  <c r="W2615" i="1"/>
  <c r="A2835" i="1"/>
  <c r="D2835" i="1"/>
  <c r="F2835" i="1"/>
  <c r="H2835" i="1"/>
  <c r="I2835" i="1"/>
  <c r="L2835" i="1"/>
  <c r="M2835" i="1"/>
  <c r="V2835" i="1"/>
  <c r="W2835" i="1"/>
  <c r="A1888" i="1"/>
  <c r="D1888" i="1"/>
  <c r="F1888" i="1"/>
  <c r="H1888" i="1"/>
  <c r="I1888" i="1"/>
  <c r="L1888" i="1"/>
  <c r="M1888" i="1"/>
  <c r="V1888" i="1"/>
  <c r="W1888" i="1"/>
  <c r="A1602" i="1"/>
  <c r="D1602" i="1"/>
  <c r="F1602" i="1"/>
  <c r="H1602" i="1"/>
  <c r="I1602" i="1"/>
  <c r="L1602" i="1"/>
  <c r="M1602" i="1"/>
  <c r="V1602" i="1"/>
  <c r="W1602" i="1"/>
  <c r="A2479" i="1"/>
  <c r="D2479" i="1"/>
  <c r="F2479" i="1"/>
  <c r="H2479" i="1"/>
  <c r="I2479" i="1"/>
  <c r="L2479" i="1"/>
  <c r="M2479" i="1"/>
  <c r="V2479" i="1"/>
  <c r="W2479" i="1"/>
  <c r="A5307" i="1"/>
  <c r="D5307" i="1"/>
  <c r="F5307" i="1"/>
  <c r="H5307" i="1"/>
  <c r="I5307" i="1"/>
  <c r="L5307" i="1"/>
  <c r="M5307" i="1"/>
  <c r="V5307" i="1"/>
  <c r="W5307" i="1"/>
  <c r="A4958" i="1"/>
  <c r="D4958" i="1"/>
  <c r="F4958" i="1"/>
  <c r="H4958" i="1"/>
  <c r="I4958" i="1"/>
  <c r="L4958" i="1"/>
  <c r="M4958" i="1"/>
  <c r="V4958" i="1"/>
  <c r="W4958" i="1"/>
  <c r="A2752" i="1"/>
  <c r="D2752" i="1"/>
  <c r="F2752" i="1"/>
  <c r="H2752" i="1"/>
  <c r="I2752" i="1"/>
  <c r="L2752" i="1"/>
  <c r="M2752" i="1"/>
  <c r="V2752" i="1"/>
  <c r="W2752" i="1"/>
  <c r="A4850" i="1"/>
  <c r="D4850" i="1"/>
  <c r="F4850" i="1"/>
  <c r="H4850" i="1"/>
  <c r="I4850" i="1"/>
  <c r="L4850" i="1"/>
  <c r="M4850" i="1"/>
  <c r="V4850" i="1"/>
  <c r="W4850" i="1"/>
  <c r="A2202" i="1"/>
  <c r="D2202" i="1"/>
  <c r="F2202" i="1"/>
  <c r="H2202" i="1"/>
  <c r="I2202" i="1"/>
  <c r="L2202" i="1"/>
  <c r="M2202" i="1"/>
  <c r="V2202" i="1"/>
  <c r="W2202" i="1"/>
  <c r="A4841" i="1"/>
  <c r="D4841" i="1"/>
  <c r="F4841" i="1"/>
  <c r="H4841" i="1"/>
  <c r="I4841" i="1"/>
  <c r="L4841" i="1"/>
  <c r="M4841" i="1"/>
  <c r="V4841" i="1"/>
  <c r="W4841" i="1"/>
  <c r="A4884" i="1"/>
  <c r="D4884" i="1"/>
  <c r="F4884" i="1"/>
  <c r="H4884" i="1"/>
  <c r="I4884" i="1"/>
  <c r="L4884" i="1"/>
  <c r="M4884" i="1"/>
  <c r="V4884" i="1"/>
  <c r="W4884" i="1"/>
  <c r="A3501" i="1"/>
  <c r="D3501" i="1"/>
  <c r="F3501" i="1"/>
  <c r="H3501" i="1"/>
  <c r="I3501" i="1"/>
  <c r="L3501" i="1"/>
  <c r="M3501" i="1"/>
  <c r="V3501" i="1"/>
  <c r="W3501" i="1"/>
  <c r="A1163" i="1"/>
  <c r="D1163" i="1"/>
  <c r="F1163" i="1"/>
  <c r="H1163" i="1"/>
  <c r="I1163" i="1"/>
  <c r="L1163" i="1"/>
  <c r="M1163" i="1"/>
  <c r="V1163" i="1"/>
  <c r="W1163" i="1"/>
  <c r="A1348" i="1"/>
  <c r="D1348" i="1"/>
  <c r="F1348" i="1"/>
  <c r="H1348" i="1"/>
  <c r="I1348" i="1"/>
  <c r="L1348" i="1"/>
  <c r="M1348" i="1"/>
  <c r="V1348" i="1"/>
  <c r="W1348" i="1"/>
  <c r="A3583" i="1"/>
  <c r="D3583" i="1"/>
  <c r="F3583" i="1"/>
  <c r="H3583" i="1"/>
  <c r="I3583" i="1"/>
  <c r="L3583" i="1"/>
  <c r="M3583" i="1"/>
  <c r="V3583" i="1"/>
  <c r="W3583" i="1"/>
  <c r="A333" i="1"/>
  <c r="D333" i="1"/>
  <c r="F333" i="1"/>
  <c r="H333" i="1"/>
  <c r="I333" i="1"/>
  <c r="L333" i="1"/>
  <c r="M333" i="1"/>
  <c r="V333" i="1"/>
  <c r="W333" i="1"/>
  <c r="A419" i="1"/>
  <c r="D419" i="1"/>
  <c r="F419" i="1"/>
  <c r="H419" i="1"/>
  <c r="I419" i="1"/>
  <c r="L419" i="1"/>
  <c r="M419" i="1"/>
  <c r="V419" i="1"/>
  <c r="W419" i="1"/>
  <c r="A940" i="1"/>
  <c r="D940" i="1"/>
  <c r="F940" i="1"/>
  <c r="H940" i="1"/>
  <c r="I940" i="1"/>
  <c r="L940" i="1"/>
  <c r="M940" i="1"/>
  <c r="V940" i="1"/>
  <c r="W940" i="1"/>
  <c r="A2166" i="1"/>
  <c r="D2166" i="1"/>
  <c r="F2166" i="1"/>
  <c r="H2166" i="1"/>
  <c r="I2166" i="1"/>
  <c r="L2166" i="1"/>
  <c r="M2166" i="1"/>
  <c r="V2166" i="1"/>
  <c r="W2166" i="1"/>
  <c r="A2154" i="1"/>
  <c r="D2154" i="1"/>
  <c r="F2154" i="1"/>
  <c r="H2154" i="1"/>
  <c r="I2154" i="1"/>
  <c r="L2154" i="1"/>
  <c r="M2154" i="1"/>
  <c r="V2154" i="1"/>
  <c r="W2154" i="1"/>
  <c r="A4706" i="1"/>
  <c r="D4706" i="1"/>
  <c r="F4706" i="1"/>
  <c r="H4706" i="1"/>
  <c r="I4706" i="1"/>
  <c r="L4706" i="1"/>
  <c r="M4706" i="1"/>
  <c r="V4706" i="1"/>
  <c r="W4706" i="1"/>
  <c r="A4612" i="1"/>
  <c r="D4612" i="1"/>
  <c r="F4612" i="1"/>
  <c r="H4612" i="1"/>
  <c r="I4612" i="1"/>
  <c r="L4612" i="1"/>
  <c r="M4612" i="1"/>
  <c r="V4612" i="1"/>
  <c r="W4612" i="1"/>
  <c r="A4045" i="1"/>
  <c r="D4045" i="1"/>
  <c r="F4045" i="1"/>
  <c r="H4045" i="1"/>
  <c r="I4045" i="1"/>
  <c r="L4045" i="1"/>
  <c r="M4045" i="1"/>
  <c r="V4045" i="1"/>
  <c r="W4045" i="1"/>
  <c r="A5899" i="1"/>
  <c r="D5899" i="1"/>
  <c r="F5899" i="1"/>
  <c r="H5899" i="1"/>
  <c r="I5899" i="1"/>
  <c r="L5899" i="1"/>
  <c r="M5899" i="1"/>
  <c r="V5899" i="1"/>
  <c r="W5899" i="1"/>
  <c r="A1509" i="1"/>
  <c r="D1509" i="1"/>
  <c r="F1509" i="1"/>
  <c r="H1509" i="1"/>
  <c r="I1509" i="1"/>
  <c r="L1509" i="1"/>
  <c r="M1509" i="1"/>
  <c r="V1509" i="1"/>
  <c r="W1509" i="1"/>
  <c r="A1731" i="1"/>
  <c r="D1731" i="1"/>
  <c r="F1731" i="1"/>
  <c r="H1731" i="1"/>
  <c r="I1731" i="1"/>
  <c r="L1731" i="1"/>
  <c r="M1731" i="1"/>
  <c r="V1731" i="1"/>
  <c r="W1731" i="1"/>
  <c r="A2383" i="1"/>
  <c r="D2383" i="1"/>
  <c r="F2383" i="1"/>
  <c r="H2383" i="1"/>
  <c r="I2383" i="1"/>
  <c r="L2383" i="1"/>
  <c r="M2383" i="1"/>
  <c r="V2383" i="1"/>
  <c r="W2383" i="1"/>
  <c r="A1884" i="1"/>
  <c r="D1884" i="1"/>
  <c r="F1884" i="1"/>
  <c r="H1884" i="1"/>
  <c r="I1884" i="1"/>
  <c r="L1884" i="1"/>
  <c r="M1884" i="1"/>
  <c r="V1884" i="1"/>
  <c r="W1884" i="1"/>
  <c r="A711" i="1"/>
  <c r="D711" i="1"/>
  <c r="F711" i="1"/>
  <c r="H711" i="1"/>
  <c r="I711" i="1"/>
  <c r="L711" i="1"/>
  <c r="M711" i="1"/>
  <c r="V711" i="1"/>
  <c r="W711" i="1"/>
  <c r="A3038" i="1"/>
  <c r="D3038" i="1"/>
  <c r="F3038" i="1"/>
  <c r="H3038" i="1"/>
  <c r="I3038" i="1"/>
  <c r="L3038" i="1"/>
  <c r="M3038" i="1"/>
  <c r="V3038" i="1"/>
  <c r="W3038" i="1"/>
  <c r="A2515" i="1"/>
  <c r="D2515" i="1"/>
  <c r="F2515" i="1"/>
  <c r="H2515" i="1"/>
  <c r="I2515" i="1"/>
  <c r="L2515" i="1"/>
  <c r="M2515" i="1"/>
  <c r="V2515" i="1"/>
  <c r="W2515" i="1"/>
  <c r="A6087" i="1"/>
  <c r="D6087" i="1"/>
  <c r="F6087" i="1"/>
  <c r="H6087" i="1"/>
  <c r="I6087" i="1"/>
  <c r="L6087" i="1"/>
  <c r="M6087" i="1"/>
  <c r="V6087" i="1"/>
  <c r="W6087" i="1"/>
  <c r="A1986" i="1"/>
  <c r="D1986" i="1"/>
  <c r="F1986" i="1"/>
  <c r="H1986" i="1"/>
  <c r="I1986" i="1"/>
  <c r="L1986" i="1"/>
  <c r="M1986" i="1"/>
  <c r="V1986" i="1"/>
  <c r="W1986" i="1"/>
  <c r="A3202" i="1"/>
  <c r="D3202" i="1"/>
  <c r="F3202" i="1"/>
  <c r="H3202" i="1"/>
  <c r="I3202" i="1"/>
  <c r="L3202" i="1"/>
  <c r="M3202" i="1"/>
  <c r="V3202" i="1"/>
  <c r="W3202" i="1"/>
  <c r="A2319" i="1"/>
  <c r="D2319" i="1"/>
  <c r="F2319" i="1"/>
  <c r="H2319" i="1"/>
  <c r="I2319" i="1"/>
  <c r="L2319" i="1"/>
  <c r="M2319" i="1"/>
  <c r="V2319" i="1"/>
  <c r="W2319" i="1"/>
  <c r="A747" i="1"/>
  <c r="D747" i="1"/>
  <c r="F747" i="1"/>
  <c r="H747" i="1"/>
  <c r="I747" i="1"/>
  <c r="L747" i="1"/>
  <c r="M747" i="1"/>
  <c r="V747" i="1"/>
  <c r="W747" i="1"/>
  <c r="A695" i="1"/>
  <c r="D695" i="1"/>
  <c r="F695" i="1"/>
  <c r="H695" i="1"/>
  <c r="I695" i="1"/>
  <c r="L695" i="1"/>
  <c r="M695" i="1"/>
  <c r="V695" i="1"/>
  <c r="W695" i="1"/>
  <c r="A3484" i="1"/>
  <c r="D3484" i="1"/>
  <c r="F3484" i="1"/>
  <c r="H3484" i="1"/>
  <c r="I3484" i="1"/>
  <c r="L3484" i="1"/>
  <c r="M3484" i="1"/>
  <c r="V3484" i="1"/>
  <c r="W3484" i="1"/>
  <c r="A1321" i="1"/>
  <c r="D1321" i="1"/>
  <c r="F1321" i="1"/>
  <c r="H1321" i="1"/>
  <c r="I1321" i="1"/>
  <c r="L1321" i="1"/>
  <c r="M1321" i="1"/>
  <c r="V1321" i="1"/>
  <c r="W1321" i="1"/>
  <c r="A2846" i="1"/>
  <c r="D2846" i="1"/>
  <c r="F2846" i="1"/>
  <c r="H2846" i="1"/>
  <c r="I2846" i="1"/>
  <c r="L2846" i="1"/>
  <c r="M2846" i="1"/>
  <c r="V2846" i="1"/>
  <c r="W2846" i="1"/>
  <c r="A3993" i="1"/>
  <c r="D3993" i="1"/>
  <c r="F3993" i="1"/>
  <c r="H3993" i="1"/>
  <c r="I3993" i="1"/>
  <c r="L3993" i="1"/>
  <c r="M3993" i="1"/>
  <c r="V3993" i="1"/>
  <c r="W3993" i="1"/>
  <c r="A161" i="1"/>
  <c r="D161" i="1"/>
  <c r="F161" i="1"/>
  <c r="H161" i="1"/>
  <c r="I161" i="1"/>
  <c r="L161" i="1"/>
  <c r="M161" i="1"/>
  <c r="V161" i="1"/>
  <c r="W161" i="1"/>
  <c r="A4810" i="1"/>
  <c r="D4810" i="1"/>
  <c r="F4810" i="1"/>
  <c r="H4810" i="1"/>
  <c r="I4810" i="1"/>
  <c r="L4810" i="1"/>
  <c r="M4810" i="1"/>
  <c r="V4810" i="1"/>
  <c r="W4810" i="1"/>
  <c r="A5962" i="1"/>
  <c r="D5962" i="1"/>
  <c r="F5962" i="1"/>
  <c r="H5962" i="1"/>
  <c r="I5962" i="1"/>
  <c r="L5962" i="1"/>
  <c r="M5962" i="1"/>
  <c r="V5962" i="1"/>
  <c r="W5962" i="1"/>
  <c r="A6206" i="1"/>
  <c r="D6206" i="1"/>
  <c r="F6206" i="1"/>
  <c r="H6206" i="1"/>
  <c r="I6206" i="1"/>
  <c r="L6206" i="1"/>
  <c r="M6206" i="1"/>
  <c r="V6206" i="1"/>
  <c r="W6206" i="1"/>
  <c r="A698" i="1"/>
  <c r="D698" i="1"/>
  <c r="F698" i="1"/>
  <c r="H698" i="1"/>
  <c r="I698" i="1"/>
  <c r="L698" i="1"/>
  <c r="M698" i="1"/>
  <c r="V698" i="1"/>
  <c r="W698" i="1"/>
  <c r="A4020" i="1"/>
  <c r="D4020" i="1"/>
  <c r="F4020" i="1"/>
  <c r="H4020" i="1"/>
  <c r="I4020" i="1"/>
  <c r="L4020" i="1"/>
  <c r="M4020" i="1"/>
  <c r="V4020" i="1"/>
  <c r="W4020" i="1"/>
  <c r="A3650" i="1"/>
  <c r="D3650" i="1"/>
  <c r="F3650" i="1"/>
  <c r="H3650" i="1"/>
  <c r="I3650" i="1"/>
  <c r="L3650" i="1"/>
  <c r="M3650" i="1"/>
  <c r="V3650" i="1"/>
  <c r="W3650" i="1"/>
  <c r="A4065" i="1"/>
  <c r="D4065" i="1"/>
  <c r="F4065" i="1"/>
  <c r="H4065" i="1"/>
  <c r="I4065" i="1"/>
  <c r="L4065" i="1"/>
  <c r="M4065" i="1"/>
  <c r="V4065" i="1"/>
  <c r="W4065" i="1"/>
  <c r="A1879" i="1"/>
  <c r="D1879" i="1"/>
  <c r="F1879" i="1"/>
  <c r="H1879" i="1"/>
  <c r="I1879" i="1"/>
  <c r="L1879" i="1"/>
  <c r="M1879" i="1"/>
  <c r="V1879" i="1"/>
  <c r="W1879" i="1"/>
  <c r="A2220" i="1"/>
  <c r="D2220" i="1"/>
  <c r="F2220" i="1"/>
  <c r="H2220" i="1"/>
  <c r="I2220" i="1"/>
  <c r="L2220" i="1"/>
  <c r="M2220" i="1"/>
  <c r="V2220" i="1"/>
  <c r="W2220" i="1"/>
  <c r="A251" i="1"/>
  <c r="D251" i="1"/>
  <c r="F251" i="1"/>
  <c r="H251" i="1"/>
  <c r="I251" i="1"/>
  <c r="L251" i="1"/>
  <c r="M251" i="1"/>
  <c r="V251" i="1"/>
  <c r="W251" i="1"/>
  <c r="A3952" i="1"/>
  <c r="D3952" i="1"/>
  <c r="F3952" i="1"/>
  <c r="H3952" i="1"/>
  <c r="I3952" i="1"/>
  <c r="L3952" i="1"/>
  <c r="M3952" i="1"/>
  <c r="V3952" i="1"/>
  <c r="W3952" i="1"/>
  <c r="A1981" i="1"/>
  <c r="D1981" i="1"/>
  <c r="F1981" i="1"/>
  <c r="H1981" i="1"/>
  <c r="I1981" i="1"/>
  <c r="L1981" i="1"/>
  <c r="M1981" i="1"/>
  <c r="V1981" i="1"/>
  <c r="W1981" i="1"/>
  <c r="A3047" i="1"/>
  <c r="D3047" i="1"/>
  <c r="F3047" i="1"/>
  <c r="H3047" i="1"/>
  <c r="I3047" i="1"/>
  <c r="L3047" i="1"/>
  <c r="M3047" i="1"/>
  <c r="V3047" i="1"/>
  <c r="W3047" i="1"/>
  <c r="A5365" i="1"/>
  <c r="D5365" i="1"/>
  <c r="F5365" i="1"/>
  <c r="H5365" i="1"/>
  <c r="I5365" i="1"/>
  <c r="L5365" i="1"/>
  <c r="M5365" i="1"/>
  <c r="V5365" i="1"/>
  <c r="W5365" i="1"/>
  <c r="A927" i="1"/>
  <c r="D927" i="1"/>
  <c r="F927" i="1"/>
  <c r="H927" i="1"/>
  <c r="I927" i="1"/>
  <c r="L927" i="1"/>
  <c r="M927" i="1"/>
  <c r="V927" i="1"/>
  <c r="W927" i="1"/>
  <c r="A4869" i="1"/>
  <c r="D4869" i="1"/>
  <c r="F4869" i="1"/>
  <c r="H4869" i="1"/>
  <c r="I4869" i="1"/>
  <c r="L4869" i="1"/>
  <c r="M4869" i="1"/>
  <c r="V4869" i="1"/>
  <c r="W4869" i="1"/>
  <c r="A3739" i="1"/>
  <c r="D3739" i="1"/>
  <c r="F3739" i="1"/>
  <c r="H3739" i="1"/>
  <c r="I3739" i="1"/>
  <c r="L3739" i="1"/>
  <c r="M3739" i="1"/>
  <c r="V3739" i="1"/>
  <c r="W3739" i="1"/>
  <c r="A4101" i="1"/>
  <c r="D4101" i="1"/>
  <c r="F4101" i="1"/>
  <c r="H4101" i="1"/>
  <c r="I4101" i="1"/>
  <c r="L4101" i="1"/>
  <c r="M4101" i="1"/>
  <c r="V4101" i="1"/>
  <c r="W4101" i="1"/>
  <c r="A5075" i="1"/>
  <c r="D5075" i="1"/>
  <c r="F5075" i="1"/>
  <c r="H5075" i="1"/>
  <c r="I5075" i="1"/>
  <c r="L5075" i="1"/>
  <c r="M5075" i="1"/>
  <c r="V5075" i="1"/>
  <c r="W5075" i="1"/>
  <c r="A6062" i="1"/>
  <c r="D6062" i="1"/>
  <c r="F6062" i="1"/>
  <c r="H6062" i="1"/>
  <c r="I6062" i="1"/>
  <c r="L6062" i="1"/>
  <c r="M6062" i="1"/>
  <c r="V6062" i="1"/>
  <c r="W6062" i="1"/>
  <c r="A2179" i="1"/>
  <c r="D2179" i="1"/>
  <c r="F2179" i="1"/>
  <c r="H2179" i="1"/>
  <c r="I2179" i="1"/>
  <c r="L2179" i="1"/>
  <c r="M2179" i="1"/>
  <c r="V2179" i="1"/>
  <c r="W2179" i="1"/>
  <c r="A2209" i="1"/>
  <c r="D2209" i="1"/>
  <c r="F2209" i="1"/>
  <c r="H2209" i="1"/>
  <c r="I2209" i="1"/>
  <c r="L2209" i="1"/>
  <c r="M2209" i="1"/>
  <c r="V2209" i="1"/>
  <c r="W2209" i="1"/>
  <c r="A3424" i="1"/>
  <c r="D3424" i="1"/>
  <c r="F3424" i="1"/>
  <c r="H3424" i="1"/>
  <c r="I3424" i="1"/>
  <c r="L3424" i="1"/>
  <c r="M3424" i="1"/>
  <c r="V3424" i="1"/>
  <c r="W3424" i="1"/>
  <c r="A2009" i="1"/>
  <c r="D2009" i="1"/>
  <c r="F2009" i="1"/>
  <c r="H2009" i="1"/>
  <c r="I2009" i="1"/>
  <c r="L2009" i="1"/>
  <c r="M2009" i="1"/>
  <c r="V2009" i="1"/>
  <c r="W2009" i="1"/>
  <c r="A1889" i="1"/>
  <c r="D1889" i="1"/>
  <c r="F1889" i="1"/>
  <c r="H1889" i="1"/>
  <c r="I1889" i="1"/>
  <c r="L1889" i="1"/>
  <c r="M1889" i="1"/>
  <c r="V1889" i="1"/>
  <c r="W1889" i="1"/>
  <c r="A4582" i="1"/>
  <c r="D4582" i="1"/>
  <c r="F4582" i="1"/>
  <c r="H4582" i="1"/>
  <c r="I4582" i="1"/>
  <c r="L4582" i="1"/>
  <c r="M4582" i="1"/>
  <c r="V4582" i="1"/>
  <c r="W4582" i="1"/>
  <c r="A1895" i="1"/>
  <c r="D1895" i="1"/>
  <c r="F1895" i="1"/>
  <c r="H1895" i="1"/>
  <c r="I1895" i="1"/>
  <c r="L1895" i="1"/>
  <c r="M1895" i="1"/>
  <c r="V1895" i="1"/>
  <c r="W1895" i="1"/>
  <c r="A2044" i="1"/>
  <c r="D2044" i="1"/>
  <c r="F2044" i="1"/>
  <c r="H2044" i="1"/>
  <c r="I2044" i="1"/>
  <c r="L2044" i="1"/>
  <c r="M2044" i="1"/>
  <c r="V2044" i="1"/>
  <c r="W2044" i="1"/>
  <c r="A337" i="1"/>
  <c r="D337" i="1"/>
  <c r="F337" i="1"/>
  <c r="H337" i="1"/>
  <c r="I337" i="1"/>
  <c r="L337" i="1"/>
  <c r="M337" i="1"/>
  <c r="V337" i="1"/>
  <c r="W337" i="1"/>
  <c r="A1436" i="1"/>
  <c r="D1436" i="1"/>
  <c r="F1436" i="1"/>
  <c r="H1436" i="1"/>
  <c r="I1436" i="1"/>
  <c r="L1436" i="1"/>
  <c r="M1436" i="1"/>
  <c r="V1436" i="1"/>
  <c r="W1436" i="1"/>
  <c r="A2260" i="1"/>
  <c r="D2260" i="1"/>
  <c r="F2260" i="1"/>
  <c r="H2260" i="1"/>
  <c r="I2260" i="1"/>
  <c r="L2260" i="1"/>
  <c r="M2260" i="1"/>
  <c r="V2260" i="1"/>
  <c r="W2260" i="1"/>
  <c r="A2292" i="1"/>
  <c r="D2292" i="1"/>
  <c r="F2292" i="1"/>
  <c r="H2292" i="1"/>
  <c r="I2292" i="1"/>
  <c r="L2292" i="1"/>
  <c r="M2292" i="1"/>
  <c r="V2292" i="1"/>
  <c r="W2292" i="1"/>
  <c r="A3574" i="1"/>
  <c r="D3574" i="1"/>
  <c r="F3574" i="1"/>
  <c r="H3574" i="1"/>
  <c r="I3574" i="1"/>
  <c r="L3574" i="1"/>
  <c r="M3574" i="1"/>
  <c r="V3574" i="1"/>
  <c r="W3574" i="1"/>
  <c r="A4794" i="1"/>
  <c r="D4794" i="1"/>
  <c r="F4794" i="1"/>
  <c r="H4794" i="1"/>
  <c r="I4794" i="1"/>
  <c r="L4794" i="1"/>
  <c r="M4794" i="1"/>
  <c r="V4794" i="1"/>
  <c r="W4794" i="1"/>
  <c r="A5543" i="1"/>
  <c r="D5543" i="1"/>
  <c r="F5543" i="1"/>
  <c r="H5543" i="1"/>
  <c r="I5543" i="1"/>
  <c r="L5543" i="1"/>
  <c r="M5543" i="1"/>
  <c r="V5543" i="1"/>
  <c r="W5543" i="1"/>
  <c r="A1499" i="1"/>
  <c r="D1499" i="1"/>
  <c r="F1499" i="1"/>
  <c r="H1499" i="1"/>
  <c r="I1499" i="1"/>
  <c r="L1499" i="1"/>
  <c r="M1499" i="1"/>
  <c r="V1499" i="1"/>
  <c r="W1499" i="1"/>
  <c r="A799" i="1"/>
  <c r="D799" i="1"/>
  <c r="F799" i="1"/>
  <c r="H799" i="1"/>
  <c r="I799" i="1"/>
  <c r="L799" i="1"/>
  <c r="M799" i="1"/>
  <c r="V799" i="1"/>
  <c r="W799" i="1"/>
  <c r="A2362" i="1"/>
  <c r="D2362" i="1"/>
  <c r="F2362" i="1"/>
  <c r="H2362" i="1"/>
  <c r="I2362" i="1"/>
  <c r="L2362" i="1"/>
  <c r="M2362" i="1"/>
  <c r="V2362" i="1"/>
  <c r="W2362" i="1"/>
  <c r="A1104" i="1"/>
  <c r="D1104" i="1"/>
  <c r="F1104" i="1"/>
  <c r="H1104" i="1"/>
  <c r="I1104" i="1"/>
  <c r="L1104" i="1"/>
  <c r="M1104" i="1"/>
  <c r="V1104" i="1"/>
  <c r="W1104" i="1"/>
  <c r="A991" i="1"/>
  <c r="D991" i="1"/>
  <c r="F991" i="1"/>
  <c r="H991" i="1"/>
  <c r="I991" i="1"/>
  <c r="L991" i="1"/>
  <c r="M991" i="1"/>
  <c r="V991" i="1"/>
  <c r="W991" i="1"/>
  <c r="A653" i="1"/>
  <c r="D653" i="1"/>
  <c r="F653" i="1"/>
  <c r="H653" i="1"/>
  <c r="I653" i="1"/>
  <c r="L653" i="1"/>
  <c r="M653" i="1"/>
  <c r="V653" i="1"/>
  <c r="W653" i="1"/>
  <c r="A6053" i="1"/>
  <c r="D6053" i="1"/>
  <c r="F6053" i="1"/>
  <c r="H6053" i="1"/>
  <c r="I6053" i="1"/>
  <c r="L6053" i="1"/>
  <c r="M6053" i="1"/>
  <c r="V6053" i="1"/>
  <c r="W6053" i="1"/>
  <c r="A4764" i="1"/>
  <c r="D4764" i="1"/>
  <c r="F4764" i="1"/>
  <c r="H4764" i="1"/>
  <c r="I4764" i="1"/>
  <c r="L4764" i="1"/>
  <c r="M4764" i="1"/>
  <c r="V4764" i="1"/>
  <c r="W4764" i="1"/>
  <c r="A5996" i="1"/>
  <c r="D5996" i="1"/>
  <c r="F5996" i="1"/>
  <c r="H5996" i="1"/>
  <c r="I5996" i="1"/>
  <c r="L5996" i="1"/>
  <c r="M5996" i="1"/>
  <c r="V5996" i="1"/>
  <c r="W5996" i="1"/>
  <c r="A2735" i="1"/>
  <c r="D2735" i="1"/>
  <c r="F2735" i="1"/>
  <c r="H2735" i="1"/>
  <c r="I2735" i="1"/>
  <c r="L2735" i="1"/>
  <c r="M2735" i="1"/>
  <c r="V2735" i="1"/>
  <c r="W2735" i="1"/>
  <c r="A2654" i="1"/>
  <c r="D2654" i="1"/>
  <c r="F2654" i="1"/>
  <c r="H2654" i="1"/>
  <c r="I2654" i="1"/>
  <c r="L2654" i="1"/>
  <c r="M2654" i="1"/>
  <c r="V2654" i="1"/>
  <c r="W2654" i="1"/>
  <c r="A2461" i="1"/>
  <c r="D2461" i="1"/>
  <c r="F2461" i="1"/>
  <c r="H2461" i="1"/>
  <c r="I2461" i="1"/>
  <c r="L2461" i="1"/>
  <c r="M2461" i="1"/>
  <c r="V2461" i="1"/>
  <c r="W2461" i="1"/>
  <c r="A1131" i="1"/>
  <c r="D1131" i="1"/>
  <c r="F1131" i="1"/>
  <c r="H1131" i="1"/>
  <c r="I1131" i="1"/>
  <c r="L1131" i="1"/>
  <c r="M1131" i="1"/>
  <c r="V1131" i="1"/>
  <c r="W1131" i="1"/>
  <c r="A1794" i="1"/>
  <c r="D1794" i="1"/>
  <c r="F1794" i="1"/>
  <c r="H1794" i="1"/>
  <c r="I1794" i="1"/>
  <c r="L1794" i="1"/>
  <c r="M1794" i="1"/>
  <c r="V1794" i="1"/>
  <c r="W1794" i="1"/>
  <c r="A2410" i="1"/>
  <c r="D2410" i="1"/>
  <c r="F2410" i="1"/>
  <c r="H2410" i="1"/>
  <c r="I2410" i="1"/>
  <c r="L2410" i="1"/>
  <c r="M2410" i="1"/>
  <c r="V2410" i="1"/>
  <c r="W2410" i="1"/>
  <c r="A3507" i="1"/>
  <c r="D3507" i="1"/>
  <c r="F3507" i="1"/>
  <c r="H3507" i="1"/>
  <c r="I3507" i="1"/>
  <c r="L3507" i="1"/>
  <c r="M3507" i="1"/>
  <c r="V3507" i="1"/>
  <c r="W3507" i="1"/>
  <c r="A3392" i="1"/>
  <c r="D3392" i="1"/>
  <c r="F3392" i="1"/>
  <c r="H3392" i="1"/>
  <c r="I3392" i="1"/>
  <c r="L3392" i="1"/>
  <c r="M3392" i="1"/>
  <c r="V3392" i="1"/>
  <c r="W3392" i="1"/>
  <c r="A3554" i="1"/>
  <c r="D3554" i="1"/>
  <c r="F3554" i="1"/>
  <c r="H3554" i="1"/>
  <c r="I3554" i="1"/>
  <c r="L3554" i="1"/>
  <c r="M3554" i="1"/>
  <c r="V3554" i="1"/>
  <c r="W3554" i="1"/>
  <c r="A4044" i="1"/>
  <c r="D4044" i="1"/>
  <c r="F4044" i="1"/>
  <c r="H4044" i="1"/>
  <c r="I4044" i="1"/>
  <c r="L4044" i="1"/>
  <c r="M4044" i="1"/>
  <c r="V4044" i="1"/>
  <c r="W4044" i="1"/>
  <c r="A1065" i="1"/>
  <c r="D1065" i="1"/>
  <c r="F1065" i="1"/>
  <c r="H1065" i="1"/>
  <c r="I1065" i="1"/>
  <c r="L1065" i="1"/>
  <c r="M1065" i="1"/>
  <c r="V1065" i="1"/>
  <c r="W1065" i="1"/>
  <c r="A1113" i="1"/>
  <c r="D1113" i="1"/>
  <c r="F1113" i="1"/>
  <c r="H1113" i="1"/>
  <c r="I1113" i="1"/>
  <c r="L1113" i="1"/>
  <c r="M1113" i="1"/>
  <c r="V1113" i="1"/>
  <c r="W1113" i="1"/>
  <c r="A6084" i="1"/>
  <c r="D6084" i="1"/>
  <c r="F6084" i="1"/>
  <c r="H6084" i="1"/>
  <c r="I6084" i="1"/>
  <c r="L6084" i="1"/>
  <c r="M6084" i="1"/>
  <c r="V6084" i="1"/>
  <c r="W6084" i="1"/>
  <c r="A173" i="1"/>
  <c r="D173" i="1"/>
  <c r="F173" i="1"/>
  <c r="H173" i="1"/>
  <c r="I173" i="1"/>
  <c r="L173" i="1"/>
  <c r="M173" i="1"/>
  <c r="V173" i="1"/>
  <c r="W173" i="1"/>
  <c r="A5554" i="1"/>
  <c r="D5554" i="1"/>
  <c r="F5554" i="1"/>
  <c r="H5554" i="1"/>
  <c r="I5554" i="1"/>
  <c r="L5554" i="1"/>
  <c r="M5554" i="1"/>
  <c r="V5554" i="1"/>
  <c r="W5554" i="1"/>
  <c r="A5974" i="1"/>
  <c r="D5974" i="1"/>
  <c r="F5974" i="1"/>
  <c r="H5974" i="1"/>
  <c r="I5974" i="1"/>
  <c r="L5974" i="1"/>
  <c r="M5974" i="1"/>
  <c r="V5974" i="1"/>
  <c r="W5974" i="1"/>
  <c r="A5984" i="1"/>
  <c r="D5984" i="1"/>
  <c r="F5984" i="1"/>
  <c r="H5984" i="1"/>
  <c r="I5984" i="1"/>
  <c r="L5984" i="1"/>
  <c r="M5984" i="1"/>
  <c r="V5984" i="1"/>
  <c r="W5984" i="1"/>
  <c r="A6015" i="1"/>
  <c r="D6015" i="1"/>
  <c r="F6015" i="1"/>
  <c r="H6015" i="1"/>
  <c r="I6015" i="1"/>
  <c r="L6015" i="1"/>
  <c r="M6015" i="1"/>
  <c r="V6015" i="1"/>
  <c r="W6015" i="1"/>
  <c r="A759" i="1"/>
  <c r="D759" i="1"/>
  <c r="F759" i="1"/>
  <c r="H759" i="1"/>
  <c r="I759" i="1"/>
  <c r="L759" i="1"/>
  <c r="M759" i="1"/>
  <c r="V759" i="1"/>
  <c r="W759" i="1"/>
  <c r="A1443" i="1"/>
  <c r="D1443" i="1"/>
  <c r="F1443" i="1"/>
  <c r="H1443" i="1"/>
  <c r="I1443" i="1"/>
  <c r="L1443" i="1"/>
  <c r="M1443" i="1"/>
  <c r="V1443" i="1"/>
  <c r="W1443" i="1"/>
  <c r="A1688" i="1"/>
  <c r="D1688" i="1"/>
  <c r="F1688" i="1"/>
  <c r="H1688" i="1"/>
  <c r="I1688" i="1"/>
  <c r="L1688" i="1"/>
  <c r="M1688" i="1"/>
  <c r="V1688" i="1"/>
  <c r="W1688" i="1"/>
  <c r="A2437" i="1"/>
  <c r="D2437" i="1"/>
  <c r="F2437" i="1"/>
  <c r="H2437" i="1"/>
  <c r="I2437" i="1"/>
  <c r="L2437" i="1"/>
  <c r="M2437" i="1"/>
  <c r="V2437" i="1"/>
  <c r="W2437" i="1"/>
  <c r="A2915" i="1"/>
  <c r="D2915" i="1"/>
  <c r="F2915" i="1"/>
  <c r="H2915" i="1"/>
  <c r="I2915" i="1"/>
  <c r="L2915" i="1"/>
  <c r="M2915" i="1"/>
  <c r="V2915" i="1"/>
  <c r="W2915" i="1"/>
  <c r="A3330" i="1"/>
  <c r="D3330" i="1"/>
  <c r="F3330" i="1"/>
  <c r="H3330" i="1"/>
  <c r="I3330" i="1"/>
  <c r="L3330" i="1"/>
  <c r="M3330" i="1"/>
  <c r="V3330" i="1"/>
  <c r="W3330" i="1"/>
  <c r="A4519" i="1"/>
  <c r="D4519" i="1"/>
  <c r="F4519" i="1"/>
  <c r="H4519" i="1"/>
  <c r="I4519" i="1"/>
  <c r="L4519" i="1"/>
  <c r="M4519" i="1"/>
  <c r="V4519" i="1"/>
  <c r="W4519" i="1"/>
  <c r="A4751" i="1"/>
  <c r="D4751" i="1"/>
  <c r="F4751" i="1"/>
  <c r="H4751" i="1"/>
  <c r="I4751" i="1"/>
  <c r="L4751" i="1"/>
  <c r="M4751" i="1"/>
  <c r="V4751" i="1"/>
  <c r="W4751" i="1"/>
  <c r="A4798" i="1"/>
  <c r="D4798" i="1"/>
  <c r="F4798" i="1"/>
  <c r="H4798" i="1"/>
  <c r="I4798" i="1"/>
  <c r="L4798" i="1"/>
  <c r="M4798" i="1"/>
  <c r="V4798" i="1"/>
  <c r="W4798" i="1"/>
  <c r="A4945" i="1"/>
  <c r="D4945" i="1"/>
  <c r="F4945" i="1"/>
  <c r="H4945" i="1"/>
  <c r="I4945" i="1"/>
  <c r="L4945" i="1"/>
  <c r="M4945" i="1"/>
  <c r="V4945" i="1"/>
  <c r="W4945" i="1"/>
  <c r="A5645" i="1"/>
  <c r="D5645" i="1"/>
  <c r="F5645" i="1"/>
  <c r="H5645" i="1"/>
  <c r="I5645" i="1"/>
  <c r="L5645" i="1"/>
  <c r="M5645" i="1"/>
  <c r="V5645" i="1"/>
  <c r="W5645" i="1"/>
  <c r="A5709" i="1"/>
  <c r="D5709" i="1"/>
  <c r="F5709" i="1"/>
  <c r="H5709" i="1"/>
  <c r="I5709" i="1"/>
  <c r="L5709" i="1"/>
  <c r="M5709" i="1"/>
  <c r="V5709" i="1"/>
  <c r="W5709" i="1"/>
  <c r="A5718" i="1"/>
  <c r="D5718" i="1"/>
  <c r="F5718" i="1"/>
  <c r="H5718" i="1"/>
  <c r="I5718" i="1"/>
  <c r="L5718" i="1"/>
  <c r="M5718" i="1"/>
  <c r="V5718" i="1"/>
  <c r="W5718" i="1"/>
  <c r="A5987" i="1"/>
  <c r="D5987" i="1"/>
  <c r="F5987" i="1"/>
  <c r="H5987" i="1"/>
  <c r="I5987" i="1"/>
  <c r="L5987" i="1"/>
  <c r="M5987" i="1"/>
  <c r="V5987" i="1"/>
  <c r="W5987" i="1"/>
  <c r="A6137" i="1"/>
  <c r="D6137" i="1"/>
  <c r="F6137" i="1"/>
  <c r="H6137" i="1"/>
  <c r="I6137" i="1"/>
  <c r="L6137" i="1"/>
  <c r="M6137" i="1"/>
  <c r="V6137" i="1"/>
  <c r="W6137" i="1"/>
  <c r="A6187" i="1"/>
  <c r="D6187" i="1"/>
  <c r="F6187" i="1"/>
  <c r="H6187" i="1"/>
  <c r="I6187" i="1"/>
  <c r="L6187" i="1"/>
  <c r="M6187" i="1"/>
  <c r="V6187" i="1"/>
  <c r="W6187" i="1"/>
  <c r="A6216" i="1"/>
  <c r="D6216" i="1"/>
  <c r="F6216" i="1"/>
  <c r="H6216" i="1"/>
  <c r="I6216" i="1"/>
  <c r="L6216" i="1"/>
  <c r="M6216" i="1"/>
  <c r="V6216" i="1"/>
  <c r="W6216" i="1"/>
  <c r="A329" i="1"/>
  <c r="D329" i="1"/>
  <c r="F329" i="1"/>
  <c r="H329" i="1"/>
  <c r="I329" i="1"/>
  <c r="L329" i="1"/>
  <c r="M329" i="1"/>
  <c r="V329" i="1"/>
  <c r="W329" i="1"/>
  <c r="A347" i="1"/>
  <c r="D347" i="1"/>
  <c r="F347" i="1"/>
  <c r="H347" i="1"/>
  <c r="I347" i="1"/>
  <c r="L347" i="1"/>
  <c r="M347" i="1"/>
  <c r="V347" i="1"/>
  <c r="W347" i="1"/>
  <c r="A838" i="1"/>
  <c r="D838" i="1"/>
  <c r="F838" i="1"/>
  <c r="H838" i="1"/>
  <c r="I838" i="1"/>
  <c r="L838" i="1"/>
  <c r="M838" i="1"/>
  <c r="V838" i="1"/>
  <c r="W838" i="1"/>
  <c r="A1780" i="1"/>
  <c r="D1780" i="1"/>
  <c r="F1780" i="1"/>
  <c r="H1780" i="1"/>
  <c r="I1780" i="1"/>
  <c r="L1780" i="1"/>
  <c r="M1780" i="1"/>
  <c r="V1780" i="1"/>
  <c r="W1780" i="1"/>
  <c r="A1903" i="1"/>
  <c r="D1903" i="1"/>
  <c r="F1903" i="1"/>
  <c r="H1903" i="1"/>
  <c r="I1903" i="1"/>
  <c r="L1903" i="1"/>
  <c r="M1903" i="1"/>
  <c r="V1903" i="1"/>
  <c r="W1903" i="1"/>
  <c r="A4010" i="1"/>
  <c r="D4010" i="1"/>
  <c r="F4010" i="1"/>
  <c r="H4010" i="1"/>
  <c r="I4010" i="1"/>
  <c r="L4010" i="1"/>
  <c r="M4010" i="1"/>
  <c r="V4010" i="1"/>
  <c r="W4010" i="1"/>
  <c r="A5129" i="1"/>
  <c r="D5129" i="1"/>
  <c r="F5129" i="1"/>
  <c r="H5129" i="1"/>
  <c r="I5129" i="1"/>
  <c r="L5129" i="1"/>
  <c r="M5129" i="1"/>
  <c r="V5129" i="1"/>
  <c r="W5129" i="1"/>
  <c r="A5631" i="1"/>
  <c r="D5631" i="1"/>
  <c r="F5631" i="1"/>
  <c r="H5631" i="1"/>
  <c r="I5631" i="1"/>
  <c r="L5631" i="1"/>
  <c r="M5631" i="1"/>
  <c r="V5631" i="1"/>
  <c r="W5631" i="1"/>
  <c r="A2718" i="1"/>
  <c r="D2718" i="1"/>
  <c r="F2718" i="1"/>
  <c r="H2718" i="1"/>
  <c r="I2718" i="1"/>
  <c r="L2718" i="1"/>
  <c r="M2718" i="1"/>
  <c r="V2718" i="1"/>
  <c r="W2718" i="1"/>
  <c r="A336" i="1"/>
  <c r="D336" i="1"/>
  <c r="F336" i="1"/>
  <c r="H336" i="1"/>
  <c r="I336" i="1"/>
  <c r="L336" i="1"/>
  <c r="M336" i="1"/>
  <c r="V336" i="1"/>
  <c r="W336" i="1"/>
  <c r="A1050" i="1"/>
  <c r="D1050" i="1"/>
  <c r="F1050" i="1"/>
  <c r="H1050" i="1"/>
  <c r="I1050" i="1"/>
  <c r="L1050" i="1"/>
  <c r="M1050" i="1"/>
  <c r="V1050" i="1"/>
  <c r="W1050" i="1"/>
  <c r="A1440" i="1"/>
  <c r="D1440" i="1"/>
  <c r="F1440" i="1"/>
  <c r="H1440" i="1"/>
  <c r="I1440" i="1"/>
  <c r="L1440" i="1"/>
  <c r="M1440" i="1"/>
  <c r="V1440" i="1"/>
  <c r="W1440" i="1"/>
  <c r="A2289" i="1"/>
  <c r="D2289" i="1"/>
  <c r="F2289" i="1"/>
  <c r="H2289" i="1"/>
  <c r="I2289" i="1"/>
  <c r="L2289" i="1"/>
  <c r="M2289" i="1"/>
  <c r="V2289" i="1"/>
  <c r="W2289" i="1"/>
  <c r="A2324" i="1"/>
  <c r="D2324" i="1"/>
  <c r="F2324" i="1"/>
  <c r="H2324" i="1"/>
  <c r="I2324" i="1"/>
  <c r="L2324" i="1"/>
  <c r="M2324" i="1"/>
  <c r="V2324" i="1"/>
  <c r="W2324" i="1"/>
  <c r="A2618" i="1"/>
  <c r="D2618" i="1"/>
  <c r="F2618" i="1"/>
  <c r="H2618" i="1"/>
  <c r="I2618" i="1"/>
  <c r="L2618" i="1"/>
  <c r="M2618" i="1"/>
  <c r="V2618" i="1"/>
  <c r="W2618" i="1"/>
  <c r="A4108" i="1"/>
  <c r="D4108" i="1"/>
  <c r="F4108" i="1"/>
  <c r="H4108" i="1"/>
  <c r="I4108" i="1"/>
  <c r="L4108" i="1"/>
  <c r="M4108" i="1"/>
  <c r="V4108" i="1"/>
  <c r="W4108" i="1"/>
  <c r="A4388" i="1"/>
  <c r="D4388" i="1"/>
  <c r="F4388" i="1"/>
  <c r="H4388" i="1"/>
  <c r="I4388" i="1"/>
  <c r="L4388" i="1"/>
  <c r="M4388" i="1"/>
  <c r="V4388" i="1"/>
  <c r="W4388" i="1"/>
  <c r="A4632" i="1"/>
  <c r="D4632" i="1"/>
  <c r="F4632" i="1"/>
  <c r="H4632" i="1"/>
  <c r="I4632" i="1"/>
  <c r="L4632" i="1"/>
  <c r="M4632" i="1"/>
  <c r="V4632" i="1"/>
  <c r="W4632" i="1"/>
  <c r="A4745" i="1"/>
  <c r="D4745" i="1"/>
  <c r="F4745" i="1"/>
  <c r="H4745" i="1"/>
  <c r="I4745" i="1"/>
  <c r="L4745" i="1"/>
  <c r="M4745" i="1"/>
  <c r="V4745" i="1"/>
  <c r="W4745" i="1"/>
  <c r="A4941" i="1"/>
  <c r="D4941" i="1"/>
  <c r="F4941" i="1"/>
  <c r="H4941" i="1"/>
  <c r="I4941" i="1"/>
  <c r="L4941" i="1"/>
  <c r="M4941" i="1"/>
  <c r="V4941" i="1"/>
  <c r="W4941" i="1"/>
  <c r="A5113" i="1"/>
  <c r="D5113" i="1"/>
  <c r="F5113" i="1"/>
  <c r="H5113" i="1"/>
  <c r="I5113" i="1"/>
  <c r="L5113" i="1"/>
  <c r="M5113" i="1"/>
  <c r="V5113" i="1"/>
  <c r="W5113" i="1"/>
  <c r="A5565" i="1"/>
  <c r="D5565" i="1"/>
  <c r="F5565" i="1"/>
  <c r="H5565" i="1"/>
  <c r="I5565" i="1"/>
  <c r="L5565" i="1"/>
  <c r="M5565" i="1"/>
  <c r="V5565" i="1"/>
  <c r="W5565" i="1"/>
  <c r="A5706" i="1"/>
  <c r="D5706" i="1"/>
  <c r="F5706" i="1"/>
  <c r="H5706" i="1"/>
  <c r="I5706" i="1"/>
  <c r="L5706" i="1"/>
  <c r="M5706" i="1"/>
  <c r="V5706" i="1"/>
  <c r="W5706" i="1"/>
  <c r="A5986" i="1"/>
  <c r="D5986" i="1"/>
  <c r="F5986" i="1"/>
  <c r="H5986" i="1"/>
  <c r="I5986" i="1"/>
  <c r="L5986" i="1"/>
  <c r="M5986" i="1"/>
  <c r="V5986" i="1"/>
  <c r="W5986" i="1"/>
  <c r="A6112" i="1"/>
  <c r="D6112" i="1"/>
  <c r="F6112" i="1"/>
  <c r="H6112" i="1"/>
  <c r="I6112" i="1"/>
  <c r="L6112" i="1"/>
  <c r="M6112" i="1"/>
  <c r="V6112" i="1"/>
  <c r="W6112" i="1"/>
  <c r="A6195" i="1"/>
  <c r="D6195" i="1"/>
  <c r="F6195" i="1"/>
  <c r="H6195" i="1"/>
  <c r="I6195" i="1"/>
  <c r="L6195" i="1"/>
  <c r="M6195" i="1"/>
  <c r="V6195" i="1"/>
  <c r="W6195" i="1"/>
  <c r="A1149" i="1"/>
  <c r="D1149" i="1"/>
  <c r="F1149" i="1"/>
  <c r="H1149" i="1"/>
  <c r="I1149" i="1"/>
  <c r="L1149" i="1"/>
  <c r="M1149" i="1"/>
  <c r="V1149" i="1"/>
  <c r="W1149" i="1"/>
  <c r="A1711" i="1"/>
  <c r="D1711" i="1"/>
  <c r="F1711" i="1"/>
  <c r="H1711" i="1"/>
  <c r="I1711" i="1"/>
  <c r="L1711" i="1"/>
  <c r="M1711" i="1"/>
  <c r="V1711" i="1"/>
  <c r="W1711" i="1"/>
  <c r="A930" i="1"/>
  <c r="D930" i="1"/>
  <c r="F930" i="1"/>
  <c r="H930" i="1"/>
  <c r="I930" i="1"/>
  <c r="L930" i="1"/>
  <c r="M930" i="1"/>
  <c r="V930" i="1"/>
  <c r="W930" i="1"/>
  <c r="A13" i="1"/>
  <c r="D13" i="1"/>
  <c r="F13" i="1"/>
  <c r="H13" i="1"/>
  <c r="I13" i="1"/>
  <c r="L13" i="1"/>
  <c r="M13" i="1"/>
  <c r="V13" i="1"/>
  <c r="W13" i="1"/>
  <c r="A4823" i="1"/>
  <c r="D4823" i="1"/>
  <c r="F4823" i="1"/>
  <c r="H4823" i="1"/>
  <c r="I4823" i="1"/>
  <c r="L4823" i="1"/>
  <c r="M4823" i="1"/>
  <c r="V4823" i="1"/>
  <c r="W4823" i="1"/>
  <c r="A4986" i="1"/>
  <c r="D4986" i="1"/>
  <c r="F4986" i="1"/>
  <c r="H4986" i="1"/>
  <c r="I4986" i="1"/>
  <c r="L4986" i="1"/>
  <c r="M4986" i="1"/>
  <c r="V4986" i="1"/>
  <c r="W4986" i="1"/>
  <c r="A5067" i="1"/>
  <c r="D5067" i="1"/>
  <c r="F5067" i="1"/>
  <c r="H5067" i="1"/>
  <c r="I5067" i="1"/>
  <c r="L5067" i="1"/>
  <c r="M5067" i="1"/>
  <c r="V5067" i="1"/>
  <c r="W5067" i="1"/>
  <c r="A90" i="1"/>
  <c r="D90" i="1"/>
  <c r="F90" i="1"/>
  <c r="H90" i="1"/>
  <c r="I90" i="1"/>
  <c r="L90" i="1"/>
  <c r="M90" i="1"/>
  <c r="V90" i="1"/>
  <c r="W90" i="1"/>
  <c r="A2895" i="1"/>
  <c r="D2895" i="1"/>
  <c r="F2895" i="1"/>
  <c r="H2895" i="1"/>
  <c r="I2895" i="1"/>
  <c r="L2895" i="1"/>
  <c r="M2895" i="1"/>
  <c r="V2895" i="1"/>
  <c r="W2895" i="1"/>
  <c r="A3448" i="1"/>
  <c r="D3448" i="1"/>
  <c r="F3448" i="1"/>
  <c r="H3448" i="1"/>
  <c r="I3448" i="1"/>
  <c r="L3448" i="1"/>
  <c r="M3448" i="1"/>
  <c r="V3448" i="1"/>
  <c r="W3448" i="1"/>
  <c r="A3918" i="1"/>
  <c r="D3918" i="1"/>
  <c r="F3918" i="1"/>
  <c r="H3918" i="1"/>
  <c r="I3918" i="1"/>
  <c r="L3918" i="1"/>
  <c r="M3918" i="1"/>
  <c r="V3918" i="1"/>
  <c r="W3918" i="1"/>
  <c r="A4201" i="1"/>
  <c r="D4201" i="1"/>
  <c r="F4201" i="1"/>
  <c r="H4201" i="1"/>
  <c r="I4201" i="1"/>
  <c r="L4201" i="1"/>
  <c r="M4201" i="1"/>
  <c r="V4201" i="1"/>
  <c r="W4201" i="1"/>
  <c r="A4218" i="1"/>
  <c r="D4218" i="1"/>
  <c r="F4218" i="1"/>
  <c r="H4218" i="1"/>
  <c r="I4218" i="1"/>
  <c r="L4218" i="1"/>
  <c r="M4218" i="1"/>
  <c r="V4218" i="1"/>
  <c r="W4218" i="1"/>
  <c r="A4196" i="1"/>
  <c r="D4196" i="1"/>
  <c r="F4196" i="1"/>
  <c r="H4196" i="1"/>
  <c r="I4196" i="1"/>
  <c r="L4196" i="1"/>
  <c r="M4196" i="1"/>
  <c r="V4196" i="1"/>
  <c r="W4196" i="1"/>
  <c r="A4185" i="1"/>
  <c r="D4185" i="1"/>
  <c r="F4185" i="1"/>
  <c r="H4185" i="1"/>
  <c r="I4185" i="1"/>
  <c r="L4185" i="1"/>
  <c r="M4185" i="1"/>
  <c r="V4185" i="1"/>
  <c r="W4185" i="1"/>
  <c r="A4496" i="1"/>
  <c r="D4496" i="1"/>
  <c r="F4496" i="1"/>
  <c r="H4496" i="1"/>
  <c r="I4496" i="1"/>
  <c r="L4496" i="1"/>
  <c r="M4496" i="1"/>
  <c r="V4496" i="1"/>
  <c r="W4496" i="1"/>
  <c r="A3655" i="1"/>
  <c r="D3655" i="1"/>
  <c r="F3655" i="1"/>
  <c r="H3655" i="1"/>
  <c r="I3655" i="1"/>
  <c r="L3655" i="1"/>
  <c r="M3655" i="1"/>
  <c r="V3655" i="1"/>
  <c r="W3655" i="1"/>
  <c r="A2416" i="1"/>
  <c r="D2416" i="1"/>
  <c r="F2416" i="1"/>
  <c r="H2416" i="1"/>
  <c r="I2416" i="1"/>
  <c r="L2416" i="1"/>
  <c r="M2416" i="1"/>
  <c r="V2416" i="1"/>
  <c r="W2416" i="1"/>
  <c r="A1734" i="1"/>
  <c r="D1734" i="1"/>
  <c r="F1734" i="1"/>
  <c r="H1734" i="1"/>
  <c r="I1734" i="1"/>
  <c r="L1734" i="1"/>
  <c r="M1734" i="1"/>
  <c r="V1734" i="1"/>
  <c r="W1734" i="1"/>
  <c r="A4294" i="1"/>
  <c r="D4294" i="1"/>
  <c r="F4294" i="1"/>
  <c r="H4294" i="1"/>
  <c r="I4294" i="1"/>
  <c r="L4294" i="1"/>
  <c r="M4294" i="1"/>
  <c r="V4294" i="1"/>
  <c r="W4294" i="1"/>
  <c r="A2851" i="1"/>
  <c r="D2851" i="1"/>
  <c r="F2851" i="1"/>
  <c r="H2851" i="1"/>
  <c r="I2851" i="1"/>
  <c r="L2851" i="1"/>
  <c r="M2851" i="1"/>
  <c r="V2851" i="1"/>
  <c r="W2851" i="1"/>
  <c r="A3700" i="1"/>
  <c r="D3700" i="1"/>
  <c r="F3700" i="1"/>
  <c r="H3700" i="1"/>
  <c r="I3700" i="1"/>
  <c r="L3700" i="1"/>
  <c r="M3700" i="1"/>
  <c r="V3700" i="1"/>
  <c r="W3700" i="1"/>
  <c r="A5702" i="1"/>
  <c r="D5702" i="1"/>
  <c r="F5702" i="1"/>
  <c r="H5702" i="1"/>
  <c r="I5702" i="1"/>
  <c r="L5702" i="1"/>
  <c r="M5702" i="1"/>
  <c r="V5702" i="1"/>
  <c r="W5702" i="1"/>
  <c r="A2269" i="1"/>
  <c r="D2269" i="1"/>
  <c r="F2269" i="1"/>
  <c r="H2269" i="1"/>
  <c r="I2269" i="1"/>
  <c r="L2269" i="1"/>
  <c r="M2269" i="1"/>
  <c r="V2269" i="1"/>
  <c r="W2269" i="1"/>
  <c r="A4317" i="1"/>
  <c r="D4317" i="1"/>
  <c r="F4317" i="1"/>
  <c r="H4317" i="1"/>
  <c r="I4317" i="1"/>
  <c r="L4317" i="1"/>
  <c r="M4317" i="1"/>
  <c r="V4317" i="1"/>
  <c r="W4317" i="1"/>
  <c r="A521" i="1"/>
  <c r="D521" i="1"/>
  <c r="F521" i="1"/>
  <c r="H521" i="1"/>
  <c r="I521" i="1"/>
  <c r="L521" i="1"/>
  <c r="M521" i="1"/>
  <c r="V521" i="1"/>
  <c r="W521" i="1"/>
  <c r="A2228" i="1"/>
  <c r="D2228" i="1"/>
  <c r="F2228" i="1"/>
  <c r="H2228" i="1"/>
  <c r="I2228" i="1"/>
  <c r="L2228" i="1"/>
  <c r="M2228" i="1"/>
  <c r="V2228" i="1"/>
  <c r="W2228" i="1"/>
  <c r="A4461" i="1"/>
  <c r="D4461" i="1"/>
  <c r="F4461" i="1"/>
  <c r="H4461" i="1"/>
  <c r="I4461" i="1"/>
  <c r="L4461" i="1"/>
  <c r="M4461" i="1"/>
  <c r="V4461" i="1"/>
  <c r="W4461" i="1"/>
  <c r="A4444" i="1"/>
  <c r="D4444" i="1"/>
  <c r="F4444" i="1"/>
  <c r="H4444" i="1"/>
  <c r="I4444" i="1"/>
  <c r="L4444" i="1"/>
  <c r="M4444" i="1"/>
  <c r="V4444" i="1"/>
  <c r="W4444" i="1"/>
  <c r="A3481" i="1"/>
  <c r="D3481" i="1"/>
  <c r="F3481" i="1"/>
  <c r="H3481" i="1"/>
  <c r="I3481" i="1"/>
  <c r="L3481" i="1"/>
  <c r="M3481" i="1"/>
  <c r="V3481" i="1"/>
  <c r="W3481" i="1"/>
  <c r="A3985" i="1"/>
  <c r="D3985" i="1"/>
  <c r="F3985" i="1"/>
  <c r="H3985" i="1"/>
  <c r="I3985" i="1"/>
  <c r="L3985" i="1"/>
  <c r="M3985" i="1"/>
  <c r="V3985" i="1"/>
  <c r="W3985" i="1"/>
  <c r="A5184" i="1"/>
  <c r="D5184" i="1"/>
  <c r="F5184" i="1"/>
  <c r="H5184" i="1"/>
  <c r="I5184" i="1"/>
  <c r="L5184" i="1"/>
  <c r="M5184" i="1"/>
  <c r="V5184" i="1"/>
  <c r="W5184" i="1"/>
  <c r="A1405" i="1"/>
  <c r="D1405" i="1"/>
  <c r="F1405" i="1"/>
  <c r="H1405" i="1"/>
  <c r="I1405" i="1"/>
  <c r="L1405" i="1"/>
  <c r="M1405" i="1"/>
  <c r="V1405" i="1"/>
  <c r="W1405" i="1"/>
  <c r="A1298" i="1"/>
  <c r="D1298" i="1"/>
  <c r="F1298" i="1"/>
  <c r="H1298" i="1"/>
  <c r="I1298" i="1"/>
  <c r="L1298" i="1"/>
  <c r="M1298" i="1"/>
  <c r="V1298" i="1"/>
  <c r="W1298" i="1"/>
  <c r="A1893" i="1"/>
  <c r="D1893" i="1"/>
  <c r="F1893" i="1"/>
  <c r="H1893" i="1"/>
  <c r="I1893" i="1"/>
  <c r="L1893" i="1"/>
  <c r="M1893" i="1"/>
  <c r="V1893" i="1"/>
  <c r="W1893" i="1"/>
  <c r="A4827" i="1"/>
  <c r="D4827" i="1"/>
  <c r="F4827" i="1"/>
  <c r="H4827" i="1"/>
  <c r="I4827" i="1"/>
  <c r="L4827" i="1"/>
  <c r="M4827" i="1"/>
  <c r="V4827" i="1"/>
  <c r="W4827" i="1"/>
  <c r="A4441" i="1"/>
  <c r="D4441" i="1"/>
  <c r="F4441" i="1"/>
  <c r="H4441" i="1"/>
  <c r="I4441" i="1"/>
  <c r="L4441" i="1"/>
  <c r="M4441" i="1"/>
  <c r="V4441" i="1"/>
  <c r="W4441" i="1"/>
  <c r="A4972" i="1"/>
  <c r="D4972" i="1"/>
  <c r="F4972" i="1"/>
  <c r="H4972" i="1"/>
  <c r="I4972" i="1"/>
  <c r="L4972" i="1"/>
  <c r="M4972" i="1"/>
  <c r="V4972" i="1"/>
  <c r="W4972" i="1"/>
  <c r="A2001" i="1"/>
  <c r="D2001" i="1"/>
  <c r="F2001" i="1"/>
  <c r="H2001" i="1"/>
  <c r="I2001" i="1"/>
  <c r="L2001" i="1"/>
  <c r="M2001" i="1"/>
  <c r="V2001" i="1"/>
  <c r="W2001" i="1"/>
  <c r="A2431" i="1"/>
  <c r="D2431" i="1"/>
  <c r="F2431" i="1"/>
  <c r="H2431" i="1"/>
  <c r="I2431" i="1"/>
  <c r="L2431" i="1"/>
  <c r="M2431" i="1"/>
  <c r="V2431" i="1"/>
  <c r="W2431" i="1"/>
  <c r="A3926" i="1"/>
  <c r="D3926" i="1"/>
  <c r="F3926" i="1"/>
  <c r="H3926" i="1"/>
  <c r="I3926" i="1"/>
  <c r="L3926" i="1"/>
  <c r="M3926" i="1"/>
  <c r="V3926" i="1"/>
  <c r="W3926" i="1"/>
  <c r="A4073" i="1"/>
  <c r="D4073" i="1"/>
  <c r="F4073" i="1"/>
  <c r="H4073" i="1"/>
  <c r="I4073" i="1"/>
  <c r="L4073" i="1"/>
  <c r="M4073" i="1"/>
  <c r="V4073" i="1"/>
  <c r="W4073" i="1"/>
  <c r="A4252" i="1"/>
  <c r="D4252" i="1"/>
  <c r="F4252" i="1"/>
  <c r="H4252" i="1"/>
  <c r="I4252" i="1"/>
  <c r="L4252" i="1"/>
  <c r="M4252" i="1"/>
  <c r="V4252" i="1"/>
  <c r="W4252" i="1"/>
  <c r="A4608" i="1"/>
  <c r="D4608" i="1"/>
  <c r="F4608" i="1"/>
  <c r="H4608" i="1"/>
  <c r="I4608" i="1"/>
  <c r="L4608" i="1"/>
  <c r="M4608" i="1"/>
  <c r="V4608" i="1"/>
  <c r="W4608" i="1"/>
  <c r="A4570" i="1"/>
  <c r="D4570" i="1"/>
  <c r="F4570" i="1"/>
  <c r="H4570" i="1"/>
  <c r="I4570" i="1"/>
  <c r="L4570" i="1"/>
  <c r="M4570" i="1"/>
  <c r="V4570" i="1"/>
  <c r="W4570" i="1"/>
  <c r="A5571" i="1"/>
  <c r="D5571" i="1"/>
  <c r="F5571" i="1"/>
  <c r="H5571" i="1"/>
  <c r="I5571" i="1"/>
  <c r="L5571" i="1"/>
  <c r="M5571" i="1"/>
  <c r="V5571" i="1"/>
  <c r="W5571" i="1"/>
  <c r="A5620" i="1"/>
  <c r="D5620" i="1"/>
  <c r="F5620" i="1"/>
  <c r="H5620" i="1"/>
  <c r="I5620" i="1"/>
  <c r="L5620" i="1"/>
  <c r="M5620" i="1"/>
  <c r="V5620" i="1"/>
  <c r="W5620" i="1"/>
  <c r="A5629" i="1"/>
  <c r="D5629" i="1"/>
  <c r="F5629" i="1"/>
  <c r="H5629" i="1"/>
  <c r="I5629" i="1"/>
  <c r="L5629" i="1"/>
  <c r="M5629" i="1"/>
  <c r="V5629" i="1"/>
  <c r="W5629" i="1"/>
  <c r="A4822" i="1"/>
  <c r="D4822" i="1"/>
  <c r="F4822" i="1"/>
  <c r="H4822" i="1"/>
  <c r="I4822" i="1"/>
  <c r="L4822" i="1"/>
  <c r="M4822" i="1"/>
  <c r="V4822" i="1"/>
  <c r="W4822" i="1"/>
  <c r="A4424" i="1"/>
  <c r="D4424" i="1"/>
  <c r="F4424" i="1"/>
  <c r="H4424" i="1"/>
  <c r="I4424" i="1"/>
  <c r="L4424" i="1"/>
  <c r="M4424" i="1"/>
  <c r="V4424" i="1"/>
  <c r="W4424" i="1"/>
  <c r="A4551" i="1"/>
  <c r="D4551" i="1"/>
  <c r="F4551" i="1"/>
  <c r="H4551" i="1"/>
  <c r="I4551" i="1"/>
  <c r="L4551" i="1"/>
  <c r="M4551" i="1"/>
  <c r="V4551" i="1"/>
  <c r="W4551" i="1"/>
  <c r="A4557" i="1"/>
  <c r="D4557" i="1"/>
  <c r="F4557" i="1"/>
  <c r="H4557" i="1"/>
  <c r="I4557" i="1"/>
  <c r="L4557" i="1"/>
  <c r="M4557" i="1"/>
  <c r="V4557" i="1"/>
  <c r="W4557" i="1"/>
  <c r="A4565" i="1"/>
  <c r="D4565" i="1"/>
  <c r="F4565" i="1"/>
  <c r="H4565" i="1"/>
  <c r="I4565" i="1"/>
  <c r="L4565" i="1"/>
  <c r="M4565" i="1"/>
  <c r="V4565" i="1"/>
  <c r="W4565" i="1"/>
  <c r="A4571" i="1"/>
  <c r="D4571" i="1"/>
  <c r="F4571" i="1"/>
  <c r="H4571" i="1"/>
  <c r="I4571" i="1"/>
  <c r="L4571" i="1"/>
  <c r="M4571" i="1"/>
  <c r="V4571" i="1"/>
  <c r="W4571" i="1"/>
  <c r="A5783" i="1"/>
  <c r="D5783" i="1"/>
  <c r="F5783" i="1"/>
  <c r="H5783" i="1"/>
  <c r="I5783" i="1"/>
  <c r="L5783" i="1"/>
  <c r="M5783" i="1"/>
  <c r="V5783" i="1"/>
  <c r="W5783" i="1"/>
  <c r="A142" i="1"/>
  <c r="D142" i="1"/>
  <c r="F142" i="1"/>
  <c r="H142" i="1"/>
  <c r="I142" i="1"/>
  <c r="L142" i="1"/>
  <c r="M142" i="1"/>
  <c r="V142" i="1"/>
  <c r="W142" i="1"/>
  <c r="A428" i="1"/>
  <c r="D428" i="1"/>
  <c r="F428" i="1"/>
  <c r="H428" i="1"/>
  <c r="I428" i="1"/>
  <c r="L428" i="1"/>
  <c r="M428" i="1"/>
  <c r="V428" i="1"/>
  <c r="W428" i="1"/>
  <c r="A511" i="1"/>
  <c r="D511" i="1"/>
  <c r="F511" i="1"/>
  <c r="H511" i="1"/>
  <c r="I511" i="1"/>
  <c r="L511" i="1"/>
  <c r="M511" i="1"/>
  <c r="V511" i="1"/>
  <c r="W511" i="1"/>
  <c r="A878" i="1"/>
  <c r="D878" i="1"/>
  <c r="F878" i="1"/>
  <c r="H878" i="1"/>
  <c r="I878" i="1"/>
  <c r="L878" i="1"/>
  <c r="M878" i="1"/>
  <c r="V878" i="1"/>
  <c r="W878" i="1"/>
  <c r="A977" i="1"/>
  <c r="D977" i="1"/>
  <c r="F977" i="1"/>
  <c r="H977" i="1"/>
  <c r="I977" i="1"/>
  <c r="L977" i="1"/>
  <c r="M977" i="1"/>
  <c r="V977" i="1"/>
  <c r="W977" i="1"/>
  <c r="A1204" i="1"/>
  <c r="D1204" i="1"/>
  <c r="F1204" i="1"/>
  <c r="H1204" i="1"/>
  <c r="I1204" i="1"/>
  <c r="L1204" i="1"/>
  <c r="M1204" i="1"/>
  <c r="V1204" i="1"/>
  <c r="W1204" i="1"/>
  <c r="A1479" i="1"/>
  <c r="D1479" i="1"/>
  <c r="F1479" i="1"/>
  <c r="H1479" i="1"/>
  <c r="I1479" i="1"/>
  <c r="L1479" i="1"/>
  <c r="M1479" i="1"/>
  <c r="V1479" i="1"/>
  <c r="W1479" i="1"/>
  <c r="A2941" i="1"/>
  <c r="D2941" i="1"/>
  <c r="F2941" i="1"/>
  <c r="H2941" i="1"/>
  <c r="I2941" i="1"/>
  <c r="L2941" i="1"/>
  <c r="M2941" i="1"/>
  <c r="V2941" i="1"/>
  <c r="W2941" i="1"/>
  <c r="A3240" i="1"/>
  <c r="D3240" i="1"/>
  <c r="F3240" i="1"/>
  <c r="H3240" i="1"/>
  <c r="I3240" i="1"/>
  <c r="L3240" i="1"/>
  <c r="M3240" i="1"/>
  <c r="V3240" i="1"/>
  <c r="W3240" i="1"/>
  <c r="A3315" i="1"/>
  <c r="D3315" i="1"/>
  <c r="F3315" i="1"/>
  <c r="H3315" i="1"/>
  <c r="I3315" i="1"/>
  <c r="L3315" i="1"/>
  <c r="M3315" i="1"/>
  <c r="V3315" i="1"/>
  <c r="W3315" i="1"/>
  <c r="A3911" i="1"/>
  <c r="D3911" i="1"/>
  <c r="F3911" i="1"/>
  <c r="H3911" i="1"/>
  <c r="I3911" i="1"/>
  <c r="L3911" i="1"/>
  <c r="M3911" i="1"/>
  <c r="V3911" i="1"/>
  <c r="W3911" i="1"/>
  <c r="A1402" i="1"/>
  <c r="D1402" i="1"/>
  <c r="F1402" i="1"/>
  <c r="H1402" i="1"/>
  <c r="I1402" i="1"/>
  <c r="L1402" i="1"/>
  <c r="M1402" i="1"/>
  <c r="V1402" i="1"/>
  <c r="W1402" i="1"/>
  <c r="A5612" i="1"/>
  <c r="D5612" i="1"/>
  <c r="F5612" i="1"/>
  <c r="H5612" i="1"/>
  <c r="I5612" i="1"/>
  <c r="L5612" i="1"/>
  <c r="M5612" i="1"/>
  <c r="V5612" i="1"/>
  <c r="W5612" i="1"/>
  <c r="A1064" i="1"/>
  <c r="D1064" i="1"/>
  <c r="F1064" i="1"/>
  <c r="H1064" i="1"/>
  <c r="I1064" i="1"/>
  <c r="L1064" i="1"/>
  <c r="M1064" i="1"/>
  <c r="V1064" i="1"/>
  <c r="W1064" i="1"/>
  <c r="A5708" i="1"/>
  <c r="D5708" i="1"/>
  <c r="F5708" i="1"/>
  <c r="H5708" i="1"/>
  <c r="I5708" i="1"/>
  <c r="L5708" i="1"/>
  <c r="M5708" i="1"/>
  <c r="V5708" i="1"/>
  <c r="W5708" i="1"/>
  <c r="A5781" i="1"/>
  <c r="D5781" i="1"/>
  <c r="F5781" i="1"/>
  <c r="H5781" i="1"/>
  <c r="I5781" i="1"/>
  <c r="L5781" i="1"/>
  <c r="M5781" i="1"/>
  <c r="V5781" i="1"/>
  <c r="W5781" i="1"/>
  <c r="A2389" i="1"/>
  <c r="D2389" i="1"/>
  <c r="F2389" i="1"/>
  <c r="H2389" i="1"/>
  <c r="I2389" i="1"/>
  <c r="L2389" i="1"/>
  <c r="M2389" i="1"/>
  <c r="V2389" i="1"/>
  <c r="W2389" i="1"/>
  <c r="A4997" i="1"/>
  <c r="D4997" i="1"/>
  <c r="F4997" i="1"/>
  <c r="H4997" i="1"/>
  <c r="I4997" i="1"/>
  <c r="L4997" i="1"/>
  <c r="M4997" i="1"/>
  <c r="V4997" i="1"/>
  <c r="W4997" i="1"/>
  <c r="A2738" i="1"/>
  <c r="D2738" i="1"/>
  <c r="F2738" i="1"/>
  <c r="H2738" i="1"/>
  <c r="I2738" i="1"/>
  <c r="L2738" i="1"/>
  <c r="M2738" i="1"/>
  <c r="V2738" i="1"/>
  <c r="W2738" i="1"/>
  <c r="A2981" i="1"/>
  <c r="D2981" i="1"/>
  <c r="F2981" i="1"/>
  <c r="H2981" i="1"/>
  <c r="I2981" i="1"/>
  <c r="L2981" i="1"/>
  <c r="M2981" i="1"/>
  <c r="V2981" i="1"/>
  <c r="W2981" i="1"/>
  <c r="A3529" i="1"/>
  <c r="D3529" i="1"/>
  <c r="F3529" i="1"/>
  <c r="H3529" i="1"/>
  <c r="I3529" i="1"/>
  <c r="L3529" i="1"/>
  <c r="M3529" i="1"/>
  <c r="V3529" i="1"/>
  <c r="W3529" i="1"/>
  <c r="A3841" i="1"/>
  <c r="D3841" i="1"/>
  <c r="F3841" i="1"/>
  <c r="H3841" i="1"/>
  <c r="I3841" i="1"/>
  <c r="L3841" i="1"/>
  <c r="M3841" i="1"/>
  <c r="V3841" i="1"/>
  <c r="W3841" i="1"/>
  <c r="A4868" i="1"/>
  <c r="D4868" i="1"/>
  <c r="F4868" i="1"/>
  <c r="H4868" i="1"/>
  <c r="I4868" i="1"/>
  <c r="L4868" i="1"/>
  <c r="M4868" i="1"/>
  <c r="V4868" i="1"/>
  <c r="W4868" i="1"/>
  <c r="A4011" i="1"/>
  <c r="D4011" i="1"/>
  <c r="F4011" i="1"/>
  <c r="H4011" i="1"/>
  <c r="I4011" i="1"/>
  <c r="L4011" i="1"/>
  <c r="M4011" i="1"/>
  <c r="V4011" i="1"/>
  <c r="W4011" i="1"/>
  <c r="A4624" i="1"/>
  <c r="D4624" i="1"/>
  <c r="F4624" i="1"/>
  <c r="H4624" i="1"/>
  <c r="I4624" i="1"/>
  <c r="L4624" i="1"/>
  <c r="M4624" i="1"/>
  <c r="V4624" i="1"/>
  <c r="W4624" i="1"/>
  <c r="A758" i="1"/>
  <c r="D758" i="1"/>
  <c r="F758" i="1"/>
  <c r="H758" i="1"/>
  <c r="I758" i="1"/>
  <c r="L758" i="1"/>
  <c r="M758" i="1"/>
  <c r="V758" i="1"/>
  <c r="W758" i="1"/>
  <c r="A2048" i="1"/>
  <c r="D2048" i="1"/>
  <c r="F2048" i="1"/>
  <c r="H2048" i="1"/>
  <c r="I2048" i="1"/>
  <c r="L2048" i="1"/>
  <c r="M2048" i="1"/>
  <c r="V2048" i="1"/>
  <c r="W2048" i="1"/>
  <c r="A2552" i="1"/>
  <c r="D2552" i="1"/>
  <c r="F2552" i="1"/>
  <c r="H2552" i="1"/>
  <c r="I2552" i="1"/>
  <c r="L2552" i="1"/>
  <c r="M2552" i="1"/>
  <c r="V2552" i="1"/>
  <c r="W2552" i="1"/>
  <c r="A3343" i="1"/>
  <c r="D3343" i="1"/>
  <c r="F3343" i="1"/>
  <c r="H3343" i="1"/>
  <c r="I3343" i="1"/>
  <c r="L3343" i="1"/>
  <c r="M3343" i="1"/>
  <c r="V3343" i="1"/>
  <c r="W3343" i="1"/>
  <c r="A873" i="1"/>
  <c r="D873" i="1"/>
  <c r="F873" i="1"/>
  <c r="H873" i="1"/>
  <c r="I873" i="1"/>
  <c r="L873" i="1"/>
  <c r="M873" i="1"/>
  <c r="V873" i="1"/>
  <c r="W873" i="1"/>
  <c r="A974" i="1"/>
  <c r="D974" i="1"/>
  <c r="F974" i="1"/>
  <c r="H974" i="1"/>
  <c r="I974" i="1"/>
  <c r="L974" i="1"/>
  <c r="M974" i="1"/>
  <c r="V974" i="1"/>
  <c r="W974" i="1"/>
  <c r="A1200" i="1"/>
  <c r="D1200" i="1"/>
  <c r="F1200" i="1"/>
  <c r="H1200" i="1"/>
  <c r="I1200" i="1"/>
  <c r="L1200" i="1"/>
  <c r="M1200" i="1"/>
  <c r="V1200" i="1"/>
  <c r="W1200" i="1"/>
  <c r="A1472" i="1"/>
  <c r="D1472" i="1"/>
  <c r="F1472" i="1"/>
  <c r="H1472" i="1"/>
  <c r="I1472" i="1"/>
  <c r="L1472" i="1"/>
  <c r="M1472" i="1"/>
  <c r="V1472" i="1"/>
  <c r="W1472" i="1"/>
  <c r="A2938" i="1"/>
  <c r="D2938" i="1"/>
  <c r="F2938" i="1"/>
  <c r="H2938" i="1"/>
  <c r="I2938" i="1"/>
  <c r="L2938" i="1"/>
  <c r="M2938" i="1"/>
  <c r="V2938" i="1"/>
  <c r="W2938" i="1"/>
  <c r="A3236" i="1"/>
  <c r="D3236" i="1"/>
  <c r="F3236" i="1"/>
  <c r="H3236" i="1"/>
  <c r="I3236" i="1"/>
  <c r="L3236" i="1"/>
  <c r="M3236" i="1"/>
  <c r="V3236" i="1"/>
  <c r="W3236" i="1"/>
  <c r="A3313" i="1"/>
  <c r="D3313" i="1"/>
  <c r="F3313" i="1"/>
  <c r="H3313" i="1"/>
  <c r="I3313" i="1"/>
  <c r="L3313" i="1"/>
  <c r="M3313" i="1"/>
  <c r="V3313" i="1"/>
  <c r="W3313" i="1"/>
  <c r="A4957" i="1"/>
  <c r="D4957" i="1"/>
  <c r="F4957" i="1"/>
  <c r="H4957" i="1"/>
  <c r="I4957" i="1"/>
  <c r="L4957" i="1"/>
  <c r="M4957" i="1"/>
  <c r="V4957" i="1"/>
  <c r="W4957" i="1"/>
  <c r="A5449" i="1"/>
  <c r="D5449" i="1"/>
  <c r="F5449" i="1"/>
  <c r="H5449" i="1"/>
  <c r="I5449" i="1"/>
  <c r="L5449" i="1"/>
  <c r="M5449" i="1"/>
  <c r="V5449" i="1"/>
  <c r="W5449" i="1"/>
  <c r="A5618" i="1"/>
  <c r="D5618" i="1"/>
  <c r="F5618" i="1"/>
  <c r="H5618" i="1"/>
  <c r="I5618" i="1"/>
  <c r="L5618" i="1"/>
  <c r="M5618" i="1"/>
  <c r="V5618" i="1"/>
  <c r="W5618" i="1"/>
  <c r="A6184" i="1"/>
  <c r="D6184" i="1"/>
  <c r="F6184" i="1"/>
  <c r="H6184" i="1"/>
  <c r="I6184" i="1"/>
  <c r="L6184" i="1"/>
  <c r="M6184" i="1"/>
  <c r="V6184" i="1"/>
  <c r="W6184" i="1"/>
  <c r="A1866" i="1"/>
  <c r="D1866" i="1"/>
  <c r="F1866" i="1"/>
  <c r="H1866" i="1"/>
  <c r="I1866" i="1"/>
  <c r="L1866" i="1"/>
  <c r="M1866" i="1"/>
  <c r="V1866" i="1"/>
  <c r="W1866" i="1"/>
  <c r="A2596" i="1"/>
  <c r="D2596" i="1"/>
  <c r="F2596" i="1"/>
  <c r="H2596" i="1"/>
  <c r="I2596" i="1"/>
  <c r="L2596" i="1"/>
  <c r="M2596" i="1"/>
  <c r="V2596" i="1"/>
  <c r="W2596" i="1"/>
  <c r="A4443" i="1"/>
  <c r="D4443" i="1"/>
  <c r="F4443" i="1"/>
  <c r="H4443" i="1"/>
  <c r="I4443" i="1"/>
  <c r="L4443" i="1"/>
  <c r="M4443" i="1"/>
  <c r="V4443" i="1"/>
  <c r="W4443" i="1"/>
  <c r="A6100" i="1"/>
  <c r="D6100" i="1"/>
  <c r="F6100" i="1"/>
  <c r="H6100" i="1"/>
  <c r="I6100" i="1"/>
  <c r="L6100" i="1"/>
  <c r="M6100" i="1"/>
  <c r="V6100" i="1"/>
  <c r="W6100" i="1"/>
  <c r="A2556" i="1"/>
  <c r="D2556" i="1"/>
  <c r="F2556" i="1"/>
  <c r="H2556" i="1"/>
  <c r="I2556" i="1"/>
  <c r="L2556" i="1"/>
  <c r="M2556" i="1"/>
  <c r="V2556" i="1"/>
  <c r="W2556" i="1"/>
  <c r="A203" i="1"/>
  <c r="D203" i="1"/>
  <c r="F203" i="1"/>
  <c r="H203" i="1"/>
  <c r="I203" i="1"/>
  <c r="L203" i="1"/>
  <c r="M203" i="1"/>
  <c r="V203" i="1"/>
  <c r="W203" i="1"/>
  <c r="A2627" i="1"/>
  <c r="D2627" i="1"/>
  <c r="F2627" i="1"/>
  <c r="H2627" i="1"/>
  <c r="I2627" i="1"/>
  <c r="L2627" i="1"/>
  <c r="M2627" i="1"/>
  <c r="V2627" i="1"/>
  <c r="W2627" i="1"/>
  <c r="A2728" i="1"/>
  <c r="D2728" i="1"/>
  <c r="F2728" i="1"/>
  <c r="H2728" i="1"/>
  <c r="I2728" i="1"/>
  <c r="L2728" i="1"/>
  <c r="M2728" i="1"/>
  <c r="V2728" i="1"/>
  <c r="W2728" i="1"/>
  <c r="A5970" i="1"/>
  <c r="D5970" i="1"/>
  <c r="F5970" i="1"/>
  <c r="H5970" i="1"/>
  <c r="I5970" i="1"/>
  <c r="L5970" i="1"/>
  <c r="M5970" i="1"/>
  <c r="V5970" i="1"/>
  <c r="W5970" i="1"/>
  <c r="A5990" i="1"/>
  <c r="D5990" i="1"/>
  <c r="F5990" i="1"/>
  <c r="H5990" i="1"/>
  <c r="I5990" i="1"/>
  <c r="L5990" i="1"/>
  <c r="M5990" i="1"/>
  <c r="V5990" i="1"/>
  <c r="W5990" i="1"/>
  <c r="A3612" i="1"/>
  <c r="D3612" i="1"/>
  <c r="F3612" i="1"/>
  <c r="H3612" i="1"/>
  <c r="I3612" i="1"/>
  <c r="L3612" i="1"/>
  <c r="M3612" i="1"/>
  <c r="V3612" i="1"/>
  <c r="W3612" i="1"/>
  <c r="A2860" i="1"/>
  <c r="D2860" i="1"/>
  <c r="F2860" i="1"/>
  <c r="H2860" i="1"/>
  <c r="I2860" i="1"/>
  <c r="L2860" i="1"/>
  <c r="M2860" i="1"/>
  <c r="V2860" i="1"/>
  <c r="W2860" i="1"/>
  <c r="A5769" i="1"/>
  <c r="D5769" i="1"/>
  <c r="F5769" i="1"/>
  <c r="H5769" i="1"/>
  <c r="I5769" i="1"/>
  <c r="L5769" i="1"/>
  <c r="M5769" i="1"/>
  <c r="V5769" i="1"/>
  <c r="W5769" i="1"/>
  <c r="A1649" i="1"/>
  <c r="D1649" i="1"/>
  <c r="F1649" i="1"/>
  <c r="H1649" i="1"/>
  <c r="I1649" i="1"/>
  <c r="L1649" i="1"/>
  <c r="M1649" i="1"/>
  <c r="V1649" i="1"/>
  <c r="W1649" i="1"/>
  <c r="A2831" i="1"/>
  <c r="D2831" i="1"/>
  <c r="F2831" i="1"/>
  <c r="H2831" i="1"/>
  <c r="I2831" i="1"/>
  <c r="L2831" i="1"/>
  <c r="M2831" i="1"/>
  <c r="V2831" i="1"/>
  <c r="W2831" i="1"/>
  <c r="A5030" i="1"/>
  <c r="D5030" i="1"/>
  <c r="F5030" i="1"/>
  <c r="H5030" i="1"/>
  <c r="I5030" i="1"/>
  <c r="L5030" i="1"/>
  <c r="M5030" i="1"/>
  <c r="V5030" i="1"/>
  <c r="W5030" i="1"/>
  <c r="A5487" i="1"/>
  <c r="D5487" i="1"/>
  <c r="F5487" i="1"/>
  <c r="H5487" i="1"/>
  <c r="I5487" i="1"/>
  <c r="L5487" i="1"/>
  <c r="M5487" i="1"/>
  <c r="V5487" i="1"/>
  <c r="W5487" i="1"/>
  <c r="A313" i="1"/>
  <c r="D313" i="1"/>
  <c r="F313" i="1"/>
  <c r="H313" i="1"/>
  <c r="I313" i="1"/>
  <c r="L313" i="1"/>
  <c r="M313" i="1"/>
  <c r="V313" i="1"/>
  <c r="W313" i="1"/>
  <c r="A4260" i="1"/>
  <c r="D4260" i="1"/>
  <c r="F4260" i="1"/>
  <c r="H4260" i="1"/>
  <c r="I4260" i="1"/>
  <c r="L4260" i="1"/>
  <c r="M4260" i="1"/>
  <c r="V4260" i="1"/>
  <c r="W4260" i="1"/>
  <c r="A4381" i="1"/>
  <c r="D4381" i="1"/>
  <c r="F4381" i="1"/>
  <c r="H4381" i="1"/>
  <c r="I4381" i="1"/>
  <c r="L4381" i="1"/>
  <c r="M4381" i="1"/>
  <c r="V4381" i="1"/>
  <c r="W4381" i="1"/>
  <c r="A182" i="1"/>
  <c r="D182" i="1"/>
  <c r="F182" i="1"/>
  <c r="H182" i="1"/>
  <c r="I182" i="1"/>
  <c r="L182" i="1"/>
  <c r="M182" i="1"/>
  <c r="V182" i="1"/>
  <c r="W182" i="1"/>
  <c r="A5426" i="1"/>
  <c r="D5426" i="1"/>
  <c r="F5426" i="1"/>
  <c r="H5426" i="1"/>
  <c r="I5426" i="1"/>
  <c r="L5426" i="1"/>
  <c r="M5426" i="1"/>
  <c r="V5426" i="1"/>
  <c r="W5426" i="1"/>
  <c r="A4197" i="1"/>
  <c r="D4197" i="1"/>
  <c r="F4197" i="1"/>
  <c r="H4197" i="1"/>
  <c r="I4197" i="1"/>
  <c r="L4197" i="1"/>
  <c r="M4197" i="1"/>
  <c r="V4197" i="1"/>
  <c r="W4197" i="1"/>
  <c r="A5923" i="1"/>
  <c r="D5923" i="1"/>
  <c r="F5923" i="1"/>
  <c r="H5923" i="1"/>
  <c r="I5923" i="1"/>
  <c r="L5923" i="1"/>
  <c r="M5923" i="1"/>
  <c r="V5923" i="1"/>
  <c r="W5923" i="1"/>
  <c r="A4955" i="1"/>
  <c r="D4955" i="1"/>
  <c r="F4955" i="1"/>
  <c r="H4955" i="1"/>
  <c r="I4955" i="1"/>
  <c r="L4955" i="1"/>
  <c r="M4955" i="1"/>
  <c r="V4955" i="1"/>
  <c r="W4955" i="1"/>
  <c r="A5331" i="1"/>
  <c r="D5331" i="1"/>
  <c r="F5331" i="1"/>
  <c r="H5331" i="1"/>
  <c r="I5331" i="1"/>
  <c r="L5331" i="1"/>
  <c r="M5331" i="1"/>
  <c r="V5331" i="1"/>
  <c r="W5331" i="1"/>
  <c r="A2142" i="1"/>
  <c r="D2142" i="1"/>
  <c r="F2142" i="1"/>
  <c r="H2142" i="1"/>
  <c r="I2142" i="1"/>
  <c r="L2142" i="1"/>
  <c r="M2142" i="1"/>
  <c r="V2142" i="1"/>
  <c r="W2142" i="1"/>
  <c r="A2095" i="1"/>
  <c r="D2095" i="1"/>
  <c r="F2095" i="1"/>
  <c r="H2095" i="1"/>
  <c r="I2095" i="1"/>
  <c r="L2095" i="1"/>
  <c r="M2095" i="1"/>
  <c r="V2095" i="1"/>
  <c r="W2095" i="1"/>
  <c r="A4256" i="1"/>
  <c r="D4256" i="1"/>
  <c r="F4256" i="1"/>
  <c r="H4256" i="1"/>
  <c r="I4256" i="1"/>
  <c r="L4256" i="1"/>
  <c r="M4256" i="1"/>
  <c r="V4256" i="1"/>
  <c r="W4256" i="1"/>
  <c r="A4591" i="1"/>
  <c r="D4591" i="1"/>
  <c r="F4591" i="1"/>
  <c r="H4591" i="1"/>
  <c r="I4591" i="1"/>
  <c r="L4591" i="1"/>
  <c r="M4591" i="1"/>
  <c r="V4591" i="1"/>
  <c r="W4591" i="1"/>
  <c r="A132" i="1"/>
  <c r="D132" i="1"/>
  <c r="F132" i="1"/>
  <c r="H132" i="1"/>
  <c r="I132" i="1"/>
  <c r="L132" i="1"/>
  <c r="M132" i="1"/>
  <c r="V132" i="1"/>
  <c r="W132" i="1"/>
  <c r="A420" i="1"/>
  <c r="D420" i="1"/>
  <c r="F420" i="1"/>
  <c r="H420" i="1"/>
  <c r="I420" i="1"/>
  <c r="L420" i="1"/>
  <c r="M420" i="1"/>
  <c r="V420" i="1"/>
  <c r="W420" i="1"/>
  <c r="A1066" i="1"/>
  <c r="D1066" i="1"/>
  <c r="F1066" i="1"/>
  <c r="H1066" i="1"/>
  <c r="I1066" i="1"/>
  <c r="L1066" i="1"/>
  <c r="M1066" i="1"/>
  <c r="V1066" i="1"/>
  <c r="W1066" i="1"/>
  <c r="A1195" i="1"/>
  <c r="D1195" i="1"/>
  <c r="F1195" i="1"/>
  <c r="H1195" i="1"/>
  <c r="I1195" i="1"/>
  <c r="L1195" i="1"/>
  <c r="M1195" i="1"/>
  <c r="V1195" i="1"/>
  <c r="W1195" i="1"/>
  <c r="A1458" i="1"/>
  <c r="D1458" i="1"/>
  <c r="F1458" i="1"/>
  <c r="H1458" i="1"/>
  <c r="I1458" i="1"/>
  <c r="L1458" i="1"/>
  <c r="M1458" i="1"/>
  <c r="V1458" i="1"/>
  <c r="W1458" i="1"/>
  <c r="A1471" i="1"/>
  <c r="D1471" i="1"/>
  <c r="F1471" i="1"/>
  <c r="H1471" i="1"/>
  <c r="I1471" i="1"/>
  <c r="L1471" i="1"/>
  <c r="M1471" i="1"/>
  <c r="V1471" i="1"/>
  <c r="W1471" i="1"/>
  <c r="A3233" i="1"/>
  <c r="D3233" i="1"/>
  <c r="F3233" i="1"/>
  <c r="H3233" i="1"/>
  <c r="I3233" i="1"/>
  <c r="L3233" i="1"/>
  <c r="M3233" i="1"/>
  <c r="V3233" i="1"/>
  <c r="W3233" i="1"/>
  <c r="A4546" i="1"/>
  <c r="D4546" i="1"/>
  <c r="F4546" i="1"/>
  <c r="H4546" i="1"/>
  <c r="I4546" i="1"/>
  <c r="L4546" i="1"/>
  <c r="M4546" i="1"/>
  <c r="V4546" i="1"/>
  <c r="W4546" i="1"/>
  <c r="A6202" i="1"/>
  <c r="D6202" i="1"/>
  <c r="F6202" i="1"/>
  <c r="H6202" i="1"/>
  <c r="I6202" i="1"/>
  <c r="L6202" i="1"/>
  <c r="M6202" i="1"/>
  <c r="V6202" i="1"/>
  <c r="W6202" i="1"/>
  <c r="A1737" i="1"/>
  <c r="D1737" i="1"/>
  <c r="F1737" i="1"/>
  <c r="H1737" i="1"/>
  <c r="I1737" i="1"/>
  <c r="L1737" i="1"/>
  <c r="M1737" i="1"/>
  <c r="V1737" i="1"/>
  <c r="W1737" i="1"/>
  <c r="A1435" i="1"/>
  <c r="D1435" i="1"/>
  <c r="F1435" i="1"/>
  <c r="H1435" i="1"/>
  <c r="I1435" i="1"/>
  <c r="L1435" i="1"/>
  <c r="M1435" i="1"/>
  <c r="V1435" i="1"/>
  <c r="W1435" i="1"/>
  <c r="A1910" i="1"/>
  <c r="D1910" i="1"/>
  <c r="F1910" i="1"/>
  <c r="H1910" i="1"/>
  <c r="I1910" i="1"/>
  <c r="L1910" i="1"/>
  <c r="M1910" i="1"/>
  <c r="V1910" i="1"/>
  <c r="W1910" i="1"/>
  <c r="A668" i="1"/>
  <c r="D668" i="1"/>
  <c r="F668" i="1"/>
  <c r="H668" i="1"/>
  <c r="I668" i="1"/>
  <c r="L668" i="1"/>
  <c r="M668" i="1"/>
  <c r="V668" i="1"/>
  <c r="W668" i="1"/>
  <c r="A937" i="1"/>
  <c r="D937" i="1"/>
  <c r="F937" i="1"/>
  <c r="H937" i="1"/>
  <c r="I937" i="1"/>
  <c r="L937" i="1"/>
  <c r="M937" i="1"/>
  <c r="V937" i="1"/>
  <c r="W937" i="1"/>
  <c r="A1280" i="1"/>
  <c r="D1280" i="1"/>
  <c r="F1280" i="1"/>
  <c r="H1280" i="1"/>
  <c r="I1280" i="1"/>
  <c r="L1280" i="1"/>
  <c r="M1280" i="1"/>
  <c r="V1280" i="1"/>
  <c r="W1280" i="1"/>
  <c r="A384" i="1"/>
  <c r="D384" i="1"/>
  <c r="F384" i="1"/>
  <c r="H384" i="1"/>
  <c r="I384" i="1"/>
  <c r="L384" i="1"/>
  <c r="M384" i="1"/>
  <c r="V384" i="1"/>
  <c r="W384" i="1"/>
  <c r="A386" i="1"/>
  <c r="D386" i="1"/>
  <c r="F386" i="1"/>
  <c r="H386" i="1"/>
  <c r="I386" i="1"/>
  <c r="L386" i="1"/>
  <c r="M386" i="1"/>
  <c r="V386" i="1"/>
  <c r="W386" i="1"/>
  <c r="A4992" i="1"/>
  <c r="D4992" i="1"/>
  <c r="F4992" i="1"/>
  <c r="H4992" i="1"/>
  <c r="I4992" i="1"/>
  <c r="L4992" i="1"/>
  <c r="M4992" i="1"/>
  <c r="V4992" i="1"/>
  <c r="W4992" i="1"/>
  <c r="A400" i="1"/>
  <c r="D400" i="1"/>
  <c r="F400" i="1"/>
  <c r="H400" i="1"/>
  <c r="I400" i="1"/>
  <c r="L400" i="1"/>
  <c r="M400" i="1"/>
  <c r="V400" i="1"/>
  <c r="W400" i="1"/>
  <c r="A435" i="1"/>
  <c r="D435" i="1"/>
  <c r="F435" i="1"/>
  <c r="H435" i="1"/>
  <c r="I435" i="1"/>
  <c r="L435" i="1"/>
  <c r="M435" i="1"/>
  <c r="V435" i="1"/>
  <c r="W435" i="1"/>
  <c r="A2226" i="1"/>
  <c r="D2226" i="1"/>
  <c r="F2226" i="1"/>
  <c r="H2226" i="1"/>
  <c r="I2226" i="1"/>
  <c r="L2226" i="1"/>
  <c r="M2226" i="1"/>
  <c r="V2226" i="1"/>
  <c r="W2226" i="1"/>
  <c r="A656" i="1"/>
  <c r="D656" i="1"/>
  <c r="F656" i="1"/>
  <c r="H656" i="1"/>
  <c r="I656" i="1"/>
  <c r="L656" i="1"/>
  <c r="M656" i="1"/>
  <c r="V656" i="1"/>
  <c r="W656" i="1"/>
  <c r="A4463" i="1"/>
  <c r="D4463" i="1"/>
  <c r="F4463" i="1"/>
  <c r="H4463" i="1"/>
  <c r="I4463" i="1"/>
  <c r="L4463" i="1"/>
  <c r="M4463" i="1"/>
  <c r="V4463" i="1"/>
  <c r="W4463" i="1"/>
  <c r="A3970" i="1"/>
  <c r="D3970" i="1"/>
  <c r="F3970" i="1"/>
  <c r="H3970" i="1"/>
  <c r="I3970" i="1"/>
  <c r="L3970" i="1"/>
  <c r="M3970" i="1"/>
  <c r="V3970" i="1"/>
  <c r="W3970" i="1"/>
  <c r="A1644" i="1"/>
  <c r="D1644" i="1"/>
  <c r="F1644" i="1"/>
  <c r="H1644" i="1"/>
  <c r="I1644" i="1"/>
  <c r="L1644" i="1"/>
  <c r="M1644" i="1"/>
  <c r="V1644" i="1"/>
  <c r="W1644" i="1"/>
  <c r="A2156" i="1"/>
  <c r="D2156" i="1"/>
  <c r="F2156" i="1"/>
  <c r="H2156" i="1"/>
  <c r="I2156" i="1"/>
  <c r="L2156" i="1"/>
  <c r="M2156" i="1"/>
  <c r="V2156" i="1"/>
  <c r="W2156" i="1"/>
  <c r="A4378" i="1"/>
  <c r="D4378" i="1"/>
  <c r="F4378" i="1"/>
  <c r="H4378" i="1"/>
  <c r="I4378" i="1"/>
  <c r="L4378" i="1"/>
  <c r="M4378" i="1"/>
  <c r="V4378" i="1"/>
  <c r="W4378" i="1"/>
  <c r="A1363" i="1"/>
  <c r="D1363" i="1"/>
  <c r="F1363" i="1"/>
  <c r="H1363" i="1"/>
  <c r="I1363" i="1"/>
  <c r="L1363" i="1"/>
  <c r="M1363" i="1"/>
  <c r="V1363" i="1"/>
  <c r="W1363" i="1"/>
  <c r="A1934" i="1"/>
  <c r="D1934" i="1"/>
  <c r="F1934" i="1"/>
  <c r="H1934" i="1"/>
  <c r="I1934" i="1"/>
  <c r="L1934" i="1"/>
  <c r="M1934" i="1"/>
  <c r="V1934" i="1"/>
  <c r="W1934" i="1"/>
  <c r="A776" i="1"/>
  <c r="D776" i="1"/>
  <c r="F776" i="1"/>
  <c r="H776" i="1"/>
  <c r="I776" i="1"/>
  <c r="L776" i="1"/>
  <c r="M776" i="1"/>
  <c r="V776" i="1"/>
  <c r="W776" i="1"/>
  <c r="A1908" i="1"/>
  <c r="D1908" i="1"/>
  <c r="F1908" i="1"/>
  <c r="H1908" i="1"/>
  <c r="I1908" i="1"/>
  <c r="L1908" i="1"/>
  <c r="M1908" i="1"/>
  <c r="V1908" i="1"/>
  <c r="W1908" i="1"/>
  <c r="A2227" i="1"/>
  <c r="D2227" i="1"/>
  <c r="F2227" i="1"/>
  <c r="H2227" i="1"/>
  <c r="I2227" i="1"/>
  <c r="L2227" i="1"/>
  <c r="M2227" i="1"/>
  <c r="V2227" i="1"/>
  <c r="W2227" i="1"/>
  <c r="A4034" i="1"/>
  <c r="D4034" i="1"/>
  <c r="F4034" i="1"/>
  <c r="H4034" i="1"/>
  <c r="I4034" i="1"/>
  <c r="L4034" i="1"/>
  <c r="M4034" i="1"/>
  <c r="V4034" i="1"/>
  <c r="W4034" i="1"/>
  <c r="A3503" i="1"/>
  <c r="D3503" i="1"/>
  <c r="F3503" i="1"/>
  <c r="H3503" i="1"/>
  <c r="I3503" i="1"/>
  <c r="L3503" i="1"/>
  <c r="M3503" i="1"/>
  <c r="V3503" i="1"/>
  <c r="W3503" i="1"/>
  <c r="A5186" i="1"/>
  <c r="D5186" i="1"/>
  <c r="F5186" i="1"/>
  <c r="H5186" i="1"/>
  <c r="I5186" i="1"/>
  <c r="L5186" i="1"/>
  <c r="M5186" i="1"/>
  <c r="V5186" i="1"/>
  <c r="W5186" i="1"/>
  <c r="A5220" i="1"/>
  <c r="D5220" i="1"/>
  <c r="F5220" i="1"/>
  <c r="H5220" i="1"/>
  <c r="I5220" i="1"/>
  <c r="L5220" i="1"/>
  <c r="M5220" i="1"/>
  <c r="V5220" i="1"/>
  <c r="W5220" i="1"/>
  <c r="A5367" i="1"/>
  <c r="D5367" i="1"/>
  <c r="F5367" i="1"/>
  <c r="H5367" i="1"/>
  <c r="I5367" i="1"/>
  <c r="L5367" i="1"/>
  <c r="M5367" i="1"/>
  <c r="V5367" i="1"/>
  <c r="W5367" i="1"/>
  <c r="A391" i="1"/>
  <c r="D391" i="1"/>
  <c r="F391" i="1"/>
  <c r="H391" i="1"/>
  <c r="I391" i="1"/>
  <c r="L391" i="1"/>
  <c r="M391" i="1"/>
  <c r="V391" i="1"/>
  <c r="W391" i="1"/>
  <c r="A1241" i="1"/>
  <c r="D1241" i="1"/>
  <c r="F1241" i="1"/>
  <c r="H1241" i="1"/>
  <c r="I1241" i="1"/>
  <c r="L1241" i="1"/>
  <c r="M1241" i="1"/>
  <c r="V1241" i="1"/>
  <c r="W1241" i="1"/>
  <c r="A1442" i="1"/>
  <c r="D1442" i="1"/>
  <c r="F1442" i="1"/>
  <c r="H1442" i="1"/>
  <c r="I1442" i="1"/>
  <c r="L1442" i="1"/>
  <c r="M1442" i="1"/>
  <c r="V1442" i="1"/>
  <c r="W1442" i="1"/>
  <c r="A4316" i="1"/>
  <c r="D4316" i="1"/>
  <c r="F4316" i="1"/>
  <c r="H4316" i="1"/>
  <c r="I4316" i="1"/>
  <c r="L4316" i="1"/>
  <c r="M4316" i="1"/>
  <c r="V4316" i="1"/>
  <c r="W4316" i="1"/>
  <c r="A515" i="1"/>
  <c r="D515" i="1"/>
  <c r="F515" i="1"/>
  <c r="H515" i="1"/>
  <c r="I515" i="1"/>
  <c r="L515" i="1"/>
  <c r="M515" i="1"/>
  <c r="V515" i="1"/>
  <c r="W515" i="1"/>
  <c r="A1217" i="1"/>
  <c r="D1217" i="1"/>
  <c r="F1217" i="1"/>
  <c r="H1217" i="1"/>
  <c r="I1217" i="1"/>
  <c r="L1217" i="1"/>
  <c r="M1217" i="1"/>
  <c r="V1217" i="1"/>
  <c r="W1217" i="1"/>
  <c r="A1493" i="1"/>
  <c r="D1493" i="1"/>
  <c r="F1493" i="1"/>
  <c r="H1493" i="1"/>
  <c r="I1493" i="1"/>
  <c r="L1493" i="1"/>
  <c r="M1493" i="1"/>
  <c r="V1493" i="1"/>
  <c r="W1493" i="1"/>
  <c r="A1813" i="1"/>
  <c r="D1813" i="1"/>
  <c r="F1813" i="1"/>
  <c r="H1813" i="1"/>
  <c r="I1813" i="1"/>
  <c r="L1813" i="1"/>
  <c r="M1813" i="1"/>
  <c r="V1813" i="1"/>
  <c r="W1813" i="1"/>
  <c r="A2246" i="1"/>
  <c r="D2246" i="1"/>
  <c r="F2246" i="1"/>
  <c r="H2246" i="1"/>
  <c r="I2246" i="1"/>
  <c r="L2246" i="1"/>
  <c r="M2246" i="1"/>
  <c r="V2246" i="1"/>
  <c r="W2246" i="1"/>
  <c r="A2570" i="1"/>
  <c r="D2570" i="1"/>
  <c r="F2570" i="1"/>
  <c r="H2570" i="1"/>
  <c r="I2570" i="1"/>
  <c r="L2570" i="1"/>
  <c r="M2570" i="1"/>
  <c r="V2570" i="1"/>
  <c r="W2570" i="1"/>
  <c r="A2956" i="1"/>
  <c r="D2956" i="1"/>
  <c r="F2956" i="1"/>
  <c r="H2956" i="1"/>
  <c r="I2956" i="1"/>
  <c r="L2956" i="1"/>
  <c r="M2956" i="1"/>
  <c r="V2956" i="1"/>
  <c r="W2956" i="1"/>
  <c r="A3187" i="1"/>
  <c r="D3187" i="1"/>
  <c r="F3187" i="1"/>
  <c r="H3187" i="1"/>
  <c r="I3187" i="1"/>
  <c r="L3187" i="1"/>
  <c r="M3187" i="1"/>
  <c r="V3187" i="1"/>
  <c r="W3187" i="1"/>
  <c r="A3478" i="1"/>
  <c r="D3478" i="1"/>
  <c r="F3478" i="1"/>
  <c r="H3478" i="1"/>
  <c r="I3478" i="1"/>
  <c r="L3478" i="1"/>
  <c r="M3478" i="1"/>
  <c r="V3478" i="1"/>
  <c r="W3478" i="1"/>
  <c r="A3917" i="1"/>
  <c r="D3917" i="1"/>
  <c r="F3917" i="1"/>
  <c r="H3917" i="1"/>
  <c r="I3917" i="1"/>
  <c r="L3917" i="1"/>
  <c r="M3917" i="1"/>
  <c r="V3917" i="1"/>
  <c r="W3917" i="1"/>
  <c r="A4327" i="1"/>
  <c r="D4327" i="1"/>
  <c r="F4327" i="1"/>
  <c r="H4327" i="1"/>
  <c r="I4327" i="1"/>
  <c r="L4327" i="1"/>
  <c r="M4327" i="1"/>
  <c r="V4327" i="1"/>
  <c r="W4327" i="1"/>
  <c r="A4815" i="1"/>
  <c r="D4815" i="1"/>
  <c r="F4815" i="1"/>
  <c r="H4815" i="1"/>
  <c r="I4815" i="1"/>
  <c r="L4815" i="1"/>
  <c r="M4815" i="1"/>
  <c r="V4815" i="1"/>
  <c r="W4815" i="1"/>
  <c r="A4970" i="1"/>
  <c r="D4970" i="1"/>
  <c r="F4970" i="1"/>
  <c r="H4970" i="1"/>
  <c r="I4970" i="1"/>
  <c r="L4970" i="1"/>
  <c r="M4970" i="1"/>
  <c r="V4970" i="1"/>
  <c r="W4970" i="1"/>
  <c r="A5156" i="1"/>
  <c r="D5156" i="1"/>
  <c r="F5156" i="1"/>
  <c r="H5156" i="1"/>
  <c r="I5156" i="1"/>
  <c r="L5156" i="1"/>
  <c r="M5156" i="1"/>
  <c r="V5156" i="1"/>
  <c r="W5156" i="1"/>
  <c r="A5326" i="1"/>
  <c r="D5326" i="1"/>
  <c r="F5326" i="1"/>
  <c r="H5326" i="1"/>
  <c r="I5326" i="1"/>
  <c r="L5326" i="1"/>
  <c r="M5326" i="1"/>
  <c r="V5326" i="1"/>
  <c r="W5326" i="1"/>
  <c r="A5467" i="1"/>
  <c r="D5467" i="1"/>
  <c r="F5467" i="1"/>
  <c r="H5467" i="1"/>
  <c r="I5467" i="1"/>
  <c r="L5467" i="1"/>
  <c r="M5467" i="1"/>
  <c r="V5467" i="1"/>
  <c r="W5467" i="1"/>
  <c r="A5632" i="1"/>
  <c r="D5632" i="1"/>
  <c r="F5632" i="1"/>
  <c r="H5632" i="1"/>
  <c r="I5632" i="1"/>
  <c r="L5632" i="1"/>
  <c r="M5632" i="1"/>
  <c r="V5632" i="1"/>
  <c r="W5632" i="1"/>
  <c r="A1328" i="1"/>
  <c r="D1328" i="1"/>
  <c r="F1328" i="1"/>
  <c r="H1328" i="1"/>
  <c r="I1328" i="1"/>
  <c r="L1328" i="1"/>
  <c r="M1328" i="1"/>
  <c r="V1328" i="1"/>
  <c r="W1328" i="1"/>
  <c r="A2613" i="1"/>
  <c r="D2613" i="1"/>
  <c r="F2613" i="1"/>
  <c r="H2613" i="1"/>
  <c r="I2613" i="1"/>
  <c r="L2613" i="1"/>
  <c r="M2613" i="1"/>
  <c r="V2613" i="1"/>
  <c r="W2613" i="1"/>
  <c r="A5566" i="1"/>
  <c r="D5566" i="1"/>
  <c r="F5566" i="1"/>
  <c r="H5566" i="1"/>
  <c r="I5566" i="1"/>
  <c r="L5566" i="1"/>
  <c r="M5566" i="1"/>
  <c r="V5566" i="1"/>
  <c r="W5566" i="1"/>
  <c r="A5452" i="1"/>
  <c r="D5452" i="1"/>
  <c r="F5452" i="1"/>
  <c r="H5452" i="1"/>
  <c r="I5452" i="1"/>
  <c r="L5452" i="1"/>
  <c r="M5452" i="1"/>
  <c r="V5452" i="1"/>
  <c r="W5452" i="1"/>
  <c r="A5568" i="1"/>
  <c r="D5568" i="1"/>
  <c r="F5568" i="1"/>
  <c r="H5568" i="1"/>
  <c r="I5568" i="1"/>
  <c r="L5568" i="1"/>
  <c r="M5568" i="1"/>
  <c r="V5568" i="1"/>
  <c r="W5568" i="1"/>
  <c r="A5622" i="1"/>
  <c r="D5622" i="1"/>
  <c r="F5622" i="1"/>
  <c r="H5622" i="1"/>
  <c r="I5622" i="1"/>
  <c r="L5622" i="1"/>
  <c r="M5622" i="1"/>
  <c r="V5622" i="1"/>
  <c r="W5622" i="1"/>
  <c r="A5711" i="1"/>
  <c r="D5711" i="1"/>
  <c r="F5711" i="1"/>
  <c r="H5711" i="1"/>
  <c r="I5711" i="1"/>
  <c r="L5711" i="1"/>
  <c r="M5711" i="1"/>
  <c r="V5711" i="1"/>
  <c r="W5711" i="1"/>
  <c r="A6186" i="1"/>
  <c r="D6186" i="1"/>
  <c r="F6186" i="1"/>
  <c r="H6186" i="1"/>
  <c r="I6186" i="1"/>
  <c r="L6186" i="1"/>
  <c r="M6186" i="1"/>
  <c r="V6186" i="1"/>
  <c r="W6186" i="1"/>
  <c r="A986" i="1"/>
  <c r="D986" i="1"/>
  <c r="F986" i="1"/>
  <c r="H986" i="1"/>
  <c r="I986" i="1"/>
  <c r="L986" i="1"/>
  <c r="M986" i="1"/>
  <c r="V986" i="1"/>
  <c r="W986" i="1"/>
  <c r="A4808" i="1"/>
  <c r="D4808" i="1"/>
  <c r="F4808" i="1"/>
  <c r="H4808" i="1"/>
  <c r="I4808" i="1"/>
  <c r="L4808" i="1"/>
  <c r="M4808" i="1"/>
  <c r="V4808" i="1"/>
  <c r="W4808" i="1"/>
  <c r="A307" i="1"/>
  <c r="D307" i="1"/>
  <c r="F307" i="1"/>
  <c r="H307" i="1"/>
  <c r="I307" i="1"/>
  <c r="L307" i="1"/>
  <c r="M307" i="1"/>
  <c r="V307" i="1"/>
  <c r="W307" i="1"/>
  <c r="A156" i="1"/>
  <c r="D156" i="1"/>
  <c r="F156" i="1"/>
  <c r="H156" i="1"/>
  <c r="I156" i="1"/>
  <c r="L156" i="1"/>
  <c r="M156" i="1"/>
  <c r="V156" i="1"/>
  <c r="W156" i="1"/>
  <c r="A442" i="1"/>
  <c r="D442" i="1"/>
  <c r="F442" i="1"/>
  <c r="H442" i="1"/>
  <c r="I442" i="1"/>
  <c r="L442" i="1"/>
  <c r="M442" i="1"/>
  <c r="V442" i="1"/>
  <c r="W442" i="1"/>
  <c r="A894" i="1"/>
  <c r="D894" i="1"/>
  <c r="F894" i="1"/>
  <c r="H894" i="1"/>
  <c r="I894" i="1"/>
  <c r="L894" i="1"/>
  <c r="M894" i="1"/>
  <c r="V894" i="1"/>
  <c r="W894" i="1"/>
  <c r="A1223" i="1"/>
  <c r="D1223" i="1"/>
  <c r="F1223" i="1"/>
  <c r="H1223" i="1"/>
  <c r="I1223" i="1"/>
  <c r="L1223" i="1"/>
  <c r="M1223" i="1"/>
  <c r="V1223" i="1"/>
  <c r="W1223" i="1"/>
  <c r="A1505" i="1"/>
  <c r="D1505" i="1"/>
  <c r="F1505" i="1"/>
  <c r="H1505" i="1"/>
  <c r="I1505" i="1"/>
  <c r="L1505" i="1"/>
  <c r="M1505" i="1"/>
  <c r="V1505" i="1"/>
  <c r="W1505" i="1"/>
  <c r="A2677" i="1"/>
  <c r="D2677" i="1"/>
  <c r="F2677" i="1"/>
  <c r="H2677" i="1"/>
  <c r="I2677" i="1"/>
  <c r="L2677" i="1"/>
  <c r="M2677" i="1"/>
  <c r="V2677" i="1"/>
  <c r="W2677" i="1"/>
  <c r="A2961" i="1"/>
  <c r="D2961" i="1"/>
  <c r="F2961" i="1"/>
  <c r="H2961" i="1"/>
  <c r="I2961" i="1"/>
  <c r="L2961" i="1"/>
  <c r="M2961" i="1"/>
  <c r="V2961" i="1"/>
  <c r="W2961" i="1"/>
  <c r="A3250" i="1"/>
  <c r="D3250" i="1"/>
  <c r="F3250" i="1"/>
  <c r="H3250" i="1"/>
  <c r="I3250" i="1"/>
  <c r="L3250" i="1"/>
  <c r="M3250" i="1"/>
  <c r="V3250" i="1"/>
  <c r="W3250" i="1"/>
  <c r="A3338" i="1"/>
  <c r="D3338" i="1"/>
  <c r="F3338" i="1"/>
  <c r="H3338" i="1"/>
  <c r="I3338" i="1"/>
  <c r="L3338" i="1"/>
  <c r="M3338" i="1"/>
  <c r="V3338" i="1"/>
  <c r="W3338" i="1"/>
  <c r="A3611" i="1"/>
  <c r="D3611" i="1"/>
  <c r="F3611" i="1"/>
  <c r="H3611" i="1"/>
  <c r="I3611" i="1"/>
  <c r="L3611" i="1"/>
  <c r="M3611" i="1"/>
  <c r="V3611" i="1"/>
  <c r="W3611" i="1"/>
  <c r="A3937" i="1"/>
  <c r="D3937" i="1"/>
  <c r="F3937" i="1"/>
  <c r="H3937" i="1"/>
  <c r="I3937" i="1"/>
  <c r="L3937" i="1"/>
  <c r="M3937" i="1"/>
  <c r="V3937" i="1"/>
  <c r="W3937" i="1"/>
  <c r="A4549" i="1"/>
  <c r="D4549" i="1"/>
  <c r="F4549" i="1"/>
  <c r="H4549" i="1"/>
  <c r="I4549" i="1"/>
  <c r="L4549" i="1"/>
  <c r="M4549" i="1"/>
  <c r="V4549" i="1"/>
  <c r="W4549" i="1"/>
  <c r="A4554" i="1"/>
  <c r="D4554" i="1"/>
  <c r="F4554" i="1"/>
  <c r="H4554" i="1"/>
  <c r="I4554" i="1"/>
  <c r="L4554" i="1"/>
  <c r="M4554" i="1"/>
  <c r="V4554" i="1"/>
  <c r="W4554" i="1"/>
  <c r="A4644" i="1"/>
  <c r="D4644" i="1"/>
  <c r="F4644" i="1"/>
  <c r="H4644" i="1"/>
  <c r="I4644" i="1"/>
  <c r="L4644" i="1"/>
  <c r="M4644" i="1"/>
  <c r="V4644" i="1"/>
  <c r="W4644" i="1"/>
  <c r="A4673" i="1"/>
  <c r="D4673" i="1"/>
  <c r="F4673" i="1"/>
  <c r="H4673" i="1"/>
  <c r="I4673" i="1"/>
  <c r="L4673" i="1"/>
  <c r="M4673" i="1"/>
  <c r="V4673" i="1"/>
  <c r="W4673" i="1"/>
  <c r="A4819" i="1"/>
  <c r="D4819" i="1"/>
  <c r="F4819" i="1"/>
  <c r="H4819" i="1"/>
  <c r="I4819" i="1"/>
  <c r="L4819" i="1"/>
  <c r="M4819" i="1"/>
  <c r="V4819" i="1"/>
  <c r="W4819" i="1"/>
  <c r="A4978" i="1"/>
  <c r="D4978" i="1"/>
  <c r="F4978" i="1"/>
  <c r="H4978" i="1"/>
  <c r="I4978" i="1"/>
  <c r="L4978" i="1"/>
  <c r="M4978" i="1"/>
  <c r="V4978" i="1"/>
  <c r="W4978" i="1"/>
  <c r="A5264" i="1"/>
  <c r="D5264" i="1"/>
  <c r="F5264" i="1"/>
  <c r="H5264" i="1"/>
  <c r="I5264" i="1"/>
  <c r="L5264" i="1"/>
  <c r="M5264" i="1"/>
  <c r="V5264" i="1"/>
  <c r="W5264" i="1"/>
  <c r="A5332" i="1"/>
  <c r="D5332" i="1"/>
  <c r="F5332" i="1"/>
  <c r="H5332" i="1"/>
  <c r="I5332" i="1"/>
  <c r="L5332" i="1"/>
  <c r="M5332" i="1"/>
  <c r="V5332" i="1"/>
  <c r="W5332" i="1"/>
  <c r="A5472" i="1"/>
  <c r="D5472" i="1"/>
  <c r="F5472" i="1"/>
  <c r="H5472" i="1"/>
  <c r="I5472" i="1"/>
  <c r="L5472" i="1"/>
  <c r="M5472" i="1"/>
  <c r="V5472" i="1"/>
  <c r="W5472" i="1"/>
  <c r="A5636" i="1"/>
  <c r="D5636" i="1"/>
  <c r="F5636" i="1"/>
  <c r="H5636" i="1"/>
  <c r="I5636" i="1"/>
  <c r="L5636" i="1"/>
  <c r="M5636" i="1"/>
  <c r="V5636" i="1"/>
  <c r="W5636" i="1"/>
  <c r="A5825" i="1"/>
  <c r="D5825" i="1"/>
  <c r="F5825" i="1"/>
  <c r="H5825" i="1"/>
  <c r="I5825" i="1"/>
  <c r="L5825" i="1"/>
  <c r="M5825" i="1"/>
  <c r="V5825" i="1"/>
  <c r="W5825" i="1"/>
  <c r="A5967" i="1"/>
  <c r="D5967" i="1"/>
  <c r="F5967" i="1"/>
  <c r="H5967" i="1"/>
  <c r="I5967" i="1"/>
  <c r="L5967" i="1"/>
  <c r="M5967" i="1"/>
  <c r="V5967" i="1"/>
  <c r="W5967" i="1"/>
  <c r="A5912" i="1"/>
  <c r="D5912" i="1"/>
  <c r="F5912" i="1"/>
  <c r="H5912" i="1"/>
  <c r="I5912" i="1"/>
  <c r="L5912" i="1"/>
  <c r="M5912" i="1"/>
  <c r="V5912" i="1"/>
  <c r="W5912" i="1"/>
  <c r="A6203" i="1"/>
  <c r="D6203" i="1"/>
  <c r="F6203" i="1"/>
  <c r="H6203" i="1"/>
  <c r="I6203" i="1"/>
  <c r="L6203" i="1"/>
  <c r="M6203" i="1"/>
  <c r="V6203" i="1"/>
  <c r="W6203" i="1"/>
  <c r="A6099" i="1"/>
  <c r="D6099" i="1"/>
  <c r="F6099" i="1"/>
  <c r="H6099" i="1"/>
  <c r="I6099" i="1"/>
  <c r="L6099" i="1"/>
  <c r="M6099" i="1"/>
  <c r="V6099" i="1"/>
  <c r="W6099" i="1"/>
  <c r="A689" i="1"/>
  <c r="D689" i="1"/>
  <c r="F689" i="1"/>
  <c r="H689" i="1"/>
  <c r="I689" i="1"/>
  <c r="L689" i="1"/>
  <c r="M689" i="1"/>
  <c r="V689" i="1"/>
  <c r="W689" i="1"/>
  <c r="A3647" i="1"/>
  <c r="D3647" i="1"/>
  <c r="F3647" i="1"/>
  <c r="H3647" i="1"/>
  <c r="I3647" i="1"/>
  <c r="L3647" i="1"/>
  <c r="M3647" i="1"/>
  <c r="V3647" i="1"/>
  <c r="W3647" i="1"/>
  <c r="A4988" i="1"/>
  <c r="D4988" i="1"/>
  <c r="F4988" i="1"/>
  <c r="H4988" i="1"/>
  <c r="I4988" i="1"/>
  <c r="L4988" i="1"/>
  <c r="M4988" i="1"/>
  <c r="V4988" i="1"/>
  <c r="W4988" i="1"/>
  <c r="A5761" i="1"/>
  <c r="D5761" i="1"/>
  <c r="F5761" i="1"/>
  <c r="H5761" i="1"/>
  <c r="I5761" i="1"/>
  <c r="L5761" i="1"/>
  <c r="M5761" i="1"/>
  <c r="V5761" i="1"/>
  <c r="W5761" i="1"/>
  <c r="A2408" i="1"/>
  <c r="D2408" i="1"/>
  <c r="F2408" i="1"/>
  <c r="H2408" i="1"/>
  <c r="I2408" i="1"/>
  <c r="L2408" i="1"/>
  <c r="M2408" i="1"/>
  <c r="V2408" i="1"/>
  <c r="W2408" i="1"/>
  <c r="A1620" i="1"/>
  <c r="D1620" i="1"/>
  <c r="F1620" i="1"/>
  <c r="H1620" i="1"/>
  <c r="I1620" i="1"/>
  <c r="L1620" i="1"/>
  <c r="M1620" i="1"/>
  <c r="V1620" i="1"/>
  <c r="W1620" i="1"/>
  <c r="A1137" i="1"/>
  <c r="D1137" i="1"/>
  <c r="F1137" i="1"/>
  <c r="H1137" i="1"/>
  <c r="I1137" i="1"/>
  <c r="L1137" i="1"/>
  <c r="M1137" i="1"/>
  <c r="V1137" i="1"/>
  <c r="W1137" i="1"/>
  <c r="A6025" i="1"/>
  <c r="D6025" i="1"/>
  <c r="F6025" i="1"/>
  <c r="H6025" i="1"/>
  <c r="I6025" i="1"/>
  <c r="L6025" i="1"/>
  <c r="M6025" i="1"/>
  <c r="V6025" i="1"/>
  <c r="W6025" i="1"/>
  <c r="A4416" i="1"/>
  <c r="D4416" i="1"/>
  <c r="F4416" i="1"/>
  <c r="H4416" i="1"/>
  <c r="I4416" i="1"/>
  <c r="L4416" i="1"/>
  <c r="M4416" i="1"/>
  <c r="V4416" i="1"/>
  <c r="W4416" i="1"/>
  <c r="A423" i="1"/>
  <c r="D423" i="1"/>
  <c r="F423" i="1"/>
  <c r="H423" i="1"/>
  <c r="I423" i="1"/>
  <c r="L423" i="1"/>
  <c r="M423" i="1"/>
  <c r="V423" i="1"/>
  <c r="W423" i="1"/>
  <c r="A1198" i="1"/>
  <c r="D1198" i="1"/>
  <c r="F1198" i="1"/>
  <c r="H1198" i="1"/>
  <c r="I1198" i="1"/>
  <c r="L1198" i="1"/>
  <c r="M1198" i="1"/>
  <c r="V1198" i="1"/>
  <c r="W1198" i="1"/>
  <c r="A2239" i="1"/>
  <c r="D2239" i="1"/>
  <c r="F2239" i="1"/>
  <c r="H2239" i="1"/>
  <c r="I2239" i="1"/>
  <c r="L2239" i="1"/>
  <c r="M2239" i="1"/>
  <c r="V2239" i="1"/>
  <c r="W2239" i="1"/>
  <c r="A4670" i="1"/>
  <c r="D4670" i="1"/>
  <c r="F4670" i="1"/>
  <c r="H4670" i="1"/>
  <c r="I4670" i="1"/>
  <c r="L4670" i="1"/>
  <c r="M4670" i="1"/>
  <c r="V4670" i="1"/>
  <c r="W4670" i="1"/>
  <c r="A630" i="1"/>
  <c r="D630" i="1"/>
  <c r="F630" i="1"/>
  <c r="H630" i="1"/>
  <c r="I630" i="1"/>
  <c r="L630" i="1"/>
  <c r="M630" i="1"/>
  <c r="V630" i="1"/>
  <c r="W630" i="1"/>
  <c r="A4089" i="1"/>
  <c r="D4089" i="1"/>
  <c r="F4089" i="1"/>
  <c r="H4089" i="1"/>
  <c r="I4089" i="1"/>
  <c r="L4089" i="1"/>
  <c r="M4089" i="1"/>
  <c r="V4089" i="1"/>
  <c r="W4089" i="1"/>
  <c r="A2436" i="1"/>
  <c r="D2436" i="1"/>
  <c r="F2436" i="1"/>
  <c r="H2436" i="1"/>
  <c r="I2436" i="1"/>
  <c r="L2436" i="1"/>
  <c r="M2436" i="1"/>
  <c r="V2436" i="1"/>
  <c r="W2436" i="1"/>
  <c r="A3329" i="1"/>
  <c r="D3329" i="1"/>
  <c r="F3329" i="1"/>
  <c r="H3329" i="1"/>
  <c r="I3329" i="1"/>
  <c r="L3329" i="1"/>
  <c r="M3329" i="1"/>
  <c r="V3329" i="1"/>
  <c r="W3329" i="1"/>
  <c r="A4550" i="1"/>
  <c r="D4550" i="1"/>
  <c r="F4550" i="1"/>
  <c r="H4550" i="1"/>
  <c r="I4550" i="1"/>
  <c r="L4550" i="1"/>
  <c r="M4550" i="1"/>
  <c r="V4550" i="1"/>
  <c r="W4550" i="1"/>
  <c r="A4814" i="1"/>
  <c r="D4814" i="1"/>
  <c r="F4814" i="1"/>
  <c r="H4814" i="1"/>
  <c r="I4814" i="1"/>
  <c r="L4814" i="1"/>
  <c r="M4814" i="1"/>
  <c r="V4814" i="1"/>
  <c r="W4814" i="1"/>
  <c r="A5644" i="1"/>
  <c r="D5644" i="1"/>
  <c r="F5644" i="1"/>
  <c r="H5644" i="1"/>
  <c r="I5644" i="1"/>
  <c r="L5644" i="1"/>
  <c r="M5644" i="1"/>
  <c r="V5644" i="1"/>
  <c r="W5644" i="1"/>
  <c r="A5717" i="1"/>
  <c r="D5717" i="1"/>
  <c r="F5717" i="1"/>
  <c r="H5717" i="1"/>
  <c r="I5717" i="1"/>
  <c r="L5717" i="1"/>
  <c r="M5717" i="1"/>
  <c r="V5717" i="1"/>
  <c r="W5717" i="1"/>
  <c r="A6136" i="1"/>
  <c r="D6136" i="1"/>
  <c r="F6136" i="1"/>
  <c r="H6136" i="1"/>
  <c r="I6136" i="1"/>
  <c r="L6136" i="1"/>
  <c r="M6136" i="1"/>
  <c r="V6136" i="1"/>
  <c r="W6136" i="1"/>
  <c r="A6215" i="1"/>
  <c r="D6215" i="1"/>
  <c r="F6215" i="1"/>
  <c r="H6215" i="1"/>
  <c r="I6215" i="1"/>
  <c r="L6215" i="1"/>
  <c r="M6215" i="1"/>
  <c r="V6215" i="1"/>
  <c r="W6215" i="1"/>
  <c r="A4653" i="1"/>
  <c r="D4653" i="1"/>
  <c r="F4653" i="1"/>
  <c r="H4653" i="1"/>
  <c r="I4653" i="1"/>
  <c r="L4653" i="1"/>
  <c r="M4653" i="1"/>
  <c r="V4653" i="1"/>
  <c r="W4653" i="1"/>
  <c r="A4439" i="1"/>
  <c r="D4439" i="1"/>
  <c r="F4439" i="1"/>
  <c r="H4439" i="1"/>
  <c r="I4439" i="1"/>
  <c r="L4439" i="1"/>
  <c r="M4439" i="1"/>
  <c r="V4439" i="1"/>
  <c r="W4439" i="1"/>
  <c r="A351" i="1"/>
  <c r="D351" i="1"/>
  <c r="F351" i="1"/>
  <c r="H351" i="1"/>
  <c r="I351" i="1"/>
  <c r="L351" i="1"/>
  <c r="M351" i="1"/>
  <c r="V351" i="1"/>
  <c r="W351" i="1"/>
  <c r="A4037" i="1"/>
  <c r="D4037" i="1"/>
  <c r="F4037" i="1"/>
  <c r="H4037" i="1"/>
  <c r="I4037" i="1"/>
  <c r="L4037" i="1"/>
  <c r="M4037" i="1"/>
  <c r="V4037" i="1"/>
  <c r="W4037" i="1"/>
  <c r="A4042" i="1"/>
  <c r="D4042" i="1"/>
  <c r="F4042" i="1"/>
  <c r="H4042" i="1"/>
  <c r="I4042" i="1"/>
  <c r="L4042" i="1"/>
  <c r="M4042" i="1"/>
  <c r="V4042" i="1"/>
  <c r="W4042" i="1"/>
  <c r="A4023" i="1"/>
  <c r="D4023" i="1"/>
  <c r="F4023" i="1"/>
  <c r="H4023" i="1"/>
  <c r="I4023" i="1"/>
  <c r="L4023" i="1"/>
  <c r="M4023" i="1"/>
  <c r="V4023" i="1"/>
  <c r="W4023" i="1"/>
  <c r="A1014" i="1"/>
  <c r="D1014" i="1"/>
  <c r="F1014" i="1"/>
  <c r="H1014" i="1"/>
  <c r="I1014" i="1"/>
  <c r="L1014" i="1"/>
  <c r="M1014" i="1"/>
  <c r="V1014" i="1"/>
  <c r="W1014" i="1"/>
  <c r="A5056" i="1"/>
  <c r="D5056" i="1"/>
  <c r="F5056" i="1"/>
  <c r="H5056" i="1"/>
  <c r="I5056" i="1"/>
  <c r="L5056" i="1"/>
  <c r="M5056" i="1"/>
  <c r="V5056" i="1"/>
  <c r="W5056" i="1"/>
  <c r="A5353" i="1"/>
  <c r="D5353" i="1"/>
  <c r="F5353" i="1"/>
  <c r="H5353" i="1"/>
  <c r="I5353" i="1"/>
  <c r="L5353" i="1"/>
  <c r="M5353" i="1"/>
  <c r="V5353" i="1"/>
  <c r="W5353" i="1"/>
  <c r="A3605" i="1"/>
  <c r="D3605" i="1"/>
  <c r="F3605" i="1"/>
  <c r="H3605" i="1"/>
  <c r="I3605" i="1"/>
  <c r="L3605" i="1"/>
  <c r="M3605" i="1"/>
  <c r="V3605" i="1"/>
  <c r="W3605" i="1"/>
  <c r="A3693" i="1"/>
  <c r="D3693" i="1"/>
  <c r="F3693" i="1"/>
  <c r="H3693" i="1"/>
  <c r="I3693" i="1"/>
  <c r="L3693" i="1"/>
  <c r="M3693" i="1"/>
  <c r="V3693" i="1"/>
  <c r="W3693" i="1"/>
  <c r="A2328" i="1"/>
  <c r="D2328" i="1"/>
  <c r="F2328" i="1"/>
  <c r="H2328" i="1"/>
  <c r="I2328" i="1"/>
  <c r="L2328" i="1"/>
  <c r="M2328" i="1"/>
  <c r="V2328" i="1"/>
  <c r="W2328" i="1"/>
  <c r="A5415" i="1"/>
  <c r="D5415" i="1"/>
  <c r="F5415" i="1"/>
  <c r="H5415" i="1"/>
  <c r="I5415" i="1"/>
  <c r="L5415" i="1"/>
  <c r="M5415" i="1"/>
  <c r="V5415" i="1"/>
  <c r="W5415" i="1"/>
  <c r="A1360" i="1"/>
  <c r="D1360" i="1"/>
  <c r="F1360" i="1"/>
  <c r="H1360" i="1"/>
  <c r="I1360" i="1"/>
  <c r="L1360" i="1"/>
  <c r="M1360" i="1"/>
  <c r="V1360" i="1"/>
  <c r="W1360" i="1"/>
  <c r="A1937" i="1"/>
  <c r="D1937" i="1"/>
  <c r="F1937" i="1"/>
  <c r="H1937" i="1"/>
  <c r="I1937" i="1"/>
  <c r="L1937" i="1"/>
  <c r="M1937" i="1"/>
  <c r="V1937" i="1"/>
  <c r="W1937" i="1"/>
  <c r="A5016" i="1"/>
  <c r="D5016" i="1"/>
  <c r="F5016" i="1"/>
  <c r="H5016" i="1"/>
  <c r="I5016" i="1"/>
  <c r="L5016" i="1"/>
  <c r="M5016" i="1"/>
  <c r="V5016" i="1"/>
  <c r="W5016" i="1"/>
  <c r="A5823" i="1"/>
  <c r="D5823" i="1"/>
  <c r="F5823" i="1"/>
  <c r="H5823" i="1"/>
  <c r="I5823" i="1"/>
  <c r="L5823" i="1"/>
  <c r="M5823" i="1"/>
  <c r="V5823" i="1"/>
  <c r="W5823" i="1"/>
  <c r="A2419" i="1"/>
  <c r="D2419" i="1"/>
  <c r="F2419" i="1"/>
  <c r="H2419" i="1"/>
  <c r="I2419" i="1"/>
  <c r="L2419" i="1"/>
  <c r="M2419" i="1"/>
  <c r="V2419" i="1"/>
  <c r="W2419" i="1"/>
  <c r="A983" i="1"/>
  <c r="D983" i="1"/>
  <c r="F983" i="1"/>
  <c r="H983" i="1"/>
  <c r="I983" i="1"/>
  <c r="L983" i="1"/>
  <c r="M983" i="1"/>
  <c r="V983" i="1"/>
  <c r="W983" i="1"/>
  <c r="A2710" i="1"/>
  <c r="D2710" i="1"/>
  <c r="F2710" i="1"/>
  <c r="H2710" i="1"/>
  <c r="I2710" i="1"/>
  <c r="L2710" i="1"/>
  <c r="M2710" i="1"/>
  <c r="V2710" i="1"/>
  <c r="W2710" i="1"/>
  <c r="A2726" i="1"/>
  <c r="D2726" i="1"/>
  <c r="F2726" i="1"/>
  <c r="H2726" i="1"/>
  <c r="I2726" i="1"/>
  <c r="L2726" i="1"/>
  <c r="M2726" i="1"/>
  <c r="V2726" i="1"/>
  <c r="W2726" i="1"/>
  <c r="A5815" i="1"/>
  <c r="D5815" i="1"/>
  <c r="F5815" i="1"/>
  <c r="H5815" i="1"/>
  <c r="I5815" i="1"/>
  <c r="L5815" i="1"/>
  <c r="M5815" i="1"/>
  <c r="V5815" i="1"/>
  <c r="W5815" i="1"/>
  <c r="A2430" i="1"/>
  <c r="D2430" i="1"/>
  <c r="F2430" i="1"/>
  <c r="H2430" i="1"/>
  <c r="I2430" i="1"/>
  <c r="L2430" i="1"/>
  <c r="M2430" i="1"/>
  <c r="V2430" i="1"/>
  <c r="W2430" i="1"/>
  <c r="A4697" i="1"/>
  <c r="D4697" i="1"/>
  <c r="F4697" i="1"/>
  <c r="H4697" i="1"/>
  <c r="I4697" i="1"/>
  <c r="L4697" i="1"/>
  <c r="M4697" i="1"/>
  <c r="V4697" i="1"/>
  <c r="W4697" i="1"/>
  <c r="A5944" i="1"/>
  <c r="D5944" i="1"/>
  <c r="F5944" i="1"/>
  <c r="H5944" i="1"/>
  <c r="I5944" i="1"/>
  <c r="L5944" i="1"/>
  <c r="M5944" i="1"/>
  <c r="V5944" i="1"/>
  <c r="W5944" i="1"/>
  <c r="A5403" i="1"/>
  <c r="D5403" i="1"/>
  <c r="F5403" i="1"/>
  <c r="H5403" i="1"/>
  <c r="I5403" i="1"/>
  <c r="L5403" i="1"/>
  <c r="M5403" i="1"/>
  <c r="V5403" i="1"/>
  <c r="W5403" i="1"/>
  <c r="A1086" i="1"/>
  <c r="D1086" i="1"/>
  <c r="F1086" i="1"/>
  <c r="H1086" i="1"/>
  <c r="I1086" i="1"/>
  <c r="L1086" i="1"/>
  <c r="M1086" i="1"/>
  <c r="V1086" i="1"/>
  <c r="W1086" i="1"/>
  <c r="A5538" i="1"/>
  <c r="D5538" i="1"/>
  <c r="F5538" i="1"/>
  <c r="H5538" i="1"/>
  <c r="I5538" i="1"/>
  <c r="L5538" i="1"/>
  <c r="M5538" i="1"/>
  <c r="V5538" i="1"/>
  <c r="W5538" i="1"/>
  <c r="A4991" i="1"/>
  <c r="D4991" i="1"/>
  <c r="F4991" i="1"/>
  <c r="H4991" i="1"/>
  <c r="I4991" i="1"/>
  <c r="L4991" i="1"/>
  <c r="M4991" i="1"/>
  <c r="V4991" i="1"/>
  <c r="W4991" i="1"/>
  <c r="A5363" i="1"/>
  <c r="D5363" i="1"/>
  <c r="F5363" i="1"/>
  <c r="H5363" i="1"/>
  <c r="I5363" i="1"/>
  <c r="L5363" i="1"/>
  <c r="M5363" i="1"/>
  <c r="V5363" i="1"/>
  <c r="W5363" i="1"/>
  <c r="A5874" i="1"/>
  <c r="D5874" i="1"/>
  <c r="F5874" i="1"/>
  <c r="H5874" i="1"/>
  <c r="I5874" i="1"/>
  <c r="L5874" i="1"/>
  <c r="M5874" i="1"/>
  <c r="V5874" i="1"/>
  <c r="W5874" i="1"/>
  <c r="A396" i="1"/>
  <c r="D396" i="1"/>
  <c r="F396" i="1"/>
  <c r="H396" i="1"/>
  <c r="I396" i="1"/>
  <c r="L396" i="1"/>
  <c r="M396" i="1"/>
  <c r="V396" i="1"/>
  <c r="W396" i="1"/>
  <c r="A3730" i="1"/>
  <c r="D3730" i="1"/>
  <c r="F3730" i="1"/>
  <c r="H3730" i="1"/>
  <c r="I3730" i="1"/>
  <c r="L3730" i="1"/>
  <c r="M3730" i="1"/>
  <c r="V3730" i="1"/>
  <c r="W3730" i="1"/>
  <c r="A4267" i="1"/>
  <c r="D4267" i="1"/>
  <c r="F4267" i="1"/>
  <c r="H4267" i="1"/>
  <c r="I4267" i="1"/>
  <c r="L4267" i="1"/>
  <c r="M4267" i="1"/>
  <c r="V4267" i="1"/>
  <c r="W4267" i="1"/>
  <c r="A4606" i="1"/>
  <c r="D4606" i="1"/>
  <c r="F4606" i="1"/>
  <c r="H4606" i="1"/>
  <c r="I4606" i="1"/>
  <c r="L4606" i="1"/>
  <c r="M4606" i="1"/>
  <c r="V4606" i="1"/>
  <c r="W4606" i="1"/>
  <c r="A258" i="1"/>
  <c r="D258" i="1"/>
  <c r="F258" i="1"/>
  <c r="H258" i="1"/>
  <c r="I258" i="1"/>
  <c r="L258" i="1"/>
  <c r="M258" i="1"/>
  <c r="V258" i="1"/>
  <c r="W258" i="1"/>
  <c r="A535" i="1"/>
  <c r="D535" i="1"/>
  <c r="F535" i="1"/>
  <c r="H535" i="1"/>
  <c r="I535" i="1"/>
  <c r="L535" i="1"/>
  <c r="M535" i="1"/>
  <c r="V535" i="1"/>
  <c r="W535" i="1"/>
  <c r="A1721" i="1"/>
  <c r="D1721" i="1"/>
  <c r="F1721" i="1"/>
  <c r="H1721" i="1"/>
  <c r="I1721" i="1"/>
  <c r="L1721" i="1"/>
  <c r="M1721" i="1"/>
  <c r="V1721" i="1"/>
  <c r="W1721" i="1"/>
  <c r="A5144" i="1"/>
  <c r="D5144" i="1"/>
  <c r="F5144" i="1"/>
  <c r="H5144" i="1"/>
  <c r="I5144" i="1"/>
  <c r="L5144" i="1"/>
  <c r="M5144" i="1"/>
  <c r="V5144" i="1"/>
  <c r="W5144" i="1"/>
  <c r="A5213" i="1"/>
  <c r="D5213" i="1"/>
  <c r="F5213" i="1"/>
  <c r="H5213" i="1"/>
  <c r="I5213" i="1"/>
  <c r="L5213" i="1"/>
  <c r="M5213" i="1"/>
  <c r="V5213" i="1"/>
  <c r="W5213" i="1"/>
  <c r="A1885" i="1"/>
  <c r="D1885" i="1"/>
  <c r="F1885" i="1"/>
  <c r="H1885" i="1"/>
  <c r="I1885" i="1"/>
  <c r="L1885" i="1"/>
  <c r="M1885" i="1"/>
  <c r="V1885" i="1"/>
  <c r="W1885" i="1"/>
  <c r="A2406" i="1"/>
  <c r="D2406" i="1"/>
  <c r="F2406" i="1"/>
  <c r="H2406" i="1"/>
  <c r="I2406" i="1"/>
  <c r="L2406" i="1"/>
  <c r="M2406" i="1"/>
  <c r="V2406" i="1"/>
  <c r="W2406" i="1"/>
  <c r="A1336" i="1"/>
  <c r="D1336" i="1"/>
  <c r="F1336" i="1"/>
  <c r="H1336" i="1"/>
  <c r="I1336" i="1"/>
  <c r="L1336" i="1"/>
  <c r="M1336" i="1"/>
  <c r="V1336" i="1"/>
  <c r="W1336" i="1"/>
  <c r="A5286" i="1"/>
  <c r="D5286" i="1"/>
  <c r="F5286" i="1"/>
  <c r="H5286" i="1"/>
  <c r="I5286" i="1"/>
  <c r="L5286" i="1"/>
  <c r="M5286" i="1"/>
  <c r="V5286" i="1"/>
  <c r="W5286" i="1"/>
  <c r="A3979" i="1"/>
  <c r="D3979" i="1"/>
  <c r="F3979" i="1"/>
  <c r="H3979" i="1"/>
  <c r="I3979" i="1"/>
  <c r="L3979" i="1"/>
  <c r="M3979" i="1"/>
  <c r="V3979" i="1"/>
  <c r="W3979" i="1"/>
  <c r="A4605" i="1"/>
  <c r="D4605" i="1"/>
  <c r="F4605" i="1"/>
  <c r="H4605" i="1"/>
  <c r="I4605" i="1"/>
  <c r="L4605" i="1"/>
  <c r="M4605" i="1"/>
  <c r="V4605" i="1"/>
  <c r="W4605" i="1"/>
  <c r="A1406" i="1"/>
  <c r="D1406" i="1"/>
  <c r="F1406" i="1"/>
  <c r="H1406" i="1"/>
  <c r="I1406" i="1"/>
  <c r="L1406" i="1"/>
  <c r="M1406" i="1"/>
  <c r="V1406" i="1"/>
  <c r="W1406" i="1"/>
  <c r="A1814" i="1"/>
  <c r="D1814" i="1"/>
  <c r="F1814" i="1"/>
  <c r="H1814" i="1"/>
  <c r="I1814" i="1"/>
  <c r="L1814" i="1"/>
  <c r="M1814" i="1"/>
  <c r="V1814" i="1"/>
  <c r="W1814" i="1"/>
  <c r="A4016" i="1"/>
  <c r="D4016" i="1"/>
  <c r="F4016" i="1"/>
  <c r="H4016" i="1"/>
  <c r="I4016" i="1"/>
  <c r="L4016" i="1"/>
  <c r="M4016" i="1"/>
  <c r="V4016" i="1"/>
  <c r="W4016" i="1"/>
  <c r="A4092" i="1"/>
  <c r="D4092" i="1"/>
  <c r="F4092" i="1"/>
  <c r="H4092" i="1"/>
  <c r="I4092" i="1"/>
  <c r="L4092" i="1"/>
  <c r="M4092" i="1"/>
  <c r="V4092" i="1"/>
  <c r="W4092" i="1"/>
  <c r="A5281" i="1"/>
  <c r="D5281" i="1"/>
  <c r="F5281" i="1"/>
  <c r="H5281" i="1"/>
  <c r="I5281" i="1"/>
  <c r="L5281" i="1"/>
  <c r="M5281" i="1"/>
  <c r="V5281" i="1"/>
  <c r="W5281" i="1"/>
  <c r="A5392" i="1"/>
  <c r="D5392" i="1"/>
  <c r="F5392" i="1"/>
  <c r="H5392" i="1"/>
  <c r="I5392" i="1"/>
  <c r="L5392" i="1"/>
  <c r="M5392" i="1"/>
  <c r="V5392" i="1"/>
  <c r="W5392" i="1"/>
  <c r="A2609" i="1"/>
  <c r="D2609" i="1"/>
  <c r="F2609" i="1"/>
  <c r="H2609" i="1"/>
  <c r="I2609" i="1"/>
  <c r="L2609" i="1"/>
  <c r="M2609" i="1"/>
  <c r="V2609" i="1"/>
  <c r="W2609" i="1"/>
  <c r="A3443" i="1"/>
  <c r="D3443" i="1"/>
  <c r="F3443" i="1"/>
  <c r="H3443" i="1"/>
  <c r="I3443" i="1"/>
  <c r="L3443" i="1"/>
  <c r="M3443" i="1"/>
  <c r="V3443" i="1"/>
  <c r="W3443" i="1"/>
  <c r="A724" i="1"/>
  <c r="D724" i="1"/>
  <c r="F724" i="1"/>
  <c r="H724" i="1"/>
  <c r="I724" i="1"/>
  <c r="L724" i="1"/>
  <c r="M724" i="1"/>
  <c r="V724" i="1"/>
  <c r="W724" i="1"/>
  <c r="A2465" i="1"/>
  <c r="D2465" i="1"/>
  <c r="F2465" i="1"/>
  <c r="H2465" i="1"/>
  <c r="I2465" i="1"/>
  <c r="L2465" i="1"/>
  <c r="M2465" i="1"/>
  <c r="V2465" i="1"/>
  <c r="W2465" i="1"/>
  <c r="A1836" i="1"/>
  <c r="D1836" i="1"/>
  <c r="F1836" i="1"/>
  <c r="H1836" i="1"/>
  <c r="I1836" i="1"/>
  <c r="L1836" i="1"/>
  <c r="M1836" i="1"/>
  <c r="V1836" i="1"/>
  <c r="W1836" i="1"/>
  <c r="A2394" i="1"/>
  <c r="D2394" i="1"/>
  <c r="F2394" i="1"/>
  <c r="H2394" i="1"/>
  <c r="I2394" i="1"/>
  <c r="L2394" i="1"/>
  <c r="M2394" i="1"/>
  <c r="V2394" i="1"/>
  <c r="W2394" i="1"/>
  <c r="A1162" i="1"/>
  <c r="D1162" i="1"/>
  <c r="F1162" i="1"/>
  <c r="H1162" i="1"/>
  <c r="I1162" i="1"/>
  <c r="L1162" i="1"/>
  <c r="M1162" i="1"/>
  <c r="V1162" i="1"/>
  <c r="W1162" i="1"/>
  <c r="A5291" i="1"/>
  <c r="D5291" i="1"/>
  <c r="F5291" i="1"/>
  <c r="H5291" i="1"/>
  <c r="I5291" i="1"/>
  <c r="L5291" i="1"/>
  <c r="M5291" i="1"/>
  <c r="V5291" i="1"/>
  <c r="W5291" i="1"/>
  <c r="A2472" i="1"/>
  <c r="D2472" i="1"/>
  <c r="F2472" i="1"/>
  <c r="H2472" i="1"/>
  <c r="I2472" i="1"/>
  <c r="L2472" i="1"/>
  <c r="M2472" i="1"/>
  <c r="V2472" i="1"/>
  <c r="W2472" i="1"/>
  <c r="A5689" i="1"/>
  <c r="D5689" i="1"/>
  <c r="F5689" i="1"/>
  <c r="H5689" i="1"/>
  <c r="I5689" i="1"/>
  <c r="L5689" i="1"/>
  <c r="M5689" i="1"/>
  <c r="V5689" i="1"/>
  <c r="W5689" i="1"/>
  <c r="A4729" i="1"/>
  <c r="D4729" i="1"/>
  <c r="F4729" i="1"/>
  <c r="H4729" i="1"/>
  <c r="I4729" i="1"/>
  <c r="L4729" i="1"/>
  <c r="M4729" i="1"/>
  <c r="V4729" i="1"/>
  <c r="W4729" i="1"/>
  <c r="A5820" i="1"/>
  <c r="D5820" i="1"/>
  <c r="F5820" i="1"/>
  <c r="H5820" i="1"/>
  <c r="I5820" i="1"/>
  <c r="L5820" i="1"/>
  <c r="M5820" i="1"/>
  <c r="V5820" i="1"/>
  <c r="W5820" i="1"/>
  <c r="A1992" i="1"/>
  <c r="D1992" i="1"/>
  <c r="F1992" i="1"/>
  <c r="H1992" i="1"/>
  <c r="I1992" i="1"/>
  <c r="L1992" i="1"/>
  <c r="M1992" i="1"/>
  <c r="V1992" i="1"/>
  <c r="W1992" i="1"/>
  <c r="A1955" i="1"/>
  <c r="D1955" i="1"/>
  <c r="F1955" i="1"/>
  <c r="H1955" i="1"/>
  <c r="I1955" i="1"/>
  <c r="L1955" i="1"/>
  <c r="M1955" i="1"/>
  <c r="V1955" i="1"/>
  <c r="W1955" i="1"/>
  <c r="A23" i="1"/>
  <c r="D23" i="1"/>
  <c r="F23" i="1"/>
  <c r="H23" i="1"/>
  <c r="I23" i="1"/>
  <c r="L23" i="1"/>
  <c r="M23" i="1"/>
  <c r="V23" i="1"/>
  <c r="W23" i="1"/>
  <c r="A4452" i="1"/>
  <c r="D4452" i="1"/>
  <c r="F4452" i="1"/>
  <c r="H4452" i="1"/>
  <c r="I4452" i="1"/>
  <c r="L4452" i="1"/>
  <c r="M4452" i="1"/>
  <c r="V4452" i="1"/>
  <c r="W4452" i="1"/>
  <c r="A5665" i="1"/>
  <c r="D5665" i="1"/>
  <c r="F5665" i="1"/>
  <c r="H5665" i="1"/>
  <c r="I5665" i="1"/>
  <c r="L5665" i="1"/>
  <c r="M5665" i="1"/>
  <c r="V5665" i="1"/>
  <c r="W5665" i="1"/>
  <c r="A40" i="1"/>
  <c r="D40" i="1"/>
  <c r="F40" i="1"/>
  <c r="H40" i="1"/>
  <c r="I40" i="1"/>
  <c r="L40" i="1"/>
  <c r="M40" i="1"/>
  <c r="V40" i="1"/>
  <c r="W40" i="1"/>
  <c r="A388" i="1"/>
  <c r="D388" i="1"/>
  <c r="F388" i="1"/>
  <c r="H388" i="1"/>
  <c r="I388" i="1"/>
  <c r="L388" i="1"/>
  <c r="M388" i="1"/>
  <c r="V388" i="1"/>
  <c r="W388" i="1"/>
  <c r="A1582" i="1"/>
  <c r="D1582" i="1"/>
  <c r="F1582" i="1"/>
  <c r="H1582" i="1"/>
  <c r="I1582" i="1"/>
  <c r="L1582" i="1"/>
  <c r="M1582" i="1"/>
  <c r="V1582" i="1"/>
  <c r="W1582" i="1"/>
  <c r="A5786" i="1"/>
  <c r="D5786" i="1"/>
  <c r="F5786" i="1"/>
  <c r="H5786" i="1"/>
  <c r="I5786" i="1"/>
  <c r="L5786" i="1"/>
  <c r="M5786" i="1"/>
  <c r="V5786" i="1"/>
  <c r="W5786" i="1"/>
  <c r="A5745" i="1"/>
  <c r="D5745" i="1"/>
  <c r="F5745" i="1"/>
  <c r="H5745" i="1"/>
  <c r="I5745" i="1"/>
  <c r="L5745" i="1"/>
  <c r="M5745" i="1"/>
  <c r="V5745" i="1"/>
  <c r="W5745" i="1"/>
  <c r="A5841" i="1"/>
  <c r="D5841" i="1"/>
  <c r="F5841" i="1"/>
  <c r="H5841" i="1"/>
  <c r="I5841" i="1"/>
  <c r="L5841" i="1"/>
  <c r="M5841" i="1"/>
  <c r="V5841" i="1"/>
  <c r="W5841" i="1"/>
  <c r="A5233" i="1"/>
  <c r="D5233" i="1"/>
  <c r="F5233" i="1"/>
  <c r="H5233" i="1"/>
  <c r="I5233" i="1"/>
  <c r="L5233" i="1"/>
  <c r="M5233" i="1"/>
  <c r="V5233" i="1"/>
  <c r="W5233" i="1"/>
  <c r="A5372" i="1"/>
  <c r="D5372" i="1"/>
  <c r="F5372" i="1"/>
  <c r="H5372" i="1"/>
  <c r="I5372" i="1"/>
  <c r="L5372" i="1"/>
  <c r="M5372" i="1"/>
  <c r="V5372" i="1"/>
  <c r="W5372" i="1"/>
  <c r="A2623" i="1"/>
  <c r="D2623" i="1"/>
  <c r="F2623" i="1"/>
  <c r="H2623" i="1"/>
  <c r="I2623" i="1"/>
  <c r="L2623" i="1"/>
  <c r="M2623" i="1"/>
  <c r="V2623" i="1"/>
  <c r="W2623" i="1"/>
  <c r="A2737" i="1"/>
  <c r="D2737" i="1"/>
  <c r="F2737" i="1"/>
  <c r="H2737" i="1"/>
  <c r="I2737" i="1"/>
  <c r="L2737" i="1"/>
  <c r="M2737" i="1"/>
  <c r="V2737" i="1"/>
  <c r="W2737" i="1"/>
  <c r="A5639" i="1"/>
  <c r="D5639" i="1"/>
  <c r="F5639" i="1"/>
  <c r="H5639" i="1"/>
  <c r="I5639" i="1"/>
  <c r="L5639" i="1"/>
  <c r="M5639" i="1"/>
  <c r="V5639" i="1"/>
  <c r="W5639" i="1"/>
  <c r="A5707" i="1"/>
  <c r="D5707" i="1"/>
  <c r="F5707" i="1"/>
  <c r="H5707" i="1"/>
  <c r="I5707" i="1"/>
  <c r="L5707" i="1"/>
  <c r="M5707" i="1"/>
  <c r="V5707" i="1"/>
  <c r="W5707" i="1"/>
  <c r="A5" i="1"/>
  <c r="D5" i="1"/>
  <c r="F5" i="1"/>
  <c r="H5" i="1"/>
  <c r="I5" i="1"/>
  <c r="L5" i="1"/>
  <c r="M5" i="1"/>
  <c r="V5" i="1"/>
  <c r="W5" i="1"/>
  <c r="A298" i="1"/>
  <c r="D298" i="1"/>
  <c r="F298" i="1"/>
  <c r="H298" i="1"/>
  <c r="I298" i="1"/>
  <c r="L298" i="1"/>
  <c r="M298" i="1"/>
  <c r="V298" i="1"/>
  <c r="W298" i="1"/>
  <c r="A1146" i="1"/>
  <c r="D1146" i="1"/>
  <c r="F1146" i="1"/>
  <c r="H1146" i="1"/>
  <c r="I1146" i="1"/>
  <c r="L1146" i="1"/>
  <c r="M1146" i="1"/>
  <c r="V1146" i="1"/>
  <c r="W1146" i="1"/>
  <c r="A1304" i="1"/>
  <c r="D1304" i="1"/>
  <c r="F1304" i="1"/>
  <c r="H1304" i="1"/>
  <c r="I1304" i="1"/>
  <c r="L1304" i="1"/>
  <c r="M1304" i="1"/>
  <c r="V1304" i="1"/>
  <c r="W1304" i="1"/>
  <c r="A1716" i="1"/>
  <c r="D1716" i="1"/>
  <c r="F1716" i="1"/>
  <c r="H1716" i="1"/>
  <c r="I1716" i="1"/>
  <c r="L1716" i="1"/>
  <c r="M1716" i="1"/>
  <c r="V1716" i="1"/>
  <c r="W1716" i="1"/>
  <c r="A2744" i="1"/>
  <c r="D2744" i="1"/>
  <c r="F2744" i="1"/>
  <c r="H2744" i="1"/>
  <c r="I2744" i="1"/>
  <c r="L2744" i="1"/>
  <c r="M2744" i="1"/>
  <c r="V2744" i="1"/>
  <c r="W2744" i="1"/>
  <c r="A2982" i="1"/>
  <c r="D2982" i="1"/>
  <c r="F2982" i="1"/>
  <c r="H2982" i="1"/>
  <c r="I2982" i="1"/>
  <c r="L2982" i="1"/>
  <c r="M2982" i="1"/>
  <c r="V2982" i="1"/>
  <c r="W2982" i="1"/>
  <c r="A3266" i="1"/>
  <c r="D3266" i="1"/>
  <c r="F3266" i="1"/>
  <c r="H3266" i="1"/>
  <c r="I3266" i="1"/>
  <c r="L3266" i="1"/>
  <c r="M3266" i="1"/>
  <c r="V3266" i="1"/>
  <c r="W3266" i="1"/>
  <c r="A3522" i="1"/>
  <c r="D3522" i="1"/>
  <c r="F3522" i="1"/>
  <c r="H3522" i="1"/>
  <c r="I3522" i="1"/>
  <c r="L3522" i="1"/>
  <c r="M3522" i="1"/>
  <c r="V3522" i="1"/>
  <c r="W3522" i="1"/>
  <c r="A3842" i="1"/>
  <c r="D3842" i="1"/>
  <c r="F3842" i="1"/>
  <c r="H3842" i="1"/>
  <c r="I3842" i="1"/>
  <c r="L3842" i="1"/>
  <c r="M3842" i="1"/>
  <c r="V3842" i="1"/>
  <c r="W3842" i="1"/>
  <c r="A5515" i="1"/>
  <c r="D5515" i="1"/>
  <c r="F5515" i="1"/>
  <c r="H5515" i="1"/>
  <c r="I5515" i="1"/>
  <c r="L5515" i="1"/>
  <c r="M5515" i="1"/>
  <c r="V5515" i="1"/>
  <c r="W5515" i="1"/>
  <c r="A5581" i="1"/>
  <c r="D5581" i="1"/>
  <c r="F5581" i="1"/>
  <c r="H5581" i="1"/>
  <c r="I5581" i="1"/>
  <c r="L5581" i="1"/>
  <c r="M5581" i="1"/>
  <c r="V5581" i="1"/>
  <c r="W5581" i="1"/>
  <c r="A5693" i="1"/>
  <c r="D5693" i="1"/>
  <c r="F5693" i="1"/>
  <c r="H5693" i="1"/>
  <c r="I5693" i="1"/>
  <c r="L5693" i="1"/>
  <c r="M5693" i="1"/>
  <c r="V5693" i="1"/>
  <c r="W5693" i="1"/>
  <c r="A5734" i="1"/>
  <c r="D5734" i="1"/>
  <c r="F5734" i="1"/>
  <c r="H5734" i="1"/>
  <c r="I5734" i="1"/>
  <c r="L5734" i="1"/>
  <c r="M5734" i="1"/>
  <c r="V5734" i="1"/>
  <c r="W5734" i="1"/>
  <c r="A5806" i="1"/>
  <c r="D5806" i="1"/>
  <c r="F5806" i="1"/>
  <c r="H5806" i="1"/>
  <c r="I5806" i="1"/>
  <c r="L5806" i="1"/>
  <c r="M5806" i="1"/>
  <c r="V5806" i="1"/>
  <c r="W5806" i="1"/>
  <c r="A5862" i="1"/>
  <c r="D5862" i="1"/>
  <c r="F5862" i="1"/>
  <c r="H5862" i="1"/>
  <c r="I5862" i="1"/>
  <c r="L5862" i="1"/>
  <c r="M5862" i="1"/>
  <c r="V5862" i="1"/>
  <c r="W5862" i="1"/>
  <c r="A6002" i="1"/>
  <c r="D6002" i="1"/>
  <c r="F6002" i="1"/>
  <c r="H6002" i="1"/>
  <c r="I6002" i="1"/>
  <c r="L6002" i="1"/>
  <c r="M6002" i="1"/>
  <c r="V6002" i="1"/>
  <c r="W6002" i="1"/>
  <c r="A2445" i="1"/>
  <c r="D2445" i="1"/>
  <c r="F2445" i="1"/>
  <c r="H2445" i="1"/>
  <c r="I2445" i="1"/>
  <c r="L2445" i="1"/>
  <c r="M2445" i="1"/>
  <c r="V2445" i="1"/>
  <c r="W2445" i="1"/>
  <c r="A2251" i="1"/>
  <c r="D2251" i="1"/>
  <c r="F2251" i="1"/>
  <c r="H2251" i="1"/>
  <c r="I2251" i="1"/>
  <c r="L2251" i="1"/>
  <c r="M2251" i="1"/>
  <c r="V2251" i="1"/>
  <c r="W2251" i="1"/>
  <c r="A2883" i="1"/>
  <c r="D2883" i="1"/>
  <c r="F2883" i="1"/>
  <c r="H2883" i="1"/>
  <c r="I2883" i="1"/>
  <c r="L2883" i="1"/>
  <c r="M2883" i="1"/>
  <c r="V2883" i="1"/>
  <c r="W2883" i="1"/>
  <c r="A2966" i="1"/>
  <c r="D2966" i="1"/>
  <c r="F2966" i="1"/>
  <c r="H2966" i="1"/>
  <c r="I2966" i="1"/>
  <c r="L2966" i="1"/>
  <c r="M2966" i="1"/>
  <c r="V2966" i="1"/>
  <c r="W2966" i="1"/>
  <c r="A2793" i="1"/>
  <c r="D2793" i="1"/>
  <c r="F2793" i="1"/>
  <c r="H2793" i="1"/>
  <c r="I2793" i="1"/>
  <c r="L2793" i="1"/>
  <c r="M2793" i="1"/>
  <c r="V2793" i="1"/>
  <c r="W2793" i="1"/>
  <c r="A83" i="1"/>
  <c r="D83" i="1"/>
  <c r="F83" i="1"/>
  <c r="H83" i="1"/>
  <c r="I83" i="1"/>
  <c r="L83" i="1"/>
  <c r="M83" i="1"/>
  <c r="V83" i="1"/>
  <c r="W83" i="1"/>
  <c r="A331" i="1"/>
  <c r="D331" i="1"/>
  <c r="F331" i="1"/>
  <c r="H331" i="1"/>
  <c r="I331" i="1"/>
  <c r="L331" i="1"/>
  <c r="M331" i="1"/>
  <c r="V331" i="1"/>
  <c r="W331" i="1"/>
  <c r="A1044" i="1"/>
  <c r="D1044" i="1"/>
  <c r="F1044" i="1"/>
  <c r="H1044" i="1"/>
  <c r="I1044" i="1"/>
  <c r="L1044" i="1"/>
  <c r="M1044" i="1"/>
  <c r="V1044" i="1"/>
  <c r="W1044" i="1"/>
  <c r="A1423" i="1"/>
  <c r="D1423" i="1"/>
  <c r="F1423" i="1"/>
  <c r="H1423" i="1"/>
  <c r="I1423" i="1"/>
  <c r="L1423" i="1"/>
  <c r="M1423" i="1"/>
  <c r="V1423" i="1"/>
  <c r="W1423" i="1"/>
  <c r="A1671" i="1"/>
  <c r="D1671" i="1"/>
  <c r="F1671" i="1"/>
  <c r="H1671" i="1"/>
  <c r="I1671" i="1"/>
  <c r="L1671" i="1"/>
  <c r="M1671" i="1"/>
  <c r="V1671" i="1"/>
  <c r="W1671" i="1"/>
  <c r="A2781" i="1"/>
  <c r="D2781" i="1"/>
  <c r="F2781" i="1"/>
  <c r="H2781" i="1"/>
  <c r="I2781" i="1"/>
  <c r="L2781" i="1"/>
  <c r="M2781" i="1"/>
  <c r="V2781" i="1"/>
  <c r="W2781" i="1"/>
  <c r="A2893" i="1"/>
  <c r="D2893" i="1"/>
  <c r="F2893" i="1"/>
  <c r="H2893" i="1"/>
  <c r="I2893" i="1"/>
  <c r="L2893" i="1"/>
  <c r="M2893" i="1"/>
  <c r="V2893" i="1"/>
  <c r="W2893" i="1"/>
  <c r="A3081" i="1"/>
  <c r="D3081" i="1"/>
  <c r="F3081" i="1"/>
  <c r="H3081" i="1"/>
  <c r="I3081" i="1"/>
  <c r="L3081" i="1"/>
  <c r="M3081" i="1"/>
  <c r="V3081" i="1"/>
  <c r="W3081" i="1"/>
  <c r="A3183" i="1"/>
  <c r="D3183" i="1"/>
  <c r="F3183" i="1"/>
  <c r="H3183" i="1"/>
  <c r="I3183" i="1"/>
  <c r="L3183" i="1"/>
  <c r="M3183" i="1"/>
  <c r="V3183" i="1"/>
  <c r="W3183" i="1"/>
  <c r="A3408" i="1"/>
  <c r="D3408" i="1"/>
  <c r="F3408" i="1"/>
  <c r="H3408" i="1"/>
  <c r="I3408" i="1"/>
  <c r="L3408" i="1"/>
  <c r="M3408" i="1"/>
  <c r="V3408" i="1"/>
  <c r="W3408" i="1"/>
  <c r="A3463" i="1"/>
  <c r="D3463" i="1"/>
  <c r="F3463" i="1"/>
  <c r="H3463" i="1"/>
  <c r="I3463" i="1"/>
  <c r="L3463" i="1"/>
  <c r="M3463" i="1"/>
  <c r="V3463" i="1"/>
  <c r="W3463" i="1"/>
  <c r="A3743" i="1"/>
  <c r="D3743" i="1"/>
  <c r="F3743" i="1"/>
  <c r="H3743" i="1"/>
  <c r="I3743" i="1"/>
  <c r="L3743" i="1"/>
  <c r="M3743" i="1"/>
  <c r="V3743" i="1"/>
  <c r="W3743" i="1"/>
  <c r="A4938" i="1"/>
  <c r="D4938" i="1"/>
  <c r="F4938" i="1"/>
  <c r="H4938" i="1"/>
  <c r="I4938" i="1"/>
  <c r="L4938" i="1"/>
  <c r="M4938" i="1"/>
  <c r="V4938" i="1"/>
  <c r="W4938" i="1"/>
  <c r="A5074" i="1"/>
  <c r="D5074" i="1"/>
  <c r="F5074" i="1"/>
  <c r="H5074" i="1"/>
  <c r="I5074" i="1"/>
  <c r="L5074" i="1"/>
  <c r="M5074" i="1"/>
  <c r="V5074" i="1"/>
  <c r="W5074" i="1"/>
  <c r="A5114" i="1"/>
  <c r="D5114" i="1"/>
  <c r="F5114" i="1"/>
  <c r="H5114" i="1"/>
  <c r="I5114" i="1"/>
  <c r="L5114" i="1"/>
  <c r="M5114" i="1"/>
  <c r="V5114" i="1"/>
  <c r="W5114" i="1"/>
  <c r="A5132" i="1"/>
  <c r="D5132" i="1"/>
  <c r="F5132" i="1"/>
  <c r="H5132" i="1"/>
  <c r="I5132" i="1"/>
  <c r="L5132" i="1"/>
  <c r="M5132" i="1"/>
  <c r="V5132" i="1"/>
  <c r="W5132" i="1"/>
  <c r="A5425" i="1"/>
  <c r="D5425" i="1"/>
  <c r="F5425" i="1"/>
  <c r="H5425" i="1"/>
  <c r="I5425" i="1"/>
  <c r="L5425" i="1"/>
  <c r="M5425" i="1"/>
  <c r="V5425" i="1"/>
  <c r="W5425" i="1"/>
  <c r="A5559" i="1"/>
  <c r="D5559" i="1"/>
  <c r="F5559" i="1"/>
  <c r="H5559" i="1"/>
  <c r="I5559" i="1"/>
  <c r="L5559" i="1"/>
  <c r="M5559" i="1"/>
  <c r="V5559" i="1"/>
  <c r="W5559" i="1"/>
  <c r="A5678" i="1"/>
  <c r="D5678" i="1"/>
  <c r="F5678" i="1"/>
  <c r="H5678" i="1"/>
  <c r="I5678" i="1"/>
  <c r="L5678" i="1"/>
  <c r="M5678" i="1"/>
  <c r="V5678" i="1"/>
  <c r="W5678" i="1"/>
  <c r="A5703" i="1"/>
  <c r="D5703" i="1"/>
  <c r="F5703" i="1"/>
  <c r="H5703" i="1"/>
  <c r="I5703" i="1"/>
  <c r="L5703" i="1"/>
  <c r="M5703" i="1"/>
  <c r="V5703" i="1"/>
  <c r="W5703" i="1"/>
  <c r="A5926" i="1"/>
  <c r="D5926" i="1"/>
  <c r="F5926" i="1"/>
  <c r="H5926" i="1"/>
  <c r="I5926" i="1"/>
  <c r="L5926" i="1"/>
  <c r="M5926" i="1"/>
  <c r="V5926" i="1"/>
  <c r="W5926" i="1"/>
  <c r="A5983" i="1"/>
  <c r="D5983" i="1"/>
  <c r="F5983" i="1"/>
  <c r="H5983" i="1"/>
  <c r="I5983" i="1"/>
  <c r="L5983" i="1"/>
  <c r="M5983" i="1"/>
  <c r="V5983" i="1"/>
  <c r="W5983" i="1"/>
  <c r="A6108" i="1"/>
  <c r="D6108" i="1"/>
  <c r="F6108" i="1"/>
  <c r="H6108" i="1"/>
  <c r="I6108" i="1"/>
  <c r="L6108" i="1"/>
  <c r="M6108" i="1"/>
  <c r="V6108" i="1"/>
  <c r="W6108" i="1"/>
  <c r="A6151" i="1"/>
  <c r="D6151" i="1"/>
  <c r="F6151" i="1"/>
  <c r="H6151" i="1"/>
  <c r="I6151" i="1"/>
  <c r="L6151" i="1"/>
  <c r="M6151" i="1"/>
  <c r="V6151" i="1"/>
  <c r="W6151" i="1"/>
  <c r="A5073" i="1"/>
  <c r="D5073" i="1"/>
  <c r="F5073" i="1"/>
  <c r="H5073" i="1"/>
  <c r="I5073" i="1"/>
  <c r="L5073" i="1"/>
  <c r="M5073" i="1"/>
  <c r="V5073" i="1"/>
  <c r="W5073" i="1"/>
  <c r="A5831" i="1"/>
  <c r="D5831" i="1"/>
  <c r="F5831" i="1"/>
  <c r="H5831" i="1"/>
  <c r="I5831" i="1"/>
  <c r="L5831" i="1"/>
  <c r="M5831" i="1"/>
  <c r="V5831" i="1"/>
  <c r="W5831" i="1"/>
  <c r="A145" i="1"/>
  <c r="D145" i="1"/>
  <c r="F145" i="1"/>
  <c r="H145" i="1"/>
  <c r="I145" i="1"/>
  <c r="L145" i="1"/>
  <c r="M145" i="1"/>
  <c r="V145" i="1"/>
  <c r="W145" i="1"/>
  <c r="A537" i="1"/>
  <c r="D537" i="1"/>
  <c r="F537" i="1"/>
  <c r="H537" i="1"/>
  <c r="I537" i="1"/>
  <c r="L537" i="1"/>
  <c r="M537" i="1"/>
  <c r="V537" i="1"/>
  <c r="W537" i="1"/>
  <c r="A103" i="1"/>
  <c r="D103" i="1"/>
  <c r="F103" i="1"/>
  <c r="H103" i="1"/>
  <c r="I103" i="1"/>
  <c r="L103" i="1"/>
  <c r="M103" i="1"/>
  <c r="V103" i="1"/>
  <c r="W103" i="1"/>
  <c r="A334" i="1"/>
  <c r="D334" i="1"/>
  <c r="F334" i="1"/>
  <c r="H334" i="1"/>
  <c r="I334" i="1"/>
  <c r="L334" i="1"/>
  <c r="M334" i="1"/>
  <c r="V334" i="1"/>
  <c r="W334" i="1"/>
  <c r="A754" i="1"/>
  <c r="D754" i="1"/>
  <c r="F754" i="1"/>
  <c r="H754" i="1"/>
  <c r="I754" i="1"/>
  <c r="L754" i="1"/>
  <c r="M754" i="1"/>
  <c r="V754" i="1"/>
  <c r="W754" i="1"/>
  <c r="A1049" i="1"/>
  <c r="D1049" i="1"/>
  <c r="F1049" i="1"/>
  <c r="H1049" i="1"/>
  <c r="I1049" i="1"/>
  <c r="L1049" i="1"/>
  <c r="M1049" i="1"/>
  <c r="V1049" i="1"/>
  <c r="W1049" i="1"/>
  <c r="A1439" i="1"/>
  <c r="D1439" i="1"/>
  <c r="F1439" i="1"/>
  <c r="H1439" i="1"/>
  <c r="I1439" i="1"/>
  <c r="L1439" i="1"/>
  <c r="M1439" i="1"/>
  <c r="V1439" i="1"/>
  <c r="W1439" i="1"/>
  <c r="A1684" i="1"/>
  <c r="D1684" i="1"/>
  <c r="F1684" i="1"/>
  <c r="H1684" i="1"/>
  <c r="I1684" i="1"/>
  <c r="L1684" i="1"/>
  <c r="M1684" i="1"/>
  <c r="V1684" i="1"/>
  <c r="W1684" i="1"/>
  <c r="A1923" i="1"/>
  <c r="D1923" i="1"/>
  <c r="F1923" i="1"/>
  <c r="H1923" i="1"/>
  <c r="I1923" i="1"/>
  <c r="L1923" i="1"/>
  <c r="M1923" i="1"/>
  <c r="V1923" i="1"/>
  <c r="W1923" i="1"/>
  <c r="A2288" i="1"/>
  <c r="D2288" i="1"/>
  <c r="F2288" i="1"/>
  <c r="H2288" i="1"/>
  <c r="I2288" i="1"/>
  <c r="L2288" i="1"/>
  <c r="M2288" i="1"/>
  <c r="V2288" i="1"/>
  <c r="W2288" i="1"/>
  <c r="A2323" i="1"/>
  <c r="D2323" i="1"/>
  <c r="F2323" i="1"/>
  <c r="H2323" i="1"/>
  <c r="I2323" i="1"/>
  <c r="L2323" i="1"/>
  <c r="M2323" i="1"/>
  <c r="V2323" i="1"/>
  <c r="W2323" i="1"/>
  <c r="A2617" i="1"/>
  <c r="D2617" i="1"/>
  <c r="F2617" i="1"/>
  <c r="H2617" i="1"/>
  <c r="I2617" i="1"/>
  <c r="L2617" i="1"/>
  <c r="M2617" i="1"/>
  <c r="V2617" i="1"/>
  <c r="W2617" i="1"/>
  <c r="A2908" i="1"/>
  <c r="D2908" i="1"/>
  <c r="F2908" i="1"/>
  <c r="H2908" i="1"/>
  <c r="I2908" i="1"/>
  <c r="L2908" i="1"/>
  <c r="M2908" i="1"/>
  <c r="V2908" i="1"/>
  <c r="W2908" i="1"/>
  <c r="A3115" i="1"/>
  <c r="D3115" i="1"/>
  <c r="F3115" i="1"/>
  <c r="H3115" i="1"/>
  <c r="I3115" i="1"/>
  <c r="L3115" i="1"/>
  <c r="M3115" i="1"/>
  <c r="V3115" i="1"/>
  <c r="W3115" i="1"/>
  <c r="A3203" i="1"/>
  <c r="D3203" i="1"/>
  <c r="F3203" i="1"/>
  <c r="H3203" i="1"/>
  <c r="I3203" i="1"/>
  <c r="L3203" i="1"/>
  <c r="M3203" i="1"/>
  <c r="V3203" i="1"/>
  <c r="W3203" i="1"/>
  <c r="A3409" i="1"/>
  <c r="D3409" i="1"/>
  <c r="F3409" i="1"/>
  <c r="H3409" i="1"/>
  <c r="I3409" i="1"/>
  <c r="L3409" i="1"/>
  <c r="M3409" i="1"/>
  <c r="V3409" i="1"/>
  <c r="W3409" i="1"/>
  <c r="A3751" i="1"/>
  <c r="D3751" i="1"/>
  <c r="F3751" i="1"/>
  <c r="H3751" i="1"/>
  <c r="I3751" i="1"/>
  <c r="L3751" i="1"/>
  <c r="M3751" i="1"/>
  <c r="V3751" i="1"/>
  <c r="W3751" i="1"/>
  <c r="A4107" i="1"/>
  <c r="D4107" i="1"/>
  <c r="F4107" i="1"/>
  <c r="H4107" i="1"/>
  <c r="I4107" i="1"/>
  <c r="L4107" i="1"/>
  <c r="M4107" i="1"/>
  <c r="V4107" i="1"/>
  <c r="W4107" i="1"/>
  <c r="A4387" i="1"/>
  <c r="D4387" i="1"/>
  <c r="F4387" i="1"/>
  <c r="H4387" i="1"/>
  <c r="I4387" i="1"/>
  <c r="L4387" i="1"/>
  <c r="M4387" i="1"/>
  <c r="V4387" i="1"/>
  <c r="W4387" i="1"/>
  <c r="A4517" i="1"/>
  <c r="D4517" i="1"/>
  <c r="F4517" i="1"/>
  <c r="H4517" i="1"/>
  <c r="I4517" i="1"/>
  <c r="L4517" i="1"/>
  <c r="M4517" i="1"/>
  <c r="V4517" i="1"/>
  <c r="W4517" i="1"/>
  <c r="A4631" i="1"/>
  <c r="D4631" i="1"/>
  <c r="F4631" i="1"/>
  <c r="H4631" i="1"/>
  <c r="I4631" i="1"/>
  <c r="L4631" i="1"/>
  <c r="M4631" i="1"/>
  <c r="V4631" i="1"/>
  <c r="W4631" i="1"/>
  <c r="A4744" i="1"/>
  <c r="D4744" i="1"/>
  <c r="F4744" i="1"/>
  <c r="H4744" i="1"/>
  <c r="I4744" i="1"/>
  <c r="L4744" i="1"/>
  <c r="M4744" i="1"/>
  <c r="V4744" i="1"/>
  <c r="W4744" i="1"/>
  <c r="A4795" i="1"/>
  <c r="D4795" i="1"/>
  <c r="F4795" i="1"/>
  <c r="H4795" i="1"/>
  <c r="I4795" i="1"/>
  <c r="L4795" i="1"/>
  <c r="M4795" i="1"/>
  <c r="V4795" i="1"/>
  <c r="W4795" i="1"/>
  <c r="A4940" i="1"/>
  <c r="D4940" i="1"/>
  <c r="F4940" i="1"/>
  <c r="H4940" i="1"/>
  <c r="I4940" i="1"/>
  <c r="L4940" i="1"/>
  <c r="M4940" i="1"/>
  <c r="V4940" i="1"/>
  <c r="W4940" i="1"/>
  <c r="A5112" i="1"/>
  <c r="D5112" i="1"/>
  <c r="F5112" i="1"/>
  <c r="H5112" i="1"/>
  <c r="I5112" i="1"/>
  <c r="L5112" i="1"/>
  <c r="M5112" i="1"/>
  <c r="V5112" i="1"/>
  <c r="W5112" i="1"/>
  <c r="A5263" i="1"/>
  <c r="D5263" i="1"/>
  <c r="F5263" i="1"/>
  <c r="H5263" i="1"/>
  <c r="I5263" i="1"/>
  <c r="L5263" i="1"/>
  <c r="M5263" i="1"/>
  <c r="V5263" i="1"/>
  <c r="W5263" i="1"/>
  <c r="A5562" i="1"/>
  <c r="D5562" i="1"/>
  <c r="F5562" i="1"/>
  <c r="H5562" i="1"/>
  <c r="I5562" i="1"/>
  <c r="L5562" i="1"/>
  <c r="M5562" i="1"/>
  <c r="V5562" i="1"/>
  <c r="W5562" i="1"/>
  <c r="A5705" i="1"/>
  <c r="D5705" i="1"/>
  <c r="F5705" i="1"/>
  <c r="H5705" i="1"/>
  <c r="I5705" i="1"/>
  <c r="L5705" i="1"/>
  <c r="M5705" i="1"/>
  <c r="V5705" i="1"/>
  <c r="W5705" i="1"/>
  <c r="A5982" i="1"/>
  <c r="D5982" i="1"/>
  <c r="F5982" i="1"/>
  <c r="H5982" i="1"/>
  <c r="I5982" i="1"/>
  <c r="L5982" i="1"/>
  <c r="M5982" i="1"/>
  <c r="V5982" i="1"/>
  <c r="W5982" i="1"/>
  <c r="A6111" i="1"/>
  <c r="D6111" i="1"/>
  <c r="F6111" i="1"/>
  <c r="H6111" i="1"/>
  <c r="I6111" i="1"/>
  <c r="L6111" i="1"/>
  <c r="M6111" i="1"/>
  <c r="V6111" i="1"/>
  <c r="W6111" i="1"/>
  <c r="A2103" i="1"/>
  <c r="D2103" i="1"/>
  <c r="F2103" i="1"/>
  <c r="H2103" i="1"/>
  <c r="I2103" i="1"/>
  <c r="L2103" i="1"/>
  <c r="M2103" i="1"/>
  <c r="V2103" i="1"/>
  <c r="W2103" i="1"/>
  <c r="A2380" i="1"/>
  <c r="D2380" i="1"/>
  <c r="F2380" i="1"/>
  <c r="H2380" i="1"/>
  <c r="I2380" i="1"/>
  <c r="L2380" i="1"/>
  <c r="M2380" i="1"/>
  <c r="V2380" i="1"/>
  <c r="W2380" i="1"/>
  <c r="A136" i="1"/>
  <c r="D136" i="1"/>
  <c r="F136" i="1"/>
  <c r="H136" i="1"/>
  <c r="I136" i="1"/>
  <c r="L136" i="1"/>
  <c r="M136" i="1"/>
  <c r="V136" i="1"/>
  <c r="W136" i="1"/>
  <c r="A429" i="1"/>
  <c r="D429" i="1"/>
  <c r="F429" i="1"/>
  <c r="H429" i="1"/>
  <c r="I429" i="1"/>
  <c r="L429" i="1"/>
  <c r="M429" i="1"/>
  <c r="V429" i="1"/>
  <c r="W429" i="1"/>
  <c r="A508" i="1"/>
  <c r="D508" i="1"/>
  <c r="F508" i="1"/>
  <c r="H508" i="1"/>
  <c r="I508" i="1"/>
  <c r="L508" i="1"/>
  <c r="M508" i="1"/>
  <c r="V508" i="1"/>
  <c r="W508" i="1"/>
  <c r="A624" i="1"/>
  <c r="D624" i="1"/>
  <c r="F624" i="1"/>
  <c r="H624" i="1"/>
  <c r="I624" i="1"/>
  <c r="L624" i="1"/>
  <c r="M624" i="1"/>
  <c r="V624" i="1"/>
  <c r="W624" i="1"/>
  <c r="A978" i="1"/>
  <c r="D978" i="1"/>
  <c r="F978" i="1"/>
  <c r="H978" i="1"/>
  <c r="I978" i="1"/>
  <c r="L978" i="1"/>
  <c r="M978" i="1"/>
  <c r="V978" i="1"/>
  <c r="W978" i="1"/>
  <c r="A1205" i="1"/>
  <c r="D1205" i="1"/>
  <c r="F1205" i="1"/>
  <c r="H1205" i="1"/>
  <c r="I1205" i="1"/>
  <c r="L1205" i="1"/>
  <c r="M1205" i="1"/>
  <c r="V1205" i="1"/>
  <c r="W1205" i="1"/>
  <c r="A1481" i="1"/>
  <c r="D1481" i="1"/>
  <c r="F1481" i="1"/>
  <c r="H1481" i="1"/>
  <c r="I1481" i="1"/>
  <c r="L1481" i="1"/>
  <c r="M1481" i="1"/>
  <c r="V1481" i="1"/>
  <c r="W1481" i="1"/>
  <c r="A1801" i="1"/>
  <c r="D1801" i="1"/>
  <c r="F1801" i="1"/>
  <c r="H1801" i="1"/>
  <c r="I1801" i="1"/>
  <c r="L1801" i="1"/>
  <c r="M1801" i="1"/>
  <c r="V1801" i="1"/>
  <c r="W1801" i="1"/>
  <c r="A2237" i="1"/>
  <c r="D2237" i="1"/>
  <c r="F2237" i="1"/>
  <c r="H2237" i="1"/>
  <c r="I2237" i="1"/>
  <c r="L2237" i="1"/>
  <c r="M2237" i="1"/>
  <c r="V2237" i="1"/>
  <c r="W2237" i="1"/>
  <c r="A2566" i="1"/>
  <c r="D2566" i="1"/>
  <c r="F2566" i="1"/>
  <c r="H2566" i="1"/>
  <c r="I2566" i="1"/>
  <c r="L2566" i="1"/>
  <c r="M2566" i="1"/>
  <c r="V2566" i="1"/>
  <c r="W2566" i="1"/>
  <c r="A2942" i="1"/>
  <c r="D2942" i="1"/>
  <c r="F2942" i="1"/>
  <c r="H2942" i="1"/>
  <c r="I2942" i="1"/>
  <c r="L2942" i="1"/>
  <c r="M2942" i="1"/>
  <c r="V2942" i="1"/>
  <c r="W2942" i="1"/>
  <c r="A3908" i="1"/>
  <c r="D3908" i="1"/>
  <c r="F3908" i="1"/>
  <c r="H3908" i="1"/>
  <c r="I3908" i="1"/>
  <c r="L3908" i="1"/>
  <c r="M3908" i="1"/>
  <c r="V3908" i="1"/>
  <c r="W3908" i="1"/>
  <c r="A5811" i="1"/>
  <c r="D5811" i="1"/>
  <c r="F5811" i="1"/>
  <c r="H5811" i="1"/>
  <c r="I5811" i="1"/>
  <c r="L5811" i="1"/>
  <c r="M5811" i="1"/>
  <c r="V5811" i="1"/>
  <c r="W5811" i="1"/>
  <c r="A5952" i="1"/>
  <c r="D5952" i="1"/>
  <c r="F5952" i="1"/>
  <c r="H5952" i="1"/>
  <c r="I5952" i="1"/>
  <c r="L5952" i="1"/>
  <c r="M5952" i="1"/>
  <c r="V5952" i="1"/>
  <c r="W5952" i="1"/>
  <c r="A6190" i="1"/>
  <c r="D6190" i="1"/>
  <c r="F6190" i="1"/>
  <c r="H6190" i="1"/>
  <c r="I6190" i="1"/>
  <c r="L6190" i="1"/>
  <c r="M6190" i="1"/>
  <c r="V6190" i="1"/>
  <c r="W6190" i="1"/>
  <c r="A4579" i="1"/>
  <c r="D4579" i="1"/>
  <c r="F4579" i="1"/>
  <c r="H4579" i="1"/>
  <c r="I4579" i="1"/>
  <c r="L4579" i="1"/>
  <c r="M4579" i="1"/>
  <c r="V4579" i="1"/>
  <c r="W4579" i="1"/>
  <c r="A1059" i="1"/>
  <c r="D1059" i="1"/>
  <c r="F1059" i="1"/>
  <c r="H1059" i="1"/>
  <c r="I1059" i="1"/>
  <c r="L1059" i="1"/>
  <c r="M1059" i="1"/>
  <c r="V1059" i="1"/>
  <c r="W1059" i="1"/>
  <c r="A1586" i="1"/>
  <c r="D1586" i="1"/>
  <c r="F1586" i="1"/>
  <c r="H1586" i="1"/>
  <c r="I1586" i="1"/>
  <c r="L1586" i="1"/>
  <c r="M1586" i="1"/>
  <c r="V1586" i="1"/>
  <c r="W1586" i="1"/>
  <c r="A5107" i="1"/>
  <c r="D5107" i="1"/>
  <c r="F5107" i="1"/>
  <c r="H5107" i="1"/>
  <c r="I5107" i="1"/>
  <c r="L5107" i="1"/>
  <c r="M5107" i="1"/>
  <c r="V5107" i="1"/>
  <c r="W5107" i="1"/>
  <c r="A5108" i="1"/>
  <c r="D5108" i="1"/>
  <c r="F5108" i="1"/>
  <c r="H5108" i="1"/>
  <c r="I5108" i="1"/>
  <c r="L5108" i="1"/>
  <c r="M5108" i="1"/>
  <c r="V5108" i="1"/>
  <c r="W5108" i="1"/>
  <c r="A3854" i="1"/>
  <c r="D3854" i="1"/>
  <c r="F3854" i="1"/>
  <c r="H3854" i="1"/>
  <c r="I3854" i="1"/>
  <c r="L3854" i="1"/>
  <c r="M3854" i="1"/>
  <c r="V3854" i="1"/>
  <c r="W3854" i="1"/>
  <c r="A175" i="1"/>
  <c r="D175" i="1"/>
  <c r="F175" i="1"/>
  <c r="H175" i="1"/>
  <c r="I175" i="1"/>
  <c r="L175" i="1"/>
  <c r="M175" i="1"/>
  <c r="V175" i="1"/>
  <c r="W175" i="1"/>
  <c r="A77" i="1"/>
  <c r="D77" i="1"/>
  <c r="F77" i="1"/>
  <c r="H77" i="1"/>
  <c r="I77" i="1"/>
  <c r="L77" i="1"/>
  <c r="M77" i="1"/>
  <c r="V77" i="1"/>
  <c r="W77" i="1"/>
  <c r="A374" i="1"/>
  <c r="D374" i="1"/>
  <c r="F374" i="1"/>
  <c r="H374" i="1"/>
  <c r="I374" i="1"/>
  <c r="L374" i="1"/>
  <c r="M374" i="1"/>
  <c r="V374" i="1"/>
  <c r="W374" i="1"/>
  <c r="A675" i="1"/>
  <c r="D675" i="1"/>
  <c r="F675" i="1"/>
  <c r="H675" i="1"/>
  <c r="I675" i="1"/>
  <c r="L675" i="1"/>
  <c r="M675" i="1"/>
  <c r="V675" i="1"/>
  <c r="W675" i="1"/>
  <c r="A726" i="1"/>
  <c r="D726" i="1"/>
  <c r="F726" i="1"/>
  <c r="H726" i="1"/>
  <c r="I726" i="1"/>
  <c r="L726" i="1"/>
  <c r="M726" i="1"/>
  <c r="V726" i="1"/>
  <c r="W726" i="1"/>
  <c r="A1001" i="1"/>
  <c r="D1001" i="1"/>
  <c r="F1001" i="1"/>
  <c r="H1001" i="1"/>
  <c r="I1001" i="1"/>
  <c r="L1001" i="1"/>
  <c r="M1001" i="1"/>
  <c r="V1001" i="1"/>
  <c r="W1001" i="1"/>
  <c r="A1038" i="1"/>
  <c r="D1038" i="1"/>
  <c r="F1038" i="1"/>
  <c r="H1038" i="1"/>
  <c r="I1038" i="1"/>
  <c r="L1038" i="1"/>
  <c r="M1038" i="1"/>
  <c r="V1038" i="1"/>
  <c r="W1038" i="1"/>
  <c r="A1237" i="1"/>
  <c r="D1237" i="1"/>
  <c r="F1237" i="1"/>
  <c r="H1237" i="1"/>
  <c r="I1237" i="1"/>
  <c r="L1237" i="1"/>
  <c r="M1237" i="1"/>
  <c r="V1237" i="1"/>
  <c r="W1237" i="1"/>
  <c r="A1528" i="1"/>
  <c r="D1528" i="1"/>
  <c r="F1528" i="1"/>
  <c r="H1528" i="1"/>
  <c r="I1528" i="1"/>
  <c r="L1528" i="1"/>
  <c r="M1528" i="1"/>
  <c r="V1528" i="1"/>
  <c r="W1528" i="1"/>
  <c r="A1662" i="1"/>
  <c r="D1662" i="1"/>
  <c r="F1662" i="1"/>
  <c r="H1662" i="1"/>
  <c r="I1662" i="1"/>
  <c r="L1662" i="1"/>
  <c r="M1662" i="1"/>
  <c r="V1662" i="1"/>
  <c r="W1662" i="1"/>
  <c r="A2633" i="1"/>
  <c r="D2633" i="1"/>
  <c r="F2633" i="1"/>
  <c r="H2633" i="1"/>
  <c r="I2633" i="1"/>
  <c r="L2633" i="1"/>
  <c r="M2633" i="1"/>
  <c r="V2633" i="1"/>
  <c r="W2633" i="1"/>
  <c r="A2603" i="1"/>
  <c r="D2603" i="1"/>
  <c r="F2603" i="1"/>
  <c r="H2603" i="1"/>
  <c r="I2603" i="1"/>
  <c r="L2603" i="1"/>
  <c r="M2603" i="1"/>
  <c r="V2603" i="1"/>
  <c r="W2603" i="1"/>
  <c r="A2769" i="1"/>
  <c r="D2769" i="1"/>
  <c r="F2769" i="1"/>
  <c r="H2769" i="1"/>
  <c r="I2769" i="1"/>
  <c r="L2769" i="1"/>
  <c r="M2769" i="1"/>
  <c r="V2769" i="1"/>
  <c r="W2769" i="1"/>
  <c r="A2879" i="1"/>
  <c r="D2879" i="1"/>
  <c r="F2879" i="1"/>
  <c r="H2879" i="1"/>
  <c r="I2879" i="1"/>
  <c r="L2879" i="1"/>
  <c r="M2879" i="1"/>
  <c r="V2879" i="1"/>
  <c r="W2879" i="1"/>
  <c r="A3172" i="1"/>
  <c r="D3172" i="1"/>
  <c r="F3172" i="1"/>
  <c r="H3172" i="1"/>
  <c r="I3172" i="1"/>
  <c r="L3172" i="1"/>
  <c r="M3172" i="1"/>
  <c r="V3172" i="1"/>
  <c r="W3172" i="1"/>
  <c r="A3457" i="1"/>
  <c r="D3457" i="1"/>
  <c r="F3457" i="1"/>
  <c r="H3457" i="1"/>
  <c r="I3457" i="1"/>
  <c r="L3457" i="1"/>
  <c r="M3457" i="1"/>
  <c r="V3457" i="1"/>
  <c r="W3457" i="1"/>
  <c r="A4528" i="1"/>
  <c r="D4528" i="1"/>
  <c r="F4528" i="1"/>
  <c r="H4528" i="1"/>
  <c r="I4528" i="1"/>
  <c r="L4528" i="1"/>
  <c r="M4528" i="1"/>
  <c r="V4528" i="1"/>
  <c r="W4528" i="1"/>
  <c r="A4508" i="1"/>
  <c r="D4508" i="1"/>
  <c r="F4508" i="1"/>
  <c r="H4508" i="1"/>
  <c r="I4508" i="1"/>
  <c r="L4508" i="1"/>
  <c r="M4508" i="1"/>
  <c r="V4508" i="1"/>
  <c r="W4508" i="1"/>
  <c r="A4642" i="1"/>
  <c r="D4642" i="1"/>
  <c r="F4642" i="1"/>
  <c r="H4642" i="1"/>
  <c r="I4642" i="1"/>
  <c r="L4642" i="1"/>
  <c r="M4642" i="1"/>
  <c r="V4642" i="1"/>
  <c r="W4642" i="1"/>
  <c r="A4763" i="1"/>
  <c r="D4763" i="1"/>
  <c r="F4763" i="1"/>
  <c r="H4763" i="1"/>
  <c r="I4763" i="1"/>
  <c r="L4763" i="1"/>
  <c r="M4763" i="1"/>
  <c r="V4763" i="1"/>
  <c r="W4763" i="1"/>
  <c r="A4780" i="1"/>
  <c r="D4780" i="1"/>
  <c r="F4780" i="1"/>
  <c r="H4780" i="1"/>
  <c r="I4780" i="1"/>
  <c r="L4780" i="1"/>
  <c r="M4780" i="1"/>
  <c r="V4780" i="1"/>
  <c r="W4780" i="1"/>
  <c r="A5068" i="1"/>
  <c r="D5068" i="1"/>
  <c r="F5068" i="1"/>
  <c r="H5068" i="1"/>
  <c r="I5068" i="1"/>
  <c r="L5068" i="1"/>
  <c r="M5068" i="1"/>
  <c r="V5068" i="1"/>
  <c r="W5068" i="1"/>
  <c r="A4932" i="1"/>
  <c r="D4932" i="1"/>
  <c r="F4932" i="1"/>
  <c r="H4932" i="1"/>
  <c r="I4932" i="1"/>
  <c r="L4932" i="1"/>
  <c r="M4932" i="1"/>
  <c r="V4932" i="1"/>
  <c r="W4932" i="1"/>
  <c r="A5672" i="1"/>
  <c r="D5672" i="1"/>
  <c r="F5672" i="1"/>
  <c r="H5672" i="1"/>
  <c r="I5672" i="1"/>
  <c r="L5672" i="1"/>
  <c r="M5672" i="1"/>
  <c r="V5672" i="1"/>
  <c r="W5672" i="1"/>
  <c r="A5779" i="1"/>
  <c r="D5779" i="1"/>
  <c r="F5779" i="1"/>
  <c r="H5779" i="1"/>
  <c r="I5779" i="1"/>
  <c r="L5779" i="1"/>
  <c r="M5779" i="1"/>
  <c r="V5779" i="1"/>
  <c r="W5779" i="1"/>
  <c r="A5835" i="1"/>
  <c r="D5835" i="1"/>
  <c r="F5835" i="1"/>
  <c r="H5835" i="1"/>
  <c r="I5835" i="1"/>
  <c r="L5835" i="1"/>
  <c r="M5835" i="1"/>
  <c r="V5835" i="1"/>
  <c r="W5835" i="1"/>
  <c r="A5915" i="1"/>
  <c r="D5915" i="1"/>
  <c r="F5915" i="1"/>
  <c r="H5915" i="1"/>
  <c r="I5915" i="1"/>
  <c r="L5915" i="1"/>
  <c r="M5915" i="1"/>
  <c r="V5915" i="1"/>
  <c r="W5915" i="1"/>
  <c r="A5976" i="1"/>
  <c r="D5976" i="1"/>
  <c r="F5976" i="1"/>
  <c r="H5976" i="1"/>
  <c r="I5976" i="1"/>
  <c r="L5976" i="1"/>
  <c r="M5976" i="1"/>
  <c r="V5976" i="1"/>
  <c r="W5976" i="1"/>
  <c r="A6138" i="1"/>
  <c r="D6138" i="1"/>
  <c r="F6138" i="1"/>
  <c r="H6138" i="1"/>
  <c r="I6138" i="1"/>
  <c r="L6138" i="1"/>
  <c r="M6138" i="1"/>
  <c r="V6138" i="1"/>
  <c r="W6138" i="1"/>
  <c r="A6101" i="1"/>
  <c r="D6101" i="1"/>
  <c r="F6101" i="1"/>
  <c r="H6101" i="1"/>
  <c r="I6101" i="1"/>
  <c r="L6101" i="1"/>
  <c r="M6101" i="1"/>
  <c r="V6101" i="1"/>
  <c r="W6101" i="1"/>
  <c r="A10" i="1"/>
  <c r="D10" i="1"/>
  <c r="F10" i="1"/>
  <c r="H10" i="1"/>
  <c r="I10" i="1"/>
  <c r="L10" i="1"/>
  <c r="M10" i="1"/>
  <c r="V10" i="1"/>
  <c r="W10" i="1"/>
  <c r="A305" i="1"/>
  <c r="D305" i="1"/>
  <c r="F305" i="1"/>
  <c r="H305" i="1"/>
  <c r="I305" i="1"/>
  <c r="L305" i="1"/>
  <c r="M305" i="1"/>
  <c r="V305" i="1"/>
  <c r="W305" i="1"/>
  <c r="A3459" i="1"/>
  <c r="D3459" i="1"/>
  <c r="F3459" i="1"/>
  <c r="H3459" i="1"/>
  <c r="I3459" i="1"/>
  <c r="L3459" i="1"/>
  <c r="M3459" i="1"/>
  <c r="V3459" i="1"/>
  <c r="W3459" i="1"/>
  <c r="A2553" i="1"/>
  <c r="D2553" i="1"/>
  <c r="F2553" i="1"/>
  <c r="H2553" i="1"/>
  <c r="I2553" i="1"/>
  <c r="L2553" i="1"/>
  <c r="M2553" i="1"/>
  <c r="V2553" i="1"/>
  <c r="W2553" i="1"/>
  <c r="A6021" i="1"/>
  <c r="D6021" i="1"/>
  <c r="F6021" i="1"/>
  <c r="H6021" i="1"/>
  <c r="I6021" i="1"/>
  <c r="L6021" i="1"/>
  <c r="M6021" i="1"/>
  <c r="V6021" i="1"/>
  <c r="W6021" i="1"/>
  <c r="A171" i="1"/>
  <c r="D171" i="1"/>
  <c r="F171" i="1"/>
  <c r="H171" i="1"/>
  <c r="I171" i="1"/>
  <c r="L171" i="1"/>
  <c r="M171" i="1"/>
  <c r="V171" i="1"/>
  <c r="W171" i="1"/>
  <c r="A122" i="1"/>
  <c r="D122" i="1"/>
  <c r="F122" i="1"/>
  <c r="H122" i="1"/>
  <c r="I122" i="1"/>
  <c r="L122" i="1"/>
  <c r="M122" i="1"/>
  <c r="V122" i="1"/>
  <c r="W122" i="1"/>
  <c r="A128" i="1"/>
  <c r="D128" i="1"/>
  <c r="F128" i="1"/>
  <c r="H128" i="1"/>
  <c r="I128" i="1"/>
  <c r="L128" i="1"/>
  <c r="M128" i="1"/>
  <c r="V128" i="1"/>
  <c r="W128" i="1"/>
  <c r="A405" i="1"/>
  <c r="D405" i="1"/>
  <c r="F405" i="1"/>
  <c r="H405" i="1"/>
  <c r="I405" i="1"/>
  <c r="L405" i="1"/>
  <c r="M405" i="1"/>
  <c r="V405" i="1"/>
  <c r="W405" i="1"/>
  <c r="A104" i="1"/>
  <c r="D104" i="1"/>
  <c r="F104" i="1"/>
  <c r="H104" i="1"/>
  <c r="I104" i="1"/>
  <c r="L104" i="1"/>
  <c r="M104" i="1"/>
  <c r="V104" i="1"/>
  <c r="W104" i="1"/>
  <c r="A1015" i="1"/>
  <c r="D1015" i="1"/>
  <c r="F1015" i="1"/>
  <c r="H1015" i="1"/>
  <c r="I1015" i="1"/>
  <c r="L1015" i="1"/>
  <c r="M1015" i="1"/>
  <c r="V1015" i="1"/>
  <c r="W1015" i="1"/>
  <c r="A1025" i="1"/>
  <c r="D1025" i="1"/>
  <c r="F1025" i="1"/>
  <c r="H1025" i="1"/>
  <c r="I1025" i="1"/>
  <c r="L1025" i="1"/>
  <c r="M1025" i="1"/>
  <c r="V1025" i="1"/>
  <c r="W1025" i="1"/>
  <c r="A1051" i="1"/>
  <c r="D1051" i="1"/>
  <c r="F1051" i="1"/>
  <c r="H1051" i="1"/>
  <c r="I1051" i="1"/>
  <c r="L1051" i="1"/>
  <c r="M1051" i="1"/>
  <c r="V1051" i="1"/>
  <c r="W1051" i="1"/>
  <c r="A1441" i="1"/>
  <c r="D1441" i="1"/>
  <c r="F1441" i="1"/>
  <c r="H1441" i="1"/>
  <c r="I1441" i="1"/>
  <c r="L1441" i="1"/>
  <c r="M1441" i="1"/>
  <c r="V1441" i="1"/>
  <c r="W1441" i="1"/>
  <c r="A1445" i="1"/>
  <c r="D1445" i="1"/>
  <c r="F1445" i="1"/>
  <c r="H1445" i="1"/>
  <c r="I1445" i="1"/>
  <c r="L1445" i="1"/>
  <c r="M1445" i="1"/>
  <c r="V1445" i="1"/>
  <c r="W1445" i="1"/>
  <c r="A2780" i="1"/>
  <c r="D2780" i="1"/>
  <c r="F2780" i="1"/>
  <c r="H2780" i="1"/>
  <c r="I2780" i="1"/>
  <c r="L2780" i="1"/>
  <c r="M2780" i="1"/>
  <c r="V2780" i="1"/>
  <c r="W2780" i="1"/>
  <c r="A2791" i="1"/>
  <c r="D2791" i="1"/>
  <c r="F2791" i="1"/>
  <c r="H2791" i="1"/>
  <c r="I2791" i="1"/>
  <c r="L2791" i="1"/>
  <c r="M2791" i="1"/>
  <c r="V2791" i="1"/>
  <c r="W2791" i="1"/>
  <c r="A2916" i="1"/>
  <c r="D2916" i="1"/>
  <c r="F2916" i="1"/>
  <c r="H2916" i="1"/>
  <c r="I2916" i="1"/>
  <c r="L2916" i="1"/>
  <c r="M2916" i="1"/>
  <c r="V2916" i="1"/>
  <c r="W2916" i="1"/>
  <c r="A3116" i="1"/>
  <c r="D3116" i="1"/>
  <c r="F3116" i="1"/>
  <c r="H3116" i="1"/>
  <c r="I3116" i="1"/>
  <c r="L3116" i="1"/>
  <c r="M3116" i="1"/>
  <c r="V3116" i="1"/>
  <c r="W3116" i="1"/>
  <c r="A3125" i="1"/>
  <c r="D3125" i="1"/>
  <c r="F3125" i="1"/>
  <c r="H3125" i="1"/>
  <c r="I3125" i="1"/>
  <c r="L3125" i="1"/>
  <c r="M3125" i="1"/>
  <c r="V3125" i="1"/>
  <c r="W3125" i="1"/>
  <c r="A3251" i="1"/>
  <c r="D3251" i="1"/>
  <c r="F3251" i="1"/>
  <c r="H3251" i="1"/>
  <c r="I3251" i="1"/>
  <c r="L3251" i="1"/>
  <c r="M3251" i="1"/>
  <c r="V3251" i="1"/>
  <c r="W3251" i="1"/>
  <c r="A5674" i="1"/>
  <c r="D5674" i="1"/>
  <c r="F5674" i="1"/>
  <c r="H5674" i="1"/>
  <c r="I5674" i="1"/>
  <c r="L5674" i="1"/>
  <c r="M5674" i="1"/>
  <c r="V5674" i="1"/>
  <c r="W5674" i="1"/>
  <c r="A5681" i="1"/>
  <c r="D5681" i="1"/>
  <c r="F5681" i="1"/>
  <c r="H5681" i="1"/>
  <c r="I5681" i="1"/>
  <c r="L5681" i="1"/>
  <c r="M5681" i="1"/>
  <c r="V5681" i="1"/>
  <c r="W5681" i="1"/>
  <c r="A5988" i="1"/>
  <c r="D5988" i="1"/>
  <c r="F5988" i="1"/>
  <c r="H5988" i="1"/>
  <c r="I5988" i="1"/>
  <c r="L5988" i="1"/>
  <c r="M5988" i="1"/>
  <c r="V5988" i="1"/>
  <c r="W5988" i="1"/>
  <c r="A74" i="1"/>
  <c r="D74" i="1"/>
  <c r="F74" i="1"/>
  <c r="H74" i="1"/>
  <c r="I74" i="1"/>
  <c r="L74" i="1"/>
  <c r="M74" i="1"/>
  <c r="V74" i="1"/>
  <c r="W74" i="1"/>
  <c r="A1465" i="1"/>
  <c r="D1465" i="1"/>
  <c r="F1465" i="1"/>
  <c r="H1465" i="1"/>
  <c r="I1465" i="1"/>
  <c r="L1465" i="1"/>
  <c r="M1465" i="1"/>
  <c r="V1465" i="1"/>
  <c r="W1465" i="1"/>
  <c r="A1449" i="1"/>
  <c r="D1449" i="1"/>
  <c r="F1449" i="1"/>
  <c r="H1449" i="1"/>
  <c r="I1449" i="1"/>
  <c r="L1449" i="1"/>
  <c r="M1449" i="1"/>
  <c r="V1449" i="1"/>
  <c r="W1449" i="1"/>
  <c r="A1507" i="1"/>
  <c r="D1507" i="1"/>
  <c r="F1507" i="1"/>
  <c r="H1507" i="1"/>
  <c r="I1507" i="1"/>
  <c r="L1507" i="1"/>
  <c r="M1507" i="1"/>
  <c r="V1507" i="1"/>
  <c r="W1507" i="1"/>
  <c r="A1991" i="1"/>
  <c r="D1991" i="1"/>
  <c r="F1991" i="1"/>
  <c r="H1991" i="1"/>
  <c r="I1991" i="1"/>
  <c r="L1991" i="1"/>
  <c r="M1991" i="1"/>
  <c r="V1991" i="1"/>
  <c r="W1991" i="1"/>
  <c r="A2382" i="1"/>
  <c r="D2382" i="1"/>
  <c r="F2382" i="1"/>
  <c r="H2382" i="1"/>
  <c r="I2382" i="1"/>
  <c r="L2382" i="1"/>
  <c r="M2382" i="1"/>
  <c r="V2382" i="1"/>
  <c r="W2382" i="1"/>
  <c r="A5052" i="1"/>
  <c r="D5052" i="1"/>
  <c r="F5052" i="1"/>
  <c r="H5052" i="1"/>
  <c r="I5052" i="1"/>
  <c r="L5052" i="1"/>
  <c r="M5052" i="1"/>
  <c r="V5052" i="1"/>
  <c r="W5052" i="1"/>
  <c r="A3959" i="1"/>
  <c r="D3959" i="1"/>
  <c r="F3959" i="1"/>
  <c r="H3959" i="1"/>
  <c r="I3959" i="1"/>
  <c r="L3959" i="1"/>
  <c r="M3959" i="1"/>
  <c r="V3959" i="1"/>
  <c r="W3959" i="1"/>
  <c r="A4007" i="1"/>
  <c r="D4007" i="1"/>
  <c r="F4007" i="1"/>
  <c r="H4007" i="1"/>
  <c r="I4007" i="1"/>
  <c r="L4007" i="1"/>
  <c r="M4007" i="1"/>
  <c r="V4007" i="1"/>
  <c r="W4007" i="1"/>
  <c r="A4485" i="1"/>
  <c r="D4485" i="1"/>
  <c r="F4485" i="1"/>
  <c r="H4485" i="1"/>
  <c r="I4485" i="1"/>
  <c r="L4485" i="1"/>
  <c r="M4485" i="1"/>
  <c r="V4485" i="1"/>
  <c r="W4485" i="1"/>
  <c r="A549" i="1"/>
  <c r="D549" i="1"/>
  <c r="F549" i="1"/>
  <c r="H549" i="1"/>
  <c r="I549" i="1"/>
  <c r="L549" i="1"/>
  <c r="M549" i="1"/>
  <c r="V549" i="1"/>
  <c r="W549" i="1"/>
  <c r="A88" i="1"/>
  <c r="D88" i="1"/>
  <c r="F88" i="1"/>
  <c r="H88" i="1"/>
  <c r="I88" i="1"/>
  <c r="L88" i="1"/>
  <c r="M88" i="1"/>
  <c r="V88" i="1"/>
  <c r="W88" i="1"/>
  <c r="A97" i="1"/>
  <c r="D97" i="1"/>
  <c r="F97" i="1"/>
  <c r="H97" i="1"/>
  <c r="I97" i="1"/>
  <c r="L97" i="1"/>
  <c r="M97" i="1"/>
  <c r="V97" i="1"/>
  <c r="W97" i="1"/>
  <c r="A105" i="1"/>
  <c r="D105" i="1"/>
  <c r="F105" i="1"/>
  <c r="H105" i="1"/>
  <c r="I105" i="1"/>
  <c r="L105" i="1"/>
  <c r="M105" i="1"/>
  <c r="V105" i="1"/>
  <c r="W105" i="1"/>
  <c r="A344" i="1"/>
  <c r="D344" i="1"/>
  <c r="F344" i="1"/>
  <c r="H344" i="1"/>
  <c r="I344" i="1"/>
  <c r="L344" i="1"/>
  <c r="M344" i="1"/>
  <c r="V344" i="1"/>
  <c r="W344" i="1"/>
  <c r="A401" i="1"/>
  <c r="D401" i="1"/>
  <c r="F401" i="1"/>
  <c r="H401" i="1"/>
  <c r="I401" i="1"/>
  <c r="L401" i="1"/>
  <c r="M401" i="1"/>
  <c r="V401" i="1"/>
  <c r="W401" i="1"/>
  <c r="A1211" i="1"/>
  <c r="D1211" i="1"/>
  <c r="F1211" i="1"/>
  <c r="H1211" i="1"/>
  <c r="I1211" i="1"/>
  <c r="L1211" i="1"/>
  <c r="M1211" i="1"/>
  <c r="V1211" i="1"/>
  <c r="W1211" i="1"/>
  <c r="A1214" i="1"/>
  <c r="D1214" i="1"/>
  <c r="F1214" i="1"/>
  <c r="H1214" i="1"/>
  <c r="I1214" i="1"/>
  <c r="L1214" i="1"/>
  <c r="M1214" i="1"/>
  <c r="V1214" i="1"/>
  <c r="W1214" i="1"/>
  <c r="A1420" i="1"/>
  <c r="D1420" i="1"/>
  <c r="F1420" i="1"/>
  <c r="H1420" i="1"/>
  <c r="I1420" i="1"/>
  <c r="L1420" i="1"/>
  <c r="M1420" i="1"/>
  <c r="V1420" i="1"/>
  <c r="W1420" i="1"/>
  <c r="A1486" i="1"/>
  <c r="D1486" i="1"/>
  <c r="F1486" i="1"/>
  <c r="H1486" i="1"/>
  <c r="I1486" i="1"/>
  <c r="L1486" i="1"/>
  <c r="M1486" i="1"/>
  <c r="V1486" i="1"/>
  <c r="W1486" i="1"/>
  <c r="A1490" i="1"/>
  <c r="D1490" i="1"/>
  <c r="F1490" i="1"/>
  <c r="H1490" i="1"/>
  <c r="I1490" i="1"/>
  <c r="L1490" i="1"/>
  <c r="M1490" i="1"/>
  <c r="V1490" i="1"/>
  <c r="W1490" i="1"/>
  <c r="A1686" i="1"/>
  <c r="D1686" i="1"/>
  <c r="F1686" i="1"/>
  <c r="H1686" i="1"/>
  <c r="I1686" i="1"/>
  <c r="L1686" i="1"/>
  <c r="M1686" i="1"/>
  <c r="V1686" i="1"/>
  <c r="W1686" i="1"/>
  <c r="A1687" i="1"/>
  <c r="D1687" i="1"/>
  <c r="F1687" i="1"/>
  <c r="H1687" i="1"/>
  <c r="I1687" i="1"/>
  <c r="L1687" i="1"/>
  <c r="M1687" i="1"/>
  <c r="V1687" i="1"/>
  <c r="W1687" i="1"/>
  <c r="A1819" i="1"/>
  <c r="D1819" i="1"/>
  <c r="F1819" i="1"/>
  <c r="H1819" i="1"/>
  <c r="I1819" i="1"/>
  <c r="L1819" i="1"/>
  <c r="M1819" i="1"/>
  <c r="V1819" i="1"/>
  <c r="W1819" i="1"/>
  <c r="A1825" i="1"/>
  <c r="D1825" i="1"/>
  <c r="F1825" i="1"/>
  <c r="H1825" i="1"/>
  <c r="I1825" i="1"/>
  <c r="L1825" i="1"/>
  <c r="M1825" i="1"/>
  <c r="V1825" i="1"/>
  <c r="W1825" i="1"/>
  <c r="A2049" i="1"/>
  <c r="D2049" i="1"/>
  <c r="F2049" i="1"/>
  <c r="H2049" i="1"/>
  <c r="I2049" i="1"/>
  <c r="L2049" i="1"/>
  <c r="M2049" i="1"/>
  <c r="V2049" i="1"/>
  <c r="W2049" i="1"/>
  <c r="A1887" i="1"/>
  <c r="D1887" i="1"/>
  <c r="F1887" i="1"/>
  <c r="H1887" i="1"/>
  <c r="I1887" i="1"/>
  <c r="L1887" i="1"/>
  <c r="M1887" i="1"/>
  <c r="V1887" i="1"/>
  <c r="W1887" i="1"/>
  <c r="A2785" i="1"/>
  <c r="D2785" i="1"/>
  <c r="F2785" i="1"/>
  <c r="H2785" i="1"/>
  <c r="I2785" i="1"/>
  <c r="L2785" i="1"/>
  <c r="M2785" i="1"/>
  <c r="V2785" i="1"/>
  <c r="W2785" i="1"/>
  <c r="A2786" i="1"/>
  <c r="D2786" i="1"/>
  <c r="F2786" i="1"/>
  <c r="H2786" i="1"/>
  <c r="I2786" i="1"/>
  <c r="L2786" i="1"/>
  <c r="M2786" i="1"/>
  <c r="V2786" i="1"/>
  <c r="W2786" i="1"/>
  <c r="A2952" i="1"/>
  <c r="D2952" i="1"/>
  <c r="F2952" i="1"/>
  <c r="H2952" i="1"/>
  <c r="I2952" i="1"/>
  <c r="L2952" i="1"/>
  <c r="M2952" i="1"/>
  <c r="V2952" i="1"/>
  <c r="W2952" i="1"/>
  <c r="A2953" i="1"/>
  <c r="D2953" i="1"/>
  <c r="F2953" i="1"/>
  <c r="H2953" i="1"/>
  <c r="I2953" i="1"/>
  <c r="L2953" i="1"/>
  <c r="M2953" i="1"/>
  <c r="V2953" i="1"/>
  <c r="W2953" i="1"/>
  <c r="A3117" i="1"/>
  <c r="D3117" i="1"/>
  <c r="F3117" i="1"/>
  <c r="H3117" i="1"/>
  <c r="I3117" i="1"/>
  <c r="L3117" i="1"/>
  <c r="M3117" i="1"/>
  <c r="V3117" i="1"/>
  <c r="W3117" i="1"/>
  <c r="A3123" i="1"/>
  <c r="D3123" i="1"/>
  <c r="F3123" i="1"/>
  <c r="H3123" i="1"/>
  <c r="I3123" i="1"/>
  <c r="L3123" i="1"/>
  <c r="M3123" i="1"/>
  <c r="V3123" i="1"/>
  <c r="W3123" i="1"/>
  <c r="A3178" i="1"/>
  <c r="D3178" i="1"/>
  <c r="F3178" i="1"/>
  <c r="H3178" i="1"/>
  <c r="I3178" i="1"/>
  <c r="L3178" i="1"/>
  <c r="M3178" i="1"/>
  <c r="V3178" i="1"/>
  <c r="W3178" i="1"/>
  <c r="A3592" i="1"/>
  <c r="D3592" i="1"/>
  <c r="F3592" i="1"/>
  <c r="H3592" i="1"/>
  <c r="I3592" i="1"/>
  <c r="L3592" i="1"/>
  <c r="M3592" i="1"/>
  <c r="V3592" i="1"/>
  <c r="W3592" i="1"/>
  <c r="A3760" i="1"/>
  <c r="D3760" i="1"/>
  <c r="F3760" i="1"/>
  <c r="H3760" i="1"/>
  <c r="I3760" i="1"/>
  <c r="L3760" i="1"/>
  <c r="M3760" i="1"/>
  <c r="V3760" i="1"/>
  <c r="W3760" i="1"/>
  <c r="A4965" i="1"/>
  <c r="D4965" i="1"/>
  <c r="F4965" i="1"/>
  <c r="H4965" i="1"/>
  <c r="I4965" i="1"/>
  <c r="L4965" i="1"/>
  <c r="M4965" i="1"/>
  <c r="V4965" i="1"/>
  <c r="W4965" i="1"/>
  <c r="A5069" i="1"/>
  <c r="D5069" i="1"/>
  <c r="F5069" i="1"/>
  <c r="H5069" i="1"/>
  <c r="I5069" i="1"/>
  <c r="L5069" i="1"/>
  <c r="M5069" i="1"/>
  <c r="V5069" i="1"/>
  <c r="W5069" i="1"/>
  <c r="A5070" i="1"/>
  <c r="D5070" i="1"/>
  <c r="F5070" i="1"/>
  <c r="H5070" i="1"/>
  <c r="I5070" i="1"/>
  <c r="L5070" i="1"/>
  <c r="M5070" i="1"/>
  <c r="V5070" i="1"/>
  <c r="W5070" i="1"/>
  <c r="A2339" i="1"/>
  <c r="D2339" i="1"/>
  <c r="F2339" i="1"/>
  <c r="H2339" i="1"/>
  <c r="I2339" i="1"/>
  <c r="L2339" i="1"/>
  <c r="M2339" i="1"/>
  <c r="V2339" i="1"/>
  <c r="W2339" i="1"/>
  <c r="A2620" i="1"/>
  <c r="D2620" i="1"/>
  <c r="F2620" i="1"/>
  <c r="H2620" i="1"/>
  <c r="I2620" i="1"/>
  <c r="L2620" i="1"/>
  <c r="M2620" i="1"/>
  <c r="V2620" i="1"/>
  <c r="W2620" i="1"/>
  <c r="A1156" i="1"/>
  <c r="D1156" i="1"/>
  <c r="F1156" i="1"/>
  <c r="H1156" i="1"/>
  <c r="I1156" i="1"/>
  <c r="L1156" i="1"/>
  <c r="M1156" i="1"/>
  <c r="V1156" i="1"/>
  <c r="W1156" i="1"/>
  <c r="A1574" i="1"/>
  <c r="D1574" i="1"/>
  <c r="F1574" i="1"/>
  <c r="H1574" i="1"/>
  <c r="I1574" i="1"/>
  <c r="L1574" i="1"/>
  <c r="M1574" i="1"/>
  <c r="V1574" i="1"/>
  <c r="W1574" i="1"/>
  <c r="A1834" i="1"/>
  <c r="D1834" i="1"/>
  <c r="F1834" i="1"/>
  <c r="H1834" i="1"/>
  <c r="I1834" i="1"/>
  <c r="L1834" i="1"/>
  <c r="M1834" i="1"/>
  <c r="V1834" i="1"/>
  <c r="W1834" i="1"/>
  <c r="A2448" i="1"/>
  <c r="D2448" i="1"/>
  <c r="F2448" i="1"/>
  <c r="H2448" i="1"/>
  <c r="I2448" i="1"/>
  <c r="L2448" i="1"/>
  <c r="M2448" i="1"/>
  <c r="V2448" i="1"/>
  <c r="W2448" i="1"/>
  <c r="A2519" i="1"/>
  <c r="D2519" i="1"/>
  <c r="F2519" i="1"/>
  <c r="H2519" i="1"/>
  <c r="I2519" i="1"/>
  <c r="L2519" i="1"/>
  <c r="M2519" i="1"/>
  <c r="V2519" i="1"/>
  <c r="W2519" i="1"/>
  <c r="A2369" i="1"/>
  <c r="D2369" i="1"/>
  <c r="F2369" i="1"/>
  <c r="H2369" i="1"/>
  <c r="I2369" i="1"/>
  <c r="L2369" i="1"/>
  <c r="M2369" i="1"/>
  <c r="V2369" i="1"/>
  <c r="W2369" i="1"/>
  <c r="A4726" i="1"/>
  <c r="D4726" i="1"/>
  <c r="F4726" i="1"/>
  <c r="H4726" i="1"/>
  <c r="I4726" i="1"/>
  <c r="L4726" i="1"/>
  <c r="M4726" i="1"/>
  <c r="V4726" i="1"/>
  <c r="W4726" i="1"/>
  <c r="A5394" i="1"/>
  <c r="D5394" i="1"/>
  <c r="F5394" i="1"/>
  <c r="H5394" i="1"/>
  <c r="I5394" i="1"/>
  <c r="L5394" i="1"/>
  <c r="M5394" i="1"/>
  <c r="V5394" i="1"/>
  <c r="W5394" i="1"/>
  <c r="A5656" i="1"/>
  <c r="D5656" i="1"/>
  <c r="F5656" i="1"/>
  <c r="H5656" i="1"/>
  <c r="I5656" i="1"/>
  <c r="L5656" i="1"/>
  <c r="M5656" i="1"/>
  <c r="V5656" i="1"/>
  <c r="W5656" i="1"/>
  <c r="A6172" i="1"/>
  <c r="D6172" i="1"/>
  <c r="F6172" i="1"/>
  <c r="H6172" i="1"/>
  <c r="I6172" i="1"/>
  <c r="L6172" i="1"/>
  <c r="M6172" i="1"/>
  <c r="V6172" i="1"/>
  <c r="W6172" i="1"/>
  <c r="A5402" i="1"/>
  <c r="D5402" i="1"/>
  <c r="F5402" i="1"/>
  <c r="H5402" i="1"/>
  <c r="I5402" i="1"/>
  <c r="L5402" i="1"/>
  <c r="M5402" i="1"/>
  <c r="V5402" i="1"/>
  <c r="W5402" i="1"/>
  <c r="A5788" i="1"/>
  <c r="D5788" i="1"/>
  <c r="F5788" i="1"/>
  <c r="H5788" i="1"/>
  <c r="I5788" i="1"/>
  <c r="L5788" i="1"/>
  <c r="M5788" i="1"/>
  <c r="V5788" i="1"/>
  <c r="W5788" i="1"/>
  <c r="A5748" i="1"/>
  <c r="D5748" i="1"/>
  <c r="F5748" i="1"/>
  <c r="H5748" i="1"/>
  <c r="I5748" i="1"/>
  <c r="L5748" i="1"/>
  <c r="M5748" i="1"/>
  <c r="V5748" i="1"/>
  <c r="W5748" i="1"/>
  <c r="A1654" i="1"/>
  <c r="D1654" i="1"/>
  <c r="F1654" i="1"/>
  <c r="H1654" i="1"/>
  <c r="I1654" i="1"/>
  <c r="L1654" i="1"/>
  <c r="M1654" i="1"/>
  <c r="V1654" i="1"/>
  <c r="W1654" i="1"/>
  <c r="A5051" i="1"/>
  <c r="D5051" i="1"/>
  <c r="F5051" i="1"/>
  <c r="H5051" i="1"/>
  <c r="I5051" i="1"/>
  <c r="L5051" i="1"/>
  <c r="M5051" i="1"/>
  <c r="V5051" i="1"/>
  <c r="W5051" i="1"/>
  <c r="A5143" i="1"/>
  <c r="D5143" i="1"/>
  <c r="F5143" i="1"/>
  <c r="H5143" i="1"/>
  <c r="I5143" i="1"/>
  <c r="L5143" i="1"/>
  <c r="M5143" i="1"/>
  <c r="V5143" i="1"/>
  <c r="W5143" i="1"/>
  <c r="A5212" i="1"/>
  <c r="D5212" i="1"/>
  <c r="F5212" i="1"/>
  <c r="H5212" i="1"/>
  <c r="I5212" i="1"/>
  <c r="L5212" i="1"/>
  <c r="M5212" i="1"/>
  <c r="V5212" i="1"/>
  <c r="W5212" i="1"/>
  <c r="A5822" i="1"/>
  <c r="D5822" i="1"/>
  <c r="F5822" i="1"/>
  <c r="H5822" i="1"/>
  <c r="I5822" i="1"/>
  <c r="L5822" i="1"/>
  <c r="M5822" i="1"/>
  <c r="V5822" i="1"/>
  <c r="W5822" i="1"/>
  <c r="A1461" i="1"/>
  <c r="D1461" i="1"/>
  <c r="F1461" i="1"/>
  <c r="H1461" i="1"/>
  <c r="I1461" i="1"/>
  <c r="L1461" i="1"/>
  <c r="M1461" i="1"/>
  <c r="V1461" i="1"/>
  <c r="W1461" i="1"/>
  <c r="A1296" i="1"/>
  <c r="D1296" i="1"/>
  <c r="F1296" i="1"/>
  <c r="H1296" i="1"/>
  <c r="I1296" i="1"/>
  <c r="L1296" i="1"/>
  <c r="M1296" i="1"/>
  <c r="V1296" i="1"/>
  <c r="W1296" i="1"/>
  <c r="A1599" i="1"/>
  <c r="D1599" i="1"/>
  <c r="F1599" i="1"/>
  <c r="H1599" i="1"/>
  <c r="I1599" i="1"/>
  <c r="L1599" i="1"/>
  <c r="M1599" i="1"/>
  <c r="V1599" i="1"/>
  <c r="W1599" i="1"/>
  <c r="A1636" i="1"/>
  <c r="D1636" i="1"/>
  <c r="F1636" i="1"/>
  <c r="H1636" i="1"/>
  <c r="I1636" i="1"/>
  <c r="L1636" i="1"/>
  <c r="M1636" i="1"/>
  <c r="V1636" i="1"/>
  <c r="W1636" i="1"/>
  <c r="A3852" i="1"/>
  <c r="D3852" i="1"/>
  <c r="F3852" i="1"/>
  <c r="H3852" i="1"/>
  <c r="I3852" i="1"/>
  <c r="L3852" i="1"/>
  <c r="M3852" i="1"/>
  <c r="V3852" i="1"/>
  <c r="W3852" i="1"/>
  <c r="A4347" i="1"/>
  <c r="D4347" i="1"/>
  <c r="F4347" i="1"/>
  <c r="H4347" i="1"/>
  <c r="I4347" i="1"/>
  <c r="L4347" i="1"/>
  <c r="M4347" i="1"/>
  <c r="V4347" i="1"/>
  <c r="W4347" i="1"/>
  <c r="A6205" i="1"/>
  <c r="D6205" i="1"/>
  <c r="F6205" i="1"/>
  <c r="H6205" i="1"/>
  <c r="I6205" i="1"/>
  <c r="L6205" i="1"/>
  <c r="M6205" i="1"/>
  <c r="V6205" i="1"/>
  <c r="W6205" i="1"/>
  <c r="A3209" i="1"/>
  <c r="D3209" i="1"/>
  <c r="F3209" i="1"/>
  <c r="H3209" i="1"/>
  <c r="I3209" i="1"/>
  <c r="L3209" i="1"/>
  <c r="M3209" i="1"/>
  <c r="V3209" i="1"/>
  <c r="W3209" i="1"/>
  <c r="A1502" i="1"/>
  <c r="D1502" i="1"/>
  <c r="F1502" i="1"/>
  <c r="H1502" i="1"/>
  <c r="I1502" i="1"/>
  <c r="L1502" i="1"/>
  <c r="M1502" i="1"/>
  <c r="V1502" i="1"/>
  <c r="W1502" i="1"/>
  <c r="A2429" i="1"/>
  <c r="D2429" i="1"/>
  <c r="F2429" i="1"/>
  <c r="H2429" i="1"/>
  <c r="I2429" i="1"/>
  <c r="L2429" i="1"/>
  <c r="M2429" i="1"/>
  <c r="V2429" i="1"/>
  <c r="W2429" i="1"/>
  <c r="A1551" i="1"/>
  <c r="D1551" i="1"/>
  <c r="F1551" i="1"/>
  <c r="H1551" i="1"/>
  <c r="I1551" i="1"/>
  <c r="L1551" i="1"/>
  <c r="M1551" i="1"/>
  <c r="V1551" i="1"/>
  <c r="W1551" i="1"/>
  <c r="A2551" i="1"/>
  <c r="D2551" i="1"/>
  <c r="F2551" i="1"/>
  <c r="H2551" i="1"/>
  <c r="I2551" i="1"/>
  <c r="L2551" i="1"/>
  <c r="M2551" i="1"/>
  <c r="V2551" i="1"/>
  <c r="W2551" i="1"/>
  <c r="A5913" i="1"/>
  <c r="D5913" i="1"/>
  <c r="F5913" i="1"/>
  <c r="H5913" i="1"/>
  <c r="I5913" i="1"/>
  <c r="L5913" i="1"/>
  <c r="M5913" i="1"/>
  <c r="V5913" i="1"/>
  <c r="W5913" i="1"/>
  <c r="A4646" i="1"/>
  <c r="D4646" i="1"/>
  <c r="F4646" i="1"/>
  <c r="H4646" i="1"/>
  <c r="I4646" i="1"/>
  <c r="L4646" i="1"/>
  <c r="M4646" i="1"/>
  <c r="V4646" i="1"/>
  <c r="W4646" i="1"/>
  <c r="A876" i="1"/>
  <c r="D876" i="1"/>
  <c r="F876" i="1"/>
  <c r="H876" i="1"/>
  <c r="I876" i="1"/>
  <c r="L876" i="1"/>
  <c r="M876" i="1"/>
  <c r="V876" i="1"/>
  <c r="W876" i="1"/>
  <c r="A4412" i="1"/>
  <c r="D4412" i="1"/>
  <c r="F4412" i="1"/>
  <c r="H4412" i="1"/>
  <c r="I4412" i="1"/>
  <c r="L4412" i="1"/>
  <c r="M4412" i="1"/>
  <c r="V4412" i="1"/>
  <c r="W4412" i="1"/>
</calcChain>
</file>

<file path=xl/sharedStrings.xml><?xml version="1.0" encoding="utf-8"?>
<sst xmlns="http://schemas.openxmlformats.org/spreadsheetml/2006/main" count="89397" uniqueCount="126">
  <si>
    <t>司機編號</t>
  </si>
  <si>
    <t>司機名稱</t>
  </si>
  <si>
    <t>車號</t>
  </si>
  <si>
    <t>路線編號</t>
  </si>
  <si>
    <t>路線名稱</t>
  </si>
  <si>
    <t>卡號</t>
  </si>
  <si>
    <t>交易票種</t>
  </si>
  <si>
    <t>票價</t>
  </si>
  <si>
    <t>卡片扣款</t>
  </si>
  <si>
    <t>上車交易日期</t>
  </si>
  <si>
    <t>上車交易時間</t>
  </si>
  <si>
    <t>上車交易型態</t>
  </si>
  <si>
    <t>上車招呼站名稱</t>
  </si>
  <si>
    <t>上車票價站名稱</t>
  </si>
  <si>
    <t>轉乘優惠金額</t>
  </si>
  <si>
    <t>下車交易日期</t>
  </si>
  <si>
    <t>下車交易時間</t>
  </si>
  <si>
    <t>下車招呼站名稱</t>
  </si>
  <si>
    <t>下車票價站名稱</t>
  </si>
  <si>
    <t>付現</t>
  </si>
  <si>
    <t>去返程</t>
  </si>
  <si>
    <t>轉乘群組代碼</t>
  </si>
  <si>
    <t>票証公司</t>
  </si>
  <si>
    <t>陳正頡</t>
  </si>
  <si>
    <t>225FX</t>
  </si>
  <si>
    <t>市區循環線</t>
  </si>
  <si>
    <t>其他敬老卡</t>
  </si>
  <si>
    <t>棒球場(回)</t>
  </si>
  <si>
    <t>台東火車站</t>
  </si>
  <si>
    <t>一卡通</t>
  </si>
  <si>
    <t>黃岳慶</t>
  </si>
  <si>
    <t>223-FX</t>
  </si>
  <si>
    <t>火車站-小野柳</t>
  </si>
  <si>
    <t>其他普通卡</t>
  </si>
  <si>
    <t>富岡漁港</t>
  </si>
  <si>
    <t>悠遊卡</t>
  </si>
  <si>
    <t>王進忠</t>
  </si>
  <si>
    <t>217FX</t>
  </si>
  <si>
    <t>其他學生卡</t>
  </si>
  <si>
    <t>王銘琮</t>
  </si>
  <si>
    <t>221FX</t>
  </si>
  <si>
    <t>拖吊場(去)</t>
  </si>
  <si>
    <t>陳勇佑</t>
  </si>
  <si>
    <t>220-FX</t>
  </si>
  <si>
    <t>中華正氣路口</t>
  </si>
  <si>
    <t>臺東森林公園</t>
  </si>
  <si>
    <t>台東森林公園</t>
  </si>
  <si>
    <t>范峻銘</t>
  </si>
  <si>
    <t>219FX</t>
  </si>
  <si>
    <t>航空站-火車站</t>
  </si>
  <si>
    <t>台東航空站</t>
  </si>
  <si>
    <t>後期聖徒教會</t>
  </si>
  <si>
    <t>台東轉運站</t>
  </si>
  <si>
    <t>蔡文彬</t>
  </si>
  <si>
    <t>222FX</t>
  </si>
  <si>
    <t>錢包扣款</t>
  </si>
  <si>
    <t>吳外科(去)</t>
  </si>
  <si>
    <t>旅服中心-火車站</t>
  </si>
  <si>
    <t>高市一般卡</t>
  </si>
  <si>
    <t>高市學生卡</t>
  </si>
  <si>
    <t>馬偕醫院1</t>
  </si>
  <si>
    <t>天天來(去)</t>
  </si>
  <si>
    <t>中央市場</t>
  </si>
  <si>
    <t>公東高工(回)</t>
  </si>
  <si>
    <t>高市敬老卡</t>
  </si>
  <si>
    <t>縣民服務中心</t>
  </si>
  <si>
    <t>高市陪伴全</t>
  </si>
  <si>
    <t>東方大鎮</t>
  </si>
  <si>
    <t>特種票付款</t>
  </si>
  <si>
    <t>新生郵局</t>
  </si>
  <si>
    <t>寶桑國中(去)</t>
  </si>
  <si>
    <t>臺東高商</t>
  </si>
  <si>
    <t>聖母醫院</t>
  </si>
  <si>
    <t>小野柳</t>
  </si>
  <si>
    <t>其他愛心卡</t>
  </si>
  <si>
    <t>台東中華會館</t>
  </si>
  <si>
    <t>康樂國小(去)</t>
  </si>
  <si>
    <t>開封長安街口</t>
  </si>
  <si>
    <t>台東糖廠(去)</t>
  </si>
  <si>
    <t>浙江路口(去)</t>
  </si>
  <si>
    <t>基督教醫院</t>
  </si>
  <si>
    <t>寶桑國中(回)</t>
  </si>
  <si>
    <t>高市博愛卡</t>
  </si>
  <si>
    <t>娜路彎大酒店</t>
  </si>
  <si>
    <t>卑南入口(去)</t>
  </si>
  <si>
    <t>棒球場(去)</t>
  </si>
  <si>
    <t>體育館(鐵花村)</t>
  </si>
  <si>
    <t>美娥餐廳(回)</t>
  </si>
  <si>
    <t>逃票</t>
  </si>
  <si>
    <t>富岡社區</t>
  </si>
  <si>
    <t>台東棒球場</t>
  </si>
  <si>
    <t>台東海濱公園</t>
  </si>
  <si>
    <t>浙江路口(回)</t>
  </si>
  <si>
    <t>美娥餐廳(去)</t>
  </si>
  <si>
    <t>天天來(回)</t>
  </si>
  <si>
    <t>拖吊場(回)</t>
  </si>
  <si>
    <t>其他兒童卡</t>
  </si>
  <si>
    <t>美術館(地檢署)</t>
  </si>
  <si>
    <t>公東高工(去)</t>
  </si>
  <si>
    <t>康樂國小(回)</t>
  </si>
  <si>
    <t>大同路郵局</t>
  </si>
  <si>
    <t>卑南入口(回)</t>
  </si>
  <si>
    <t>其他陪伴卡</t>
  </si>
  <si>
    <t>吳外科(回)</t>
  </si>
  <si>
    <t>專科學校(回)</t>
  </si>
  <si>
    <t>臺東縣議會(去)</t>
  </si>
  <si>
    <t>專科學校(去)</t>
  </si>
  <si>
    <t>陽明山莊</t>
  </si>
  <si>
    <t>台東糖廠(回)</t>
  </si>
  <si>
    <t>愛金卡</t>
  </si>
  <si>
    <t>223FX</t>
  </si>
  <si>
    <t>220FX</t>
  </si>
  <si>
    <t>榮民醫院(去)</t>
  </si>
  <si>
    <t>逃票</t>
    <phoneticPr fontId="19" type="noConversion"/>
  </si>
  <si>
    <t>20220911</t>
  </si>
  <si>
    <t>094817</t>
  </si>
  <si>
    <t>社福扣點</t>
    <phoneticPr fontId="19" type="noConversion"/>
  </si>
  <si>
    <t>其他敬老卡</t>
    <phoneticPr fontId="19" type="noConversion"/>
  </si>
  <si>
    <t>59809</t>
  </si>
  <si>
    <t>59820</t>
  </si>
  <si>
    <t>59822</t>
  </si>
  <si>
    <t>59823</t>
  </si>
  <si>
    <t>59825</t>
  </si>
  <si>
    <t>59828</t>
  </si>
  <si>
    <t>59829</t>
  </si>
  <si>
    <t>人數小計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</si>
</sst>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rgb="FF000000"/>
      <name val="新細明體"/>
      <family val="1"/>
      <charset val="136"/>
    </font>
    <font>
      <b/>
      <sz val="9"/>
      <name val="新細明體"/>
      <family val="1"/>
      <charset val="136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  <bgColor rgb="FFC0C0C0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18" fillId="0" borderId="0" xfId="0" applyFont="1">
      <alignment vertical="center"/>
    </xf>
    <xf numFmtId="0" fontId="20" fillId="0" borderId="11" xfId="0" applyFont="1" applyFill="1" applyBorder="1" applyAlignment="1" applyProtection="1">
      <alignment vertical="center" wrapText="1"/>
    </xf>
    <xf numFmtId="0" fontId="20" fillId="0" borderId="11" xfId="0" applyFont="1" applyFill="1" applyBorder="1" applyAlignment="1" applyProtection="1">
      <alignment horizontal="right" vertical="center" wrapText="1"/>
    </xf>
    <xf numFmtId="0" fontId="0" fillId="0" borderId="0" xfId="0" applyAlignment="1"/>
    <xf numFmtId="0" fontId="21" fillId="33" borderId="10" xfId="0" applyFont="1" applyFill="1" applyBorder="1" applyAlignment="1" applyProtection="1">
      <alignment horizontal="center" vertical="center"/>
    </xf>
    <xf numFmtId="176" fontId="21" fillId="33" borderId="10" xfId="0" applyNumberFormat="1" applyFont="1" applyFill="1" applyBorder="1" applyAlignment="1" applyProtection="1">
      <alignment horizontal="center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217"/>
  <sheetViews>
    <sheetView tabSelected="1" topLeftCell="C6196" workbookViewId="0">
      <selection activeCell="Q6218" sqref="Q6218"/>
    </sheetView>
  </sheetViews>
  <sheetFormatPr defaultRowHeight="13.8" x14ac:dyDescent="0.3"/>
  <cols>
    <col min="1" max="16384" width="8.88671875" style="1"/>
  </cols>
  <sheetData>
    <row r="1" spans="1: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12</v>
      </c>
      <c r="K1" s="1" t="s">
        <v>13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11</v>
      </c>
      <c r="Q1" s="1" t="s">
        <v>7</v>
      </c>
      <c r="R1" s="1" t="s">
        <v>8</v>
      </c>
      <c r="S1" s="1" t="s">
        <v>14</v>
      </c>
      <c r="T1" s="1" t="s">
        <v>116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x14ac:dyDescent="0.3">
      <c r="A2" s="1" t="str">
        <f t="shared" ref="A2:A33" si="0">"59809"</f>
        <v>59809</v>
      </c>
      <c r="B2" s="1" t="s">
        <v>42</v>
      </c>
      <c r="C2" s="1" t="s">
        <v>43</v>
      </c>
      <c r="D2" s="1" t="str">
        <f>"9803"</f>
        <v>9803</v>
      </c>
      <c r="E2" s="1" t="s">
        <v>32</v>
      </c>
      <c r="F2" s="1" t="str">
        <f>"2493704612"</f>
        <v>2493704612</v>
      </c>
      <c r="G2" s="1" t="s">
        <v>33</v>
      </c>
      <c r="H2" s="1" t="str">
        <f t="shared" ref="H2:H65" si="1">"20220901"</f>
        <v>20220901</v>
      </c>
      <c r="I2" s="1" t="str">
        <f>"061828"</f>
        <v>061828</v>
      </c>
      <c r="J2" s="1" t="s">
        <v>28</v>
      </c>
      <c r="K2" s="1" t="s">
        <v>28</v>
      </c>
      <c r="L2" s="1" t="str">
        <f t="shared" ref="L2:L65" si="2">"20220901"</f>
        <v>20220901</v>
      </c>
      <c r="M2" s="1" t="str">
        <f>"063821"</f>
        <v>063821</v>
      </c>
      <c r="N2" s="1" t="s">
        <v>34</v>
      </c>
      <c r="O2" s="1" t="s">
        <v>34</v>
      </c>
      <c r="P2" s="1" t="s">
        <v>55</v>
      </c>
      <c r="Q2" s="1">
        <v>25</v>
      </c>
      <c r="R2" s="1">
        <v>25</v>
      </c>
      <c r="S2" s="1">
        <v>0</v>
      </c>
      <c r="T2" s="1">
        <v>0</v>
      </c>
      <c r="U2" s="1">
        <v>0</v>
      </c>
      <c r="V2" s="1" t="str">
        <f>"里程去程"</f>
        <v>里程去程</v>
      </c>
      <c r="W2" s="1" t="str">
        <f>"0820"</f>
        <v>0820</v>
      </c>
      <c r="X2" s="1" t="s">
        <v>35</v>
      </c>
    </row>
    <row r="3" spans="1:24" x14ac:dyDescent="0.3">
      <c r="A3" s="1" t="str">
        <f t="shared" si="0"/>
        <v>59809</v>
      </c>
      <c r="B3" s="1" t="s">
        <v>42</v>
      </c>
      <c r="C3" s="1" t="s">
        <v>43</v>
      </c>
      <c r="D3" s="1" t="str">
        <f>"9803"</f>
        <v>9803</v>
      </c>
      <c r="E3" s="1" t="s">
        <v>32</v>
      </c>
      <c r="F3" s="1" t="str">
        <f>"1751327984"</f>
        <v>1751327984</v>
      </c>
      <c r="G3" s="1" t="s">
        <v>33</v>
      </c>
      <c r="H3" s="1" t="str">
        <f t="shared" si="1"/>
        <v>20220901</v>
      </c>
      <c r="I3" s="1" t="str">
        <f>"061830"</f>
        <v>061830</v>
      </c>
      <c r="J3" s="1" t="s">
        <v>28</v>
      </c>
      <c r="K3" s="1" t="s">
        <v>28</v>
      </c>
      <c r="L3" s="1" t="str">
        <f t="shared" si="2"/>
        <v>20220901</v>
      </c>
      <c r="M3" s="1" t="str">
        <f>"063819"</f>
        <v>063819</v>
      </c>
      <c r="N3" s="1" t="s">
        <v>34</v>
      </c>
      <c r="O3" s="1" t="s">
        <v>34</v>
      </c>
      <c r="P3" s="1" t="s">
        <v>55</v>
      </c>
      <c r="Q3" s="1">
        <v>25</v>
      </c>
      <c r="R3" s="1">
        <v>25</v>
      </c>
      <c r="S3" s="1">
        <v>0</v>
      </c>
      <c r="T3" s="1">
        <v>0</v>
      </c>
      <c r="U3" s="1">
        <v>0</v>
      </c>
      <c r="V3" s="1" t="str">
        <f>"里程去程"</f>
        <v>里程去程</v>
      </c>
      <c r="W3" s="1" t="str">
        <f>"0120"</f>
        <v>0120</v>
      </c>
      <c r="X3" s="1" t="s">
        <v>35</v>
      </c>
    </row>
    <row r="4" spans="1:24" x14ac:dyDescent="0.3">
      <c r="A4" s="1" t="str">
        <f t="shared" si="0"/>
        <v>59809</v>
      </c>
      <c r="B4" s="1" t="s">
        <v>42</v>
      </c>
      <c r="C4" s="1" t="s">
        <v>43</v>
      </c>
      <c r="D4" s="1" t="str">
        <f t="shared" ref="D4:D11" si="3">"9806"</f>
        <v>9806</v>
      </c>
      <c r="E4" s="1" t="s">
        <v>49</v>
      </c>
      <c r="F4" s="1" t="str">
        <f>"12BE3C1B8B880400C817002000000021"</f>
        <v>12BE3C1B8B880400C817002000000021</v>
      </c>
      <c r="G4" s="1" t="s">
        <v>59</v>
      </c>
      <c r="H4" s="1" t="str">
        <f t="shared" si="1"/>
        <v>20220901</v>
      </c>
      <c r="I4" s="1" t="str">
        <f>"073114"</f>
        <v>073114</v>
      </c>
      <c r="J4" s="1" t="s">
        <v>28</v>
      </c>
      <c r="K4" s="1" t="s">
        <v>28</v>
      </c>
      <c r="L4" s="1" t="str">
        <f t="shared" si="2"/>
        <v>20220901</v>
      </c>
      <c r="M4" s="1" t="str">
        <f>"075045"</f>
        <v>075045</v>
      </c>
      <c r="N4" s="1" t="s">
        <v>99</v>
      </c>
      <c r="O4" s="1" t="s">
        <v>28</v>
      </c>
      <c r="P4" s="1" t="s">
        <v>55</v>
      </c>
      <c r="Q4" s="1">
        <v>25</v>
      </c>
      <c r="R4" s="1">
        <v>0</v>
      </c>
      <c r="S4" s="1">
        <v>25</v>
      </c>
      <c r="T4" s="1">
        <v>0</v>
      </c>
      <c r="U4" s="1">
        <v>0</v>
      </c>
      <c r="V4" s="1" t="str">
        <f t="shared" ref="V4:V11" si="4">"里程返程"</f>
        <v>里程返程</v>
      </c>
      <c r="W4" s="1" t="str">
        <f>"0620"</f>
        <v>0620</v>
      </c>
      <c r="X4" s="1" t="s">
        <v>29</v>
      </c>
    </row>
    <row r="5" spans="1:24" x14ac:dyDescent="0.3">
      <c r="A5" s="1" t="str">
        <f t="shared" si="0"/>
        <v>59809</v>
      </c>
      <c r="B5" s="1" t="s">
        <v>42</v>
      </c>
      <c r="C5" s="1" t="s">
        <v>43</v>
      </c>
      <c r="D5" s="1" t="str">
        <f t="shared" si="3"/>
        <v>9806</v>
      </c>
      <c r="E5" s="1" t="s">
        <v>49</v>
      </c>
      <c r="F5" s="1" t="str">
        <f>"F238370AF7880400C810002000000016"</f>
        <v>F238370AF7880400C810002000000016</v>
      </c>
      <c r="G5" s="1" t="s">
        <v>59</v>
      </c>
      <c r="H5" s="1" t="str">
        <f t="shared" si="1"/>
        <v>20220901</v>
      </c>
      <c r="I5" s="1" t="str">
        <f>"073121"</f>
        <v>073121</v>
      </c>
      <c r="J5" s="1" t="s">
        <v>28</v>
      </c>
      <c r="K5" s="1" t="s">
        <v>28</v>
      </c>
      <c r="L5" s="1" t="str">
        <f t="shared" si="2"/>
        <v>20220901</v>
      </c>
      <c r="M5" s="1" t="str">
        <f>"074237"</f>
        <v>074237</v>
      </c>
      <c r="N5" s="1" t="s">
        <v>63</v>
      </c>
      <c r="O5" s="1" t="s">
        <v>28</v>
      </c>
      <c r="P5" s="1" t="s">
        <v>55</v>
      </c>
      <c r="Q5" s="1">
        <v>25</v>
      </c>
      <c r="R5" s="1">
        <v>0</v>
      </c>
      <c r="S5" s="1">
        <v>25</v>
      </c>
      <c r="T5" s="1">
        <v>0</v>
      </c>
      <c r="U5" s="1">
        <v>0</v>
      </c>
      <c r="V5" s="1" t="str">
        <f t="shared" si="4"/>
        <v>里程返程</v>
      </c>
      <c r="W5" s="1" t="str">
        <f>"0620"</f>
        <v>0620</v>
      </c>
      <c r="X5" s="1" t="s">
        <v>29</v>
      </c>
    </row>
    <row r="6" spans="1:24" x14ac:dyDescent="0.3">
      <c r="A6" s="1" t="str">
        <f t="shared" si="0"/>
        <v>59809</v>
      </c>
      <c r="B6" s="1" t="s">
        <v>42</v>
      </c>
      <c r="C6" s="1" t="s">
        <v>111</v>
      </c>
      <c r="D6" s="1" t="str">
        <f t="shared" si="3"/>
        <v>9806</v>
      </c>
      <c r="E6" s="1" t="s">
        <v>49</v>
      </c>
      <c r="F6" s="1" t="str">
        <f>"7111180627000603"</f>
        <v>7111180627000603</v>
      </c>
      <c r="G6" s="1" t="s">
        <v>33</v>
      </c>
      <c r="H6" s="1" t="str">
        <f t="shared" si="1"/>
        <v>20220901</v>
      </c>
      <c r="I6" s="1" t="str">
        <f>"073123"</f>
        <v>073123</v>
      </c>
      <c r="J6" s="1" t="s">
        <v>28</v>
      </c>
      <c r="K6" s="1" t="s">
        <v>28</v>
      </c>
      <c r="L6" s="1" t="str">
        <f t="shared" si="2"/>
        <v>20220901</v>
      </c>
      <c r="M6" s="1" t="str">
        <f>"074232"</f>
        <v>074232</v>
      </c>
      <c r="N6" s="1" t="s">
        <v>63</v>
      </c>
      <c r="O6" s="1" t="s">
        <v>28</v>
      </c>
      <c r="P6" s="1" t="s">
        <v>55</v>
      </c>
      <c r="Q6" s="1">
        <v>25</v>
      </c>
      <c r="R6" s="1">
        <v>0</v>
      </c>
      <c r="S6" s="1">
        <v>25</v>
      </c>
      <c r="T6" s="1">
        <v>0</v>
      </c>
      <c r="U6" s="1">
        <v>0</v>
      </c>
      <c r="V6" s="1" t="str">
        <f t="shared" si="4"/>
        <v>里程返程</v>
      </c>
      <c r="W6" s="1" t="str">
        <f>"083B"</f>
        <v>083B</v>
      </c>
      <c r="X6" s="1" t="s">
        <v>109</v>
      </c>
    </row>
    <row r="7" spans="1:24" x14ac:dyDescent="0.3">
      <c r="A7" s="1" t="str">
        <f t="shared" si="0"/>
        <v>59809</v>
      </c>
      <c r="B7" s="1" t="s">
        <v>42</v>
      </c>
      <c r="C7" s="1" t="s">
        <v>43</v>
      </c>
      <c r="D7" s="1" t="str">
        <f t="shared" si="3"/>
        <v>9806</v>
      </c>
      <c r="E7" s="1" t="s">
        <v>49</v>
      </c>
      <c r="F7" s="1" t="str">
        <f>"1697487813"</f>
        <v>1697487813</v>
      </c>
      <c r="G7" s="1" t="s">
        <v>33</v>
      </c>
      <c r="H7" s="1" t="str">
        <f t="shared" si="1"/>
        <v>20220901</v>
      </c>
      <c r="I7" s="1" t="str">
        <f>"073132"</f>
        <v>073132</v>
      </c>
      <c r="J7" s="1" t="s">
        <v>28</v>
      </c>
      <c r="K7" s="1" t="s">
        <v>28</v>
      </c>
      <c r="L7" s="1" t="str">
        <f t="shared" si="2"/>
        <v>20220901</v>
      </c>
      <c r="M7" s="1" t="str">
        <f>"075034"</f>
        <v>075034</v>
      </c>
      <c r="N7" s="1" t="s">
        <v>99</v>
      </c>
      <c r="O7" s="1" t="s">
        <v>28</v>
      </c>
      <c r="P7" s="1" t="s">
        <v>55</v>
      </c>
      <c r="Q7" s="1">
        <v>25</v>
      </c>
      <c r="R7" s="1">
        <v>0</v>
      </c>
      <c r="S7" s="1">
        <v>25</v>
      </c>
      <c r="T7" s="1">
        <v>0</v>
      </c>
      <c r="U7" s="1">
        <v>0</v>
      </c>
      <c r="V7" s="1" t="str">
        <f t="shared" si="4"/>
        <v>里程返程</v>
      </c>
      <c r="W7" s="1" t="str">
        <f>"0820"</f>
        <v>0820</v>
      </c>
      <c r="X7" s="1" t="s">
        <v>35</v>
      </c>
    </row>
    <row r="8" spans="1:24" x14ac:dyDescent="0.3">
      <c r="A8" s="1" t="str">
        <f t="shared" si="0"/>
        <v>59809</v>
      </c>
      <c r="B8" s="1" t="s">
        <v>42</v>
      </c>
      <c r="C8" s="1" t="s">
        <v>43</v>
      </c>
      <c r="D8" s="1" t="str">
        <f t="shared" si="3"/>
        <v>9806</v>
      </c>
      <c r="E8" s="1" t="s">
        <v>49</v>
      </c>
      <c r="F8" s="1" t="str">
        <f>"1107382869"</f>
        <v>1107382869</v>
      </c>
      <c r="G8" s="1" t="s">
        <v>33</v>
      </c>
      <c r="H8" s="1" t="str">
        <f t="shared" si="1"/>
        <v>20220901</v>
      </c>
      <c r="I8" s="1" t="str">
        <f>"073139"</f>
        <v>073139</v>
      </c>
      <c r="J8" s="1" t="s">
        <v>28</v>
      </c>
      <c r="K8" s="1" t="s">
        <v>28</v>
      </c>
      <c r="L8" s="1" t="str">
        <f t="shared" si="2"/>
        <v>20220901</v>
      </c>
      <c r="M8" s="1" t="str">
        <f>"075033"</f>
        <v>075033</v>
      </c>
      <c r="N8" s="1" t="s">
        <v>99</v>
      </c>
      <c r="O8" s="1" t="s">
        <v>28</v>
      </c>
      <c r="P8" s="1" t="s">
        <v>55</v>
      </c>
      <c r="Q8" s="1">
        <v>25</v>
      </c>
      <c r="R8" s="1">
        <v>0</v>
      </c>
      <c r="S8" s="1">
        <v>25</v>
      </c>
      <c r="T8" s="1">
        <v>0</v>
      </c>
      <c r="U8" s="1">
        <v>0</v>
      </c>
      <c r="V8" s="1" t="str">
        <f t="shared" si="4"/>
        <v>里程返程</v>
      </c>
      <c r="W8" s="1" t="str">
        <f>"0820"</f>
        <v>0820</v>
      </c>
      <c r="X8" s="1" t="s">
        <v>35</v>
      </c>
    </row>
    <row r="9" spans="1:24" x14ac:dyDescent="0.3">
      <c r="A9" s="1" t="str">
        <f t="shared" si="0"/>
        <v>59809</v>
      </c>
      <c r="B9" s="1" t="s">
        <v>42</v>
      </c>
      <c r="C9" s="1" t="s">
        <v>43</v>
      </c>
      <c r="D9" s="1" t="str">
        <f t="shared" si="3"/>
        <v>9806</v>
      </c>
      <c r="E9" s="1" t="s">
        <v>49</v>
      </c>
      <c r="F9" s="1" t="str">
        <f>"B211E70246880400C834002000000015"</f>
        <v>B211E70246880400C834002000000015</v>
      </c>
      <c r="G9" s="1" t="s">
        <v>74</v>
      </c>
      <c r="H9" s="1" t="str">
        <f t="shared" si="1"/>
        <v>20220901</v>
      </c>
      <c r="I9" s="1" t="str">
        <f>"073820"</f>
        <v>073820</v>
      </c>
      <c r="J9" s="1" t="s">
        <v>101</v>
      </c>
      <c r="K9" s="1" t="s">
        <v>28</v>
      </c>
      <c r="L9" s="1" t="str">
        <f t="shared" si="2"/>
        <v>20220901</v>
      </c>
      <c r="M9" s="1" t="str">
        <f>"075049"</f>
        <v>075049</v>
      </c>
      <c r="N9" s="1" t="s">
        <v>99</v>
      </c>
      <c r="O9" s="1" t="s">
        <v>28</v>
      </c>
      <c r="P9" s="1" t="s">
        <v>68</v>
      </c>
      <c r="Q9" s="1">
        <v>13</v>
      </c>
      <c r="R9" s="1">
        <v>0</v>
      </c>
      <c r="S9" s="1">
        <v>0</v>
      </c>
      <c r="T9" s="1">
        <v>13</v>
      </c>
      <c r="U9" s="1">
        <v>0</v>
      </c>
      <c r="V9" s="1" t="str">
        <f t="shared" si="4"/>
        <v>里程返程</v>
      </c>
      <c r="W9" s="1" t="str">
        <f>"0020"</f>
        <v>0020</v>
      </c>
      <c r="X9" s="1" t="s">
        <v>29</v>
      </c>
    </row>
    <row r="10" spans="1:24" x14ac:dyDescent="0.3">
      <c r="A10" s="1" t="str">
        <f t="shared" si="0"/>
        <v>59809</v>
      </c>
      <c r="B10" s="1" t="s">
        <v>42</v>
      </c>
      <c r="C10" s="1" t="s">
        <v>43</v>
      </c>
      <c r="D10" s="1" t="str">
        <f t="shared" si="3"/>
        <v>9806</v>
      </c>
      <c r="E10" s="1" t="s">
        <v>49</v>
      </c>
      <c r="F10" s="1" t="str">
        <f>"F2A1E602B7880400C834002000000015"</f>
        <v>F2A1E602B7880400C834002000000015</v>
      </c>
      <c r="G10" s="1" t="s">
        <v>74</v>
      </c>
      <c r="H10" s="1" t="str">
        <f t="shared" si="1"/>
        <v>20220901</v>
      </c>
      <c r="I10" s="1" t="str">
        <f>"073823"</f>
        <v>073823</v>
      </c>
      <c r="J10" s="1" t="s">
        <v>101</v>
      </c>
      <c r="K10" s="1" t="s">
        <v>28</v>
      </c>
      <c r="L10" s="1" t="str">
        <f t="shared" si="2"/>
        <v>20220901</v>
      </c>
      <c r="M10" s="1" t="str">
        <f>"075043"</f>
        <v>075043</v>
      </c>
      <c r="N10" s="1" t="s">
        <v>99</v>
      </c>
      <c r="O10" s="1" t="s">
        <v>28</v>
      </c>
      <c r="P10" s="1" t="s">
        <v>68</v>
      </c>
      <c r="Q10" s="1">
        <v>13</v>
      </c>
      <c r="R10" s="1">
        <v>0</v>
      </c>
      <c r="S10" s="1">
        <v>0</v>
      </c>
      <c r="T10" s="1">
        <v>13</v>
      </c>
      <c r="U10" s="1">
        <v>0</v>
      </c>
      <c r="V10" s="1" t="str">
        <f t="shared" si="4"/>
        <v>里程返程</v>
      </c>
      <c r="W10" s="1" t="str">
        <f>"0020"</f>
        <v>0020</v>
      </c>
      <c r="X10" s="1" t="s">
        <v>29</v>
      </c>
    </row>
    <row r="11" spans="1:24" x14ac:dyDescent="0.3">
      <c r="A11" s="1" t="str">
        <f t="shared" si="0"/>
        <v>59809</v>
      </c>
      <c r="B11" s="1" t="s">
        <v>42</v>
      </c>
      <c r="C11" s="1" t="s">
        <v>43</v>
      </c>
      <c r="D11" s="1" t="str">
        <f t="shared" si="3"/>
        <v>9806</v>
      </c>
      <c r="E11" s="1" t="s">
        <v>49</v>
      </c>
      <c r="F11" s="1" t="str">
        <f>"1202E702F5880400C834002000000015"</f>
        <v>1202E702F5880400C834002000000015</v>
      </c>
      <c r="G11" s="1" t="s">
        <v>74</v>
      </c>
      <c r="H11" s="1" t="str">
        <f t="shared" si="1"/>
        <v>20220901</v>
      </c>
      <c r="I11" s="1" t="str">
        <f>"073828"</f>
        <v>073828</v>
      </c>
      <c r="J11" s="1" t="s">
        <v>101</v>
      </c>
      <c r="K11" s="1" t="s">
        <v>28</v>
      </c>
      <c r="L11" s="1" t="str">
        <f t="shared" si="2"/>
        <v>20220901</v>
      </c>
      <c r="M11" s="1" t="str">
        <f>"075041"</f>
        <v>075041</v>
      </c>
      <c r="N11" s="1" t="s">
        <v>99</v>
      </c>
      <c r="O11" s="1" t="s">
        <v>28</v>
      </c>
      <c r="P11" s="1" t="s">
        <v>68</v>
      </c>
      <c r="Q11" s="1">
        <v>13</v>
      </c>
      <c r="R11" s="1">
        <v>0</v>
      </c>
      <c r="S11" s="1">
        <v>0</v>
      </c>
      <c r="T11" s="1">
        <v>13</v>
      </c>
      <c r="U11" s="1">
        <v>0</v>
      </c>
      <c r="V11" s="1" t="str">
        <f t="shared" si="4"/>
        <v>里程返程</v>
      </c>
      <c r="W11" s="1" t="str">
        <f>"0020"</f>
        <v>0020</v>
      </c>
      <c r="X11" s="1" t="s">
        <v>29</v>
      </c>
    </row>
    <row r="12" spans="1:24" x14ac:dyDescent="0.3">
      <c r="A12" s="1" t="str">
        <f t="shared" si="0"/>
        <v>59809</v>
      </c>
      <c r="B12" s="1" t="s">
        <v>42</v>
      </c>
      <c r="C12" s="1" t="s">
        <v>43</v>
      </c>
      <c r="D12" s="1" t="str">
        <f t="shared" ref="D12:D39" si="5">"9803"</f>
        <v>9803</v>
      </c>
      <c r="E12" s="1" t="s">
        <v>32</v>
      </c>
      <c r="F12" s="1" t="str">
        <f>"1693115425"</f>
        <v>1693115425</v>
      </c>
      <c r="G12" s="1" t="s">
        <v>33</v>
      </c>
      <c r="H12" s="1" t="str">
        <f t="shared" si="1"/>
        <v>20220901</v>
      </c>
      <c r="I12" s="1" t="str">
        <f>"081507"</f>
        <v>081507</v>
      </c>
      <c r="J12" s="1" t="s">
        <v>28</v>
      </c>
      <c r="K12" s="1" t="s">
        <v>28</v>
      </c>
      <c r="L12" s="1" t="str">
        <f t="shared" si="2"/>
        <v>20220901</v>
      </c>
      <c r="M12" s="1" t="str">
        <f>"083158"</f>
        <v>083158</v>
      </c>
      <c r="N12" s="1" t="s">
        <v>34</v>
      </c>
      <c r="O12" s="1" t="s">
        <v>34</v>
      </c>
      <c r="P12" s="1" t="s">
        <v>55</v>
      </c>
      <c r="Q12" s="1">
        <v>25</v>
      </c>
      <c r="R12" s="1">
        <v>25</v>
      </c>
      <c r="S12" s="1">
        <v>0</v>
      </c>
      <c r="T12" s="1">
        <v>0</v>
      </c>
      <c r="U12" s="1">
        <v>0</v>
      </c>
      <c r="V12" s="1" t="str">
        <f t="shared" ref="V12:V24" si="6">"里程去程"</f>
        <v>里程去程</v>
      </c>
      <c r="W12" s="1" t="str">
        <f>"0820"</f>
        <v>0820</v>
      </c>
      <c r="X12" s="1" t="s">
        <v>35</v>
      </c>
    </row>
    <row r="13" spans="1:24" x14ac:dyDescent="0.3">
      <c r="A13" s="1" t="str">
        <f t="shared" si="0"/>
        <v>59809</v>
      </c>
      <c r="B13" s="1" t="s">
        <v>42</v>
      </c>
      <c r="C13" s="1" t="s">
        <v>43</v>
      </c>
      <c r="D13" s="1" t="str">
        <f t="shared" si="5"/>
        <v>9803</v>
      </c>
      <c r="E13" s="1" t="s">
        <v>32</v>
      </c>
      <c r="F13" s="1" t="str">
        <f>"C56CDC04713802000000000021274400"</f>
        <v>C56CDC04713802000000000021274400</v>
      </c>
      <c r="G13" s="1" t="s">
        <v>58</v>
      </c>
      <c r="H13" s="1" t="str">
        <f t="shared" si="1"/>
        <v>20220901</v>
      </c>
      <c r="I13" s="1" t="str">
        <f>"081512"</f>
        <v>081512</v>
      </c>
      <c r="J13" s="1" t="s">
        <v>28</v>
      </c>
      <c r="K13" s="1" t="s">
        <v>28</v>
      </c>
      <c r="L13" s="1" t="str">
        <f t="shared" si="2"/>
        <v>20220901</v>
      </c>
      <c r="M13" s="1" t="str">
        <f>"083143"</f>
        <v>083143</v>
      </c>
      <c r="N13" s="1" t="s">
        <v>34</v>
      </c>
      <c r="O13" s="1" t="s">
        <v>34</v>
      </c>
      <c r="P13" s="1" t="s">
        <v>55</v>
      </c>
      <c r="Q13" s="1">
        <v>25</v>
      </c>
      <c r="R13" s="1">
        <v>25</v>
      </c>
      <c r="S13" s="1">
        <v>0</v>
      </c>
      <c r="T13" s="1">
        <v>0</v>
      </c>
      <c r="U13" s="1">
        <v>0</v>
      </c>
      <c r="V13" s="1" t="str">
        <f t="shared" si="6"/>
        <v>里程去程</v>
      </c>
      <c r="W13" s="1" t="str">
        <f>"0020"</f>
        <v>0020</v>
      </c>
      <c r="X13" s="1" t="s">
        <v>29</v>
      </c>
    </row>
    <row r="14" spans="1:24" x14ac:dyDescent="0.3">
      <c r="A14" s="1" t="str">
        <f t="shared" si="0"/>
        <v>59809</v>
      </c>
      <c r="B14" s="1" t="s">
        <v>42</v>
      </c>
      <c r="C14" s="1" t="s">
        <v>43</v>
      </c>
      <c r="D14" s="1" t="str">
        <f t="shared" si="5"/>
        <v>9803</v>
      </c>
      <c r="E14" s="1" t="s">
        <v>32</v>
      </c>
      <c r="F14" s="1" t="str">
        <f>"8C8A095F508804004759665055103807"</f>
        <v>8C8A095F508804004759665055103807</v>
      </c>
      <c r="G14" s="1" t="s">
        <v>58</v>
      </c>
      <c r="H14" s="1" t="str">
        <f t="shared" si="1"/>
        <v>20220901</v>
      </c>
      <c r="I14" s="1" t="str">
        <f>"081514"</f>
        <v>081514</v>
      </c>
      <c r="J14" s="1" t="s">
        <v>28</v>
      </c>
      <c r="K14" s="1" t="s">
        <v>28</v>
      </c>
      <c r="L14" s="1" t="str">
        <f t="shared" si="2"/>
        <v>20220901</v>
      </c>
      <c r="M14" s="1" t="str">
        <f>"083139"</f>
        <v>083139</v>
      </c>
      <c r="N14" s="1" t="s">
        <v>34</v>
      </c>
      <c r="O14" s="1" t="s">
        <v>34</v>
      </c>
      <c r="P14" s="1" t="s">
        <v>55</v>
      </c>
      <c r="Q14" s="1">
        <v>25</v>
      </c>
      <c r="R14" s="1">
        <v>0</v>
      </c>
      <c r="S14" s="1">
        <v>25</v>
      </c>
      <c r="T14" s="1">
        <v>0</v>
      </c>
      <c r="U14" s="1">
        <v>0</v>
      </c>
      <c r="V14" s="1" t="str">
        <f t="shared" si="6"/>
        <v>里程去程</v>
      </c>
      <c r="W14" s="1" t="str">
        <f>"0620"</f>
        <v>0620</v>
      </c>
      <c r="X14" s="1" t="s">
        <v>29</v>
      </c>
    </row>
    <row r="15" spans="1:24" x14ac:dyDescent="0.3">
      <c r="A15" s="1" t="str">
        <f t="shared" si="0"/>
        <v>59809</v>
      </c>
      <c r="B15" s="1" t="s">
        <v>42</v>
      </c>
      <c r="C15" s="1" t="s">
        <v>43</v>
      </c>
      <c r="D15" s="1" t="str">
        <f t="shared" si="5"/>
        <v>9803</v>
      </c>
      <c r="E15" s="1" t="s">
        <v>32</v>
      </c>
      <c r="F15" s="1" t="str">
        <f>"1419569233"</f>
        <v>1419569233</v>
      </c>
      <c r="G15" s="1" t="s">
        <v>33</v>
      </c>
      <c r="H15" s="1" t="str">
        <f t="shared" si="1"/>
        <v>20220901</v>
      </c>
      <c r="I15" s="1" t="str">
        <f>"081520"</f>
        <v>081520</v>
      </c>
      <c r="J15" s="1" t="s">
        <v>28</v>
      </c>
      <c r="K15" s="1" t="s">
        <v>28</v>
      </c>
      <c r="L15" s="1" t="str">
        <f t="shared" si="2"/>
        <v>20220901</v>
      </c>
      <c r="M15" s="1" t="str">
        <f>"083131"</f>
        <v>083131</v>
      </c>
      <c r="N15" s="1" t="s">
        <v>34</v>
      </c>
      <c r="O15" s="1" t="s">
        <v>34</v>
      </c>
      <c r="P15" s="1" t="s">
        <v>55</v>
      </c>
      <c r="Q15" s="1">
        <v>25</v>
      </c>
      <c r="R15" s="1">
        <v>25</v>
      </c>
      <c r="S15" s="1">
        <v>0</v>
      </c>
      <c r="T15" s="1">
        <v>0</v>
      </c>
      <c r="U15" s="1">
        <v>0</v>
      </c>
      <c r="V15" s="1" t="str">
        <f t="shared" si="6"/>
        <v>里程去程</v>
      </c>
      <c r="W15" s="1" t="str">
        <f>"1420"</f>
        <v>1420</v>
      </c>
      <c r="X15" s="1" t="s">
        <v>35</v>
      </c>
    </row>
    <row r="16" spans="1:24" x14ac:dyDescent="0.3">
      <c r="A16" s="1" t="str">
        <f t="shared" si="0"/>
        <v>59809</v>
      </c>
      <c r="B16" s="1" t="s">
        <v>42</v>
      </c>
      <c r="C16" s="1" t="s">
        <v>43</v>
      </c>
      <c r="D16" s="1" t="str">
        <f t="shared" si="5"/>
        <v>9803</v>
      </c>
      <c r="E16" s="1" t="s">
        <v>32</v>
      </c>
      <c r="F16" s="1" t="str">
        <f>"1172331761"</f>
        <v>1172331761</v>
      </c>
      <c r="G16" s="1" t="s">
        <v>33</v>
      </c>
      <c r="H16" s="1" t="str">
        <f t="shared" si="1"/>
        <v>20220901</v>
      </c>
      <c r="I16" s="1" t="str">
        <f>"081524"</f>
        <v>081524</v>
      </c>
      <c r="J16" s="1" t="s">
        <v>28</v>
      </c>
      <c r="K16" s="1" t="s">
        <v>28</v>
      </c>
      <c r="L16" s="1" t="str">
        <f t="shared" si="2"/>
        <v>20220901</v>
      </c>
      <c r="M16" s="1" t="str">
        <f>"083127"</f>
        <v>083127</v>
      </c>
      <c r="N16" s="1" t="s">
        <v>34</v>
      </c>
      <c r="O16" s="1" t="s">
        <v>34</v>
      </c>
      <c r="P16" s="1" t="s">
        <v>55</v>
      </c>
      <c r="Q16" s="1">
        <v>25</v>
      </c>
      <c r="R16" s="1">
        <v>25</v>
      </c>
      <c r="S16" s="1">
        <v>0</v>
      </c>
      <c r="T16" s="1">
        <v>0</v>
      </c>
      <c r="U16" s="1">
        <v>0</v>
      </c>
      <c r="V16" s="1" t="str">
        <f t="shared" si="6"/>
        <v>里程去程</v>
      </c>
      <c r="W16" s="1" t="str">
        <f>"2020"</f>
        <v>2020</v>
      </c>
      <c r="X16" s="1" t="s">
        <v>35</v>
      </c>
    </row>
    <row r="17" spans="1:24" x14ac:dyDescent="0.3">
      <c r="A17" s="1" t="str">
        <f t="shared" si="0"/>
        <v>59809</v>
      </c>
      <c r="B17" s="1" t="s">
        <v>42</v>
      </c>
      <c r="C17" s="1" t="s">
        <v>43</v>
      </c>
      <c r="D17" s="1" t="str">
        <f t="shared" si="5"/>
        <v>9803</v>
      </c>
      <c r="E17" s="1" t="s">
        <v>32</v>
      </c>
      <c r="F17" s="1" t="str">
        <f>"62D6A50E1F28040080CE8D924D011018"</f>
        <v>62D6A50E1F28040080CE8D924D011018</v>
      </c>
      <c r="G17" s="1" t="s">
        <v>59</v>
      </c>
      <c r="H17" s="1" t="str">
        <f t="shared" si="1"/>
        <v>20220901</v>
      </c>
      <c r="I17" s="1" t="str">
        <f>"081531"</f>
        <v>081531</v>
      </c>
      <c r="J17" s="1" t="s">
        <v>28</v>
      </c>
      <c r="K17" s="1" t="s">
        <v>28</v>
      </c>
      <c r="L17" s="1" t="str">
        <f t="shared" si="2"/>
        <v>20220901</v>
      </c>
      <c r="M17" s="1" t="str">
        <f>"083150"</f>
        <v>083150</v>
      </c>
      <c r="N17" s="1" t="s">
        <v>34</v>
      </c>
      <c r="O17" s="1" t="s">
        <v>34</v>
      </c>
      <c r="P17" s="1" t="s">
        <v>55</v>
      </c>
      <c r="Q17" s="1">
        <v>25</v>
      </c>
      <c r="R17" s="1">
        <v>25</v>
      </c>
      <c r="S17" s="1">
        <v>0</v>
      </c>
      <c r="T17" s="1">
        <v>0</v>
      </c>
      <c r="U17" s="1">
        <v>0</v>
      </c>
      <c r="V17" s="1" t="str">
        <f t="shared" si="6"/>
        <v>里程去程</v>
      </c>
      <c r="W17" s="1" t="str">
        <f>"0020"</f>
        <v>0020</v>
      </c>
      <c r="X17" s="1" t="s">
        <v>29</v>
      </c>
    </row>
    <row r="18" spans="1:24" x14ac:dyDescent="0.3">
      <c r="A18" s="1" t="str">
        <f t="shared" si="0"/>
        <v>59809</v>
      </c>
      <c r="B18" s="1" t="s">
        <v>42</v>
      </c>
      <c r="C18" s="1" t="s">
        <v>43</v>
      </c>
      <c r="D18" s="1" t="str">
        <f t="shared" si="5"/>
        <v>9803</v>
      </c>
      <c r="E18" s="1" t="s">
        <v>32</v>
      </c>
      <c r="F18" s="1" t="str">
        <f>"2512222626"</f>
        <v>2512222626</v>
      </c>
      <c r="G18" s="1" t="s">
        <v>33</v>
      </c>
      <c r="H18" s="1" t="str">
        <f t="shared" si="1"/>
        <v>20220901</v>
      </c>
      <c r="I18" s="1" t="str">
        <f>"094733"</f>
        <v>094733</v>
      </c>
      <c r="J18" s="1" t="s">
        <v>28</v>
      </c>
      <c r="K18" s="1" t="s">
        <v>28</v>
      </c>
      <c r="L18" s="1" t="str">
        <f t="shared" si="2"/>
        <v>20220901</v>
      </c>
      <c r="M18" s="1" t="str">
        <f>"100947"</f>
        <v>100947</v>
      </c>
      <c r="N18" s="1" t="s">
        <v>34</v>
      </c>
      <c r="O18" s="1" t="s">
        <v>34</v>
      </c>
      <c r="P18" s="1" t="s">
        <v>55</v>
      </c>
      <c r="Q18" s="1">
        <v>25</v>
      </c>
      <c r="R18" s="1">
        <v>25</v>
      </c>
      <c r="S18" s="1">
        <v>0</v>
      </c>
      <c r="T18" s="1">
        <v>0</v>
      </c>
      <c r="U18" s="1">
        <v>0</v>
      </c>
      <c r="V18" s="1" t="str">
        <f t="shared" si="6"/>
        <v>里程去程</v>
      </c>
      <c r="W18" s="1" t="str">
        <f>"0120"</f>
        <v>0120</v>
      </c>
      <c r="X18" s="1" t="s">
        <v>35</v>
      </c>
    </row>
    <row r="19" spans="1:24" x14ac:dyDescent="0.3">
      <c r="A19" s="1" t="str">
        <f t="shared" si="0"/>
        <v>59809</v>
      </c>
      <c r="B19" s="1" t="s">
        <v>42</v>
      </c>
      <c r="C19" s="1" t="s">
        <v>43</v>
      </c>
      <c r="D19" s="1" t="str">
        <f t="shared" si="5"/>
        <v>9803</v>
      </c>
      <c r="E19" s="1" t="s">
        <v>32</v>
      </c>
      <c r="F19" s="1" t="str">
        <f>"72B20415D128040080CEDA1449914018"</f>
        <v>72B20415D128040080CEDA1449914018</v>
      </c>
      <c r="G19" s="1" t="s">
        <v>59</v>
      </c>
      <c r="H19" s="1" t="str">
        <f t="shared" si="1"/>
        <v>20220901</v>
      </c>
      <c r="I19" s="1" t="str">
        <f>"094740"</f>
        <v>094740</v>
      </c>
      <c r="J19" s="1" t="s">
        <v>28</v>
      </c>
      <c r="K19" s="1" t="s">
        <v>28</v>
      </c>
      <c r="L19" s="1" t="str">
        <f t="shared" si="2"/>
        <v>20220901</v>
      </c>
      <c r="M19" s="1" t="str">
        <f>"101001"</f>
        <v>101001</v>
      </c>
      <c r="N19" s="1" t="s">
        <v>34</v>
      </c>
      <c r="O19" s="1" t="s">
        <v>34</v>
      </c>
      <c r="P19" s="1" t="s">
        <v>55</v>
      </c>
      <c r="Q19" s="1">
        <v>25</v>
      </c>
      <c r="R19" s="1">
        <v>25</v>
      </c>
      <c r="S19" s="1">
        <v>0</v>
      </c>
      <c r="T19" s="1">
        <v>0</v>
      </c>
      <c r="U19" s="1">
        <v>0</v>
      </c>
      <c r="V19" s="1" t="str">
        <f t="shared" si="6"/>
        <v>里程去程</v>
      </c>
      <c r="W19" s="1" t="str">
        <f>"0020"</f>
        <v>0020</v>
      </c>
      <c r="X19" s="1" t="s">
        <v>29</v>
      </c>
    </row>
    <row r="20" spans="1:24" x14ac:dyDescent="0.3">
      <c r="A20" s="1" t="str">
        <f t="shared" si="0"/>
        <v>59809</v>
      </c>
      <c r="B20" s="1" t="s">
        <v>42</v>
      </c>
      <c r="C20" s="1" t="s">
        <v>43</v>
      </c>
      <c r="D20" s="1" t="str">
        <f t="shared" si="5"/>
        <v>9803</v>
      </c>
      <c r="E20" s="1" t="s">
        <v>32</v>
      </c>
      <c r="F20" s="1" t="str">
        <f>"7AA9B0D5B68804004755641951101408"</f>
        <v>7AA9B0D5B68804004755641951101408</v>
      </c>
      <c r="G20" s="1" t="s">
        <v>82</v>
      </c>
      <c r="H20" s="1" t="str">
        <f t="shared" si="1"/>
        <v>20220901</v>
      </c>
      <c r="I20" s="1" t="str">
        <f>"094745"</f>
        <v>094745</v>
      </c>
      <c r="J20" s="1" t="s">
        <v>28</v>
      </c>
      <c r="K20" s="1" t="s">
        <v>28</v>
      </c>
      <c r="L20" s="1" t="str">
        <f t="shared" si="2"/>
        <v>20220901</v>
      </c>
      <c r="M20" s="1" t="str">
        <f>"095938"</f>
        <v>095938</v>
      </c>
      <c r="N20" s="1" t="s">
        <v>46</v>
      </c>
      <c r="O20" s="1" t="s">
        <v>28</v>
      </c>
      <c r="P20" s="1" t="s">
        <v>55</v>
      </c>
      <c r="Q20" s="1">
        <v>13</v>
      </c>
      <c r="R20" s="1">
        <v>13</v>
      </c>
      <c r="S20" s="1">
        <v>0</v>
      </c>
      <c r="T20" s="1">
        <v>0</v>
      </c>
      <c r="U20" s="1">
        <v>0</v>
      </c>
      <c r="V20" s="1" t="str">
        <f t="shared" si="6"/>
        <v>里程去程</v>
      </c>
      <c r="W20" s="1" t="str">
        <f>"0020"</f>
        <v>0020</v>
      </c>
      <c r="X20" s="1" t="s">
        <v>29</v>
      </c>
    </row>
    <row r="21" spans="1:24" x14ac:dyDescent="0.3">
      <c r="A21" s="1" t="str">
        <f t="shared" si="0"/>
        <v>59809</v>
      </c>
      <c r="B21" s="1" t="s">
        <v>42</v>
      </c>
      <c r="C21" s="1" t="s">
        <v>43</v>
      </c>
      <c r="D21" s="1" t="str">
        <f t="shared" si="5"/>
        <v>9803</v>
      </c>
      <c r="E21" s="1" t="s">
        <v>32</v>
      </c>
      <c r="F21" s="1" t="str">
        <f>"AA1D80DCEB880400474D949455101208"</f>
        <v>AA1D80DCEB880400474D949455101208</v>
      </c>
      <c r="G21" s="1" t="s">
        <v>66</v>
      </c>
      <c r="H21" s="1" t="str">
        <f t="shared" si="1"/>
        <v>20220901</v>
      </c>
      <c r="I21" s="1" t="str">
        <f>"094748"</f>
        <v>094748</v>
      </c>
      <c r="J21" s="1" t="s">
        <v>28</v>
      </c>
      <c r="K21" s="1" t="s">
        <v>28</v>
      </c>
      <c r="L21" s="1" t="str">
        <f t="shared" si="2"/>
        <v>20220901</v>
      </c>
      <c r="M21" s="1" t="str">
        <f>"095940"</f>
        <v>095940</v>
      </c>
      <c r="N21" s="1" t="s">
        <v>46</v>
      </c>
      <c r="O21" s="1" t="s">
        <v>28</v>
      </c>
      <c r="P21" s="1" t="s">
        <v>55</v>
      </c>
      <c r="Q21" s="1">
        <v>13</v>
      </c>
      <c r="R21" s="1">
        <v>13</v>
      </c>
      <c r="S21" s="1">
        <v>0</v>
      </c>
      <c r="T21" s="1">
        <v>0</v>
      </c>
      <c r="U21" s="1">
        <v>0</v>
      </c>
      <c r="V21" s="1" t="str">
        <f t="shared" si="6"/>
        <v>里程去程</v>
      </c>
      <c r="W21" s="1" t="str">
        <f>"0020"</f>
        <v>0020</v>
      </c>
      <c r="X21" s="1" t="s">
        <v>29</v>
      </c>
    </row>
    <row r="22" spans="1:24" x14ac:dyDescent="0.3">
      <c r="A22" s="1" t="str">
        <f t="shared" si="0"/>
        <v>59809</v>
      </c>
      <c r="B22" s="1" t="s">
        <v>42</v>
      </c>
      <c r="C22" s="1" t="s">
        <v>43</v>
      </c>
      <c r="D22" s="1" t="str">
        <f t="shared" si="5"/>
        <v>9803</v>
      </c>
      <c r="E22" s="1" t="s">
        <v>32</v>
      </c>
      <c r="F22" s="1" t="str">
        <f>"809133141"</f>
        <v>809133141</v>
      </c>
      <c r="G22" s="1" t="s">
        <v>33</v>
      </c>
      <c r="H22" s="1" t="str">
        <f t="shared" si="1"/>
        <v>20220901</v>
      </c>
      <c r="I22" s="1" t="str">
        <f>"094753"</f>
        <v>094753</v>
      </c>
      <c r="J22" s="1" t="s">
        <v>28</v>
      </c>
      <c r="K22" s="1" t="s">
        <v>28</v>
      </c>
      <c r="L22" s="1" t="str">
        <f t="shared" si="2"/>
        <v>20220901</v>
      </c>
      <c r="M22" s="1" t="str">
        <f>"100953"</f>
        <v>100953</v>
      </c>
      <c r="N22" s="1" t="s">
        <v>34</v>
      </c>
      <c r="O22" s="1" t="s">
        <v>34</v>
      </c>
      <c r="P22" s="1" t="s">
        <v>55</v>
      </c>
      <c r="Q22" s="1">
        <v>25</v>
      </c>
      <c r="R22" s="1">
        <v>25</v>
      </c>
      <c r="S22" s="1">
        <v>0</v>
      </c>
      <c r="T22" s="1">
        <v>0</v>
      </c>
      <c r="U22" s="1">
        <v>0</v>
      </c>
      <c r="V22" s="1" t="str">
        <f t="shared" si="6"/>
        <v>里程去程</v>
      </c>
      <c r="W22" s="1" t="str">
        <f>"1420"</f>
        <v>1420</v>
      </c>
      <c r="X22" s="1" t="s">
        <v>35</v>
      </c>
    </row>
    <row r="23" spans="1:24" x14ac:dyDescent="0.3">
      <c r="A23" s="1" t="str">
        <f t="shared" si="0"/>
        <v>59809</v>
      </c>
      <c r="B23" s="1" t="s">
        <v>42</v>
      </c>
      <c r="C23" s="1" t="s">
        <v>43</v>
      </c>
      <c r="D23" s="1" t="str">
        <f t="shared" si="5"/>
        <v>9803</v>
      </c>
      <c r="E23" s="1" t="s">
        <v>32</v>
      </c>
      <c r="F23" s="1" t="str">
        <f>"F1CFF23FF3280400F700000000000000"</f>
        <v>F1CFF23FF3280400F700000000000000</v>
      </c>
      <c r="G23" s="1" t="s">
        <v>58</v>
      </c>
      <c r="H23" s="1" t="str">
        <f t="shared" si="1"/>
        <v>20220901</v>
      </c>
      <c r="I23" s="1" t="str">
        <f>"094759"</f>
        <v>094759</v>
      </c>
      <c r="J23" s="1" t="s">
        <v>28</v>
      </c>
      <c r="K23" s="1" t="s">
        <v>28</v>
      </c>
      <c r="L23" s="1" t="str">
        <f t="shared" si="2"/>
        <v>20220901</v>
      </c>
      <c r="M23" s="1" t="str">
        <f>"100936"</f>
        <v>100936</v>
      </c>
      <c r="N23" s="1" t="s">
        <v>34</v>
      </c>
      <c r="O23" s="1" t="s">
        <v>34</v>
      </c>
      <c r="P23" s="1" t="s">
        <v>55</v>
      </c>
      <c r="Q23" s="1">
        <v>25</v>
      </c>
      <c r="R23" s="1">
        <v>25</v>
      </c>
      <c r="S23" s="1">
        <v>0</v>
      </c>
      <c r="T23" s="1">
        <v>0</v>
      </c>
      <c r="U23" s="1">
        <v>0</v>
      </c>
      <c r="V23" s="1" t="str">
        <f t="shared" si="6"/>
        <v>里程去程</v>
      </c>
      <c r="W23" s="1" t="str">
        <f>"0020"</f>
        <v>0020</v>
      </c>
      <c r="X23" s="1" t="s">
        <v>29</v>
      </c>
    </row>
    <row r="24" spans="1:24" x14ac:dyDescent="0.3">
      <c r="A24" s="1" t="str">
        <f t="shared" si="0"/>
        <v>59809</v>
      </c>
      <c r="B24" s="1" t="s">
        <v>42</v>
      </c>
      <c r="C24" s="1" t="s">
        <v>43</v>
      </c>
      <c r="D24" s="1" t="str">
        <f t="shared" si="5"/>
        <v>9803</v>
      </c>
      <c r="E24" s="1" t="s">
        <v>32</v>
      </c>
      <c r="F24" s="1" t="str">
        <f>"1154462101"</f>
        <v>1154462101</v>
      </c>
      <c r="G24" s="1" t="s">
        <v>33</v>
      </c>
      <c r="H24" s="1" t="str">
        <f t="shared" si="1"/>
        <v>20220901</v>
      </c>
      <c r="I24" s="1" t="str">
        <f>"095746"</f>
        <v>095746</v>
      </c>
      <c r="J24" s="1" t="s">
        <v>79</v>
      </c>
      <c r="K24" s="1" t="s">
        <v>28</v>
      </c>
      <c r="L24" s="1" t="str">
        <f t="shared" si="2"/>
        <v>20220901</v>
      </c>
      <c r="M24" s="1" t="str">
        <f>"100943"</f>
        <v>100943</v>
      </c>
      <c r="N24" s="1" t="s">
        <v>34</v>
      </c>
      <c r="O24" s="1" t="s">
        <v>34</v>
      </c>
      <c r="P24" s="1" t="s">
        <v>55</v>
      </c>
      <c r="Q24" s="1">
        <v>25</v>
      </c>
      <c r="R24" s="1">
        <v>25</v>
      </c>
      <c r="S24" s="1">
        <v>0</v>
      </c>
      <c r="T24" s="1">
        <v>0</v>
      </c>
      <c r="U24" s="1">
        <v>0</v>
      </c>
      <c r="V24" s="1" t="str">
        <f t="shared" si="6"/>
        <v>里程去程</v>
      </c>
      <c r="W24" s="1" t="str">
        <f>"0a20"</f>
        <v>0a20</v>
      </c>
      <c r="X24" s="1" t="s">
        <v>35</v>
      </c>
    </row>
    <row r="25" spans="1:24" x14ac:dyDescent="0.3">
      <c r="A25" s="1" t="str">
        <f t="shared" si="0"/>
        <v>59809</v>
      </c>
      <c r="B25" s="1" t="s">
        <v>42</v>
      </c>
      <c r="C25" s="1" t="s">
        <v>43</v>
      </c>
      <c r="D25" s="1" t="str">
        <f t="shared" si="5"/>
        <v>9803</v>
      </c>
      <c r="E25" s="1" t="s">
        <v>32</v>
      </c>
      <c r="F25" s="1" t="str">
        <f>"62ADD9180E880400C821002000000019"</f>
        <v>62ADD9180E880400C821002000000019</v>
      </c>
      <c r="G25" s="1" t="s">
        <v>58</v>
      </c>
      <c r="H25" s="1" t="str">
        <f t="shared" si="1"/>
        <v>20220901</v>
      </c>
      <c r="I25" s="1" t="str">
        <f>"103311"</f>
        <v>103311</v>
      </c>
      <c r="J25" s="1" t="s">
        <v>34</v>
      </c>
      <c r="K25" s="1" t="s">
        <v>34</v>
      </c>
      <c r="L25" s="1" t="str">
        <f t="shared" si="2"/>
        <v>20220901</v>
      </c>
      <c r="M25" s="1" t="str">
        <f>"110507"</f>
        <v>110507</v>
      </c>
      <c r="N25" s="1" t="s">
        <v>28</v>
      </c>
      <c r="O25" s="1" t="s">
        <v>28</v>
      </c>
      <c r="P25" s="1" t="s">
        <v>55</v>
      </c>
      <c r="Q25" s="1">
        <v>25</v>
      </c>
      <c r="R25" s="1">
        <v>25</v>
      </c>
      <c r="S25" s="1">
        <v>0</v>
      </c>
      <c r="T25" s="1">
        <v>0</v>
      </c>
      <c r="U25" s="1">
        <v>0</v>
      </c>
      <c r="V25" s="1" t="str">
        <f t="shared" ref="V25:V39" si="7">"里程返程"</f>
        <v>里程返程</v>
      </c>
      <c r="W25" s="1" t="str">
        <f>"0020"</f>
        <v>0020</v>
      </c>
      <c r="X25" s="1" t="s">
        <v>29</v>
      </c>
    </row>
    <row r="26" spans="1:24" x14ac:dyDescent="0.3">
      <c r="A26" s="1" t="str">
        <f t="shared" si="0"/>
        <v>59809</v>
      </c>
      <c r="B26" s="1" t="s">
        <v>42</v>
      </c>
      <c r="C26" s="1" t="s">
        <v>43</v>
      </c>
      <c r="D26" s="1" t="str">
        <f t="shared" si="5"/>
        <v>9803</v>
      </c>
      <c r="E26" s="1" t="s">
        <v>32</v>
      </c>
      <c r="F26" s="1" t="str">
        <f>"A411149736280400D200000100000000"</f>
        <v>A411149736280400D200000100000000</v>
      </c>
      <c r="G26" s="1" t="s">
        <v>58</v>
      </c>
      <c r="H26" s="1" t="str">
        <f t="shared" si="1"/>
        <v>20220901</v>
      </c>
      <c r="I26" s="1" t="str">
        <f>"103316"</f>
        <v>103316</v>
      </c>
      <c r="J26" s="1" t="s">
        <v>34</v>
      </c>
      <c r="K26" s="1" t="s">
        <v>34</v>
      </c>
      <c r="L26" s="1" t="str">
        <f t="shared" si="2"/>
        <v>20220901</v>
      </c>
      <c r="M26" s="1" t="str">
        <f>"110535"</f>
        <v>110535</v>
      </c>
      <c r="N26" s="1" t="s">
        <v>28</v>
      </c>
      <c r="O26" s="1" t="s">
        <v>28</v>
      </c>
      <c r="P26" s="1" t="s">
        <v>55</v>
      </c>
      <c r="Q26" s="1">
        <v>25</v>
      </c>
      <c r="R26" s="1">
        <v>25</v>
      </c>
      <c r="S26" s="1">
        <v>0</v>
      </c>
      <c r="T26" s="1">
        <v>0</v>
      </c>
      <c r="U26" s="1">
        <v>0</v>
      </c>
      <c r="V26" s="1" t="str">
        <f t="shared" si="7"/>
        <v>里程返程</v>
      </c>
      <c r="W26" s="1" t="str">
        <f>"0020"</f>
        <v>0020</v>
      </c>
      <c r="X26" s="1" t="s">
        <v>29</v>
      </c>
    </row>
    <row r="27" spans="1:24" x14ac:dyDescent="0.3">
      <c r="A27" s="1" t="str">
        <f t="shared" si="0"/>
        <v>59809</v>
      </c>
      <c r="B27" s="1" t="s">
        <v>42</v>
      </c>
      <c r="C27" s="1" t="s">
        <v>43</v>
      </c>
      <c r="D27" s="1" t="str">
        <f t="shared" si="5"/>
        <v>9803</v>
      </c>
      <c r="E27" s="1" t="s">
        <v>32</v>
      </c>
      <c r="F27" s="1" t="str">
        <f>"187866757"</f>
        <v>187866757</v>
      </c>
      <c r="G27" s="1" t="s">
        <v>33</v>
      </c>
      <c r="H27" s="1" t="str">
        <f t="shared" si="1"/>
        <v>20220901</v>
      </c>
      <c r="I27" s="1" t="str">
        <f>"103325"</f>
        <v>103325</v>
      </c>
      <c r="J27" s="1" t="s">
        <v>34</v>
      </c>
      <c r="K27" s="1" t="s">
        <v>34</v>
      </c>
      <c r="L27" s="1" t="str">
        <f t="shared" si="2"/>
        <v>20220901</v>
      </c>
      <c r="M27" s="1" t="str">
        <f>"110445"</f>
        <v>110445</v>
      </c>
      <c r="N27" s="1" t="s">
        <v>28</v>
      </c>
      <c r="O27" s="1" t="s">
        <v>28</v>
      </c>
      <c r="P27" s="1" t="s">
        <v>55</v>
      </c>
      <c r="Q27" s="1">
        <v>25</v>
      </c>
      <c r="R27" s="1">
        <v>25</v>
      </c>
      <c r="S27" s="1">
        <v>0</v>
      </c>
      <c r="T27" s="1">
        <v>0</v>
      </c>
      <c r="U27" s="1">
        <v>0</v>
      </c>
      <c r="V27" s="1" t="str">
        <f t="shared" si="7"/>
        <v>里程返程</v>
      </c>
      <c r="W27" s="1" t="str">
        <f>"2020"</f>
        <v>2020</v>
      </c>
      <c r="X27" s="1" t="s">
        <v>35</v>
      </c>
    </row>
    <row r="28" spans="1:24" x14ac:dyDescent="0.3">
      <c r="A28" s="1" t="str">
        <f t="shared" si="0"/>
        <v>59809</v>
      </c>
      <c r="B28" s="1" t="s">
        <v>42</v>
      </c>
      <c r="C28" s="1" t="s">
        <v>43</v>
      </c>
      <c r="D28" s="1" t="str">
        <f t="shared" si="5"/>
        <v>9803</v>
      </c>
      <c r="E28" s="1" t="s">
        <v>32</v>
      </c>
      <c r="F28" s="1" t="str">
        <f>"72DF931A24880400C816002000000021"</f>
        <v>72DF931A24880400C816002000000021</v>
      </c>
      <c r="G28" s="1" t="s">
        <v>59</v>
      </c>
      <c r="H28" s="1" t="str">
        <f t="shared" si="1"/>
        <v>20220901</v>
      </c>
      <c r="I28" s="1" t="str">
        <f>"103335"</f>
        <v>103335</v>
      </c>
      <c r="J28" s="1" t="s">
        <v>34</v>
      </c>
      <c r="K28" s="1" t="s">
        <v>34</v>
      </c>
      <c r="L28" s="1" t="str">
        <f t="shared" si="2"/>
        <v>20220901</v>
      </c>
      <c r="M28" s="1" t="str">
        <f>"110520"</f>
        <v>110520</v>
      </c>
      <c r="N28" s="1" t="s">
        <v>28</v>
      </c>
      <c r="O28" s="1" t="s">
        <v>28</v>
      </c>
      <c r="P28" s="1" t="s">
        <v>55</v>
      </c>
      <c r="Q28" s="1">
        <v>25</v>
      </c>
      <c r="R28" s="1">
        <v>25</v>
      </c>
      <c r="S28" s="1">
        <v>0</v>
      </c>
      <c r="T28" s="1">
        <v>0</v>
      </c>
      <c r="U28" s="1">
        <v>0</v>
      </c>
      <c r="V28" s="1" t="str">
        <f t="shared" si="7"/>
        <v>里程返程</v>
      </c>
      <c r="W28" s="1" t="str">
        <f>"0020"</f>
        <v>0020</v>
      </c>
      <c r="X28" s="1" t="s">
        <v>29</v>
      </c>
    </row>
    <row r="29" spans="1:24" x14ac:dyDescent="0.3">
      <c r="A29" s="1" t="str">
        <f t="shared" si="0"/>
        <v>59809</v>
      </c>
      <c r="B29" s="1" t="s">
        <v>42</v>
      </c>
      <c r="C29" s="1" t="s">
        <v>43</v>
      </c>
      <c r="D29" s="1" t="str">
        <f t="shared" si="5"/>
        <v>9803</v>
      </c>
      <c r="E29" s="1" t="s">
        <v>32</v>
      </c>
      <c r="F29" s="1" t="str">
        <f>"458015905"</f>
        <v>458015905</v>
      </c>
      <c r="G29" s="1" t="s">
        <v>33</v>
      </c>
      <c r="H29" s="1" t="str">
        <f t="shared" si="1"/>
        <v>20220901</v>
      </c>
      <c r="I29" s="1" t="str">
        <f>"103552"</f>
        <v>103552</v>
      </c>
      <c r="J29" s="1" t="s">
        <v>34</v>
      </c>
      <c r="K29" s="1" t="s">
        <v>34</v>
      </c>
      <c r="L29" s="1" t="str">
        <f t="shared" si="2"/>
        <v>20220901</v>
      </c>
      <c r="M29" s="1" t="str">
        <f>"105627"</f>
        <v>105627</v>
      </c>
      <c r="N29" s="1" t="s">
        <v>46</v>
      </c>
      <c r="O29" s="1" t="s">
        <v>28</v>
      </c>
      <c r="P29" s="1" t="s">
        <v>55</v>
      </c>
      <c r="Q29" s="1">
        <v>25</v>
      </c>
      <c r="R29" s="1">
        <v>25</v>
      </c>
      <c r="S29" s="1">
        <v>0</v>
      </c>
      <c r="T29" s="1">
        <v>0</v>
      </c>
      <c r="U29" s="1">
        <v>0</v>
      </c>
      <c r="V29" s="1" t="str">
        <f t="shared" si="7"/>
        <v>里程返程</v>
      </c>
      <c r="W29" s="1" t="str">
        <f>"0820"</f>
        <v>0820</v>
      </c>
      <c r="X29" s="1" t="s">
        <v>35</v>
      </c>
    </row>
    <row r="30" spans="1:24" x14ac:dyDescent="0.3">
      <c r="A30" s="1" t="str">
        <f t="shared" si="0"/>
        <v>59809</v>
      </c>
      <c r="B30" s="1" t="s">
        <v>42</v>
      </c>
      <c r="C30" s="1" t="s">
        <v>43</v>
      </c>
      <c r="D30" s="1" t="str">
        <f t="shared" si="5"/>
        <v>9803</v>
      </c>
      <c r="E30" s="1" t="s">
        <v>32</v>
      </c>
      <c r="F30" s="1" t="str">
        <f>"39327599"</f>
        <v>39327599</v>
      </c>
      <c r="G30" s="1" t="s">
        <v>33</v>
      </c>
      <c r="H30" s="1" t="str">
        <f t="shared" si="1"/>
        <v>20220901</v>
      </c>
      <c r="I30" s="1" t="str">
        <f>"103556"</f>
        <v>103556</v>
      </c>
      <c r="J30" s="1" t="s">
        <v>34</v>
      </c>
      <c r="K30" s="1" t="s">
        <v>34</v>
      </c>
      <c r="L30" s="1" t="str">
        <f t="shared" si="2"/>
        <v>20220901</v>
      </c>
      <c r="M30" s="1" t="str">
        <f>"105623"</f>
        <v>105623</v>
      </c>
      <c r="N30" s="1" t="s">
        <v>46</v>
      </c>
      <c r="O30" s="1" t="s">
        <v>28</v>
      </c>
      <c r="P30" s="1" t="s">
        <v>55</v>
      </c>
      <c r="Q30" s="1">
        <v>25</v>
      </c>
      <c r="R30" s="1">
        <v>25</v>
      </c>
      <c r="S30" s="1">
        <v>0</v>
      </c>
      <c r="T30" s="1">
        <v>0</v>
      </c>
      <c r="U30" s="1">
        <v>0</v>
      </c>
      <c r="V30" s="1" t="str">
        <f t="shared" si="7"/>
        <v>里程返程</v>
      </c>
      <c r="W30" s="1" t="str">
        <f>"0820"</f>
        <v>0820</v>
      </c>
      <c r="X30" s="1" t="s">
        <v>35</v>
      </c>
    </row>
    <row r="31" spans="1:24" x14ac:dyDescent="0.3">
      <c r="A31" s="1" t="str">
        <f t="shared" si="0"/>
        <v>59809</v>
      </c>
      <c r="B31" s="1" t="s">
        <v>42</v>
      </c>
      <c r="C31" s="1" t="s">
        <v>43</v>
      </c>
      <c r="D31" s="1" t="str">
        <f t="shared" si="5"/>
        <v>9803</v>
      </c>
      <c r="E31" s="1" t="s">
        <v>32</v>
      </c>
      <c r="F31" s="1" t="str">
        <f>"948062229"</f>
        <v>948062229</v>
      </c>
      <c r="G31" s="1" t="s">
        <v>33</v>
      </c>
      <c r="H31" s="1" t="str">
        <f t="shared" si="1"/>
        <v>20220901</v>
      </c>
      <c r="I31" s="1" t="str">
        <f>"103812"</f>
        <v>103812</v>
      </c>
      <c r="J31" s="1" t="s">
        <v>34</v>
      </c>
      <c r="K31" s="1" t="s">
        <v>34</v>
      </c>
      <c r="L31" s="1" t="str">
        <f t="shared" si="2"/>
        <v>20220901</v>
      </c>
      <c r="M31" s="1" t="str">
        <f>"110449"</f>
        <v>110449</v>
      </c>
      <c r="N31" s="1" t="s">
        <v>28</v>
      </c>
      <c r="O31" s="1" t="s">
        <v>28</v>
      </c>
      <c r="P31" s="1" t="s">
        <v>55</v>
      </c>
      <c r="Q31" s="1">
        <v>25</v>
      </c>
      <c r="R31" s="1">
        <v>25</v>
      </c>
      <c r="S31" s="1">
        <v>0</v>
      </c>
      <c r="T31" s="1">
        <v>0</v>
      </c>
      <c r="U31" s="1">
        <v>0</v>
      </c>
      <c r="V31" s="1" t="str">
        <f t="shared" si="7"/>
        <v>里程返程</v>
      </c>
      <c r="W31" s="1" t="str">
        <f>"0120"</f>
        <v>0120</v>
      </c>
      <c r="X31" s="1" t="s">
        <v>35</v>
      </c>
    </row>
    <row r="32" spans="1:24" x14ac:dyDescent="0.3">
      <c r="A32" s="1" t="str">
        <f t="shared" si="0"/>
        <v>59809</v>
      </c>
      <c r="B32" s="1" t="s">
        <v>42</v>
      </c>
      <c r="C32" s="1" t="s">
        <v>43</v>
      </c>
      <c r="D32" s="1" t="str">
        <f t="shared" si="5"/>
        <v>9803</v>
      </c>
      <c r="E32" s="1" t="s">
        <v>32</v>
      </c>
      <c r="F32" s="1" t="str">
        <f>"1632366117"</f>
        <v>1632366117</v>
      </c>
      <c r="G32" s="1" t="s">
        <v>33</v>
      </c>
      <c r="H32" s="1" t="str">
        <f t="shared" si="1"/>
        <v>20220901</v>
      </c>
      <c r="I32" s="1" t="str">
        <f>"103837"</f>
        <v>103837</v>
      </c>
      <c r="J32" s="1" t="s">
        <v>34</v>
      </c>
      <c r="K32" s="1" t="s">
        <v>34</v>
      </c>
      <c r="L32" s="1" t="str">
        <f t="shared" si="2"/>
        <v>20220901</v>
      </c>
      <c r="M32" s="1" t="str">
        <f>"110453"</f>
        <v>110453</v>
      </c>
      <c r="N32" s="1" t="s">
        <v>28</v>
      </c>
      <c r="O32" s="1" t="s">
        <v>28</v>
      </c>
      <c r="P32" s="1" t="s">
        <v>55</v>
      </c>
      <c r="Q32" s="1">
        <v>25</v>
      </c>
      <c r="R32" s="1">
        <v>25</v>
      </c>
      <c r="S32" s="1">
        <v>0</v>
      </c>
      <c r="T32" s="1">
        <v>0</v>
      </c>
      <c r="U32" s="1">
        <v>0</v>
      </c>
      <c r="V32" s="1" t="str">
        <f t="shared" si="7"/>
        <v>里程返程</v>
      </c>
      <c r="W32" s="1" t="str">
        <f>"2020"</f>
        <v>2020</v>
      </c>
      <c r="X32" s="1" t="s">
        <v>35</v>
      </c>
    </row>
    <row r="33" spans="1:24" x14ac:dyDescent="0.3">
      <c r="A33" s="1" t="str">
        <f t="shared" si="0"/>
        <v>59809</v>
      </c>
      <c r="B33" s="1" t="s">
        <v>42</v>
      </c>
      <c r="C33" s="1" t="s">
        <v>43</v>
      </c>
      <c r="D33" s="1" t="str">
        <f t="shared" si="5"/>
        <v>9803</v>
      </c>
      <c r="E33" s="1" t="s">
        <v>32</v>
      </c>
      <c r="F33" s="1" t="str">
        <f>"966023665"</f>
        <v>966023665</v>
      </c>
      <c r="G33" s="1" t="s">
        <v>38</v>
      </c>
      <c r="H33" s="1" t="str">
        <f t="shared" si="1"/>
        <v>20220901</v>
      </c>
      <c r="I33" s="1" t="str">
        <f>"103848"</f>
        <v>103848</v>
      </c>
      <c r="J33" s="1" t="s">
        <v>34</v>
      </c>
      <c r="K33" s="1" t="s">
        <v>34</v>
      </c>
      <c r="L33" s="1" t="str">
        <f t="shared" si="2"/>
        <v>20220901</v>
      </c>
      <c r="M33" s="1" t="str">
        <f>"110456"</f>
        <v>110456</v>
      </c>
      <c r="N33" s="1" t="s">
        <v>28</v>
      </c>
      <c r="O33" s="1" t="s">
        <v>28</v>
      </c>
      <c r="P33" s="1" t="s">
        <v>55</v>
      </c>
      <c r="Q33" s="1">
        <v>25</v>
      </c>
      <c r="R33" s="1">
        <v>25</v>
      </c>
      <c r="S33" s="1">
        <v>0</v>
      </c>
      <c r="T33" s="1">
        <v>0</v>
      </c>
      <c r="U33" s="1">
        <v>0</v>
      </c>
      <c r="V33" s="1" t="str">
        <f t="shared" si="7"/>
        <v>里程返程</v>
      </c>
      <c r="W33" s="1" t="str">
        <f>"2120"</f>
        <v>2120</v>
      </c>
      <c r="X33" s="1" t="s">
        <v>35</v>
      </c>
    </row>
    <row r="34" spans="1:24" x14ac:dyDescent="0.3">
      <c r="A34" s="1" t="str">
        <f t="shared" ref="A34:A65" si="8">"59809"</f>
        <v>59809</v>
      </c>
      <c r="B34" s="1" t="s">
        <v>42</v>
      </c>
      <c r="C34" s="1" t="s">
        <v>43</v>
      </c>
      <c r="D34" s="1" t="str">
        <f t="shared" si="5"/>
        <v>9803</v>
      </c>
      <c r="E34" s="1" t="s">
        <v>32</v>
      </c>
      <c r="F34" s="1" t="str">
        <f>"804705525"</f>
        <v>804705525</v>
      </c>
      <c r="G34" s="1" t="s">
        <v>33</v>
      </c>
      <c r="H34" s="1" t="str">
        <f t="shared" si="1"/>
        <v>20220901</v>
      </c>
      <c r="I34" s="1" t="str">
        <f>"103859"</f>
        <v>103859</v>
      </c>
      <c r="J34" s="1" t="s">
        <v>34</v>
      </c>
      <c r="K34" s="1" t="s">
        <v>34</v>
      </c>
      <c r="L34" s="1" t="str">
        <f t="shared" si="2"/>
        <v>20220901</v>
      </c>
      <c r="M34" s="1" t="str">
        <f>"110438"</f>
        <v>110438</v>
      </c>
      <c r="N34" s="1" t="s">
        <v>28</v>
      </c>
      <c r="O34" s="1" t="s">
        <v>28</v>
      </c>
      <c r="P34" s="1" t="s">
        <v>55</v>
      </c>
      <c r="Q34" s="1">
        <v>25</v>
      </c>
      <c r="R34" s="1">
        <v>25</v>
      </c>
      <c r="S34" s="1">
        <v>0</v>
      </c>
      <c r="T34" s="1">
        <v>0</v>
      </c>
      <c r="U34" s="1">
        <v>0</v>
      </c>
      <c r="V34" s="1" t="str">
        <f t="shared" si="7"/>
        <v>里程返程</v>
      </c>
      <c r="W34" s="1" t="str">
        <f>"2020"</f>
        <v>2020</v>
      </c>
      <c r="X34" s="1" t="s">
        <v>35</v>
      </c>
    </row>
    <row r="35" spans="1:24" x14ac:dyDescent="0.3">
      <c r="A35" s="1" t="str">
        <f t="shared" si="8"/>
        <v>59809</v>
      </c>
      <c r="B35" s="1" t="s">
        <v>42</v>
      </c>
      <c r="C35" s="1" t="s">
        <v>43</v>
      </c>
      <c r="D35" s="1" t="str">
        <f t="shared" si="5"/>
        <v>9803</v>
      </c>
      <c r="E35" s="1" t="s">
        <v>32</v>
      </c>
      <c r="F35" s="1" t="str">
        <f>"966023761"</f>
        <v>966023761</v>
      </c>
      <c r="G35" s="1" t="s">
        <v>38</v>
      </c>
      <c r="H35" s="1" t="str">
        <f t="shared" si="1"/>
        <v>20220901</v>
      </c>
      <c r="I35" s="1" t="str">
        <f>"103904"</f>
        <v>103904</v>
      </c>
      <c r="J35" s="1" t="s">
        <v>34</v>
      </c>
      <c r="K35" s="1" t="s">
        <v>34</v>
      </c>
      <c r="L35" s="1" t="str">
        <f t="shared" si="2"/>
        <v>20220901</v>
      </c>
      <c r="M35" s="1" t="str">
        <f>"110505"</f>
        <v>110505</v>
      </c>
      <c r="N35" s="1" t="s">
        <v>28</v>
      </c>
      <c r="O35" s="1" t="s">
        <v>28</v>
      </c>
      <c r="P35" s="1" t="s">
        <v>55</v>
      </c>
      <c r="Q35" s="1">
        <v>25</v>
      </c>
      <c r="R35" s="1">
        <v>25</v>
      </c>
      <c r="S35" s="1">
        <v>0</v>
      </c>
      <c r="T35" s="1">
        <v>0</v>
      </c>
      <c r="U35" s="1">
        <v>0</v>
      </c>
      <c r="V35" s="1" t="str">
        <f t="shared" si="7"/>
        <v>里程返程</v>
      </c>
      <c r="W35" s="1" t="str">
        <f>"2120"</f>
        <v>2120</v>
      </c>
      <c r="X35" s="1" t="s">
        <v>35</v>
      </c>
    </row>
    <row r="36" spans="1:24" x14ac:dyDescent="0.3">
      <c r="A36" s="1" t="str">
        <f t="shared" si="8"/>
        <v>59809</v>
      </c>
      <c r="B36" s="1" t="s">
        <v>42</v>
      </c>
      <c r="C36" s="1" t="s">
        <v>43</v>
      </c>
      <c r="D36" s="1" t="str">
        <f t="shared" si="5"/>
        <v>9803</v>
      </c>
      <c r="E36" s="1" t="s">
        <v>32</v>
      </c>
      <c r="F36" s="1" t="str">
        <f>"1100489973"</f>
        <v>1100489973</v>
      </c>
      <c r="G36" s="1" t="s">
        <v>38</v>
      </c>
      <c r="H36" s="1" t="str">
        <f t="shared" si="1"/>
        <v>20220901</v>
      </c>
      <c r="I36" s="1" t="str">
        <f>"103918"</f>
        <v>103918</v>
      </c>
      <c r="J36" s="1" t="s">
        <v>34</v>
      </c>
      <c r="K36" s="1" t="s">
        <v>34</v>
      </c>
      <c r="L36" s="1" t="str">
        <f t="shared" si="2"/>
        <v>20220901</v>
      </c>
      <c r="M36" s="1" t="str">
        <f>"110500"</f>
        <v>110500</v>
      </c>
      <c r="N36" s="1" t="s">
        <v>28</v>
      </c>
      <c r="O36" s="1" t="s">
        <v>28</v>
      </c>
      <c r="P36" s="1" t="s">
        <v>55</v>
      </c>
      <c r="Q36" s="1">
        <v>25</v>
      </c>
      <c r="R36" s="1">
        <v>25</v>
      </c>
      <c r="S36" s="1">
        <v>0</v>
      </c>
      <c r="T36" s="1">
        <v>0</v>
      </c>
      <c r="U36" s="1">
        <v>0</v>
      </c>
      <c r="V36" s="1" t="str">
        <f t="shared" si="7"/>
        <v>里程返程</v>
      </c>
      <c r="W36" s="1" t="str">
        <f>"2120"</f>
        <v>2120</v>
      </c>
      <c r="X36" s="1" t="s">
        <v>35</v>
      </c>
    </row>
    <row r="37" spans="1:24" x14ac:dyDescent="0.3">
      <c r="A37" s="1" t="str">
        <f t="shared" si="8"/>
        <v>59809</v>
      </c>
      <c r="B37" s="1" t="s">
        <v>42</v>
      </c>
      <c r="C37" s="1" t="s">
        <v>43</v>
      </c>
      <c r="D37" s="1" t="str">
        <f t="shared" si="5"/>
        <v>9803</v>
      </c>
      <c r="E37" s="1" t="s">
        <v>32</v>
      </c>
      <c r="F37" s="1" t="str">
        <f>"819643489"</f>
        <v>819643489</v>
      </c>
      <c r="G37" s="1" t="s">
        <v>38</v>
      </c>
      <c r="H37" s="1" t="str">
        <f t="shared" si="1"/>
        <v>20220901</v>
      </c>
      <c r="I37" s="1" t="str">
        <f>"103956"</f>
        <v>103956</v>
      </c>
      <c r="J37" s="1" t="s">
        <v>34</v>
      </c>
      <c r="K37" s="1" t="s">
        <v>34</v>
      </c>
      <c r="L37" s="1" t="str">
        <f t="shared" si="2"/>
        <v>20220901</v>
      </c>
      <c r="M37" s="1" t="str">
        <f>"110419"</f>
        <v>110419</v>
      </c>
      <c r="N37" s="1" t="s">
        <v>28</v>
      </c>
      <c r="O37" s="1" t="s">
        <v>28</v>
      </c>
      <c r="P37" s="1" t="s">
        <v>55</v>
      </c>
      <c r="Q37" s="1">
        <v>25</v>
      </c>
      <c r="R37" s="1">
        <v>25</v>
      </c>
      <c r="S37" s="1">
        <v>0</v>
      </c>
      <c r="T37" s="1">
        <v>0</v>
      </c>
      <c r="U37" s="1">
        <v>0</v>
      </c>
      <c r="V37" s="1" t="str">
        <f t="shared" si="7"/>
        <v>里程返程</v>
      </c>
      <c r="W37" s="1" t="str">
        <f>"0820"</f>
        <v>0820</v>
      </c>
      <c r="X37" s="1" t="s">
        <v>35</v>
      </c>
    </row>
    <row r="38" spans="1:24" x14ac:dyDescent="0.3">
      <c r="A38" s="1" t="str">
        <f t="shared" si="8"/>
        <v>59809</v>
      </c>
      <c r="B38" s="1" t="s">
        <v>42</v>
      </c>
      <c r="C38" s="1" t="s">
        <v>43</v>
      </c>
      <c r="D38" s="1" t="str">
        <f t="shared" si="5"/>
        <v>9803</v>
      </c>
      <c r="E38" s="1" t="s">
        <v>32</v>
      </c>
      <c r="F38" s="1" t="str">
        <f>"1775758353"</f>
        <v>1775758353</v>
      </c>
      <c r="G38" s="1" t="s">
        <v>33</v>
      </c>
      <c r="H38" s="1" t="str">
        <f t="shared" si="1"/>
        <v>20220901</v>
      </c>
      <c r="I38" s="1" t="str">
        <f>"104224"</f>
        <v>104224</v>
      </c>
      <c r="J38" s="1" t="s">
        <v>34</v>
      </c>
      <c r="K38" s="1" t="s">
        <v>34</v>
      </c>
      <c r="L38" s="1" t="str">
        <f t="shared" si="2"/>
        <v>20220901</v>
      </c>
      <c r="M38" s="1" t="str">
        <f>"110439"</f>
        <v>110439</v>
      </c>
      <c r="N38" s="1" t="s">
        <v>28</v>
      </c>
      <c r="O38" s="1" t="s">
        <v>28</v>
      </c>
      <c r="P38" s="1" t="s">
        <v>55</v>
      </c>
      <c r="Q38" s="1">
        <v>25</v>
      </c>
      <c r="R38" s="1">
        <v>25</v>
      </c>
      <c r="S38" s="1">
        <v>0</v>
      </c>
      <c r="T38" s="1">
        <v>0</v>
      </c>
      <c r="U38" s="1">
        <v>0</v>
      </c>
      <c r="V38" s="1" t="str">
        <f t="shared" si="7"/>
        <v>里程返程</v>
      </c>
      <c r="W38" s="1" t="str">
        <f>"0920"</f>
        <v>0920</v>
      </c>
      <c r="X38" s="1" t="s">
        <v>35</v>
      </c>
    </row>
    <row r="39" spans="1:24" x14ac:dyDescent="0.3">
      <c r="A39" s="1" t="str">
        <f t="shared" si="8"/>
        <v>59809</v>
      </c>
      <c r="B39" s="1" t="s">
        <v>42</v>
      </c>
      <c r="C39" s="1" t="s">
        <v>43</v>
      </c>
      <c r="D39" s="1" t="str">
        <f t="shared" si="5"/>
        <v>9803</v>
      </c>
      <c r="E39" s="1" t="s">
        <v>32</v>
      </c>
      <c r="F39" s="1" t="str">
        <f>"8CDFA259A8880400475955D141303607"</f>
        <v>8CDFA259A8880400475955D141303607</v>
      </c>
      <c r="G39" s="1" t="s">
        <v>58</v>
      </c>
      <c r="H39" s="1" t="str">
        <f t="shared" si="1"/>
        <v>20220901</v>
      </c>
      <c r="I39" s="1" t="str">
        <f>"104427"</f>
        <v>104427</v>
      </c>
      <c r="J39" s="1" t="s">
        <v>34</v>
      </c>
      <c r="K39" s="1" t="s">
        <v>34</v>
      </c>
      <c r="L39" s="1" t="str">
        <f t="shared" si="2"/>
        <v>20220901</v>
      </c>
      <c r="M39" s="1" t="str">
        <f>"110425"</f>
        <v>110425</v>
      </c>
      <c r="N39" s="1" t="s">
        <v>28</v>
      </c>
      <c r="O39" s="1" t="s">
        <v>28</v>
      </c>
      <c r="P39" s="1" t="s">
        <v>55</v>
      </c>
      <c r="Q39" s="1">
        <v>25</v>
      </c>
      <c r="R39" s="1">
        <v>25</v>
      </c>
      <c r="S39" s="1">
        <v>0</v>
      </c>
      <c r="T39" s="1">
        <v>0</v>
      </c>
      <c r="U39" s="1">
        <v>0</v>
      </c>
      <c r="V39" s="1" t="str">
        <f t="shared" si="7"/>
        <v>里程返程</v>
      </c>
      <c r="W39" s="1" t="str">
        <f>"0020"</f>
        <v>0020</v>
      </c>
      <c r="X39" s="1" t="s">
        <v>29</v>
      </c>
    </row>
    <row r="40" spans="1:24" x14ac:dyDescent="0.3">
      <c r="A40" s="1" t="str">
        <f t="shared" si="8"/>
        <v>59809</v>
      </c>
      <c r="B40" s="1" t="s">
        <v>42</v>
      </c>
      <c r="C40" s="1" t="s">
        <v>43</v>
      </c>
      <c r="D40" s="1" t="str">
        <f t="shared" ref="D40:D49" si="9">"9805"</f>
        <v>9805</v>
      </c>
      <c r="E40" s="1" t="s">
        <v>57</v>
      </c>
      <c r="F40" s="1" t="str">
        <f>"F1DA0D2F0988040043288DA200020912"</f>
        <v>F1DA0D2F0988040043288DA200020912</v>
      </c>
      <c r="G40" s="1" t="s">
        <v>58</v>
      </c>
      <c r="H40" s="1" t="str">
        <f t="shared" si="1"/>
        <v>20220901</v>
      </c>
      <c r="I40" s="1" t="str">
        <f>"120411"</f>
        <v>120411</v>
      </c>
      <c r="J40" s="1" t="s">
        <v>28</v>
      </c>
      <c r="K40" s="1" t="s">
        <v>28</v>
      </c>
      <c r="L40" s="1" t="str">
        <f t="shared" si="2"/>
        <v>20220901</v>
      </c>
      <c r="M40" s="1" t="str">
        <f>"122005"</f>
        <v>122005</v>
      </c>
      <c r="N40" s="1" t="s">
        <v>61</v>
      </c>
      <c r="O40" s="1" t="s">
        <v>28</v>
      </c>
      <c r="P40" s="1" t="s">
        <v>55</v>
      </c>
      <c r="Q40" s="1">
        <v>25</v>
      </c>
      <c r="R40" s="1">
        <v>25</v>
      </c>
      <c r="S40" s="1">
        <v>0</v>
      </c>
      <c r="T40" s="1">
        <v>0</v>
      </c>
      <c r="U40" s="1">
        <v>0</v>
      </c>
      <c r="V40" s="1" t="str">
        <f t="shared" ref="V40:V47" si="10">"里程去程"</f>
        <v>里程去程</v>
      </c>
      <c r="W40" s="1" t="str">
        <f>"0020"</f>
        <v>0020</v>
      </c>
      <c r="X40" s="1" t="s">
        <v>29</v>
      </c>
    </row>
    <row r="41" spans="1:24" x14ac:dyDescent="0.3">
      <c r="A41" s="1" t="str">
        <f t="shared" si="8"/>
        <v>59809</v>
      </c>
      <c r="B41" s="1" t="s">
        <v>42</v>
      </c>
      <c r="C41" s="1" t="s">
        <v>43</v>
      </c>
      <c r="D41" s="1" t="str">
        <f t="shared" si="9"/>
        <v>9805</v>
      </c>
      <c r="E41" s="1" t="s">
        <v>57</v>
      </c>
      <c r="F41" s="1" t="str">
        <f>"457193457"</f>
        <v>457193457</v>
      </c>
      <c r="G41" s="1" t="s">
        <v>33</v>
      </c>
      <c r="H41" s="1" t="str">
        <f t="shared" si="1"/>
        <v>20220901</v>
      </c>
      <c r="I41" s="1" t="str">
        <f>"120428"</f>
        <v>120428</v>
      </c>
      <c r="J41" s="1" t="s">
        <v>28</v>
      </c>
      <c r="K41" s="1" t="s">
        <v>28</v>
      </c>
      <c r="L41" s="1" t="str">
        <f t="shared" si="2"/>
        <v>20220901</v>
      </c>
      <c r="M41" s="1" t="str">
        <f>"122554"</f>
        <v>122554</v>
      </c>
      <c r="N41" s="1" t="s">
        <v>52</v>
      </c>
      <c r="O41" s="1" t="s">
        <v>52</v>
      </c>
      <c r="P41" s="1" t="s">
        <v>55</v>
      </c>
      <c r="Q41" s="1">
        <v>25</v>
      </c>
      <c r="R41" s="1">
        <v>0</v>
      </c>
      <c r="S41" s="1">
        <v>25</v>
      </c>
      <c r="T41" s="1">
        <v>0</v>
      </c>
      <c r="U41" s="1">
        <v>0</v>
      </c>
      <c r="V41" s="1" t="str">
        <f t="shared" si="10"/>
        <v>里程去程</v>
      </c>
      <c r="W41" s="1" t="str">
        <f>"0820"</f>
        <v>0820</v>
      </c>
      <c r="X41" s="1" t="s">
        <v>35</v>
      </c>
    </row>
    <row r="42" spans="1:24" x14ac:dyDescent="0.3">
      <c r="A42" s="1" t="str">
        <f t="shared" si="8"/>
        <v>59809</v>
      </c>
      <c r="B42" s="1" t="s">
        <v>42</v>
      </c>
      <c r="C42" s="1" t="s">
        <v>43</v>
      </c>
      <c r="D42" s="1" t="str">
        <f t="shared" si="9"/>
        <v>9805</v>
      </c>
      <c r="E42" s="1" t="s">
        <v>57</v>
      </c>
      <c r="F42" s="1" t="str">
        <f>"457211249"</f>
        <v>457211249</v>
      </c>
      <c r="G42" s="1" t="s">
        <v>33</v>
      </c>
      <c r="H42" s="1" t="str">
        <f t="shared" si="1"/>
        <v>20220901</v>
      </c>
      <c r="I42" s="1" t="str">
        <f>"120431"</f>
        <v>120431</v>
      </c>
      <c r="J42" s="1" t="s">
        <v>28</v>
      </c>
      <c r="K42" s="1" t="s">
        <v>28</v>
      </c>
      <c r="L42" s="1" t="str">
        <f t="shared" si="2"/>
        <v>20220901</v>
      </c>
      <c r="M42" s="1" t="str">
        <f>"122552"</f>
        <v>122552</v>
      </c>
      <c r="N42" s="1" t="s">
        <v>52</v>
      </c>
      <c r="O42" s="1" t="s">
        <v>52</v>
      </c>
      <c r="P42" s="1" t="s">
        <v>55</v>
      </c>
      <c r="Q42" s="1">
        <v>25</v>
      </c>
      <c r="R42" s="1">
        <v>0</v>
      </c>
      <c r="S42" s="1">
        <v>25</v>
      </c>
      <c r="T42" s="1">
        <v>0</v>
      </c>
      <c r="U42" s="1">
        <v>0</v>
      </c>
      <c r="V42" s="1" t="str">
        <f t="shared" si="10"/>
        <v>里程去程</v>
      </c>
      <c r="W42" s="1" t="str">
        <f>"0820"</f>
        <v>0820</v>
      </c>
      <c r="X42" s="1" t="s">
        <v>35</v>
      </c>
    </row>
    <row r="43" spans="1:24" x14ac:dyDescent="0.3">
      <c r="A43" s="1" t="str">
        <f t="shared" si="8"/>
        <v>59809</v>
      </c>
      <c r="B43" s="1" t="s">
        <v>42</v>
      </c>
      <c r="C43" s="1" t="s">
        <v>43</v>
      </c>
      <c r="D43" s="1" t="str">
        <f t="shared" si="9"/>
        <v>9805</v>
      </c>
      <c r="E43" s="1" t="s">
        <v>57</v>
      </c>
      <c r="F43" s="1" t="str">
        <f>"1731367541"</f>
        <v>1731367541</v>
      </c>
      <c r="G43" s="1" t="s">
        <v>38</v>
      </c>
      <c r="H43" s="1" t="str">
        <f t="shared" si="1"/>
        <v>20220901</v>
      </c>
      <c r="I43" s="1" t="str">
        <f>"120454"</f>
        <v>120454</v>
      </c>
      <c r="J43" s="1" t="s">
        <v>28</v>
      </c>
      <c r="K43" s="1" t="s">
        <v>28</v>
      </c>
      <c r="L43" s="1" t="str">
        <f t="shared" si="2"/>
        <v>20220901</v>
      </c>
      <c r="M43" s="1" t="str">
        <f>"122607"</f>
        <v>122607</v>
      </c>
      <c r="N43" s="1" t="s">
        <v>52</v>
      </c>
      <c r="O43" s="1" t="s">
        <v>52</v>
      </c>
      <c r="P43" s="1" t="s">
        <v>55</v>
      </c>
      <c r="Q43" s="1">
        <v>25</v>
      </c>
      <c r="R43" s="1">
        <v>25</v>
      </c>
      <c r="S43" s="1">
        <v>0</v>
      </c>
      <c r="T43" s="1">
        <v>0</v>
      </c>
      <c r="U43" s="1">
        <v>0</v>
      </c>
      <c r="V43" s="1" t="str">
        <f t="shared" si="10"/>
        <v>里程去程</v>
      </c>
      <c r="W43" s="1" t="str">
        <f>"0120"</f>
        <v>0120</v>
      </c>
      <c r="X43" s="1" t="s">
        <v>35</v>
      </c>
    </row>
    <row r="44" spans="1:24" x14ac:dyDescent="0.3">
      <c r="A44" s="1" t="str">
        <f t="shared" si="8"/>
        <v>59809</v>
      </c>
      <c r="B44" s="1" t="s">
        <v>42</v>
      </c>
      <c r="C44" s="1" t="s">
        <v>43</v>
      </c>
      <c r="D44" s="1" t="str">
        <f t="shared" si="9"/>
        <v>9805</v>
      </c>
      <c r="E44" s="1" t="s">
        <v>57</v>
      </c>
      <c r="F44" s="1" t="str">
        <f>"1195169813"</f>
        <v>1195169813</v>
      </c>
      <c r="G44" s="1" t="s">
        <v>38</v>
      </c>
      <c r="H44" s="1" t="str">
        <f t="shared" si="1"/>
        <v>20220901</v>
      </c>
      <c r="I44" s="1" t="str">
        <f>"120504"</f>
        <v>120504</v>
      </c>
      <c r="J44" s="1" t="s">
        <v>28</v>
      </c>
      <c r="K44" s="1" t="s">
        <v>28</v>
      </c>
      <c r="L44" s="1" t="str">
        <f t="shared" si="2"/>
        <v>20220901</v>
      </c>
      <c r="M44" s="1" t="str">
        <f>"122602"</f>
        <v>122602</v>
      </c>
      <c r="N44" s="1" t="s">
        <v>52</v>
      </c>
      <c r="O44" s="1" t="s">
        <v>52</v>
      </c>
      <c r="P44" s="1" t="s">
        <v>55</v>
      </c>
      <c r="Q44" s="1">
        <v>25</v>
      </c>
      <c r="R44" s="1">
        <v>25</v>
      </c>
      <c r="S44" s="1">
        <v>0</v>
      </c>
      <c r="T44" s="1">
        <v>0</v>
      </c>
      <c r="U44" s="1">
        <v>0</v>
      </c>
      <c r="V44" s="1" t="str">
        <f t="shared" si="10"/>
        <v>里程去程</v>
      </c>
      <c r="W44" s="1" t="str">
        <f>"0120"</f>
        <v>0120</v>
      </c>
      <c r="X44" s="1" t="s">
        <v>35</v>
      </c>
    </row>
    <row r="45" spans="1:24" x14ac:dyDescent="0.3">
      <c r="A45" s="1" t="str">
        <f t="shared" si="8"/>
        <v>59809</v>
      </c>
      <c r="B45" s="1" t="s">
        <v>42</v>
      </c>
      <c r="C45" s="1" t="s">
        <v>43</v>
      </c>
      <c r="D45" s="1" t="str">
        <f t="shared" si="9"/>
        <v>9805</v>
      </c>
      <c r="E45" s="1" t="s">
        <v>57</v>
      </c>
      <c r="F45" s="1" t="str">
        <f>"1766386677"</f>
        <v>1766386677</v>
      </c>
      <c r="G45" s="1" t="s">
        <v>33</v>
      </c>
      <c r="H45" s="1" t="str">
        <f t="shared" si="1"/>
        <v>20220901</v>
      </c>
      <c r="I45" s="1" t="str">
        <f>"120508"</f>
        <v>120508</v>
      </c>
      <c r="J45" s="1" t="s">
        <v>28</v>
      </c>
      <c r="K45" s="1" t="s">
        <v>28</v>
      </c>
      <c r="L45" s="1" t="str">
        <f t="shared" si="2"/>
        <v>20220901</v>
      </c>
      <c r="M45" s="1" t="str">
        <f>"122611"</f>
        <v>122611</v>
      </c>
      <c r="N45" s="1" t="s">
        <v>52</v>
      </c>
      <c r="O45" s="1" t="s">
        <v>52</v>
      </c>
      <c r="P45" s="1" t="s">
        <v>55</v>
      </c>
      <c r="Q45" s="1">
        <v>25</v>
      </c>
      <c r="R45" s="1">
        <v>25</v>
      </c>
      <c r="S45" s="1">
        <v>0</v>
      </c>
      <c r="T45" s="1">
        <v>0</v>
      </c>
      <c r="U45" s="1">
        <v>0</v>
      </c>
      <c r="V45" s="1" t="str">
        <f t="shared" si="10"/>
        <v>里程去程</v>
      </c>
      <c r="W45" s="1" t="str">
        <f>"0120"</f>
        <v>0120</v>
      </c>
      <c r="X45" s="1" t="s">
        <v>35</v>
      </c>
    </row>
    <row r="46" spans="1:24" x14ac:dyDescent="0.3">
      <c r="A46" s="1" t="str">
        <f t="shared" si="8"/>
        <v>59809</v>
      </c>
      <c r="B46" s="1" t="s">
        <v>42</v>
      </c>
      <c r="C46" s="1" t="s">
        <v>43</v>
      </c>
      <c r="D46" s="1" t="str">
        <f t="shared" si="9"/>
        <v>9805</v>
      </c>
      <c r="E46" s="1" t="s">
        <v>57</v>
      </c>
      <c r="F46" s="1" t="str">
        <f>"1087508001"</f>
        <v>1087508001</v>
      </c>
      <c r="G46" s="1" t="s">
        <v>33</v>
      </c>
      <c r="H46" s="1" t="str">
        <f t="shared" si="1"/>
        <v>20220901</v>
      </c>
      <c r="I46" s="1" t="str">
        <f>"120513"</f>
        <v>120513</v>
      </c>
      <c r="J46" s="1" t="s">
        <v>28</v>
      </c>
      <c r="K46" s="1" t="s">
        <v>28</v>
      </c>
      <c r="L46" s="1" t="str">
        <f t="shared" si="2"/>
        <v>20220901</v>
      </c>
      <c r="M46" s="1" t="str">
        <f>"122014"</f>
        <v>122014</v>
      </c>
      <c r="N46" s="1" t="s">
        <v>61</v>
      </c>
      <c r="O46" s="1" t="s">
        <v>28</v>
      </c>
      <c r="P46" s="1" t="s">
        <v>55</v>
      </c>
      <c r="Q46" s="1">
        <v>25</v>
      </c>
      <c r="R46" s="1">
        <v>0</v>
      </c>
      <c r="S46" s="1">
        <v>25</v>
      </c>
      <c r="T46" s="1">
        <v>0</v>
      </c>
      <c r="U46" s="1">
        <v>0</v>
      </c>
      <c r="V46" s="1" t="str">
        <f t="shared" si="10"/>
        <v>里程去程</v>
      </c>
      <c r="W46" s="1" t="str">
        <f>"0820"</f>
        <v>0820</v>
      </c>
      <c r="X46" s="1" t="s">
        <v>35</v>
      </c>
    </row>
    <row r="47" spans="1:24" x14ac:dyDescent="0.3">
      <c r="A47" s="1" t="str">
        <f t="shared" si="8"/>
        <v>59809</v>
      </c>
      <c r="B47" s="1" t="s">
        <v>42</v>
      </c>
      <c r="C47" s="1" t="s">
        <v>43</v>
      </c>
      <c r="D47" s="1" t="str">
        <f t="shared" si="9"/>
        <v>9805</v>
      </c>
      <c r="E47" s="1" t="s">
        <v>57</v>
      </c>
      <c r="F47" s="1" t="str">
        <f>"1861159169"</f>
        <v>1861159169</v>
      </c>
      <c r="G47" s="1" t="s">
        <v>33</v>
      </c>
      <c r="H47" s="1" t="str">
        <f t="shared" si="1"/>
        <v>20220901</v>
      </c>
      <c r="I47" s="1" t="str">
        <f>"120516"</f>
        <v>120516</v>
      </c>
      <c r="J47" s="1" t="s">
        <v>28</v>
      </c>
      <c r="K47" s="1" t="s">
        <v>28</v>
      </c>
      <c r="L47" s="1" t="str">
        <f t="shared" si="2"/>
        <v>20220901</v>
      </c>
      <c r="M47" s="1" t="str">
        <f>"122017"</f>
        <v>122017</v>
      </c>
      <c r="N47" s="1" t="s">
        <v>61</v>
      </c>
      <c r="O47" s="1" t="s">
        <v>28</v>
      </c>
      <c r="P47" s="1" t="s">
        <v>55</v>
      </c>
      <c r="Q47" s="1">
        <v>25</v>
      </c>
      <c r="R47" s="1">
        <v>0</v>
      </c>
      <c r="S47" s="1">
        <v>25</v>
      </c>
      <c r="T47" s="1">
        <v>0</v>
      </c>
      <c r="U47" s="1">
        <v>0</v>
      </c>
      <c r="V47" s="1" t="str">
        <f t="shared" si="10"/>
        <v>里程去程</v>
      </c>
      <c r="W47" s="1" t="str">
        <f>"0820"</f>
        <v>0820</v>
      </c>
      <c r="X47" s="1" t="s">
        <v>35</v>
      </c>
    </row>
    <row r="48" spans="1:24" x14ac:dyDescent="0.3">
      <c r="A48" s="1" t="str">
        <f t="shared" si="8"/>
        <v>59809</v>
      </c>
      <c r="B48" s="1" t="s">
        <v>42</v>
      </c>
      <c r="C48" s="1" t="s">
        <v>111</v>
      </c>
      <c r="D48" s="1" t="str">
        <f t="shared" si="9"/>
        <v>9805</v>
      </c>
      <c r="E48" s="1" t="s">
        <v>57</v>
      </c>
      <c r="F48" s="1" t="str">
        <f>"9517171001181333"</f>
        <v>9517171001181333</v>
      </c>
      <c r="G48" s="1" t="s">
        <v>33</v>
      </c>
      <c r="H48" s="1" t="str">
        <f t="shared" si="1"/>
        <v>20220901</v>
      </c>
      <c r="I48" s="1" t="str">
        <f>"130354"</f>
        <v>130354</v>
      </c>
      <c r="J48" s="1" t="s">
        <v>52</v>
      </c>
      <c r="K48" s="1" t="s">
        <v>52</v>
      </c>
      <c r="L48" s="1" t="str">
        <f t="shared" si="2"/>
        <v>20220901</v>
      </c>
      <c r="M48" s="1" t="str">
        <f>"132530"</f>
        <v>132530</v>
      </c>
      <c r="N48" s="1" t="s">
        <v>28</v>
      </c>
      <c r="O48" s="1" t="s">
        <v>28</v>
      </c>
      <c r="P48" s="1" t="s">
        <v>55</v>
      </c>
      <c r="Q48" s="1">
        <v>25</v>
      </c>
      <c r="R48" s="1">
        <v>25</v>
      </c>
      <c r="S48" s="1">
        <v>0</v>
      </c>
      <c r="T48" s="1">
        <v>0</v>
      </c>
      <c r="U48" s="1">
        <v>0</v>
      </c>
      <c r="V48" s="1" t="str">
        <f>"里程返程"</f>
        <v>里程返程</v>
      </c>
      <c r="W48" s="1" t="str">
        <f>"3A3B"</f>
        <v>3A3B</v>
      </c>
      <c r="X48" s="1" t="s">
        <v>109</v>
      </c>
    </row>
    <row r="49" spans="1:24" x14ac:dyDescent="0.3">
      <c r="A49" s="1" t="str">
        <f t="shared" si="8"/>
        <v>59809</v>
      </c>
      <c r="B49" s="1" t="s">
        <v>42</v>
      </c>
      <c r="C49" s="1" t="s">
        <v>43</v>
      </c>
      <c r="D49" s="1" t="str">
        <f t="shared" si="9"/>
        <v>9805</v>
      </c>
      <c r="E49" s="1" t="s">
        <v>57</v>
      </c>
      <c r="F49" s="1" t="str">
        <f>"3219592900"</f>
        <v>3219592900</v>
      </c>
      <c r="G49" s="1" t="s">
        <v>33</v>
      </c>
      <c r="H49" s="1" t="str">
        <f t="shared" si="1"/>
        <v>20220901</v>
      </c>
      <c r="I49" s="1" t="str">
        <f>"130407"</f>
        <v>130407</v>
      </c>
      <c r="J49" s="1" t="s">
        <v>52</v>
      </c>
      <c r="K49" s="1" t="s">
        <v>52</v>
      </c>
      <c r="L49" s="1" t="str">
        <f t="shared" si="2"/>
        <v>20220901</v>
      </c>
      <c r="M49" s="1" t="str">
        <f>"132534"</f>
        <v>132534</v>
      </c>
      <c r="N49" s="1" t="s">
        <v>28</v>
      </c>
      <c r="O49" s="1" t="s">
        <v>28</v>
      </c>
      <c r="P49" s="1" t="s">
        <v>55</v>
      </c>
      <c r="Q49" s="1">
        <v>25</v>
      </c>
      <c r="R49" s="1">
        <v>25</v>
      </c>
      <c r="S49" s="1">
        <v>0</v>
      </c>
      <c r="T49" s="1">
        <v>0</v>
      </c>
      <c r="U49" s="1">
        <v>0</v>
      </c>
      <c r="V49" s="1" t="str">
        <f>"里程返程"</f>
        <v>里程返程</v>
      </c>
      <c r="W49" s="1" t="str">
        <f>"2120"</f>
        <v>2120</v>
      </c>
      <c r="X49" s="1" t="s">
        <v>35</v>
      </c>
    </row>
    <row r="50" spans="1:24" x14ac:dyDescent="0.3">
      <c r="A50" s="1" t="str">
        <f t="shared" si="8"/>
        <v>59809</v>
      </c>
      <c r="B50" s="1" t="s">
        <v>42</v>
      </c>
      <c r="C50" s="1" t="s">
        <v>43</v>
      </c>
      <c r="D50" s="1" t="str">
        <f t="shared" ref="D50:D71" si="11">"9803"</f>
        <v>9803</v>
      </c>
      <c r="E50" s="1" t="s">
        <v>32</v>
      </c>
      <c r="F50" s="1" t="str">
        <f>"161178917"</f>
        <v>161178917</v>
      </c>
      <c r="G50" s="1" t="s">
        <v>33</v>
      </c>
      <c r="H50" s="1" t="str">
        <f t="shared" si="1"/>
        <v>20220901</v>
      </c>
      <c r="I50" s="1" t="str">
        <f>"132738"</f>
        <v>132738</v>
      </c>
      <c r="J50" s="1" t="s">
        <v>28</v>
      </c>
      <c r="K50" s="1" t="s">
        <v>28</v>
      </c>
      <c r="L50" s="1" t="str">
        <f t="shared" si="2"/>
        <v>20220901</v>
      </c>
      <c r="M50" s="1" t="str">
        <f>"133240"</f>
        <v>133240</v>
      </c>
      <c r="N50" s="1" t="s">
        <v>90</v>
      </c>
      <c r="O50" s="1" t="s">
        <v>28</v>
      </c>
      <c r="P50" s="1" t="s">
        <v>55</v>
      </c>
      <c r="Q50" s="1">
        <v>25</v>
      </c>
      <c r="R50" s="1">
        <v>25</v>
      </c>
      <c r="S50" s="1">
        <v>0</v>
      </c>
      <c r="T50" s="1">
        <v>0</v>
      </c>
      <c r="U50" s="1">
        <v>0</v>
      </c>
      <c r="V50" s="1" t="str">
        <f>"里程去程"</f>
        <v>里程去程</v>
      </c>
      <c r="W50" s="1" t="str">
        <f>"0320"</f>
        <v>0320</v>
      </c>
      <c r="X50" s="1" t="s">
        <v>35</v>
      </c>
    </row>
    <row r="51" spans="1:24" x14ac:dyDescent="0.3">
      <c r="A51" s="1" t="str">
        <f t="shared" si="8"/>
        <v>59809</v>
      </c>
      <c r="B51" s="1" t="s">
        <v>42</v>
      </c>
      <c r="C51" s="1" t="s">
        <v>43</v>
      </c>
      <c r="D51" s="1" t="str">
        <f t="shared" si="11"/>
        <v>9803</v>
      </c>
      <c r="E51" s="1" t="s">
        <v>32</v>
      </c>
      <c r="F51" s="1" t="str">
        <f>"647512321"</f>
        <v>647512321</v>
      </c>
      <c r="G51" s="1" t="s">
        <v>33</v>
      </c>
      <c r="H51" s="1" t="str">
        <f t="shared" si="1"/>
        <v>20220901</v>
      </c>
      <c r="I51" s="1" t="str">
        <f>"135615"</f>
        <v>135615</v>
      </c>
      <c r="J51" s="1" t="s">
        <v>34</v>
      </c>
      <c r="K51" s="1" t="s">
        <v>34</v>
      </c>
      <c r="L51" s="1" t="str">
        <f t="shared" si="2"/>
        <v>20220901</v>
      </c>
      <c r="M51" s="1" t="str">
        <f>"142642"</f>
        <v>142642</v>
      </c>
      <c r="N51" s="1" t="s">
        <v>28</v>
      </c>
      <c r="O51" s="1" t="s">
        <v>28</v>
      </c>
      <c r="P51" s="1" t="s">
        <v>55</v>
      </c>
      <c r="Q51" s="1">
        <v>25</v>
      </c>
      <c r="R51" s="1">
        <v>25</v>
      </c>
      <c r="S51" s="1">
        <v>0</v>
      </c>
      <c r="T51" s="1">
        <v>0</v>
      </c>
      <c r="U51" s="1">
        <v>0</v>
      </c>
      <c r="V51" s="1" t="str">
        <f t="shared" ref="V51:V71" si="12">"里程返程"</f>
        <v>里程返程</v>
      </c>
      <c r="W51" s="1" t="str">
        <f t="shared" ref="W51:W56" si="13">"2020"</f>
        <v>2020</v>
      </c>
      <c r="X51" s="1" t="s">
        <v>35</v>
      </c>
    </row>
    <row r="52" spans="1:24" x14ac:dyDescent="0.3">
      <c r="A52" s="1" t="str">
        <f t="shared" si="8"/>
        <v>59809</v>
      </c>
      <c r="B52" s="1" t="s">
        <v>42</v>
      </c>
      <c r="C52" s="1" t="s">
        <v>43</v>
      </c>
      <c r="D52" s="1" t="str">
        <f t="shared" si="11"/>
        <v>9803</v>
      </c>
      <c r="E52" s="1" t="s">
        <v>32</v>
      </c>
      <c r="F52" s="1" t="str">
        <f>"1426772753"</f>
        <v>1426772753</v>
      </c>
      <c r="G52" s="1" t="s">
        <v>33</v>
      </c>
      <c r="H52" s="1" t="str">
        <f t="shared" si="1"/>
        <v>20220901</v>
      </c>
      <c r="I52" s="1" t="str">
        <f>"135621"</f>
        <v>135621</v>
      </c>
      <c r="J52" s="1" t="s">
        <v>34</v>
      </c>
      <c r="K52" s="1" t="s">
        <v>34</v>
      </c>
      <c r="L52" s="1" t="str">
        <f t="shared" si="2"/>
        <v>20220901</v>
      </c>
      <c r="M52" s="1" t="str">
        <f>"142639"</f>
        <v>142639</v>
      </c>
      <c r="N52" s="1" t="s">
        <v>28</v>
      </c>
      <c r="O52" s="1" t="s">
        <v>28</v>
      </c>
      <c r="P52" s="1" t="s">
        <v>55</v>
      </c>
      <c r="Q52" s="1">
        <v>25</v>
      </c>
      <c r="R52" s="1">
        <v>25</v>
      </c>
      <c r="S52" s="1">
        <v>0</v>
      </c>
      <c r="T52" s="1">
        <v>0</v>
      </c>
      <c r="U52" s="1">
        <v>0</v>
      </c>
      <c r="V52" s="1" t="str">
        <f t="shared" si="12"/>
        <v>里程返程</v>
      </c>
      <c r="W52" s="1" t="str">
        <f t="shared" si="13"/>
        <v>2020</v>
      </c>
      <c r="X52" s="1" t="s">
        <v>35</v>
      </c>
    </row>
    <row r="53" spans="1:24" x14ac:dyDescent="0.3">
      <c r="A53" s="1" t="str">
        <f t="shared" si="8"/>
        <v>59809</v>
      </c>
      <c r="B53" s="1" t="s">
        <v>42</v>
      </c>
      <c r="C53" s="1" t="s">
        <v>43</v>
      </c>
      <c r="D53" s="1" t="str">
        <f t="shared" si="11"/>
        <v>9803</v>
      </c>
      <c r="E53" s="1" t="s">
        <v>32</v>
      </c>
      <c r="F53" s="1" t="str">
        <f>"1216337045"</f>
        <v>1216337045</v>
      </c>
      <c r="G53" s="1" t="s">
        <v>38</v>
      </c>
      <c r="H53" s="1" t="str">
        <f t="shared" si="1"/>
        <v>20220901</v>
      </c>
      <c r="I53" s="1" t="str">
        <f>"135628"</f>
        <v>135628</v>
      </c>
      <c r="J53" s="1" t="s">
        <v>34</v>
      </c>
      <c r="K53" s="1" t="s">
        <v>34</v>
      </c>
      <c r="L53" s="1" t="str">
        <f t="shared" si="2"/>
        <v>20220901</v>
      </c>
      <c r="M53" s="1" t="str">
        <f>"142459"</f>
        <v>142459</v>
      </c>
      <c r="N53" s="1" t="s">
        <v>28</v>
      </c>
      <c r="O53" s="1" t="s">
        <v>28</v>
      </c>
      <c r="P53" s="1" t="s">
        <v>55</v>
      </c>
      <c r="Q53" s="1">
        <v>25</v>
      </c>
      <c r="R53" s="1">
        <v>25</v>
      </c>
      <c r="S53" s="1">
        <v>0</v>
      </c>
      <c r="T53" s="1">
        <v>0</v>
      </c>
      <c r="U53" s="1">
        <v>0</v>
      </c>
      <c r="V53" s="1" t="str">
        <f t="shared" si="12"/>
        <v>里程返程</v>
      </c>
      <c r="W53" s="1" t="str">
        <f t="shared" si="13"/>
        <v>2020</v>
      </c>
      <c r="X53" s="1" t="s">
        <v>35</v>
      </c>
    </row>
    <row r="54" spans="1:24" x14ac:dyDescent="0.3">
      <c r="A54" s="1" t="str">
        <f t="shared" si="8"/>
        <v>59809</v>
      </c>
      <c r="B54" s="1" t="s">
        <v>42</v>
      </c>
      <c r="C54" s="1" t="s">
        <v>43</v>
      </c>
      <c r="D54" s="1" t="str">
        <f t="shared" si="11"/>
        <v>9803</v>
      </c>
      <c r="E54" s="1" t="s">
        <v>32</v>
      </c>
      <c r="F54" s="1" t="str">
        <f>"1215971749"</f>
        <v>1215971749</v>
      </c>
      <c r="G54" s="1" t="s">
        <v>38</v>
      </c>
      <c r="H54" s="1" t="str">
        <f t="shared" si="1"/>
        <v>20220901</v>
      </c>
      <c r="I54" s="1" t="str">
        <f>"135632"</f>
        <v>135632</v>
      </c>
      <c r="J54" s="1" t="s">
        <v>34</v>
      </c>
      <c r="K54" s="1" t="s">
        <v>34</v>
      </c>
      <c r="L54" s="1" t="str">
        <f t="shared" si="2"/>
        <v>20220901</v>
      </c>
      <c r="M54" s="1" t="str">
        <f>"142454"</f>
        <v>142454</v>
      </c>
      <c r="N54" s="1" t="s">
        <v>28</v>
      </c>
      <c r="O54" s="1" t="s">
        <v>28</v>
      </c>
      <c r="P54" s="1" t="s">
        <v>55</v>
      </c>
      <c r="Q54" s="1">
        <v>25</v>
      </c>
      <c r="R54" s="1">
        <v>25</v>
      </c>
      <c r="S54" s="1">
        <v>0</v>
      </c>
      <c r="T54" s="1">
        <v>0</v>
      </c>
      <c r="U54" s="1">
        <v>0</v>
      </c>
      <c r="V54" s="1" t="str">
        <f t="shared" si="12"/>
        <v>里程返程</v>
      </c>
      <c r="W54" s="1" t="str">
        <f t="shared" si="13"/>
        <v>2020</v>
      </c>
      <c r="X54" s="1" t="s">
        <v>35</v>
      </c>
    </row>
    <row r="55" spans="1:24" x14ac:dyDescent="0.3">
      <c r="A55" s="1" t="str">
        <f t="shared" si="8"/>
        <v>59809</v>
      </c>
      <c r="B55" s="1" t="s">
        <v>42</v>
      </c>
      <c r="C55" s="1" t="s">
        <v>43</v>
      </c>
      <c r="D55" s="1" t="str">
        <f t="shared" si="11"/>
        <v>9803</v>
      </c>
      <c r="E55" s="1" t="s">
        <v>32</v>
      </c>
      <c r="F55" s="1" t="str">
        <f>"1003273525"</f>
        <v>1003273525</v>
      </c>
      <c r="G55" s="1" t="s">
        <v>38</v>
      </c>
      <c r="H55" s="1" t="str">
        <f t="shared" si="1"/>
        <v>20220901</v>
      </c>
      <c r="I55" s="1" t="str">
        <f>"135634"</f>
        <v>135634</v>
      </c>
      <c r="J55" s="1" t="s">
        <v>34</v>
      </c>
      <c r="K55" s="1" t="s">
        <v>34</v>
      </c>
      <c r="L55" s="1" t="str">
        <f t="shared" si="2"/>
        <v>20220901</v>
      </c>
      <c r="M55" s="1" t="str">
        <f>"142617"</f>
        <v>142617</v>
      </c>
      <c r="N55" s="1" t="s">
        <v>28</v>
      </c>
      <c r="O55" s="1" t="s">
        <v>28</v>
      </c>
      <c r="P55" s="1" t="s">
        <v>55</v>
      </c>
      <c r="Q55" s="1">
        <v>25</v>
      </c>
      <c r="R55" s="1">
        <v>25</v>
      </c>
      <c r="S55" s="1">
        <v>0</v>
      </c>
      <c r="T55" s="1">
        <v>0</v>
      </c>
      <c r="U55" s="1">
        <v>0</v>
      </c>
      <c r="V55" s="1" t="str">
        <f t="shared" si="12"/>
        <v>里程返程</v>
      </c>
      <c r="W55" s="1" t="str">
        <f t="shared" si="13"/>
        <v>2020</v>
      </c>
      <c r="X55" s="1" t="s">
        <v>35</v>
      </c>
    </row>
    <row r="56" spans="1:24" x14ac:dyDescent="0.3">
      <c r="A56" s="1" t="str">
        <f t="shared" si="8"/>
        <v>59809</v>
      </c>
      <c r="B56" s="1" t="s">
        <v>42</v>
      </c>
      <c r="C56" s="1" t="s">
        <v>43</v>
      </c>
      <c r="D56" s="1" t="str">
        <f t="shared" si="11"/>
        <v>9803</v>
      </c>
      <c r="E56" s="1" t="s">
        <v>32</v>
      </c>
      <c r="F56" s="1" t="str">
        <f>"978470421"</f>
        <v>978470421</v>
      </c>
      <c r="G56" s="1" t="s">
        <v>38</v>
      </c>
      <c r="H56" s="1" t="str">
        <f t="shared" si="1"/>
        <v>20220901</v>
      </c>
      <c r="I56" s="1" t="str">
        <f>"135639"</f>
        <v>135639</v>
      </c>
      <c r="J56" s="1" t="s">
        <v>34</v>
      </c>
      <c r="K56" s="1" t="s">
        <v>34</v>
      </c>
      <c r="L56" s="1" t="str">
        <f t="shared" si="2"/>
        <v>20220901</v>
      </c>
      <c r="M56" s="1" t="str">
        <f>"142635"</f>
        <v>142635</v>
      </c>
      <c r="N56" s="1" t="s">
        <v>28</v>
      </c>
      <c r="O56" s="1" t="s">
        <v>28</v>
      </c>
      <c r="P56" s="1" t="s">
        <v>55</v>
      </c>
      <c r="Q56" s="1">
        <v>25</v>
      </c>
      <c r="R56" s="1">
        <v>25</v>
      </c>
      <c r="S56" s="1">
        <v>0</v>
      </c>
      <c r="T56" s="1">
        <v>0</v>
      </c>
      <c r="U56" s="1">
        <v>0</v>
      </c>
      <c r="V56" s="1" t="str">
        <f t="shared" si="12"/>
        <v>里程返程</v>
      </c>
      <c r="W56" s="1" t="str">
        <f t="shared" si="13"/>
        <v>2020</v>
      </c>
      <c r="X56" s="1" t="s">
        <v>35</v>
      </c>
    </row>
    <row r="57" spans="1:24" x14ac:dyDescent="0.3">
      <c r="A57" s="1" t="str">
        <f t="shared" si="8"/>
        <v>59809</v>
      </c>
      <c r="B57" s="1" t="s">
        <v>42</v>
      </c>
      <c r="C57" s="1" t="s">
        <v>43</v>
      </c>
      <c r="D57" s="1" t="str">
        <f t="shared" si="11"/>
        <v>9803</v>
      </c>
      <c r="E57" s="1" t="s">
        <v>32</v>
      </c>
      <c r="F57" s="1" t="str">
        <f>"818695153"</f>
        <v>818695153</v>
      </c>
      <c r="G57" s="1" t="s">
        <v>33</v>
      </c>
      <c r="H57" s="1" t="str">
        <f t="shared" si="1"/>
        <v>20220901</v>
      </c>
      <c r="I57" s="1" t="str">
        <f>"135654"</f>
        <v>135654</v>
      </c>
      <c r="J57" s="1" t="s">
        <v>34</v>
      </c>
      <c r="K57" s="1" t="s">
        <v>34</v>
      </c>
      <c r="L57" s="1" t="str">
        <f t="shared" si="2"/>
        <v>20220901</v>
      </c>
      <c r="M57" s="1" t="str">
        <f>"142609"</f>
        <v>142609</v>
      </c>
      <c r="N57" s="1" t="s">
        <v>28</v>
      </c>
      <c r="O57" s="1" t="s">
        <v>28</v>
      </c>
      <c r="P57" s="1" t="s">
        <v>55</v>
      </c>
      <c r="Q57" s="1">
        <v>25</v>
      </c>
      <c r="R57" s="1">
        <v>25</v>
      </c>
      <c r="S57" s="1">
        <v>0</v>
      </c>
      <c r="T57" s="1">
        <v>0</v>
      </c>
      <c r="U57" s="1">
        <v>0</v>
      </c>
      <c r="V57" s="1" t="str">
        <f t="shared" si="12"/>
        <v>里程返程</v>
      </c>
      <c r="W57" s="1" t="str">
        <f>"0220"</f>
        <v>0220</v>
      </c>
      <c r="X57" s="1" t="s">
        <v>35</v>
      </c>
    </row>
    <row r="58" spans="1:24" x14ac:dyDescent="0.3">
      <c r="A58" s="1" t="str">
        <f t="shared" si="8"/>
        <v>59809</v>
      </c>
      <c r="B58" s="1" t="s">
        <v>42</v>
      </c>
      <c r="C58" s="1" t="s">
        <v>43</v>
      </c>
      <c r="D58" s="1" t="str">
        <f t="shared" si="11"/>
        <v>9803</v>
      </c>
      <c r="E58" s="1" t="s">
        <v>32</v>
      </c>
      <c r="F58" s="1" t="str">
        <f>"616030033"</f>
        <v>616030033</v>
      </c>
      <c r="G58" s="1" t="s">
        <v>33</v>
      </c>
      <c r="H58" s="1" t="str">
        <f t="shared" si="1"/>
        <v>20220901</v>
      </c>
      <c r="I58" s="1" t="str">
        <f>"135701"</f>
        <v>135701</v>
      </c>
      <c r="J58" s="1" t="s">
        <v>34</v>
      </c>
      <c r="K58" s="1" t="s">
        <v>34</v>
      </c>
      <c r="L58" s="1" t="str">
        <f t="shared" si="2"/>
        <v>20220901</v>
      </c>
      <c r="M58" s="1" t="str">
        <f>"142550"</f>
        <v>142550</v>
      </c>
      <c r="N58" s="1" t="s">
        <v>28</v>
      </c>
      <c r="O58" s="1" t="s">
        <v>28</v>
      </c>
      <c r="P58" s="1" t="s">
        <v>55</v>
      </c>
      <c r="Q58" s="1">
        <v>25</v>
      </c>
      <c r="R58" s="1">
        <v>25</v>
      </c>
      <c r="S58" s="1">
        <v>0</v>
      </c>
      <c r="T58" s="1">
        <v>0</v>
      </c>
      <c r="U58" s="1">
        <v>0</v>
      </c>
      <c r="V58" s="1" t="str">
        <f t="shared" si="12"/>
        <v>里程返程</v>
      </c>
      <c r="W58" s="1" t="str">
        <f>"0820"</f>
        <v>0820</v>
      </c>
      <c r="X58" s="1" t="s">
        <v>35</v>
      </c>
    </row>
    <row r="59" spans="1:24" x14ac:dyDescent="0.3">
      <c r="A59" s="1" t="str">
        <f t="shared" si="8"/>
        <v>59809</v>
      </c>
      <c r="B59" s="1" t="s">
        <v>42</v>
      </c>
      <c r="C59" s="1" t="s">
        <v>43</v>
      </c>
      <c r="D59" s="1" t="str">
        <f t="shared" si="11"/>
        <v>9803</v>
      </c>
      <c r="E59" s="1" t="s">
        <v>32</v>
      </c>
      <c r="F59" s="1" t="str">
        <f>"1690618101"</f>
        <v>1690618101</v>
      </c>
      <c r="G59" s="1" t="s">
        <v>33</v>
      </c>
      <c r="H59" s="1" t="str">
        <f t="shared" si="1"/>
        <v>20220901</v>
      </c>
      <c r="I59" s="1" t="str">
        <f>"135706"</f>
        <v>135706</v>
      </c>
      <c r="J59" s="1" t="s">
        <v>34</v>
      </c>
      <c r="K59" s="1" t="s">
        <v>34</v>
      </c>
      <c r="L59" s="1" t="str">
        <f t="shared" si="2"/>
        <v>20220901</v>
      </c>
      <c r="M59" s="1" t="str">
        <f>"142629"</f>
        <v>142629</v>
      </c>
      <c r="N59" s="1" t="s">
        <v>28</v>
      </c>
      <c r="O59" s="1" t="s">
        <v>28</v>
      </c>
      <c r="P59" s="1" t="s">
        <v>55</v>
      </c>
      <c r="Q59" s="1">
        <v>25</v>
      </c>
      <c r="R59" s="1">
        <v>25</v>
      </c>
      <c r="S59" s="1">
        <v>0</v>
      </c>
      <c r="T59" s="1">
        <v>0</v>
      </c>
      <c r="U59" s="1">
        <v>0</v>
      </c>
      <c r="V59" s="1" t="str">
        <f t="shared" si="12"/>
        <v>里程返程</v>
      </c>
      <c r="W59" s="1" t="str">
        <f>"0120"</f>
        <v>0120</v>
      </c>
      <c r="X59" s="1" t="s">
        <v>35</v>
      </c>
    </row>
    <row r="60" spans="1:24" x14ac:dyDescent="0.3">
      <c r="A60" s="1" t="str">
        <f t="shared" si="8"/>
        <v>59809</v>
      </c>
      <c r="B60" s="1" t="s">
        <v>42</v>
      </c>
      <c r="C60" s="1" t="s">
        <v>43</v>
      </c>
      <c r="D60" s="1" t="str">
        <f t="shared" si="11"/>
        <v>9803</v>
      </c>
      <c r="E60" s="1" t="s">
        <v>32</v>
      </c>
      <c r="F60" s="1" t="str">
        <f>"42FAC50F7228040080CEBA164D212018"</f>
        <v>42FAC50F7228040080CEBA164D212018</v>
      </c>
      <c r="G60" s="1" t="s">
        <v>59</v>
      </c>
      <c r="H60" s="1" t="str">
        <f t="shared" si="1"/>
        <v>20220901</v>
      </c>
      <c r="I60" s="1" t="str">
        <f>"135717"</f>
        <v>135717</v>
      </c>
      <c r="J60" s="1" t="s">
        <v>34</v>
      </c>
      <c r="K60" s="1" t="s">
        <v>34</v>
      </c>
      <c r="L60" s="1" t="str">
        <f t="shared" si="2"/>
        <v>20220901</v>
      </c>
      <c r="M60" s="1" t="str">
        <f>"142622"</f>
        <v>142622</v>
      </c>
      <c r="N60" s="1" t="s">
        <v>28</v>
      </c>
      <c r="O60" s="1" t="s">
        <v>28</v>
      </c>
      <c r="P60" s="1" t="s">
        <v>55</v>
      </c>
      <c r="Q60" s="1">
        <v>25</v>
      </c>
      <c r="R60" s="1">
        <v>25</v>
      </c>
      <c r="S60" s="1">
        <v>0</v>
      </c>
      <c r="T60" s="1">
        <v>0</v>
      </c>
      <c r="U60" s="1">
        <v>0</v>
      </c>
      <c r="V60" s="1" t="str">
        <f t="shared" si="12"/>
        <v>里程返程</v>
      </c>
      <c r="W60" s="1" t="str">
        <f>"0020"</f>
        <v>0020</v>
      </c>
      <c r="X60" s="1" t="s">
        <v>29</v>
      </c>
    </row>
    <row r="61" spans="1:24" x14ac:dyDescent="0.3">
      <c r="A61" s="1" t="str">
        <f t="shared" si="8"/>
        <v>59809</v>
      </c>
      <c r="B61" s="1" t="s">
        <v>42</v>
      </c>
      <c r="C61" s="1" t="s">
        <v>43</v>
      </c>
      <c r="D61" s="1" t="str">
        <f t="shared" si="11"/>
        <v>9803</v>
      </c>
      <c r="E61" s="1" t="s">
        <v>32</v>
      </c>
      <c r="F61" s="1" t="str">
        <f>"1263698149"</f>
        <v>1263698149</v>
      </c>
      <c r="G61" s="1" t="s">
        <v>33</v>
      </c>
      <c r="H61" s="1" t="str">
        <f t="shared" si="1"/>
        <v>20220901</v>
      </c>
      <c r="I61" s="1" t="str">
        <f>"135728"</f>
        <v>135728</v>
      </c>
      <c r="J61" s="1" t="s">
        <v>34</v>
      </c>
      <c r="K61" s="1" t="s">
        <v>34</v>
      </c>
      <c r="L61" s="1" t="str">
        <f t="shared" si="2"/>
        <v>20220901</v>
      </c>
      <c r="M61" s="1" t="str">
        <f>"142545"</f>
        <v>142545</v>
      </c>
      <c r="N61" s="1" t="s">
        <v>28</v>
      </c>
      <c r="O61" s="1" t="s">
        <v>28</v>
      </c>
      <c r="P61" s="1" t="s">
        <v>55</v>
      </c>
      <c r="Q61" s="1">
        <v>25</v>
      </c>
      <c r="R61" s="1">
        <v>25</v>
      </c>
      <c r="S61" s="1">
        <v>0</v>
      </c>
      <c r="T61" s="1">
        <v>0</v>
      </c>
      <c r="U61" s="1">
        <v>0</v>
      </c>
      <c r="V61" s="1" t="str">
        <f t="shared" si="12"/>
        <v>里程返程</v>
      </c>
      <c r="W61" s="1" t="str">
        <f>"0120"</f>
        <v>0120</v>
      </c>
      <c r="X61" s="1" t="s">
        <v>35</v>
      </c>
    </row>
    <row r="62" spans="1:24" x14ac:dyDescent="0.3">
      <c r="A62" s="1" t="str">
        <f t="shared" si="8"/>
        <v>59809</v>
      </c>
      <c r="B62" s="1" t="s">
        <v>42</v>
      </c>
      <c r="C62" s="1" t="s">
        <v>43</v>
      </c>
      <c r="D62" s="1" t="str">
        <f t="shared" si="11"/>
        <v>9803</v>
      </c>
      <c r="E62" s="1" t="s">
        <v>32</v>
      </c>
      <c r="F62" s="1" t="str">
        <f>"127DE31599880400C810002000000019"</f>
        <v>127DE31599880400C810002000000019</v>
      </c>
      <c r="G62" s="1" t="s">
        <v>59</v>
      </c>
      <c r="H62" s="1" t="str">
        <f t="shared" si="1"/>
        <v>20220901</v>
      </c>
      <c r="I62" s="1" t="str">
        <f>"135733"</f>
        <v>135733</v>
      </c>
      <c r="J62" s="1" t="s">
        <v>34</v>
      </c>
      <c r="K62" s="1" t="s">
        <v>34</v>
      </c>
      <c r="L62" s="1" t="str">
        <f t="shared" si="2"/>
        <v>20220901</v>
      </c>
      <c r="M62" s="1" t="str">
        <f>"142603"</f>
        <v>142603</v>
      </c>
      <c r="N62" s="1" t="s">
        <v>28</v>
      </c>
      <c r="O62" s="1" t="s">
        <v>28</v>
      </c>
      <c r="P62" s="1" t="s">
        <v>55</v>
      </c>
      <c r="Q62" s="1">
        <v>25</v>
      </c>
      <c r="R62" s="1">
        <v>25</v>
      </c>
      <c r="S62" s="1">
        <v>0</v>
      </c>
      <c r="T62" s="1">
        <v>0</v>
      </c>
      <c r="U62" s="1">
        <v>0</v>
      </c>
      <c r="V62" s="1" t="str">
        <f t="shared" si="12"/>
        <v>里程返程</v>
      </c>
      <c r="W62" s="1" t="str">
        <f>"0020"</f>
        <v>0020</v>
      </c>
      <c r="X62" s="1" t="s">
        <v>29</v>
      </c>
    </row>
    <row r="63" spans="1:24" x14ac:dyDescent="0.3">
      <c r="A63" s="1" t="str">
        <f t="shared" si="8"/>
        <v>59809</v>
      </c>
      <c r="B63" s="1" t="s">
        <v>42</v>
      </c>
      <c r="C63" s="1" t="s">
        <v>43</v>
      </c>
      <c r="D63" s="1" t="str">
        <f t="shared" si="11"/>
        <v>9803</v>
      </c>
      <c r="E63" s="1" t="s">
        <v>32</v>
      </c>
      <c r="F63" s="1" t="str">
        <f>"1148319957"</f>
        <v>1148319957</v>
      </c>
      <c r="G63" s="1" t="s">
        <v>38</v>
      </c>
      <c r="H63" s="1" t="str">
        <f t="shared" si="1"/>
        <v>20220901</v>
      </c>
      <c r="I63" s="1" t="str">
        <f>"135843"</f>
        <v>135843</v>
      </c>
      <c r="J63" s="1" t="s">
        <v>34</v>
      </c>
      <c r="K63" s="1" t="s">
        <v>34</v>
      </c>
      <c r="L63" s="1" t="str">
        <f t="shared" si="2"/>
        <v>20220901</v>
      </c>
      <c r="M63" s="1" t="str">
        <f>"142601"</f>
        <v>142601</v>
      </c>
      <c r="N63" s="1" t="s">
        <v>28</v>
      </c>
      <c r="O63" s="1" t="s">
        <v>28</v>
      </c>
      <c r="P63" s="1" t="s">
        <v>55</v>
      </c>
      <c r="Q63" s="1">
        <v>25</v>
      </c>
      <c r="R63" s="1">
        <v>25</v>
      </c>
      <c r="S63" s="1">
        <v>0</v>
      </c>
      <c r="T63" s="1">
        <v>0</v>
      </c>
      <c r="U63" s="1">
        <v>0</v>
      </c>
      <c r="V63" s="1" t="str">
        <f t="shared" si="12"/>
        <v>里程返程</v>
      </c>
      <c r="W63" s="1" t="str">
        <f>"2020"</f>
        <v>2020</v>
      </c>
      <c r="X63" s="1" t="s">
        <v>35</v>
      </c>
    </row>
    <row r="64" spans="1:24" x14ac:dyDescent="0.3">
      <c r="A64" s="1" t="str">
        <f t="shared" si="8"/>
        <v>59809</v>
      </c>
      <c r="B64" s="1" t="s">
        <v>42</v>
      </c>
      <c r="C64" s="1" t="s">
        <v>43</v>
      </c>
      <c r="D64" s="1" t="str">
        <f t="shared" si="11"/>
        <v>9803</v>
      </c>
      <c r="E64" s="1" t="s">
        <v>32</v>
      </c>
      <c r="F64" s="1" t="str">
        <f>"268326785"</f>
        <v>268326785</v>
      </c>
      <c r="G64" s="1" t="s">
        <v>33</v>
      </c>
      <c r="H64" s="1" t="str">
        <f t="shared" si="1"/>
        <v>20220901</v>
      </c>
      <c r="I64" s="1" t="str">
        <f>"135854"</f>
        <v>135854</v>
      </c>
      <c r="J64" s="1" t="s">
        <v>34</v>
      </c>
      <c r="K64" s="1" t="s">
        <v>34</v>
      </c>
      <c r="L64" s="1" t="str">
        <f t="shared" si="2"/>
        <v>20220901</v>
      </c>
      <c r="M64" s="1" t="str">
        <f>"142539"</f>
        <v>142539</v>
      </c>
      <c r="N64" s="1" t="s">
        <v>28</v>
      </c>
      <c r="O64" s="1" t="s">
        <v>28</v>
      </c>
      <c r="P64" s="1" t="s">
        <v>55</v>
      </c>
      <c r="Q64" s="1">
        <v>25</v>
      </c>
      <c r="R64" s="1">
        <v>25</v>
      </c>
      <c r="S64" s="1">
        <v>0</v>
      </c>
      <c r="T64" s="1">
        <v>0</v>
      </c>
      <c r="U64" s="1">
        <v>0</v>
      </c>
      <c r="V64" s="1" t="str">
        <f t="shared" si="12"/>
        <v>里程返程</v>
      </c>
      <c r="W64" s="1" t="str">
        <f>"0820"</f>
        <v>0820</v>
      </c>
      <c r="X64" s="1" t="s">
        <v>35</v>
      </c>
    </row>
    <row r="65" spans="1:24" x14ac:dyDescent="0.3">
      <c r="A65" s="1" t="str">
        <f t="shared" si="8"/>
        <v>59809</v>
      </c>
      <c r="B65" s="1" t="s">
        <v>42</v>
      </c>
      <c r="C65" s="1" t="s">
        <v>43</v>
      </c>
      <c r="D65" s="1" t="str">
        <f t="shared" si="11"/>
        <v>9803</v>
      </c>
      <c r="E65" s="1" t="s">
        <v>32</v>
      </c>
      <c r="F65" s="1" t="str">
        <f>"1173593765"</f>
        <v>1173593765</v>
      </c>
      <c r="G65" s="1" t="s">
        <v>38</v>
      </c>
      <c r="H65" s="1" t="str">
        <f t="shared" si="1"/>
        <v>20220901</v>
      </c>
      <c r="I65" s="1" t="str">
        <f>"135907"</f>
        <v>135907</v>
      </c>
      <c r="J65" s="1" t="s">
        <v>34</v>
      </c>
      <c r="K65" s="1" t="s">
        <v>34</v>
      </c>
      <c r="L65" s="1" t="str">
        <f t="shared" si="2"/>
        <v>20220901</v>
      </c>
      <c r="M65" s="1" t="str">
        <f>"142530"</f>
        <v>142530</v>
      </c>
      <c r="N65" s="1" t="s">
        <v>28</v>
      </c>
      <c r="O65" s="1" t="s">
        <v>28</v>
      </c>
      <c r="P65" s="1" t="s">
        <v>55</v>
      </c>
      <c r="Q65" s="1">
        <v>25</v>
      </c>
      <c r="R65" s="1">
        <v>25</v>
      </c>
      <c r="S65" s="1">
        <v>0</v>
      </c>
      <c r="T65" s="1">
        <v>0</v>
      </c>
      <c r="U65" s="1">
        <v>0</v>
      </c>
      <c r="V65" s="1" t="str">
        <f t="shared" si="12"/>
        <v>里程返程</v>
      </c>
      <c r="W65" s="1" t="str">
        <f>"2020"</f>
        <v>2020</v>
      </c>
      <c r="X65" s="1" t="s">
        <v>35</v>
      </c>
    </row>
    <row r="66" spans="1:24" x14ac:dyDescent="0.3">
      <c r="A66" s="1" t="str">
        <f t="shared" ref="A66:A76" si="14">"59809"</f>
        <v>59809</v>
      </c>
      <c r="B66" s="1" t="s">
        <v>42</v>
      </c>
      <c r="C66" s="1" t="s">
        <v>43</v>
      </c>
      <c r="D66" s="1" t="str">
        <f t="shared" si="11"/>
        <v>9803</v>
      </c>
      <c r="E66" s="1" t="s">
        <v>32</v>
      </c>
      <c r="F66" s="1" t="str">
        <f>"A21B4A13E028040080CED9985D913018"</f>
        <v>A21B4A13E028040080CED9985D913018</v>
      </c>
      <c r="G66" s="1" t="s">
        <v>59</v>
      </c>
      <c r="H66" s="1" t="str">
        <f t="shared" ref="H66:H129" si="15">"20220901"</f>
        <v>20220901</v>
      </c>
      <c r="I66" s="1" t="str">
        <f>"135915"</f>
        <v>135915</v>
      </c>
      <c r="J66" s="1" t="s">
        <v>34</v>
      </c>
      <c r="K66" s="1" t="s">
        <v>34</v>
      </c>
      <c r="L66" s="1" t="str">
        <f t="shared" ref="L66:L129" si="16">"20220901"</f>
        <v>20220901</v>
      </c>
      <c r="M66" s="1" t="str">
        <f>"142524"</f>
        <v>142524</v>
      </c>
      <c r="N66" s="1" t="s">
        <v>28</v>
      </c>
      <c r="O66" s="1" t="s">
        <v>28</v>
      </c>
      <c r="P66" s="1" t="s">
        <v>55</v>
      </c>
      <c r="Q66" s="1">
        <v>25</v>
      </c>
      <c r="R66" s="1">
        <v>25</v>
      </c>
      <c r="S66" s="1">
        <v>0</v>
      </c>
      <c r="T66" s="1">
        <v>0</v>
      </c>
      <c r="U66" s="1">
        <v>0</v>
      </c>
      <c r="V66" s="1" t="str">
        <f t="shared" si="12"/>
        <v>里程返程</v>
      </c>
      <c r="W66" s="1" t="str">
        <f>"0020"</f>
        <v>0020</v>
      </c>
      <c r="X66" s="1" t="s">
        <v>29</v>
      </c>
    </row>
    <row r="67" spans="1:24" x14ac:dyDescent="0.3">
      <c r="A67" s="1" t="str">
        <f t="shared" si="14"/>
        <v>59809</v>
      </c>
      <c r="B67" s="1" t="s">
        <v>42</v>
      </c>
      <c r="C67" s="1" t="s">
        <v>43</v>
      </c>
      <c r="D67" s="1" t="str">
        <f t="shared" si="11"/>
        <v>9803</v>
      </c>
      <c r="E67" s="1" t="s">
        <v>32</v>
      </c>
      <c r="F67" s="1" t="str">
        <f>"1105520677"</f>
        <v>1105520677</v>
      </c>
      <c r="G67" s="1" t="s">
        <v>38</v>
      </c>
      <c r="H67" s="1" t="str">
        <f t="shared" si="15"/>
        <v>20220901</v>
      </c>
      <c r="I67" s="1" t="str">
        <f>"135923"</f>
        <v>135923</v>
      </c>
      <c r="J67" s="1" t="s">
        <v>34</v>
      </c>
      <c r="K67" s="1" t="s">
        <v>34</v>
      </c>
      <c r="L67" s="1" t="str">
        <f t="shared" si="16"/>
        <v>20220901</v>
      </c>
      <c r="M67" s="1" t="str">
        <f>"142518"</f>
        <v>142518</v>
      </c>
      <c r="N67" s="1" t="s">
        <v>28</v>
      </c>
      <c r="O67" s="1" t="s">
        <v>28</v>
      </c>
      <c r="P67" s="1" t="s">
        <v>55</v>
      </c>
      <c r="Q67" s="1">
        <v>25</v>
      </c>
      <c r="R67" s="1">
        <v>25</v>
      </c>
      <c r="S67" s="1">
        <v>0</v>
      </c>
      <c r="T67" s="1">
        <v>0</v>
      </c>
      <c r="U67" s="1">
        <v>0</v>
      </c>
      <c r="V67" s="1" t="str">
        <f t="shared" si="12"/>
        <v>里程返程</v>
      </c>
      <c r="W67" s="1" t="str">
        <f t="shared" ref="W67:W72" si="17">"2020"</f>
        <v>2020</v>
      </c>
      <c r="X67" s="1" t="s">
        <v>35</v>
      </c>
    </row>
    <row r="68" spans="1:24" x14ac:dyDescent="0.3">
      <c r="A68" s="1" t="str">
        <f t="shared" si="14"/>
        <v>59809</v>
      </c>
      <c r="B68" s="1" t="s">
        <v>42</v>
      </c>
      <c r="C68" s="1" t="s">
        <v>43</v>
      </c>
      <c r="D68" s="1" t="str">
        <f t="shared" si="11"/>
        <v>9803</v>
      </c>
      <c r="E68" s="1" t="s">
        <v>32</v>
      </c>
      <c r="F68" s="1" t="str">
        <f>"772072129"</f>
        <v>772072129</v>
      </c>
      <c r="G68" s="1" t="s">
        <v>33</v>
      </c>
      <c r="H68" s="1" t="str">
        <f t="shared" si="15"/>
        <v>20220901</v>
      </c>
      <c r="I68" s="1" t="str">
        <f>"135930"</f>
        <v>135930</v>
      </c>
      <c r="J68" s="1" t="s">
        <v>34</v>
      </c>
      <c r="K68" s="1" t="s">
        <v>34</v>
      </c>
      <c r="L68" s="1" t="str">
        <f t="shared" si="16"/>
        <v>20220901</v>
      </c>
      <c r="M68" s="1" t="str">
        <f>"142513"</f>
        <v>142513</v>
      </c>
      <c r="N68" s="1" t="s">
        <v>28</v>
      </c>
      <c r="O68" s="1" t="s">
        <v>28</v>
      </c>
      <c r="P68" s="1" t="s">
        <v>55</v>
      </c>
      <c r="Q68" s="1">
        <v>25</v>
      </c>
      <c r="R68" s="1">
        <v>25</v>
      </c>
      <c r="S68" s="1">
        <v>0</v>
      </c>
      <c r="T68" s="1">
        <v>0</v>
      </c>
      <c r="U68" s="1">
        <v>0</v>
      </c>
      <c r="V68" s="1" t="str">
        <f t="shared" si="12"/>
        <v>里程返程</v>
      </c>
      <c r="W68" s="1" t="str">
        <f t="shared" si="17"/>
        <v>2020</v>
      </c>
      <c r="X68" s="1" t="s">
        <v>35</v>
      </c>
    </row>
    <row r="69" spans="1:24" x14ac:dyDescent="0.3">
      <c r="A69" s="1" t="str">
        <f t="shared" si="14"/>
        <v>59809</v>
      </c>
      <c r="B69" s="1" t="s">
        <v>42</v>
      </c>
      <c r="C69" s="1" t="s">
        <v>43</v>
      </c>
      <c r="D69" s="1" t="str">
        <f t="shared" si="11"/>
        <v>9803</v>
      </c>
      <c r="E69" s="1" t="s">
        <v>32</v>
      </c>
      <c r="F69" s="1" t="str">
        <f>"3363474575"</f>
        <v>3363474575</v>
      </c>
      <c r="G69" s="1" t="s">
        <v>33</v>
      </c>
      <c r="H69" s="1" t="str">
        <f t="shared" si="15"/>
        <v>20220901</v>
      </c>
      <c r="I69" s="1" t="str">
        <f>"135938"</f>
        <v>135938</v>
      </c>
      <c r="J69" s="1" t="s">
        <v>34</v>
      </c>
      <c r="K69" s="1" t="s">
        <v>34</v>
      </c>
      <c r="L69" s="1" t="str">
        <f t="shared" si="16"/>
        <v>20220901</v>
      </c>
      <c r="M69" s="1" t="str">
        <f>"142509"</f>
        <v>142509</v>
      </c>
      <c r="N69" s="1" t="s">
        <v>28</v>
      </c>
      <c r="O69" s="1" t="s">
        <v>28</v>
      </c>
      <c r="P69" s="1" t="s">
        <v>55</v>
      </c>
      <c r="Q69" s="1">
        <v>25</v>
      </c>
      <c r="R69" s="1">
        <v>25</v>
      </c>
      <c r="S69" s="1">
        <v>0</v>
      </c>
      <c r="T69" s="1">
        <v>0</v>
      </c>
      <c r="U69" s="1">
        <v>0</v>
      </c>
      <c r="V69" s="1" t="str">
        <f t="shared" si="12"/>
        <v>里程返程</v>
      </c>
      <c r="W69" s="1" t="str">
        <f t="shared" si="17"/>
        <v>2020</v>
      </c>
      <c r="X69" s="1" t="s">
        <v>35</v>
      </c>
    </row>
    <row r="70" spans="1:24" x14ac:dyDescent="0.3">
      <c r="A70" s="1" t="str">
        <f t="shared" si="14"/>
        <v>59809</v>
      </c>
      <c r="B70" s="1" t="s">
        <v>42</v>
      </c>
      <c r="C70" s="1" t="s">
        <v>43</v>
      </c>
      <c r="D70" s="1" t="str">
        <f t="shared" si="11"/>
        <v>9803</v>
      </c>
      <c r="E70" s="1" t="s">
        <v>32</v>
      </c>
      <c r="F70" s="1" t="str">
        <f>"629895761"</f>
        <v>629895761</v>
      </c>
      <c r="G70" s="1" t="s">
        <v>33</v>
      </c>
      <c r="H70" s="1" t="str">
        <f t="shared" si="15"/>
        <v>20220901</v>
      </c>
      <c r="I70" s="1" t="str">
        <f>"135949"</f>
        <v>135949</v>
      </c>
      <c r="J70" s="1" t="s">
        <v>34</v>
      </c>
      <c r="K70" s="1" t="s">
        <v>34</v>
      </c>
      <c r="L70" s="1" t="str">
        <f t="shared" si="16"/>
        <v>20220901</v>
      </c>
      <c r="M70" s="1" t="str">
        <f>"142503"</f>
        <v>142503</v>
      </c>
      <c r="N70" s="1" t="s">
        <v>28</v>
      </c>
      <c r="O70" s="1" t="s">
        <v>28</v>
      </c>
      <c r="P70" s="1" t="s">
        <v>55</v>
      </c>
      <c r="Q70" s="1">
        <v>25</v>
      </c>
      <c r="R70" s="1">
        <v>25</v>
      </c>
      <c r="S70" s="1">
        <v>0</v>
      </c>
      <c r="T70" s="1">
        <v>0</v>
      </c>
      <c r="U70" s="1">
        <v>0</v>
      </c>
      <c r="V70" s="1" t="str">
        <f t="shared" si="12"/>
        <v>里程返程</v>
      </c>
      <c r="W70" s="1" t="str">
        <f t="shared" si="17"/>
        <v>2020</v>
      </c>
      <c r="X70" s="1" t="s">
        <v>35</v>
      </c>
    </row>
    <row r="71" spans="1:24" x14ac:dyDescent="0.3">
      <c r="A71" s="1" t="str">
        <f t="shared" si="14"/>
        <v>59809</v>
      </c>
      <c r="B71" s="1" t="s">
        <v>42</v>
      </c>
      <c r="C71" s="1" t="s">
        <v>43</v>
      </c>
      <c r="D71" s="1" t="str">
        <f t="shared" si="11"/>
        <v>9803</v>
      </c>
      <c r="E71" s="1" t="s">
        <v>32</v>
      </c>
      <c r="F71" s="1" t="str">
        <f>"3128332998"</f>
        <v>3128332998</v>
      </c>
      <c r="G71" s="1" t="s">
        <v>33</v>
      </c>
      <c r="H71" s="1" t="str">
        <f t="shared" si="15"/>
        <v>20220901</v>
      </c>
      <c r="I71" s="1" t="str">
        <f>"140239"</f>
        <v>140239</v>
      </c>
      <c r="J71" s="1" t="s">
        <v>34</v>
      </c>
      <c r="K71" s="1" t="s">
        <v>34</v>
      </c>
      <c r="L71" s="1" t="str">
        <f t="shared" si="16"/>
        <v>20220901</v>
      </c>
      <c r="M71" s="1" t="str">
        <f>"142438"</f>
        <v>142438</v>
      </c>
      <c r="N71" s="1" t="s">
        <v>28</v>
      </c>
      <c r="O71" s="1" t="s">
        <v>28</v>
      </c>
      <c r="P71" s="1" t="s">
        <v>55</v>
      </c>
      <c r="Q71" s="1">
        <v>25</v>
      </c>
      <c r="R71" s="1">
        <v>25</v>
      </c>
      <c r="S71" s="1">
        <v>0</v>
      </c>
      <c r="T71" s="1">
        <v>0</v>
      </c>
      <c r="U71" s="1">
        <v>0</v>
      </c>
      <c r="V71" s="1" t="str">
        <f t="shared" si="12"/>
        <v>里程返程</v>
      </c>
      <c r="W71" s="1" t="str">
        <f t="shared" si="17"/>
        <v>2020</v>
      </c>
      <c r="X71" s="1" t="s">
        <v>35</v>
      </c>
    </row>
    <row r="72" spans="1:24" x14ac:dyDescent="0.3">
      <c r="A72" s="1" t="str">
        <f t="shared" si="14"/>
        <v>59809</v>
      </c>
      <c r="B72" s="1" t="s">
        <v>42</v>
      </c>
      <c r="C72" s="1" t="s">
        <v>43</v>
      </c>
      <c r="D72" s="1" t="str">
        <f t="shared" ref="D72:D78" si="18">"9805"</f>
        <v>9805</v>
      </c>
      <c r="E72" s="1" t="s">
        <v>57</v>
      </c>
      <c r="F72" s="1" t="str">
        <f>"1737283381"</f>
        <v>1737283381</v>
      </c>
      <c r="G72" s="1" t="s">
        <v>33</v>
      </c>
      <c r="H72" s="1" t="str">
        <f t="shared" si="15"/>
        <v>20220901</v>
      </c>
      <c r="I72" s="1" t="str">
        <f>"151551"</f>
        <v>151551</v>
      </c>
      <c r="J72" s="1" t="s">
        <v>28</v>
      </c>
      <c r="K72" s="1" t="s">
        <v>28</v>
      </c>
      <c r="L72" s="1" t="str">
        <f t="shared" si="16"/>
        <v>20220901</v>
      </c>
      <c r="M72" s="1" t="str">
        <f>"153038"</f>
        <v>153038</v>
      </c>
      <c r="N72" s="1" t="s">
        <v>62</v>
      </c>
      <c r="O72" s="1" t="s">
        <v>28</v>
      </c>
      <c r="P72" s="1" t="s">
        <v>55</v>
      </c>
      <c r="Q72" s="1">
        <v>25</v>
      </c>
      <c r="R72" s="1">
        <v>25</v>
      </c>
      <c r="S72" s="1">
        <v>0</v>
      </c>
      <c r="T72" s="1">
        <v>0</v>
      </c>
      <c r="U72" s="1">
        <v>0</v>
      </c>
      <c r="V72" s="1" t="str">
        <f t="shared" ref="V72:V115" si="19">"里程去程"</f>
        <v>里程去程</v>
      </c>
      <c r="W72" s="1" t="str">
        <f t="shared" si="17"/>
        <v>2020</v>
      </c>
      <c r="X72" s="1" t="s">
        <v>35</v>
      </c>
    </row>
    <row r="73" spans="1:24" x14ac:dyDescent="0.3">
      <c r="A73" s="1" t="str">
        <f t="shared" si="14"/>
        <v>59809</v>
      </c>
      <c r="B73" s="1" t="s">
        <v>42</v>
      </c>
      <c r="C73" s="1" t="s">
        <v>43</v>
      </c>
      <c r="D73" s="1" t="str">
        <f t="shared" si="18"/>
        <v>9805</v>
      </c>
      <c r="E73" s="1" t="s">
        <v>57</v>
      </c>
      <c r="F73" s="1" t="str">
        <f>"800275953"</f>
        <v>800275953</v>
      </c>
      <c r="G73" s="1" t="s">
        <v>33</v>
      </c>
      <c r="H73" s="1" t="str">
        <f t="shared" si="15"/>
        <v>20220901</v>
      </c>
      <c r="I73" s="1" t="str">
        <f>"151603"</f>
        <v>151603</v>
      </c>
      <c r="J73" s="1" t="s">
        <v>28</v>
      </c>
      <c r="K73" s="1" t="s">
        <v>28</v>
      </c>
      <c r="L73" s="1" t="str">
        <f t="shared" si="16"/>
        <v>20220901</v>
      </c>
      <c r="M73" s="1" t="str">
        <f>"153238"</f>
        <v>153238</v>
      </c>
      <c r="N73" s="1" t="s">
        <v>52</v>
      </c>
      <c r="O73" s="1" t="s">
        <v>52</v>
      </c>
      <c r="P73" s="1" t="s">
        <v>55</v>
      </c>
      <c r="Q73" s="1">
        <v>25</v>
      </c>
      <c r="R73" s="1">
        <v>25</v>
      </c>
      <c r="S73" s="1">
        <v>0</v>
      </c>
      <c r="T73" s="1">
        <v>0</v>
      </c>
      <c r="U73" s="1">
        <v>0</v>
      </c>
      <c r="V73" s="1" t="str">
        <f t="shared" si="19"/>
        <v>里程去程</v>
      </c>
      <c r="W73" s="1" t="str">
        <f>"1920"</f>
        <v>1920</v>
      </c>
      <c r="X73" s="1" t="s">
        <v>35</v>
      </c>
    </row>
    <row r="74" spans="1:24" x14ac:dyDescent="0.3">
      <c r="A74" s="1" t="str">
        <f t="shared" si="14"/>
        <v>59809</v>
      </c>
      <c r="B74" s="1" t="s">
        <v>42</v>
      </c>
      <c r="C74" s="1" t="s">
        <v>43</v>
      </c>
      <c r="D74" s="1" t="str">
        <f t="shared" si="18"/>
        <v>9805</v>
      </c>
      <c r="E74" s="1" t="s">
        <v>57</v>
      </c>
      <c r="F74" s="1" t="str">
        <f>"F2C9D006ED880400C838002000000015"</f>
        <v>F2C9D006ED880400C838002000000015</v>
      </c>
      <c r="G74" s="1" t="s">
        <v>26</v>
      </c>
      <c r="H74" s="1" t="str">
        <f t="shared" si="15"/>
        <v>20220901</v>
      </c>
      <c r="I74" s="1" t="str">
        <f>"151632"</f>
        <v>151632</v>
      </c>
      <c r="J74" s="1" t="s">
        <v>28</v>
      </c>
      <c r="K74" s="1" t="s">
        <v>28</v>
      </c>
      <c r="L74" s="1" t="str">
        <f t="shared" si="16"/>
        <v>20220901</v>
      </c>
      <c r="M74" s="1" t="str">
        <f>"153227"</f>
        <v>153227</v>
      </c>
      <c r="N74" s="1" t="s">
        <v>52</v>
      </c>
      <c r="O74" s="1" t="s">
        <v>52</v>
      </c>
      <c r="P74" s="1" t="s">
        <v>68</v>
      </c>
      <c r="Q74" s="1">
        <v>13</v>
      </c>
      <c r="R74" s="1">
        <v>0</v>
      </c>
      <c r="S74" s="1">
        <v>0</v>
      </c>
      <c r="T74" s="1">
        <v>13</v>
      </c>
      <c r="U74" s="1">
        <v>0</v>
      </c>
      <c r="V74" s="1" t="str">
        <f t="shared" si="19"/>
        <v>里程去程</v>
      </c>
      <c r="W74" s="1" t="str">
        <f>"0020"</f>
        <v>0020</v>
      </c>
      <c r="X74" s="1" t="s">
        <v>29</v>
      </c>
    </row>
    <row r="75" spans="1:24" x14ac:dyDescent="0.3">
      <c r="A75" s="1" t="str">
        <f t="shared" si="14"/>
        <v>59809</v>
      </c>
      <c r="B75" s="1" t="s">
        <v>42</v>
      </c>
      <c r="C75" s="1" t="s">
        <v>111</v>
      </c>
      <c r="D75" s="1" t="str">
        <f t="shared" si="18"/>
        <v>9805</v>
      </c>
      <c r="E75" s="1" t="s">
        <v>57</v>
      </c>
      <c r="F75" s="1" t="str">
        <f>"7111210036001970"</f>
        <v>7111210036001970</v>
      </c>
      <c r="G75" s="1" t="s">
        <v>33</v>
      </c>
      <c r="H75" s="1" t="str">
        <f t="shared" si="15"/>
        <v>20220901</v>
      </c>
      <c r="I75" s="1" t="str">
        <f>"151714"</f>
        <v>151714</v>
      </c>
      <c r="J75" s="1" t="s">
        <v>28</v>
      </c>
      <c r="K75" s="1" t="s">
        <v>28</v>
      </c>
      <c r="L75" s="1" t="str">
        <f t="shared" si="16"/>
        <v>20220901</v>
      </c>
      <c r="M75" s="1" t="str">
        <f>"153025"</f>
        <v>153025</v>
      </c>
      <c r="N75" s="1" t="s">
        <v>62</v>
      </c>
      <c r="O75" s="1" t="s">
        <v>28</v>
      </c>
      <c r="P75" s="1" t="s">
        <v>55</v>
      </c>
      <c r="Q75" s="1">
        <v>25</v>
      </c>
      <c r="R75" s="1">
        <v>25</v>
      </c>
      <c r="S75" s="1">
        <v>0</v>
      </c>
      <c r="T75" s="1">
        <v>0</v>
      </c>
      <c r="U75" s="1">
        <v>0</v>
      </c>
      <c r="V75" s="1" t="str">
        <f t="shared" si="19"/>
        <v>里程去程</v>
      </c>
      <c r="W75" s="1" t="str">
        <f>"273B"</f>
        <v>273B</v>
      </c>
      <c r="X75" s="1" t="s">
        <v>109</v>
      </c>
    </row>
    <row r="76" spans="1:24" x14ac:dyDescent="0.3">
      <c r="A76" s="1" t="str">
        <f t="shared" si="14"/>
        <v>59809</v>
      </c>
      <c r="B76" s="1" t="s">
        <v>42</v>
      </c>
      <c r="C76" s="1" t="s">
        <v>43</v>
      </c>
      <c r="D76" s="1" t="str">
        <f t="shared" si="18"/>
        <v>9805</v>
      </c>
      <c r="E76" s="1" t="s">
        <v>57</v>
      </c>
      <c r="F76" s="1" t="str">
        <f>"85F9C75FE4880400C821002000000014"</f>
        <v>85F9C75FE4880400C821002000000014</v>
      </c>
      <c r="G76" s="1" t="s">
        <v>64</v>
      </c>
      <c r="H76" s="1" t="str">
        <f t="shared" si="15"/>
        <v>20220901</v>
      </c>
      <c r="I76" s="1" t="str">
        <f>"151726"</f>
        <v>151726</v>
      </c>
      <c r="J76" s="1" t="s">
        <v>28</v>
      </c>
      <c r="K76" s="1" t="s">
        <v>28</v>
      </c>
      <c r="L76" s="1" t="str">
        <f t="shared" si="16"/>
        <v>20220901</v>
      </c>
      <c r="M76" s="1" t="str">
        <f>"153033"</f>
        <v>153033</v>
      </c>
      <c r="N76" s="1" t="s">
        <v>62</v>
      </c>
      <c r="O76" s="1" t="s">
        <v>28</v>
      </c>
      <c r="P76" s="1" t="s">
        <v>55</v>
      </c>
      <c r="Q76" s="1">
        <v>13</v>
      </c>
      <c r="R76" s="1">
        <v>13</v>
      </c>
      <c r="S76" s="1">
        <v>0</v>
      </c>
      <c r="T76" s="1">
        <v>0</v>
      </c>
      <c r="U76" s="1">
        <v>0</v>
      </c>
      <c r="V76" s="1" t="str">
        <f t="shared" si="19"/>
        <v>里程去程</v>
      </c>
      <c r="W76" s="1" t="str">
        <f>"0020"</f>
        <v>0020</v>
      </c>
      <c r="X76" s="1" t="s">
        <v>29</v>
      </c>
    </row>
    <row r="77" spans="1:24" x14ac:dyDescent="0.3">
      <c r="A77" s="1" t="str">
        <f t="shared" ref="A77:A108" si="20">"59820"</f>
        <v>59820</v>
      </c>
      <c r="B77" s="1" t="s">
        <v>53</v>
      </c>
      <c r="C77" s="1" t="s">
        <v>54</v>
      </c>
      <c r="D77" s="1" t="str">
        <f t="shared" si="18"/>
        <v>9805</v>
      </c>
      <c r="E77" s="1" t="s">
        <v>57</v>
      </c>
      <c r="F77" s="1" t="str">
        <f>"F29BD102BA880400C834002000000015"</f>
        <v>F29BD102BA880400C834002000000015</v>
      </c>
      <c r="G77" s="1" t="s">
        <v>26</v>
      </c>
      <c r="H77" s="1" t="str">
        <f t="shared" si="15"/>
        <v>20220901</v>
      </c>
      <c r="I77" s="1" t="str">
        <f>"103723"</f>
        <v>103723</v>
      </c>
      <c r="J77" s="1" t="s">
        <v>28</v>
      </c>
      <c r="K77" s="1" t="s">
        <v>28</v>
      </c>
      <c r="L77" s="1" t="str">
        <f t="shared" si="16"/>
        <v>20220901</v>
      </c>
      <c r="M77" s="1" t="str">
        <f>"105344"</f>
        <v>105344</v>
      </c>
      <c r="N77" s="1" t="s">
        <v>62</v>
      </c>
      <c r="O77" s="1" t="s">
        <v>28</v>
      </c>
      <c r="P77" s="1" t="s">
        <v>68</v>
      </c>
      <c r="Q77" s="1">
        <v>13</v>
      </c>
      <c r="R77" s="1">
        <v>0</v>
      </c>
      <c r="S77" s="1">
        <v>0</v>
      </c>
      <c r="T77" s="1">
        <v>13</v>
      </c>
      <c r="U77" s="1">
        <v>0</v>
      </c>
      <c r="V77" s="1" t="str">
        <f t="shared" si="19"/>
        <v>里程去程</v>
      </c>
      <c r="W77" s="1" t="str">
        <f>"0020"</f>
        <v>0020</v>
      </c>
      <c r="X77" s="1" t="s">
        <v>29</v>
      </c>
    </row>
    <row r="78" spans="1:24" x14ac:dyDescent="0.3">
      <c r="A78" s="1" t="str">
        <f t="shared" si="20"/>
        <v>59820</v>
      </c>
      <c r="B78" s="1" t="s">
        <v>53</v>
      </c>
      <c r="C78" s="1" t="s">
        <v>54</v>
      </c>
      <c r="D78" s="1" t="str">
        <f t="shared" si="18"/>
        <v>9805</v>
      </c>
      <c r="E78" s="1" t="s">
        <v>57</v>
      </c>
      <c r="F78" s="1" t="str">
        <f>"32780D0344880400C834002000000015"</f>
        <v>32780D0344880400C834002000000015</v>
      </c>
      <c r="G78" s="1" t="s">
        <v>26</v>
      </c>
      <c r="H78" s="1" t="str">
        <f t="shared" si="15"/>
        <v>20220901</v>
      </c>
      <c r="I78" s="1" t="str">
        <f>"104156"</f>
        <v>104156</v>
      </c>
      <c r="J78" s="1" t="s">
        <v>28</v>
      </c>
      <c r="K78" s="1" t="s">
        <v>28</v>
      </c>
      <c r="L78" s="1" t="str">
        <f t="shared" si="16"/>
        <v>20220901</v>
      </c>
      <c r="M78" s="1" t="str">
        <f>"105217"</f>
        <v>105217</v>
      </c>
      <c r="N78" s="1" t="s">
        <v>56</v>
      </c>
      <c r="O78" s="1" t="s">
        <v>28</v>
      </c>
      <c r="P78" s="1" t="s">
        <v>68</v>
      </c>
      <c r="Q78" s="1">
        <v>13</v>
      </c>
      <c r="R78" s="1">
        <v>0</v>
      </c>
      <c r="S78" s="1">
        <v>0</v>
      </c>
      <c r="T78" s="1">
        <v>13</v>
      </c>
      <c r="U78" s="1">
        <v>0</v>
      </c>
      <c r="V78" s="1" t="str">
        <f t="shared" si="19"/>
        <v>里程去程</v>
      </c>
      <c r="W78" s="1" t="str">
        <f>"0020"</f>
        <v>0020</v>
      </c>
      <c r="X78" s="1" t="s">
        <v>29</v>
      </c>
    </row>
    <row r="79" spans="1:24" x14ac:dyDescent="0.3">
      <c r="A79" s="1" t="str">
        <f t="shared" si="20"/>
        <v>59820</v>
      </c>
      <c r="B79" s="1" t="s">
        <v>53</v>
      </c>
      <c r="C79" s="1" t="s">
        <v>54</v>
      </c>
      <c r="D79" s="1" t="str">
        <f t="shared" ref="D79:D110" si="21">"9801"</f>
        <v>9801</v>
      </c>
      <c r="E79" s="1" t="s">
        <v>25</v>
      </c>
      <c r="F79" s="1" t="str">
        <f>"1646990673"</f>
        <v>1646990673</v>
      </c>
      <c r="G79" s="1" t="s">
        <v>33</v>
      </c>
      <c r="H79" s="1" t="str">
        <f t="shared" si="15"/>
        <v>20220901</v>
      </c>
      <c r="I79" s="1" t="str">
        <f>"113036"</f>
        <v>113036</v>
      </c>
      <c r="J79" s="1" t="s">
        <v>27</v>
      </c>
      <c r="K79" s="1" t="s">
        <v>28</v>
      </c>
      <c r="L79" s="1" t="str">
        <f t="shared" si="16"/>
        <v>20220901</v>
      </c>
      <c r="M79" s="1" t="str">
        <f>"114942"</f>
        <v>114942</v>
      </c>
      <c r="N79" s="1" t="s">
        <v>75</v>
      </c>
      <c r="O79" s="1" t="s">
        <v>45</v>
      </c>
      <c r="P79" s="1" t="s">
        <v>55</v>
      </c>
      <c r="Q79" s="1">
        <v>25</v>
      </c>
      <c r="R79" s="1">
        <v>25</v>
      </c>
      <c r="S79" s="1">
        <v>0</v>
      </c>
      <c r="T79" s="1">
        <v>0</v>
      </c>
      <c r="U79" s="1">
        <v>0</v>
      </c>
      <c r="V79" s="1" t="str">
        <f t="shared" si="19"/>
        <v>里程去程</v>
      </c>
      <c r="W79" s="1" t="str">
        <f>"0120"</f>
        <v>0120</v>
      </c>
      <c r="X79" s="1" t="s">
        <v>35</v>
      </c>
    </row>
    <row r="80" spans="1:24" x14ac:dyDescent="0.3">
      <c r="A80" s="1" t="str">
        <f t="shared" si="20"/>
        <v>59820</v>
      </c>
      <c r="B80" s="1" t="s">
        <v>53</v>
      </c>
      <c r="C80" s="1" t="s">
        <v>54</v>
      </c>
      <c r="D80" s="1" t="str">
        <f t="shared" si="21"/>
        <v>9801</v>
      </c>
      <c r="E80" s="1" t="s">
        <v>25</v>
      </c>
      <c r="F80" s="1" t="str">
        <f>"1741533957"</f>
        <v>1741533957</v>
      </c>
      <c r="G80" s="1" t="s">
        <v>74</v>
      </c>
      <c r="H80" s="1" t="str">
        <f t="shared" si="15"/>
        <v>20220901</v>
      </c>
      <c r="I80" s="1" t="str">
        <f>"113339"</f>
        <v>113339</v>
      </c>
      <c r="J80" s="1" t="s">
        <v>27</v>
      </c>
      <c r="K80" s="1" t="s">
        <v>28</v>
      </c>
      <c r="L80" s="1" t="str">
        <f t="shared" si="16"/>
        <v>20220901</v>
      </c>
      <c r="M80" s="1" t="str">
        <f>"115907"</f>
        <v>115907</v>
      </c>
      <c r="N80" s="1" t="s">
        <v>44</v>
      </c>
      <c r="O80" s="1" t="s">
        <v>45</v>
      </c>
      <c r="P80" s="1" t="s">
        <v>55</v>
      </c>
      <c r="Q80" s="1">
        <v>13</v>
      </c>
      <c r="R80" s="1">
        <v>13</v>
      </c>
      <c r="S80" s="1">
        <v>0</v>
      </c>
      <c r="T80" s="1">
        <v>0</v>
      </c>
      <c r="U80" s="1">
        <v>0</v>
      </c>
      <c r="V80" s="1" t="str">
        <f t="shared" si="19"/>
        <v>里程去程</v>
      </c>
      <c r="W80" s="1" t="str">
        <f>"0120"</f>
        <v>0120</v>
      </c>
      <c r="X80" s="1" t="s">
        <v>35</v>
      </c>
    </row>
    <row r="81" spans="1:24" x14ac:dyDescent="0.3">
      <c r="A81" s="1" t="str">
        <f t="shared" si="20"/>
        <v>59820</v>
      </c>
      <c r="B81" s="1" t="s">
        <v>53</v>
      </c>
      <c r="C81" s="1" t="s">
        <v>54</v>
      </c>
      <c r="D81" s="1" t="str">
        <f t="shared" si="21"/>
        <v>9801</v>
      </c>
      <c r="E81" s="1" t="s">
        <v>25</v>
      </c>
      <c r="F81" s="1" t="str">
        <f>"1748169525"</f>
        <v>1748169525</v>
      </c>
      <c r="G81" s="1" t="s">
        <v>33</v>
      </c>
      <c r="H81" s="1" t="str">
        <f t="shared" si="15"/>
        <v>20220901</v>
      </c>
      <c r="I81" s="1" t="str">
        <f>"114715"</f>
        <v>114715</v>
      </c>
      <c r="J81" s="1" t="s">
        <v>61</v>
      </c>
      <c r="K81" s="1" t="s">
        <v>45</v>
      </c>
      <c r="L81" s="1" t="str">
        <f t="shared" si="16"/>
        <v>20220901</v>
      </c>
      <c r="M81" s="1" t="str">
        <f>"114731"</f>
        <v>114731</v>
      </c>
      <c r="N81" s="1" t="s">
        <v>75</v>
      </c>
      <c r="O81" s="1" t="s">
        <v>45</v>
      </c>
      <c r="P81" s="1" t="s">
        <v>55</v>
      </c>
      <c r="Q81" s="1">
        <v>25</v>
      </c>
      <c r="R81" s="1">
        <v>25</v>
      </c>
      <c r="S81" s="1">
        <v>0</v>
      </c>
      <c r="T81" s="1">
        <v>0</v>
      </c>
      <c r="U81" s="1">
        <v>0</v>
      </c>
      <c r="V81" s="1" t="str">
        <f t="shared" si="19"/>
        <v>里程去程</v>
      </c>
      <c r="W81" s="1" t="str">
        <f>"0320"</f>
        <v>0320</v>
      </c>
      <c r="X81" s="1" t="s">
        <v>35</v>
      </c>
    </row>
    <row r="82" spans="1:24" x14ac:dyDescent="0.3">
      <c r="A82" s="1" t="str">
        <f t="shared" si="20"/>
        <v>59820</v>
      </c>
      <c r="B82" s="1" t="s">
        <v>53</v>
      </c>
      <c r="C82" s="1" t="s">
        <v>54</v>
      </c>
      <c r="D82" s="1" t="str">
        <f t="shared" si="21"/>
        <v>9801</v>
      </c>
      <c r="E82" s="1" t="s">
        <v>25</v>
      </c>
      <c r="F82" s="1" t="str">
        <f>"32780D0344880400C834002000000015"</f>
        <v>32780D0344880400C834002000000015</v>
      </c>
      <c r="G82" s="1" t="s">
        <v>26</v>
      </c>
      <c r="H82" s="1" t="str">
        <f t="shared" si="15"/>
        <v>20220901</v>
      </c>
      <c r="I82" s="1" t="str">
        <f>"115953"</f>
        <v>115953</v>
      </c>
      <c r="J82" s="1" t="s">
        <v>52</v>
      </c>
      <c r="K82" s="1" t="s">
        <v>52</v>
      </c>
      <c r="L82" s="1" t="str">
        <f t="shared" si="16"/>
        <v>20220901</v>
      </c>
      <c r="M82" s="1" t="str">
        <f>"123024"</f>
        <v>123024</v>
      </c>
      <c r="N82" s="1" t="s">
        <v>70</v>
      </c>
      <c r="O82" s="1" t="s">
        <v>28</v>
      </c>
      <c r="P82" s="1" t="s">
        <v>68</v>
      </c>
      <c r="Q82" s="1">
        <v>13</v>
      </c>
      <c r="R82" s="1">
        <v>0</v>
      </c>
      <c r="S82" s="1">
        <v>0</v>
      </c>
      <c r="T82" s="1">
        <v>13</v>
      </c>
      <c r="U82" s="1">
        <v>0</v>
      </c>
      <c r="V82" s="1" t="str">
        <f t="shared" si="19"/>
        <v>里程去程</v>
      </c>
      <c r="W82" s="1" t="str">
        <f>"0020"</f>
        <v>0020</v>
      </c>
      <c r="X82" s="1" t="s">
        <v>29</v>
      </c>
    </row>
    <row r="83" spans="1:24" x14ac:dyDescent="0.3">
      <c r="A83" s="1" t="str">
        <f t="shared" si="20"/>
        <v>59820</v>
      </c>
      <c r="B83" s="1" t="s">
        <v>53</v>
      </c>
      <c r="C83" s="1" t="s">
        <v>54</v>
      </c>
      <c r="D83" s="1" t="str">
        <f t="shared" si="21"/>
        <v>9801</v>
      </c>
      <c r="E83" s="1" t="s">
        <v>25</v>
      </c>
      <c r="F83" s="1" t="str">
        <f>"F25B1B03B1880400C834002000000015"</f>
        <v>F25B1B03B1880400C834002000000015</v>
      </c>
      <c r="G83" s="1" t="s">
        <v>26</v>
      </c>
      <c r="H83" s="1" t="str">
        <f t="shared" si="15"/>
        <v>20220901</v>
      </c>
      <c r="I83" s="1" t="str">
        <f>"120624"</f>
        <v>120624</v>
      </c>
      <c r="J83" s="1" t="s">
        <v>60</v>
      </c>
      <c r="K83" s="1" t="s">
        <v>52</v>
      </c>
      <c r="L83" s="1" t="str">
        <f t="shared" si="16"/>
        <v>20220901</v>
      </c>
      <c r="M83" s="1" t="str">
        <f>"123148"</f>
        <v>123148</v>
      </c>
      <c r="N83" s="1" t="s">
        <v>70</v>
      </c>
      <c r="O83" s="1" t="s">
        <v>28</v>
      </c>
      <c r="P83" s="1" t="s">
        <v>68</v>
      </c>
      <c r="Q83" s="1">
        <v>13</v>
      </c>
      <c r="R83" s="1">
        <v>0</v>
      </c>
      <c r="S83" s="1">
        <v>0</v>
      </c>
      <c r="T83" s="1">
        <v>13</v>
      </c>
      <c r="U83" s="1">
        <v>0</v>
      </c>
      <c r="V83" s="1" t="str">
        <f t="shared" si="19"/>
        <v>里程去程</v>
      </c>
      <c r="W83" s="1" t="str">
        <f>"0020"</f>
        <v>0020</v>
      </c>
      <c r="X83" s="1" t="s">
        <v>29</v>
      </c>
    </row>
    <row r="84" spans="1:24" x14ac:dyDescent="0.3">
      <c r="A84" s="1" t="str">
        <f t="shared" si="20"/>
        <v>59820</v>
      </c>
      <c r="B84" s="1" t="s">
        <v>53</v>
      </c>
      <c r="C84" s="1" t="s">
        <v>54</v>
      </c>
      <c r="D84" s="1" t="str">
        <f t="shared" si="21"/>
        <v>9801</v>
      </c>
      <c r="E84" s="1" t="s">
        <v>25</v>
      </c>
      <c r="F84" s="1" t="str">
        <f>"2AFA6262D0880400C18514D045304512"</f>
        <v>2AFA6262D0880400C18514D045304512</v>
      </c>
      <c r="G84" s="1" t="s">
        <v>59</v>
      </c>
      <c r="H84" s="1" t="str">
        <f t="shared" si="15"/>
        <v>20220901</v>
      </c>
      <c r="I84" s="1" t="str">
        <f>"120626"</f>
        <v>120626</v>
      </c>
      <c r="J84" s="1" t="s">
        <v>60</v>
      </c>
      <c r="K84" s="1" t="s">
        <v>52</v>
      </c>
      <c r="L84" s="1" t="str">
        <f t="shared" si="16"/>
        <v>20220901</v>
      </c>
      <c r="M84" s="1" t="str">
        <f>"123153"</f>
        <v>123153</v>
      </c>
      <c r="N84" s="1" t="s">
        <v>70</v>
      </c>
      <c r="O84" s="1" t="s">
        <v>28</v>
      </c>
      <c r="P84" s="1" t="s">
        <v>55</v>
      </c>
      <c r="Q84" s="1">
        <v>25</v>
      </c>
      <c r="R84" s="1">
        <v>25</v>
      </c>
      <c r="S84" s="1">
        <v>0</v>
      </c>
      <c r="T84" s="1">
        <v>0</v>
      </c>
      <c r="U84" s="1">
        <v>0</v>
      </c>
      <c r="V84" s="1" t="str">
        <f t="shared" si="19"/>
        <v>里程去程</v>
      </c>
      <c r="W84" s="1" t="str">
        <f>"0020"</f>
        <v>0020</v>
      </c>
      <c r="X84" s="1" t="s">
        <v>29</v>
      </c>
    </row>
    <row r="85" spans="1:24" x14ac:dyDescent="0.3">
      <c r="A85" s="1" t="str">
        <f t="shared" si="20"/>
        <v>59820</v>
      </c>
      <c r="B85" s="1" t="s">
        <v>53</v>
      </c>
      <c r="C85" s="1" t="s">
        <v>54</v>
      </c>
      <c r="D85" s="1" t="str">
        <f t="shared" si="21"/>
        <v>9801</v>
      </c>
      <c r="E85" s="1" t="s">
        <v>25</v>
      </c>
      <c r="F85" s="1" t="str">
        <f>"4251460257880400C821002000000015"</f>
        <v>4251460257880400C821002000000015</v>
      </c>
      <c r="G85" s="1" t="s">
        <v>26</v>
      </c>
      <c r="H85" s="1" t="str">
        <f t="shared" si="15"/>
        <v>20220901</v>
      </c>
      <c r="I85" s="1" t="str">
        <f>"121901"</f>
        <v>121901</v>
      </c>
      <c r="J85" s="1" t="s">
        <v>69</v>
      </c>
      <c r="K85" s="1" t="s">
        <v>52</v>
      </c>
      <c r="L85" s="1" t="str">
        <f t="shared" si="16"/>
        <v>20220901</v>
      </c>
      <c r="M85" s="1" t="str">
        <f>"122429"</f>
        <v>122429</v>
      </c>
      <c r="N85" s="1" t="s">
        <v>83</v>
      </c>
      <c r="O85" s="1" t="s">
        <v>52</v>
      </c>
      <c r="P85" s="1" t="s">
        <v>68</v>
      </c>
      <c r="Q85" s="1">
        <v>13</v>
      </c>
      <c r="R85" s="1">
        <v>0</v>
      </c>
      <c r="S85" s="1">
        <v>0</v>
      </c>
      <c r="T85" s="1">
        <v>13</v>
      </c>
      <c r="U85" s="1">
        <v>0</v>
      </c>
      <c r="V85" s="1" t="str">
        <f t="shared" si="19"/>
        <v>里程去程</v>
      </c>
      <c r="W85" s="1" t="str">
        <f>"0020"</f>
        <v>0020</v>
      </c>
      <c r="X85" s="1" t="s">
        <v>29</v>
      </c>
    </row>
    <row r="86" spans="1:24" x14ac:dyDescent="0.3">
      <c r="A86" s="1" t="str">
        <f t="shared" si="20"/>
        <v>59820</v>
      </c>
      <c r="B86" s="1" t="s">
        <v>53</v>
      </c>
      <c r="C86" s="1" t="s">
        <v>54</v>
      </c>
      <c r="D86" s="1" t="str">
        <f t="shared" si="21"/>
        <v>9801</v>
      </c>
      <c r="E86" s="1" t="s">
        <v>25</v>
      </c>
      <c r="F86" s="1" t="str">
        <f>"1202279493"</f>
        <v>1202279493</v>
      </c>
      <c r="G86" s="1" t="s">
        <v>38</v>
      </c>
      <c r="H86" s="1" t="str">
        <f t="shared" si="15"/>
        <v>20220901</v>
      </c>
      <c r="I86" s="1" t="str">
        <f>"121906"</f>
        <v>121906</v>
      </c>
      <c r="J86" s="1" t="s">
        <v>69</v>
      </c>
      <c r="K86" s="1" t="s">
        <v>52</v>
      </c>
      <c r="L86" s="1" t="str">
        <f t="shared" si="16"/>
        <v>20220901</v>
      </c>
      <c r="M86" s="1" t="str">
        <f>"123200"</f>
        <v>123200</v>
      </c>
      <c r="N86" s="1" t="s">
        <v>70</v>
      </c>
      <c r="O86" s="1" t="s">
        <v>28</v>
      </c>
      <c r="P86" s="1" t="s">
        <v>55</v>
      </c>
      <c r="Q86" s="1">
        <v>25</v>
      </c>
      <c r="R86" s="1">
        <v>25</v>
      </c>
      <c r="S86" s="1">
        <v>0</v>
      </c>
      <c r="T86" s="1">
        <v>0</v>
      </c>
      <c r="U86" s="1">
        <v>0</v>
      </c>
      <c r="V86" s="1" t="str">
        <f t="shared" si="19"/>
        <v>里程去程</v>
      </c>
      <c r="W86" s="1" t="str">
        <f>"0120"</f>
        <v>0120</v>
      </c>
      <c r="X86" s="1" t="s">
        <v>35</v>
      </c>
    </row>
    <row r="87" spans="1:24" x14ac:dyDescent="0.3">
      <c r="A87" s="1" t="str">
        <f t="shared" si="20"/>
        <v>59820</v>
      </c>
      <c r="B87" s="1" t="s">
        <v>53</v>
      </c>
      <c r="C87" s="1" t="s">
        <v>54</v>
      </c>
      <c r="D87" s="1" t="str">
        <f t="shared" si="21"/>
        <v>9801</v>
      </c>
      <c r="E87" s="1" t="s">
        <v>25</v>
      </c>
      <c r="F87" s="1" t="str">
        <f>"8227D00277880400C834002000000015"</f>
        <v>8227D00277880400C834002000000015</v>
      </c>
      <c r="G87" s="1" t="s">
        <v>26</v>
      </c>
      <c r="H87" s="1" t="str">
        <f t="shared" si="15"/>
        <v>20220901</v>
      </c>
      <c r="I87" s="1" t="str">
        <f>"122212"</f>
        <v>122212</v>
      </c>
      <c r="J87" s="1" t="s">
        <v>67</v>
      </c>
      <c r="K87" s="1" t="s">
        <v>52</v>
      </c>
      <c r="L87" s="1" t="str">
        <f t="shared" si="16"/>
        <v>20220901</v>
      </c>
      <c r="M87" s="1" t="str">
        <f>"123141"</f>
        <v>123141</v>
      </c>
      <c r="N87" s="1" t="s">
        <v>70</v>
      </c>
      <c r="O87" s="1" t="s">
        <v>28</v>
      </c>
      <c r="P87" s="1" t="s">
        <v>68</v>
      </c>
      <c r="Q87" s="1">
        <v>13</v>
      </c>
      <c r="R87" s="1">
        <v>0</v>
      </c>
      <c r="S87" s="1">
        <v>0</v>
      </c>
      <c r="T87" s="1">
        <v>13</v>
      </c>
      <c r="U87" s="1">
        <v>0</v>
      </c>
      <c r="V87" s="1" t="str">
        <f t="shared" si="19"/>
        <v>里程去程</v>
      </c>
      <c r="W87" s="1" t="str">
        <f>"0020"</f>
        <v>0020</v>
      </c>
      <c r="X87" s="1" t="s">
        <v>29</v>
      </c>
    </row>
    <row r="88" spans="1:24" x14ac:dyDescent="0.3">
      <c r="A88" s="1" t="str">
        <f t="shared" si="20"/>
        <v>59820</v>
      </c>
      <c r="B88" s="1" t="s">
        <v>53</v>
      </c>
      <c r="C88" s="1" t="s">
        <v>54</v>
      </c>
      <c r="D88" s="1" t="str">
        <f t="shared" si="21"/>
        <v>9801</v>
      </c>
      <c r="E88" s="1" t="s">
        <v>25</v>
      </c>
      <c r="F88" s="1" t="str">
        <f>"F2F7D002D7880400C834002000000015"</f>
        <v>F2F7D002D7880400C834002000000015</v>
      </c>
      <c r="G88" s="1" t="s">
        <v>74</v>
      </c>
      <c r="H88" s="1" t="str">
        <f t="shared" si="15"/>
        <v>20220901</v>
      </c>
      <c r="I88" s="1" t="str">
        <f>"122219"</f>
        <v>122219</v>
      </c>
      <c r="J88" s="1" t="s">
        <v>67</v>
      </c>
      <c r="K88" s="1" t="s">
        <v>52</v>
      </c>
      <c r="L88" s="1" t="str">
        <f t="shared" si="16"/>
        <v>20220901</v>
      </c>
      <c r="M88" s="1" t="str">
        <f>"125435"</f>
        <v>125435</v>
      </c>
      <c r="N88" s="1" t="s">
        <v>44</v>
      </c>
      <c r="O88" s="1" t="s">
        <v>45</v>
      </c>
      <c r="P88" s="1" t="s">
        <v>68</v>
      </c>
      <c r="Q88" s="1">
        <v>25</v>
      </c>
      <c r="R88" s="1">
        <v>0</v>
      </c>
      <c r="S88" s="1">
        <v>0</v>
      </c>
      <c r="T88" s="1">
        <v>25</v>
      </c>
      <c r="U88" s="1">
        <v>0</v>
      </c>
      <c r="V88" s="1" t="str">
        <f t="shared" si="19"/>
        <v>里程去程</v>
      </c>
      <c r="W88" s="1" t="str">
        <f>"0020"</f>
        <v>0020</v>
      </c>
      <c r="X88" s="1" t="s">
        <v>29</v>
      </c>
    </row>
    <row r="89" spans="1:24" x14ac:dyDescent="0.3">
      <c r="A89" s="1" t="str">
        <f t="shared" si="20"/>
        <v>59820</v>
      </c>
      <c r="B89" s="1" t="s">
        <v>53</v>
      </c>
      <c r="C89" s="1" t="s">
        <v>54</v>
      </c>
      <c r="D89" s="1" t="str">
        <f t="shared" si="21"/>
        <v>9801</v>
      </c>
      <c r="E89" s="1" t="s">
        <v>25</v>
      </c>
      <c r="F89" s="1" t="str">
        <f>"11FF5F03B288040043252B4B0019050F"</f>
        <v>11FF5F03B288040043252B4B0019050F</v>
      </c>
      <c r="G89" s="1" t="s">
        <v>26</v>
      </c>
      <c r="H89" s="1" t="str">
        <f t="shared" si="15"/>
        <v>20220901</v>
      </c>
      <c r="I89" s="1" t="str">
        <f>"123213"</f>
        <v>123213</v>
      </c>
      <c r="J89" s="1" t="s">
        <v>27</v>
      </c>
      <c r="K89" s="1" t="s">
        <v>28</v>
      </c>
      <c r="L89" s="1" t="str">
        <f t="shared" si="16"/>
        <v>20220901</v>
      </c>
      <c r="M89" s="1" t="str">
        <f>"125302"</f>
        <v>125302</v>
      </c>
      <c r="N89" s="1" t="s">
        <v>44</v>
      </c>
      <c r="O89" s="1" t="s">
        <v>45</v>
      </c>
      <c r="P89" s="1" t="s">
        <v>55</v>
      </c>
      <c r="Q89" s="1">
        <v>13</v>
      </c>
      <c r="R89" s="1">
        <v>0</v>
      </c>
      <c r="S89" s="1">
        <v>13</v>
      </c>
      <c r="T89" s="1">
        <v>0</v>
      </c>
      <c r="U89" s="1">
        <v>0</v>
      </c>
      <c r="V89" s="1" t="str">
        <f t="shared" si="19"/>
        <v>里程去程</v>
      </c>
      <c r="W89" s="1" t="str">
        <f>"0620"</f>
        <v>0620</v>
      </c>
      <c r="X89" s="1" t="s">
        <v>29</v>
      </c>
    </row>
    <row r="90" spans="1:24" x14ac:dyDescent="0.3">
      <c r="A90" s="1" t="str">
        <f t="shared" si="20"/>
        <v>59820</v>
      </c>
      <c r="B90" s="1" t="s">
        <v>53</v>
      </c>
      <c r="C90" s="1" t="s">
        <v>54</v>
      </c>
      <c r="D90" s="1" t="str">
        <f t="shared" si="21"/>
        <v>9801</v>
      </c>
      <c r="E90" s="1" t="s">
        <v>25</v>
      </c>
      <c r="F90" s="1" t="str">
        <f>"C5A9C109A4180200D200000C22400417"</f>
        <v>C5A9C109A4180200D200000C22400417</v>
      </c>
      <c r="G90" s="1" t="s">
        <v>58</v>
      </c>
      <c r="H90" s="1" t="str">
        <f t="shared" si="15"/>
        <v>20220901</v>
      </c>
      <c r="I90" s="1" t="str">
        <f>"123218"</f>
        <v>123218</v>
      </c>
      <c r="J90" s="1" t="s">
        <v>27</v>
      </c>
      <c r="K90" s="1" t="s">
        <v>28</v>
      </c>
      <c r="L90" s="1" t="str">
        <f t="shared" si="16"/>
        <v>20220901</v>
      </c>
      <c r="M90" s="1" t="str">
        <f>"125259"</f>
        <v>125259</v>
      </c>
      <c r="N90" s="1" t="s">
        <v>44</v>
      </c>
      <c r="O90" s="1" t="s">
        <v>45</v>
      </c>
      <c r="P90" s="1" t="s">
        <v>55</v>
      </c>
      <c r="Q90" s="1">
        <v>25</v>
      </c>
      <c r="R90" s="1">
        <v>0</v>
      </c>
      <c r="S90" s="1">
        <v>25</v>
      </c>
      <c r="T90" s="1">
        <v>0</v>
      </c>
      <c r="U90" s="1">
        <v>0</v>
      </c>
      <c r="V90" s="1" t="str">
        <f t="shared" si="19"/>
        <v>里程去程</v>
      </c>
      <c r="W90" s="1" t="str">
        <f>"0620"</f>
        <v>0620</v>
      </c>
      <c r="X90" s="1" t="s">
        <v>29</v>
      </c>
    </row>
    <row r="91" spans="1:24" x14ac:dyDescent="0.3">
      <c r="A91" s="1" t="str">
        <f t="shared" si="20"/>
        <v>59820</v>
      </c>
      <c r="B91" s="1" t="s">
        <v>53</v>
      </c>
      <c r="C91" s="1" t="s">
        <v>54</v>
      </c>
      <c r="D91" s="1" t="str">
        <f t="shared" si="21"/>
        <v>9801</v>
      </c>
      <c r="E91" s="1" t="s">
        <v>25</v>
      </c>
      <c r="F91" s="1" t="str">
        <f>"3233A113B3880400C831002000000018"</f>
        <v>3233A113B3880400C831002000000018</v>
      </c>
      <c r="G91" s="1" t="s">
        <v>58</v>
      </c>
      <c r="H91" s="1" t="str">
        <f t="shared" si="15"/>
        <v>20220901</v>
      </c>
      <c r="I91" s="1" t="str">
        <f>"123224"</f>
        <v>123224</v>
      </c>
      <c r="J91" s="1" t="s">
        <v>27</v>
      </c>
      <c r="K91" s="1" t="s">
        <v>28</v>
      </c>
      <c r="L91" s="1" t="str">
        <f t="shared" si="16"/>
        <v>20220901</v>
      </c>
      <c r="M91" s="1" t="str">
        <f>"125601"</f>
        <v>125601</v>
      </c>
      <c r="N91" s="1" t="s">
        <v>44</v>
      </c>
      <c r="O91" s="1" t="s">
        <v>45</v>
      </c>
      <c r="P91" s="1" t="s">
        <v>55</v>
      </c>
      <c r="Q91" s="1">
        <v>25</v>
      </c>
      <c r="R91" s="1">
        <v>25</v>
      </c>
      <c r="S91" s="1">
        <v>0</v>
      </c>
      <c r="T91" s="1">
        <v>0</v>
      </c>
      <c r="U91" s="1">
        <v>0</v>
      </c>
      <c r="V91" s="1" t="str">
        <f t="shared" si="19"/>
        <v>里程去程</v>
      </c>
      <c r="W91" s="1" t="str">
        <f>"0020"</f>
        <v>0020</v>
      </c>
      <c r="X91" s="1" t="s">
        <v>29</v>
      </c>
    </row>
    <row r="92" spans="1:24" x14ac:dyDescent="0.3">
      <c r="A92" s="1" t="str">
        <f t="shared" si="20"/>
        <v>59820</v>
      </c>
      <c r="B92" s="1" t="s">
        <v>53</v>
      </c>
      <c r="C92" s="1" t="s">
        <v>54</v>
      </c>
      <c r="D92" s="1" t="str">
        <f t="shared" si="21"/>
        <v>9801</v>
      </c>
      <c r="E92" s="1" t="s">
        <v>25</v>
      </c>
      <c r="F92" s="1" t="str">
        <f>"4076263894"</f>
        <v>4076263894</v>
      </c>
      <c r="G92" s="1" t="s">
        <v>33</v>
      </c>
      <c r="H92" s="1" t="str">
        <f t="shared" si="15"/>
        <v>20220901</v>
      </c>
      <c r="I92" s="1" t="str">
        <f>"123230"</f>
        <v>123230</v>
      </c>
      <c r="J92" s="1" t="s">
        <v>27</v>
      </c>
      <c r="K92" s="1" t="s">
        <v>28</v>
      </c>
      <c r="L92" s="1" t="str">
        <f t="shared" si="16"/>
        <v>20220901</v>
      </c>
      <c r="M92" s="1" t="str">
        <f>"125557"</f>
        <v>125557</v>
      </c>
      <c r="N92" s="1" t="s">
        <v>44</v>
      </c>
      <c r="O92" s="1" t="s">
        <v>45</v>
      </c>
      <c r="P92" s="1" t="s">
        <v>55</v>
      </c>
      <c r="Q92" s="1">
        <v>25</v>
      </c>
      <c r="R92" s="1">
        <v>25</v>
      </c>
      <c r="S92" s="1">
        <v>0</v>
      </c>
      <c r="T92" s="1">
        <v>0</v>
      </c>
      <c r="U92" s="1">
        <v>0</v>
      </c>
      <c r="V92" s="1" t="str">
        <f t="shared" si="19"/>
        <v>里程去程</v>
      </c>
      <c r="W92" s="1" t="str">
        <f>"0120"</f>
        <v>0120</v>
      </c>
      <c r="X92" s="1" t="s">
        <v>35</v>
      </c>
    </row>
    <row r="93" spans="1:24" x14ac:dyDescent="0.3">
      <c r="A93" s="1" t="str">
        <f t="shared" si="20"/>
        <v>59820</v>
      </c>
      <c r="B93" s="1" t="s">
        <v>53</v>
      </c>
      <c r="C93" s="1" t="s">
        <v>54</v>
      </c>
      <c r="D93" s="1" t="str">
        <f t="shared" si="21"/>
        <v>9801</v>
      </c>
      <c r="E93" s="1" t="s">
        <v>25</v>
      </c>
      <c r="F93" s="1" t="str">
        <f>"1355985425"</f>
        <v>1355985425</v>
      </c>
      <c r="G93" s="1" t="s">
        <v>38</v>
      </c>
      <c r="H93" s="1" t="str">
        <f t="shared" si="15"/>
        <v>20220901</v>
      </c>
      <c r="I93" s="1" t="str">
        <f>"123238"</f>
        <v>123238</v>
      </c>
      <c r="J93" s="1" t="s">
        <v>27</v>
      </c>
      <c r="K93" s="1" t="s">
        <v>28</v>
      </c>
      <c r="L93" s="1" t="str">
        <f t="shared" si="16"/>
        <v>20220901</v>
      </c>
      <c r="M93" s="1" t="str">
        <f>"125606"</f>
        <v>125606</v>
      </c>
      <c r="N93" s="1" t="s">
        <v>44</v>
      </c>
      <c r="O93" s="1" t="s">
        <v>45</v>
      </c>
      <c r="P93" s="1" t="s">
        <v>55</v>
      </c>
      <c r="Q93" s="1">
        <v>25</v>
      </c>
      <c r="R93" s="1">
        <v>25</v>
      </c>
      <c r="S93" s="1">
        <v>0</v>
      </c>
      <c r="T93" s="1">
        <v>0</v>
      </c>
      <c r="U93" s="1">
        <v>0</v>
      </c>
      <c r="V93" s="1" t="str">
        <f t="shared" si="19"/>
        <v>里程去程</v>
      </c>
      <c r="W93" s="1" t="str">
        <f>"0120"</f>
        <v>0120</v>
      </c>
      <c r="X93" s="1" t="s">
        <v>35</v>
      </c>
    </row>
    <row r="94" spans="1:24" x14ac:dyDescent="0.3">
      <c r="A94" s="1" t="str">
        <f t="shared" si="20"/>
        <v>59820</v>
      </c>
      <c r="B94" s="1" t="s">
        <v>53</v>
      </c>
      <c r="C94" s="1" t="s">
        <v>54</v>
      </c>
      <c r="D94" s="1" t="str">
        <f t="shared" si="21"/>
        <v>9801</v>
      </c>
      <c r="E94" s="1" t="s">
        <v>25</v>
      </c>
      <c r="F94" s="1" t="str">
        <f>"3676907178"</f>
        <v>3676907178</v>
      </c>
      <c r="G94" s="1" t="s">
        <v>33</v>
      </c>
      <c r="H94" s="1" t="str">
        <f t="shared" si="15"/>
        <v>20220901</v>
      </c>
      <c r="I94" s="1" t="str">
        <f>"123248"</f>
        <v>123248</v>
      </c>
      <c r="J94" s="1" t="s">
        <v>27</v>
      </c>
      <c r="K94" s="1" t="s">
        <v>28</v>
      </c>
      <c r="L94" s="1" t="str">
        <f t="shared" si="16"/>
        <v>20220901</v>
      </c>
      <c r="M94" s="1" t="str">
        <f>"125459"</f>
        <v>125459</v>
      </c>
      <c r="N94" s="1" t="s">
        <v>44</v>
      </c>
      <c r="O94" s="1" t="s">
        <v>45</v>
      </c>
      <c r="P94" s="1" t="s">
        <v>55</v>
      </c>
      <c r="Q94" s="1">
        <v>25</v>
      </c>
      <c r="R94" s="1">
        <v>25</v>
      </c>
      <c r="S94" s="1">
        <v>0</v>
      </c>
      <c r="T94" s="1">
        <v>0</v>
      </c>
      <c r="U94" s="1">
        <v>0</v>
      </c>
      <c r="V94" s="1" t="str">
        <f t="shared" si="19"/>
        <v>里程去程</v>
      </c>
      <c r="W94" s="1" t="str">
        <f>"0120"</f>
        <v>0120</v>
      </c>
      <c r="X94" s="1" t="s">
        <v>35</v>
      </c>
    </row>
    <row r="95" spans="1:24" x14ac:dyDescent="0.3">
      <c r="A95" s="1" t="str">
        <f t="shared" si="20"/>
        <v>59820</v>
      </c>
      <c r="B95" s="1" t="s">
        <v>53</v>
      </c>
      <c r="C95" s="1" t="s">
        <v>54</v>
      </c>
      <c r="D95" s="1" t="str">
        <f t="shared" si="21"/>
        <v>9801</v>
      </c>
      <c r="E95" s="1" t="s">
        <v>25</v>
      </c>
      <c r="F95" s="1" t="str">
        <f>"1402001489"</f>
        <v>1402001489</v>
      </c>
      <c r="G95" s="1" t="s">
        <v>33</v>
      </c>
      <c r="H95" s="1" t="str">
        <f t="shared" si="15"/>
        <v>20220901</v>
      </c>
      <c r="I95" s="1" t="str">
        <f>"123259"</f>
        <v>123259</v>
      </c>
      <c r="J95" s="1" t="s">
        <v>27</v>
      </c>
      <c r="K95" s="1" t="s">
        <v>28</v>
      </c>
      <c r="L95" s="1" t="str">
        <f t="shared" si="16"/>
        <v>20220901</v>
      </c>
      <c r="M95" s="1" t="str">
        <f>"124814"</f>
        <v>124814</v>
      </c>
      <c r="N95" s="1" t="s">
        <v>75</v>
      </c>
      <c r="O95" s="1" t="s">
        <v>45</v>
      </c>
      <c r="P95" s="1" t="s">
        <v>55</v>
      </c>
      <c r="Q95" s="1">
        <v>25</v>
      </c>
      <c r="R95" s="1">
        <v>25</v>
      </c>
      <c r="S95" s="1">
        <v>0</v>
      </c>
      <c r="T95" s="1">
        <v>0</v>
      </c>
      <c r="U95" s="1">
        <v>0</v>
      </c>
      <c r="V95" s="1" t="str">
        <f t="shared" si="19"/>
        <v>里程去程</v>
      </c>
      <c r="W95" s="1" t="str">
        <f>"0120"</f>
        <v>0120</v>
      </c>
      <c r="X95" s="1" t="s">
        <v>35</v>
      </c>
    </row>
    <row r="96" spans="1:24" x14ac:dyDescent="0.3">
      <c r="A96" s="1" t="str">
        <f t="shared" si="20"/>
        <v>59820</v>
      </c>
      <c r="B96" s="1" t="s">
        <v>53</v>
      </c>
      <c r="C96" s="1" t="s">
        <v>54</v>
      </c>
      <c r="D96" s="1" t="str">
        <f t="shared" si="21"/>
        <v>9801</v>
      </c>
      <c r="E96" s="1" t="s">
        <v>25</v>
      </c>
      <c r="F96" s="1" t="str">
        <f>"2046566160"</f>
        <v>2046566160</v>
      </c>
      <c r="G96" s="1" t="s">
        <v>33</v>
      </c>
      <c r="H96" s="1" t="str">
        <f t="shared" si="15"/>
        <v>20220901</v>
      </c>
      <c r="I96" s="1" t="str">
        <f>"123308"</f>
        <v>123308</v>
      </c>
      <c r="J96" s="1" t="s">
        <v>27</v>
      </c>
      <c r="K96" s="1" t="s">
        <v>28</v>
      </c>
      <c r="L96" s="1" t="str">
        <f t="shared" si="16"/>
        <v>20220901</v>
      </c>
      <c r="M96" s="1" t="str">
        <f>"125308"</f>
        <v>125308</v>
      </c>
      <c r="N96" s="1" t="s">
        <v>44</v>
      </c>
      <c r="O96" s="1" t="s">
        <v>45</v>
      </c>
      <c r="P96" s="1" t="s">
        <v>55</v>
      </c>
      <c r="Q96" s="1">
        <v>25</v>
      </c>
      <c r="R96" s="1">
        <v>25</v>
      </c>
      <c r="S96" s="1">
        <v>0</v>
      </c>
      <c r="T96" s="1">
        <v>0</v>
      </c>
      <c r="U96" s="1">
        <v>0</v>
      </c>
      <c r="V96" s="1" t="str">
        <f t="shared" si="19"/>
        <v>里程去程</v>
      </c>
      <c r="W96" s="1" t="str">
        <f>"0120"</f>
        <v>0120</v>
      </c>
      <c r="X96" s="1" t="s">
        <v>35</v>
      </c>
    </row>
    <row r="97" spans="1:24" x14ac:dyDescent="0.3">
      <c r="A97" s="1" t="str">
        <f t="shared" si="20"/>
        <v>59820</v>
      </c>
      <c r="B97" s="1" t="s">
        <v>53</v>
      </c>
      <c r="C97" s="1" t="s">
        <v>54</v>
      </c>
      <c r="D97" s="1" t="str">
        <f t="shared" si="21"/>
        <v>9801</v>
      </c>
      <c r="E97" s="1" t="s">
        <v>25</v>
      </c>
      <c r="F97" s="1" t="str">
        <f>"F2F7D002D7880400C834002000000015"</f>
        <v>F2F7D002D7880400C834002000000015</v>
      </c>
      <c r="G97" s="1" t="s">
        <v>74</v>
      </c>
      <c r="H97" s="1" t="str">
        <f t="shared" si="15"/>
        <v>20220901</v>
      </c>
      <c r="I97" s="1" t="str">
        <f>"125628"</f>
        <v>125628</v>
      </c>
      <c r="J97" s="1" t="s">
        <v>52</v>
      </c>
      <c r="K97" s="1" t="s">
        <v>52</v>
      </c>
      <c r="L97" s="1" t="str">
        <f t="shared" si="16"/>
        <v>20220901</v>
      </c>
      <c r="M97" s="1" t="str">
        <f>"130646"</f>
        <v>130646</v>
      </c>
      <c r="N97" s="1" t="s">
        <v>60</v>
      </c>
      <c r="O97" s="1" t="s">
        <v>52</v>
      </c>
      <c r="P97" s="1" t="s">
        <v>68</v>
      </c>
      <c r="Q97" s="1">
        <v>13</v>
      </c>
      <c r="R97" s="1">
        <v>0</v>
      </c>
      <c r="S97" s="1">
        <v>0</v>
      </c>
      <c r="T97" s="1">
        <v>13</v>
      </c>
      <c r="U97" s="1">
        <v>0</v>
      </c>
      <c r="V97" s="1" t="str">
        <f t="shared" si="19"/>
        <v>里程去程</v>
      </c>
      <c r="W97" s="1" t="str">
        <f>"0020"</f>
        <v>0020</v>
      </c>
      <c r="X97" s="1" t="s">
        <v>29</v>
      </c>
    </row>
    <row r="98" spans="1:24" x14ac:dyDescent="0.3">
      <c r="A98" s="1" t="str">
        <f t="shared" si="20"/>
        <v>59820</v>
      </c>
      <c r="B98" s="1" t="s">
        <v>53</v>
      </c>
      <c r="C98" s="1" t="s">
        <v>54</v>
      </c>
      <c r="D98" s="1" t="str">
        <f t="shared" si="21"/>
        <v>9801</v>
      </c>
      <c r="E98" s="1" t="s">
        <v>25</v>
      </c>
      <c r="F98" s="1" t="str">
        <f>"1253959941"</f>
        <v>1253959941</v>
      </c>
      <c r="G98" s="1" t="s">
        <v>33</v>
      </c>
      <c r="H98" s="1" t="str">
        <f t="shared" si="15"/>
        <v>20220901</v>
      </c>
      <c r="I98" s="1" t="str">
        <f>"131534"</f>
        <v>131534</v>
      </c>
      <c r="J98" s="1" t="s">
        <v>97</v>
      </c>
      <c r="K98" s="1" t="s">
        <v>52</v>
      </c>
      <c r="L98" s="1" t="str">
        <f t="shared" si="16"/>
        <v>20220901</v>
      </c>
      <c r="M98" s="1" t="str">
        <f>"133137"</f>
        <v>133137</v>
      </c>
      <c r="N98" s="1" t="s">
        <v>70</v>
      </c>
      <c r="O98" s="1" t="s">
        <v>28</v>
      </c>
      <c r="P98" s="1" t="s">
        <v>55</v>
      </c>
      <c r="Q98" s="1">
        <v>25</v>
      </c>
      <c r="R98" s="1">
        <v>25</v>
      </c>
      <c r="S98" s="1">
        <v>0</v>
      </c>
      <c r="T98" s="1">
        <v>0</v>
      </c>
      <c r="U98" s="1">
        <v>0</v>
      </c>
      <c r="V98" s="1" t="str">
        <f t="shared" si="19"/>
        <v>里程去程</v>
      </c>
      <c r="W98" s="1" t="str">
        <f>"2020"</f>
        <v>2020</v>
      </c>
      <c r="X98" s="1" t="s">
        <v>35</v>
      </c>
    </row>
    <row r="99" spans="1:24" x14ac:dyDescent="0.3">
      <c r="A99" s="1" t="str">
        <f t="shared" si="20"/>
        <v>59820</v>
      </c>
      <c r="B99" s="1" t="s">
        <v>53</v>
      </c>
      <c r="C99" s="1" t="s">
        <v>54</v>
      </c>
      <c r="D99" s="1" t="str">
        <f t="shared" si="21"/>
        <v>9801</v>
      </c>
      <c r="E99" s="1" t="s">
        <v>25</v>
      </c>
      <c r="F99" s="1" t="str">
        <f>"7311210436000944"</f>
        <v>7311210436000944</v>
      </c>
      <c r="G99" s="1" t="s">
        <v>33</v>
      </c>
      <c r="H99" s="1" t="str">
        <f t="shared" si="15"/>
        <v>20220901</v>
      </c>
      <c r="I99" s="1" t="str">
        <f>"131536"</f>
        <v>131536</v>
      </c>
      <c r="J99" s="1" t="s">
        <v>97</v>
      </c>
      <c r="K99" s="1" t="s">
        <v>52</v>
      </c>
      <c r="L99" s="1" t="str">
        <f t="shared" si="16"/>
        <v>20220901</v>
      </c>
      <c r="M99" s="1" t="str">
        <f>"133146"</f>
        <v>133146</v>
      </c>
      <c r="N99" s="1" t="s">
        <v>70</v>
      </c>
      <c r="O99" s="1" t="s">
        <v>28</v>
      </c>
      <c r="P99" s="1" t="s">
        <v>55</v>
      </c>
      <c r="Q99" s="1">
        <v>25</v>
      </c>
      <c r="R99" s="1">
        <v>25</v>
      </c>
      <c r="S99" s="1">
        <v>0</v>
      </c>
      <c r="T99" s="1">
        <v>0</v>
      </c>
      <c r="U99" s="1">
        <v>0</v>
      </c>
      <c r="V99" s="1" t="str">
        <f t="shared" si="19"/>
        <v>里程去程</v>
      </c>
      <c r="W99" s="1" t="str">
        <f>"3B8B"</f>
        <v>3B8B</v>
      </c>
      <c r="X99" s="1" t="s">
        <v>109</v>
      </c>
    </row>
    <row r="100" spans="1:24" x14ac:dyDescent="0.3">
      <c r="A100" s="1" t="str">
        <f t="shared" si="20"/>
        <v>59820</v>
      </c>
      <c r="B100" s="1" t="s">
        <v>53</v>
      </c>
      <c r="C100" s="1" t="s">
        <v>54</v>
      </c>
      <c r="D100" s="1" t="str">
        <f t="shared" si="21"/>
        <v>9801</v>
      </c>
      <c r="E100" s="1" t="s">
        <v>25</v>
      </c>
      <c r="F100" s="1" t="str">
        <f>"52E24113E228040080CED9985D913018"</f>
        <v>52E24113E228040080CED9985D913018</v>
      </c>
      <c r="G100" s="1" t="s">
        <v>58</v>
      </c>
      <c r="H100" s="1" t="str">
        <f t="shared" si="15"/>
        <v>20220901</v>
      </c>
      <c r="I100" s="1" t="str">
        <f>"131538"</f>
        <v>131538</v>
      </c>
      <c r="J100" s="1" t="s">
        <v>97</v>
      </c>
      <c r="K100" s="1" t="s">
        <v>52</v>
      </c>
      <c r="L100" s="1" t="str">
        <f t="shared" si="16"/>
        <v>20220901</v>
      </c>
      <c r="M100" s="1" t="str">
        <f>"133142"</f>
        <v>133142</v>
      </c>
      <c r="N100" s="1" t="s">
        <v>70</v>
      </c>
      <c r="O100" s="1" t="s">
        <v>28</v>
      </c>
      <c r="P100" s="1" t="s">
        <v>55</v>
      </c>
      <c r="Q100" s="1">
        <v>25</v>
      </c>
      <c r="R100" s="1">
        <v>25</v>
      </c>
      <c r="S100" s="1">
        <v>0</v>
      </c>
      <c r="T100" s="1">
        <v>0</v>
      </c>
      <c r="U100" s="1">
        <v>0</v>
      </c>
      <c r="V100" s="1" t="str">
        <f t="shared" si="19"/>
        <v>里程去程</v>
      </c>
      <c r="W100" s="1" t="str">
        <f>"0020"</f>
        <v>0020</v>
      </c>
      <c r="X100" s="1" t="s">
        <v>29</v>
      </c>
    </row>
    <row r="101" spans="1:24" x14ac:dyDescent="0.3">
      <c r="A101" s="1" t="str">
        <f t="shared" si="20"/>
        <v>59820</v>
      </c>
      <c r="B101" s="1" t="s">
        <v>53</v>
      </c>
      <c r="C101" s="1" t="s">
        <v>54</v>
      </c>
      <c r="D101" s="1" t="str">
        <f t="shared" si="21"/>
        <v>9801</v>
      </c>
      <c r="E101" s="1" t="s">
        <v>25</v>
      </c>
      <c r="F101" s="1" t="str">
        <f>"7AA9B0D5B68804004755641951101408"</f>
        <v>7AA9B0D5B68804004755641951101408</v>
      </c>
      <c r="G101" s="1" t="s">
        <v>82</v>
      </c>
      <c r="H101" s="1" t="str">
        <f t="shared" si="15"/>
        <v>20220901</v>
      </c>
      <c r="I101" s="1" t="str">
        <f>"134410"</f>
        <v>134410</v>
      </c>
      <c r="J101" s="1" t="s">
        <v>45</v>
      </c>
      <c r="K101" s="1" t="s">
        <v>45</v>
      </c>
      <c r="L101" s="1" t="str">
        <f t="shared" si="16"/>
        <v>20220901</v>
      </c>
      <c r="M101" s="1" t="str">
        <f>"135600"</f>
        <v>135600</v>
      </c>
      <c r="N101" s="1" t="s">
        <v>44</v>
      </c>
      <c r="O101" s="1" t="s">
        <v>45</v>
      </c>
      <c r="P101" s="1" t="s">
        <v>55</v>
      </c>
      <c r="Q101" s="1">
        <v>13</v>
      </c>
      <c r="R101" s="1">
        <v>0</v>
      </c>
      <c r="S101" s="1">
        <v>13</v>
      </c>
      <c r="T101" s="1">
        <v>0</v>
      </c>
      <c r="U101" s="1">
        <v>0</v>
      </c>
      <c r="V101" s="1" t="str">
        <f t="shared" si="19"/>
        <v>里程去程</v>
      </c>
      <c r="W101" s="1" t="str">
        <f>"2020"</f>
        <v>2020</v>
      </c>
      <c r="X101" s="1" t="s">
        <v>29</v>
      </c>
    </row>
    <row r="102" spans="1:24" x14ac:dyDescent="0.3">
      <c r="A102" s="1" t="str">
        <f t="shared" si="20"/>
        <v>59820</v>
      </c>
      <c r="B102" s="1" t="s">
        <v>53</v>
      </c>
      <c r="C102" s="1" t="s">
        <v>54</v>
      </c>
      <c r="D102" s="1" t="str">
        <f t="shared" si="21"/>
        <v>9801</v>
      </c>
      <c r="E102" s="1" t="s">
        <v>25</v>
      </c>
      <c r="F102" s="1" t="str">
        <f>"AA1D80DCEB880400474D949455101208"</f>
        <v>AA1D80DCEB880400474D949455101208</v>
      </c>
      <c r="G102" s="1" t="s">
        <v>66</v>
      </c>
      <c r="H102" s="1" t="str">
        <f t="shared" si="15"/>
        <v>20220901</v>
      </c>
      <c r="I102" s="1" t="str">
        <f>"134411"</f>
        <v>134411</v>
      </c>
      <c r="J102" s="1" t="s">
        <v>45</v>
      </c>
      <c r="K102" s="1" t="s">
        <v>45</v>
      </c>
      <c r="L102" s="1" t="str">
        <f t="shared" si="16"/>
        <v>20220901</v>
      </c>
      <c r="M102" s="1" t="str">
        <f>"135603"</f>
        <v>135603</v>
      </c>
      <c r="N102" s="1" t="s">
        <v>44</v>
      </c>
      <c r="O102" s="1" t="s">
        <v>45</v>
      </c>
      <c r="P102" s="1" t="s">
        <v>55</v>
      </c>
      <c r="Q102" s="1">
        <v>13</v>
      </c>
      <c r="R102" s="1">
        <v>0</v>
      </c>
      <c r="S102" s="1">
        <v>13</v>
      </c>
      <c r="T102" s="1">
        <v>0</v>
      </c>
      <c r="U102" s="1">
        <v>0</v>
      </c>
      <c r="V102" s="1" t="str">
        <f t="shared" si="19"/>
        <v>里程去程</v>
      </c>
      <c r="W102" s="1" t="str">
        <f>"2020"</f>
        <v>2020</v>
      </c>
      <c r="X102" s="1" t="s">
        <v>29</v>
      </c>
    </row>
    <row r="103" spans="1:24" x14ac:dyDescent="0.3">
      <c r="A103" s="1" t="str">
        <f t="shared" si="20"/>
        <v>59820</v>
      </c>
      <c r="B103" s="1" t="s">
        <v>53</v>
      </c>
      <c r="C103" s="1" t="s">
        <v>54</v>
      </c>
      <c r="D103" s="1" t="str">
        <f t="shared" si="21"/>
        <v>9801</v>
      </c>
      <c r="E103" s="1" t="s">
        <v>25</v>
      </c>
      <c r="F103" s="1" t="str">
        <f>"F27CE6026A880400C834002000000015"</f>
        <v>F27CE6026A880400C834002000000015</v>
      </c>
      <c r="G103" s="1" t="s">
        <v>74</v>
      </c>
      <c r="H103" s="1" t="str">
        <f t="shared" si="15"/>
        <v>20220901</v>
      </c>
      <c r="I103" s="1" t="str">
        <f>"145615"</f>
        <v>145615</v>
      </c>
      <c r="J103" s="1" t="s">
        <v>52</v>
      </c>
      <c r="K103" s="1" t="s">
        <v>52</v>
      </c>
      <c r="L103" s="1" t="str">
        <f t="shared" si="16"/>
        <v>20220901</v>
      </c>
      <c r="M103" s="1" t="str">
        <f>"150524"</f>
        <v>150524</v>
      </c>
      <c r="N103" s="1" t="s">
        <v>60</v>
      </c>
      <c r="O103" s="1" t="s">
        <v>52</v>
      </c>
      <c r="P103" s="1" t="s">
        <v>68</v>
      </c>
      <c r="Q103" s="1">
        <v>13</v>
      </c>
      <c r="R103" s="1">
        <v>0</v>
      </c>
      <c r="S103" s="1">
        <v>0</v>
      </c>
      <c r="T103" s="1">
        <v>13</v>
      </c>
      <c r="U103" s="1">
        <v>0</v>
      </c>
      <c r="V103" s="1" t="str">
        <f t="shared" si="19"/>
        <v>里程去程</v>
      </c>
      <c r="W103" s="1" t="str">
        <f>"0020"</f>
        <v>0020</v>
      </c>
      <c r="X103" s="1" t="s">
        <v>29</v>
      </c>
    </row>
    <row r="104" spans="1:24" x14ac:dyDescent="0.3">
      <c r="A104" s="1" t="str">
        <f t="shared" si="20"/>
        <v>59820</v>
      </c>
      <c r="B104" s="1" t="s">
        <v>53</v>
      </c>
      <c r="C104" s="1" t="s">
        <v>54</v>
      </c>
      <c r="D104" s="1" t="str">
        <f t="shared" si="21"/>
        <v>9801</v>
      </c>
      <c r="E104" s="1" t="s">
        <v>25</v>
      </c>
      <c r="F104" s="1" t="str">
        <f>"F2C64D0E77880400C806002000000018"</f>
        <v>F2C64D0E77880400C806002000000018</v>
      </c>
      <c r="G104" s="1" t="s">
        <v>58</v>
      </c>
      <c r="H104" s="1" t="str">
        <f t="shared" si="15"/>
        <v>20220901</v>
      </c>
      <c r="I104" s="1" t="str">
        <f>"160714"</f>
        <v>160714</v>
      </c>
      <c r="J104" s="1" t="s">
        <v>60</v>
      </c>
      <c r="K104" s="1" t="s">
        <v>52</v>
      </c>
      <c r="L104" s="1" t="str">
        <f t="shared" si="16"/>
        <v>20220901</v>
      </c>
      <c r="M104" s="1" t="str">
        <f>"163646"</f>
        <v>163646</v>
      </c>
      <c r="N104" s="1" t="s">
        <v>70</v>
      </c>
      <c r="O104" s="1" t="s">
        <v>28</v>
      </c>
      <c r="P104" s="1" t="s">
        <v>55</v>
      </c>
      <c r="Q104" s="1">
        <v>25</v>
      </c>
      <c r="R104" s="1">
        <v>25</v>
      </c>
      <c r="S104" s="1">
        <v>0</v>
      </c>
      <c r="T104" s="1">
        <v>0</v>
      </c>
      <c r="U104" s="1">
        <v>0</v>
      </c>
      <c r="V104" s="1" t="str">
        <f t="shared" si="19"/>
        <v>里程去程</v>
      </c>
      <c r="W104" s="1" t="str">
        <f>"0020"</f>
        <v>0020</v>
      </c>
      <c r="X104" s="1" t="s">
        <v>29</v>
      </c>
    </row>
    <row r="105" spans="1:24" x14ac:dyDescent="0.3">
      <c r="A105" s="1" t="str">
        <f t="shared" si="20"/>
        <v>59820</v>
      </c>
      <c r="B105" s="1" t="s">
        <v>53</v>
      </c>
      <c r="C105" s="1" t="s">
        <v>54</v>
      </c>
      <c r="D105" s="1" t="str">
        <f t="shared" si="21"/>
        <v>9801</v>
      </c>
      <c r="E105" s="1" t="s">
        <v>25</v>
      </c>
      <c r="F105" s="1" t="str">
        <f>"F2F7D002D7880400C834002000000015"</f>
        <v>F2F7D002D7880400C834002000000015</v>
      </c>
      <c r="G105" s="1" t="s">
        <v>74</v>
      </c>
      <c r="H105" s="1" t="str">
        <f t="shared" si="15"/>
        <v>20220901</v>
      </c>
      <c r="I105" s="1" t="str">
        <f>"160716"</f>
        <v>160716</v>
      </c>
      <c r="J105" s="1" t="s">
        <v>60</v>
      </c>
      <c r="K105" s="1" t="s">
        <v>52</v>
      </c>
      <c r="L105" s="1" t="str">
        <f t="shared" si="16"/>
        <v>20220901</v>
      </c>
      <c r="M105" s="1" t="str">
        <f>"162553"</f>
        <v>162553</v>
      </c>
      <c r="N105" s="1" t="s">
        <v>78</v>
      </c>
      <c r="O105" s="1" t="s">
        <v>52</v>
      </c>
      <c r="P105" s="1" t="s">
        <v>68</v>
      </c>
      <c r="Q105" s="1">
        <v>13</v>
      </c>
      <c r="R105" s="1">
        <v>0</v>
      </c>
      <c r="S105" s="1">
        <v>0</v>
      </c>
      <c r="T105" s="1">
        <v>13</v>
      </c>
      <c r="U105" s="1">
        <v>0</v>
      </c>
      <c r="V105" s="1" t="str">
        <f t="shared" si="19"/>
        <v>里程去程</v>
      </c>
      <c r="W105" s="1" t="str">
        <f>"0020"</f>
        <v>0020</v>
      </c>
      <c r="X105" s="1" t="s">
        <v>29</v>
      </c>
    </row>
    <row r="106" spans="1:24" x14ac:dyDescent="0.3">
      <c r="A106" s="1" t="str">
        <f t="shared" si="20"/>
        <v>59820</v>
      </c>
      <c r="B106" s="1" t="s">
        <v>53</v>
      </c>
      <c r="C106" s="1" t="s">
        <v>54</v>
      </c>
      <c r="D106" s="1" t="str">
        <f t="shared" si="21"/>
        <v>9801</v>
      </c>
      <c r="E106" s="1" t="s">
        <v>25</v>
      </c>
      <c r="F106" s="1" t="str">
        <f>"1175079957"</f>
        <v>1175079957</v>
      </c>
      <c r="G106" s="1" t="s">
        <v>38</v>
      </c>
      <c r="H106" s="1" t="str">
        <f t="shared" si="15"/>
        <v>20220901</v>
      </c>
      <c r="I106" s="1" t="str">
        <f>"161218"</f>
        <v>161218</v>
      </c>
      <c r="J106" s="1" t="s">
        <v>72</v>
      </c>
      <c r="K106" s="1" t="s">
        <v>52</v>
      </c>
      <c r="L106" s="1" t="str">
        <f t="shared" si="16"/>
        <v>20220901</v>
      </c>
      <c r="M106" s="1" t="str">
        <f>"163642"</f>
        <v>163642</v>
      </c>
      <c r="N106" s="1" t="s">
        <v>70</v>
      </c>
      <c r="O106" s="1" t="s">
        <v>28</v>
      </c>
      <c r="P106" s="1" t="s">
        <v>55</v>
      </c>
      <c r="Q106" s="1">
        <v>25</v>
      </c>
      <c r="R106" s="1">
        <v>25</v>
      </c>
      <c r="S106" s="1">
        <v>0</v>
      </c>
      <c r="T106" s="1">
        <v>0</v>
      </c>
      <c r="U106" s="1">
        <v>0</v>
      </c>
      <c r="V106" s="1" t="str">
        <f t="shared" si="19"/>
        <v>里程去程</v>
      </c>
      <c r="W106" s="1" t="str">
        <f>"0820"</f>
        <v>0820</v>
      </c>
      <c r="X106" s="1" t="s">
        <v>35</v>
      </c>
    </row>
    <row r="107" spans="1:24" x14ac:dyDescent="0.3">
      <c r="A107" s="1" t="str">
        <f t="shared" si="20"/>
        <v>59820</v>
      </c>
      <c r="B107" s="1" t="s">
        <v>53</v>
      </c>
      <c r="C107" s="1" t="s">
        <v>54</v>
      </c>
      <c r="D107" s="1" t="str">
        <f t="shared" si="21"/>
        <v>9801</v>
      </c>
      <c r="E107" s="1" t="s">
        <v>25</v>
      </c>
      <c r="F107" s="1" t="str">
        <f>"72BFE5022A880400C834002000000015"</f>
        <v>72BFE5022A880400C834002000000015</v>
      </c>
      <c r="G107" s="1" t="s">
        <v>26</v>
      </c>
      <c r="H107" s="1" t="str">
        <f t="shared" si="15"/>
        <v>20220901</v>
      </c>
      <c r="I107" s="1" t="str">
        <f>"163656"</f>
        <v>163656</v>
      </c>
      <c r="J107" s="1" t="s">
        <v>27</v>
      </c>
      <c r="K107" s="1" t="s">
        <v>28</v>
      </c>
      <c r="L107" s="1" t="str">
        <f t="shared" si="16"/>
        <v>20220901</v>
      </c>
      <c r="M107" s="1" t="str">
        <f>"165335"</f>
        <v>165335</v>
      </c>
      <c r="N107" s="1" t="s">
        <v>61</v>
      </c>
      <c r="O107" s="1" t="s">
        <v>45</v>
      </c>
      <c r="P107" s="1" t="s">
        <v>68</v>
      </c>
      <c r="Q107" s="1">
        <v>13</v>
      </c>
      <c r="R107" s="1">
        <v>0</v>
      </c>
      <c r="S107" s="1">
        <v>0</v>
      </c>
      <c r="T107" s="1">
        <v>13</v>
      </c>
      <c r="U107" s="1">
        <v>0</v>
      </c>
      <c r="V107" s="1" t="str">
        <f t="shared" si="19"/>
        <v>里程去程</v>
      </c>
      <c r="W107" s="1" t="str">
        <f>"0020"</f>
        <v>0020</v>
      </c>
      <c r="X107" s="1" t="s">
        <v>29</v>
      </c>
    </row>
    <row r="108" spans="1:24" x14ac:dyDescent="0.3">
      <c r="A108" s="1" t="str">
        <f t="shared" si="20"/>
        <v>59820</v>
      </c>
      <c r="B108" s="1" t="s">
        <v>53</v>
      </c>
      <c r="C108" s="1" t="s">
        <v>54</v>
      </c>
      <c r="D108" s="1" t="str">
        <f t="shared" si="21"/>
        <v>9801</v>
      </c>
      <c r="E108" s="1" t="s">
        <v>25</v>
      </c>
      <c r="F108" s="1" t="str">
        <f>"989079681"</f>
        <v>989079681</v>
      </c>
      <c r="G108" s="1" t="s">
        <v>33</v>
      </c>
      <c r="H108" s="1" t="str">
        <f t="shared" si="15"/>
        <v>20220901</v>
      </c>
      <c r="I108" s="1" t="str">
        <f>"163700"</f>
        <v>163700</v>
      </c>
      <c r="J108" s="1" t="s">
        <v>27</v>
      </c>
      <c r="K108" s="1" t="s">
        <v>28</v>
      </c>
      <c r="L108" s="1" t="str">
        <f t="shared" si="16"/>
        <v>20220901</v>
      </c>
      <c r="M108" s="1" t="str">
        <f>"165559"</f>
        <v>165559</v>
      </c>
      <c r="N108" s="1" t="s">
        <v>75</v>
      </c>
      <c r="O108" s="1" t="s">
        <v>45</v>
      </c>
      <c r="P108" s="1" t="s">
        <v>55</v>
      </c>
      <c r="Q108" s="1">
        <v>25</v>
      </c>
      <c r="R108" s="1">
        <v>25</v>
      </c>
      <c r="S108" s="1">
        <v>0</v>
      </c>
      <c r="T108" s="1">
        <v>0</v>
      </c>
      <c r="U108" s="1">
        <v>0</v>
      </c>
      <c r="V108" s="1" t="str">
        <f t="shared" si="19"/>
        <v>里程去程</v>
      </c>
      <c r="W108" s="1" t="str">
        <f>"0a20"</f>
        <v>0a20</v>
      </c>
      <c r="X108" s="1" t="s">
        <v>35</v>
      </c>
    </row>
    <row r="109" spans="1:24" x14ac:dyDescent="0.3">
      <c r="A109" s="1" t="str">
        <f t="shared" ref="A109:A129" si="22">"59820"</f>
        <v>59820</v>
      </c>
      <c r="B109" s="1" t="s">
        <v>53</v>
      </c>
      <c r="C109" s="1" t="s">
        <v>54</v>
      </c>
      <c r="D109" s="1" t="str">
        <f t="shared" si="21"/>
        <v>9801</v>
      </c>
      <c r="E109" s="1" t="s">
        <v>25</v>
      </c>
      <c r="F109" s="1" t="str">
        <f>"3758511495"</f>
        <v>3758511495</v>
      </c>
      <c r="G109" s="1" t="s">
        <v>33</v>
      </c>
      <c r="H109" s="1" t="str">
        <f t="shared" si="15"/>
        <v>20220901</v>
      </c>
      <c r="I109" s="1" t="str">
        <f>"163703"</f>
        <v>163703</v>
      </c>
      <c r="J109" s="1" t="s">
        <v>27</v>
      </c>
      <c r="K109" s="1" t="s">
        <v>28</v>
      </c>
      <c r="L109" s="1" t="str">
        <f t="shared" si="16"/>
        <v>20220901</v>
      </c>
      <c r="M109" s="1" t="str">
        <f>"165555"</f>
        <v>165555</v>
      </c>
      <c r="N109" s="1" t="s">
        <v>75</v>
      </c>
      <c r="O109" s="1" t="s">
        <v>45</v>
      </c>
      <c r="P109" s="1" t="s">
        <v>55</v>
      </c>
      <c r="Q109" s="1">
        <v>25</v>
      </c>
      <c r="R109" s="1">
        <v>25</v>
      </c>
      <c r="S109" s="1">
        <v>0</v>
      </c>
      <c r="T109" s="1">
        <v>0</v>
      </c>
      <c r="U109" s="1">
        <v>0</v>
      </c>
      <c r="V109" s="1" t="str">
        <f t="shared" si="19"/>
        <v>里程去程</v>
      </c>
      <c r="W109" s="1" t="str">
        <f>"0120"</f>
        <v>0120</v>
      </c>
      <c r="X109" s="1" t="s">
        <v>35</v>
      </c>
    </row>
    <row r="110" spans="1:24" x14ac:dyDescent="0.3">
      <c r="A110" s="1" t="str">
        <f t="shared" si="22"/>
        <v>59820</v>
      </c>
      <c r="B110" s="1" t="s">
        <v>53</v>
      </c>
      <c r="C110" s="1" t="s">
        <v>54</v>
      </c>
      <c r="D110" s="1" t="str">
        <f t="shared" si="21"/>
        <v>9801</v>
      </c>
      <c r="E110" s="1" t="s">
        <v>25</v>
      </c>
      <c r="F110" s="1" t="str">
        <f>"1462855841"</f>
        <v>1462855841</v>
      </c>
      <c r="G110" s="1" t="s">
        <v>33</v>
      </c>
      <c r="H110" s="1" t="str">
        <f t="shared" si="15"/>
        <v>20220901</v>
      </c>
      <c r="I110" s="1" t="str">
        <f>"163710"</f>
        <v>163710</v>
      </c>
      <c r="J110" s="1" t="s">
        <v>27</v>
      </c>
      <c r="K110" s="1" t="s">
        <v>28</v>
      </c>
      <c r="L110" s="1" t="str">
        <f t="shared" si="16"/>
        <v>20220901</v>
      </c>
      <c r="M110" s="1" t="str">
        <f>"170402"</f>
        <v>170402</v>
      </c>
      <c r="N110" s="1" t="s">
        <v>44</v>
      </c>
      <c r="O110" s="1" t="s">
        <v>45</v>
      </c>
      <c r="P110" s="1" t="s">
        <v>55</v>
      </c>
      <c r="Q110" s="1">
        <v>25</v>
      </c>
      <c r="R110" s="1">
        <v>0</v>
      </c>
      <c r="S110" s="1">
        <v>25</v>
      </c>
      <c r="T110" s="1">
        <v>0</v>
      </c>
      <c r="U110" s="1">
        <v>0</v>
      </c>
      <c r="V110" s="1" t="str">
        <f t="shared" si="19"/>
        <v>里程去程</v>
      </c>
      <c r="W110" s="1" t="str">
        <f>"0820"</f>
        <v>0820</v>
      </c>
      <c r="X110" s="1" t="s">
        <v>35</v>
      </c>
    </row>
    <row r="111" spans="1:24" x14ac:dyDescent="0.3">
      <c r="A111" s="1" t="str">
        <f t="shared" si="22"/>
        <v>59820</v>
      </c>
      <c r="B111" s="1" t="s">
        <v>53</v>
      </c>
      <c r="C111" s="1" t="s">
        <v>54</v>
      </c>
      <c r="D111" s="1" t="str">
        <f t="shared" ref="D111:D127" si="23">"9801"</f>
        <v>9801</v>
      </c>
      <c r="E111" s="1" t="s">
        <v>25</v>
      </c>
      <c r="F111" s="1" t="str">
        <f>"212686689"</f>
        <v>212686689</v>
      </c>
      <c r="G111" s="1" t="s">
        <v>33</v>
      </c>
      <c r="H111" s="1" t="str">
        <f t="shared" si="15"/>
        <v>20220901</v>
      </c>
      <c r="I111" s="1" t="str">
        <f>"163742"</f>
        <v>163742</v>
      </c>
      <c r="J111" s="1" t="s">
        <v>27</v>
      </c>
      <c r="K111" s="1" t="s">
        <v>28</v>
      </c>
      <c r="L111" s="1" t="str">
        <f t="shared" si="16"/>
        <v>20220901</v>
      </c>
      <c r="M111" s="1" t="str">
        <f>"170148"</f>
        <v>170148</v>
      </c>
      <c r="N111" s="1" t="s">
        <v>44</v>
      </c>
      <c r="O111" s="1" t="s">
        <v>45</v>
      </c>
      <c r="P111" s="1" t="s">
        <v>55</v>
      </c>
      <c r="Q111" s="1">
        <v>25</v>
      </c>
      <c r="R111" s="1">
        <v>25</v>
      </c>
      <c r="S111" s="1">
        <v>0</v>
      </c>
      <c r="T111" s="1">
        <v>0</v>
      </c>
      <c r="U111" s="1">
        <v>0</v>
      </c>
      <c r="V111" s="1" t="str">
        <f t="shared" si="19"/>
        <v>里程去程</v>
      </c>
      <c r="W111" s="1" t="str">
        <f>"0120"</f>
        <v>0120</v>
      </c>
      <c r="X111" s="1" t="s">
        <v>35</v>
      </c>
    </row>
    <row r="112" spans="1:24" x14ac:dyDescent="0.3">
      <c r="A112" s="1" t="str">
        <f t="shared" si="22"/>
        <v>59820</v>
      </c>
      <c r="B112" s="1" t="s">
        <v>53</v>
      </c>
      <c r="C112" s="1" t="s">
        <v>54</v>
      </c>
      <c r="D112" s="1" t="str">
        <f t="shared" si="23"/>
        <v>9801</v>
      </c>
      <c r="E112" s="1" t="s">
        <v>25</v>
      </c>
      <c r="F112" s="1" t="str">
        <f>"1276011541"</f>
        <v>1276011541</v>
      </c>
      <c r="G112" s="1" t="s">
        <v>33</v>
      </c>
      <c r="H112" s="1" t="str">
        <f t="shared" si="15"/>
        <v>20220901</v>
      </c>
      <c r="I112" s="1" t="str">
        <f>"163800"</f>
        <v>163800</v>
      </c>
      <c r="J112" s="1" t="s">
        <v>27</v>
      </c>
      <c r="K112" s="1" t="s">
        <v>28</v>
      </c>
      <c r="L112" s="1" t="str">
        <f t="shared" si="16"/>
        <v>20220901</v>
      </c>
      <c r="M112" s="1" t="str">
        <f>"170353"</f>
        <v>170353</v>
      </c>
      <c r="N112" s="1" t="s">
        <v>44</v>
      </c>
      <c r="O112" s="1" t="s">
        <v>45</v>
      </c>
      <c r="P112" s="1" t="s">
        <v>55</v>
      </c>
      <c r="Q112" s="1">
        <v>25</v>
      </c>
      <c r="R112" s="1">
        <v>25</v>
      </c>
      <c r="S112" s="1">
        <v>0</v>
      </c>
      <c r="T112" s="1">
        <v>0</v>
      </c>
      <c r="U112" s="1">
        <v>0</v>
      </c>
      <c r="V112" s="1" t="str">
        <f t="shared" si="19"/>
        <v>里程去程</v>
      </c>
      <c r="W112" s="1" t="str">
        <f>"0120"</f>
        <v>0120</v>
      </c>
      <c r="X112" s="1" t="s">
        <v>35</v>
      </c>
    </row>
    <row r="113" spans="1:24" x14ac:dyDescent="0.3">
      <c r="A113" s="1" t="str">
        <f t="shared" si="22"/>
        <v>59820</v>
      </c>
      <c r="B113" s="1" t="s">
        <v>53</v>
      </c>
      <c r="C113" s="1" t="s">
        <v>54</v>
      </c>
      <c r="D113" s="1" t="str">
        <f t="shared" si="23"/>
        <v>9801</v>
      </c>
      <c r="E113" s="1" t="s">
        <v>25</v>
      </c>
      <c r="F113" s="1" t="str">
        <f>"1733504017"</f>
        <v>1733504017</v>
      </c>
      <c r="G113" s="1" t="s">
        <v>26</v>
      </c>
      <c r="H113" s="1" t="str">
        <f t="shared" si="15"/>
        <v>20220901</v>
      </c>
      <c r="I113" s="1" t="str">
        <f>"163809"</f>
        <v>163809</v>
      </c>
      <c r="J113" s="1" t="s">
        <v>27</v>
      </c>
      <c r="K113" s="1" t="s">
        <v>28</v>
      </c>
      <c r="L113" s="1" t="str">
        <f t="shared" si="16"/>
        <v>20220901</v>
      </c>
      <c r="M113" s="1" t="str">
        <f>"170357"</f>
        <v>170357</v>
      </c>
      <c r="N113" s="1" t="s">
        <v>44</v>
      </c>
      <c r="O113" s="1" t="s">
        <v>45</v>
      </c>
      <c r="P113" s="1" t="s">
        <v>55</v>
      </c>
      <c r="Q113" s="1">
        <v>13</v>
      </c>
      <c r="R113" s="1">
        <v>13</v>
      </c>
      <c r="S113" s="1">
        <v>0</v>
      </c>
      <c r="T113" s="1">
        <v>0</v>
      </c>
      <c r="U113" s="1">
        <v>0</v>
      </c>
      <c r="V113" s="1" t="str">
        <f t="shared" si="19"/>
        <v>里程去程</v>
      </c>
      <c r="W113" s="1" t="str">
        <f>"0120"</f>
        <v>0120</v>
      </c>
      <c r="X113" s="1" t="s">
        <v>35</v>
      </c>
    </row>
    <row r="114" spans="1:24" x14ac:dyDescent="0.3">
      <c r="A114" s="1" t="str">
        <f t="shared" si="22"/>
        <v>59820</v>
      </c>
      <c r="B114" s="1" t="s">
        <v>53</v>
      </c>
      <c r="C114" s="1" t="s">
        <v>54</v>
      </c>
      <c r="D114" s="1" t="str">
        <f t="shared" si="23"/>
        <v>9801</v>
      </c>
      <c r="E114" s="1" t="s">
        <v>25</v>
      </c>
      <c r="F114" s="1" t="str">
        <f>"2508078050"</f>
        <v>2508078050</v>
      </c>
      <c r="G114" s="1" t="s">
        <v>33</v>
      </c>
      <c r="H114" s="1" t="str">
        <f t="shared" si="15"/>
        <v>20220901</v>
      </c>
      <c r="I114" s="1" t="str">
        <f>"163833"</f>
        <v>163833</v>
      </c>
      <c r="J114" s="1" t="s">
        <v>27</v>
      </c>
      <c r="K114" s="1" t="s">
        <v>28</v>
      </c>
      <c r="L114" s="1" t="str">
        <f t="shared" si="16"/>
        <v>20220901</v>
      </c>
      <c r="M114" s="1" t="str">
        <f>"170349"</f>
        <v>170349</v>
      </c>
      <c r="N114" s="1" t="s">
        <v>44</v>
      </c>
      <c r="O114" s="1" t="s">
        <v>45</v>
      </c>
      <c r="P114" s="1" t="s">
        <v>55</v>
      </c>
      <c r="Q114" s="1">
        <v>25</v>
      </c>
      <c r="R114" s="1">
        <v>0</v>
      </c>
      <c r="S114" s="1">
        <v>25</v>
      </c>
      <c r="T114" s="1">
        <v>0</v>
      </c>
      <c r="U114" s="1">
        <v>0</v>
      </c>
      <c r="V114" s="1" t="str">
        <f t="shared" si="19"/>
        <v>里程去程</v>
      </c>
      <c r="W114" s="1" t="str">
        <f>"2020"</f>
        <v>2020</v>
      </c>
      <c r="X114" s="1" t="s">
        <v>35</v>
      </c>
    </row>
    <row r="115" spans="1:24" x14ac:dyDescent="0.3">
      <c r="A115" s="1" t="str">
        <f t="shared" si="22"/>
        <v>59820</v>
      </c>
      <c r="B115" s="1" t="s">
        <v>53</v>
      </c>
      <c r="C115" s="1" t="s">
        <v>54</v>
      </c>
      <c r="D115" s="1" t="str">
        <f t="shared" si="23"/>
        <v>9801</v>
      </c>
      <c r="E115" s="1" t="s">
        <v>25</v>
      </c>
      <c r="F115" s="1" t="str">
        <f>"148116485"</f>
        <v>148116485</v>
      </c>
      <c r="G115" s="1" t="s">
        <v>33</v>
      </c>
      <c r="H115" s="1" t="str">
        <f t="shared" si="15"/>
        <v>20220901</v>
      </c>
      <c r="I115" s="1" t="str">
        <f>"163837"</f>
        <v>163837</v>
      </c>
      <c r="J115" s="1" t="s">
        <v>27</v>
      </c>
      <c r="K115" s="1" t="s">
        <v>28</v>
      </c>
      <c r="L115" s="1" t="str">
        <f t="shared" si="16"/>
        <v>20220901</v>
      </c>
      <c r="M115" s="1" t="str">
        <f>"170346"</f>
        <v>170346</v>
      </c>
      <c r="N115" s="1" t="s">
        <v>44</v>
      </c>
      <c r="O115" s="1" t="s">
        <v>45</v>
      </c>
      <c r="P115" s="1" t="s">
        <v>55</v>
      </c>
      <c r="Q115" s="1">
        <v>25</v>
      </c>
      <c r="R115" s="1">
        <v>0</v>
      </c>
      <c r="S115" s="1">
        <v>25</v>
      </c>
      <c r="T115" s="1">
        <v>0</v>
      </c>
      <c r="U115" s="1">
        <v>0</v>
      </c>
      <c r="V115" s="1" t="str">
        <f t="shared" si="19"/>
        <v>里程去程</v>
      </c>
      <c r="W115" s="1" t="str">
        <f>"2020"</f>
        <v>2020</v>
      </c>
      <c r="X115" s="1" t="s">
        <v>35</v>
      </c>
    </row>
    <row r="116" spans="1:24" x14ac:dyDescent="0.3">
      <c r="A116" s="1" t="str">
        <f t="shared" si="22"/>
        <v>59820</v>
      </c>
      <c r="B116" s="1" t="s">
        <v>53</v>
      </c>
      <c r="C116" s="1" t="s">
        <v>54</v>
      </c>
      <c r="D116" s="1" t="str">
        <f t="shared" si="23"/>
        <v>9801</v>
      </c>
      <c r="E116" s="1" t="s">
        <v>25</v>
      </c>
      <c r="F116" s="1" t="str">
        <f>"4249A416B9880400C814002000000019"</f>
        <v>4249A416B9880400C814002000000019</v>
      </c>
      <c r="G116" s="1" t="s">
        <v>59</v>
      </c>
      <c r="H116" s="1" t="str">
        <f t="shared" si="15"/>
        <v>20220901</v>
      </c>
      <c r="I116" s="1" t="str">
        <f>"173507"</f>
        <v>173507</v>
      </c>
      <c r="J116" s="1" t="s">
        <v>91</v>
      </c>
      <c r="K116" s="1" t="s">
        <v>45</v>
      </c>
      <c r="L116" s="1" t="str">
        <f t="shared" si="16"/>
        <v>20220901</v>
      </c>
      <c r="M116" s="1" t="str">
        <f>"175218"</f>
        <v>175218</v>
      </c>
      <c r="N116" s="1" t="s">
        <v>28</v>
      </c>
      <c r="O116" s="1" t="s">
        <v>28</v>
      </c>
      <c r="P116" s="1" t="s">
        <v>55</v>
      </c>
      <c r="Q116" s="1">
        <v>25</v>
      </c>
      <c r="R116" s="1">
        <v>25</v>
      </c>
      <c r="S116" s="1">
        <v>0</v>
      </c>
      <c r="T116" s="1">
        <v>0</v>
      </c>
      <c r="U116" s="1">
        <v>0</v>
      </c>
      <c r="V116" s="1" t="str">
        <f t="shared" ref="V116:V125" si="24">"里程返程"</f>
        <v>里程返程</v>
      </c>
      <c r="W116" s="1" t="str">
        <f>"0020"</f>
        <v>0020</v>
      </c>
      <c r="X116" s="1" t="s">
        <v>29</v>
      </c>
    </row>
    <row r="117" spans="1:24" x14ac:dyDescent="0.3">
      <c r="A117" s="1" t="str">
        <f t="shared" si="22"/>
        <v>59820</v>
      </c>
      <c r="B117" s="1" t="s">
        <v>53</v>
      </c>
      <c r="C117" s="1" t="s">
        <v>54</v>
      </c>
      <c r="D117" s="1" t="str">
        <f t="shared" si="23"/>
        <v>9801</v>
      </c>
      <c r="E117" s="1" t="s">
        <v>25</v>
      </c>
      <c r="F117" s="1" t="str">
        <f>"1259149621"</f>
        <v>1259149621</v>
      </c>
      <c r="G117" s="1" t="s">
        <v>38</v>
      </c>
      <c r="H117" s="1" t="str">
        <f t="shared" si="15"/>
        <v>20220901</v>
      </c>
      <c r="I117" s="1" t="str">
        <f>"173509"</f>
        <v>173509</v>
      </c>
      <c r="J117" s="1" t="s">
        <v>91</v>
      </c>
      <c r="K117" s="1" t="s">
        <v>45</v>
      </c>
      <c r="L117" s="1" t="str">
        <f t="shared" si="16"/>
        <v>20220901</v>
      </c>
      <c r="M117" s="1" t="str">
        <f>"175227"</f>
        <v>175227</v>
      </c>
      <c r="N117" s="1" t="s">
        <v>28</v>
      </c>
      <c r="O117" s="1" t="s">
        <v>28</v>
      </c>
      <c r="P117" s="1" t="s">
        <v>55</v>
      </c>
      <c r="Q117" s="1">
        <v>25</v>
      </c>
      <c r="R117" s="1">
        <v>25</v>
      </c>
      <c r="S117" s="1">
        <v>0</v>
      </c>
      <c r="T117" s="1">
        <v>0</v>
      </c>
      <c r="U117" s="1">
        <v>0</v>
      </c>
      <c r="V117" s="1" t="str">
        <f t="shared" si="24"/>
        <v>里程返程</v>
      </c>
      <c r="W117" s="1" t="str">
        <f>"2020"</f>
        <v>2020</v>
      </c>
      <c r="X117" s="1" t="s">
        <v>35</v>
      </c>
    </row>
    <row r="118" spans="1:24" x14ac:dyDescent="0.3">
      <c r="A118" s="1" t="str">
        <f t="shared" si="22"/>
        <v>59820</v>
      </c>
      <c r="B118" s="1" t="s">
        <v>53</v>
      </c>
      <c r="C118" s="1" t="s">
        <v>54</v>
      </c>
      <c r="D118" s="1" t="str">
        <f t="shared" si="23"/>
        <v>9801</v>
      </c>
      <c r="E118" s="1" t="s">
        <v>25</v>
      </c>
      <c r="F118" s="1" t="str">
        <f>"1769189713"</f>
        <v>1769189713</v>
      </c>
      <c r="G118" s="1" t="s">
        <v>33</v>
      </c>
      <c r="H118" s="1" t="str">
        <f t="shared" si="15"/>
        <v>20220901</v>
      </c>
      <c r="I118" s="1" t="str">
        <f>"175233"</f>
        <v>175233</v>
      </c>
      <c r="J118" s="1" t="s">
        <v>28</v>
      </c>
      <c r="K118" s="1" t="s">
        <v>28</v>
      </c>
      <c r="L118" s="1" t="str">
        <f t="shared" si="16"/>
        <v>20220901</v>
      </c>
      <c r="M118" s="1" t="str">
        <f>"180057"</f>
        <v>180057</v>
      </c>
      <c r="N118" s="1" t="s">
        <v>84</v>
      </c>
      <c r="O118" s="1" t="s">
        <v>28</v>
      </c>
      <c r="P118" s="1" t="s">
        <v>55</v>
      </c>
      <c r="Q118" s="1">
        <v>25</v>
      </c>
      <c r="R118" s="1">
        <v>0</v>
      </c>
      <c r="S118" s="1">
        <v>25</v>
      </c>
      <c r="T118" s="1">
        <v>0</v>
      </c>
      <c r="U118" s="1">
        <v>0</v>
      </c>
      <c r="V118" s="1" t="str">
        <f t="shared" si="24"/>
        <v>里程返程</v>
      </c>
      <c r="W118" s="1" t="str">
        <f>"0820"</f>
        <v>0820</v>
      </c>
      <c r="X118" s="1" t="s">
        <v>35</v>
      </c>
    </row>
    <row r="119" spans="1:24" x14ac:dyDescent="0.3">
      <c r="A119" s="1" t="str">
        <f t="shared" si="22"/>
        <v>59820</v>
      </c>
      <c r="B119" s="1" t="s">
        <v>53</v>
      </c>
      <c r="C119" s="1" t="s">
        <v>54</v>
      </c>
      <c r="D119" s="1" t="str">
        <f t="shared" si="23"/>
        <v>9801</v>
      </c>
      <c r="E119" s="1" t="s">
        <v>25</v>
      </c>
      <c r="F119" s="1" t="str">
        <f>"1337273169"</f>
        <v>1337273169</v>
      </c>
      <c r="G119" s="1" t="s">
        <v>33</v>
      </c>
      <c r="H119" s="1" t="str">
        <f t="shared" si="15"/>
        <v>20220901</v>
      </c>
      <c r="I119" s="1" t="str">
        <f>"175305"</f>
        <v>175305</v>
      </c>
      <c r="J119" s="1" t="s">
        <v>28</v>
      </c>
      <c r="K119" s="1" t="s">
        <v>28</v>
      </c>
      <c r="L119" s="1" t="str">
        <f t="shared" si="16"/>
        <v>20220901</v>
      </c>
      <c r="M119" s="1" t="str">
        <f>"183045"</f>
        <v>183045</v>
      </c>
      <c r="N119" s="1" t="s">
        <v>52</v>
      </c>
      <c r="O119" s="1" t="s">
        <v>52</v>
      </c>
      <c r="P119" s="1" t="s">
        <v>55</v>
      </c>
      <c r="Q119" s="1">
        <v>25</v>
      </c>
      <c r="R119" s="1">
        <v>0</v>
      </c>
      <c r="S119" s="1">
        <v>25</v>
      </c>
      <c r="T119" s="1">
        <v>0</v>
      </c>
      <c r="U119" s="1">
        <v>0</v>
      </c>
      <c r="V119" s="1" t="str">
        <f t="shared" si="24"/>
        <v>里程返程</v>
      </c>
      <c r="W119" s="1" t="str">
        <f>"0820"</f>
        <v>0820</v>
      </c>
      <c r="X119" s="1" t="s">
        <v>35</v>
      </c>
    </row>
    <row r="120" spans="1:24" x14ac:dyDescent="0.3">
      <c r="A120" s="1" t="str">
        <f t="shared" si="22"/>
        <v>59820</v>
      </c>
      <c r="B120" s="1" t="s">
        <v>53</v>
      </c>
      <c r="C120" s="1" t="s">
        <v>54</v>
      </c>
      <c r="D120" s="1" t="str">
        <f t="shared" si="23"/>
        <v>9801</v>
      </c>
      <c r="E120" s="1" t="s">
        <v>25</v>
      </c>
      <c r="F120" s="1" t="str">
        <f>"6212BD02CF880400C834002000000015"</f>
        <v>6212BD02CF880400C834002000000015</v>
      </c>
      <c r="G120" s="1" t="s">
        <v>26</v>
      </c>
      <c r="H120" s="1" t="str">
        <f t="shared" si="15"/>
        <v>20220901</v>
      </c>
      <c r="I120" s="1" t="str">
        <f>"185030"</f>
        <v>185030</v>
      </c>
      <c r="J120" s="1" t="s">
        <v>28</v>
      </c>
      <c r="K120" s="1" t="s">
        <v>28</v>
      </c>
      <c r="L120" s="1" t="str">
        <f t="shared" si="16"/>
        <v>20220901</v>
      </c>
      <c r="M120" s="1" t="str">
        <f>"192027"</f>
        <v>192027</v>
      </c>
      <c r="N120" s="1" t="s">
        <v>60</v>
      </c>
      <c r="O120" s="1" t="s">
        <v>52</v>
      </c>
      <c r="P120" s="1" t="s">
        <v>68</v>
      </c>
      <c r="Q120" s="1">
        <v>13</v>
      </c>
      <c r="R120" s="1">
        <v>0</v>
      </c>
      <c r="S120" s="1">
        <v>0</v>
      </c>
      <c r="T120" s="1">
        <v>13</v>
      </c>
      <c r="U120" s="1">
        <v>0</v>
      </c>
      <c r="V120" s="1" t="str">
        <f t="shared" si="24"/>
        <v>里程返程</v>
      </c>
      <c r="W120" s="1" t="str">
        <f>"0020"</f>
        <v>0020</v>
      </c>
      <c r="X120" s="1" t="s">
        <v>29</v>
      </c>
    </row>
    <row r="121" spans="1:24" x14ac:dyDescent="0.3">
      <c r="A121" s="1" t="str">
        <f t="shared" si="22"/>
        <v>59820</v>
      </c>
      <c r="B121" s="1" t="s">
        <v>53</v>
      </c>
      <c r="C121" s="1" t="s">
        <v>54</v>
      </c>
      <c r="D121" s="1" t="str">
        <f t="shared" si="23"/>
        <v>9801</v>
      </c>
      <c r="E121" s="1" t="s">
        <v>25</v>
      </c>
      <c r="F121" s="1" t="str">
        <f>"2031687200"</f>
        <v>2031687200</v>
      </c>
      <c r="G121" s="1" t="s">
        <v>33</v>
      </c>
      <c r="H121" s="1" t="str">
        <f t="shared" si="15"/>
        <v>20220901</v>
      </c>
      <c r="I121" s="1" t="str">
        <f>"185124"</f>
        <v>185124</v>
      </c>
      <c r="J121" s="1" t="s">
        <v>28</v>
      </c>
      <c r="K121" s="1" t="s">
        <v>28</v>
      </c>
      <c r="L121" s="1" t="str">
        <f t="shared" si="16"/>
        <v>20220901</v>
      </c>
      <c r="M121" s="1" t="str">
        <f>"191512"</f>
        <v>191512</v>
      </c>
      <c r="N121" s="1" t="s">
        <v>65</v>
      </c>
      <c r="O121" s="1" t="s">
        <v>52</v>
      </c>
      <c r="P121" s="1" t="s">
        <v>55</v>
      </c>
      <c r="Q121" s="1">
        <v>25</v>
      </c>
      <c r="R121" s="1">
        <v>25</v>
      </c>
      <c r="S121" s="1">
        <v>0</v>
      </c>
      <c r="T121" s="1">
        <v>0</v>
      </c>
      <c r="U121" s="1">
        <v>0</v>
      </c>
      <c r="V121" s="1" t="str">
        <f t="shared" si="24"/>
        <v>里程返程</v>
      </c>
      <c r="W121" s="1" t="str">
        <f>"2020"</f>
        <v>2020</v>
      </c>
      <c r="X121" s="1" t="s">
        <v>35</v>
      </c>
    </row>
    <row r="122" spans="1:24" x14ac:dyDescent="0.3">
      <c r="A122" s="1" t="str">
        <f t="shared" si="22"/>
        <v>59820</v>
      </c>
      <c r="B122" s="1" t="s">
        <v>53</v>
      </c>
      <c r="C122" s="1" t="s">
        <v>54</v>
      </c>
      <c r="D122" s="1" t="str">
        <f t="shared" si="23"/>
        <v>9801</v>
      </c>
      <c r="E122" s="1" t="s">
        <v>25</v>
      </c>
      <c r="F122" s="1" t="str">
        <f>"F2C149136928040080CED9985D913018"</f>
        <v>F2C149136928040080CED9985D913018</v>
      </c>
      <c r="G122" s="1" t="s">
        <v>59</v>
      </c>
      <c r="H122" s="1" t="str">
        <f t="shared" si="15"/>
        <v>20220901</v>
      </c>
      <c r="I122" s="1" t="str">
        <f>"185131"</f>
        <v>185131</v>
      </c>
      <c r="J122" s="1" t="s">
        <v>28</v>
      </c>
      <c r="K122" s="1" t="s">
        <v>28</v>
      </c>
      <c r="L122" s="1" t="str">
        <f t="shared" si="16"/>
        <v>20220901</v>
      </c>
      <c r="M122" s="1" t="str">
        <f>"191507"</f>
        <v>191507</v>
      </c>
      <c r="N122" s="1" t="s">
        <v>65</v>
      </c>
      <c r="O122" s="1" t="s">
        <v>52</v>
      </c>
      <c r="P122" s="1" t="s">
        <v>55</v>
      </c>
      <c r="Q122" s="1">
        <v>25</v>
      </c>
      <c r="R122" s="1">
        <v>25</v>
      </c>
      <c r="S122" s="1">
        <v>0</v>
      </c>
      <c r="T122" s="1">
        <v>0</v>
      </c>
      <c r="U122" s="1">
        <v>0</v>
      </c>
      <c r="V122" s="1" t="str">
        <f t="shared" si="24"/>
        <v>里程返程</v>
      </c>
      <c r="W122" s="1" t="str">
        <f>"0020"</f>
        <v>0020</v>
      </c>
      <c r="X122" s="1" t="s">
        <v>29</v>
      </c>
    </row>
    <row r="123" spans="1:24" x14ac:dyDescent="0.3">
      <c r="A123" s="1" t="str">
        <f t="shared" si="22"/>
        <v>59820</v>
      </c>
      <c r="B123" s="1" t="s">
        <v>53</v>
      </c>
      <c r="C123" s="1" t="s">
        <v>54</v>
      </c>
      <c r="D123" s="1" t="str">
        <f t="shared" si="23"/>
        <v>9801</v>
      </c>
      <c r="E123" s="1" t="s">
        <v>25</v>
      </c>
      <c r="F123" s="1" t="str">
        <f>"1127797057"</f>
        <v>1127797057</v>
      </c>
      <c r="G123" s="1" t="s">
        <v>33</v>
      </c>
      <c r="H123" s="1" t="str">
        <f t="shared" si="15"/>
        <v>20220901</v>
      </c>
      <c r="I123" s="1" t="str">
        <f>"185241"</f>
        <v>185241</v>
      </c>
      <c r="J123" s="1" t="s">
        <v>28</v>
      </c>
      <c r="K123" s="1" t="s">
        <v>28</v>
      </c>
      <c r="L123" s="1" t="str">
        <f t="shared" si="16"/>
        <v>20220901</v>
      </c>
      <c r="M123" s="1" t="str">
        <f>"192041"</f>
        <v>192041</v>
      </c>
      <c r="N123" s="1" t="s">
        <v>60</v>
      </c>
      <c r="O123" s="1" t="s">
        <v>52</v>
      </c>
      <c r="P123" s="1" t="s">
        <v>55</v>
      </c>
      <c r="Q123" s="1">
        <v>25</v>
      </c>
      <c r="R123" s="1">
        <v>25</v>
      </c>
      <c r="S123" s="1">
        <v>0</v>
      </c>
      <c r="T123" s="1">
        <v>0</v>
      </c>
      <c r="U123" s="1">
        <v>0</v>
      </c>
      <c r="V123" s="1" t="str">
        <f t="shared" si="24"/>
        <v>里程返程</v>
      </c>
      <c r="W123" s="1" t="str">
        <f>"0820"</f>
        <v>0820</v>
      </c>
      <c r="X123" s="1" t="s">
        <v>35</v>
      </c>
    </row>
    <row r="124" spans="1:24" x14ac:dyDescent="0.3">
      <c r="A124" s="1" t="str">
        <f t="shared" si="22"/>
        <v>59820</v>
      </c>
      <c r="B124" s="1" t="s">
        <v>53</v>
      </c>
      <c r="C124" s="1" t="s">
        <v>54</v>
      </c>
      <c r="D124" s="1" t="str">
        <f t="shared" si="23"/>
        <v>9801</v>
      </c>
      <c r="E124" s="1" t="s">
        <v>25</v>
      </c>
      <c r="F124" s="1" t="str">
        <f>"885956401"</f>
        <v>885956401</v>
      </c>
      <c r="G124" s="1" t="s">
        <v>33</v>
      </c>
      <c r="H124" s="1" t="str">
        <f t="shared" si="15"/>
        <v>20220901</v>
      </c>
      <c r="I124" s="1" t="str">
        <f>"185246"</f>
        <v>185246</v>
      </c>
      <c r="J124" s="1" t="s">
        <v>28</v>
      </c>
      <c r="K124" s="1" t="s">
        <v>28</v>
      </c>
      <c r="L124" s="1" t="str">
        <f t="shared" si="16"/>
        <v>20220901</v>
      </c>
      <c r="M124" s="1" t="str">
        <f>"192039"</f>
        <v>192039</v>
      </c>
      <c r="N124" s="1" t="s">
        <v>60</v>
      </c>
      <c r="O124" s="1" t="s">
        <v>52</v>
      </c>
      <c r="P124" s="1" t="s">
        <v>55</v>
      </c>
      <c r="Q124" s="1">
        <v>25</v>
      </c>
      <c r="R124" s="1">
        <v>25</v>
      </c>
      <c r="S124" s="1">
        <v>0</v>
      </c>
      <c r="T124" s="1">
        <v>0</v>
      </c>
      <c r="U124" s="1">
        <v>0</v>
      </c>
      <c r="V124" s="1" t="str">
        <f t="shared" si="24"/>
        <v>里程返程</v>
      </c>
      <c r="W124" s="1" t="str">
        <f>"0320"</f>
        <v>0320</v>
      </c>
      <c r="X124" s="1" t="s">
        <v>35</v>
      </c>
    </row>
    <row r="125" spans="1:24" x14ac:dyDescent="0.3">
      <c r="A125" s="1" t="str">
        <f t="shared" si="22"/>
        <v>59820</v>
      </c>
      <c r="B125" s="1" t="s">
        <v>53</v>
      </c>
      <c r="C125" s="1" t="s">
        <v>54</v>
      </c>
      <c r="D125" s="1" t="str">
        <f t="shared" si="23"/>
        <v>9801</v>
      </c>
      <c r="E125" s="1" t="s">
        <v>25</v>
      </c>
      <c r="F125" s="1" t="str">
        <f>"2823819688"</f>
        <v>2823819688</v>
      </c>
      <c r="G125" s="1" t="s">
        <v>33</v>
      </c>
      <c r="H125" s="1" t="str">
        <f t="shared" si="15"/>
        <v>20220901</v>
      </c>
      <c r="I125" s="1" t="str">
        <f>"185444"</f>
        <v>185444</v>
      </c>
      <c r="J125" s="1" t="s">
        <v>28</v>
      </c>
      <c r="K125" s="1" t="s">
        <v>28</v>
      </c>
      <c r="L125" s="1" t="str">
        <f t="shared" si="16"/>
        <v>20220901</v>
      </c>
      <c r="M125" s="1" t="str">
        <f>"192358"</f>
        <v>192358</v>
      </c>
      <c r="N125" s="1" t="s">
        <v>52</v>
      </c>
      <c r="O125" s="1" t="s">
        <v>52</v>
      </c>
      <c r="P125" s="1" t="s">
        <v>55</v>
      </c>
      <c r="Q125" s="1">
        <v>25</v>
      </c>
      <c r="R125" s="1">
        <v>25</v>
      </c>
      <c r="S125" s="1">
        <v>0</v>
      </c>
      <c r="T125" s="1">
        <v>0</v>
      </c>
      <c r="U125" s="1">
        <v>0</v>
      </c>
      <c r="V125" s="1" t="str">
        <f t="shared" si="24"/>
        <v>里程返程</v>
      </c>
      <c r="W125" s="1" t="str">
        <f>"0620"</f>
        <v>0620</v>
      </c>
      <c r="X125" s="1" t="s">
        <v>35</v>
      </c>
    </row>
    <row r="126" spans="1:24" x14ac:dyDescent="0.3">
      <c r="A126" s="1" t="str">
        <f t="shared" si="22"/>
        <v>59820</v>
      </c>
      <c r="B126" s="1" t="s">
        <v>53</v>
      </c>
      <c r="C126" s="1" t="s">
        <v>54</v>
      </c>
      <c r="D126" s="1" t="str">
        <f t="shared" si="23"/>
        <v>9801</v>
      </c>
      <c r="E126" s="1" t="s">
        <v>25</v>
      </c>
      <c r="F126" s="1" t="str">
        <f>"894153189"</f>
        <v>894153189</v>
      </c>
      <c r="G126" s="1" t="s">
        <v>33</v>
      </c>
      <c r="H126" s="1" t="str">
        <f t="shared" si="15"/>
        <v>20220901</v>
      </c>
      <c r="I126" s="1" t="str">
        <f>"201053"</f>
        <v>201053</v>
      </c>
      <c r="J126" s="1" t="s">
        <v>72</v>
      </c>
      <c r="K126" s="1" t="s">
        <v>52</v>
      </c>
      <c r="L126" s="1" t="str">
        <f t="shared" si="16"/>
        <v>20220901</v>
      </c>
      <c r="M126" s="1" t="str">
        <f>"203226"</f>
        <v>203226</v>
      </c>
      <c r="N126" s="1" t="s">
        <v>70</v>
      </c>
      <c r="O126" s="1" t="s">
        <v>28</v>
      </c>
      <c r="P126" s="1" t="s">
        <v>55</v>
      </c>
      <c r="Q126" s="1">
        <v>25</v>
      </c>
      <c r="R126" s="1">
        <v>25</v>
      </c>
      <c r="S126" s="1">
        <v>0</v>
      </c>
      <c r="T126" s="1">
        <v>0</v>
      </c>
      <c r="U126" s="1">
        <v>0</v>
      </c>
      <c r="V126" s="1" t="str">
        <f>"里程去程"</f>
        <v>里程去程</v>
      </c>
      <c r="W126" s="1" t="str">
        <f>"2120"</f>
        <v>2120</v>
      </c>
      <c r="X126" s="1" t="s">
        <v>35</v>
      </c>
    </row>
    <row r="127" spans="1:24" x14ac:dyDescent="0.3">
      <c r="A127" s="1" t="str">
        <f t="shared" si="22"/>
        <v>59820</v>
      </c>
      <c r="B127" s="1" t="s">
        <v>53</v>
      </c>
      <c r="C127" s="1" t="s">
        <v>54</v>
      </c>
      <c r="D127" s="1" t="str">
        <f t="shared" si="23"/>
        <v>9801</v>
      </c>
      <c r="E127" s="1" t="s">
        <v>25</v>
      </c>
      <c r="F127" s="1" t="str">
        <f>"1071069425"</f>
        <v>1071069425</v>
      </c>
      <c r="G127" s="1" t="s">
        <v>33</v>
      </c>
      <c r="H127" s="1" t="str">
        <f t="shared" si="15"/>
        <v>20220901</v>
      </c>
      <c r="I127" s="1" t="str">
        <f>"203357"</f>
        <v>203357</v>
      </c>
      <c r="J127" s="1" t="s">
        <v>27</v>
      </c>
      <c r="K127" s="1" t="s">
        <v>28</v>
      </c>
      <c r="L127" s="1" t="str">
        <f t="shared" si="16"/>
        <v>20220901</v>
      </c>
      <c r="M127" s="1" t="str">
        <f>"204617"</f>
        <v>204617</v>
      </c>
      <c r="N127" s="1" t="s">
        <v>56</v>
      </c>
      <c r="O127" s="1" t="s">
        <v>45</v>
      </c>
      <c r="P127" s="1" t="s">
        <v>55</v>
      </c>
      <c r="Q127" s="1">
        <v>25</v>
      </c>
      <c r="R127" s="1">
        <v>25</v>
      </c>
      <c r="S127" s="1">
        <v>0</v>
      </c>
      <c r="T127" s="1">
        <v>0</v>
      </c>
      <c r="U127" s="1">
        <v>0</v>
      </c>
      <c r="V127" s="1" t="str">
        <f>"里程去程"</f>
        <v>里程去程</v>
      </c>
      <c r="W127" s="1" t="str">
        <f>"0120"</f>
        <v>0120</v>
      </c>
      <c r="X127" s="1" t="s">
        <v>35</v>
      </c>
    </row>
    <row r="128" spans="1:24" x14ac:dyDescent="0.3">
      <c r="A128" s="1" t="str">
        <f t="shared" si="22"/>
        <v>59820</v>
      </c>
      <c r="B128" s="1" t="s">
        <v>53</v>
      </c>
      <c r="C128" s="1" t="s">
        <v>54</v>
      </c>
      <c r="D128" s="1" t="str">
        <f>"9805"</f>
        <v>9805</v>
      </c>
      <c r="E128" s="1" t="s">
        <v>57</v>
      </c>
      <c r="F128" s="1" t="str">
        <f>"F2C149136928040080CED9985D913018"</f>
        <v>F2C149136928040080CED9985D913018</v>
      </c>
      <c r="G128" s="1" t="s">
        <v>59</v>
      </c>
      <c r="H128" s="1" t="str">
        <f t="shared" si="15"/>
        <v>20220901</v>
      </c>
      <c r="I128" s="1" t="str">
        <f>"205622"</f>
        <v>205622</v>
      </c>
      <c r="J128" s="1" t="s">
        <v>52</v>
      </c>
      <c r="K128" s="1" t="s">
        <v>52</v>
      </c>
      <c r="L128" s="1" t="str">
        <f t="shared" si="16"/>
        <v>20220901</v>
      </c>
      <c r="M128" s="1" t="str">
        <f>"211828"</f>
        <v>211828</v>
      </c>
      <c r="N128" s="1" t="s">
        <v>28</v>
      </c>
      <c r="O128" s="1" t="s">
        <v>28</v>
      </c>
      <c r="P128" s="1" t="s">
        <v>55</v>
      </c>
      <c r="Q128" s="1">
        <v>25</v>
      </c>
      <c r="R128" s="1">
        <v>0</v>
      </c>
      <c r="S128" s="1">
        <v>25</v>
      </c>
      <c r="T128" s="1">
        <v>0</v>
      </c>
      <c r="U128" s="1">
        <v>0</v>
      </c>
      <c r="V128" s="1" t="str">
        <f t="shared" ref="V128:V143" si="25">"里程返程"</f>
        <v>里程返程</v>
      </c>
      <c r="W128" s="1" t="str">
        <f>"2020"</f>
        <v>2020</v>
      </c>
      <c r="X128" s="1" t="s">
        <v>29</v>
      </c>
    </row>
    <row r="129" spans="1:24" x14ac:dyDescent="0.3">
      <c r="A129" s="1" t="str">
        <f t="shared" si="22"/>
        <v>59820</v>
      </c>
      <c r="B129" s="1" t="s">
        <v>53</v>
      </c>
      <c r="C129" s="1" t="s">
        <v>54</v>
      </c>
      <c r="D129" s="1" t="str">
        <f>"9805"</f>
        <v>9805</v>
      </c>
      <c r="E129" s="1" t="s">
        <v>57</v>
      </c>
      <c r="F129" s="1" t="str">
        <f>"2031687200"</f>
        <v>2031687200</v>
      </c>
      <c r="G129" s="1" t="s">
        <v>33</v>
      </c>
      <c r="H129" s="1" t="str">
        <f t="shared" si="15"/>
        <v>20220901</v>
      </c>
      <c r="I129" s="1" t="str">
        <f>"205624"</f>
        <v>205624</v>
      </c>
      <c r="J129" s="1" t="s">
        <v>52</v>
      </c>
      <c r="K129" s="1" t="s">
        <v>52</v>
      </c>
      <c r="L129" s="1" t="str">
        <f t="shared" si="16"/>
        <v>20220901</v>
      </c>
      <c r="M129" s="1" t="str">
        <f>"211825"</f>
        <v>211825</v>
      </c>
      <c r="N129" s="1" t="s">
        <v>28</v>
      </c>
      <c r="O129" s="1" t="s">
        <v>28</v>
      </c>
      <c r="P129" s="1" t="s">
        <v>55</v>
      </c>
      <c r="Q129" s="1">
        <v>25</v>
      </c>
      <c r="R129" s="1">
        <v>0</v>
      </c>
      <c r="S129" s="1">
        <v>25</v>
      </c>
      <c r="T129" s="1">
        <v>0</v>
      </c>
      <c r="U129" s="1">
        <v>0</v>
      </c>
      <c r="V129" s="1" t="str">
        <f t="shared" si="25"/>
        <v>里程返程</v>
      </c>
      <c r="W129" s="1" t="str">
        <f>"2020"</f>
        <v>2020</v>
      </c>
      <c r="X129" s="1" t="s">
        <v>35</v>
      </c>
    </row>
    <row r="130" spans="1:24" x14ac:dyDescent="0.3">
      <c r="A130" s="1" t="str">
        <f t="shared" ref="A130:A174" si="26">"59822"</f>
        <v>59822</v>
      </c>
      <c r="B130" s="1" t="s">
        <v>39</v>
      </c>
      <c r="C130" s="1" t="s">
        <v>40</v>
      </c>
      <c r="D130" s="1" t="str">
        <f t="shared" ref="D130:D161" si="27">"9801"</f>
        <v>9801</v>
      </c>
      <c r="E130" s="1" t="s">
        <v>25</v>
      </c>
      <c r="F130" s="1" t="str">
        <f>"692164657"</f>
        <v>692164657</v>
      </c>
      <c r="G130" s="1" t="s">
        <v>33</v>
      </c>
      <c r="H130" s="1" t="str">
        <f t="shared" ref="H130:H193" si="28">"20220901"</f>
        <v>20220901</v>
      </c>
      <c r="I130" s="1" t="str">
        <f>"055810"</f>
        <v>055810</v>
      </c>
      <c r="J130" s="1" t="s">
        <v>44</v>
      </c>
      <c r="K130" s="1" t="s">
        <v>45</v>
      </c>
      <c r="L130" s="1" t="str">
        <f t="shared" ref="L130:L193" si="29">"20220901"</f>
        <v>20220901</v>
      </c>
      <c r="M130" s="1" t="str">
        <f>"062049"</f>
        <v>062049</v>
      </c>
      <c r="N130" s="1" t="s">
        <v>28</v>
      </c>
      <c r="O130" s="1" t="s">
        <v>28</v>
      </c>
      <c r="P130" s="1" t="s">
        <v>55</v>
      </c>
      <c r="Q130" s="1">
        <v>25</v>
      </c>
      <c r="R130" s="1">
        <v>25</v>
      </c>
      <c r="S130" s="1">
        <v>0</v>
      </c>
      <c r="T130" s="1">
        <v>0</v>
      </c>
      <c r="U130" s="1">
        <v>0</v>
      </c>
      <c r="V130" s="1" t="str">
        <f t="shared" si="25"/>
        <v>里程返程</v>
      </c>
      <c r="W130" s="1" t="str">
        <f>"2120"</f>
        <v>2120</v>
      </c>
      <c r="X130" s="1" t="s">
        <v>35</v>
      </c>
    </row>
    <row r="131" spans="1:24" x14ac:dyDescent="0.3">
      <c r="A131" s="1" t="str">
        <f t="shared" si="26"/>
        <v>59822</v>
      </c>
      <c r="B131" s="1" t="s">
        <v>39</v>
      </c>
      <c r="C131" s="1" t="s">
        <v>40</v>
      </c>
      <c r="D131" s="1" t="str">
        <f t="shared" si="27"/>
        <v>9801</v>
      </c>
      <c r="E131" s="1" t="s">
        <v>25</v>
      </c>
      <c r="F131" s="1" t="str">
        <f>"1532624856"</f>
        <v>1532624856</v>
      </c>
      <c r="G131" s="1" t="s">
        <v>33</v>
      </c>
      <c r="H131" s="1" t="str">
        <f t="shared" si="28"/>
        <v>20220901</v>
      </c>
      <c r="I131" s="1" t="str">
        <f>"055812"</f>
        <v>055812</v>
      </c>
      <c r="J131" s="1" t="s">
        <v>44</v>
      </c>
      <c r="K131" s="1" t="s">
        <v>45</v>
      </c>
      <c r="L131" s="1" t="str">
        <f t="shared" si="29"/>
        <v>20220901</v>
      </c>
      <c r="M131" s="1" t="str">
        <f>"062040"</f>
        <v>062040</v>
      </c>
      <c r="N131" s="1" t="s">
        <v>28</v>
      </c>
      <c r="O131" s="1" t="s">
        <v>28</v>
      </c>
      <c r="P131" s="1" t="s">
        <v>55</v>
      </c>
      <c r="Q131" s="1">
        <v>25</v>
      </c>
      <c r="R131" s="1">
        <v>25</v>
      </c>
      <c r="S131" s="1">
        <v>0</v>
      </c>
      <c r="T131" s="1">
        <v>0</v>
      </c>
      <c r="U131" s="1">
        <v>0</v>
      </c>
      <c r="V131" s="1" t="str">
        <f t="shared" si="25"/>
        <v>里程返程</v>
      </c>
      <c r="W131" s="1" t="str">
        <f>"2120"</f>
        <v>2120</v>
      </c>
      <c r="X131" s="1" t="s">
        <v>35</v>
      </c>
    </row>
    <row r="132" spans="1:24" x14ac:dyDescent="0.3">
      <c r="A132" s="1" t="str">
        <f t="shared" si="26"/>
        <v>59822</v>
      </c>
      <c r="B132" s="1" t="s">
        <v>39</v>
      </c>
      <c r="C132" s="1" t="s">
        <v>40</v>
      </c>
      <c r="D132" s="1" t="str">
        <f t="shared" si="27"/>
        <v>9801</v>
      </c>
      <c r="E132" s="1" t="s">
        <v>25</v>
      </c>
      <c r="F132" s="1" t="str">
        <f>"E130C75F492804001C00000000000000"</f>
        <v>E130C75F492804001C00000000000000</v>
      </c>
      <c r="G132" s="1" t="s">
        <v>58</v>
      </c>
      <c r="H132" s="1" t="str">
        <f t="shared" si="28"/>
        <v>20220901</v>
      </c>
      <c r="I132" s="1" t="str">
        <f>"061301"</f>
        <v>061301</v>
      </c>
      <c r="J132" s="1" t="s">
        <v>79</v>
      </c>
      <c r="K132" s="1" t="s">
        <v>45</v>
      </c>
      <c r="L132" s="1" t="str">
        <f t="shared" si="29"/>
        <v>20220901</v>
      </c>
      <c r="M132" s="1" t="str">
        <f>"062052"</f>
        <v>062052</v>
      </c>
      <c r="N132" s="1" t="s">
        <v>28</v>
      </c>
      <c r="O132" s="1" t="s">
        <v>28</v>
      </c>
      <c r="P132" s="1" t="s">
        <v>55</v>
      </c>
      <c r="Q132" s="1">
        <v>25</v>
      </c>
      <c r="R132" s="1">
        <v>25</v>
      </c>
      <c r="S132" s="1">
        <v>0</v>
      </c>
      <c r="T132" s="1">
        <v>0</v>
      </c>
      <c r="U132" s="1">
        <v>0</v>
      </c>
      <c r="V132" s="1" t="str">
        <f t="shared" si="25"/>
        <v>里程返程</v>
      </c>
      <c r="W132" s="1" t="str">
        <f>"0020"</f>
        <v>0020</v>
      </c>
      <c r="X132" s="1" t="s">
        <v>29</v>
      </c>
    </row>
    <row r="133" spans="1:24" x14ac:dyDescent="0.3">
      <c r="A133" s="1" t="str">
        <f t="shared" si="26"/>
        <v>59822</v>
      </c>
      <c r="B133" s="1" t="s">
        <v>39</v>
      </c>
      <c r="C133" s="1" t="s">
        <v>40</v>
      </c>
      <c r="D133" s="1" t="str">
        <f t="shared" si="27"/>
        <v>9801</v>
      </c>
      <c r="E133" s="1" t="s">
        <v>25</v>
      </c>
      <c r="F133" s="1" t="str">
        <f>"1752749445"</f>
        <v>1752749445</v>
      </c>
      <c r="G133" s="1" t="s">
        <v>33</v>
      </c>
      <c r="H133" s="1" t="str">
        <f t="shared" si="28"/>
        <v>20220901</v>
      </c>
      <c r="I133" s="1" t="str">
        <f>"062849"</f>
        <v>062849</v>
      </c>
      <c r="J133" s="1" t="s">
        <v>28</v>
      </c>
      <c r="K133" s="1" t="s">
        <v>28</v>
      </c>
      <c r="L133" s="1" t="str">
        <f t="shared" si="29"/>
        <v>20220901</v>
      </c>
      <c r="M133" s="1" t="str">
        <f>"065247"</f>
        <v>065247</v>
      </c>
      <c r="N133" s="1" t="s">
        <v>72</v>
      </c>
      <c r="O133" s="1" t="s">
        <v>52</v>
      </c>
      <c r="P133" s="1" t="s">
        <v>55</v>
      </c>
      <c r="Q133" s="1">
        <v>25</v>
      </c>
      <c r="R133" s="1">
        <v>0</v>
      </c>
      <c r="S133" s="1">
        <v>25</v>
      </c>
      <c r="T133" s="1">
        <v>0</v>
      </c>
      <c r="U133" s="1">
        <v>0</v>
      </c>
      <c r="V133" s="1" t="str">
        <f t="shared" si="25"/>
        <v>里程返程</v>
      </c>
      <c r="W133" s="1" t="str">
        <f>"0820"</f>
        <v>0820</v>
      </c>
      <c r="X133" s="1" t="s">
        <v>35</v>
      </c>
    </row>
    <row r="134" spans="1:24" x14ac:dyDescent="0.3">
      <c r="A134" s="1" t="str">
        <f t="shared" si="26"/>
        <v>59822</v>
      </c>
      <c r="B134" s="1" t="s">
        <v>39</v>
      </c>
      <c r="C134" s="1" t="s">
        <v>40</v>
      </c>
      <c r="D134" s="1" t="str">
        <f t="shared" si="27"/>
        <v>9801</v>
      </c>
      <c r="E134" s="1" t="s">
        <v>25</v>
      </c>
      <c r="F134" s="1" t="str">
        <f>"619F1761882804001C00000000000000"</f>
        <v>619F1761882804001C00000000000000</v>
      </c>
      <c r="G134" s="1" t="s">
        <v>58</v>
      </c>
      <c r="H134" s="1" t="str">
        <f t="shared" si="28"/>
        <v>20220901</v>
      </c>
      <c r="I134" s="1" t="str">
        <f>"062923"</f>
        <v>062923</v>
      </c>
      <c r="J134" s="1" t="s">
        <v>28</v>
      </c>
      <c r="K134" s="1" t="s">
        <v>28</v>
      </c>
      <c r="L134" s="1" t="str">
        <f t="shared" si="29"/>
        <v>20220901</v>
      </c>
      <c r="M134" s="1" t="str">
        <f>"065209"</f>
        <v>065209</v>
      </c>
      <c r="N134" s="1" t="s">
        <v>65</v>
      </c>
      <c r="O134" s="1" t="s">
        <v>52</v>
      </c>
      <c r="P134" s="1" t="s">
        <v>55</v>
      </c>
      <c r="Q134" s="1">
        <v>25</v>
      </c>
      <c r="R134" s="1">
        <v>0</v>
      </c>
      <c r="S134" s="1">
        <v>25</v>
      </c>
      <c r="T134" s="1">
        <v>0</v>
      </c>
      <c r="U134" s="1">
        <v>0</v>
      </c>
      <c r="V134" s="1" t="str">
        <f t="shared" si="25"/>
        <v>里程返程</v>
      </c>
      <c r="W134" s="1" t="str">
        <f>"0620"</f>
        <v>0620</v>
      </c>
      <c r="X134" s="1" t="s">
        <v>29</v>
      </c>
    </row>
    <row r="135" spans="1:24" x14ac:dyDescent="0.3">
      <c r="A135" s="1" t="str">
        <f t="shared" si="26"/>
        <v>59822</v>
      </c>
      <c r="B135" s="1" t="s">
        <v>39</v>
      </c>
      <c r="C135" s="1" t="s">
        <v>40</v>
      </c>
      <c r="D135" s="1" t="str">
        <f t="shared" si="27"/>
        <v>9801</v>
      </c>
      <c r="E135" s="1" t="s">
        <v>25</v>
      </c>
      <c r="F135" s="1" t="str">
        <f>"1558861583"</f>
        <v>1558861583</v>
      </c>
      <c r="G135" s="1" t="s">
        <v>33</v>
      </c>
      <c r="H135" s="1" t="str">
        <f t="shared" si="28"/>
        <v>20220901</v>
      </c>
      <c r="I135" s="1" t="str">
        <f>"070845"</f>
        <v>070845</v>
      </c>
      <c r="J135" s="1" t="s">
        <v>75</v>
      </c>
      <c r="K135" s="1" t="s">
        <v>45</v>
      </c>
      <c r="L135" s="1" t="str">
        <f t="shared" si="29"/>
        <v>20220901</v>
      </c>
      <c r="M135" s="1" t="str">
        <f>"072044"</f>
        <v>072044</v>
      </c>
      <c r="N135" s="1" t="s">
        <v>28</v>
      </c>
      <c r="O135" s="1" t="s">
        <v>28</v>
      </c>
      <c r="P135" s="1" t="s">
        <v>55</v>
      </c>
      <c r="Q135" s="1">
        <v>25</v>
      </c>
      <c r="R135" s="1">
        <v>25</v>
      </c>
      <c r="S135" s="1">
        <v>0</v>
      </c>
      <c r="T135" s="1">
        <v>0</v>
      </c>
      <c r="U135" s="1">
        <v>0</v>
      </c>
      <c r="V135" s="1" t="str">
        <f t="shared" si="25"/>
        <v>里程返程</v>
      </c>
      <c r="W135" s="1" t="str">
        <f>"2120"</f>
        <v>2120</v>
      </c>
      <c r="X135" s="1" t="s">
        <v>35</v>
      </c>
    </row>
    <row r="136" spans="1:24" x14ac:dyDescent="0.3">
      <c r="A136" s="1" t="str">
        <f t="shared" si="26"/>
        <v>59822</v>
      </c>
      <c r="B136" s="1" t="s">
        <v>39</v>
      </c>
      <c r="C136" s="1" t="s">
        <v>40</v>
      </c>
      <c r="D136" s="1" t="str">
        <f t="shared" si="27"/>
        <v>9801</v>
      </c>
      <c r="E136" s="1" t="s">
        <v>25</v>
      </c>
      <c r="F136" s="1" t="str">
        <f>"F282E40195880400C821002000000015"</f>
        <v>F282E40195880400C821002000000015</v>
      </c>
      <c r="G136" s="1" t="s">
        <v>58</v>
      </c>
      <c r="H136" s="1" t="str">
        <f t="shared" si="28"/>
        <v>20220901</v>
      </c>
      <c r="I136" s="1" t="str">
        <f>"072049"</f>
        <v>072049</v>
      </c>
      <c r="J136" s="1" t="s">
        <v>28</v>
      </c>
      <c r="K136" s="1" t="s">
        <v>28</v>
      </c>
      <c r="L136" s="1" t="str">
        <f t="shared" si="29"/>
        <v>20220901</v>
      </c>
      <c r="M136" s="1" t="str">
        <f>"074641"</f>
        <v>074641</v>
      </c>
      <c r="N136" s="1" t="s">
        <v>65</v>
      </c>
      <c r="O136" s="1" t="s">
        <v>52</v>
      </c>
      <c r="P136" s="1" t="s">
        <v>55</v>
      </c>
      <c r="Q136" s="1">
        <v>25</v>
      </c>
      <c r="R136" s="1">
        <v>0</v>
      </c>
      <c r="S136" s="1">
        <v>25</v>
      </c>
      <c r="T136" s="1">
        <v>0</v>
      </c>
      <c r="U136" s="1">
        <v>0</v>
      </c>
      <c r="V136" s="1" t="str">
        <f t="shared" si="25"/>
        <v>里程返程</v>
      </c>
      <c r="W136" s="1" t="str">
        <f>"0620"</f>
        <v>0620</v>
      </c>
      <c r="X136" s="1" t="s">
        <v>29</v>
      </c>
    </row>
    <row r="137" spans="1:24" x14ac:dyDescent="0.3">
      <c r="A137" s="1" t="str">
        <f t="shared" si="26"/>
        <v>59822</v>
      </c>
      <c r="B137" s="1" t="s">
        <v>39</v>
      </c>
      <c r="C137" s="1" t="s">
        <v>40</v>
      </c>
      <c r="D137" s="1" t="str">
        <f t="shared" si="27"/>
        <v>9801</v>
      </c>
      <c r="E137" s="1" t="s">
        <v>25</v>
      </c>
      <c r="F137" s="1" t="str">
        <f>"1654839936"</f>
        <v>1654839936</v>
      </c>
      <c r="G137" s="1" t="s">
        <v>33</v>
      </c>
      <c r="H137" s="1" t="str">
        <f t="shared" si="28"/>
        <v>20220901</v>
      </c>
      <c r="I137" s="1" t="str">
        <f>"072059"</f>
        <v>072059</v>
      </c>
      <c r="J137" s="1" t="s">
        <v>28</v>
      </c>
      <c r="K137" s="1" t="s">
        <v>28</v>
      </c>
      <c r="L137" s="1" t="str">
        <f t="shared" si="29"/>
        <v>20220901</v>
      </c>
      <c r="M137" s="1" t="str">
        <f>"074644"</f>
        <v>074644</v>
      </c>
      <c r="N137" s="1" t="s">
        <v>65</v>
      </c>
      <c r="O137" s="1" t="s">
        <v>52</v>
      </c>
      <c r="P137" s="1" t="s">
        <v>55</v>
      </c>
      <c r="Q137" s="1">
        <v>25</v>
      </c>
      <c r="R137" s="1">
        <v>0</v>
      </c>
      <c r="S137" s="1">
        <v>25</v>
      </c>
      <c r="T137" s="1">
        <v>0</v>
      </c>
      <c r="U137" s="1">
        <v>0</v>
      </c>
      <c r="V137" s="1" t="str">
        <f t="shared" si="25"/>
        <v>里程返程</v>
      </c>
      <c r="W137" s="1" t="str">
        <f>"0820"</f>
        <v>0820</v>
      </c>
      <c r="X137" s="1" t="s">
        <v>35</v>
      </c>
    </row>
    <row r="138" spans="1:24" x14ac:dyDescent="0.3">
      <c r="A138" s="1" t="str">
        <f t="shared" si="26"/>
        <v>59822</v>
      </c>
      <c r="B138" s="1" t="s">
        <v>39</v>
      </c>
      <c r="C138" s="1" t="s">
        <v>40</v>
      </c>
      <c r="D138" s="1" t="str">
        <f t="shared" si="27"/>
        <v>9801</v>
      </c>
      <c r="E138" s="1" t="s">
        <v>25</v>
      </c>
      <c r="F138" s="1" t="str">
        <f>"623A1B0340880400C834002000000015"</f>
        <v>623A1B0340880400C834002000000015</v>
      </c>
      <c r="G138" s="1" t="s">
        <v>26</v>
      </c>
      <c r="H138" s="1" t="str">
        <f t="shared" si="28"/>
        <v>20220901</v>
      </c>
      <c r="I138" s="1" t="str">
        <f>"072104"</f>
        <v>072104</v>
      </c>
      <c r="J138" s="1" t="s">
        <v>28</v>
      </c>
      <c r="K138" s="1" t="s">
        <v>28</v>
      </c>
      <c r="L138" s="1" t="str">
        <f t="shared" si="29"/>
        <v>20220901</v>
      </c>
      <c r="M138" s="1" t="str">
        <f>"075553"</f>
        <v>075553</v>
      </c>
      <c r="N138" s="1" t="s">
        <v>60</v>
      </c>
      <c r="O138" s="1" t="s">
        <v>52</v>
      </c>
      <c r="P138" s="1" t="s">
        <v>68</v>
      </c>
      <c r="Q138" s="1">
        <v>13</v>
      </c>
      <c r="R138" s="1">
        <v>0</v>
      </c>
      <c r="S138" s="1">
        <v>0</v>
      </c>
      <c r="T138" s="1">
        <v>13</v>
      </c>
      <c r="U138" s="1">
        <v>0</v>
      </c>
      <c r="V138" s="1" t="str">
        <f t="shared" si="25"/>
        <v>里程返程</v>
      </c>
      <c r="W138" s="1" t="str">
        <f>"0020"</f>
        <v>0020</v>
      </c>
      <c r="X138" s="1" t="s">
        <v>29</v>
      </c>
    </row>
    <row r="139" spans="1:24" x14ac:dyDescent="0.3">
      <c r="A139" s="1" t="str">
        <f t="shared" si="26"/>
        <v>59822</v>
      </c>
      <c r="B139" s="1" t="s">
        <v>39</v>
      </c>
      <c r="C139" s="1" t="s">
        <v>40</v>
      </c>
      <c r="D139" s="1" t="str">
        <f t="shared" si="27"/>
        <v>9801</v>
      </c>
      <c r="E139" s="1" t="s">
        <v>25</v>
      </c>
      <c r="F139" s="1" t="str">
        <f>"62F00B1881880400C814002000000019"</f>
        <v>62F00B1881880400C814002000000019</v>
      </c>
      <c r="G139" s="1" t="s">
        <v>59</v>
      </c>
      <c r="H139" s="1" t="str">
        <f t="shared" si="28"/>
        <v>20220901</v>
      </c>
      <c r="I139" s="1" t="str">
        <f>"072110"</f>
        <v>072110</v>
      </c>
      <c r="J139" s="1" t="s">
        <v>28</v>
      </c>
      <c r="K139" s="1" t="s">
        <v>28</v>
      </c>
      <c r="L139" s="1" t="str">
        <f t="shared" si="29"/>
        <v>20220901</v>
      </c>
      <c r="M139" s="1" t="str">
        <f>"074854"</f>
        <v>074854</v>
      </c>
      <c r="N139" s="1" t="s">
        <v>72</v>
      </c>
      <c r="O139" s="1" t="s">
        <v>52</v>
      </c>
      <c r="P139" s="1" t="s">
        <v>55</v>
      </c>
      <c r="Q139" s="1">
        <v>25</v>
      </c>
      <c r="R139" s="1">
        <v>0</v>
      </c>
      <c r="S139" s="1">
        <v>25</v>
      </c>
      <c r="T139" s="1">
        <v>0</v>
      </c>
      <c r="U139" s="1">
        <v>0</v>
      </c>
      <c r="V139" s="1" t="str">
        <f t="shared" si="25"/>
        <v>里程返程</v>
      </c>
      <c r="W139" s="1" t="str">
        <f>"0620"</f>
        <v>0620</v>
      </c>
      <c r="X139" s="1" t="s">
        <v>29</v>
      </c>
    </row>
    <row r="140" spans="1:24" x14ac:dyDescent="0.3">
      <c r="A140" s="1" t="str">
        <f t="shared" si="26"/>
        <v>59822</v>
      </c>
      <c r="B140" s="1" t="s">
        <v>39</v>
      </c>
      <c r="C140" s="1" t="s">
        <v>40</v>
      </c>
      <c r="D140" s="1" t="str">
        <f t="shared" si="27"/>
        <v>9801</v>
      </c>
      <c r="E140" s="1" t="s">
        <v>25</v>
      </c>
      <c r="F140" s="1" t="str">
        <f>"82730F18E6880400C814002000000019"</f>
        <v>82730F18E6880400C814002000000019</v>
      </c>
      <c r="G140" s="1" t="s">
        <v>59</v>
      </c>
      <c r="H140" s="1" t="str">
        <f t="shared" si="28"/>
        <v>20220901</v>
      </c>
      <c r="I140" s="1" t="str">
        <f>"072113"</f>
        <v>072113</v>
      </c>
      <c r="J140" s="1" t="s">
        <v>28</v>
      </c>
      <c r="K140" s="1" t="s">
        <v>28</v>
      </c>
      <c r="L140" s="1" t="str">
        <f t="shared" si="29"/>
        <v>20220901</v>
      </c>
      <c r="M140" s="1" t="str">
        <f>"074852"</f>
        <v>074852</v>
      </c>
      <c r="N140" s="1" t="s">
        <v>72</v>
      </c>
      <c r="O140" s="1" t="s">
        <v>52</v>
      </c>
      <c r="P140" s="1" t="s">
        <v>55</v>
      </c>
      <c r="Q140" s="1">
        <v>25</v>
      </c>
      <c r="R140" s="1">
        <v>0</v>
      </c>
      <c r="S140" s="1">
        <v>25</v>
      </c>
      <c r="T140" s="1">
        <v>0</v>
      </c>
      <c r="U140" s="1">
        <v>0</v>
      </c>
      <c r="V140" s="1" t="str">
        <f t="shared" si="25"/>
        <v>里程返程</v>
      </c>
      <c r="W140" s="1" t="str">
        <f>"0620"</f>
        <v>0620</v>
      </c>
      <c r="X140" s="1" t="s">
        <v>29</v>
      </c>
    </row>
    <row r="141" spans="1:24" x14ac:dyDescent="0.3">
      <c r="A141" s="1" t="str">
        <f t="shared" si="26"/>
        <v>59822</v>
      </c>
      <c r="B141" s="1" t="s">
        <v>39</v>
      </c>
      <c r="C141" s="1" t="s">
        <v>40</v>
      </c>
      <c r="D141" s="1" t="str">
        <f t="shared" si="27"/>
        <v>9801</v>
      </c>
      <c r="E141" s="1" t="s">
        <v>25</v>
      </c>
      <c r="F141" s="1" t="str">
        <f>"1204061808880400C814002000000019"</f>
        <v>1204061808880400C814002000000019</v>
      </c>
      <c r="G141" s="1" t="s">
        <v>59</v>
      </c>
      <c r="H141" s="1" t="str">
        <f t="shared" si="28"/>
        <v>20220901</v>
      </c>
      <c r="I141" s="1" t="str">
        <f>"072115"</f>
        <v>072115</v>
      </c>
      <c r="J141" s="1" t="s">
        <v>28</v>
      </c>
      <c r="K141" s="1" t="s">
        <v>28</v>
      </c>
      <c r="L141" s="1" t="str">
        <f t="shared" si="29"/>
        <v>20220901</v>
      </c>
      <c r="M141" s="1" t="str">
        <f>"074849"</f>
        <v>074849</v>
      </c>
      <c r="N141" s="1" t="s">
        <v>72</v>
      </c>
      <c r="O141" s="1" t="s">
        <v>52</v>
      </c>
      <c r="P141" s="1" t="s">
        <v>55</v>
      </c>
      <c r="Q141" s="1">
        <v>25</v>
      </c>
      <c r="R141" s="1">
        <v>0</v>
      </c>
      <c r="S141" s="1">
        <v>25</v>
      </c>
      <c r="T141" s="1">
        <v>0</v>
      </c>
      <c r="U141" s="1">
        <v>0</v>
      </c>
      <c r="V141" s="1" t="str">
        <f t="shared" si="25"/>
        <v>里程返程</v>
      </c>
      <c r="W141" s="1" t="str">
        <f>"0620"</f>
        <v>0620</v>
      </c>
      <c r="X141" s="1" t="s">
        <v>29</v>
      </c>
    </row>
    <row r="142" spans="1:24" x14ac:dyDescent="0.3">
      <c r="A142" s="1" t="str">
        <f t="shared" si="26"/>
        <v>59822</v>
      </c>
      <c r="B142" s="1" t="s">
        <v>39</v>
      </c>
      <c r="C142" s="1" t="s">
        <v>40</v>
      </c>
      <c r="D142" s="1" t="str">
        <f t="shared" si="27"/>
        <v>9801</v>
      </c>
      <c r="E142" s="1" t="s">
        <v>25</v>
      </c>
      <c r="F142" s="1" t="str">
        <f>"D257BD023A880400C834002000000015"</f>
        <v>D257BD023A880400C834002000000015</v>
      </c>
      <c r="G142" s="1" t="s">
        <v>74</v>
      </c>
      <c r="H142" s="1" t="str">
        <f t="shared" si="28"/>
        <v>20220901</v>
      </c>
      <c r="I142" s="1" t="str">
        <f>"072236"</f>
        <v>072236</v>
      </c>
      <c r="J142" s="1" t="s">
        <v>28</v>
      </c>
      <c r="K142" s="1" t="s">
        <v>28</v>
      </c>
      <c r="L142" s="1" t="str">
        <f t="shared" si="29"/>
        <v>20220901</v>
      </c>
      <c r="M142" s="1" t="str">
        <f>"073337"</f>
        <v>073337</v>
      </c>
      <c r="N142" s="1" t="s">
        <v>67</v>
      </c>
      <c r="O142" s="1" t="s">
        <v>52</v>
      </c>
      <c r="P142" s="1" t="s">
        <v>68</v>
      </c>
      <c r="Q142" s="1">
        <v>13</v>
      </c>
      <c r="R142" s="1">
        <v>0</v>
      </c>
      <c r="S142" s="1">
        <v>0</v>
      </c>
      <c r="T142" s="1">
        <v>13</v>
      </c>
      <c r="U142" s="1">
        <v>0</v>
      </c>
      <c r="V142" s="1" t="str">
        <f t="shared" si="25"/>
        <v>里程返程</v>
      </c>
      <c r="W142" s="1" t="str">
        <f>"0020"</f>
        <v>0020</v>
      </c>
      <c r="X142" s="1" t="s">
        <v>29</v>
      </c>
    </row>
    <row r="143" spans="1:24" x14ac:dyDescent="0.3">
      <c r="A143" s="1" t="str">
        <f t="shared" si="26"/>
        <v>59822</v>
      </c>
      <c r="B143" s="1" t="s">
        <v>39</v>
      </c>
      <c r="C143" s="1" t="s">
        <v>40</v>
      </c>
      <c r="D143" s="1" t="str">
        <f t="shared" si="27"/>
        <v>9801</v>
      </c>
      <c r="E143" s="1" t="s">
        <v>25</v>
      </c>
      <c r="F143" s="1" t="str">
        <f>"1759959808"</f>
        <v>1759959808</v>
      </c>
      <c r="G143" s="1" t="s">
        <v>33</v>
      </c>
      <c r="H143" s="1" t="str">
        <f t="shared" si="28"/>
        <v>20220901</v>
      </c>
      <c r="I143" s="1" t="str">
        <f>"074356"</f>
        <v>074356</v>
      </c>
      <c r="J143" s="1" t="s">
        <v>80</v>
      </c>
      <c r="K143" s="1" t="s">
        <v>52</v>
      </c>
      <c r="L143" s="1" t="str">
        <f t="shared" si="29"/>
        <v>20220901</v>
      </c>
      <c r="M143" s="1" t="str">
        <f>"075613"</f>
        <v>075613</v>
      </c>
      <c r="N143" s="1" t="s">
        <v>60</v>
      </c>
      <c r="O143" s="1" t="s">
        <v>52</v>
      </c>
      <c r="P143" s="1" t="s">
        <v>55</v>
      </c>
      <c r="Q143" s="1">
        <v>25</v>
      </c>
      <c r="R143" s="1">
        <v>25</v>
      </c>
      <c r="S143" s="1">
        <v>0</v>
      </c>
      <c r="T143" s="1">
        <v>0</v>
      </c>
      <c r="U143" s="1">
        <v>0</v>
      </c>
      <c r="V143" s="1" t="str">
        <f t="shared" si="25"/>
        <v>里程返程</v>
      </c>
      <c r="W143" s="1" t="str">
        <f>"2020"</f>
        <v>2020</v>
      </c>
      <c r="X143" s="1" t="s">
        <v>35</v>
      </c>
    </row>
    <row r="144" spans="1:24" x14ac:dyDescent="0.3">
      <c r="A144" s="1" t="str">
        <f t="shared" si="26"/>
        <v>59822</v>
      </c>
      <c r="B144" s="1" t="s">
        <v>39</v>
      </c>
      <c r="C144" s="1" t="s">
        <v>40</v>
      </c>
      <c r="D144" s="1" t="str">
        <f t="shared" si="27"/>
        <v>9801</v>
      </c>
      <c r="E144" s="1" t="s">
        <v>25</v>
      </c>
      <c r="F144" s="1" t="str">
        <f>"82D5FB02AE880400C834002000000015"</f>
        <v>82D5FB02AE880400C834002000000015</v>
      </c>
      <c r="G144" s="1" t="s">
        <v>26</v>
      </c>
      <c r="H144" s="1" t="str">
        <f t="shared" si="28"/>
        <v>20220901</v>
      </c>
      <c r="I144" s="1" t="str">
        <f>"080948"</f>
        <v>080948</v>
      </c>
      <c r="J144" s="1" t="s">
        <v>51</v>
      </c>
      <c r="K144" s="1" t="s">
        <v>52</v>
      </c>
      <c r="L144" s="1" t="str">
        <f t="shared" si="29"/>
        <v>20220901</v>
      </c>
      <c r="M144" s="1" t="str">
        <f>"085717"</f>
        <v>085717</v>
      </c>
      <c r="N144" s="1" t="s">
        <v>44</v>
      </c>
      <c r="O144" s="1" t="s">
        <v>45</v>
      </c>
      <c r="P144" s="1" t="s">
        <v>68</v>
      </c>
      <c r="Q144" s="1">
        <v>25</v>
      </c>
      <c r="R144" s="1">
        <v>0</v>
      </c>
      <c r="S144" s="1">
        <v>0</v>
      </c>
      <c r="T144" s="1">
        <v>25</v>
      </c>
      <c r="U144" s="1">
        <v>0</v>
      </c>
      <c r="V144" s="1" t="str">
        <f t="shared" ref="V144:V149" si="30">"里程去程"</f>
        <v>里程去程</v>
      </c>
      <c r="W144" s="1" t="str">
        <f>"0020"</f>
        <v>0020</v>
      </c>
      <c r="X144" s="1" t="s">
        <v>29</v>
      </c>
    </row>
    <row r="145" spans="1:24" x14ac:dyDescent="0.3">
      <c r="A145" s="1" t="str">
        <f t="shared" si="26"/>
        <v>59822</v>
      </c>
      <c r="B145" s="1" t="s">
        <v>39</v>
      </c>
      <c r="C145" s="1" t="s">
        <v>40</v>
      </c>
      <c r="D145" s="1" t="str">
        <f t="shared" si="27"/>
        <v>9801</v>
      </c>
      <c r="E145" s="1" t="s">
        <v>25</v>
      </c>
      <c r="F145" s="1" t="str">
        <f>"F276E60260880400C834002000000015"</f>
        <v>F276E60260880400C834002000000015</v>
      </c>
      <c r="G145" s="1" t="s">
        <v>74</v>
      </c>
      <c r="H145" s="1" t="str">
        <f t="shared" si="28"/>
        <v>20220901</v>
      </c>
      <c r="I145" s="1" t="str">
        <f>"082706"</f>
        <v>082706</v>
      </c>
      <c r="J145" s="1" t="s">
        <v>83</v>
      </c>
      <c r="K145" s="1" t="s">
        <v>52</v>
      </c>
      <c r="L145" s="1" t="str">
        <f t="shared" si="29"/>
        <v>20220901</v>
      </c>
      <c r="M145" s="1" t="str">
        <f>"082824"</f>
        <v>082824</v>
      </c>
      <c r="N145" s="1" t="s">
        <v>84</v>
      </c>
      <c r="O145" s="1" t="s">
        <v>28</v>
      </c>
      <c r="P145" s="1" t="s">
        <v>68</v>
      </c>
      <c r="Q145" s="1">
        <v>13</v>
      </c>
      <c r="R145" s="1">
        <v>0</v>
      </c>
      <c r="S145" s="1">
        <v>0</v>
      </c>
      <c r="T145" s="1">
        <v>13</v>
      </c>
      <c r="U145" s="1">
        <v>0</v>
      </c>
      <c r="V145" s="1" t="str">
        <f t="shared" si="30"/>
        <v>里程去程</v>
      </c>
      <c r="W145" s="1" t="str">
        <f>"0020"</f>
        <v>0020</v>
      </c>
      <c r="X145" s="1" t="s">
        <v>29</v>
      </c>
    </row>
    <row r="146" spans="1:24" x14ac:dyDescent="0.3">
      <c r="A146" s="1" t="str">
        <f t="shared" si="26"/>
        <v>59822</v>
      </c>
      <c r="B146" s="1" t="s">
        <v>39</v>
      </c>
      <c r="C146" s="1" t="s">
        <v>40</v>
      </c>
      <c r="D146" s="1" t="str">
        <f t="shared" si="27"/>
        <v>9801</v>
      </c>
      <c r="E146" s="1" t="s">
        <v>25</v>
      </c>
      <c r="F146" s="1" t="str">
        <f>"82D5FB02AE880400C834002000000015"</f>
        <v>82D5FB02AE880400C834002000000015</v>
      </c>
      <c r="G146" s="1" t="s">
        <v>26</v>
      </c>
      <c r="H146" s="1" t="str">
        <f t="shared" si="28"/>
        <v>20220901</v>
      </c>
      <c r="I146" s="1" t="str">
        <f>"085755"</f>
        <v>085755</v>
      </c>
      <c r="J146" s="1" t="s">
        <v>52</v>
      </c>
      <c r="K146" s="1" t="s">
        <v>52</v>
      </c>
      <c r="L146" s="1" t="str">
        <f t="shared" si="29"/>
        <v>20220901</v>
      </c>
      <c r="M146" s="1" t="str">
        <f>"091555"</f>
        <v>091555</v>
      </c>
      <c r="N146" s="1" t="s">
        <v>65</v>
      </c>
      <c r="O146" s="1" t="s">
        <v>52</v>
      </c>
      <c r="P146" s="1" t="s">
        <v>68</v>
      </c>
      <c r="Q146" s="1">
        <v>13</v>
      </c>
      <c r="R146" s="1">
        <v>0</v>
      </c>
      <c r="S146" s="1">
        <v>0</v>
      </c>
      <c r="T146" s="1">
        <v>13</v>
      </c>
      <c r="U146" s="1">
        <v>0</v>
      </c>
      <c r="V146" s="1" t="str">
        <f t="shared" si="30"/>
        <v>里程去程</v>
      </c>
      <c r="W146" s="1" t="str">
        <f>"0020"</f>
        <v>0020</v>
      </c>
      <c r="X146" s="1" t="s">
        <v>29</v>
      </c>
    </row>
    <row r="147" spans="1:24" x14ac:dyDescent="0.3">
      <c r="A147" s="1" t="str">
        <f t="shared" si="26"/>
        <v>59822</v>
      </c>
      <c r="B147" s="1" t="s">
        <v>39</v>
      </c>
      <c r="C147" s="1" t="s">
        <v>40</v>
      </c>
      <c r="D147" s="1" t="str">
        <f t="shared" si="27"/>
        <v>9801</v>
      </c>
      <c r="E147" s="1" t="s">
        <v>25</v>
      </c>
      <c r="F147" s="1" t="str">
        <f>"7311210436000944"</f>
        <v>7311210436000944</v>
      </c>
      <c r="G147" s="1" t="s">
        <v>33</v>
      </c>
      <c r="H147" s="1" t="str">
        <f t="shared" si="28"/>
        <v>20220901</v>
      </c>
      <c r="I147" s="1" t="str">
        <f>"093440"</f>
        <v>093440</v>
      </c>
      <c r="J147" s="1" t="s">
        <v>27</v>
      </c>
      <c r="K147" s="1" t="s">
        <v>28</v>
      </c>
      <c r="L147" s="1" t="str">
        <f t="shared" si="29"/>
        <v>20220901</v>
      </c>
      <c r="M147" s="1" t="str">
        <f>"094421"</f>
        <v>094421</v>
      </c>
      <c r="N147" s="1" t="s">
        <v>79</v>
      </c>
      <c r="O147" s="1" t="s">
        <v>45</v>
      </c>
      <c r="P147" s="1" t="s">
        <v>55</v>
      </c>
      <c r="Q147" s="1">
        <v>25</v>
      </c>
      <c r="R147" s="1">
        <v>25</v>
      </c>
      <c r="S147" s="1">
        <v>0</v>
      </c>
      <c r="T147" s="1">
        <v>0</v>
      </c>
      <c r="U147" s="1">
        <v>0</v>
      </c>
      <c r="V147" s="1" t="str">
        <f t="shared" si="30"/>
        <v>里程去程</v>
      </c>
      <c r="W147" s="1" t="str">
        <f>"3B3B"</f>
        <v>3B3B</v>
      </c>
      <c r="X147" s="1" t="s">
        <v>109</v>
      </c>
    </row>
    <row r="148" spans="1:24" x14ac:dyDescent="0.3">
      <c r="A148" s="1" t="str">
        <f t="shared" si="26"/>
        <v>59822</v>
      </c>
      <c r="B148" s="1" t="s">
        <v>39</v>
      </c>
      <c r="C148" s="1" t="s">
        <v>40</v>
      </c>
      <c r="D148" s="1" t="str">
        <f t="shared" si="27"/>
        <v>9801</v>
      </c>
      <c r="E148" s="1" t="s">
        <v>25</v>
      </c>
      <c r="F148" s="1" t="str">
        <f>"52E24113E228040080CED9985D913018"</f>
        <v>52E24113E228040080CED9985D913018</v>
      </c>
      <c r="G148" s="1" t="s">
        <v>58</v>
      </c>
      <c r="H148" s="1" t="str">
        <f t="shared" si="28"/>
        <v>20220901</v>
      </c>
      <c r="I148" s="1" t="str">
        <f>"093443"</f>
        <v>093443</v>
      </c>
      <c r="J148" s="1" t="s">
        <v>27</v>
      </c>
      <c r="K148" s="1" t="s">
        <v>28</v>
      </c>
      <c r="L148" s="1" t="str">
        <f t="shared" si="29"/>
        <v>20220901</v>
      </c>
      <c r="M148" s="1" t="str">
        <f>"094424"</f>
        <v>094424</v>
      </c>
      <c r="N148" s="1" t="s">
        <v>79</v>
      </c>
      <c r="O148" s="1" t="s">
        <v>45</v>
      </c>
      <c r="P148" s="1" t="s">
        <v>55</v>
      </c>
      <c r="Q148" s="1">
        <v>25</v>
      </c>
      <c r="R148" s="1">
        <v>25</v>
      </c>
      <c r="S148" s="1">
        <v>0</v>
      </c>
      <c r="T148" s="1">
        <v>0</v>
      </c>
      <c r="U148" s="1">
        <v>0</v>
      </c>
      <c r="V148" s="1" t="str">
        <f t="shared" si="30"/>
        <v>里程去程</v>
      </c>
      <c r="W148" s="1" t="str">
        <f>"0020"</f>
        <v>0020</v>
      </c>
      <c r="X148" s="1" t="s">
        <v>29</v>
      </c>
    </row>
    <row r="149" spans="1:24" x14ac:dyDescent="0.3">
      <c r="A149" s="1" t="str">
        <f t="shared" si="26"/>
        <v>59822</v>
      </c>
      <c r="B149" s="1" t="s">
        <v>39</v>
      </c>
      <c r="C149" s="1" t="s">
        <v>40</v>
      </c>
      <c r="D149" s="1" t="str">
        <f t="shared" si="27"/>
        <v>9801</v>
      </c>
      <c r="E149" s="1" t="s">
        <v>25</v>
      </c>
      <c r="F149" s="1" t="str">
        <f>"1253959941"</f>
        <v>1253959941</v>
      </c>
      <c r="G149" s="1" t="s">
        <v>33</v>
      </c>
      <c r="H149" s="1" t="str">
        <f t="shared" si="28"/>
        <v>20220901</v>
      </c>
      <c r="I149" s="1" t="str">
        <f>"093448"</f>
        <v>093448</v>
      </c>
      <c r="J149" s="1" t="s">
        <v>27</v>
      </c>
      <c r="K149" s="1" t="s">
        <v>28</v>
      </c>
      <c r="L149" s="1" t="str">
        <f t="shared" si="29"/>
        <v>20220901</v>
      </c>
      <c r="M149" s="1" t="str">
        <f>"094419"</f>
        <v>094419</v>
      </c>
      <c r="N149" s="1" t="s">
        <v>79</v>
      </c>
      <c r="O149" s="1" t="s">
        <v>45</v>
      </c>
      <c r="P149" s="1" t="s">
        <v>55</v>
      </c>
      <c r="Q149" s="1">
        <v>25</v>
      </c>
      <c r="R149" s="1">
        <v>25</v>
      </c>
      <c r="S149" s="1">
        <v>0</v>
      </c>
      <c r="T149" s="1">
        <v>0</v>
      </c>
      <c r="U149" s="1">
        <v>0</v>
      </c>
      <c r="V149" s="1" t="str">
        <f t="shared" si="30"/>
        <v>里程去程</v>
      </c>
      <c r="W149" s="1" t="str">
        <f>"2020"</f>
        <v>2020</v>
      </c>
      <c r="X149" s="1" t="s">
        <v>35</v>
      </c>
    </row>
    <row r="150" spans="1:24" x14ac:dyDescent="0.3">
      <c r="A150" s="1" t="str">
        <f t="shared" si="26"/>
        <v>59822</v>
      </c>
      <c r="B150" s="1" t="s">
        <v>39</v>
      </c>
      <c r="C150" s="1" t="s">
        <v>40</v>
      </c>
      <c r="D150" s="1" t="str">
        <f t="shared" si="27"/>
        <v>9801</v>
      </c>
      <c r="E150" s="1" t="s">
        <v>25</v>
      </c>
      <c r="F150" s="1" t="str">
        <f>"B1F7A032D4280400F700000000000000"</f>
        <v>B1F7A032D4280400F700000000000000</v>
      </c>
      <c r="G150" s="1" t="s">
        <v>58</v>
      </c>
      <c r="H150" s="1" t="str">
        <f t="shared" si="28"/>
        <v>20220901</v>
      </c>
      <c r="I150" s="1" t="str">
        <f>"123047"</f>
        <v>123047</v>
      </c>
      <c r="J150" s="1" t="s">
        <v>44</v>
      </c>
      <c r="K150" s="1" t="s">
        <v>45</v>
      </c>
      <c r="L150" s="1" t="str">
        <f t="shared" si="29"/>
        <v>20220901</v>
      </c>
      <c r="M150" s="1" t="str">
        <f>"125338"</f>
        <v>125338</v>
      </c>
      <c r="N150" s="1" t="s">
        <v>95</v>
      </c>
      <c r="O150" s="1" t="s">
        <v>28</v>
      </c>
      <c r="P150" s="1" t="s">
        <v>55</v>
      </c>
      <c r="Q150" s="1">
        <v>25</v>
      </c>
      <c r="R150" s="1">
        <v>25</v>
      </c>
      <c r="S150" s="1">
        <v>0</v>
      </c>
      <c r="T150" s="1">
        <v>0</v>
      </c>
      <c r="U150" s="1">
        <v>0</v>
      </c>
      <c r="V150" s="1" t="str">
        <f t="shared" ref="V150:V181" si="31">"里程返程"</f>
        <v>里程返程</v>
      </c>
      <c r="W150" s="1" t="str">
        <f>"0020"</f>
        <v>0020</v>
      </c>
      <c r="X150" s="1" t="s">
        <v>29</v>
      </c>
    </row>
    <row r="151" spans="1:24" x14ac:dyDescent="0.3">
      <c r="A151" s="1" t="str">
        <f t="shared" si="26"/>
        <v>59822</v>
      </c>
      <c r="B151" s="1" t="s">
        <v>39</v>
      </c>
      <c r="C151" s="1" t="s">
        <v>40</v>
      </c>
      <c r="D151" s="1" t="str">
        <f t="shared" si="27"/>
        <v>9801</v>
      </c>
      <c r="E151" s="1" t="s">
        <v>25</v>
      </c>
      <c r="F151" s="1" t="str">
        <f>"809525077"</f>
        <v>809525077</v>
      </c>
      <c r="G151" s="1" t="s">
        <v>33</v>
      </c>
      <c r="H151" s="1" t="str">
        <f t="shared" si="28"/>
        <v>20220901</v>
      </c>
      <c r="I151" s="1" t="str">
        <f>"123512"</f>
        <v>123512</v>
      </c>
      <c r="J151" s="1" t="s">
        <v>100</v>
      </c>
      <c r="K151" s="1" t="s">
        <v>45</v>
      </c>
      <c r="L151" s="1" t="str">
        <f t="shared" si="29"/>
        <v>20220901</v>
      </c>
      <c r="M151" s="1" t="str">
        <f>"125416"</f>
        <v>125416</v>
      </c>
      <c r="N151" s="1" t="s">
        <v>28</v>
      </c>
      <c r="O151" s="1" t="s">
        <v>28</v>
      </c>
      <c r="P151" s="1" t="s">
        <v>55</v>
      </c>
      <c r="Q151" s="1">
        <v>25</v>
      </c>
      <c r="R151" s="1">
        <v>25</v>
      </c>
      <c r="S151" s="1">
        <v>0</v>
      </c>
      <c r="T151" s="1">
        <v>0</v>
      </c>
      <c r="U151" s="1">
        <v>0</v>
      </c>
      <c r="V151" s="1" t="str">
        <f t="shared" si="31"/>
        <v>里程返程</v>
      </c>
      <c r="W151" s="1" t="str">
        <f>"2020"</f>
        <v>2020</v>
      </c>
      <c r="X151" s="1" t="s">
        <v>35</v>
      </c>
    </row>
    <row r="152" spans="1:24" x14ac:dyDescent="0.3">
      <c r="A152" s="1" t="str">
        <f t="shared" si="26"/>
        <v>59822</v>
      </c>
      <c r="B152" s="1" t="s">
        <v>39</v>
      </c>
      <c r="C152" s="1" t="s">
        <v>40</v>
      </c>
      <c r="D152" s="1" t="str">
        <f t="shared" si="27"/>
        <v>9801</v>
      </c>
      <c r="E152" s="1" t="s">
        <v>25</v>
      </c>
      <c r="F152" s="1" t="str">
        <f>"519623249"</f>
        <v>519623249</v>
      </c>
      <c r="G152" s="1" t="s">
        <v>33</v>
      </c>
      <c r="H152" s="1" t="str">
        <f t="shared" si="28"/>
        <v>20220901</v>
      </c>
      <c r="I152" s="1" t="str">
        <f>"123513"</f>
        <v>123513</v>
      </c>
      <c r="J152" s="1" t="s">
        <v>100</v>
      </c>
      <c r="K152" s="1" t="s">
        <v>45</v>
      </c>
      <c r="L152" s="1" t="str">
        <f t="shared" si="29"/>
        <v>20220901</v>
      </c>
      <c r="M152" s="1" t="str">
        <f>"125413"</f>
        <v>125413</v>
      </c>
      <c r="N152" s="1" t="s">
        <v>28</v>
      </c>
      <c r="O152" s="1" t="s">
        <v>28</v>
      </c>
      <c r="P152" s="1" t="s">
        <v>55</v>
      </c>
      <c r="Q152" s="1">
        <v>25</v>
      </c>
      <c r="R152" s="1">
        <v>25</v>
      </c>
      <c r="S152" s="1">
        <v>0</v>
      </c>
      <c r="T152" s="1">
        <v>0</v>
      </c>
      <c r="U152" s="1">
        <v>0</v>
      </c>
      <c r="V152" s="1" t="str">
        <f t="shared" si="31"/>
        <v>里程返程</v>
      </c>
      <c r="W152" s="1" t="str">
        <f>"2020"</f>
        <v>2020</v>
      </c>
      <c r="X152" s="1" t="s">
        <v>35</v>
      </c>
    </row>
    <row r="153" spans="1:24" x14ac:dyDescent="0.3">
      <c r="A153" s="1" t="str">
        <f t="shared" si="26"/>
        <v>59822</v>
      </c>
      <c r="B153" s="1" t="s">
        <v>39</v>
      </c>
      <c r="C153" s="1" t="s">
        <v>40</v>
      </c>
      <c r="D153" s="1" t="str">
        <f t="shared" si="27"/>
        <v>9801</v>
      </c>
      <c r="E153" s="1" t="s">
        <v>25</v>
      </c>
      <c r="F153" s="1" t="str">
        <f>"458015905"</f>
        <v>458015905</v>
      </c>
      <c r="G153" s="1" t="s">
        <v>33</v>
      </c>
      <c r="H153" s="1" t="str">
        <f t="shared" si="28"/>
        <v>20220901</v>
      </c>
      <c r="I153" s="1" t="str">
        <f>"124604"</f>
        <v>124604</v>
      </c>
      <c r="J153" s="1" t="s">
        <v>45</v>
      </c>
      <c r="K153" s="1" t="s">
        <v>45</v>
      </c>
      <c r="L153" s="1" t="str">
        <f t="shared" si="29"/>
        <v>20220901</v>
      </c>
      <c r="M153" s="1" t="str">
        <f>"125407"</f>
        <v>125407</v>
      </c>
      <c r="N153" s="1" t="s">
        <v>28</v>
      </c>
      <c r="O153" s="1" t="s">
        <v>28</v>
      </c>
      <c r="P153" s="1" t="s">
        <v>55</v>
      </c>
      <c r="Q153" s="1">
        <v>25</v>
      </c>
      <c r="R153" s="1">
        <v>0</v>
      </c>
      <c r="S153" s="1">
        <v>25</v>
      </c>
      <c r="T153" s="1">
        <v>0</v>
      </c>
      <c r="U153" s="1">
        <v>0</v>
      </c>
      <c r="V153" s="1" t="str">
        <f t="shared" si="31"/>
        <v>里程返程</v>
      </c>
      <c r="W153" s="1" t="str">
        <f>"2020"</f>
        <v>2020</v>
      </c>
      <c r="X153" s="1" t="s">
        <v>35</v>
      </c>
    </row>
    <row r="154" spans="1:24" x14ac:dyDescent="0.3">
      <c r="A154" s="1" t="str">
        <f t="shared" si="26"/>
        <v>59822</v>
      </c>
      <c r="B154" s="1" t="s">
        <v>39</v>
      </c>
      <c r="C154" s="1" t="s">
        <v>40</v>
      </c>
      <c r="D154" s="1" t="str">
        <f t="shared" si="27"/>
        <v>9801</v>
      </c>
      <c r="E154" s="1" t="s">
        <v>25</v>
      </c>
      <c r="F154" s="1" t="str">
        <f>"39327599"</f>
        <v>39327599</v>
      </c>
      <c r="G154" s="1" t="s">
        <v>33</v>
      </c>
      <c r="H154" s="1" t="str">
        <f t="shared" si="28"/>
        <v>20220901</v>
      </c>
      <c r="I154" s="1" t="str">
        <f>"124607"</f>
        <v>124607</v>
      </c>
      <c r="J154" s="1" t="s">
        <v>45</v>
      </c>
      <c r="K154" s="1" t="s">
        <v>45</v>
      </c>
      <c r="L154" s="1" t="str">
        <f t="shared" si="29"/>
        <v>20220901</v>
      </c>
      <c r="M154" s="1" t="str">
        <f>"125402"</f>
        <v>125402</v>
      </c>
      <c r="N154" s="1" t="s">
        <v>28</v>
      </c>
      <c r="O154" s="1" t="s">
        <v>28</v>
      </c>
      <c r="P154" s="1" t="s">
        <v>55</v>
      </c>
      <c r="Q154" s="1">
        <v>25</v>
      </c>
      <c r="R154" s="1">
        <v>0</v>
      </c>
      <c r="S154" s="1">
        <v>25</v>
      </c>
      <c r="T154" s="1">
        <v>0</v>
      </c>
      <c r="U154" s="1">
        <v>0</v>
      </c>
      <c r="V154" s="1" t="str">
        <f t="shared" si="31"/>
        <v>里程返程</v>
      </c>
      <c r="W154" s="1" t="str">
        <f>"2020"</f>
        <v>2020</v>
      </c>
      <c r="X154" s="1" t="s">
        <v>35</v>
      </c>
    </row>
    <row r="155" spans="1:24" x14ac:dyDescent="0.3">
      <c r="A155" s="1" t="str">
        <f t="shared" si="26"/>
        <v>59822</v>
      </c>
      <c r="B155" s="1" t="s">
        <v>39</v>
      </c>
      <c r="C155" s="1" t="s">
        <v>40</v>
      </c>
      <c r="D155" s="1" t="str">
        <f t="shared" si="27"/>
        <v>9801</v>
      </c>
      <c r="E155" s="1" t="s">
        <v>25</v>
      </c>
      <c r="F155" s="1" t="str">
        <f>"969889189"</f>
        <v>969889189</v>
      </c>
      <c r="G155" s="1" t="s">
        <v>33</v>
      </c>
      <c r="H155" s="1" t="str">
        <f t="shared" si="28"/>
        <v>20220901</v>
      </c>
      <c r="I155" s="1" t="str">
        <f>"125421"</f>
        <v>125421</v>
      </c>
      <c r="J155" s="1" t="s">
        <v>28</v>
      </c>
      <c r="K155" s="1" t="s">
        <v>28</v>
      </c>
      <c r="L155" s="1" t="str">
        <f t="shared" si="29"/>
        <v>20220901</v>
      </c>
      <c r="M155" s="1" t="str">
        <f>"130324"</f>
        <v>130324</v>
      </c>
      <c r="N155" s="1" t="s">
        <v>67</v>
      </c>
      <c r="O155" s="1" t="s">
        <v>52</v>
      </c>
      <c r="P155" s="1" t="s">
        <v>55</v>
      </c>
      <c r="Q155" s="1">
        <v>25</v>
      </c>
      <c r="R155" s="1">
        <v>25</v>
      </c>
      <c r="S155" s="1">
        <v>0</v>
      </c>
      <c r="T155" s="1">
        <v>0</v>
      </c>
      <c r="U155" s="1">
        <v>0</v>
      </c>
      <c r="V155" s="1" t="str">
        <f t="shared" si="31"/>
        <v>里程返程</v>
      </c>
      <c r="W155" s="1" t="str">
        <f>"0220"</f>
        <v>0220</v>
      </c>
      <c r="X155" s="1" t="s">
        <v>35</v>
      </c>
    </row>
    <row r="156" spans="1:24" x14ac:dyDescent="0.3">
      <c r="A156" s="1" t="str">
        <f t="shared" si="26"/>
        <v>59822</v>
      </c>
      <c r="B156" s="1" t="s">
        <v>39</v>
      </c>
      <c r="C156" s="1" t="s">
        <v>40</v>
      </c>
      <c r="D156" s="1" t="str">
        <f t="shared" si="27"/>
        <v>9801</v>
      </c>
      <c r="E156" s="1" t="s">
        <v>25</v>
      </c>
      <c r="F156" s="1" t="str">
        <f>"E220D10211880400C834002000000015"</f>
        <v>E220D10211880400C834002000000015</v>
      </c>
      <c r="G156" s="1" t="s">
        <v>74</v>
      </c>
      <c r="H156" s="1" t="str">
        <f t="shared" si="28"/>
        <v>20220901</v>
      </c>
      <c r="I156" s="1" t="str">
        <f>"131018"</f>
        <v>131018</v>
      </c>
      <c r="J156" s="1" t="s">
        <v>97</v>
      </c>
      <c r="K156" s="1" t="s">
        <v>52</v>
      </c>
      <c r="L156" s="1" t="str">
        <f t="shared" si="29"/>
        <v>20220901</v>
      </c>
      <c r="M156" s="1" t="str">
        <f>"131245"</f>
        <v>131245</v>
      </c>
      <c r="N156" s="1" t="s">
        <v>65</v>
      </c>
      <c r="O156" s="1" t="s">
        <v>52</v>
      </c>
      <c r="P156" s="1" t="s">
        <v>68</v>
      </c>
      <c r="Q156" s="1">
        <v>13</v>
      </c>
      <c r="R156" s="1">
        <v>0</v>
      </c>
      <c r="S156" s="1">
        <v>0</v>
      </c>
      <c r="T156" s="1">
        <v>13</v>
      </c>
      <c r="U156" s="1">
        <v>0</v>
      </c>
      <c r="V156" s="1" t="str">
        <f t="shared" si="31"/>
        <v>里程返程</v>
      </c>
      <c r="W156" s="1" t="str">
        <f>"0020"</f>
        <v>0020</v>
      </c>
      <c r="X156" s="1" t="s">
        <v>29</v>
      </c>
    </row>
    <row r="157" spans="1:24" x14ac:dyDescent="0.3">
      <c r="A157" s="1" t="str">
        <f t="shared" si="26"/>
        <v>59822</v>
      </c>
      <c r="B157" s="1" t="s">
        <v>39</v>
      </c>
      <c r="C157" s="1" t="s">
        <v>40</v>
      </c>
      <c r="D157" s="1" t="str">
        <f t="shared" si="27"/>
        <v>9801</v>
      </c>
      <c r="E157" s="1" t="s">
        <v>25</v>
      </c>
      <c r="F157" s="1" t="str">
        <f>"674277237"</f>
        <v>674277237</v>
      </c>
      <c r="G157" s="1" t="s">
        <v>33</v>
      </c>
      <c r="H157" s="1" t="str">
        <f t="shared" si="28"/>
        <v>20220901</v>
      </c>
      <c r="I157" s="1" t="str">
        <f>"144727"</f>
        <v>144727</v>
      </c>
      <c r="J157" s="1" t="s">
        <v>70</v>
      </c>
      <c r="K157" s="1" t="s">
        <v>28</v>
      </c>
      <c r="L157" s="1" t="str">
        <f t="shared" si="29"/>
        <v>20220901</v>
      </c>
      <c r="M157" s="1" t="str">
        <f>"145317"</f>
        <v>145317</v>
      </c>
      <c r="N157" s="1" t="s">
        <v>28</v>
      </c>
      <c r="O157" s="1" t="s">
        <v>28</v>
      </c>
      <c r="P157" s="1" t="s">
        <v>55</v>
      </c>
      <c r="Q157" s="1">
        <v>25</v>
      </c>
      <c r="R157" s="1">
        <v>25</v>
      </c>
      <c r="S157" s="1">
        <v>0</v>
      </c>
      <c r="T157" s="1">
        <v>0</v>
      </c>
      <c r="U157" s="1">
        <v>0</v>
      </c>
      <c r="V157" s="1" t="str">
        <f t="shared" si="31"/>
        <v>里程返程</v>
      </c>
      <c r="W157" s="1" t="str">
        <f>"2120"</f>
        <v>2120</v>
      </c>
      <c r="X157" s="1" t="s">
        <v>35</v>
      </c>
    </row>
    <row r="158" spans="1:24" x14ac:dyDescent="0.3">
      <c r="A158" s="1" t="str">
        <f t="shared" si="26"/>
        <v>59822</v>
      </c>
      <c r="B158" s="1" t="s">
        <v>39</v>
      </c>
      <c r="C158" s="1" t="s">
        <v>40</v>
      </c>
      <c r="D158" s="1" t="str">
        <f t="shared" si="27"/>
        <v>9801</v>
      </c>
      <c r="E158" s="1" t="s">
        <v>25</v>
      </c>
      <c r="F158" s="1" t="str">
        <f>"2702331343"</f>
        <v>2702331343</v>
      </c>
      <c r="G158" s="1" t="s">
        <v>33</v>
      </c>
      <c r="H158" s="1" t="str">
        <f t="shared" si="28"/>
        <v>20220901</v>
      </c>
      <c r="I158" s="1" t="str">
        <f>"144736"</f>
        <v>144736</v>
      </c>
      <c r="J158" s="1" t="s">
        <v>70</v>
      </c>
      <c r="K158" s="1" t="s">
        <v>28</v>
      </c>
      <c r="L158" s="1" t="str">
        <f t="shared" si="29"/>
        <v>20220901</v>
      </c>
      <c r="M158" s="1" t="str">
        <f>"145314"</f>
        <v>145314</v>
      </c>
      <c r="N158" s="1" t="s">
        <v>28</v>
      </c>
      <c r="O158" s="1" t="s">
        <v>28</v>
      </c>
      <c r="P158" s="1" t="s">
        <v>55</v>
      </c>
      <c r="Q158" s="1">
        <v>25</v>
      </c>
      <c r="R158" s="1">
        <v>25</v>
      </c>
      <c r="S158" s="1">
        <v>0</v>
      </c>
      <c r="T158" s="1">
        <v>0</v>
      </c>
      <c r="U158" s="1">
        <v>0</v>
      </c>
      <c r="V158" s="1" t="str">
        <f t="shared" si="31"/>
        <v>里程返程</v>
      </c>
      <c r="W158" s="1" t="str">
        <f>"2120"</f>
        <v>2120</v>
      </c>
      <c r="X158" s="1" t="s">
        <v>35</v>
      </c>
    </row>
    <row r="159" spans="1:24" x14ac:dyDescent="0.3">
      <c r="A159" s="1" t="str">
        <f t="shared" si="26"/>
        <v>59822</v>
      </c>
      <c r="B159" s="1" t="s">
        <v>39</v>
      </c>
      <c r="C159" s="1" t="s">
        <v>40</v>
      </c>
      <c r="D159" s="1" t="str">
        <f t="shared" si="27"/>
        <v>9801</v>
      </c>
      <c r="E159" s="1" t="s">
        <v>25</v>
      </c>
      <c r="F159" s="1" t="str">
        <f>"1259149621"</f>
        <v>1259149621</v>
      </c>
      <c r="G159" s="1" t="s">
        <v>38</v>
      </c>
      <c r="H159" s="1" t="str">
        <f t="shared" si="28"/>
        <v>20220901</v>
      </c>
      <c r="I159" s="1" t="str">
        <f>"152511"</f>
        <v>152511</v>
      </c>
      <c r="J159" s="1" t="s">
        <v>44</v>
      </c>
      <c r="K159" s="1" t="s">
        <v>45</v>
      </c>
      <c r="L159" s="1" t="str">
        <f t="shared" si="29"/>
        <v>20220901</v>
      </c>
      <c r="M159" s="1" t="str">
        <f>"153616"</f>
        <v>153616</v>
      </c>
      <c r="N159" s="1" t="s">
        <v>91</v>
      </c>
      <c r="O159" s="1" t="s">
        <v>45</v>
      </c>
      <c r="P159" s="1" t="s">
        <v>55</v>
      </c>
      <c r="Q159" s="1">
        <v>25</v>
      </c>
      <c r="R159" s="1">
        <v>25</v>
      </c>
      <c r="S159" s="1">
        <v>0</v>
      </c>
      <c r="T159" s="1">
        <v>0</v>
      </c>
      <c r="U159" s="1">
        <v>0</v>
      </c>
      <c r="V159" s="1" t="str">
        <f t="shared" si="31"/>
        <v>里程返程</v>
      </c>
      <c r="W159" s="1" t="str">
        <f>"2020"</f>
        <v>2020</v>
      </c>
      <c r="X159" s="1" t="s">
        <v>35</v>
      </c>
    </row>
    <row r="160" spans="1:24" x14ac:dyDescent="0.3">
      <c r="A160" s="1" t="str">
        <f t="shared" si="26"/>
        <v>59822</v>
      </c>
      <c r="B160" s="1" t="s">
        <v>39</v>
      </c>
      <c r="C160" s="1" t="s">
        <v>40</v>
      </c>
      <c r="D160" s="1" t="str">
        <f t="shared" si="27"/>
        <v>9801</v>
      </c>
      <c r="E160" s="1" t="s">
        <v>25</v>
      </c>
      <c r="F160" s="1" t="str">
        <f>"4249A416B9880400C814002000000019"</f>
        <v>4249A416B9880400C814002000000019</v>
      </c>
      <c r="G160" s="1" t="s">
        <v>59</v>
      </c>
      <c r="H160" s="1" t="str">
        <f t="shared" si="28"/>
        <v>20220901</v>
      </c>
      <c r="I160" s="1" t="str">
        <f>"152517"</f>
        <v>152517</v>
      </c>
      <c r="J160" s="1" t="s">
        <v>44</v>
      </c>
      <c r="K160" s="1" t="s">
        <v>45</v>
      </c>
      <c r="L160" s="1" t="str">
        <f t="shared" si="29"/>
        <v>20220901</v>
      </c>
      <c r="M160" s="1" t="str">
        <f>"153612"</f>
        <v>153612</v>
      </c>
      <c r="N160" s="1" t="s">
        <v>91</v>
      </c>
      <c r="O160" s="1" t="s">
        <v>45</v>
      </c>
      <c r="P160" s="1" t="s">
        <v>55</v>
      </c>
      <c r="Q160" s="1">
        <v>25</v>
      </c>
      <c r="R160" s="1">
        <v>25</v>
      </c>
      <c r="S160" s="1">
        <v>0</v>
      </c>
      <c r="T160" s="1">
        <v>0</v>
      </c>
      <c r="U160" s="1">
        <v>0</v>
      </c>
      <c r="V160" s="1" t="str">
        <f t="shared" si="31"/>
        <v>里程返程</v>
      </c>
      <c r="W160" s="1" t="str">
        <f>"0020"</f>
        <v>0020</v>
      </c>
      <c r="X160" s="1" t="s">
        <v>29</v>
      </c>
    </row>
    <row r="161" spans="1:24" x14ac:dyDescent="0.3">
      <c r="A161" s="1" t="str">
        <f t="shared" si="26"/>
        <v>59822</v>
      </c>
      <c r="B161" s="1" t="s">
        <v>39</v>
      </c>
      <c r="C161" s="1" t="s">
        <v>40</v>
      </c>
      <c r="D161" s="1" t="str">
        <f t="shared" si="27"/>
        <v>9801</v>
      </c>
      <c r="E161" s="1" t="s">
        <v>25</v>
      </c>
      <c r="F161" s="1" t="str">
        <f>"C112914406280400F700000000000000"</f>
        <v>C112914406280400F700000000000000</v>
      </c>
      <c r="G161" s="1" t="s">
        <v>58</v>
      </c>
      <c r="H161" s="1" t="str">
        <f t="shared" si="28"/>
        <v>20220901</v>
      </c>
      <c r="I161" s="1" t="str">
        <f>"152630"</f>
        <v>152630</v>
      </c>
      <c r="J161" s="1" t="s">
        <v>44</v>
      </c>
      <c r="K161" s="1" t="s">
        <v>45</v>
      </c>
      <c r="L161" s="1" t="str">
        <f t="shared" si="29"/>
        <v>20220901</v>
      </c>
      <c r="M161" s="1" t="str">
        <f>"155206"</f>
        <v>155206</v>
      </c>
      <c r="N161" s="1" t="s">
        <v>28</v>
      </c>
      <c r="O161" s="1" t="s">
        <v>28</v>
      </c>
      <c r="P161" s="1" t="s">
        <v>55</v>
      </c>
      <c r="Q161" s="1">
        <v>25</v>
      </c>
      <c r="R161" s="1">
        <v>25</v>
      </c>
      <c r="S161" s="1">
        <v>0</v>
      </c>
      <c r="T161" s="1">
        <v>0</v>
      </c>
      <c r="U161" s="1">
        <v>0</v>
      </c>
      <c r="V161" s="1" t="str">
        <f t="shared" si="31"/>
        <v>里程返程</v>
      </c>
      <c r="W161" s="1" t="str">
        <f>"0020"</f>
        <v>0020</v>
      </c>
      <c r="X161" s="1" t="s">
        <v>29</v>
      </c>
    </row>
    <row r="162" spans="1:24" x14ac:dyDescent="0.3">
      <c r="A162" s="1" t="str">
        <f t="shared" si="26"/>
        <v>59822</v>
      </c>
      <c r="B162" s="1" t="s">
        <v>39</v>
      </c>
      <c r="C162" s="1" t="s">
        <v>40</v>
      </c>
      <c r="D162" s="1" t="str">
        <f t="shared" ref="D162:D193" si="32">"9801"</f>
        <v>9801</v>
      </c>
      <c r="E162" s="1" t="s">
        <v>25</v>
      </c>
      <c r="F162" s="1" t="str">
        <f>"1862308692"</f>
        <v>1862308692</v>
      </c>
      <c r="G162" s="1" t="s">
        <v>33</v>
      </c>
      <c r="H162" s="1" t="str">
        <f t="shared" si="28"/>
        <v>20220901</v>
      </c>
      <c r="I162" s="1" t="str">
        <f>"153955"</f>
        <v>153955</v>
      </c>
      <c r="J162" s="1" t="s">
        <v>56</v>
      </c>
      <c r="K162" s="1" t="s">
        <v>45</v>
      </c>
      <c r="L162" s="1" t="str">
        <f t="shared" si="29"/>
        <v>20220901</v>
      </c>
      <c r="M162" s="1" t="str">
        <f>"155210"</f>
        <v>155210</v>
      </c>
      <c r="N162" s="1" t="s">
        <v>28</v>
      </c>
      <c r="O162" s="1" t="s">
        <v>28</v>
      </c>
      <c r="P162" s="1" t="s">
        <v>55</v>
      </c>
      <c r="Q162" s="1">
        <v>25</v>
      </c>
      <c r="R162" s="1">
        <v>25</v>
      </c>
      <c r="S162" s="1">
        <v>0</v>
      </c>
      <c r="T162" s="1">
        <v>0</v>
      </c>
      <c r="U162" s="1">
        <v>0</v>
      </c>
      <c r="V162" s="1" t="str">
        <f t="shared" si="31"/>
        <v>里程返程</v>
      </c>
      <c r="W162" s="1" t="str">
        <f>"2020"</f>
        <v>2020</v>
      </c>
      <c r="X162" s="1" t="s">
        <v>35</v>
      </c>
    </row>
    <row r="163" spans="1:24" x14ac:dyDescent="0.3">
      <c r="A163" s="1" t="str">
        <f t="shared" si="26"/>
        <v>59822</v>
      </c>
      <c r="B163" s="1" t="s">
        <v>39</v>
      </c>
      <c r="C163" s="1" t="s">
        <v>40</v>
      </c>
      <c r="D163" s="1" t="str">
        <f t="shared" si="32"/>
        <v>9801</v>
      </c>
      <c r="E163" s="1" t="s">
        <v>25</v>
      </c>
      <c r="F163" s="1" t="str">
        <f>"1748169525"</f>
        <v>1748169525</v>
      </c>
      <c r="G163" s="1" t="s">
        <v>33</v>
      </c>
      <c r="H163" s="1" t="str">
        <f t="shared" si="28"/>
        <v>20220901</v>
      </c>
      <c r="I163" s="1" t="str">
        <f>"154036"</f>
        <v>154036</v>
      </c>
      <c r="J163" s="1" t="s">
        <v>61</v>
      </c>
      <c r="K163" s="1" t="s">
        <v>45</v>
      </c>
      <c r="L163" s="1" t="str">
        <f t="shared" si="29"/>
        <v>20220901</v>
      </c>
      <c r="M163" s="1" t="str">
        <f>"155155"</f>
        <v>155155</v>
      </c>
      <c r="N163" s="1" t="s">
        <v>28</v>
      </c>
      <c r="O163" s="1" t="s">
        <v>28</v>
      </c>
      <c r="P163" s="1" t="s">
        <v>55</v>
      </c>
      <c r="Q163" s="1">
        <v>25</v>
      </c>
      <c r="R163" s="1">
        <v>25</v>
      </c>
      <c r="S163" s="1">
        <v>0</v>
      </c>
      <c r="T163" s="1">
        <v>0</v>
      </c>
      <c r="U163" s="1">
        <v>0</v>
      </c>
      <c r="V163" s="1" t="str">
        <f t="shared" si="31"/>
        <v>里程返程</v>
      </c>
      <c r="W163" s="1" t="str">
        <f>"2020"</f>
        <v>2020</v>
      </c>
      <c r="X163" s="1" t="s">
        <v>35</v>
      </c>
    </row>
    <row r="164" spans="1:24" x14ac:dyDescent="0.3">
      <c r="A164" s="1" t="str">
        <f t="shared" si="26"/>
        <v>59822</v>
      </c>
      <c r="B164" s="1" t="s">
        <v>39</v>
      </c>
      <c r="C164" s="1" t="s">
        <v>40</v>
      </c>
      <c r="D164" s="1" t="str">
        <f t="shared" si="32"/>
        <v>9801</v>
      </c>
      <c r="E164" s="1" t="s">
        <v>25</v>
      </c>
      <c r="F164" s="1" t="str">
        <f>"1038806837"</f>
        <v>1038806837</v>
      </c>
      <c r="G164" s="1" t="s">
        <v>38</v>
      </c>
      <c r="H164" s="1" t="str">
        <f t="shared" si="28"/>
        <v>20220901</v>
      </c>
      <c r="I164" s="1" t="str">
        <f>"155216"</f>
        <v>155216</v>
      </c>
      <c r="J164" s="1" t="s">
        <v>28</v>
      </c>
      <c r="K164" s="1" t="s">
        <v>28</v>
      </c>
      <c r="L164" s="1" t="str">
        <f t="shared" si="29"/>
        <v>20220901</v>
      </c>
      <c r="M164" s="1" t="str">
        <f>"161645"</f>
        <v>161645</v>
      </c>
      <c r="N164" s="1" t="s">
        <v>65</v>
      </c>
      <c r="O164" s="1" t="s">
        <v>52</v>
      </c>
      <c r="P164" s="1" t="s">
        <v>55</v>
      </c>
      <c r="Q164" s="1">
        <v>25</v>
      </c>
      <c r="R164" s="1">
        <v>0</v>
      </c>
      <c r="S164" s="1">
        <v>25</v>
      </c>
      <c r="T164" s="1">
        <v>0</v>
      </c>
      <c r="U164" s="1">
        <v>0</v>
      </c>
      <c r="V164" s="1" t="str">
        <f t="shared" si="31"/>
        <v>里程返程</v>
      </c>
      <c r="W164" s="1" t="str">
        <f>"0820"</f>
        <v>0820</v>
      </c>
      <c r="X164" s="1" t="s">
        <v>35</v>
      </c>
    </row>
    <row r="165" spans="1:24" x14ac:dyDescent="0.3">
      <c r="A165" s="1" t="str">
        <f t="shared" si="26"/>
        <v>59822</v>
      </c>
      <c r="B165" s="1" t="s">
        <v>39</v>
      </c>
      <c r="C165" s="1" t="s">
        <v>40</v>
      </c>
      <c r="D165" s="1" t="str">
        <f t="shared" si="32"/>
        <v>9801</v>
      </c>
      <c r="E165" s="1" t="s">
        <v>25</v>
      </c>
      <c r="F165" s="1" t="str">
        <f>"1102101509"</f>
        <v>1102101509</v>
      </c>
      <c r="G165" s="1" t="s">
        <v>38</v>
      </c>
      <c r="H165" s="1" t="str">
        <f t="shared" si="28"/>
        <v>20220901</v>
      </c>
      <c r="I165" s="1" t="str">
        <f>"155218"</f>
        <v>155218</v>
      </c>
      <c r="J165" s="1" t="s">
        <v>28</v>
      </c>
      <c r="K165" s="1" t="s">
        <v>28</v>
      </c>
      <c r="L165" s="1" t="str">
        <f t="shared" si="29"/>
        <v>20220901</v>
      </c>
      <c r="M165" s="1" t="str">
        <f>"161641"</f>
        <v>161641</v>
      </c>
      <c r="N165" s="1" t="s">
        <v>65</v>
      </c>
      <c r="O165" s="1" t="s">
        <v>52</v>
      </c>
      <c r="P165" s="1" t="s">
        <v>55</v>
      </c>
      <c r="Q165" s="1">
        <v>25</v>
      </c>
      <c r="R165" s="1">
        <v>0</v>
      </c>
      <c r="S165" s="1">
        <v>25</v>
      </c>
      <c r="T165" s="1">
        <v>0</v>
      </c>
      <c r="U165" s="1">
        <v>0</v>
      </c>
      <c r="V165" s="1" t="str">
        <f t="shared" si="31"/>
        <v>里程返程</v>
      </c>
      <c r="W165" s="1" t="str">
        <f>"0820"</f>
        <v>0820</v>
      </c>
      <c r="X165" s="1" t="s">
        <v>35</v>
      </c>
    </row>
    <row r="166" spans="1:24" x14ac:dyDescent="0.3">
      <c r="A166" s="1" t="str">
        <f t="shared" si="26"/>
        <v>59822</v>
      </c>
      <c r="B166" s="1" t="s">
        <v>39</v>
      </c>
      <c r="C166" s="1" t="s">
        <v>40</v>
      </c>
      <c r="D166" s="1" t="str">
        <f t="shared" si="32"/>
        <v>9801</v>
      </c>
      <c r="E166" s="1" t="s">
        <v>25</v>
      </c>
      <c r="F166" s="1" t="str">
        <f>"2725457807"</f>
        <v>2725457807</v>
      </c>
      <c r="G166" s="1" t="s">
        <v>74</v>
      </c>
      <c r="H166" s="1" t="str">
        <f t="shared" si="28"/>
        <v>20220901</v>
      </c>
      <c r="I166" s="1" t="str">
        <f>"155222"</f>
        <v>155222</v>
      </c>
      <c r="J166" s="1" t="s">
        <v>28</v>
      </c>
      <c r="K166" s="1" t="s">
        <v>28</v>
      </c>
      <c r="L166" s="1" t="str">
        <f t="shared" si="29"/>
        <v>20220901</v>
      </c>
      <c r="M166" s="1" t="str">
        <f>"162453"</f>
        <v>162453</v>
      </c>
      <c r="N166" s="1" t="s">
        <v>86</v>
      </c>
      <c r="O166" s="1" t="s">
        <v>52</v>
      </c>
      <c r="P166" s="1" t="s">
        <v>55</v>
      </c>
      <c r="Q166" s="1">
        <v>13</v>
      </c>
      <c r="R166" s="1">
        <v>13</v>
      </c>
      <c r="S166" s="1">
        <v>0</v>
      </c>
      <c r="T166" s="1">
        <v>0</v>
      </c>
      <c r="U166" s="1">
        <v>0</v>
      </c>
      <c r="V166" s="1" t="str">
        <f t="shared" si="31"/>
        <v>里程返程</v>
      </c>
      <c r="W166" s="1" t="str">
        <f>"0820"</f>
        <v>0820</v>
      </c>
      <c r="X166" s="1" t="s">
        <v>35</v>
      </c>
    </row>
    <row r="167" spans="1:24" x14ac:dyDescent="0.3">
      <c r="A167" s="1" t="str">
        <f t="shared" si="26"/>
        <v>59822</v>
      </c>
      <c r="B167" s="1" t="s">
        <v>39</v>
      </c>
      <c r="C167" s="1" t="s">
        <v>40</v>
      </c>
      <c r="D167" s="1" t="str">
        <f t="shared" si="32"/>
        <v>9801</v>
      </c>
      <c r="E167" s="1" t="s">
        <v>25</v>
      </c>
      <c r="F167" s="1" t="str">
        <f>"2725392527"</f>
        <v>2725392527</v>
      </c>
      <c r="G167" s="1" t="s">
        <v>102</v>
      </c>
      <c r="H167" s="1" t="str">
        <f t="shared" si="28"/>
        <v>20220901</v>
      </c>
      <c r="I167" s="1" t="str">
        <f>"155225"</f>
        <v>155225</v>
      </c>
      <c r="J167" s="1" t="s">
        <v>28</v>
      </c>
      <c r="K167" s="1" t="s">
        <v>28</v>
      </c>
      <c r="L167" s="1" t="str">
        <f t="shared" si="29"/>
        <v>20220901</v>
      </c>
      <c r="M167" s="1" t="str">
        <f>"162454"</f>
        <v>162454</v>
      </c>
      <c r="N167" s="1" t="s">
        <v>86</v>
      </c>
      <c r="O167" s="1" t="s">
        <v>52</v>
      </c>
      <c r="P167" s="1" t="s">
        <v>55</v>
      </c>
      <c r="Q167" s="1">
        <v>13</v>
      </c>
      <c r="R167" s="1">
        <v>13</v>
      </c>
      <c r="S167" s="1">
        <v>0</v>
      </c>
      <c r="T167" s="1">
        <v>0</v>
      </c>
      <c r="U167" s="1">
        <v>0</v>
      </c>
      <c r="V167" s="1" t="str">
        <f t="shared" si="31"/>
        <v>里程返程</v>
      </c>
      <c r="W167" s="1" t="str">
        <f>"0820"</f>
        <v>0820</v>
      </c>
      <c r="X167" s="1" t="s">
        <v>35</v>
      </c>
    </row>
    <row r="168" spans="1:24" x14ac:dyDescent="0.3">
      <c r="A168" s="1" t="str">
        <f t="shared" si="26"/>
        <v>59822</v>
      </c>
      <c r="B168" s="1" t="s">
        <v>39</v>
      </c>
      <c r="C168" s="1" t="s">
        <v>40</v>
      </c>
      <c r="D168" s="1" t="str">
        <f t="shared" si="32"/>
        <v>9801</v>
      </c>
      <c r="E168" s="1" t="s">
        <v>25</v>
      </c>
      <c r="F168" s="1" t="str">
        <f>"947325925"</f>
        <v>947325925</v>
      </c>
      <c r="G168" s="1" t="s">
        <v>38</v>
      </c>
      <c r="H168" s="1" t="str">
        <f t="shared" si="28"/>
        <v>20220901</v>
      </c>
      <c r="I168" s="1" t="str">
        <f>"162721"</f>
        <v>162721</v>
      </c>
      <c r="J168" s="1" t="s">
        <v>44</v>
      </c>
      <c r="K168" s="1" t="s">
        <v>45</v>
      </c>
      <c r="L168" s="1" t="str">
        <f t="shared" si="29"/>
        <v>20220901</v>
      </c>
      <c r="M168" s="1" t="str">
        <f>"165318"</f>
        <v>165318</v>
      </c>
      <c r="N168" s="1" t="s">
        <v>28</v>
      </c>
      <c r="O168" s="1" t="s">
        <v>28</v>
      </c>
      <c r="P168" s="1" t="s">
        <v>55</v>
      </c>
      <c r="Q168" s="1">
        <v>25</v>
      </c>
      <c r="R168" s="1">
        <v>25</v>
      </c>
      <c r="S168" s="1">
        <v>0</v>
      </c>
      <c r="T168" s="1">
        <v>0</v>
      </c>
      <c r="U168" s="1">
        <v>0</v>
      </c>
      <c r="V168" s="1" t="str">
        <f t="shared" si="31"/>
        <v>里程返程</v>
      </c>
      <c r="W168" s="1" t="str">
        <f>"2120"</f>
        <v>2120</v>
      </c>
      <c r="X168" s="1" t="s">
        <v>35</v>
      </c>
    </row>
    <row r="169" spans="1:24" x14ac:dyDescent="0.3">
      <c r="A169" s="1" t="str">
        <f t="shared" si="26"/>
        <v>59822</v>
      </c>
      <c r="B169" s="1" t="s">
        <v>39</v>
      </c>
      <c r="C169" s="1" t="s">
        <v>40</v>
      </c>
      <c r="D169" s="1" t="str">
        <f t="shared" si="32"/>
        <v>9801</v>
      </c>
      <c r="E169" s="1" t="s">
        <v>25</v>
      </c>
      <c r="F169" s="1" t="str">
        <f>"881231413"</f>
        <v>881231413</v>
      </c>
      <c r="G169" s="1" t="s">
        <v>38</v>
      </c>
      <c r="H169" s="1" t="str">
        <f t="shared" si="28"/>
        <v>20220901</v>
      </c>
      <c r="I169" s="1" t="str">
        <f>"162726"</f>
        <v>162726</v>
      </c>
      <c r="J169" s="1" t="s">
        <v>44</v>
      </c>
      <c r="K169" s="1" t="s">
        <v>45</v>
      </c>
      <c r="L169" s="1" t="str">
        <f t="shared" si="29"/>
        <v>20220901</v>
      </c>
      <c r="M169" s="1" t="str">
        <f>"165313"</f>
        <v>165313</v>
      </c>
      <c r="N169" s="1" t="s">
        <v>28</v>
      </c>
      <c r="O169" s="1" t="s">
        <v>28</v>
      </c>
      <c r="P169" s="1" t="s">
        <v>55</v>
      </c>
      <c r="Q169" s="1">
        <v>25</v>
      </c>
      <c r="R169" s="1">
        <v>25</v>
      </c>
      <c r="S169" s="1">
        <v>0</v>
      </c>
      <c r="T169" s="1">
        <v>0</v>
      </c>
      <c r="U169" s="1">
        <v>0</v>
      </c>
      <c r="V169" s="1" t="str">
        <f t="shared" si="31"/>
        <v>里程返程</v>
      </c>
      <c r="W169" s="1" t="str">
        <f>"2120"</f>
        <v>2120</v>
      </c>
      <c r="X169" s="1" t="s">
        <v>35</v>
      </c>
    </row>
    <row r="170" spans="1:24" x14ac:dyDescent="0.3">
      <c r="A170" s="1" t="str">
        <f t="shared" si="26"/>
        <v>59822</v>
      </c>
      <c r="B170" s="1" t="s">
        <v>39</v>
      </c>
      <c r="C170" s="1" t="s">
        <v>40</v>
      </c>
      <c r="D170" s="1" t="str">
        <f t="shared" si="32"/>
        <v>9801</v>
      </c>
      <c r="E170" s="1" t="s">
        <v>25</v>
      </c>
      <c r="F170" s="1" t="str">
        <f>"947690293"</f>
        <v>947690293</v>
      </c>
      <c r="G170" s="1" t="s">
        <v>38</v>
      </c>
      <c r="H170" s="1" t="str">
        <f t="shared" si="28"/>
        <v>20220901</v>
      </c>
      <c r="I170" s="1" t="str">
        <f>"162737"</f>
        <v>162737</v>
      </c>
      <c r="J170" s="1" t="s">
        <v>44</v>
      </c>
      <c r="K170" s="1" t="s">
        <v>45</v>
      </c>
      <c r="L170" s="1" t="str">
        <f t="shared" si="29"/>
        <v>20220901</v>
      </c>
      <c r="M170" s="1" t="str">
        <f>"165302"</f>
        <v>165302</v>
      </c>
      <c r="N170" s="1" t="s">
        <v>28</v>
      </c>
      <c r="O170" s="1" t="s">
        <v>28</v>
      </c>
      <c r="P170" s="1" t="s">
        <v>55</v>
      </c>
      <c r="Q170" s="1">
        <v>25</v>
      </c>
      <c r="R170" s="1">
        <v>25</v>
      </c>
      <c r="S170" s="1">
        <v>0</v>
      </c>
      <c r="T170" s="1">
        <v>0</v>
      </c>
      <c r="U170" s="1">
        <v>0</v>
      </c>
      <c r="V170" s="1" t="str">
        <f t="shared" si="31"/>
        <v>里程返程</v>
      </c>
      <c r="W170" s="1" t="str">
        <f>"2120"</f>
        <v>2120</v>
      </c>
      <c r="X170" s="1" t="s">
        <v>35</v>
      </c>
    </row>
    <row r="171" spans="1:24" x14ac:dyDescent="0.3">
      <c r="A171" s="1" t="str">
        <f t="shared" si="26"/>
        <v>59822</v>
      </c>
      <c r="B171" s="1" t="s">
        <v>39</v>
      </c>
      <c r="C171" s="1" t="s">
        <v>40</v>
      </c>
      <c r="D171" s="1" t="str">
        <f t="shared" si="32"/>
        <v>9801</v>
      </c>
      <c r="E171" s="1" t="s">
        <v>25</v>
      </c>
      <c r="F171" s="1" t="str">
        <f>"F2BC8115DA28040080CEDB5165514018"</f>
        <v>F2BC8115DA28040080CEDB5165514018</v>
      </c>
      <c r="G171" s="1" t="s">
        <v>59</v>
      </c>
      <c r="H171" s="1" t="str">
        <f t="shared" si="28"/>
        <v>20220901</v>
      </c>
      <c r="I171" s="1" t="str">
        <f>"162745"</f>
        <v>162745</v>
      </c>
      <c r="J171" s="1" t="s">
        <v>44</v>
      </c>
      <c r="K171" s="1" t="s">
        <v>45</v>
      </c>
      <c r="L171" s="1" t="str">
        <f t="shared" si="29"/>
        <v>20220901</v>
      </c>
      <c r="M171" s="1" t="str">
        <f>"165237"</f>
        <v>165237</v>
      </c>
      <c r="N171" s="1" t="s">
        <v>28</v>
      </c>
      <c r="O171" s="1" t="s">
        <v>28</v>
      </c>
      <c r="P171" s="1" t="s">
        <v>55</v>
      </c>
      <c r="Q171" s="1">
        <v>25</v>
      </c>
      <c r="R171" s="1">
        <v>25</v>
      </c>
      <c r="S171" s="1">
        <v>0</v>
      </c>
      <c r="T171" s="1">
        <v>0</v>
      </c>
      <c r="U171" s="1">
        <v>0</v>
      </c>
      <c r="V171" s="1" t="str">
        <f t="shared" si="31"/>
        <v>里程返程</v>
      </c>
      <c r="W171" s="1" t="str">
        <f>"0020"</f>
        <v>0020</v>
      </c>
      <c r="X171" s="1" t="s">
        <v>29</v>
      </c>
    </row>
    <row r="172" spans="1:24" x14ac:dyDescent="0.3">
      <c r="A172" s="1" t="str">
        <f t="shared" si="26"/>
        <v>59822</v>
      </c>
      <c r="B172" s="1" t="s">
        <v>39</v>
      </c>
      <c r="C172" s="1" t="s">
        <v>40</v>
      </c>
      <c r="D172" s="1" t="str">
        <f t="shared" si="32"/>
        <v>9801</v>
      </c>
      <c r="E172" s="1" t="s">
        <v>25</v>
      </c>
      <c r="F172" s="1" t="str">
        <f>"62428215B728040080CEDB5165514018"</f>
        <v>62428215B728040080CEDB5165514018</v>
      </c>
      <c r="G172" s="1" t="s">
        <v>59</v>
      </c>
      <c r="H172" s="1" t="str">
        <f t="shared" si="28"/>
        <v>20220901</v>
      </c>
      <c r="I172" s="1" t="str">
        <f>"162749"</f>
        <v>162749</v>
      </c>
      <c r="J172" s="1" t="s">
        <v>44</v>
      </c>
      <c r="K172" s="1" t="s">
        <v>45</v>
      </c>
      <c r="L172" s="1" t="str">
        <f t="shared" si="29"/>
        <v>20220901</v>
      </c>
      <c r="M172" s="1" t="str">
        <f>"165234"</f>
        <v>165234</v>
      </c>
      <c r="N172" s="1" t="s">
        <v>28</v>
      </c>
      <c r="O172" s="1" t="s">
        <v>28</v>
      </c>
      <c r="P172" s="1" t="s">
        <v>55</v>
      </c>
      <c r="Q172" s="1">
        <v>25</v>
      </c>
      <c r="R172" s="1">
        <v>25</v>
      </c>
      <c r="S172" s="1">
        <v>0</v>
      </c>
      <c r="T172" s="1">
        <v>0</v>
      </c>
      <c r="U172" s="1">
        <v>0</v>
      </c>
      <c r="V172" s="1" t="str">
        <f t="shared" si="31"/>
        <v>里程返程</v>
      </c>
      <c r="W172" s="1" t="str">
        <f>"0020"</f>
        <v>0020</v>
      </c>
      <c r="X172" s="1" t="s">
        <v>29</v>
      </c>
    </row>
    <row r="173" spans="1:24" x14ac:dyDescent="0.3">
      <c r="A173" s="1" t="str">
        <f t="shared" si="26"/>
        <v>59822</v>
      </c>
      <c r="B173" s="1" t="s">
        <v>39</v>
      </c>
      <c r="C173" s="1" t="s">
        <v>40</v>
      </c>
      <c r="D173" s="1" t="str">
        <f t="shared" si="32"/>
        <v>9801</v>
      </c>
      <c r="E173" s="1" t="s">
        <v>25</v>
      </c>
      <c r="F173" s="1" t="str">
        <f>"C2BA1B0360880400C834002000000015"</f>
        <v>C2BA1B0360880400C834002000000015</v>
      </c>
      <c r="G173" s="1" t="s">
        <v>26</v>
      </c>
      <c r="H173" s="1" t="str">
        <f t="shared" si="28"/>
        <v>20220901</v>
      </c>
      <c r="I173" s="1" t="str">
        <f>"165332"</f>
        <v>165332</v>
      </c>
      <c r="J173" s="1" t="s">
        <v>28</v>
      </c>
      <c r="K173" s="1" t="s">
        <v>28</v>
      </c>
      <c r="L173" s="1" t="str">
        <f t="shared" si="29"/>
        <v>20220901</v>
      </c>
      <c r="M173" s="1" t="str">
        <f>"171457"</f>
        <v>171457</v>
      </c>
      <c r="N173" s="1" t="s">
        <v>77</v>
      </c>
      <c r="O173" s="1" t="s">
        <v>52</v>
      </c>
      <c r="P173" s="1" t="s">
        <v>68</v>
      </c>
      <c r="Q173" s="1">
        <v>13</v>
      </c>
      <c r="R173" s="1">
        <v>0</v>
      </c>
      <c r="S173" s="1">
        <v>0</v>
      </c>
      <c r="T173" s="1">
        <v>13</v>
      </c>
      <c r="U173" s="1">
        <v>0</v>
      </c>
      <c r="V173" s="1" t="str">
        <f t="shared" si="31"/>
        <v>里程返程</v>
      </c>
      <c r="W173" s="1" t="str">
        <f>"0020"</f>
        <v>0020</v>
      </c>
      <c r="X173" s="1" t="s">
        <v>29</v>
      </c>
    </row>
    <row r="174" spans="1:24" x14ac:dyDescent="0.3">
      <c r="A174" s="1" t="str">
        <f t="shared" si="26"/>
        <v>59822</v>
      </c>
      <c r="B174" s="1" t="s">
        <v>39</v>
      </c>
      <c r="C174" s="1" t="s">
        <v>40</v>
      </c>
      <c r="D174" s="1" t="str">
        <f t="shared" si="32"/>
        <v>9801</v>
      </c>
      <c r="E174" s="1" t="s">
        <v>25</v>
      </c>
      <c r="F174" s="1" t="str">
        <f>"908577429"</f>
        <v>908577429</v>
      </c>
      <c r="G174" s="1" t="s">
        <v>26</v>
      </c>
      <c r="H174" s="1" t="str">
        <f t="shared" si="28"/>
        <v>20220901</v>
      </c>
      <c r="I174" s="1" t="str">
        <f>"165352"</f>
        <v>165352</v>
      </c>
      <c r="J174" s="1" t="s">
        <v>28</v>
      </c>
      <c r="K174" s="1" t="s">
        <v>28</v>
      </c>
      <c r="L174" s="1" t="str">
        <f t="shared" si="29"/>
        <v>20220901</v>
      </c>
      <c r="M174" s="1" t="str">
        <f>"171538"</f>
        <v>171538</v>
      </c>
      <c r="N174" s="1" t="s">
        <v>77</v>
      </c>
      <c r="O174" s="1" t="s">
        <v>52</v>
      </c>
      <c r="P174" s="1" t="s">
        <v>55</v>
      </c>
      <c r="Q174" s="1">
        <v>13</v>
      </c>
      <c r="R174" s="1">
        <v>13</v>
      </c>
      <c r="S174" s="1">
        <v>0</v>
      </c>
      <c r="T174" s="1">
        <v>0</v>
      </c>
      <c r="U174" s="1">
        <v>0</v>
      </c>
      <c r="V174" s="1" t="str">
        <f t="shared" si="31"/>
        <v>里程返程</v>
      </c>
      <c r="W174" s="1" t="str">
        <f>"0120"</f>
        <v>0120</v>
      </c>
      <c r="X174" s="1" t="s">
        <v>35</v>
      </c>
    </row>
    <row r="175" spans="1:24" x14ac:dyDescent="0.3">
      <c r="A175" s="1" t="str">
        <f t="shared" ref="A175:A206" si="33">"59825"</f>
        <v>59825</v>
      </c>
      <c r="B175" s="1" t="s">
        <v>30</v>
      </c>
      <c r="C175" s="1" t="s">
        <v>31</v>
      </c>
      <c r="D175" s="1" t="str">
        <f t="shared" si="32"/>
        <v>9801</v>
      </c>
      <c r="E175" s="1" t="s">
        <v>25</v>
      </c>
      <c r="F175" s="1" t="str">
        <f>"F29BD102BA880400C834002000000015"</f>
        <v>F29BD102BA880400C834002000000015</v>
      </c>
      <c r="G175" s="1" t="s">
        <v>26</v>
      </c>
      <c r="H175" s="1" t="str">
        <f t="shared" si="28"/>
        <v>20220901</v>
      </c>
      <c r="I175" s="1" t="str">
        <f>"083343"</f>
        <v>083343</v>
      </c>
      <c r="J175" s="1" t="s">
        <v>44</v>
      </c>
      <c r="K175" s="1" t="s">
        <v>45</v>
      </c>
      <c r="L175" s="1" t="str">
        <f t="shared" si="29"/>
        <v>20220901</v>
      </c>
      <c r="M175" s="1" t="str">
        <f>"085342"</f>
        <v>085342</v>
      </c>
      <c r="N175" s="1" t="s">
        <v>28</v>
      </c>
      <c r="O175" s="1" t="s">
        <v>28</v>
      </c>
      <c r="P175" s="1" t="s">
        <v>68</v>
      </c>
      <c r="Q175" s="1">
        <v>13</v>
      </c>
      <c r="R175" s="1">
        <v>0</v>
      </c>
      <c r="S175" s="1">
        <v>0</v>
      </c>
      <c r="T175" s="1">
        <v>13</v>
      </c>
      <c r="U175" s="1">
        <v>0</v>
      </c>
      <c r="V175" s="1" t="str">
        <f t="shared" si="31"/>
        <v>里程返程</v>
      </c>
      <c r="W175" s="1" t="str">
        <f>"0020"</f>
        <v>0020</v>
      </c>
      <c r="X175" s="1" t="s">
        <v>29</v>
      </c>
    </row>
    <row r="176" spans="1:24" x14ac:dyDescent="0.3">
      <c r="A176" s="1" t="str">
        <f t="shared" si="33"/>
        <v>59825</v>
      </c>
      <c r="B176" s="1" t="s">
        <v>30</v>
      </c>
      <c r="C176" s="1" t="s">
        <v>31</v>
      </c>
      <c r="D176" s="1" t="str">
        <f t="shared" si="32"/>
        <v>9801</v>
      </c>
      <c r="E176" s="1" t="s">
        <v>25</v>
      </c>
      <c r="F176" s="1" t="str">
        <f>"799288085"</f>
        <v>799288085</v>
      </c>
      <c r="G176" s="1" t="s">
        <v>26</v>
      </c>
      <c r="H176" s="1" t="str">
        <f t="shared" si="28"/>
        <v>20220901</v>
      </c>
      <c r="I176" s="1" t="str">
        <f>"084115"</f>
        <v>084115</v>
      </c>
      <c r="J176" s="1" t="s">
        <v>56</v>
      </c>
      <c r="K176" s="1" t="s">
        <v>45</v>
      </c>
      <c r="L176" s="1" t="str">
        <f t="shared" si="29"/>
        <v>20220901</v>
      </c>
      <c r="M176" s="1" t="str">
        <f>"085349"</f>
        <v>085349</v>
      </c>
      <c r="N176" s="1" t="s">
        <v>28</v>
      </c>
      <c r="O176" s="1" t="s">
        <v>28</v>
      </c>
      <c r="P176" s="1" t="s">
        <v>55</v>
      </c>
      <c r="Q176" s="1">
        <v>13</v>
      </c>
      <c r="R176" s="1">
        <v>13</v>
      </c>
      <c r="S176" s="1">
        <v>0</v>
      </c>
      <c r="T176" s="1">
        <v>0</v>
      </c>
      <c r="U176" s="1">
        <v>0</v>
      </c>
      <c r="V176" s="1" t="str">
        <f t="shared" si="31"/>
        <v>里程返程</v>
      </c>
      <c r="W176" s="1" t="str">
        <f>"2020"</f>
        <v>2020</v>
      </c>
      <c r="X176" s="1" t="s">
        <v>35</v>
      </c>
    </row>
    <row r="177" spans="1:24" x14ac:dyDescent="0.3">
      <c r="A177" s="1" t="str">
        <f t="shared" si="33"/>
        <v>59825</v>
      </c>
      <c r="B177" s="1" t="s">
        <v>30</v>
      </c>
      <c r="C177" s="1" t="s">
        <v>31</v>
      </c>
      <c r="D177" s="1" t="str">
        <f t="shared" si="32"/>
        <v>9801</v>
      </c>
      <c r="E177" s="1" t="s">
        <v>25</v>
      </c>
      <c r="F177" s="1" t="str">
        <f>"1990032291"</f>
        <v>1990032291</v>
      </c>
      <c r="G177" s="1" t="s">
        <v>26</v>
      </c>
      <c r="H177" s="1" t="str">
        <f t="shared" si="28"/>
        <v>20220901</v>
      </c>
      <c r="I177" s="1" t="str">
        <f>"084122"</f>
        <v>084122</v>
      </c>
      <c r="J177" s="1" t="s">
        <v>56</v>
      </c>
      <c r="K177" s="1" t="s">
        <v>45</v>
      </c>
      <c r="L177" s="1" t="str">
        <f t="shared" si="29"/>
        <v>20220901</v>
      </c>
      <c r="M177" s="1" t="str">
        <f>"085352"</f>
        <v>085352</v>
      </c>
      <c r="N177" s="1" t="s">
        <v>28</v>
      </c>
      <c r="O177" s="1" t="s">
        <v>28</v>
      </c>
      <c r="P177" s="1" t="s">
        <v>55</v>
      </c>
      <c r="Q177" s="1">
        <v>13</v>
      </c>
      <c r="R177" s="1">
        <v>13</v>
      </c>
      <c r="S177" s="1">
        <v>0</v>
      </c>
      <c r="T177" s="1">
        <v>0</v>
      </c>
      <c r="U177" s="1">
        <v>0</v>
      </c>
      <c r="V177" s="1" t="str">
        <f t="shared" si="31"/>
        <v>里程返程</v>
      </c>
      <c r="W177" s="1" t="str">
        <f>"2020"</f>
        <v>2020</v>
      </c>
      <c r="X177" s="1" t="s">
        <v>35</v>
      </c>
    </row>
    <row r="178" spans="1:24" x14ac:dyDescent="0.3">
      <c r="A178" s="1" t="str">
        <f t="shared" si="33"/>
        <v>59825</v>
      </c>
      <c r="B178" s="1" t="s">
        <v>30</v>
      </c>
      <c r="C178" s="1" t="s">
        <v>31</v>
      </c>
      <c r="D178" s="1" t="str">
        <f t="shared" si="32"/>
        <v>9801</v>
      </c>
      <c r="E178" s="1" t="s">
        <v>25</v>
      </c>
      <c r="F178" s="1" t="str">
        <f>"1103653621"</f>
        <v>1103653621</v>
      </c>
      <c r="G178" s="1" t="s">
        <v>38</v>
      </c>
      <c r="H178" s="1" t="str">
        <f t="shared" si="28"/>
        <v>20220901</v>
      </c>
      <c r="I178" s="1" t="str">
        <f>"084124"</f>
        <v>084124</v>
      </c>
      <c r="J178" s="1" t="s">
        <v>56</v>
      </c>
      <c r="K178" s="1" t="s">
        <v>45</v>
      </c>
      <c r="L178" s="1" t="str">
        <f t="shared" si="29"/>
        <v>20220901</v>
      </c>
      <c r="M178" s="1" t="str">
        <f>"085356"</f>
        <v>085356</v>
      </c>
      <c r="N178" s="1" t="s">
        <v>28</v>
      </c>
      <c r="O178" s="1" t="s">
        <v>28</v>
      </c>
      <c r="P178" s="1" t="s">
        <v>55</v>
      </c>
      <c r="Q178" s="1">
        <v>25</v>
      </c>
      <c r="R178" s="1">
        <v>25</v>
      </c>
      <c r="S178" s="1">
        <v>0</v>
      </c>
      <c r="T178" s="1">
        <v>0</v>
      </c>
      <c r="U178" s="1">
        <v>0</v>
      </c>
      <c r="V178" s="1" t="str">
        <f t="shared" si="31"/>
        <v>里程返程</v>
      </c>
      <c r="W178" s="1" t="str">
        <f>"2020"</f>
        <v>2020</v>
      </c>
      <c r="X178" s="1" t="s">
        <v>35</v>
      </c>
    </row>
    <row r="179" spans="1:24" x14ac:dyDescent="0.3">
      <c r="A179" s="1" t="str">
        <f t="shared" si="33"/>
        <v>59825</v>
      </c>
      <c r="B179" s="1" t="s">
        <v>30</v>
      </c>
      <c r="C179" s="1" t="s">
        <v>31</v>
      </c>
      <c r="D179" s="1" t="str">
        <f t="shared" si="32"/>
        <v>9801</v>
      </c>
      <c r="E179" s="1" t="s">
        <v>25</v>
      </c>
      <c r="F179" s="1" t="str">
        <f>"03A6A9454988040048B994D749703809"</f>
        <v>03A6A9454988040048B994D749703809</v>
      </c>
      <c r="G179" s="1" t="s">
        <v>64</v>
      </c>
      <c r="H179" s="1" t="str">
        <f t="shared" si="28"/>
        <v>20220901</v>
      </c>
      <c r="I179" s="1" t="str">
        <f>"085408"</f>
        <v>085408</v>
      </c>
      <c r="J179" s="1" t="s">
        <v>28</v>
      </c>
      <c r="K179" s="1" t="s">
        <v>28</v>
      </c>
      <c r="L179" s="1" t="str">
        <f t="shared" si="29"/>
        <v>20220901</v>
      </c>
      <c r="M179" s="1" t="str">
        <f>"090753"</f>
        <v>090753</v>
      </c>
      <c r="N179" s="1" t="s">
        <v>78</v>
      </c>
      <c r="O179" s="1" t="s">
        <v>52</v>
      </c>
      <c r="P179" s="1" t="s">
        <v>55</v>
      </c>
      <c r="Q179" s="1">
        <v>13</v>
      </c>
      <c r="R179" s="1">
        <v>13</v>
      </c>
      <c r="S179" s="1">
        <v>0</v>
      </c>
      <c r="T179" s="1">
        <v>0</v>
      </c>
      <c r="U179" s="1">
        <v>0</v>
      </c>
      <c r="V179" s="1" t="str">
        <f t="shared" si="31"/>
        <v>里程返程</v>
      </c>
      <c r="W179" s="1" t="str">
        <f>"0020"</f>
        <v>0020</v>
      </c>
      <c r="X179" s="1" t="s">
        <v>29</v>
      </c>
    </row>
    <row r="180" spans="1:24" x14ac:dyDescent="0.3">
      <c r="A180" s="1" t="str">
        <f t="shared" si="33"/>
        <v>59825</v>
      </c>
      <c r="B180" s="1" t="s">
        <v>30</v>
      </c>
      <c r="C180" s="1" t="s">
        <v>31</v>
      </c>
      <c r="D180" s="1" t="str">
        <f t="shared" si="32"/>
        <v>9801</v>
      </c>
      <c r="E180" s="1" t="s">
        <v>25</v>
      </c>
      <c r="F180" s="1" t="str">
        <f>"529E1903D6880400C834002000000015"</f>
        <v>529E1903D6880400C834002000000015</v>
      </c>
      <c r="G180" s="1" t="s">
        <v>26</v>
      </c>
      <c r="H180" s="1" t="str">
        <f t="shared" si="28"/>
        <v>20220901</v>
      </c>
      <c r="I180" s="1" t="str">
        <f>"085413"</f>
        <v>085413</v>
      </c>
      <c r="J180" s="1" t="s">
        <v>28</v>
      </c>
      <c r="K180" s="1" t="s">
        <v>28</v>
      </c>
      <c r="L180" s="1" t="str">
        <f t="shared" si="29"/>
        <v>20220901</v>
      </c>
      <c r="M180" s="1" t="str">
        <f>"092338"</f>
        <v>092338</v>
      </c>
      <c r="N180" s="1" t="s">
        <v>60</v>
      </c>
      <c r="O180" s="1" t="s">
        <v>52</v>
      </c>
      <c r="P180" s="1" t="s">
        <v>68</v>
      </c>
      <c r="Q180" s="1">
        <v>13</v>
      </c>
      <c r="R180" s="1">
        <v>0</v>
      </c>
      <c r="S180" s="1">
        <v>0</v>
      </c>
      <c r="T180" s="1">
        <v>13</v>
      </c>
      <c r="U180" s="1">
        <v>0</v>
      </c>
      <c r="V180" s="1" t="str">
        <f t="shared" si="31"/>
        <v>里程返程</v>
      </c>
      <c r="W180" s="1" t="str">
        <f>"0020"</f>
        <v>0020</v>
      </c>
      <c r="X180" s="1" t="s">
        <v>29</v>
      </c>
    </row>
    <row r="181" spans="1:24" x14ac:dyDescent="0.3">
      <c r="A181" s="1" t="str">
        <f t="shared" si="33"/>
        <v>59825</v>
      </c>
      <c r="B181" s="1" t="s">
        <v>30</v>
      </c>
      <c r="C181" s="1" t="s">
        <v>31</v>
      </c>
      <c r="D181" s="1" t="str">
        <f t="shared" si="32"/>
        <v>9801</v>
      </c>
      <c r="E181" s="1" t="s">
        <v>25</v>
      </c>
      <c r="F181" s="1" t="str">
        <f>"2AFA6262D0880400C18514D045304512"</f>
        <v>2AFA6262D0880400C18514D045304512</v>
      </c>
      <c r="G181" s="1" t="s">
        <v>59</v>
      </c>
      <c r="H181" s="1" t="str">
        <f t="shared" si="28"/>
        <v>20220901</v>
      </c>
      <c r="I181" s="1" t="str">
        <f>"095733"</f>
        <v>095733</v>
      </c>
      <c r="J181" s="1" t="s">
        <v>28</v>
      </c>
      <c r="K181" s="1" t="s">
        <v>28</v>
      </c>
      <c r="L181" s="1" t="str">
        <f t="shared" si="29"/>
        <v>20220901</v>
      </c>
      <c r="M181" s="1" t="str">
        <f>"102657"</f>
        <v>102657</v>
      </c>
      <c r="N181" s="1" t="s">
        <v>60</v>
      </c>
      <c r="O181" s="1" t="s">
        <v>52</v>
      </c>
      <c r="P181" s="1" t="s">
        <v>55</v>
      </c>
      <c r="Q181" s="1">
        <v>25</v>
      </c>
      <c r="R181" s="1">
        <v>25</v>
      </c>
      <c r="S181" s="1">
        <v>0</v>
      </c>
      <c r="T181" s="1">
        <v>0</v>
      </c>
      <c r="U181" s="1">
        <v>0</v>
      </c>
      <c r="V181" s="1" t="str">
        <f t="shared" si="31"/>
        <v>里程返程</v>
      </c>
      <c r="W181" s="1" t="str">
        <f>"0020"</f>
        <v>0020</v>
      </c>
      <c r="X181" s="1" t="s">
        <v>29</v>
      </c>
    </row>
    <row r="182" spans="1:24" x14ac:dyDescent="0.3">
      <c r="A182" s="1" t="str">
        <f t="shared" si="33"/>
        <v>59825</v>
      </c>
      <c r="B182" s="1" t="s">
        <v>30</v>
      </c>
      <c r="C182" s="1" t="s">
        <v>31</v>
      </c>
      <c r="D182" s="1" t="str">
        <f t="shared" si="32"/>
        <v>9801</v>
      </c>
      <c r="E182" s="1" t="s">
        <v>25</v>
      </c>
      <c r="F182" s="1" t="str">
        <f>"DA09B4CEA9880400475935D541403307"</f>
        <v>DA09B4CEA9880400475935D541403307</v>
      </c>
      <c r="G182" s="1" t="s">
        <v>58</v>
      </c>
      <c r="H182" s="1" t="str">
        <f t="shared" si="28"/>
        <v>20220901</v>
      </c>
      <c r="I182" s="1" t="str">
        <f>"095739"</f>
        <v>095739</v>
      </c>
      <c r="J182" s="1" t="s">
        <v>28</v>
      </c>
      <c r="K182" s="1" t="s">
        <v>28</v>
      </c>
      <c r="L182" s="1" t="str">
        <f t="shared" si="29"/>
        <v>20220901</v>
      </c>
      <c r="M182" s="1" t="str">
        <f>"102037"</f>
        <v>102037</v>
      </c>
      <c r="N182" s="1" t="s">
        <v>65</v>
      </c>
      <c r="O182" s="1" t="s">
        <v>52</v>
      </c>
      <c r="P182" s="1" t="s">
        <v>55</v>
      </c>
      <c r="Q182" s="1">
        <v>25</v>
      </c>
      <c r="R182" s="1">
        <v>25</v>
      </c>
      <c r="S182" s="1">
        <v>0</v>
      </c>
      <c r="T182" s="1">
        <v>0</v>
      </c>
      <c r="U182" s="1">
        <v>0</v>
      </c>
      <c r="V182" s="1" t="str">
        <f t="shared" ref="V182:V211" si="34">"里程返程"</f>
        <v>里程返程</v>
      </c>
      <c r="W182" s="1" t="str">
        <f>"0020"</f>
        <v>0020</v>
      </c>
      <c r="X182" s="1" t="s">
        <v>29</v>
      </c>
    </row>
    <row r="183" spans="1:24" x14ac:dyDescent="0.3">
      <c r="A183" s="1" t="str">
        <f t="shared" si="33"/>
        <v>59825</v>
      </c>
      <c r="B183" s="1" t="s">
        <v>30</v>
      </c>
      <c r="C183" s="1" t="s">
        <v>31</v>
      </c>
      <c r="D183" s="1" t="str">
        <f t="shared" si="32"/>
        <v>9801</v>
      </c>
      <c r="E183" s="1" t="s">
        <v>25</v>
      </c>
      <c r="F183" s="1" t="str">
        <f>"285817872"</f>
        <v>285817872</v>
      </c>
      <c r="G183" s="1" t="s">
        <v>33</v>
      </c>
      <c r="H183" s="1" t="str">
        <f t="shared" si="28"/>
        <v>20220901</v>
      </c>
      <c r="I183" s="1" t="str">
        <f>"095743"</f>
        <v>095743</v>
      </c>
      <c r="J183" s="1" t="s">
        <v>28</v>
      </c>
      <c r="K183" s="1" t="s">
        <v>28</v>
      </c>
      <c r="L183" s="1" t="str">
        <f t="shared" si="29"/>
        <v>20220901</v>
      </c>
      <c r="M183" s="1" t="str">
        <f>"102654"</f>
        <v>102654</v>
      </c>
      <c r="N183" s="1" t="s">
        <v>60</v>
      </c>
      <c r="O183" s="1" t="s">
        <v>52</v>
      </c>
      <c r="P183" s="1" t="s">
        <v>55</v>
      </c>
      <c r="Q183" s="1">
        <v>25</v>
      </c>
      <c r="R183" s="1">
        <v>0</v>
      </c>
      <c r="S183" s="1">
        <v>25</v>
      </c>
      <c r="T183" s="1">
        <v>0</v>
      </c>
      <c r="U183" s="1">
        <v>0</v>
      </c>
      <c r="V183" s="1" t="str">
        <f t="shared" si="34"/>
        <v>里程返程</v>
      </c>
      <c r="W183" s="1" t="str">
        <f>"0820"</f>
        <v>0820</v>
      </c>
      <c r="X183" s="1" t="s">
        <v>35</v>
      </c>
    </row>
    <row r="184" spans="1:24" x14ac:dyDescent="0.3">
      <c r="A184" s="1" t="str">
        <f t="shared" si="33"/>
        <v>59825</v>
      </c>
      <c r="B184" s="1" t="s">
        <v>30</v>
      </c>
      <c r="C184" s="1" t="s">
        <v>31</v>
      </c>
      <c r="D184" s="1" t="str">
        <f t="shared" si="32"/>
        <v>9801</v>
      </c>
      <c r="E184" s="1" t="s">
        <v>25</v>
      </c>
      <c r="F184" s="1" t="str">
        <f>"223123029"</f>
        <v>223123029</v>
      </c>
      <c r="G184" s="1" t="s">
        <v>33</v>
      </c>
      <c r="H184" s="1" t="str">
        <f t="shared" si="28"/>
        <v>20220901</v>
      </c>
      <c r="I184" s="1" t="str">
        <f>"095810"</f>
        <v>095810</v>
      </c>
      <c r="J184" s="1" t="s">
        <v>28</v>
      </c>
      <c r="K184" s="1" t="s">
        <v>28</v>
      </c>
      <c r="L184" s="1" t="str">
        <f t="shared" si="29"/>
        <v>20220901</v>
      </c>
      <c r="M184" s="1" t="str">
        <f>"101723"</f>
        <v>101723</v>
      </c>
      <c r="N184" s="1" t="s">
        <v>80</v>
      </c>
      <c r="O184" s="1" t="s">
        <v>52</v>
      </c>
      <c r="P184" s="1" t="s">
        <v>55</v>
      </c>
      <c r="Q184" s="1">
        <v>25</v>
      </c>
      <c r="R184" s="1">
        <v>25</v>
      </c>
      <c r="S184" s="1">
        <v>0</v>
      </c>
      <c r="T184" s="1">
        <v>0</v>
      </c>
      <c r="U184" s="1">
        <v>0</v>
      </c>
      <c r="V184" s="1" t="str">
        <f t="shared" si="34"/>
        <v>里程返程</v>
      </c>
      <c r="W184" s="1" t="str">
        <f>"0820"</f>
        <v>0820</v>
      </c>
      <c r="X184" s="1" t="s">
        <v>35</v>
      </c>
    </row>
    <row r="185" spans="1:24" x14ac:dyDescent="0.3">
      <c r="A185" s="1" t="str">
        <f t="shared" si="33"/>
        <v>59825</v>
      </c>
      <c r="B185" s="1" t="s">
        <v>30</v>
      </c>
      <c r="C185" s="1" t="s">
        <v>31</v>
      </c>
      <c r="D185" s="1" t="str">
        <f t="shared" si="32"/>
        <v>9801</v>
      </c>
      <c r="E185" s="1" t="s">
        <v>25</v>
      </c>
      <c r="F185" s="1" t="str">
        <f>"92BE6D1352880400C831002000000018"</f>
        <v>92BE6D1352880400C831002000000018</v>
      </c>
      <c r="G185" s="1" t="s">
        <v>59</v>
      </c>
      <c r="H185" s="1" t="str">
        <f t="shared" si="28"/>
        <v>20220901</v>
      </c>
      <c r="I185" s="1" t="str">
        <f>"095836"</f>
        <v>095836</v>
      </c>
      <c r="J185" s="1" t="s">
        <v>28</v>
      </c>
      <c r="K185" s="1" t="s">
        <v>28</v>
      </c>
      <c r="L185" s="1" t="str">
        <f t="shared" si="29"/>
        <v>20220901</v>
      </c>
      <c r="M185" s="1" t="str">
        <f>"102026"</f>
        <v>102026</v>
      </c>
      <c r="N185" s="1" t="s">
        <v>65</v>
      </c>
      <c r="O185" s="1" t="s">
        <v>52</v>
      </c>
      <c r="P185" s="1" t="s">
        <v>55</v>
      </c>
      <c r="Q185" s="1">
        <v>25</v>
      </c>
      <c r="R185" s="1">
        <v>25</v>
      </c>
      <c r="S185" s="1">
        <v>0</v>
      </c>
      <c r="T185" s="1">
        <v>0</v>
      </c>
      <c r="U185" s="1">
        <v>0</v>
      </c>
      <c r="V185" s="1" t="str">
        <f t="shared" si="34"/>
        <v>里程返程</v>
      </c>
      <c r="W185" s="1" t="str">
        <f>"0020"</f>
        <v>0020</v>
      </c>
      <c r="X185" s="1" t="s">
        <v>29</v>
      </c>
    </row>
    <row r="186" spans="1:24" x14ac:dyDescent="0.3">
      <c r="A186" s="1" t="str">
        <f t="shared" si="33"/>
        <v>59825</v>
      </c>
      <c r="B186" s="1" t="s">
        <v>30</v>
      </c>
      <c r="C186" s="1" t="s">
        <v>31</v>
      </c>
      <c r="D186" s="1" t="str">
        <f t="shared" si="32"/>
        <v>9801</v>
      </c>
      <c r="E186" s="1" t="s">
        <v>25</v>
      </c>
      <c r="F186" s="1" t="str">
        <f>"4249A416B9880400C814002000000019"</f>
        <v>4249A416B9880400C814002000000019</v>
      </c>
      <c r="G186" s="1" t="s">
        <v>59</v>
      </c>
      <c r="H186" s="1" t="str">
        <f t="shared" si="28"/>
        <v>20220901</v>
      </c>
      <c r="I186" s="1" t="str">
        <f>"105612"</f>
        <v>105612</v>
      </c>
      <c r="J186" s="1" t="s">
        <v>28</v>
      </c>
      <c r="K186" s="1" t="s">
        <v>28</v>
      </c>
      <c r="L186" s="1" t="str">
        <f t="shared" si="29"/>
        <v>20220901</v>
      </c>
      <c r="M186" s="1" t="str">
        <f>"112409"</f>
        <v>112409</v>
      </c>
      <c r="N186" s="1" t="s">
        <v>52</v>
      </c>
      <c r="O186" s="1" t="s">
        <v>52</v>
      </c>
      <c r="P186" s="1" t="s">
        <v>55</v>
      </c>
      <c r="Q186" s="1">
        <v>25</v>
      </c>
      <c r="R186" s="1">
        <v>0</v>
      </c>
      <c r="S186" s="1">
        <v>25</v>
      </c>
      <c r="T186" s="1">
        <v>0</v>
      </c>
      <c r="U186" s="1">
        <v>0</v>
      </c>
      <c r="V186" s="1" t="str">
        <f t="shared" si="34"/>
        <v>里程返程</v>
      </c>
      <c r="W186" s="1" t="str">
        <f>"0620"</f>
        <v>0620</v>
      </c>
      <c r="X186" s="1" t="s">
        <v>29</v>
      </c>
    </row>
    <row r="187" spans="1:24" x14ac:dyDescent="0.3">
      <c r="A187" s="1" t="str">
        <f t="shared" si="33"/>
        <v>59825</v>
      </c>
      <c r="B187" s="1" t="s">
        <v>30</v>
      </c>
      <c r="C187" s="1" t="s">
        <v>31</v>
      </c>
      <c r="D187" s="1" t="str">
        <f t="shared" si="32"/>
        <v>9801</v>
      </c>
      <c r="E187" s="1" t="s">
        <v>25</v>
      </c>
      <c r="F187" s="1" t="str">
        <f>"1259149621"</f>
        <v>1259149621</v>
      </c>
      <c r="G187" s="1" t="s">
        <v>38</v>
      </c>
      <c r="H187" s="1" t="str">
        <f t="shared" si="28"/>
        <v>20220901</v>
      </c>
      <c r="I187" s="1" t="str">
        <f>"105613"</f>
        <v>105613</v>
      </c>
      <c r="J187" s="1" t="s">
        <v>28</v>
      </c>
      <c r="K187" s="1" t="s">
        <v>28</v>
      </c>
      <c r="L187" s="1" t="str">
        <f t="shared" si="29"/>
        <v>20220901</v>
      </c>
      <c r="M187" s="1" t="str">
        <f>"112412"</f>
        <v>112412</v>
      </c>
      <c r="N187" s="1" t="s">
        <v>52</v>
      </c>
      <c r="O187" s="1" t="s">
        <v>52</v>
      </c>
      <c r="P187" s="1" t="s">
        <v>55</v>
      </c>
      <c r="Q187" s="1">
        <v>25</v>
      </c>
      <c r="R187" s="1">
        <v>0</v>
      </c>
      <c r="S187" s="1">
        <v>25</v>
      </c>
      <c r="T187" s="1">
        <v>0</v>
      </c>
      <c r="U187" s="1">
        <v>0</v>
      </c>
      <c r="V187" s="1" t="str">
        <f t="shared" si="34"/>
        <v>里程返程</v>
      </c>
      <c r="W187" s="1" t="str">
        <f>"0820"</f>
        <v>0820</v>
      </c>
      <c r="X187" s="1" t="s">
        <v>35</v>
      </c>
    </row>
    <row r="188" spans="1:24" x14ac:dyDescent="0.3">
      <c r="A188" s="1" t="str">
        <f t="shared" si="33"/>
        <v>59825</v>
      </c>
      <c r="B188" s="1" t="s">
        <v>30</v>
      </c>
      <c r="C188" s="1" t="s">
        <v>31</v>
      </c>
      <c r="D188" s="1" t="str">
        <f t="shared" si="32"/>
        <v>9801</v>
      </c>
      <c r="E188" s="1" t="s">
        <v>25</v>
      </c>
      <c r="F188" s="1" t="str">
        <f>"82D5FB02AE880400C834002000000015"</f>
        <v>82D5FB02AE880400C834002000000015</v>
      </c>
      <c r="G188" s="1" t="s">
        <v>26</v>
      </c>
      <c r="H188" s="1" t="str">
        <f t="shared" si="28"/>
        <v>20220901</v>
      </c>
      <c r="I188" s="1" t="str">
        <f>"111453"</f>
        <v>111453</v>
      </c>
      <c r="J188" s="1" t="s">
        <v>65</v>
      </c>
      <c r="K188" s="1" t="s">
        <v>52</v>
      </c>
      <c r="L188" s="1" t="str">
        <f t="shared" si="29"/>
        <v>20220901</v>
      </c>
      <c r="M188" s="1" t="str">
        <f>"111858"</f>
        <v>111858</v>
      </c>
      <c r="N188" s="1" t="s">
        <v>51</v>
      </c>
      <c r="O188" s="1" t="s">
        <v>52</v>
      </c>
      <c r="P188" s="1" t="s">
        <v>68</v>
      </c>
      <c r="Q188" s="1">
        <v>13</v>
      </c>
      <c r="R188" s="1">
        <v>0</v>
      </c>
      <c r="S188" s="1">
        <v>0</v>
      </c>
      <c r="T188" s="1">
        <v>13</v>
      </c>
      <c r="U188" s="1">
        <v>0</v>
      </c>
      <c r="V188" s="1" t="str">
        <f t="shared" si="34"/>
        <v>里程返程</v>
      </c>
      <c r="W188" s="1" t="str">
        <f>"0020"</f>
        <v>0020</v>
      </c>
      <c r="X188" s="1" t="s">
        <v>29</v>
      </c>
    </row>
    <row r="189" spans="1:24" x14ac:dyDescent="0.3">
      <c r="A189" s="1" t="str">
        <f t="shared" si="33"/>
        <v>59825</v>
      </c>
      <c r="B189" s="1" t="s">
        <v>30</v>
      </c>
      <c r="C189" s="1" t="s">
        <v>110</v>
      </c>
      <c r="D189" s="1" t="str">
        <f t="shared" si="32"/>
        <v>9801</v>
      </c>
      <c r="E189" s="1" t="s">
        <v>25</v>
      </c>
      <c r="F189" s="1" t="str">
        <f>"9517172006176499"</f>
        <v>9517172006176499</v>
      </c>
      <c r="G189" s="1" t="s">
        <v>33</v>
      </c>
      <c r="H189" s="1" t="str">
        <f t="shared" si="28"/>
        <v>20220901</v>
      </c>
      <c r="I189" s="1" t="str">
        <f>"113850"</f>
        <v>113850</v>
      </c>
      <c r="J189" s="1" t="s">
        <v>91</v>
      </c>
      <c r="K189" s="1" t="s">
        <v>45</v>
      </c>
      <c r="L189" s="1" t="str">
        <f t="shared" si="29"/>
        <v>20220901</v>
      </c>
      <c r="M189" s="1" t="str">
        <f>"115619"</f>
        <v>115619</v>
      </c>
      <c r="N189" s="1" t="s">
        <v>28</v>
      </c>
      <c r="O189" s="1" t="s">
        <v>28</v>
      </c>
      <c r="P189" s="1" t="s">
        <v>55</v>
      </c>
      <c r="Q189" s="1">
        <v>25</v>
      </c>
      <c r="R189" s="1">
        <v>25</v>
      </c>
      <c r="S189" s="1">
        <v>0</v>
      </c>
      <c r="T189" s="1">
        <v>0</v>
      </c>
      <c r="U189" s="1">
        <v>0</v>
      </c>
      <c r="V189" s="1" t="str">
        <f t="shared" si="34"/>
        <v>里程返程</v>
      </c>
      <c r="W189" s="1" t="str">
        <f>"3B8B"</f>
        <v>3B8B</v>
      </c>
      <c r="X189" s="1" t="s">
        <v>109</v>
      </c>
    </row>
    <row r="190" spans="1:24" x14ac:dyDescent="0.3">
      <c r="A190" s="1" t="str">
        <f t="shared" si="33"/>
        <v>59825</v>
      </c>
      <c r="B190" s="1" t="s">
        <v>30</v>
      </c>
      <c r="C190" s="1" t="s">
        <v>31</v>
      </c>
      <c r="D190" s="1" t="str">
        <f t="shared" si="32"/>
        <v>9801</v>
      </c>
      <c r="E190" s="1" t="s">
        <v>25</v>
      </c>
      <c r="F190" s="1" t="str">
        <f>"3909530269"</f>
        <v>3909530269</v>
      </c>
      <c r="G190" s="1" t="s">
        <v>33</v>
      </c>
      <c r="H190" s="1" t="str">
        <f t="shared" si="28"/>
        <v>20220901</v>
      </c>
      <c r="I190" s="1" t="str">
        <f>"114124"</f>
        <v>114124</v>
      </c>
      <c r="J190" s="1" t="s">
        <v>75</v>
      </c>
      <c r="K190" s="1" t="s">
        <v>45</v>
      </c>
      <c r="L190" s="1" t="str">
        <f t="shared" si="29"/>
        <v>20220901</v>
      </c>
      <c r="M190" s="1" t="str">
        <f>"115607"</f>
        <v>115607</v>
      </c>
      <c r="N190" s="1" t="s">
        <v>28</v>
      </c>
      <c r="O190" s="1" t="s">
        <v>28</v>
      </c>
      <c r="P190" s="1" t="s">
        <v>55</v>
      </c>
      <c r="Q190" s="1">
        <v>25</v>
      </c>
      <c r="R190" s="1">
        <v>25</v>
      </c>
      <c r="S190" s="1">
        <v>0</v>
      </c>
      <c r="T190" s="1">
        <v>0</v>
      </c>
      <c r="U190" s="1">
        <v>0</v>
      </c>
      <c r="V190" s="1" t="str">
        <f t="shared" si="34"/>
        <v>里程返程</v>
      </c>
      <c r="W190" s="1" t="str">
        <f>"2120"</f>
        <v>2120</v>
      </c>
      <c r="X190" s="1" t="s">
        <v>35</v>
      </c>
    </row>
    <row r="191" spans="1:24" x14ac:dyDescent="0.3">
      <c r="A191" s="1" t="str">
        <f t="shared" si="33"/>
        <v>59825</v>
      </c>
      <c r="B191" s="1" t="s">
        <v>30</v>
      </c>
      <c r="C191" s="1" t="s">
        <v>31</v>
      </c>
      <c r="D191" s="1" t="str">
        <f t="shared" si="32"/>
        <v>9801</v>
      </c>
      <c r="E191" s="1" t="s">
        <v>25</v>
      </c>
      <c r="F191" s="1" t="str">
        <f>"858261873"</f>
        <v>858261873</v>
      </c>
      <c r="G191" s="1" t="s">
        <v>33</v>
      </c>
      <c r="H191" s="1" t="str">
        <f t="shared" si="28"/>
        <v>20220901</v>
      </c>
      <c r="I191" s="1" t="str">
        <f>"114129"</f>
        <v>114129</v>
      </c>
      <c r="J191" s="1" t="s">
        <v>75</v>
      </c>
      <c r="K191" s="1" t="s">
        <v>45</v>
      </c>
      <c r="L191" s="1" t="str">
        <f t="shared" si="29"/>
        <v>20220901</v>
      </c>
      <c r="M191" s="1" t="str">
        <f>"115603"</f>
        <v>115603</v>
      </c>
      <c r="N191" s="1" t="s">
        <v>28</v>
      </c>
      <c r="O191" s="1" t="s">
        <v>28</v>
      </c>
      <c r="P191" s="1" t="s">
        <v>55</v>
      </c>
      <c r="Q191" s="1">
        <v>25</v>
      </c>
      <c r="R191" s="1">
        <v>25</v>
      </c>
      <c r="S191" s="1">
        <v>0</v>
      </c>
      <c r="T191" s="1">
        <v>0</v>
      </c>
      <c r="U191" s="1">
        <v>0</v>
      </c>
      <c r="V191" s="1" t="str">
        <f t="shared" si="34"/>
        <v>里程返程</v>
      </c>
      <c r="W191" s="1" t="str">
        <f>"2120"</f>
        <v>2120</v>
      </c>
      <c r="X191" s="1" t="s">
        <v>35</v>
      </c>
    </row>
    <row r="192" spans="1:24" x14ac:dyDescent="0.3">
      <c r="A192" s="1" t="str">
        <f t="shared" si="33"/>
        <v>59825</v>
      </c>
      <c r="B192" s="1" t="s">
        <v>30</v>
      </c>
      <c r="C192" s="1" t="s">
        <v>31</v>
      </c>
      <c r="D192" s="1" t="str">
        <f t="shared" si="32"/>
        <v>9801</v>
      </c>
      <c r="E192" s="1" t="s">
        <v>25</v>
      </c>
      <c r="F192" s="1" t="str">
        <f>"1113721829"</f>
        <v>1113721829</v>
      </c>
      <c r="G192" s="1" t="s">
        <v>38</v>
      </c>
      <c r="H192" s="1" t="str">
        <f t="shared" si="28"/>
        <v>20220901</v>
      </c>
      <c r="I192" s="1" t="str">
        <f>"115614"</f>
        <v>115614</v>
      </c>
      <c r="J192" s="1" t="s">
        <v>28</v>
      </c>
      <c r="K192" s="1" t="s">
        <v>28</v>
      </c>
      <c r="L192" s="1" t="str">
        <f t="shared" si="29"/>
        <v>20220901</v>
      </c>
      <c r="M192" s="1" t="str">
        <f>"123102"</f>
        <v>123102</v>
      </c>
      <c r="N192" s="1" t="s">
        <v>52</v>
      </c>
      <c r="O192" s="1" t="s">
        <v>52</v>
      </c>
      <c r="P192" s="1" t="s">
        <v>55</v>
      </c>
      <c r="Q192" s="1">
        <v>25</v>
      </c>
      <c r="R192" s="1">
        <v>0</v>
      </c>
      <c r="S192" s="1">
        <v>25</v>
      </c>
      <c r="T192" s="1">
        <v>0</v>
      </c>
      <c r="U192" s="1">
        <v>0</v>
      </c>
      <c r="V192" s="1" t="str">
        <f t="shared" si="34"/>
        <v>里程返程</v>
      </c>
      <c r="W192" s="1" t="str">
        <f>"2120"</f>
        <v>2120</v>
      </c>
      <c r="X192" s="1" t="s">
        <v>35</v>
      </c>
    </row>
    <row r="193" spans="1:24" x14ac:dyDescent="0.3">
      <c r="A193" s="1" t="str">
        <f t="shared" si="33"/>
        <v>59825</v>
      </c>
      <c r="B193" s="1" t="s">
        <v>30</v>
      </c>
      <c r="C193" s="1" t="s">
        <v>31</v>
      </c>
      <c r="D193" s="1" t="str">
        <f t="shared" si="32"/>
        <v>9801</v>
      </c>
      <c r="E193" s="1" t="s">
        <v>25</v>
      </c>
      <c r="F193" s="1" t="str">
        <f>"1021234485"</f>
        <v>1021234485</v>
      </c>
      <c r="G193" s="1" t="s">
        <v>38</v>
      </c>
      <c r="H193" s="1" t="str">
        <f t="shared" si="28"/>
        <v>20220901</v>
      </c>
      <c r="I193" s="1" t="str">
        <f>"115616"</f>
        <v>115616</v>
      </c>
      <c r="J193" s="1" t="s">
        <v>28</v>
      </c>
      <c r="K193" s="1" t="s">
        <v>28</v>
      </c>
      <c r="L193" s="1" t="str">
        <f t="shared" si="29"/>
        <v>20220901</v>
      </c>
      <c r="M193" s="1" t="str">
        <f>"123105"</f>
        <v>123105</v>
      </c>
      <c r="N193" s="1" t="s">
        <v>52</v>
      </c>
      <c r="O193" s="1" t="s">
        <v>52</v>
      </c>
      <c r="P193" s="1" t="s">
        <v>55</v>
      </c>
      <c r="Q193" s="1">
        <v>25</v>
      </c>
      <c r="R193" s="1">
        <v>0</v>
      </c>
      <c r="S193" s="1">
        <v>25</v>
      </c>
      <c r="T193" s="1">
        <v>0</v>
      </c>
      <c r="U193" s="1">
        <v>0</v>
      </c>
      <c r="V193" s="1" t="str">
        <f t="shared" si="34"/>
        <v>里程返程</v>
      </c>
      <c r="W193" s="1" t="str">
        <f>"2120"</f>
        <v>2120</v>
      </c>
      <c r="X193" s="1" t="s">
        <v>35</v>
      </c>
    </row>
    <row r="194" spans="1:24" x14ac:dyDescent="0.3">
      <c r="A194" s="1" t="str">
        <f t="shared" si="33"/>
        <v>59825</v>
      </c>
      <c r="B194" s="1" t="s">
        <v>30</v>
      </c>
      <c r="C194" s="1" t="s">
        <v>31</v>
      </c>
      <c r="D194" s="1" t="str">
        <f t="shared" ref="D194:D210" si="35">"9801"</f>
        <v>9801</v>
      </c>
      <c r="E194" s="1" t="s">
        <v>25</v>
      </c>
      <c r="F194" s="1" t="str">
        <f>"1028949093"</f>
        <v>1028949093</v>
      </c>
      <c r="G194" s="1" t="s">
        <v>38</v>
      </c>
      <c r="H194" s="1" t="str">
        <f t="shared" ref="H194:H257" si="36">"20220901"</f>
        <v>20220901</v>
      </c>
      <c r="I194" s="1" t="str">
        <f>"115627"</f>
        <v>115627</v>
      </c>
      <c r="J194" s="1" t="s">
        <v>28</v>
      </c>
      <c r="K194" s="1" t="s">
        <v>28</v>
      </c>
      <c r="L194" s="1" t="str">
        <f t="shared" ref="L194:L257" si="37">"20220901"</f>
        <v>20220901</v>
      </c>
      <c r="M194" s="1" t="str">
        <f>"123059"</f>
        <v>123059</v>
      </c>
      <c r="N194" s="1" t="s">
        <v>52</v>
      </c>
      <c r="O194" s="1" t="s">
        <v>52</v>
      </c>
      <c r="P194" s="1" t="s">
        <v>55</v>
      </c>
      <c r="Q194" s="1">
        <v>25</v>
      </c>
      <c r="R194" s="1">
        <v>25</v>
      </c>
      <c r="S194" s="1">
        <v>0</v>
      </c>
      <c r="T194" s="1">
        <v>0</v>
      </c>
      <c r="U194" s="1">
        <v>0</v>
      </c>
      <c r="V194" s="1" t="str">
        <f t="shared" si="34"/>
        <v>里程返程</v>
      </c>
      <c r="W194" s="1" t="str">
        <f>"0120"</f>
        <v>0120</v>
      </c>
      <c r="X194" s="1" t="s">
        <v>35</v>
      </c>
    </row>
    <row r="195" spans="1:24" x14ac:dyDescent="0.3">
      <c r="A195" s="1" t="str">
        <f t="shared" si="33"/>
        <v>59825</v>
      </c>
      <c r="B195" s="1" t="s">
        <v>30</v>
      </c>
      <c r="C195" s="1" t="s">
        <v>31</v>
      </c>
      <c r="D195" s="1" t="str">
        <f t="shared" si="35"/>
        <v>9801</v>
      </c>
      <c r="E195" s="1" t="s">
        <v>25</v>
      </c>
      <c r="F195" s="1" t="str">
        <f>"436588337"</f>
        <v>436588337</v>
      </c>
      <c r="G195" s="1" t="s">
        <v>33</v>
      </c>
      <c r="H195" s="1" t="str">
        <f t="shared" si="36"/>
        <v>20220901</v>
      </c>
      <c r="I195" s="1" t="str">
        <f>"115651"</f>
        <v>115651</v>
      </c>
      <c r="J195" s="1" t="s">
        <v>28</v>
      </c>
      <c r="K195" s="1" t="s">
        <v>28</v>
      </c>
      <c r="L195" s="1" t="str">
        <f t="shared" si="37"/>
        <v>20220901</v>
      </c>
      <c r="M195" s="1" t="str">
        <f>"122153"</f>
        <v>122153</v>
      </c>
      <c r="N195" s="1" t="s">
        <v>65</v>
      </c>
      <c r="O195" s="1" t="s">
        <v>52</v>
      </c>
      <c r="P195" s="1" t="s">
        <v>55</v>
      </c>
      <c r="Q195" s="1">
        <v>25</v>
      </c>
      <c r="R195" s="1">
        <v>25</v>
      </c>
      <c r="S195" s="1">
        <v>0</v>
      </c>
      <c r="T195" s="1">
        <v>0</v>
      </c>
      <c r="U195" s="1">
        <v>0</v>
      </c>
      <c r="V195" s="1" t="str">
        <f t="shared" si="34"/>
        <v>里程返程</v>
      </c>
      <c r="W195" s="1" t="str">
        <f>"0320"</f>
        <v>0320</v>
      </c>
      <c r="X195" s="1" t="s">
        <v>35</v>
      </c>
    </row>
    <row r="196" spans="1:24" x14ac:dyDescent="0.3">
      <c r="A196" s="1" t="str">
        <f t="shared" si="33"/>
        <v>59825</v>
      </c>
      <c r="B196" s="1" t="s">
        <v>30</v>
      </c>
      <c r="C196" s="1" t="s">
        <v>31</v>
      </c>
      <c r="D196" s="1" t="str">
        <f t="shared" si="35"/>
        <v>9801</v>
      </c>
      <c r="E196" s="1" t="s">
        <v>25</v>
      </c>
      <c r="F196" s="1" t="str">
        <f>"760319445"</f>
        <v>760319445</v>
      </c>
      <c r="G196" s="1" t="s">
        <v>33</v>
      </c>
      <c r="H196" s="1" t="str">
        <f t="shared" si="36"/>
        <v>20220901</v>
      </c>
      <c r="I196" s="1" t="str">
        <f>"115656"</f>
        <v>115656</v>
      </c>
      <c r="J196" s="1" t="s">
        <v>28</v>
      </c>
      <c r="K196" s="1" t="s">
        <v>28</v>
      </c>
      <c r="L196" s="1" t="str">
        <f t="shared" si="37"/>
        <v>20220901</v>
      </c>
      <c r="M196" s="1" t="str">
        <f>"122127"</f>
        <v>122127</v>
      </c>
      <c r="N196" s="1" t="s">
        <v>65</v>
      </c>
      <c r="O196" s="1" t="s">
        <v>52</v>
      </c>
      <c r="P196" s="1" t="s">
        <v>55</v>
      </c>
      <c r="Q196" s="1">
        <v>25</v>
      </c>
      <c r="R196" s="1">
        <v>25</v>
      </c>
      <c r="S196" s="1">
        <v>0</v>
      </c>
      <c r="T196" s="1">
        <v>0</v>
      </c>
      <c r="U196" s="1">
        <v>0</v>
      </c>
      <c r="V196" s="1" t="str">
        <f t="shared" si="34"/>
        <v>里程返程</v>
      </c>
      <c r="W196" s="1" t="str">
        <f>"0320"</f>
        <v>0320</v>
      </c>
      <c r="X196" s="1" t="s">
        <v>35</v>
      </c>
    </row>
    <row r="197" spans="1:24" x14ac:dyDescent="0.3">
      <c r="A197" s="1" t="str">
        <f t="shared" si="33"/>
        <v>59825</v>
      </c>
      <c r="B197" s="1" t="s">
        <v>30</v>
      </c>
      <c r="C197" s="1" t="s">
        <v>31</v>
      </c>
      <c r="D197" s="1" t="str">
        <f t="shared" si="35"/>
        <v>9801</v>
      </c>
      <c r="E197" s="1" t="s">
        <v>25</v>
      </c>
      <c r="F197" s="1" t="str">
        <f>"904789157"</f>
        <v>904789157</v>
      </c>
      <c r="G197" s="1" t="s">
        <v>33</v>
      </c>
      <c r="H197" s="1" t="str">
        <f t="shared" si="36"/>
        <v>20220901</v>
      </c>
      <c r="I197" s="1" t="str">
        <f>"115702"</f>
        <v>115702</v>
      </c>
      <c r="J197" s="1" t="s">
        <v>28</v>
      </c>
      <c r="K197" s="1" t="s">
        <v>28</v>
      </c>
      <c r="L197" s="1" t="str">
        <f t="shared" si="37"/>
        <v>20220901</v>
      </c>
      <c r="M197" s="1" t="str">
        <f>"122137"</f>
        <v>122137</v>
      </c>
      <c r="N197" s="1" t="s">
        <v>65</v>
      </c>
      <c r="O197" s="1" t="s">
        <v>52</v>
      </c>
      <c r="P197" s="1" t="s">
        <v>55</v>
      </c>
      <c r="Q197" s="1">
        <v>25</v>
      </c>
      <c r="R197" s="1">
        <v>25</v>
      </c>
      <c r="S197" s="1">
        <v>0</v>
      </c>
      <c r="T197" s="1">
        <v>0</v>
      </c>
      <c r="U197" s="1">
        <v>0</v>
      </c>
      <c r="V197" s="1" t="str">
        <f t="shared" si="34"/>
        <v>里程返程</v>
      </c>
      <c r="W197" s="1" t="str">
        <f>"0820"</f>
        <v>0820</v>
      </c>
      <c r="X197" s="1" t="s">
        <v>35</v>
      </c>
    </row>
    <row r="198" spans="1:24" x14ac:dyDescent="0.3">
      <c r="A198" s="1" t="str">
        <f t="shared" si="33"/>
        <v>59825</v>
      </c>
      <c r="B198" s="1" t="s">
        <v>30</v>
      </c>
      <c r="C198" s="1" t="s">
        <v>31</v>
      </c>
      <c r="D198" s="1" t="str">
        <f t="shared" si="35"/>
        <v>9801</v>
      </c>
      <c r="E198" s="1" t="s">
        <v>25</v>
      </c>
      <c r="F198" s="1" t="str">
        <f>"2789389583"</f>
        <v>2789389583</v>
      </c>
      <c r="G198" s="1" t="s">
        <v>74</v>
      </c>
      <c r="H198" s="1" t="str">
        <f t="shared" si="36"/>
        <v>20220901</v>
      </c>
      <c r="I198" s="1" t="str">
        <f>"115709"</f>
        <v>115709</v>
      </c>
      <c r="J198" s="1" t="s">
        <v>28</v>
      </c>
      <c r="K198" s="1" t="s">
        <v>28</v>
      </c>
      <c r="L198" s="1" t="str">
        <f t="shared" si="37"/>
        <v>20220901</v>
      </c>
      <c r="M198" s="1" t="str">
        <f>"122144"</f>
        <v>122144</v>
      </c>
      <c r="N198" s="1" t="s">
        <v>65</v>
      </c>
      <c r="O198" s="1" t="s">
        <v>52</v>
      </c>
      <c r="P198" s="1" t="s">
        <v>55</v>
      </c>
      <c r="Q198" s="1">
        <v>13</v>
      </c>
      <c r="R198" s="1">
        <v>13</v>
      </c>
      <c r="S198" s="1">
        <v>0</v>
      </c>
      <c r="T198" s="1">
        <v>0</v>
      </c>
      <c r="U198" s="1">
        <v>0</v>
      </c>
      <c r="V198" s="1" t="str">
        <f t="shared" si="34"/>
        <v>里程返程</v>
      </c>
      <c r="W198" s="1" t="str">
        <f>"0820"</f>
        <v>0820</v>
      </c>
      <c r="X198" s="1" t="s">
        <v>35</v>
      </c>
    </row>
    <row r="199" spans="1:24" x14ac:dyDescent="0.3">
      <c r="A199" s="1" t="str">
        <f t="shared" si="33"/>
        <v>59825</v>
      </c>
      <c r="B199" s="1" t="s">
        <v>30</v>
      </c>
      <c r="C199" s="1" t="s">
        <v>31</v>
      </c>
      <c r="D199" s="1" t="str">
        <f t="shared" si="35"/>
        <v>9801</v>
      </c>
      <c r="E199" s="1" t="s">
        <v>25</v>
      </c>
      <c r="F199" s="1" t="str">
        <f>"2790787759"</f>
        <v>2790787759</v>
      </c>
      <c r="G199" s="1" t="s">
        <v>102</v>
      </c>
      <c r="H199" s="1" t="str">
        <f t="shared" si="36"/>
        <v>20220901</v>
      </c>
      <c r="I199" s="1" t="str">
        <f>"115712"</f>
        <v>115712</v>
      </c>
      <c r="J199" s="1" t="s">
        <v>28</v>
      </c>
      <c r="K199" s="1" t="s">
        <v>28</v>
      </c>
      <c r="L199" s="1" t="str">
        <f t="shared" si="37"/>
        <v>20220901</v>
      </c>
      <c r="M199" s="1" t="str">
        <f>"122147"</f>
        <v>122147</v>
      </c>
      <c r="N199" s="1" t="s">
        <v>65</v>
      </c>
      <c r="O199" s="1" t="s">
        <v>52</v>
      </c>
      <c r="P199" s="1" t="s">
        <v>55</v>
      </c>
      <c r="Q199" s="1">
        <v>13</v>
      </c>
      <c r="R199" s="1">
        <v>13</v>
      </c>
      <c r="S199" s="1">
        <v>0</v>
      </c>
      <c r="T199" s="1">
        <v>0</v>
      </c>
      <c r="U199" s="1">
        <v>0</v>
      </c>
      <c r="V199" s="1" t="str">
        <f t="shared" si="34"/>
        <v>里程返程</v>
      </c>
      <c r="W199" s="1" t="str">
        <f>"0820"</f>
        <v>0820</v>
      </c>
      <c r="X199" s="1" t="s">
        <v>35</v>
      </c>
    </row>
    <row r="200" spans="1:24" x14ac:dyDescent="0.3">
      <c r="A200" s="1" t="str">
        <f t="shared" si="33"/>
        <v>59825</v>
      </c>
      <c r="B200" s="1" t="s">
        <v>30</v>
      </c>
      <c r="C200" s="1" t="s">
        <v>110</v>
      </c>
      <c r="D200" s="1" t="str">
        <f t="shared" si="35"/>
        <v>9801</v>
      </c>
      <c r="E200" s="1" t="s">
        <v>25</v>
      </c>
      <c r="F200" s="1" t="str">
        <f>"7311220568000393"</f>
        <v>7311220568000393</v>
      </c>
      <c r="G200" s="1" t="s">
        <v>33</v>
      </c>
      <c r="H200" s="1" t="str">
        <f t="shared" si="36"/>
        <v>20220901</v>
      </c>
      <c r="I200" s="1" t="str">
        <f>"115728"</f>
        <v>115728</v>
      </c>
      <c r="J200" s="1" t="s">
        <v>28</v>
      </c>
      <c r="K200" s="1" t="s">
        <v>28</v>
      </c>
      <c r="L200" s="1" t="str">
        <f t="shared" si="37"/>
        <v>20220901</v>
      </c>
      <c r="M200" s="1" t="str">
        <f>"122154"</f>
        <v>122154</v>
      </c>
      <c r="N200" s="1" t="s">
        <v>65</v>
      </c>
      <c r="O200" s="1" t="s">
        <v>52</v>
      </c>
      <c r="P200" s="1" t="s">
        <v>55</v>
      </c>
      <c r="Q200" s="1">
        <v>25</v>
      </c>
      <c r="R200" s="1">
        <v>25</v>
      </c>
      <c r="S200" s="1">
        <v>0</v>
      </c>
      <c r="T200" s="1">
        <v>0</v>
      </c>
      <c r="U200" s="1">
        <v>0</v>
      </c>
      <c r="V200" s="1" t="str">
        <f t="shared" si="34"/>
        <v>里程返程</v>
      </c>
      <c r="W200" s="1" t="str">
        <f>"0F3B"</f>
        <v>0F3B</v>
      </c>
      <c r="X200" s="1" t="s">
        <v>109</v>
      </c>
    </row>
    <row r="201" spans="1:24" x14ac:dyDescent="0.3">
      <c r="A201" s="1" t="str">
        <f t="shared" si="33"/>
        <v>59825</v>
      </c>
      <c r="B201" s="1" t="s">
        <v>30</v>
      </c>
      <c r="C201" s="1" t="s">
        <v>31</v>
      </c>
      <c r="D201" s="1" t="str">
        <f t="shared" si="35"/>
        <v>9801</v>
      </c>
      <c r="E201" s="1" t="s">
        <v>25</v>
      </c>
      <c r="F201" s="1" t="str">
        <f>"1250296629"</f>
        <v>1250296629</v>
      </c>
      <c r="G201" s="1" t="s">
        <v>33</v>
      </c>
      <c r="H201" s="1" t="str">
        <f t="shared" si="36"/>
        <v>20220901</v>
      </c>
      <c r="I201" s="1" t="str">
        <f>"115742"</f>
        <v>115742</v>
      </c>
      <c r="J201" s="1" t="s">
        <v>28</v>
      </c>
      <c r="K201" s="1" t="s">
        <v>28</v>
      </c>
      <c r="L201" s="1" t="str">
        <f t="shared" si="37"/>
        <v>20220901</v>
      </c>
      <c r="M201" s="1" t="str">
        <f>"123042"</f>
        <v>123042</v>
      </c>
      <c r="N201" s="1" t="s">
        <v>52</v>
      </c>
      <c r="O201" s="1" t="s">
        <v>52</v>
      </c>
      <c r="P201" s="1" t="s">
        <v>55</v>
      </c>
      <c r="Q201" s="1">
        <v>25</v>
      </c>
      <c r="R201" s="1">
        <v>25</v>
      </c>
      <c r="S201" s="1">
        <v>0</v>
      </c>
      <c r="T201" s="1">
        <v>0</v>
      </c>
      <c r="U201" s="1">
        <v>0</v>
      </c>
      <c r="V201" s="1" t="str">
        <f t="shared" si="34"/>
        <v>里程返程</v>
      </c>
      <c r="W201" s="1" t="str">
        <f>"0120"</f>
        <v>0120</v>
      </c>
      <c r="X201" s="1" t="s">
        <v>35</v>
      </c>
    </row>
    <row r="202" spans="1:24" x14ac:dyDescent="0.3">
      <c r="A202" s="1" t="str">
        <f t="shared" si="33"/>
        <v>59825</v>
      </c>
      <c r="B202" s="1" t="s">
        <v>30</v>
      </c>
      <c r="C202" s="1" t="s">
        <v>31</v>
      </c>
      <c r="D202" s="1" t="str">
        <f t="shared" si="35"/>
        <v>9801</v>
      </c>
      <c r="E202" s="1" t="s">
        <v>25</v>
      </c>
      <c r="F202" s="1" t="str">
        <f>"1108988853"</f>
        <v>1108988853</v>
      </c>
      <c r="G202" s="1" t="s">
        <v>38</v>
      </c>
      <c r="H202" s="1" t="str">
        <f t="shared" si="36"/>
        <v>20220901</v>
      </c>
      <c r="I202" s="1" t="str">
        <f>"115746"</f>
        <v>115746</v>
      </c>
      <c r="J202" s="1" t="s">
        <v>28</v>
      </c>
      <c r="K202" s="1" t="s">
        <v>28</v>
      </c>
      <c r="L202" s="1" t="str">
        <f t="shared" si="37"/>
        <v>20220901</v>
      </c>
      <c r="M202" s="1" t="str">
        <f>"123036"</f>
        <v>123036</v>
      </c>
      <c r="N202" s="1" t="s">
        <v>52</v>
      </c>
      <c r="O202" s="1" t="s">
        <v>52</v>
      </c>
      <c r="P202" s="1" t="s">
        <v>55</v>
      </c>
      <c r="Q202" s="1">
        <v>25</v>
      </c>
      <c r="R202" s="1">
        <v>25</v>
      </c>
      <c r="S202" s="1">
        <v>0</v>
      </c>
      <c r="T202" s="1">
        <v>0</v>
      </c>
      <c r="U202" s="1">
        <v>0</v>
      </c>
      <c r="V202" s="1" t="str">
        <f t="shared" si="34"/>
        <v>里程返程</v>
      </c>
      <c r="W202" s="1" t="str">
        <f>"0120"</f>
        <v>0120</v>
      </c>
      <c r="X202" s="1" t="s">
        <v>35</v>
      </c>
    </row>
    <row r="203" spans="1:24" x14ac:dyDescent="0.3">
      <c r="A203" s="1" t="str">
        <f t="shared" si="33"/>
        <v>59825</v>
      </c>
      <c r="B203" s="1" t="s">
        <v>30</v>
      </c>
      <c r="C203" s="1" t="s">
        <v>31</v>
      </c>
      <c r="D203" s="1" t="str">
        <f t="shared" si="35"/>
        <v>9801</v>
      </c>
      <c r="E203" s="1" t="s">
        <v>25</v>
      </c>
      <c r="F203" s="1" t="str">
        <f>"D5C273492D880400C835002000000020"</f>
        <v>D5C273492D880400C835002000000020</v>
      </c>
      <c r="G203" s="1" t="s">
        <v>58</v>
      </c>
      <c r="H203" s="1" t="str">
        <f t="shared" si="36"/>
        <v>20220901</v>
      </c>
      <c r="I203" s="1" t="str">
        <f>"115758"</f>
        <v>115758</v>
      </c>
      <c r="J203" s="1" t="s">
        <v>28</v>
      </c>
      <c r="K203" s="1" t="s">
        <v>28</v>
      </c>
      <c r="L203" s="1" t="str">
        <f t="shared" si="37"/>
        <v>20220901</v>
      </c>
      <c r="M203" s="1" t="str">
        <f>"123050"</f>
        <v>123050</v>
      </c>
      <c r="N203" s="1" t="s">
        <v>52</v>
      </c>
      <c r="O203" s="1" t="s">
        <v>52</v>
      </c>
      <c r="P203" s="1" t="s">
        <v>55</v>
      </c>
      <c r="Q203" s="1">
        <v>25</v>
      </c>
      <c r="R203" s="1">
        <v>25</v>
      </c>
      <c r="S203" s="1">
        <v>0</v>
      </c>
      <c r="T203" s="1">
        <v>0</v>
      </c>
      <c r="U203" s="1">
        <v>0</v>
      </c>
      <c r="V203" s="1" t="str">
        <f t="shared" si="34"/>
        <v>里程返程</v>
      </c>
      <c r="W203" s="1" t="str">
        <f>"0020"</f>
        <v>0020</v>
      </c>
      <c r="X203" s="1" t="s">
        <v>29</v>
      </c>
    </row>
    <row r="204" spans="1:24" x14ac:dyDescent="0.3">
      <c r="A204" s="1" t="str">
        <f t="shared" si="33"/>
        <v>59825</v>
      </c>
      <c r="B204" s="1" t="s">
        <v>30</v>
      </c>
      <c r="C204" s="1" t="s">
        <v>31</v>
      </c>
      <c r="D204" s="1" t="str">
        <f t="shared" si="35"/>
        <v>9801</v>
      </c>
      <c r="E204" s="1" t="s">
        <v>25</v>
      </c>
      <c r="F204" s="1" t="str">
        <f>"672935621"</f>
        <v>672935621</v>
      </c>
      <c r="G204" s="1" t="s">
        <v>33</v>
      </c>
      <c r="H204" s="1" t="str">
        <f t="shared" si="36"/>
        <v>20220901</v>
      </c>
      <c r="I204" s="1" t="str">
        <f>"115803"</f>
        <v>115803</v>
      </c>
      <c r="J204" s="1" t="s">
        <v>28</v>
      </c>
      <c r="K204" s="1" t="s">
        <v>28</v>
      </c>
      <c r="L204" s="1" t="str">
        <f t="shared" si="37"/>
        <v>20220901</v>
      </c>
      <c r="M204" s="1" t="str">
        <f>"123038"</f>
        <v>123038</v>
      </c>
      <c r="N204" s="1" t="s">
        <v>52</v>
      </c>
      <c r="O204" s="1" t="s">
        <v>52</v>
      </c>
      <c r="P204" s="1" t="s">
        <v>55</v>
      </c>
      <c r="Q204" s="1">
        <v>25</v>
      </c>
      <c r="R204" s="1">
        <v>25</v>
      </c>
      <c r="S204" s="1">
        <v>0</v>
      </c>
      <c r="T204" s="1">
        <v>0</v>
      </c>
      <c r="U204" s="1">
        <v>0</v>
      </c>
      <c r="V204" s="1" t="str">
        <f t="shared" si="34"/>
        <v>里程返程</v>
      </c>
      <c r="W204" s="1" t="str">
        <f>"0820"</f>
        <v>0820</v>
      </c>
      <c r="X204" s="1" t="s">
        <v>35</v>
      </c>
    </row>
    <row r="205" spans="1:24" x14ac:dyDescent="0.3">
      <c r="A205" s="1" t="str">
        <f t="shared" si="33"/>
        <v>59825</v>
      </c>
      <c r="B205" s="1" t="s">
        <v>30</v>
      </c>
      <c r="C205" s="1" t="s">
        <v>31</v>
      </c>
      <c r="D205" s="1" t="str">
        <f t="shared" si="35"/>
        <v>9801</v>
      </c>
      <c r="E205" s="1" t="s">
        <v>25</v>
      </c>
      <c r="F205" s="1" t="str">
        <f>"1111383285"</f>
        <v>1111383285</v>
      </c>
      <c r="G205" s="1" t="s">
        <v>38</v>
      </c>
      <c r="H205" s="1" t="str">
        <f t="shared" si="36"/>
        <v>20220901</v>
      </c>
      <c r="I205" s="1" t="str">
        <f>"115807"</f>
        <v>115807</v>
      </c>
      <c r="J205" s="1" t="s">
        <v>28</v>
      </c>
      <c r="K205" s="1" t="s">
        <v>28</v>
      </c>
      <c r="L205" s="1" t="str">
        <f t="shared" si="37"/>
        <v>20220901</v>
      </c>
      <c r="M205" s="1" t="str">
        <f>"123032"</f>
        <v>123032</v>
      </c>
      <c r="N205" s="1" t="s">
        <v>52</v>
      </c>
      <c r="O205" s="1" t="s">
        <v>52</v>
      </c>
      <c r="P205" s="1" t="s">
        <v>55</v>
      </c>
      <c r="Q205" s="1">
        <v>25</v>
      </c>
      <c r="R205" s="1">
        <v>25</v>
      </c>
      <c r="S205" s="1">
        <v>0</v>
      </c>
      <c r="T205" s="1">
        <v>0</v>
      </c>
      <c r="U205" s="1">
        <v>0</v>
      </c>
      <c r="V205" s="1" t="str">
        <f t="shared" si="34"/>
        <v>里程返程</v>
      </c>
      <c r="W205" s="1" t="str">
        <f>"0220"</f>
        <v>0220</v>
      </c>
      <c r="X205" s="1" t="s">
        <v>35</v>
      </c>
    </row>
    <row r="206" spans="1:24" x14ac:dyDescent="0.3">
      <c r="A206" s="1" t="str">
        <f t="shared" si="33"/>
        <v>59825</v>
      </c>
      <c r="B206" s="1" t="s">
        <v>30</v>
      </c>
      <c r="C206" s="1" t="s">
        <v>31</v>
      </c>
      <c r="D206" s="1" t="str">
        <f t="shared" si="35"/>
        <v>9801</v>
      </c>
      <c r="E206" s="1" t="s">
        <v>25</v>
      </c>
      <c r="F206" s="1" t="str">
        <f>"1114242933"</f>
        <v>1114242933</v>
      </c>
      <c r="G206" s="1" t="s">
        <v>38</v>
      </c>
      <c r="H206" s="1" t="str">
        <f t="shared" si="36"/>
        <v>20220901</v>
      </c>
      <c r="I206" s="1" t="str">
        <f>"115816"</f>
        <v>115816</v>
      </c>
      <c r="J206" s="1" t="s">
        <v>28</v>
      </c>
      <c r="K206" s="1" t="s">
        <v>28</v>
      </c>
      <c r="L206" s="1" t="str">
        <f t="shared" si="37"/>
        <v>20220901</v>
      </c>
      <c r="M206" s="1" t="str">
        <f>"123015"</f>
        <v>123015</v>
      </c>
      <c r="N206" s="1" t="s">
        <v>52</v>
      </c>
      <c r="O206" s="1" t="s">
        <v>52</v>
      </c>
      <c r="P206" s="1" t="s">
        <v>55</v>
      </c>
      <c r="Q206" s="1">
        <v>25</v>
      </c>
      <c r="R206" s="1">
        <v>25</v>
      </c>
      <c r="S206" s="1">
        <v>0</v>
      </c>
      <c r="T206" s="1">
        <v>0</v>
      </c>
      <c r="U206" s="1">
        <v>0</v>
      </c>
      <c r="V206" s="1" t="str">
        <f t="shared" si="34"/>
        <v>里程返程</v>
      </c>
      <c r="W206" s="1" t="str">
        <f>"0120"</f>
        <v>0120</v>
      </c>
      <c r="X206" s="1" t="s">
        <v>35</v>
      </c>
    </row>
    <row r="207" spans="1:24" x14ac:dyDescent="0.3">
      <c r="A207" s="1" t="str">
        <f t="shared" ref="A207:A238" si="38">"59825"</f>
        <v>59825</v>
      </c>
      <c r="B207" s="1" t="s">
        <v>30</v>
      </c>
      <c r="C207" s="1" t="s">
        <v>31</v>
      </c>
      <c r="D207" s="1" t="str">
        <f t="shared" si="35"/>
        <v>9801</v>
      </c>
      <c r="E207" s="1" t="s">
        <v>25</v>
      </c>
      <c r="F207" s="1" t="str">
        <f>"1104393541"</f>
        <v>1104393541</v>
      </c>
      <c r="G207" s="1" t="s">
        <v>38</v>
      </c>
      <c r="H207" s="1" t="str">
        <f t="shared" si="36"/>
        <v>20220901</v>
      </c>
      <c r="I207" s="1" t="str">
        <f>"115828"</f>
        <v>115828</v>
      </c>
      <c r="J207" s="1" t="s">
        <v>28</v>
      </c>
      <c r="K207" s="1" t="s">
        <v>28</v>
      </c>
      <c r="L207" s="1" t="str">
        <f t="shared" si="37"/>
        <v>20220901</v>
      </c>
      <c r="M207" s="1" t="str">
        <f>"123029"</f>
        <v>123029</v>
      </c>
      <c r="N207" s="1" t="s">
        <v>52</v>
      </c>
      <c r="O207" s="1" t="s">
        <v>52</v>
      </c>
      <c r="P207" s="1" t="s">
        <v>55</v>
      </c>
      <c r="Q207" s="1">
        <v>25</v>
      </c>
      <c r="R207" s="1">
        <v>25</v>
      </c>
      <c r="S207" s="1">
        <v>0</v>
      </c>
      <c r="T207" s="1">
        <v>0</v>
      </c>
      <c r="U207" s="1">
        <v>0</v>
      </c>
      <c r="V207" s="1" t="str">
        <f t="shared" si="34"/>
        <v>里程返程</v>
      </c>
      <c r="W207" s="1" t="str">
        <f>"0220"</f>
        <v>0220</v>
      </c>
      <c r="X207" s="1" t="s">
        <v>35</v>
      </c>
    </row>
    <row r="208" spans="1:24" x14ac:dyDescent="0.3">
      <c r="A208" s="1" t="str">
        <f t="shared" si="38"/>
        <v>59825</v>
      </c>
      <c r="B208" s="1" t="s">
        <v>30</v>
      </c>
      <c r="C208" s="1" t="s">
        <v>31</v>
      </c>
      <c r="D208" s="1" t="str">
        <f t="shared" si="35"/>
        <v>9801</v>
      </c>
      <c r="E208" s="1" t="s">
        <v>25</v>
      </c>
      <c r="F208" s="1" t="str">
        <f>"1010389845"</f>
        <v>1010389845</v>
      </c>
      <c r="G208" s="1" t="s">
        <v>38</v>
      </c>
      <c r="H208" s="1" t="str">
        <f t="shared" si="36"/>
        <v>20220901</v>
      </c>
      <c r="I208" s="1" t="str">
        <f>"115833"</f>
        <v>115833</v>
      </c>
      <c r="J208" s="1" t="s">
        <v>28</v>
      </c>
      <c r="K208" s="1" t="s">
        <v>28</v>
      </c>
      <c r="L208" s="1" t="str">
        <f t="shared" si="37"/>
        <v>20220901</v>
      </c>
      <c r="M208" s="1" t="str">
        <f>"121736"</f>
        <v>121736</v>
      </c>
      <c r="N208" s="1" t="s">
        <v>80</v>
      </c>
      <c r="O208" s="1" t="s">
        <v>52</v>
      </c>
      <c r="P208" s="1" t="s">
        <v>55</v>
      </c>
      <c r="Q208" s="1">
        <v>25</v>
      </c>
      <c r="R208" s="1">
        <v>25</v>
      </c>
      <c r="S208" s="1">
        <v>0</v>
      </c>
      <c r="T208" s="1">
        <v>0</v>
      </c>
      <c r="U208" s="1">
        <v>0</v>
      </c>
      <c r="V208" s="1" t="str">
        <f t="shared" si="34"/>
        <v>里程返程</v>
      </c>
      <c r="W208" s="1" t="str">
        <f>"0120"</f>
        <v>0120</v>
      </c>
      <c r="X208" s="1" t="s">
        <v>35</v>
      </c>
    </row>
    <row r="209" spans="1:24" x14ac:dyDescent="0.3">
      <c r="A209" s="1" t="str">
        <f t="shared" si="38"/>
        <v>59825</v>
      </c>
      <c r="B209" s="1" t="s">
        <v>30</v>
      </c>
      <c r="C209" s="1" t="s">
        <v>31</v>
      </c>
      <c r="D209" s="1" t="str">
        <f t="shared" si="35"/>
        <v>9801</v>
      </c>
      <c r="E209" s="1" t="s">
        <v>25</v>
      </c>
      <c r="F209" s="1" t="str">
        <f>"1355017201"</f>
        <v>1355017201</v>
      </c>
      <c r="G209" s="1" t="s">
        <v>38</v>
      </c>
      <c r="H209" s="1" t="str">
        <f t="shared" si="36"/>
        <v>20220901</v>
      </c>
      <c r="I209" s="1" t="str">
        <f>"115837"</f>
        <v>115837</v>
      </c>
      <c r="J209" s="1" t="s">
        <v>28</v>
      </c>
      <c r="K209" s="1" t="s">
        <v>28</v>
      </c>
      <c r="L209" s="1" t="str">
        <f t="shared" si="37"/>
        <v>20220901</v>
      </c>
      <c r="M209" s="1" t="str">
        <f>"121734"</f>
        <v>121734</v>
      </c>
      <c r="N209" s="1" t="s">
        <v>80</v>
      </c>
      <c r="O209" s="1" t="s">
        <v>52</v>
      </c>
      <c r="P209" s="1" t="s">
        <v>55</v>
      </c>
      <c r="Q209" s="1">
        <v>25</v>
      </c>
      <c r="R209" s="1">
        <v>25</v>
      </c>
      <c r="S209" s="1">
        <v>0</v>
      </c>
      <c r="T209" s="1">
        <v>0</v>
      </c>
      <c r="U209" s="1">
        <v>0</v>
      </c>
      <c r="V209" s="1" t="str">
        <f t="shared" si="34"/>
        <v>里程返程</v>
      </c>
      <c r="W209" s="1" t="str">
        <f>"0b20"</f>
        <v>0b20</v>
      </c>
      <c r="X209" s="1" t="s">
        <v>35</v>
      </c>
    </row>
    <row r="210" spans="1:24" x14ac:dyDescent="0.3">
      <c r="A210" s="1" t="str">
        <f t="shared" si="38"/>
        <v>59825</v>
      </c>
      <c r="B210" s="1" t="s">
        <v>30</v>
      </c>
      <c r="C210" s="1" t="s">
        <v>31</v>
      </c>
      <c r="D210" s="1" t="str">
        <f t="shared" si="35"/>
        <v>9801</v>
      </c>
      <c r="E210" s="1" t="s">
        <v>25</v>
      </c>
      <c r="F210" s="1" t="str">
        <f>"617633935"</f>
        <v>617633935</v>
      </c>
      <c r="G210" s="1" t="s">
        <v>33</v>
      </c>
      <c r="H210" s="1" t="str">
        <f t="shared" si="36"/>
        <v>20220901</v>
      </c>
      <c r="I210" s="1" t="str">
        <f>"115841"</f>
        <v>115841</v>
      </c>
      <c r="J210" s="1" t="s">
        <v>28</v>
      </c>
      <c r="K210" s="1" t="s">
        <v>28</v>
      </c>
      <c r="L210" s="1" t="str">
        <f t="shared" si="37"/>
        <v>20220901</v>
      </c>
      <c r="M210" s="1" t="str">
        <f>"121731"</f>
        <v>121731</v>
      </c>
      <c r="N210" s="1" t="s">
        <v>80</v>
      </c>
      <c r="O210" s="1" t="s">
        <v>52</v>
      </c>
      <c r="P210" s="1" t="s">
        <v>55</v>
      </c>
      <c r="Q210" s="1">
        <v>25</v>
      </c>
      <c r="R210" s="1">
        <v>25</v>
      </c>
      <c r="S210" s="1">
        <v>0</v>
      </c>
      <c r="T210" s="1">
        <v>0</v>
      </c>
      <c r="U210" s="1">
        <v>0</v>
      </c>
      <c r="V210" s="1" t="str">
        <f t="shared" si="34"/>
        <v>里程返程</v>
      </c>
      <c r="W210" s="1" t="str">
        <f>"1a20"</f>
        <v>1a20</v>
      </c>
      <c r="X210" s="1" t="s">
        <v>35</v>
      </c>
    </row>
    <row r="211" spans="1:24" x14ac:dyDescent="0.3">
      <c r="A211" s="1" t="str">
        <f t="shared" si="38"/>
        <v>59825</v>
      </c>
      <c r="B211" s="1" t="s">
        <v>30</v>
      </c>
      <c r="C211" s="1" t="s">
        <v>31</v>
      </c>
      <c r="D211" s="1" t="str">
        <f t="shared" ref="D211:D218" si="39">"9805"</f>
        <v>9805</v>
      </c>
      <c r="E211" s="1" t="s">
        <v>57</v>
      </c>
      <c r="F211" s="1" t="str">
        <f>"1228064021"</f>
        <v>1228064021</v>
      </c>
      <c r="G211" s="1" t="s">
        <v>33</v>
      </c>
      <c r="H211" s="1" t="str">
        <f t="shared" si="36"/>
        <v>20220901</v>
      </c>
      <c r="I211" s="1" t="str">
        <f>"133639"</f>
        <v>133639</v>
      </c>
      <c r="J211" s="1" t="s">
        <v>62</v>
      </c>
      <c r="K211" s="1" t="s">
        <v>28</v>
      </c>
      <c r="L211" s="1" t="str">
        <f t="shared" si="37"/>
        <v>20220901</v>
      </c>
      <c r="M211" s="1" t="str">
        <f>"135034"</f>
        <v>135034</v>
      </c>
      <c r="N211" s="1" t="s">
        <v>28</v>
      </c>
      <c r="O211" s="1" t="s">
        <v>28</v>
      </c>
      <c r="P211" s="1" t="s">
        <v>55</v>
      </c>
      <c r="Q211" s="1">
        <v>25</v>
      </c>
      <c r="R211" s="1">
        <v>25</v>
      </c>
      <c r="S211" s="1">
        <v>0</v>
      </c>
      <c r="T211" s="1">
        <v>0</v>
      </c>
      <c r="U211" s="1">
        <v>0</v>
      </c>
      <c r="V211" s="1" t="str">
        <f t="shared" si="34"/>
        <v>里程返程</v>
      </c>
      <c r="W211" s="1" t="str">
        <f>"0120"</f>
        <v>0120</v>
      </c>
      <c r="X211" s="1" t="s">
        <v>35</v>
      </c>
    </row>
    <row r="212" spans="1:24" x14ac:dyDescent="0.3">
      <c r="A212" s="1" t="str">
        <f t="shared" si="38"/>
        <v>59825</v>
      </c>
      <c r="B212" s="1" t="s">
        <v>30</v>
      </c>
      <c r="C212" s="1" t="s">
        <v>31</v>
      </c>
      <c r="D212" s="1" t="str">
        <f t="shared" si="39"/>
        <v>9805</v>
      </c>
      <c r="E212" s="1" t="s">
        <v>57</v>
      </c>
      <c r="F212" s="1" t="str">
        <f>"900684513"</f>
        <v>900684513</v>
      </c>
      <c r="G212" s="1" t="s">
        <v>33</v>
      </c>
      <c r="H212" s="1" t="str">
        <f t="shared" si="36"/>
        <v>20220901</v>
      </c>
      <c r="I212" s="1" t="str">
        <f>"142853"</f>
        <v>142853</v>
      </c>
      <c r="J212" s="1" t="s">
        <v>28</v>
      </c>
      <c r="K212" s="1" t="s">
        <v>28</v>
      </c>
      <c r="L212" s="1" t="str">
        <f t="shared" si="37"/>
        <v>20220901</v>
      </c>
      <c r="M212" s="1" t="str">
        <f>"143958"</f>
        <v>143958</v>
      </c>
      <c r="N212" s="1" t="s">
        <v>46</v>
      </c>
      <c r="O212" s="1" t="s">
        <v>28</v>
      </c>
      <c r="P212" s="1" t="s">
        <v>55</v>
      </c>
      <c r="Q212" s="1">
        <v>25</v>
      </c>
      <c r="R212" s="1">
        <v>25</v>
      </c>
      <c r="S212" s="1">
        <v>0</v>
      </c>
      <c r="T212" s="1">
        <v>0</v>
      </c>
      <c r="U212" s="1">
        <v>0</v>
      </c>
      <c r="V212" s="1" t="str">
        <f>"里程去程"</f>
        <v>里程去程</v>
      </c>
      <c r="W212" s="1" t="str">
        <f>"0120"</f>
        <v>0120</v>
      </c>
      <c r="X212" s="1" t="s">
        <v>35</v>
      </c>
    </row>
    <row r="213" spans="1:24" x14ac:dyDescent="0.3">
      <c r="A213" s="1" t="str">
        <f t="shared" si="38"/>
        <v>59825</v>
      </c>
      <c r="B213" s="1" t="s">
        <v>30</v>
      </c>
      <c r="C213" s="1" t="s">
        <v>31</v>
      </c>
      <c r="D213" s="1" t="str">
        <f t="shared" si="39"/>
        <v>9805</v>
      </c>
      <c r="E213" s="1" t="s">
        <v>57</v>
      </c>
      <c r="F213" s="1" t="str">
        <f>"25880008A5180200D200000C22400417"</f>
        <v>25880008A5180200D200000C22400417</v>
      </c>
      <c r="G213" s="1" t="s">
        <v>58</v>
      </c>
      <c r="H213" s="1" t="str">
        <f t="shared" si="36"/>
        <v>20220901</v>
      </c>
      <c r="I213" s="1" t="str">
        <f>"142858"</f>
        <v>142858</v>
      </c>
      <c r="J213" s="1" t="s">
        <v>28</v>
      </c>
      <c r="K213" s="1" t="s">
        <v>28</v>
      </c>
      <c r="L213" s="1" t="str">
        <f t="shared" si="37"/>
        <v>20220901</v>
      </c>
      <c r="M213" s="1" t="str">
        <f>"144143"</f>
        <v>144143</v>
      </c>
      <c r="N213" s="1" t="s">
        <v>46</v>
      </c>
      <c r="O213" s="1" t="s">
        <v>28</v>
      </c>
      <c r="P213" s="1" t="s">
        <v>55</v>
      </c>
      <c r="Q213" s="1">
        <v>25</v>
      </c>
      <c r="R213" s="1">
        <v>25</v>
      </c>
      <c r="S213" s="1">
        <v>0</v>
      </c>
      <c r="T213" s="1">
        <v>0</v>
      </c>
      <c r="U213" s="1">
        <v>0</v>
      </c>
      <c r="V213" s="1" t="str">
        <f>"里程去程"</f>
        <v>里程去程</v>
      </c>
      <c r="W213" s="1" t="str">
        <f>"0020"</f>
        <v>0020</v>
      </c>
      <c r="X213" s="1" t="s">
        <v>29</v>
      </c>
    </row>
    <row r="214" spans="1:24" x14ac:dyDescent="0.3">
      <c r="A214" s="1" t="str">
        <f t="shared" si="38"/>
        <v>59825</v>
      </c>
      <c r="B214" s="1" t="s">
        <v>30</v>
      </c>
      <c r="C214" s="1" t="s">
        <v>31</v>
      </c>
      <c r="D214" s="1" t="str">
        <f t="shared" si="39"/>
        <v>9805</v>
      </c>
      <c r="E214" s="1" t="s">
        <v>57</v>
      </c>
      <c r="F214" s="1" t="str">
        <f>"2252136138"</f>
        <v>2252136138</v>
      </c>
      <c r="G214" s="1" t="s">
        <v>33</v>
      </c>
      <c r="H214" s="1" t="str">
        <f t="shared" si="36"/>
        <v>20220901</v>
      </c>
      <c r="I214" s="1" t="str">
        <f>"142901"</f>
        <v>142901</v>
      </c>
      <c r="J214" s="1" t="s">
        <v>28</v>
      </c>
      <c r="K214" s="1" t="s">
        <v>28</v>
      </c>
      <c r="L214" s="1" t="str">
        <f t="shared" si="37"/>
        <v>20220901</v>
      </c>
      <c r="M214" s="1" t="str">
        <f>"144013"</f>
        <v>144013</v>
      </c>
      <c r="N214" s="1" t="s">
        <v>46</v>
      </c>
      <c r="O214" s="1" t="s">
        <v>28</v>
      </c>
      <c r="P214" s="1" t="s">
        <v>55</v>
      </c>
      <c r="Q214" s="1">
        <v>25</v>
      </c>
      <c r="R214" s="1">
        <v>25</v>
      </c>
      <c r="S214" s="1">
        <v>0</v>
      </c>
      <c r="T214" s="1">
        <v>0</v>
      </c>
      <c r="U214" s="1">
        <v>0</v>
      </c>
      <c r="V214" s="1" t="str">
        <f>"里程去程"</f>
        <v>里程去程</v>
      </c>
      <c r="W214" s="1" t="str">
        <f>"0120"</f>
        <v>0120</v>
      </c>
      <c r="X214" s="1" t="s">
        <v>35</v>
      </c>
    </row>
    <row r="215" spans="1:24" x14ac:dyDescent="0.3">
      <c r="A215" s="1" t="str">
        <f t="shared" si="38"/>
        <v>59825</v>
      </c>
      <c r="B215" s="1" t="s">
        <v>30</v>
      </c>
      <c r="C215" s="1" t="s">
        <v>31</v>
      </c>
      <c r="D215" s="1" t="str">
        <f t="shared" si="39"/>
        <v>9805</v>
      </c>
      <c r="E215" s="1" t="s">
        <v>57</v>
      </c>
      <c r="F215" s="1" t="str">
        <f>"2371712907"</f>
        <v>2371712907</v>
      </c>
      <c r="G215" s="1" t="s">
        <v>33</v>
      </c>
      <c r="H215" s="1" t="str">
        <f t="shared" si="36"/>
        <v>20220901</v>
      </c>
      <c r="I215" s="1" t="str">
        <f>"142906"</f>
        <v>142906</v>
      </c>
      <c r="J215" s="1" t="s">
        <v>28</v>
      </c>
      <c r="K215" s="1" t="s">
        <v>28</v>
      </c>
      <c r="L215" s="1" t="str">
        <f t="shared" si="37"/>
        <v>20220901</v>
      </c>
      <c r="M215" s="1" t="str">
        <f>"144141"</f>
        <v>144141</v>
      </c>
      <c r="N215" s="1" t="s">
        <v>46</v>
      </c>
      <c r="O215" s="1" t="s">
        <v>28</v>
      </c>
      <c r="P215" s="1" t="s">
        <v>55</v>
      </c>
      <c r="Q215" s="1">
        <v>25</v>
      </c>
      <c r="R215" s="1">
        <v>25</v>
      </c>
      <c r="S215" s="1">
        <v>0</v>
      </c>
      <c r="T215" s="1">
        <v>0</v>
      </c>
      <c r="U215" s="1">
        <v>0</v>
      </c>
      <c r="V215" s="1" t="str">
        <f>"里程去程"</f>
        <v>里程去程</v>
      </c>
      <c r="W215" s="1" t="str">
        <f>"0120"</f>
        <v>0120</v>
      </c>
      <c r="X215" s="1" t="s">
        <v>35</v>
      </c>
    </row>
    <row r="216" spans="1:24" x14ac:dyDescent="0.3">
      <c r="A216" s="1" t="str">
        <f t="shared" si="38"/>
        <v>59825</v>
      </c>
      <c r="B216" s="1" t="s">
        <v>30</v>
      </c>
      <c r="C216" s="1" t="s">
        <v>31</v>
      </c>
      <c r="D216" s="1" t="str">
        <f t="shared" si="39"/>
        <v>9805</v>
      </c>
      <c r="E216" s="1" t="s">
        <v>57</v>
      </c>
      <c r="F216" s="1" t="str">
        <f>"3162665350"</f>
        <v>3162665350</v>
      </c>
      <c r="G216" s="1" t="s">
        <v>33</v>
      </c>
      <c r="H216" s="1" t="str">
        <f t="shared" si="36"/>
        <v>20220901</v>
      </c>
      <c r="I216" s="1" t="str">
        <f>"142909"</f>
        <v>142909</v>
      </c>
      <c r="J216" s="1" t="s">
        <v>28</v>
      </c>
      <c r="K216" s="1" t="s">
        <v>28</v>
      </c>
      <c r="L216" s="1" t="str">
        <f t="shared" si="37"/>
        <v>20220901</v>
      </c>
      <c r="M216" s="1" t="str">
        <f>"144145"</f>
        <v>144145</v>
      </c>
      <c r="N216" s="1" t="s">
        <v>46</v>
      </c>
      <c r="O216" s="1" t="s">
        <v>28</v>
      </c>
      <c r="P216" s="1" t="s">
        <v>55</v>
      </c>
      <c r="Q216" s="1">
        <v>25</v>
      </c>
      <c r="R216" s="1">
        <v>25</v>
      </c>
      <c r="S216" s="1">
        <v>0</v>
      </c>
      <c r="T216" s="1">
        <v>0</v>
      </c>
      <c r="U216" s="1">
        <v>0</v>
      </c>
      <c r="V216" s="1" t="str">
        <f>"里程去程"</f>
        <v>里程去程</v>
      </c>
      <c r="W216" s="1" t="str">
        <f>"0820"</f>
        <v>0820</v>
      </c>
      <c r="X216" s="1" t="s">
        <v>35</v>
      </c>
    </row>
    <row r="217" spans="1:24" x14ac:dyDescent="0.3">
      <c r="A217" s="1" t="str">
        <f t="shared" si="38"/>
        <v>59825</v>
      </c>
      <c r="B217" s="1" t="s">
        <v>30</v>
      </c>
      <c r="C217" s="1" t="s">
        <v>31</v>
      </c>
      <c r="D217" s="1" t="str">
        <f t="shared" si="39"/>
        <v>9805</v>
      </c>
      <c r="E217" s="1" t="s">
        <v>57</v>
      </c>
      <c r="F217" s="1" t="str">
        <f>"A41026CF5D280400D200000100000000"</f>
        <v>A41026CF5D280400D200000100000000</v>
      </c>
      <c r="G217" s="1" t="s">
        <v>58</v>
      </c>
      <c r="H217" s="1" t="str">
        <f t="shared" si="36"/>
        <v>20220901</v>
      </c>
      <c r="I217" s="1" t="str">
        <f>"144752"</f>
        <v>144752</v>
      </c>
      <c r="J217" s="1" t="s">
        <v>52</v>
      </c>
      <c r="K217" s="1" t="s">
        <v>52</v>
      </c>
      <c r="L217" s="1" t="str">
        <f t="shared" si="37"/>
        <v>20220901</v>
      </c>
      <c r="M217" s="1" t="str">
        <f>"151035"</f>
        <v>151035</v>
      </c>
      <c r="N217" s="1" t="s">
        <v>28</v>
      </c>
      <c r="O217" s="1" t="s">
        <v>28</v>
      </c>
      <c r="P217" s="1" t="s">
        <v>55</v>
      </c>
      <c r="Q217" s="1">
        <v>25</v>
      </c>
      <c r="R217" s="1">
        <v>0</v>
      </c>
      <c r="S217" s="1">
        <v>25</v>
      </c>
      <c r="T217" s="1">
        <v>0</v>
      </c>
      <c r="U217" s="1">
        <v>0</v>
      </c>
      <c r="V217" s="1" t="str">
        <f t="shared" ref="V217:V233" si="40">"里程返程"</f>
        <v>里程返程</v>
      </c>
      <c r="W217" s="1" t="str">
        <f>"1120"</f>
        <v>1120</v>
      </c>
      <c r="X217" s="1" t="s">
        <v>29</v>
      </c>
    </row>
    <row r="218" spans="1:24" x14ac:dyDescent="0.3">
      <c r="A218" s="1" t="str">
        <f t="shared" si="38"/>
        <v>59825</v>
      </c>
      <c r="B218" s="1" t="s">
        <v>30</v>
      </c>
      <c r="C218" s="1" t="s">
        <v>31</v>
      </c>
      <c r="D218" s="1" t="str">
        <f t="shared" si="39"/>
        <v>9805</v>
      </c>
      <c r="E218" s="1" t="s">
        <v>57</v>
      </c>
      <c r="F218" s="1" t="str">
        <f>"080019D1C0280400D200000100000000"</f>
        <v>080019D1C0280400D200000100000000</v>
      </c>
      <c r="G218" s="1" t="s">
        <v>58</v>
      </c>
      <c r="H218" s="1" t="str">
        <f t="shared" si="36"/>
        <v>20220901</v>
      </c>
      <c r="I218" s="1" t="str">
        <f>"144756"</f>
        <v>144756</v>
      </c>
      <c r="J218" s="1" t="s">
        <v>52</v>
      </c>
      <c r="K218" s="1" t="s">
        <v>52</v>
      </c>
      <c r="L218" s="1" t="str">
        <f t="shared" si="37"/>
        <v>20220901</v>
      </c>
      <c r="M218" s="1" t="str">
        <f>"151040"</f>
        <v>151040</v>
      </c>
      <c r="N218" s="1" t="s">
        <v>28</v>
      </c>
      <c r="O218" s="1" t="s">
        <v>28</v>
      </c>
      <c r="P218" s="1" t="s">
        <v>55</v>
      </c>
      <c r="Q218" s="1">
        <v>25</v>
      </c>
      <c r="R218" s="1">
        <v>0</v>
      </c>
      <c r="S218" s="1">
        <v>25</v>
      </c>
      <c r="T218" s="1">
        <v>0</v>
      </c>
      <c r="U218" s="1">
        <v>0</v>
      </c>
      <c r="V218" s="1" t="str">
        <f t="shared" si="40"/>
        <v>里程返程</v>
      </c>
      <c r="W218" s="1" t="str">
        <f>"1120"</f>
        <v>1120</v>
      </c>
      <c r="X218" s="1" t="s">
        <v>29</v>
      </c>
    </row>
    <row r="219" spans="1:24" x14ac:dyDescent="0.3">
      <c r="A219" s="1" t="str">
        <f t="shared" si="38"/>
        <v>59825</v>
      </c>
      <c r="B219" s="1" t="s">
        <v>30</v>
      </c>
      <c r="C219" s="1" t="s">
        <v>31</v>
      </c>
      <c r="D219" s="1" t="str">
        <f t="shared" ref="D219:D233" si="41">"9803"</f>
        <v>9803</v>
      </c>
      <c r="E219" s="1" t="s">
        <v>32</v>
      </c>
      <c r="F219" s="1" t="str">
        <f>"41C6120F9A280400F700000000000000"</f>
        <v>41C6120F9A280400F700000000000000</v>
      </c>
      <c r="G219" s="1" t="s">
        <v>58</v>
      </c>
      <c r="H219" s="1" t="str">
        <f t="shared" si="36"/>
        <v>20220901</v>
      </c>
      <c r="I219" s="1" t="str">
        <f>"153225"</f>
        <v>153225</v>
      </c>
      <c r="J219" s="1" t="s">
        <v>34</v>
      </c>
      <c r="K219" s="1" t="s">
        <v>34</v>
      </c>
      <c r="L219" s="1" t="str">
        <f t="shared" si="37"/>
        <v>20220901</v>
      </c>
      <c r="M219" s="1" t="str">
        <f>"160831"</f>
        <v>160831</v>
      </c>
      <c r="N219" s="1" t="s">
        <v>28</v>
      </c>
      <c r="O219" s="1" t="s">
        <v>28</v>
      </c>
      <c r="P219" s="1" t="s">
        <v>55</v>
      </c>
      <c r="Q219" s="1">
        <v>25</v>
      </c>
      <c r="R219" s="1">
        <v>25</v>
      </c>
      <c r="S219" s="1">
        <v>0</v>
      </c>
      <c r="T219" s="1">
        <v>0</v>
      </c>
      <c r="U219" s="1">
        <v>0</v>
      </c>
      <c r="V219" s="1" t="str">
        <f t="shared" si="40"/>
        <v>里程返程</v>
      </c>
      <c r="W219" s="1" t="str">
        <f>"0020"</f>
        <v>0020</v>
      </c>
      <c r="X219" s="1" t="s">
        <v>29</v>
      </c>
    </row>
    <row r="220" spans="1:24" x14ac:dyDescent="0.3">
      <c r="A220" s="1" t="str">
        <f t="shared" si="38"/>
        <v>59825</v>
      </c>
      <c r="B220" s="1" t="s">
        <v>30</v>
      </c>
      <c r="C220" s="1" t="s">
        <v>31</v>
      </c>
      <c r="D220" s="1" t="str">
        <f t="shared" si="41"/>
        <v>9803</v>
      </c>
      <c r="E220" s="1" t="s">
        <v>32</v>
      </c>
      <c r="F220" s="1" t="str">
        <f>"1773321717"</f>
        <v>1773321717</v>
      </c>
      <c r="G220" s="1" t="s">
        <v>33</v>
      </c>
      <c r="H220" s="1" t="str">
        <f t="shared" si="36"/>
        <v>20220901</v>
      </c>
      <c r="I220" s="1" t="str">
        <f>"153228"</f>
        <v>153228</v>
      </c>
      <c r="J220" s="1" t="s">
        <v>34</v>
      </c>
      <c r="K220" s="1" t="s">
        <v>34</v>
      </c>
      <c r="L220" s="1" t="str">
        <f t="shared" si="37"/>
        <v>20220901</v>
      </c>
      <c r="M220" s="1" t="str">
        <f>"160833"</f>
        <v>160833</v>
      </c>
      <c r="N220" s="1" t="s">
        <v>28</v>
      </c>
      <c r="O220" s="1" t="s">
        <v>28</v>
      </c>
      <c r="P220" s="1" t="s">
        <v>55</v>
      </c>
      <c r="Q220" s="1">
        <v>25</v>
      </c>
      <c r="R220" s="1">
        <v>25</v>
      </c>
      <c r="S220" s="1">
        <v>0</v>
      </c>
      <c r="T220" s="1">
        <v>0</v>
      </c>
      <c r="U220" s="1">
        <v>0</v>
      </c>
      <c r="V220" s="1" t="str">
        <f t="shared" si="40"/>
        <v>里程返程</v>
      </c>
      <c r="W220" s="1" t="str">
        <f>"2020"</f>
        <v>2020</v>
      </c>
      <c r="X220" s="1" t="s">
        <v>35</v>
      </c>
    </row>
    <row r="221" spans="1:24" x14ac:dyDescent="0.3">
      <c r="A221" s="1" t="str">
        <f t="shared" si="38"/>
        <v>59825</v>
      </c>
      <c r="B221" s="1" t="s">
        <v>30</v>
      </c>
      <c r="C221" s="1" t="s">
        <v>31</v>
      </c>
      <c r="D221" s="1" t="str">
        <f t="shared" si="41"/>
        <v>9803</v>
      </c>
      <c r="E221" s="1" t="s">
        <v>32</v>
      </c>
      <c r="F221" s="1" t="str">
        <f>"1723173573"</f>
        <v>1723173573</v>
      </c>
      <c r="G221" s="1" t="s">
        <v>38</v>
      </c>
      <c r="H221" s="1" t="str">
        <f t="shared" si="36"/>
        <v>20220901</v>
      </c>
      <c r="I221" s="1" t="str">
        <f>"153237"</f>
        <v>153237</v>
      </c>
      <c r="J221" s="1" t="s">
        <v>34</v>
      </c>
      <c r="K221" s="1" t="s">
        <v>34</v>
      </c>
      <c r="L221" s="1" t="str">
        <f t="shared" si="37"/>
        <v>20220901</v>
      </c>
      <c r="M221" s="1" t="str">
        <f>"160850"</f>
        <v>160850</v>
      </c>
      <c r="N221" s="1" t="s">
        <v>28</v>
      </c>
      <c r="O221" s="1" t="s">
        <v>28</v>
      </c>
      <c r="P221" s="1" t="s">
        <v>55</v>
      </c>
      <c r="Q221" s="1">
        <v>25</v>
      </c>
      <c r="R221" s="1">
        <v>25</v>
      </c>
      <c r="S221" s="1">
        <v>0</v>
      </c>
      <c r="T221" s="1">
        <v>0</v>
      </c>
      <c r="U221" s="1">
        <v>0</v>
      </c>
      <c r="V221" s="1" t="str">
        <f t="shared" si="40"/>
        <v>里程返程</v>
      </c>
      <c r="W221" s="1" t="str">
        <f>"0820"</f>
        <v>0820</v>
      </c>
      <c r="X221" s="1" t="s">
        <v>35</v>
      </c>
    </row>
    <row r="222" spans="1:24" x14ac:dyDescent="0.3">
      <c r="A222" s="1" t="str">
        <f t="shared" si="38"/>
        <v>59825</v>
      </c>
      <c r="B222" s="1" t="s">
        <v>30</v>
      </c>
      <c r="C222" s="1" t="s">
        <v>31</v>
      </c>
      <c r="D222" s="1" t="str">
        <f t="shared" si="41"/>
        <v>9803</v>
      </c>
      <c r="E222" s="1" t="s">
        <v>32</v>
      </c>
      <c r="F222" s="1" t="str">
        <f>"1765868561"</f>
        <v>1765868561</v>
      </c>
      <c r="G222" s="1" t="s">
        <v>33</v>
      </c>
      <c r="H222" s="1" t="str">
        <f t="shared" si="36"/>
        <v>20220901</v>
      </c>
      <c r="I222" s="1" t="str">
        <f>"153246"</f>
        <v>153246</v>
      </c>
      <c r="J222" s="1" t="s">
        <v>34</v>
      </c>
      <c r="K222" s="1" t="s">
        <v>34</v>
      </c>
      <c r="L222" s="1" t="str">
        <f t="shared" si="37"/>
        <v>20220901</v>
      </c>
      <c r="M222" s="1" t="str">
        <f>"160839"</f>
        <v>160839</v>
      </c>
      <c r="N222" s="1" t="s">
        <v>28</v>
      </c>
      <c r="O222" s="1" t="s">
        <v>28</v>
      </c>
      <c r="P222" s="1" t="s">
        <v>55</v>
      </c>
      <c r="Q222" s="1">
        <v>25</v>
      </c>
      <c r="R222" s="1">
        <v>25</v>
      </c>
      <c r="S222" s="1">
        <v>0</v>
      </c>
      <c r="T222" s="1">
        <v>0</v>
      </c>
      <c r="U222" s="1">
        <v>0</v>
      </c>
      <c r="V222" s="1" t="str">
        <f t="shared" si="40"/>
        <v>里程返程</v>
      </c>
      <c r="W222" s="1" t="str">
        <f>"2020"</f>
        <v>2020</v>
      </c>
      <c r="X222" s="1" t="s">
        <v>35</v>
      </c>
    </row>
    <row r="223" spans="1:24" x14ac:dyDescent="0.3">
      <c r="A223" s="1" t="str">
        <f t="shared" si="38"/>
        <v>59825</v>
      </c>
      <c r="B223" s="1" t="s">
        <v>30</v>
      </c>
      <c r="C223" s="1" t="s">
        <v>31</v>
      </c>
      <c r="D223" s="1" t="str">
        <f t="shared" si="41"/>
        <v>9803</v>
      </c>
      <c r="E223" s="1" t="s">
        <v>32</v>
      </c>
      <c r="F223" s="1" t="str">
        <f>"226623169"</f>
        <v>226623169</v>
      </c>
      <c r="G223" s="1" t="s">
        <v>33</v>
      </c>
      <c r="H223" s="1" t="str">
        <f t="shared" si="36"/>
        <v>20220901</v>
      </c>
      <c r="I223" s="1" t="str">
        <f>"153309"</f>
        <v>153309</v>
      </c>
      <c r="J223" s="1" t="s">
        <v>34</v>
      </c>
      <c r="K223" s="1" t="s">
        <v>34</v>
      </c>
      <c r="L223" s="1" t="str">
        <f t="shared" si="37"/>
        <v>20220901</v>
      </c>
      <c r="M223" s="1" t="str">
        <f>"160917"</f>
        <v>160917</v>
      </c>
      <c r="N223" s="1" t="s">
        <v>28</v>
      </c>
      <c r="O223" s="1" t="s">
        <v>28</v>
      </c>
      <c r="P223" s="1" t="s">
        <v>55</v>
      </c>
      <c r="Q223" s="1">
        <v>25</v>
      </c>
      <c r="R223" s="1">
        <v>25</v>
      </c>
      <c r="S223" s="1">
        <v>0</v>
      </c>
      <c r="T223" s="1">
        <v>0</v>
      </c>
      <c r="U223" s="1">
        <v>0</v>
      </c>
      <c r="V223" s="1" t="str">
        <f t="shared" si="40"/>
        <v>里程返程</v>
      </c>
      <c r="W223" s="1" t="str">
        <f>"2020"</f>
        <v>2020</v>
      </c>
      <c r="X223" s="1" t="s">
        <v>35</v>
      </c>
    </row>
    <row r="224" spans="1:24" x14ac:dyDescent="0.3">
      <c r="A224" s="1" t="str">
        <f t="shared" si="38"/>
        <v>59825</v>
      </c>
      <c r="B224" s="1" t="s">
        <v>30</v>
      </c>
      <c r="C224" s="1" t="s">
        <v>31</v>
      </c>
      <c r="D224" s="1" t="str">
        <f t="shared" si="41"/>
        <v>9803</v>
      </c>
      <c r="E224" s="1" t="s">
        <v>32</v>
      </c>
      <c r="F224" s="1" t="str">
        <f>"1607577057"</f>
        <v>1607577057</v>
      </c>
      <c r="G224" s="1" t="s">
        <v>33</v>
      </c>
      <c r="H224" s="1" t="str">
        <f t="shared" si="36"/>
        <v>20220901</v>
      </c>
      <c r="I224" s="1" t="str">
        <f>"153311"</f>
        <v>153311</v>
      </c>
      <c r="J224" s="1" t="s">
        <v>34</v>
      </c>
      <c r="K224" s="1" t="s">
        <v>34</v>
      </c>
      <c r="L224" s="1" t="str">
        <f t="shared" si="37"/>
        <v>20220901</v>
      </c>
      <c r="M224" s="1" t="str">
        <f>"160915"</f>
        <v>160915</v>
      </c>
      <c r="N224" s="1" t="s">
        <v>28</v>
      </c>
      <c r="O224" s="1" t="s">
        <v>28</v>
      </c>
      <c r="P224" s="1" t="s">
        <v>55</v>
      </c>
      <c r="Q224" s="1">
        <v>25</v>
      </c>
      <c r="R224" s="1">
        <v>25</v>
      </c>
      <c r="S224" s="1">
        <v>0</v>
      </c>
      <c r="T224" s="1">
        <v>0</v>
      </c>
      <c r="U224" s="1">
        <v>0</v>
      </c>
      <c r="V224" s="1" t="str">
        <f t="shared" si="40"/>
        <v>里程返程</v>
      </c>
      <c r="W224" s="1" t="str">
        <f>"2020"</f>
        <v>2020</v>
      </c>
      <c r="X224" s="1" t="s">
        <v>35</v>
      </c>
    </row>
    <row r="225" spans="1:24" x14ac:dyDescent="0.3">
      <c r="A225" s="1" t="str">
        <f t="shared" si="38"/>
        <v>59825</v>
      </c>
      <c r="B225" s="1" t="s">
        <v>30</v>
      </c>
      <c r="C225" s="1" t="s">
        <v>31</v>
      </c>
      <c r="D225" s="1" t="str">
        <f t="shared" si="41"/>
        <v>9803</v>
      </c>
      <c r="E225" s="1" t="s">
        <v>32</v>
      </c>
      <c r="F225" s="1" t="str">
        <f>"1110320325"</f>
        <v>1110320325</v>
      </c>
      <c r="G225" s="1" t="s">
        <v>38</v>
      </c>
      <c r="H225" s="1" t="str">
        <f t="shared" si="36"/>
        <v>20220901</v>
      </c>
      <c r="I225" s="1" t="str">
        <f>"153356"</f>
        <v>153356</v>
      </c>
      <c r="J225" s="1" t="s">
        <v>34</v>
      </c>
      <c r="K225" s="1" t="s">
        <v>34</v>
      </c>
      <c r="L225" s="1" t="str">
        <f t="shared" si="37"/>
        <v>20220901</v>
      </c>
      <c r="M225" s="1" t="str">
        <f>"160827"</f>
        <v>160827</v>
      </c>
      <c r="N225" s="1" t="s">
        <v>28</v>
      </c>
      <c r="O225" s="1" t="s">
        <v>28</v>
      </c>
      <c r="P225" s="1" t="s">
        <v>55</v>
      </c>
      <c r="Q225" s="1">
        <v>25</v>
      </c>
      <c r="R225" s="1">
        <v>25</v>
      </c>
      <c r="S225" s="1">
        <v>0</v>
      </c>
      <c r="T225" s="1">
        <v>0</v>
      </c>
      <c r="U225" s="1">
        <v>0</v>
      </c>
      <c r="V225" s="1" t="str">
        <f t="shared" si="40"/>
        <v>里程返程</v>
      </c>
      <c r="W225" s="1" t="str">
        <f>"2020"</f>
        <v>2020</v>
      </c>
      <c r="X225" s="1" t="s">
        <v>35</v>
      </c>
    </row>
    <row r="226" spans="1:24" x14ac:dyDescent="0.3">
      <c r="A226" s="1" t="str">
        <f t="shared" si="38"/>
        <v>59825</v>
      </c>
      <c r="B226" s="1" t="s">
        <v>30</v>
      </c>
      <c r="C226" s="1" t="s">
        <v>31</v>
      </c>
      <c r="D226" s="1" t="str">
        <f t="shared" si="41"/>
        <v>9803</v>
      </c>
      <c r="E226" s="1" t="s">
        <v>32</v>
      </c>
      <c r="F226" s="1" t="str">
        <f>"1216364965"</f>
        <v>1216364965</v>
      </c>
      <c r="G226" s="1" t="s">
        <v>38</v>
      </c>
      <c r="H226" s="1" t="str">
        <f t="shared" si="36"/>
        <v>20220901</v>
      </c>
      <c r="I226" s="1" t="str">
        <f>"153408"</f>
        <v>153408</v>
      </c>
      <c r="J226" s="1" t="s">
        <v>34</v>
      </c>
      <c r="K226" s="1" t="s">
        <v>34</v>
      </c>
      <c r="L226" s="1" t="str">
        <f t="shared" si="37"/>
        <v>20220901</v>
      </c>
      <c r="M226" s="1" t="str">
        <f>"160836"</f>
        <v>160836</v>
      </c>
      <c r="N226" s="1" t="s">
        <v>28</v>
      </c>
      <c r="O226" s="1" t="s">
        <v>28</v>
      </c>
      <c r="P226" s="1" t="s">
        <v>55</v>
      </c>
      <c r="Q226" s="1">
        <v>25</v>
      </c>
      <c r="R226" s="1">
        <v>25</v>
      </c>
      <c r="S226" s="1">
        <v>0</v>
      </c>
      <c r="T226" s="1">
        <v>0</v>
      </c>
      <c r="U226" s="1">
        <v>0</v>
      </c>
      <c r="V226" s="1" t="str">
        <f t="shared" si="40"/>
        <v>里程返程</v>
      </c>
      <c r="W226" s="1" t="str">
        <f>"0820"</f>
        <v>0820</v>
      </c>
      <c r="X226" s="1" t="s">
        <v>35</v>
      </c>
    </row>
    <row r="227" spans="1:24" x14ac:dyDescent="0.3">
      <c r="A227" s="1" t="str">
        <f t="shared" si="38"/>
        <v>59825</v>
      </c>
      <c r="B227" s="1" t="s">
        <v>30</v>
      </c>
      <c r="C227" s="1" t="s">
        <v>31</v>
      </c>
      <c r="D227" s="1" t="str">
        <f t="shared" si="41"/>
        <v>9803</v>
      </c>
      <c r="E227" s="1" t="s">
        <v>32</v>
      </c>
      <c r="F227" s="1" t="str">
        <f>"216631894"</f>
        <v>216631894</v>
      </c>
      <c r="G227" s="1" t="s">
        <v>33</v>
      </c>
      <c r="H227" s="1" t="str">
        <f t="shared" si="36"/>
        <v>20220901</v>
      </c>
      <c r="I227" s="1" t="str">
        <f>"153412"</f>
        <v>153412</v>
      </c>
      <c r="J227" s="1" t="s">
        <v>34</v>
      </c>
      <c r="K227" s="1" t="s">
        <v>34</v>
      </c>
      <c r="L227" s="1" t="str">
        <f t="shared" si="37"/>
        <v>20220901</v>
      </c>
      <c r="M227" s="1" t="str">
        <f>"160857"</f>
        <v>160857</v>
      </c>
      <c r="N227" s="1" t="s">
        <v>28</v>
      </c>
      <c r="O227" s="1" t="s">
        <v>28</v>
      </c>
      <c r="P227" s="1" t="s">
        <v>55</v>
      </c>
      <c r="Q227" s="1">
        <v>25</v>
      </c>
      <c r="R227" s="1">
        <v>25</v>
      </c>
      <c r="S227" s="1">
        <v>0</v>
      </c>
      <c r="T227" s="1">
        <v>0</v>
      </c>
      <c r="U227" s="1">
        <v>0</v>
      </c>
      <c r="V227" s="1" t="str">
        <f t="shared" si="40"/>
        <v>里程返程</v>
      </c>
      <c r="W227" s="1" t="str">
        <f>"2020"</f>
        <v>2020</v>
      </c>
      <c r="X227" s="1" t="s">
        <v>35</v>
      </c>
    </row>
    <row r="228" spans="1:24" x14ac:dyDescent="0.3">
      <c r="A228" s="1" t="str">
        <f t="shared" si="38"/>
        <v>59825</v>
      </c>
      <c r="B228" s="1" t="s">
        <v>30</v>
      </c>
      <c r="C228" s="1" t="s">
        <v>31</v>
      </c>
      <c r="D228" s="1" t="str">
        <f t="shared" si="41"/>
        <v>9803</v>
      </c>
      <c r="E228" s="1" t="s">
        <v>32</v>
      </c>
      <c r="F228" s="1" t="str">
        <f>"1002724133"</f>
        <v>1002724133</v>
      </c>
      <c r="G228" s="1" t="s">
        <v>33</v>
      </c>
      <c r="H228" s="1" t="str">
        <f t="shared" si="36"/>
        <v>20220901</v>
      </c>
      <c r="I228" s="1" t="str">
        <f>"153522"</f>
        <v>153522</v>
      </c>
      <c r="J228" s="1" t="s">
        <v>34</v>
      </c>
      <c r="K228" s="1" t="s">
        <v>34</v>
      </c>
      <c r="L228" s="1" t="str">
        <f t="shared" si="37"/>
        <v>20220901</v>
      </c>
      <c r="M228" s="1" t="str">
        <f>"160904"</f>
        <v>160904</v>
      </c>
      <c r="N228" s="1" t="s">
        <v>28</v>
      </c>
      <c r="O228" s="1" t="s">
        <v>28</v>
      </c>
      <c r="P228" s="1" t="s">
        <v>55</v>
      </c>
      <c r="Q228" s="1">
        <v>25</v>
      </c>
      <c r="R228" s="1">
        <v>25</v>
      </c>
      <c r="S228" s="1">
        <v>0</v>
      </c>
      <c r="T228" s="1">
        <v>0</v>
      </c>
      <c r="U228" s="1">
        <v>0</v>
      </c>
      <c r="V228" s="1" t="str">
        <f t="shared" si="40"/>
        <v>里程返程</v>
      </c>
      <c r="W228" s="1" t="str">
        <f>"0220"</f>
        <v>0220</v>
      </c>
      <c r="X228" s="1" t="s">
        <v>35</v>
      </c>
    </row>
    <row r="229" spans="1:24" x14ac:dyDescent="0.3">
      <c r="A229" s="1" t="str">
        <f t="shared" si="38"/>
        <v>59825</v>
      </c>
      <c r="B229" s="1" t="s">
        <v>30</v>
      </c>
      <c r="C229" s="1" t="s">
        <v>31</v>
      </c>
      <c r="D229" s="1" t="str">
        <f t="shared" si="41"/>
        <v>9803</v>
      </c>
      <c r="E229" s="1" t="s">
        <v>32</v>
      </c>
      <c r="F229" s="1" t="str">
        <f>"656930917"</f>
        <v>656930917</v>
      </c>
      <c r="G229" s="1" t="s">
        <v>33</v>
      </c>
      <c r="H229" s="1" t="str">
        <f t="shared" si="36"/>
        <v>20220901</v>
      </c>
      <c r="I229" s="1" t="str">
        <f>"153524"</f>
        <v>153524</v>
      </c>
      <c r="J229" s="1" t="s">
        <v>34</v>
      </c>
      <c r="K229" s="1" t="s">
        <v>34</v>
      </c>
      <c r="L229" s="1" t="str">
        <f t="shared" si="37"/>
        <v>20220901</v>
      </c>
      <c r="M229" s="1" t="str">
        <f>"160900"</f>
        <v>160900</v>
      </c>
      <c r="N229" s="1" t="s">
        <v>28</v>
      </c>
      <c r="O229" s="1" t="s">
        <v>28</v>
      </c>
      <c r="P229" s="1" t="s">
        <v>55</v>
      </c>
      <c r="Q229" s="1">
        <v>25</v>
      </c>
      <c r="R229" s="1">
        <v>25</v>
      </c>
      <c r="S229" s="1">
        <v>0</v>
      </c>
      <c r="T229" s="1">
        <v>0</v>
      </c>
      <c r="U229" s="1">
        <v>0</v>
      </c>
      <c r="V229" s="1" t="str">
        <f t="shared" si="40"/>
        <v>里程返程</v>
      </c>
      <c r="W229" s="1" t="str">
        <f>"0820"</f>
        <v>0820</v>
      </c>
      <c r="X229" s="1" t="s">
        <v>35</v>
      </c>
    </row>
    <row r="230" spans="1:24" x14ac:dyDescent="0.3">
      <c r="A230" s="1" t="str">
        <f t="shared" si="38"/>
        <v>59825</v>
      </c>
      <c r="B230" s="1" t="s">
        <v>30</v>
      </c>
      <c r="C230" s="1" t="s">
        <v>31</v>
      </c>
      <c r="D230" s="1" t="str">
        <f t="shared" si="41"/>
        <v>9803</v>
      </c>
      <c r="E230" s="1" t="s">
        <v>32</v>
      </c>
      <c r="F230" s="1" t="str">
        <f>"1817041713"</f>
        <v>1817041713</v>
      </c>
      <c r="G230" s="1" t="s">
        <v>33</v>
      </c>
      <c r="H230" s="1" t="str">
        <f t="shared" si="36"/>
        <v>20220901</v>
      </c>
      <c r="I230" s="1" t="str">
        <f>"153637"</f>
        <v>153637</v>
      </c>
      <c r="J230" s="1" t="s">
        <v>34</v>
      </c>
      <c r="K230" s="1" t="s">
        <v>34</v>
      </c>
      <c r="L230" s="1" t="str">
        <f t="shared" si="37"/>
        <v>20220901</v>
      </c>
      <c r="M230" s="1" t="str">
        <f>"160847"</f>
        <v>160847</v>
      </c>
      <c r="N230" s="1" t="s">
        <v>28</v>
      </c>
      <c r="O230" s="1" t="s">
        <v>28</v>
      </c>
      <c r="P230" s="1" t="s">
        <v>55</v>
      </c>
      <c r="Q230" s="1">
        <v>25</v>
      </c>
      <c r="R230" s="1">
        <v>25</v>
      </c>
      <c r="S230" s="1">
        <v>0</v>
      </c>
      <c r="T230" s="1">
        <v>0</v>
      </c>
      <c r="U230" s="1">
        <v>0</v>
      </c>
      <c r="V230" s="1" t="str">
        <f t="shared" si="40"/>
        <v>里程返程</v>
      </c>
      <c r="W230" s="1" t="str">
        <f>"2120"</f>
        <v>2120</v>
      </c>
      <c r="X230" s="1" t="s">
        <v>35</v>
      </c>
    </row>
    <row r="231" spans="1:24" x14ac:dyDescent="0.3">
      <c r="A231" s="1" t="str">
        <f t="shared" si="38"/>
        <v>59825</v>
      </c>
      <c r="B231" s="1" t="s">
        <v>30</v>
      </c>
      <c r="C231" s="1" t="s">
        <v>31</v>
      </c>
      <c r="D231" s="1" t="str">
        <f t="shared" si="41"/>
        <v>9803</v>
      </c>
      <c r="E231" s="1" t="s">
        <v>32</v>
      </c>
      <c r="F231" s="1" t="str">
        <f>"77902049"</f>
        <v>77902049</v>
      </c>
      <c r="G231" s="1" t="s">
        <v>33</v>
      </c>
      <c r="H231" s="1" t="str">
        <f t="shared" si="36"/>
        <v>20220901</v>
      </c>
      <c r="I231" s="1" t="str">
        <f>"153638"</f>
        <v>153638</v>
      </c>
      <c r="J231" s="1" t="s">
        <v>34</v>
      </c>
      <c r="K231" s="1" t="s">
        <v>34</v>
      </c>
      <c r="L231" s="1" t="str">
        <f t="shared" si="37"/>
        <v>20220901</v>
      </c>
      <c r="M231" s="1" t="str">
        <f>"160118"</f>
        <v>160118</v>
      </c>
      <c r="N231" s="1" t="s">
        <v>92</v>
      </c>
      <c r="O231" s="1" t="s">
        <v>28</v>
      </c>
      <c r="P231" s="1" t="s">
        <v>55</v>
      </c>
      <c r="Q231" s="1">
        <v>25</v>
      </c>
      <c r="R231" s="1">
        <v>25</v>
      </c>
      <c r="S231" s="1">
        <v>0</v>
      </c>
      <c r="T231" s="1">
        <v>0</v>
      </c>
      <c r="U231" s="1">
        <v>0</v>
      </c>
      <c r="V231" s="1" t="str">
        <f t="shared" si="40"/>
        <v>里程返程</v>
      </c>
      <c r="W231" s="1" t="str">
        <f>"2020"</f>
        <v>2020</v>
      </c>
      <c r="X231" s="1" t="s">
        <v>35</v>
      </c>
    </row>
    <row r="232" spans="1:24" x14ac:dyDescent="0.3">
      <c r="A232" s="1" t="str">
        <f t="shared" si="38"/>
        <v>59825</v>
      </c>
      <c r="B232" s="1" t="s">
        <v>30</v>
      </c>
      <c r="C232" s="1" t="s">
        <v>31</v>
      </c>
      <c r="D232" s="1" t="str">
        <f t="shared" si="41"/>
        <v>9803</v>
      </c>
      <c r="E232" s="1" t="s">
        <v>32</v>
      </c>
      <c r="F232" s="1" t="str">
        <f>"916816628D2804001C00000000000000"</f>
        <v>916816628D2804001C00000000000000</v>
      </c>
      <c r="G232" s="1" t="s">
        <v>58</v>
      </c>
      <c r="H232" s="1" t="str">
        <f t="shared" si="36"/>
        <v>20220901</v>
      </c>
      <c r="I232" s="1" t="str">
        <f>"153820"</f>
        <v>153820</v>
      </c>
      <c r="J232" s="1" t="s">
        <v>34</v>
      </c>
      <c r="K232" s="1" t="s">
        <v>34</v>
      </c>
      <c r="L232" s="1" t="str">
        <f t="shared" si="37"/>
        <v>20220901</v>
      </c>
      <c r="M232" s="1" t="str">
        <f>"160842"</f>
        <v>160842</v>
      </c>
      <c r="N232" s="1" t="s">
        <v>28</v>
      </c>
      <c r="O232" s="1" t="s">
        <v>28</v>
      </c>
      <c r="P232" s="1" t="s">
        <v>55</v>
      </c>
      <c r="Q232" s="1">
        <v>25</v>
      </c>
      <c r="R232" s="1">
        <v>25</v>
      </c>
      <c r="S232" s="1">
        <v>0</v>
      </c>
      <c r="T232" s="1">
        <v>0</v>
      </c>
      <c r="U232" s="1">
        <v>0</v>
      </c>
      <c r="V232" s="1" t="str">
        <f t="shared" si="40"/>
        <v>里程返程</v>
      </c>
      <c r="W232" s="1" t="str">
        <f>"0020"</f>
        <v>0020</v>
      </c>
      <c r="X232" s="1" t="s">
        <v>29</v>
      </c>
    </row>
    <row r="233" spans="1:24" x14ac:dyDescent="0.3">
      <c r="A233" s="1" t="str">
        <f t="shared" si="38"/>
        <v>59825</v>
      </c>
      <c r="B233" s="1" t="s">
        <v>30</v>
      </c>
      <c r="C233" s="1" t="s">
        <v>31</v>
      </c>
      <c r="D233" s="1" t="str">
        <f t="shared" si="41"/>
        <v>9803</v>
      </c>
      <c r="E233" s="1" t="s">
        <v>32</v>
      </c>
      <c r="F233" s="1" t="str">
        <f>"940286549"</f>
        <v>940286549</v>
      </c>
      <c r="G233" s="1" t="s">
        <v>33</v>
      </c>
      <c r="H233" s="1" t="str">
        <f t="shared" si="36"/>
        <v>20220901</v>
      </c>
      <c r="I233" s="1" t="str">
        <f>"155858"</f>
        <v>155858</v>
      </c>
      <c r="J233" s="1" t="s">
        <v>46</v>
      </c>
      <c r="K233" s="1" t="s">
        <v>28</v>
      </c>
      <c r="L233" s="1" t="str">
        <f t="shared" si="37"/>
        <v>20220901</v>
      </c>
      <c r="M233" s="1" t="str">
        <f>"160814"</f>
        <v>160814</v>
      </c>
      <c r="N233" s="1" t="s">
        <v>28</v>
      </c>
      <c r="O233" s="1" t="s">
        <v>28</v>
      </c>
      <c r="P233" s="1" t="s">
        <v>55</v>
      </c>
      <c r="Q233" s="1">
        <v>25</v>
      </c>
      <c r="R233" s="1">
        <v>25</v>
      </c>
      <c r="S233" s="1">
        <v>0</v>
      </c>
      <c r="T233" s="1">
        <v>0</v>
      </c>
      <c r="U233" s="1">
        <v>0</v>
      </c>
      <c r="V233" s="1" t="str">
        <f t="shared" si="40"/>
        <v>里程返程</v>
      </c>
      <c r="W233" s="1" t="str">
        <f>"2020"</f>
        <v>2020</v>
      </c>
      <c r="X233" s="1" t="s">
        <v>35</v>
      </c>
    </row>
    <row r="234" spans="1:24" x14ac:dyDescent="0.3">
      <c r="A234" s="1" t="str">
        <f t="shared" si="38"/>
        <v>59825</v>
      </c>
      <c r="B234" s="1" t="s">
        <v>30</v>
      </c>
      <c r="C234" s="1" t="s">
        <v>31</v>
      </c>
      <c r="D234" s="1" t="str">
        <f>"9806"</f>
        <v>9806</v>
      </c>
      <c r="E234" s="1" t="s">
        <v>49</v>
      </c>
      <c r="F234" s="1" t="str">
        <f>"12BE3C1B8B880400C817002000000021"</f>
        <v>12BE3C1B8B880400C817002000000021</v>
      </c>
      <c r="G234" s="1" t="s">
        <v>59</v>
      </c>
      <c r="H234" s="1" t="str">
        <f t="shared" si="36"/>
        <v>20220901</v>
      </c>
      <c r="I234" s="1" t="str">
        <f>"163236"</f>
        <v>163236</v>
      </c>
      <c r="J234" s="1" t="s">
        <v>76</v>
      </c>
      <c r="K234" s="1" t="s">
        <v>28</v>
      </c>
      <c r="L234" s="1" t="str">
        <f t="shared" si="37"/>
        <v>20220901</v>
      </c>
      <c r="M234" s="1" t="str">
        <f>"164955"</f>
        <v>164955</v>
      </c>
      <c r="N234" s="1" t="s">
        <v>28</v>
      </c>
      <c r="O234" s="1" t="s">
        <v>28</v>
      </c>
      <c r="P234" s="1" t="s">
        <v>55</v>
      </c>
      <c r="Q234" s="1">
        <v>25</v>
      </c>
      <c r="R234" s="1">
        <v>25</v>
      </c>
      <c r="S234" s="1">
        <v>0</v>
      </c>
      <c r="T234" s="1">
        <v>0</v>
      </c>
      <c r="U234" s="1">
        <v>0</v>
      </c>
      <c r="V234" s="1" t="str">
        <f t="shared" ref="V234:V242" si="42">"里程去程"</f>
        <v>里程去程</v>
      </c>
      <c r="W234" s="1" t="str">
        <f>"0020"</f>
        <v>0020</v>
      </c>
      <c r="X234" s="1" t="s">
        <v>29</v>
      </c>
    </row>
    <row r="235" spans="1:24" x14ac:dyDescent="0.3">
      <c r="A235" s="1" t="str">
        <f t="shared" si="38"/>
        <v>59825</v>
      </c>
      <c r="B235" s="1" t="s">
        <v>30</v>
      </c>
      <c r="C235" s="1" t="s">
        <v>31</v>
      </c>
      <c r="D235" s="1" t="str">
        <f>"9806"</f>
        <v>9806</v>
      </c>
      <c r="E235" s="1" t="s">
        <v>49</v>
      </c>
      <c r="F235" s="1" t="str">
        <f>"B211E70246880400C834002000000015"</f>
        <v>B211E70246880400C834002000000015</v>
      </c>
      <c r="G235" s="1" t="s">
        <v>74</v>
      </c>
      <c r="H235" s="1" t="str">
        <f t="shared" si="36"/>
        <v>20220901</v>
      </c>
      <c r="I235" s="1" t="str">
        <f>"163338"</f>
        <v>163338</v>
      </c>
      <c r="J235" s="1" t="s">
        <v>76</v>
      </c>
      <c r="K235" s="1" t="s">
        <v>28</v>
      </c>
      <c r="L235" s="1" t="str">
        <f t="shared" si="37"/>
        <v>20220901</v>
      </c>
      <c r="M235" s="1" t="str">
        <f>"164450"</f>
        <v>164450</v>
      </c>
      <c r="N235" s="1" t="s">
        <v>84</v>
      </c>
      <c r="O235" s="1" t="s">
        <v>28</v>
      </c>
      <c r="P235" s="1" t="s">
        <v>68</v>
      </c>
      <c r="Q235" s="1">
        <v>13</v>
      </c>
      <c r="R235" s="1">
        <v>0</v>
      </c>
      <c r="S235" s="1">
        <v>0</v>
      </c>
      <c r="T235" s="1">
        <v>13</v>
      </c>
      <c r="U235" s="1">
        <v>0</v>
      </c>
      <c r="V235" s="1" t="str">
        <f t="shared" si="42"/>
        <v>里程去程</v>
      </c>
      <c r="W235" s="1" t="str">
        <f>"0020"</f>
        <v>0020</v>
      </c>
      <c r="X235" s="1" t="s">
        <v>29</v>
      </c>
    </row>
    <row r="236" spans="1:24" x14ac:dyDescent="0.3">
      <c r="A236" s="1" t="str">
        <f t="shared" si="38"/>
        <v>59825</v>
      </c>
      <c r="B236" s="1" t="s">
        <v>30</v>
      </c>
      <c r="C236" s="1" t="s">
        <v>31</v>
      </c>
      <c r="D236" s="1" t="str">
        <f>"9806"</f>
        <v>9806</v>
      </c>
      <c r="E236" s="1" t="s">
        <v>49</v>
      </c>
      <c r="F236" s="1" t="str">
        <f>"22C8DE1B2F880400C822002000000021"</f>
        <v>22C8DE1B2F880400C822002000000021</v>
      </c>
      <c r="G236" s="1" t="s">
        <v>58</v>
      </c>
      <c r="H236" s="1" t="str">
        <f t="shared" si="36"/>
        <v>20220901</v>
      </c>
      <c r="I236" s="1" t="str">
        <f>"163348"</f>
        <v>163348</v>
      </c>
      <c r="J236" s="1" t="s">
        <v>76</v>
      </c>
      <c r="K236" s="1" t="s">
        <v>28</v>
      </c>
      <c r="L236" s="1" t="str">
        <f t="shared" si="37"/>
        <v>20220901</v>
      </c>
      <c r="M236" s="1" t="str">
        <f>"164952"</f>
        <v>164952</v>
      </c>
      <c r="N236" s="1" t="s">
        <v>28</v>
      </c>
      <c r="O236" s="1" t="s">
        <v>28</v>
      </c>
      <c r="P236" s="1" t="s">
        <v>55</v>
      </c>
      <c r="Q236" s="1">
        <v>25</v>
      </c>
      <c r="R236" s="1">
        <v>25</v>
      </c>
      <c r="S236" s="1">
        <v>0</v>
      </c>
      <c r="T236" s="1">
        <v>0</v>
      </c>
      <c r="U236" s="1">
        <v>0</v>
      </c>
      <c r="V236" s="1" t="str">
        <f t="shared" si="42"/>
        <v>里程去程</v>
      </c>
      <c r="W236" s="1" t="str">
        <f>"0020"</f>
        <v>0020</v>
      </c>
      <c r="X236" s="1" t="s">
        <v>29</v>
      </c>
    </row>
    <row r="237" spans="1:24" x14ac:dyDescent="0.3">
      <c r="A237" s="1" t="str">
        <f t="shared" si="38"/>
        <v>59825</v>
      </c>
      <c r="B237" s="1" t="s">
        <v>30</v>
      </c>
      <c r="C237" s="1" t="s">
        <v>31</v>
      </c>
      <c r="D237" s="1" t="str">
        <f>"9806"</f>
        <v>9806</v>
      </c>
      <c r="E237" s="1" t="s">
        <v>49</v>
      </c>
      <c r="F237" s="1" t="str">
        <f>"1202E702F5880400C834002000000015"</f>
        <v>1202E702F5880400C834002000000015</v>
      </c>
      <c r="G237" s="1" t="s">
        <v>74</v>
      </c>
      <c r="H237" s="1" t="str">
        <f t="shared" si="36"/>
        <v>20220901</v>
      </c>
      <c r="I237" s="1" t="str">
        <f>"163351"</f>
        <v>163351</v>
      </c>
      <c r="J237" s="1" t="s">
        <v>76</v>
      </c>
      <c r="K237" s="1" t="s">
        <v>28</v>
      </c>
      <c r="L237" s="1" t="str">
        <f t="shared" si="37"/>
        <v>20220901</v>
      </c>
      <c r="M237" s="1" t="str">
        <f>"164449"</f>
        <v>164449</v>
      </c>
      <c r="N237" s="1" t="s">
        <v>84</v>
      </c>
      <c r="O237" s="1" t="s">
        <v>28</v>
      </c>
      <c r="P237" s="1" t="s">
        <v>68</v>
      </c>
      <c r="Q237" s="1">
        <v>13</v>
      </c>
      <c r="R237" s="1">
        <v>0</v>
      </c>
      <c r="S237" s="1">
        <v>0</v>
      </c>
      <c r="T237" s="1">
        <v>13</v>
      </c>
      <c r="U237" s="1">
        <v>0</v>
      </c>
      <c r="V237" s="1" t="str">
        <f t="shared" si="42"/>
        <v>里程去程</v>
      </c>
      <c r="W237" s="1" t="str">
        <f>"0020"</f>
        <v>0020</v>
      </c>
      <c r="X237" s="1" t="s">
        <v>29</v>
      </c>
    </row>
    <row r="238" spans="1:24" x14ac:dyDescent="0.3">
      <c r="A238" s="1" t="str">
        <f t="shared" si="38"/>
        <v>59825</v>
      </c>
      <c r="B238" s="1" t="s">
        <v>30</v>
      </c>
      <c r="C238" s="1" t="s">
        <v>31</v>
      </c>
      <c r="D238" s="1" t="str">
        <f>"9806"</f>
        <v>9806</v>
      </c>
      <c r="E238" s="1" t="s">
        <v>49</v>
      </c>
      <c r="F238" s="1" t="str">
        <f>"1055537829"</f>
        <v>1055537829</v>
      </c>
      <c r="G238" s="1" t="s">
        <v>33</v>
      </c>
      <c r="H238" s="1" t="str">
        <f t="shared" si="36"/>
        <v>20220901</v>
      </c>
      <c r="I238" s="1" t="str">
        <f>"164025"</f>
        <v>164025</v>
      </c>
      <c r="J238" s="1" t="s">
        <v>98</v>
      </c>
      <c r="K238" s="1" t="s">
        <v>28</v>
      </c>
      <c r="L238" s="1" t="str">
        <f t="shared" si="37"/>
        <v>20220901</v>
      </c>
      <c r="M238" s="1" t="str">
        <f>"164948"</f>
        <v>164948</v>
      </c>
      <c r="N238" s="1" t="s">
        <v>28</v>
      </c>
      <c r="O238" s="1" t="s">
        <v>28</v>
      </c>
      <c r="P238" s="1" t="s">
        <v>55</v>
      </c>
      <c r="Q238" s="1">
        <v>25</v>
      </c>
      <c r="R238" s="1">
        <v>25</v>
      </c>
      <c r="S238" s="1">
        <v>0</v>
      </c>
      <c r="T238" s="1">
        <v>0</v>
      </c>
      <c r="U238" s="1">
        <v>0</v>
      </c>
      <c r="V238" s="1" t="str">
        <f t="shared" si="42"/>
        <v>里程去程</v>
      </c>
      <c r="W238" s="1" t="str">
        <f>"0820"</f>
        <v>0820</v>
      </c>
      <c r="X238" s="1" t="s">
        <v>35</v>
      </c>
    </row>
    <row r="239" spans="1:24" x14ac:dyDescent="0.3">
      <c r="A239" s="1" t="str">
        <f t="shared" ref="A239:A255" si="43">"59825"</f>
        <v>59825</v>
      </c>
      <c r="B239" s="1" t="s">
        <v>30</v>
      </c>
      <c r="C239" s="1" t="s">
        <v>31</v>
      </c>
      <c r="D239" s="1" t="str">
        <f>"9805"</f>
        <v>9805</v>
      </c>
      <c r="E239" s="1" t="s">
        <v>57</v>
      </c>
      <c r="F239" s="1" t="str">
        <f>"92FFF5168E880400C814002000000019"</f>
        <v>92FFF5168E880400C814002000000019</v>
      </c>
      <c r="G239" s="1" t="s">
        <v>59</v>
      </c>
      <c r="H239" s="1" t="str">
        <f t="shared" si="36"/>
        <v>20220901</v>
      </c>
      <c r="I239" s="1" t="str">
        <f>"165029"</f>
        <v>165029</v>
      </c>
      <c r="J239" s="1" t="s">
        <v>28</v>
      </c>
      <c r="K239" s="1" t="s">
        <v>28</v>
      </c>
      <c r="L239" s="1" t="str">
        <f t="shared" si="37"/>
        <v>20220901</v>
      </c>
      <c r="M239" s="1" t="str">
        <f>"170034"</f>
        <v>170034</v>
      </c>
      <c r="N239" s="1" t="s">
        <v>46</v>
      </c>
      <c r="O239" s="1" t="s">
        <v>28</v>
      </c>
      <c r="P239" s="1" t="s">
        <v>55</v>
      </c>
      <c r="Q239" s="1">
        <v>25</v>
      </c>
      <c r="R239" s="1">
        <v>25</v>
      </c>
      <c r="S239" s="1">
        <v>0</v>
      </c>
      <c r="T239" s="1">
        <v>0</v>
      </c>
      <c r="U239" s="1">
        <v>0</v>
      </c>
      <c r="V239" s="1" t="str">
        <f t="shared" si="42"/>
        <v>里程去程</v>
      </c>
      <c r="W239" s="1" t="str">
        <f>"0020"</f>
        <v>0020</v>
      </c>
      <c r="X239" s="1" t="s">
        <v>29</v>
      </c>
    </row>
    <row r="240" spans="1:24" x14ac:dyDescent="0.3">
      <c r="A240" s="1" t="str">
        <f t="shared" si="43"/>
        <v>59825</v>
      </c>
      <c r="B240" s="1" t="s">
        <v>30</v>
      </c>
      <c r="C240" s="1" t="s">
        <v>31</v>
      </c>
      <c r="D240" s="1" t="str">
        <f>"9805"</f>
        <v>9805</v>
      </c>
      <c r="E240" s="1" t="s">
        <v>57</v>
      </c>
      <c r="F240" s="1" t="str">
        <f>"02009C1688880400C814002000000019"</f>
        <v>02009C1688880400C814002000000019</v>
      </c>
      <c r="G240" s="1" t="s">
        <v>59</v>
      </c>
      <c r="H240" s="1" t="str">
        <f t="shared" si="36"/>
        <v>20220901</v>
      </c>
      <c r="I240" s="1" t="str">
        <f>"165033"</f>
        <v>165033</v>
      </c>
      <c r="J240" s="1" t="s">
        <v>28</v>
      </c>
      <c r="K240" s="1" t="s">
        <v>28</v>
      </c>
      <c r="L240" s="1" t="str">
        <f t="shared" si="37"/>
        <v>20220901</v>
      </c>
      <c r="M240" s="1" t="str">
        <f>"170031"</f>
        <v>170031</v>
      </c>
      <c r="N240" s="1" t="s">
        <v>46</v>
      </c>
      <c r="O240" s="1" t="s">
        <v>28</v>
      </c>
      <c r="P240" s="1" t="s">
        <v>55</v>
      </c>
      <c r="Q240" s="1">
        <v>25</v>
      </c>
      <c r="R240" s="1">
        <v>25</v>
      </c>
      <c r="S240" s="1">
        <v>0</v>
      </c>
      <c r="T240" s="1">
        <v>0</v>
      </c>
      <c r="U240" s="1">
        <v>0</v>
      </c>
      <c r="V240" s="1" t="str">
        <f t="shared" si="42"/>
        <v>里程去程</v>
      </c>
      <c r="W240" s="1" t="str">
        <f>"0020"</f>
        <v>0020</v>
      </c>
      <c r="X240" s="1" t="s">
        <v>29</v>
      </c>
    </row>
    <row r="241" spans="1:24" x14ac:dyDescent="0.3">
      <c r="A241" s="1" t="str">
        <f t="shared" si="43"/>
        <v>59825</v>
      </c>
      <c r="B241" s="1" t="s">
        <v>30</v>
      </c>
      <c r="C241" s="1" t="s">
        <v>31</v>
      </c>
      <c r="D241" s="1" t="str">
        <f>"9805"</f>
        <v>9805</v>
      </c>
      <c r="E241" s="1" t="s">
        <v>57</v>
      </c>
      <c r="F241" s="1" t="str">
        <f>"1276728709"</f>
        <v>1276728709</v>
      </c>
      <c r="G241" s="1" t="s">
        <v>33</v>
      </c>
      <c r="H241" s="1" t="str">
        <f t="shared" si="36"/>
        <v>20220901</v>
      </c>
      <c r="I241" s="1" t="str">
        <f>"165049"</f>
        <v>165049</v>
      </c>
      <c r="J241" s="1" t="s">
        <v>28</v>
      </c>
      <c r="K241" s="1" t="s">
        <v>28</v>
      </c>
      <c r="L241" s="1" t="str">
        <f t="shared" si="37"/>
        <v>20220901</v>
      </c>
      <c r="M241" s="1" t="str">
        <f>"170623"</f>
        <v>170623</v>
      </c>
      <c r="N241" s="1" t="s">
        <v>62</v>
      </c>
      <c r="O241" s="1" t="s">
        <v>28</v>
      </c>
      <c r="P241" s="1" t="s">
        <v>55</v>
      </c>
      <c r="Q241" s="1">
        <v>25</v>
      </c>
      <c r="R241" s="1">
        <v>0</v>
      </c>
      <c r="S241" s="1">
        <v>25</v>
      </c>
      <c r="T241" s="1">
        <v>0</v>
      </c>
      <c r="U241" s="1">
        <v>0</v>
      </c>
      <c r="V241" s="1" t="str">
        <f t="shared" si="42"/>
        <v>里程去程</v>
      </c>
      <c r="W241" s="1" t="str">
        <f>"0820"</f>
        <v>0820</v>
      </c>
      <c r="X241" s="1" t="s">
        <v>35</v>
      </c>
    </row>
    <row r="242" spans="1:24" x14ac:dyDescent="0.3">
      <c r="A242" s="1" t="str">
        <f t="shared" si="43"/>
        <v>59825</v>
      </c>
      <c r="B242" s="1" t="s">
        <v>30</v>
      </c>
      <c r="C242" s="1" t="s">
        <v>31</v>
      </c>
      <c r="D242" s="1" t="str">
        <f>"9805"</f>
        <v>9805</v>
      </c>
      <c r="E242" s="1" t="s">
        <v>57</v>
      </c>
      <c r="F242" s="1" t="str">
        <f>"837784565"</f>
        <v>837784565</v>
      </c>
      <c r="G242" s="1" t="s">
        <v>33</v>
      </c>
      <c r="H242" s="1" t="str">
        <f t="shared" si="36"/>
        <v>20220901</v>
      </c>
      <c r="I242" s="1" t="str">
        <f>"165103"</f>
        <v>165103</v>
      </c>
      <c r="J242" s="1" t="s">
        <v>28</v>
      </c>
      <c r="K242" s="1" t="s">
        <v>28</v>
      </c>
      <c r="L242" s="1" t="str">
        <f t="shared" si="37"/>
        <v>20220901</v>
      </c>
      <c r="M242" s="1" t="str">
        <f>"170619"</f>
        <v>170619</v>
      </c>
      <c r="N242" s="1" t="s">
        <v>62</v>
      </c>
      <c r="O242" s="1" t="s">
        <v>28</v>
      </c>
      <c r="P242" s="1" t="s">
        <v>55</v>
      </c>
      <c r="Q242" s="1">
        <v>25</v>
      </c>
      <c r="R242" s="1">
        <v>0</v>
      </c>
      <c r="S242" s="1">
        <v>25</v>
      </c>
      <c r="T242" s="1">
        <v>0</v>
      </c>
      <c r="U242" s="1">
        <v>0</v>
      </c>
      <c r="V242" s="1" t="str">
        <f t="shared" si="42"/>
        <v>里程去程</v>
      </c>
      <c r="W242" s="1" t="str">
        <f>"0820"</f>
        <v>0820</v>
      </c>
      <c r="X242" s="1" t="s">
        <v>35</v>
      </c>
    </row>
    <row r="243" spans="1:24" x14ac:dyDescent="0.3">
      <c r="A243" s="1" t="str">
        <f t="shared" si="43"/>
        <v>59825</v>
      </c>
      <c r="B243" s="1" t="s">
        <v>30</v>
      </c>
      <c r="C243" s="1" t="s">
        <v>31</v>
      </c>
      <c r="D243" s="1" t="str">
        <f>"9801"</f>
        <v>9801</v>
      </c>
      <c r="E243" s="1" t="s">
        <v>25</v>
      </c>
      <c r="F243" s="1" t="str">
        <f>"968976529"</f>
        <v>968976529</v>
      </c>
      <c r="G243" s="1" t="s">
        <v>33</v>
      </c>
      <c r="H243" s="1" t="str">
        <f t="shared" si="36"/>
        <v>20220901</v>
      </c>
      <c r="I243" s="1" t="str">
        <f>"192456"</f>
        <v>192456</v>
      </c>
      <c r="J243" s="1" t="s">
        <v>28</v>
      </c>
      <c r="K243" s="1" t="s">
        <v>28</v>
      </c>
      <c r="L243" s="1" t="str">
        <f t="shared" si="37"/>
        <v>20220901</v>
      </c>
      <c r="M243" s="1" t="str">
        <f>"193424"</f>
        <v>193424</v>
      </c>
      <c r="N243" s="1" t="s">
        <v>84</v>
      </c>
      <c r="O243" s="1" t="s">
        <v>28</v>
      </c>
      <c r="P243" s="1" t="s">
        <v>55</v>
      </c>
      <c r="Q243" s="1">
        <v>25</v>
      </c>
      <c r="R243" s="1">
        <v>25</v>
      </c>
      <c r="S243" s="1">
        <v>0</v>
      </c>
      <c r="T243" s="1">
        <v>0</v>
      </c>
      <c r="U243" s="1">
        <v>0</v>
      </c>
      <c r="V243" s="1" t="str">
        <f t="shared" ref="V243:V256" si="44">"里程返程"</f>
        <v>里程返程</v>
      </c>
      <c r="W243" s="1" t="str">
        <f>"2120"</f>
        <v>2120</v>
      </c>
      <c r="X243" s="1" t="s">
        <v>35</v>
      </c>
    </row>
    <row r="244" spans="1:24" x14ac:dyDescent="0.3">
      <c r="A244" s="1" t="str">
        <f t="shared" si="43"/>
        <v>59825</v>
      </c>
      <c r="B244" s="1" t="s">
        <v>30</v>
      </c>
      <c r="C244" s="1" t="s">
        <v>31</v>
      </c>
      <c r="D244" s="1" t="str">
        <f>"9801"</f>
        <v>9801</v>
      </c>
      <c r="E244" s="1" t="s">
        <v>25</v>
      </c>
      <c r="F244" s="1" t="str">
        <f>"72AEE60238880400C834002000000015"</f>
        <v>72AEE60238880400C834002000000015</v>
      </c>
      <c r="G244" s="1" t="s">
        <v>74</v>
      </c>
      <c r="H244" s="1" t="str">
        <f t="shared" si="36"/>
        <v>20220901</v>
      </c>
      <c r="I244" s="1" t="str">
        <f>"192542"</f>
        <v>192542</v>
      </c>
      <c r="J244" s="1" t="s">
        <v>28</v>
      </c>
      <c r="K244" s="1" t="s">
        <v>28</v>
      </c>
      <c r="L244" s="1" t="str">
        <f t="shared" si="37"/>
        <v>20220901</v>
      </c>
      <c r="M244" s="1" t="str">
        <f>"200016"</f>
        <v>200016</v>
      </c>
      <c r="N244" s="1" t="s">
        <v>52</v>
      </c>
      <c r="O244" s="1" t="s">
        <v>52</v>
      </c>
      <c r="P244" s="1" t="s">
        <v>68</v>
      </c>
      <c r="Q244" s="1">
        <v>13</v>
      </c>
      <c r="R244" s="1">
        <v>0</v>
      </c>
      <c r="S244" s="1">
        <v>0</v>
      </c>
      <c r="T244" s="1">
        <v>13</v>
      </c>
      <c r="U244" s="1">
        <v>0</v>
      </c>
      <c r="V244" s="1" t="str">
        <f t="shared" si="44"/>
        <v>里程返程</v>
      </c>
      <c r="W244" s="1" t="str">
        <f>"0020"</f>
        <v>0020</v>
      </c>
      <c r="X244" s="1" t="s">
        <v>29</v>
      </c>
    </row>
    <row r="245" spans="1:24" x14ac:dyDescent="0.3">
      <c r="A245" s="1" t="str">
        <f t="shared" si="43"/>
        <v>59825</v>
      </c>
      <c r="B245" s="1" t="s">
        <v>30</v>
      </c>
      <c r="C245" s="1" t="s">
        <v>31</v>
      </c>
      <c r="D245" s="1" t="str">
        <f>"9801"</f>
        <v>9801</v>
      </c>
      <c r="E245" s="1" t="s">
        <v>25</v>
      </c>
      <c r="F245" s="1" t="str">
        <f>"1081540405"</f>
        <v>1081540405</v>
      </c>
      <c r="G245" s="1" t="s">
        <v>33</v>
      </c>
      <c r="H245" s="1" t="str">
        <f t="shared" si="36"/>
        <v>20220901</v>
      </c>
      <c r="I245" s="1" t="str">
        <f>"192658"</f>
        <v>192658</v>
      </c>
      <c r="J245" s="1" t="s">
        <v>28</v>
      </c>
      <c r="K245" s="1" t="s">
        <v>28</v>
      </c>
      <c r="L245" s="1" t="str">
        <f t="shared" si="37"/>
        <v>20220901</v>
      </c>
      <c r="M245" s="1" t="str">
        <f>"194143"</f>
        <v>194143</v>
      </c>
      <c r="N245" s="1" t="s">
        <v>69</v>
      </c>
      <c r="O245" s="1" t="s">
        <v>52</v>
      </c>
      <c r="P245" s="1" t="s">
        <v>55</v>
      </c>
      <c r="Q245" s="1">
        <v>25</v>
      </c>
      <c r="R245" s="1">
        <v>25</v>
      </c>
      <c r="S245" s="1">
        <v>0</v>
      </c>
      <c r="T245" s="1">
        <v>0</v>
      </c>
      <c r="U245" s="1">
        <v>0</v>
      </c>
      <c r="V245" s="1" t="str">
        <f t="shared" si="44"/>
        <v>里程返程</v>
      </c>
      <c r="W245" s="1" t="str">
        <f>"0c20"</f>
        <v>0c20</v>
      </c>
      <c r="X245" s="1" t="s">
        <v>35</v>
      </c>
    </row>
    <row r="246" spans="1:24" x14ac:dyDescent="0.3">
      <c r="A246" s="1" t="str">
        <f t="shared" si="43"/>
        <v>59825</v>
      </c>
      <c r="B246" s="1" t="s">
        <v>30</v>
      </c>
      <c r="C246" s="1" t="s">
        <v>31</v>
      </c>
      <c r="D246" s="1" t="str">
        <f>"9801"</f>
        <v>9801</v>
      </c>
      <c r="E246" s="1" t="s">
        <v>25</v>
      </c>
      <c r="F246" s="1" t="str">
        <f>"1106224133"</f>
        <v>1106224133</v>
      </c>
      <c r="G246" s="1" t="s">
        <v>38</v>
      </c>
      <c r="H246" s="1" t="str">
        <f t="shared" si="36"/>
        <v>20220901</v>
      </c>
      <c r="I246" s="1" t="str">
        <f>"192932"</f>
        <v>192932</v>
      </c>
      <c r="J246" s="1" t="s">
        <v>41</v>
      </c>
      <c r="K246" s="1" t="s">
        <v>28</v>
      </c>
      <c r="L246" s="1" t="str">
        <f t="shared" si="37"/>
        <v>20220901</v>
      </c>
      <c r="M246" s="1" t="str">
        <f>"195100"</f>
        <v>195100</v>
      </c>
      <c r="N246" s="1" t="s">
        <v>65</v>
      </c>
      <c r="O246" s="1" t="s">
        <v>52</v>
      </c>
      <c r="P246" s="1" t="s">
        <v>55</v>
      </c>
      <c r="Q246" s="1">
        <v>25</v>
      </c>
      <c r="R246" s="1">
        <v>25</v>
      </c>
      <c r="S246" s="1">
        <v>0</v>
      </c>
      <c r="T246" s="1">
        <v>0</v>
      </c>
      <c r="U246" s="1">
        <v>0</v>
      </c>
      <c r="V246" s="1" t="str">
        <f t="shared" si="44"/>
        <v>里程返程</v>
      </c>
      <c r="W246" s="1" t="str">
        <f>"0820"</f>
        <v>0820</v>
      </c>
      <c r="X246" s="1" t="s">
        <v>35</v>
      </c>
    </row>
    <row r="247" spans="1:24" x14ac:dyDescent="0.3">
      <c r="A247" s="1" t="str">
        <f t="shared" si="43"/>
        <v>59825</v>
      </c>
      <c r="B247" s="1" t="s">
        <v>30</v>
      </c>
      <c r="C247" s="1" t="s">
        <v>31</v>
      </c>
      <c r="D247" s="1" t="str">
        <f t="shared" ref="D247:D255" si="45">"9805"</f>
        <v>9805</v>
      </c>
      <c r="E247" s="1" t="s">
        <v>57</v>
      </c>
      <c r="F247" s="1" t="str">
        <f>"1125929989"</f>
        <v>1125929989</v>
      </c>
      <c r="G247" s="1" t="s">
        <v>33</v>
      </c>
      <c r="H247" s="1" t="str">
        <f t="shared" si="36"/>
        <v>20220901</v>
      </c>
      <c r="I247" s="1" t="str">
        <f>"200048"</f>
        <v>200048</v>
      </c>
      <c r="J247" s="1" t="s">
        <v>52</v>
      </c>
      <c r="K247" s="1" t="s">
        <v>52</v>
      </c>
      <c r="L247" s="1" t="str">
        <f t="shared" si="37"/>
        <v>20220901</v>
      </c>
      <c r="M247" s="1" t="str">
        <f>"201811"</f>
        <v>201811</v>
      </c>
      <c r="N247" s="1" t="s">
        <v>28</v>
      </c>
      <c r="O247" s="1" t="s">
        <v>28</v>
      </c>
      <c r="P247" s="1" t="s">
        <v>55</v>
      </c>
      <c r="Q247" s="1">
        <v>25</v>
      </c>
      <c r="R247" s="1">
        <v>25</v>
      </c>
      <c r="S247" s="1">
        <v>0</v>
      </c>
      <c r="T247" s="1">
        <v>0</v>
      </c>
      <c r="U247" s="1">
        <v>0</v>
      </c>
      <c r="V247" s="1" t="str">
        <f t="shared" si="44"/>
        <v>里程返程</v>
      </c>
      <c r="W247" s="1" t="str">
        <f>"0120"</f>
        <v>0120</v>
      </c>
      <c r="X247" s="1" t="s">
        <v>35</v>
      </c>
    </row>
    <row r="248" spans="1:24" x14ac:dyDescent="0.3">
      <c r="A248" s="1" t="str">
        <f t="shared" si="43"/>
        <v>59825</v>
      </c>
      <c r="B248" s="1" t="s">
        <v>30</v>
      </c>
      <c r="C248" s="1" t="s">
        <v>31</v>
      </c>
      <c r="D248" s="1" t="str">
        <f t="shared" si="45"/>
        <v>9805</v>
      </c>
      <c r="E248" s="1" t="s">
        <v>57</v>
      </c>
      <c r="F248" s="1" t="str">
        <f>"72415397"</f>
        <v>72415397</v>
      </c>
      <c r="G248" s="1" t="s">
        <v>33</v>
      </c>
      <c r="H248" s="1" t="str">
        <f t="shared" si="36"/>
        <v>20220901</v>
      </c>
      <c r="I248" s="1" t="str">
        <f>"200053"</f>
        <v>200053</v>
      </c>
      <c r="J248" s="1" t="s">
        <v>52</v>
      </c>
      <c r="K248" s="1" t="s">
        <v>52</v>
      </c>
      <c r="L248" s="1" t="str">
        <f t="shared" si="37"/>
        <v>20220901</v>
      </c>
      <c r="M248" s="1" t="str">
        <f>"201808"</f>
        <v>201808</v>
      </c>
      <c r="N248" s="1" t="s">
        <v>28</v>
      </c>
      <c r="O248" s="1" t="s">
        <v>28</v>
      </c>
      <c r="P248" s="1" t="s">
        <v>55</v>
      </c>
      <c r="Q248" s="1">
        <v>25</v>
      </c>
      <c r="R248" s="1">
        <v>25</v>
      </c>
      <c r="S248" s="1">
        <v>0</v>
      </c>
      <c r="T248" s="1">
        <v>0</v>
      </c>
      <c r="U248" s="1">
        <v>0</v>
      </c>
      <c r="V248" s="1" t="str">
        <f t="shared" si="44"/>
        <v>里程返程</v>
      </c>
      <c r="W248" s="1" t="str">
        <f>"0120"</f>
        <v>0120</v>
      </c>
      <c r="X248" s="1" t="s">
        <v>35</v>
      </c>
    </row>
    <row r="249" spans="1:24" x14ac:dyDescent="0.3">
      <c r="A249" s="1" t="str">
        <f t="shared" si="43"/>
        <v>59825</v>
      </c>
      <c r="B249" s="1" t="s">
        <v>30</v>
      </c>
      <c r="C249" s="1" t="s">
        <v>31</v>
      </c>
      <c r="D249" s="1" t="str">
        <f t="shared" si="45"/>
        <v>9805</v>
      </c>
      <c r="E249" s="1" t="s">
        <v>57</v>
      </c>
      <c r="F249" s="1" t="str">
        <f>"148116485"</f>
        <v>148116485</v>
      </c>
      <c r="G249" s="1" t="s">
        <v>33</v>
      </c>
      <c r="H249" s="1" t="str">
        <f t="shared" si="36"/>
        <v>20220901</v>
      </c>
      <c r="I249" s="1" t="str">
        <f>"200058"</f>
        <v>200058</v>
      </c>
      <c r="J249" s="1" t="s">
        <v>52</v>
      </c>
      <c r="K249" s="1" t="s">
        <v>52</v>
      </c>
      <c r="L249" s="1" t="str">
        <f t="shared" si="37"/>
        <v>20220901</v>
      </c>
      <c r="M249" s="1" t="str">
        <f>"201818"</f>
        <v>201818</v>
      </c>
      <c r="N249" s="1" t="s">
        <v>28</v>
      </c>
      <c r="O249" s="1" t="s">
        <v>28</v>
      </c>
      <c r="P249" s="1" t="s">
        <v>55</v>
      </c>
      <c r="Q249" s="1">
        <v>25</v>
      </c>
      <c r="R249" s="1">
        <v>0</v>
      </c>
      <c r="S249" s="1">
        <v>25</v>
      </c>
      <c r="T249" s="1">
        <v>0</v>
      </c>
      <c r="U249" s="1">
        <v>0</v>
      </c>
      <c r="V249" s="1" t="str">
        <f t="shared" si="44"/>
        <v>里程返程</v>
      </c>
      <c r="W249" s="1" t="str">
        <f>"2020"</f>
        <v>2020</v>
      </c>
      <c r="X249" s="1" t="s">
        <v>35</v>
      </c>
    </row>
    <row r="250" spans="1:24" x14ac:dyDescent="0.3">
      <c r="A250" s="1" t="str">
        <f t="shared" si="43"/>
        <v>59825</v>
      </c>
      <c r="B250" s="1" t="s">
        <v>30</v>
      </c>
      <c r="C250" s="1" t="s">
        <v>31</v>
      </c>
      <c r="D250" s="1" t="str">
        <f t="shared" si="45"/>
        <v>9805</v>
      </c>
      <c r="E250" s="1" t="s">
        <v>57</v>
      </c>
      <c r="F250" s="1" t="str">
        <f>"2508078050"</f>
        <v>2508078050</v>
      </c>
      <c r="G250" s="1" t="s">
        <v>33</v>
      </c>
      <c r="H250" s="1" t="str">
        <f t="shared" si="36"/>
        <v>20220901</v>
      </c>
      <c r="I250" s="1" t="str">
        <f>"200101"</f>
        <v>200101</v>
      </c>
      <c r="J250" s="1" t="s">
        <v>52</v>
      </c>
      <c r="K250" s="1" t="s">
        <v>52</v>
      </c>
      <c r="L250" s="1" t="str">
        <f t="shared" si="37"/>
        <v>20220901</v>
      </c>
      <c r="M250" s="1" t="str">
        <f>"201814"</f>
        <v>201814</v>
      </c>
      <c r="N250" s="1" t="s">
        <v>28</v>
      </c>
      <c r="O250" s="1" t="s">
        <v>28</v>
      </c>
      <c r="P250" s="1" t="s">
        <v>55</v>
      </c>
      <c r="Q250" s="1">
        <v>25</v>
      </c>
      <c r="R250" s="1">
        <v>0</v>
      </c>
      <c r="S250" s="1">
        <v>25</v>
      </c>
      <c r="T250" s="1">
        <v>0</v>
      </c>
      <c r="U250" s="1">
        <v>0</v>
      </c>
      <c r="V250" s="1" t="str">
        <f t="shared" si="44"/>
        <v>里程返程</v>
      </c>
      <c r="W250" s="1" t="str">
        <f>"2020"</f>
        <v>2020</v>
      </c>
      <c r="X250" s="1" t="s">
        <v>35</v>
      </c>
    </row>
    <row r="251" spans="1:24" x14ac:dyDescent="0.3">
      <c r="A251" s="1" t="str">
        <f t="shared" si="43"/>
        <v>59825</v>
      </c>
      <c r="B251" s="1" t="s">
        <v>30</v>
      </c>
      <c r="C251" s="1" t="s">
        <v>31</v>
      </c>
      <c r="D251" s="1" t="str">
        <f t="shared" si="45"/>
        <v>9805</v>
      </c>
      <c r="E251" s="1" t="s">
        <v>57</v>
      </c>
      <c r="F251" s="1" t="str">
        <f>"C18BE741EC280400F700000000000000"</f>
        <v>C18BE741EC280400F700000000000000</v>
      </c>
      <c r="G251" s="1" t="s">
        <v>58</v>
      </c>
      <c r="H251" s="1" t="str">
        <f t="shared" si="36"/>
        <v>20220901</v>
      </c>
      <c r="I251" s="1" t="str">
        <f>"200107"</f>
        <v>200107</v>
      </c>
      <c r="J251" s="1" t="s">
        <v>52</v>
      </c>
      <c r="K251" s="1" t="s">
        <v>52</v>
      </c>
      <c r="L251" s="1" t="str">
        <f t="shared" si="37"/>
        <v>20220901</v>
      </c>
      <c r="M251" s="1" t="str">
        <f>"201824"</f>
        <v>201824</v>
      </c>
      <c r="N251" s="1" t="s">
        <v>28</v>
      </c>
      <c r="O251" s="1" t="s">
        <v>28</v>
      </c>
      <c r="P251" s="1" t="s">
        <v>55</v>
      </c>
      <c r="Q251" s="1">
        <v>25</v>
      </c>
      <c r="R251" s="1">
        <v>25</v>
      </c>
      <c r="S251" s="1">
        <v>0</v>
      </c>
      <c r="T251" s="1">
        <v>0</v>
      </c>
      <c r="U251" s="1">
        <v>0</v>
      </c>
      <c r="V251" s="1" t="str">
        <f t="shared" si="44"/>
        <v>里程返程</v>
      </c>
      <c r="W251" s="1" t="str">
        <f>"0020"</f>
        <v>0020</v>
      </c>
      <c r="X251" s="1" t="s">
        <v>29</v>
      </c>
    </row>
    <row r="252" spans="1:24" x14ac:dyDescent="0.3">
      <c r="A252" s="1" t="str">
        <f t="shared" si="43"/>
        <v>59825</v>
      </c>
      <c r="B252" s="1" t="s">
        <v>30</v>
      </c>
      <c r="C252" s="1" t="s">
        <v>31</v>
      </c>
      <c r="D252" s="1" t="str">
        <f t="shared" si="45"/>
        <v>9805</v>
      </c>
      <c r="E252" s="1" t="s">
        <v>57</v>
      </c>
      <c r="F252" s="1" t="str">
        <f>"21DC98096C280400F700000000000000"</f>
        <v>21DC98096C280400F700000000000000</v>
      </c>
      <c r="G252" s="1" t="s">
        <v>58</v>
      </c>
      <c r="H252" s="1" t="str">
        <f t="shared" si="36"/>
        <v>20220901</v>
      </c>
      <c r="I252" s="1" t="str">
        <f>"200109"</f>
        <v>200109</v>
      </c>
      <c r="J252" s="1" t="s">
        <v>52</v>
      </c>
      <c r="K252" s="1" t="s">
        <v>52</v>
      </c>
      <c r="L252" s="1" t="str">
        <f t="shared" si="37"/>
        <v>20220901</v>
      </c>
      <c r="M252" s="1" t="str">
        <f>"201821"</f>
        <v>201821</v>
      </c>
      <c r="N252" s="1" t="s">
        <v>28</v>
      </c>
      <c r="O252" s="1" t="s">
        <v>28</v>
      </c>
      <c r="P252" s="1" t="s">
        <v>55</v>
      </c>
      <c r="Q252" s="1">
        <v>25</v>
      </c>
      <c r="R252" s="1">
        <v>25</v>
      </c>
      <c r="S252" s="1">
        <v>0</v>
      </c>
      <c r="T252" s="1">
        <v>0</v>
      </c>
      <c r="U252" s="1">
        <v>0</v>
      </c>
      <c r="V252" s="1" t="str">
        <f t="shared" si="44"/>
        <v>里程返程</v>
      </c>
      <c r="W252" s="1" t="str">
        <f>"0020"</f>
        <v>0020</v>
      </c>
      <c r="X252" s="1" t="s">
        <v>29</v>
      </c>
    </row>
    <row r="253" spans="1:24" x14ac:dyDescent="0.3">
      <c r="A253" s="1" t="str">
        <f t="shared" si="43"/>
        <v>59825</v>
      </c>
      <c r="B253" s="1" t="s">
        <v>30</v>
      </c>
      <c r="C253" s="1" t="s">
        <v>31</v>
      </c>
      <c r="D253" s="1" t="str">
        <f t="shared" si="45"/>
        <v>9805</v>
      </c>
      <c r="E253" s="1" t="s">
        <v>57</v>
      </c>
      <c r="F253" s="1" t="str">
        <f>"1737283381"</f>
        <v>1737283381</v>
      </c>
      <c r="G253" s="1" t="s">
        <v>33</v>
      </c>
      <c r="H253" s="1" t="str">
        <f t="shared" si="36"/>
        <v>20220901</v>
      </c>
      <c r="I253" s="1" t="str">
        <f>"200112"</f>
        <v>200112</v>
      </c>
      <c r="J253" s="1" t="s">
        <v>52</v>
      </c>
      <c r="K253" s="1" t="s">
        <v>52</v>
      </c>
      <c r="L253" s="1" t="str">
        <f t="shared" si="37"/>
        <v>20220901</v>
      </c>
      <c r="M253" s="1" t="str">
        <f>"201832"</f>
        <v>201832</v>
      </c>
      <c r="N253" s="1" t="s">
        <v>28</v>
      </c>
      <c r="O253" s="1" t="s">
        <v>28</v>
      </c>
      <c r="P253" s="1" t="s">
        <v>55</v>
      </c>
      <c r="Q253" s="1">
        <v>25</v>
      </c>
      <c r="R253" s="1">
        <v>25</v>
      </c>
      <c r="S253" s="1">
        <v>0</v>
      </c>
      <c r="T253" s="1">
        <v>0</v>
      </c>
      <c r="U253" s="1">
        <v>0</v>
      </c>
      <c r="V253" s="1" t="str">
        <f t="shared" si="44"/>
        <v>里程返程</v>
      </c>
      <c r="W253" s="1" t="str">
        <f>"2020"</f>
        <v>2020</v>
      </c>
      <c r="X253" s="1" t="s">
        <v>35</v>
      </c>
    </row>
    <row r="254" spans="1:24" x14ac:dyDescent="0.3">
      <c r="A254" s="1" t="str">
        <f t="shared" si="43"/>
        <v>59825</v>
      </c>
      <c r="B254" s="1" t="s">
        <v>30</v>
      </c>
      <c r="C254" s="1" t="s">
        <v>31</v>
      </c>
      <c r="D254" s="1" t="str">
        <f t="shared" si="45"/>
        <v>9805</v>
      </c>
      <c r="E254" s="1" t="s">
        <v>57</v>
      </c>
      <c r="F254" s="1" t="str">
        <f>"02009C1688880400C814002000000019"</f>
        <v>02009C1688880400C814002000000019</v>
      </c>
      <c r="G254" s="1" t="s">
        <v>59</v>
      </c>
      <c r="H254" s="1" t="str">
        <f t="shared" si="36"/>
        <v>20220901</v>
      </c>
      <c r="I254" s="1" t="str">
        <f>"201014"</f>
        <v>201014</v>
      </c>
      <c r="J254" s="1" t="s">
        <v>46</v>
      </c>
      <c r="K254" s="1" t="s">
        <v>28</v>
      </c>
      <c r="L254" s="1" t="str">
        <f t="shared" si="37"/>
        <v>20220901</v>
      </c>
      <c r="M254" s="1" t="str">
        <f>"201830"</f>
        <v>201830</v>
      </c>
      <c r="N254" s="1" t="s">
        <v>28</v>
      </c>
      <c r="O254" s="1" t="s">
        <v>28</v>
      </c>
      <c r="P254" s="1" t="s">
        <v>55</v>
      </c>
      <c r="Q254" s="1">
        <v>25</v>
      </c>
      <c r="R254" s="1">
        <v>25</v>
      </c>
      <c r="S254" s="1">
        <v>0</v>
      </c>
      <c r="T254" s="1">
        <v>0</v>
      </c>
      <c r="U254" s="1">
        <v>0</v>
      </c>
      <c r="V254" s="1" t="str">
        <f t="shared" si="44"/>
        <v>里程返程</v>
      </c>
      <c r="W254" s="1" t="str">
        <f>"0020"</f>
        <v>0020</v>
      </c>
      <c r="X254" s="1" t="s">
        <v>29</v>
      </c>
    </row>
    <row r="255" spans="1:24" x14ac:dyDescent="0.3">
      <c r="A255" s="1" t="str">
        <f t="shared" si="43"/>
        <v>59825</v>
      </c>
      <c r="B255" s="1" t="s">
        <v>30</v>
      </c>
      <c r="C255" s="1" t="s">
        <v>31</v>
      </c>
      <c r="D255" s="1" t="str">
        <f t="shared" si="45"/>
        <v>9805</v>
      </c>
      <c r="E255" s="1" t="s">
        <v>57</v>
      </c>
      <c r="F255" s="1" t="str">
        <f>"92FFF5168E880400C814002000000019"</f>
        <v>92FFF5168E880400C814002000000019</v>
      </c>
      <c r="G255" s="1" t="s">
        <v>59</v>
      </c>
      <c r="H255" s="1" t="str">
        <f t="shared" si="36"/>
        <v>20220901</v>
      </c>
      <c r="I255" s="1" t="str">
        <f>"201017"</f>
        <v>201017</v>
      </c>
      <c r="J255" s="1" t="s">
        <v>46</v>
      </c>
      <c r="K255" s="1" t="s">
        <v>28</v>
      </c>
      <c r="L255" s="1" t="str">
        <f t="shared" si="37"/>
        <v>20220901</v>
      </c>
      <c r="M255" s="1" t="str">
        <f>"201827"</f>
        <v>201827</v>
      </c>
      <c r="N255" s="1" t="s">
        <v>28</v>
      </c>
      <c r="O255" s="1" t="s">
        <v>28</v>
      </c>
      <c r="P255" s="1" t="s">
        <v>55</v>
      </c>
      <c r="Q255" s="1">
        <v>25</v>
      </c>
      <c r="R255" s="1">
        <v>25</v>
      </c>
      <c r="S255" s="1">
        <v>0</v>
      </c>
      <c r="T255" s="1">
        <v>0</v>
      </c>
      <c r="U255" s="1">
        <v>0</v>
      </c>
      <c r="V255" s="1" t="str">
        <f t="shared" si="44"/>
        <v>里程返程</v>
      </c>
      <c r="W255" s="1" t="str">
        <f>"0020"</f>
        <v>0020</v>
      </c>
      <c r="X255" s="1" t="s">
        <v>29</v>
      </c>
    </row>
    <row r="256" spans="1:24" x14ac:dyDescent="0.3">
      <c r="A256" s="1" t="str">
        <f t="shared" ref="A256:A292" si="46">"59829"</f>
        <v>59829</v>
      </c>
      <c r="B256" s="1" t="s">
        <v>47</v>
      </c>
      <c r="C256" s="1" t="s">
        <v>48</v>
      </c>
      <c r="D256" s="1" t="str">
        <f>"9806"</f>
        <v>9806</v>
      </c>
      <c r="E256" s="1" t="s">
        <v>49</v>
      </c>
      <c r="F256" s="1" t="str">
        <f>"1261180965"</f>
        <v>1261180965</v>
      </c>
      <c r="G256" s="1" t="s">
        <v>33</v>
      </c>
      <c r="H256" s="1" t="str">
        <f t="shared" si="36"/>
        <v>20220901</v>
      </c>
      <c r="I256" s="1" t="str">
        <f>"065348"</f>
        <v>065348</v>
      </c>
      <c r="J256" s="1" t="s">
        <v>28</v>
      </c>
      <c r="K256" s="1" t="s">
        <v>28</v>
      </c>
      <c r="L256" s="1" t="str">
        <f t="shared" si="37"/>
        <v>20220901</v>
      </c>
      <c r="M256" s="1" t="str">
        <f>"070025"</f>
        <v>070025</v>
      </c>
      <c r="N256" s="1" t="s">
        <v>63</v>
      </c>
      <c r="O256" s="1" t="s">
        <v>28</v>
      </c>
      <c r="P256" s="1" t="s">
        <v>55</v>
      </c>
      <c r="Q256" s="1">
        <v>25</v>
      </c>
      <c r="R256" s="1">
        <v>0</v>
      </c>
      <c r="S256" s="1">
        <v>25</v>
      </c>
      <c r="T256" s="1">
        <v>0</v>
      </c>
      <c r="U256" s="1">
        <v>0</v>
      </c>
      <c r="V256" s="1" t="str">
        <f t="shared" si="44"/>
        <v>里程返程</v>
      </c>
      <c r="W256" s="1" t="str">
        <f>"0820"</f>
        <v>0820</v>
      </c>
      <c r="X256" s="1" t="s">
        <v>35</v>
      </c>
    </row>
    <row r="257" spans="1:24" x14ac:dyDescent="0.3">
      <c r="A257" s="1" t="str">
        <f t="shared" si="46"/>
        <v>59829</v>
      </c>
      <c r="B257" s="1" t="s">
        <v>47</v>
      </c>
      <c r="C257" s="1" t="s">
        <v>48</v>
      </c>
      <c r="D257" s="1" t="str">
        <f>"9806"</f>
        <v>9806</v>
      </c>
      <c r="E257" s="1" t="s">
        <v>49</v>
      </c>
      <c r="F257" s="1" t="str">
        <f>"92771C03FA880400C834002000000015"</f>
        <v>92771C03FA880400C834002000000015</v>
      </c>
      <c r="G257" s="1" t="s">
        <v>74</v>
      </c>
      <c r="H257" s="1" t="str">
        <f t="shared" si="36"/>
        <v>20220901</v>
      </c>
      <c r="I257" s="1" t="str">
        <f>"071152"</f>
        <v>071152</v>
      </c>
      <c r="J257" s="1" t="s">
        <v>50</v>
      </c>
      <c r="K257" s="1" t="s">
        <v>50</v>
      </c>
      <c r="L257" s="1" t="str">
        <f t="shared" si="37"/>
        <v>20220901</v>
      </c>
      <c r="M257" s="1" t="str">
        <f>"072911"</f>
        <v>072911</v>
      </c>
      <c r="N257" s="1" t="s">
        <v>98</v>
      </c>
      <c r="O257" s="1" t="s">
        <v>28</v>
      </c>
      <c r="P257" s="1" t="s">
        <v>68</v>
      </c>
      <c r="Q257" s="1">
        <v>13</v>
      </c>
      <c r="R257" s="1">
        <v>0</v>
      </c>
      <c r="S257" s="1">
        <v>0</v>
      </c>
      <c r="T257" s="1">
        <v>13</v>
      </c>
      <c r="U257" s="1">
        <v>0</v>
      </c>
      <c r="V257" s="1" t="str">
        <f t="shared" ref="V257:V265" si="47">"里程去程"</f>
        <v>里程去程</v>
      </c>
      <c r="W257" s="1" t="str">
        <f>"0020"</f>
        <v>0020</v>
      </c>
      <c r="X257" s="1" t="s">
        <v>29</v>
      </c>
    </row>
    <row r="258" spans="1:24" x14ac:dyDescent="0.3">
      <c r="A258" s="1" t="str">
        <f t="shared" si="46"/>
        <v>59829</v>
      </c>
      <c r="B258" s="1" t="s">
        <v>47</v>
      </c>
      <c r="C258" s="1" t="s">
        <v>48</v>
      </c>
      <c r="D258" s="1" t="str">
        <f>"9806"</f>
        <v>9806</v>
      </c>
      <c r="E258" s="1" t="s">
        <v>49</v>
      </c>
      <c r="F258" s="1" t="str">
        <f>"E9001910E08804004326A4E600150211"</f>
        <v>E9001910E08804004326A4E600150211</v>
      </c>
      <c r="G258" s="1" t="s">
        <v>58</v>
      </c>
      <c r="H258" s="1" t="str">
        <f t="shared" ref="H258:H292" si="48">"20220901"</f>
        <v>20220901</v>
      </c>
      <c r="I258" s="1" t="str">
        <f>"072639"</f>
        <v>072639</v>
      </c>
      <c r="J258" s="1" t="s">
        <v>98</v>
      </c>
      <c r="K258" s="1" t="s">
        <v>28</v>
      </c>
      <c r="L258" s="1" t="str">
        <f t="shared" ref="L258:L292" si="49">"20220901"</f>
        <v>20220901</v>
      </c>
      <c r="M258" s="1" t="str">
        <f>"072914"</f>
        <v>072914</v>
      </c>
      <c r="N258" s="1" t="s">
        <v>98</v>
      </c>
      <c r="O258" s="1" t="s">
        <v>28</v>
      </c>
      <c r="P258" s="1" t="s">
        <v>55</v>
      </c>
      <c r="Q258" s="1">
        <v>25</v>
      </c>
      <c r="R258" s="1">
        <v>25</v>
      </c>
      <c r="S258" s="1">
        <v>0</v>
      </c>
      <c r="T258" s="1">
        <v>0</v>
      </c>
      <c r="U258" s="1">
        <v>0</v>
      </c>
      <c r="V258" s="1" t="str">
        <f t="shared" si="47"/>
        <v>里程去程</v>
      </c>
      <c r="W258" s="1" t="str">
        <f>"0020"</f>
        <v>0020</v>
      </c>
      <c r="X258" s="1" t="s">
        <v>29</v>
      </c>
    </row>
    <row r="259" spans="1:24" x14ac:dyDescent="0.3">
      <c r="A259" s="1" t="str">
        <f t="shared" si="46"/>
        <v>59829</v>
      </c>
      <c r="B259" s="1" t="s">
        <v>47</v>
      </c>
      <c r="C259" s="1" t="s">
        <v>48</v>
      </c>
      <c r="D259" s="1" t="str">
        <f t="shared" ref="D259:D291" si="50">"9803"</f>
        <v>9803</v>
      </c>
      <c r="E259" s="1" t="s">
        <v>32</v>
      </c>
      <c r="F259" s="1" t="str">
        <f>"B1C0433F0D280400F700000000000000"</f>
        <v>B1C0433F0D280400F700000000000000</v>
      </c>
      <c r="G259" s="1" t="s">
        <v>58</v>
      </c>
      <c r="H259" s="1" t="str">
        <f t="shared" si="48"/>
        <v>20220901</v>
      </c>
      <c r="I259" s="1" t="str">
        <f>"082810"</f>
        <v>082810</v>
      </c>
      <c r="J259" s="1" t="s">
        <v>28</v>
      </c>
      <c r="K259" s="1" t="s">
        <v>28</v>
      </c>
      <c r="L259" s="1" t="str">
        <f t="shared" si="49"/>
        <v>20220901</v>
      </c>
      <c r="M259" s="1" t="str">
        <f>"085031"</f>
        <v>085031</v>
      </c>
      <c r="N259" s="1" t="s">
        <v>34</v>
      </c>
      <c r="O259" s="1" t="s">
        <v>34</v>
      </c>
      <c r="P259" s="1" t="s">
        <v>55</v>
      </c>
      <c r="Q259" s="1">
        <v>25</v>
      </c>
      <c r="R259" s="1">
        <v>25</v>
      </c>
      <c r="S259" s="1">
        <v>0</v>
      </c>
      <c r="T259" s="1">
        <v>0</v>
      </c>
      <c r="U259" s="1">
        <v>0</v>
      </c>
      <c r="V259" s="1" t="str">
        <f t="shared" si="47"/>
        <v>里程去程</v>
      </c>
      <c r="W259" s="1" t="str">
        <f>"0020"</f>
        <v>0020</v>
      </c>
      <c r="X259" s="1" t="s">
        <v>29</v>
      </c>
    </row>
    <row r="260" spans="1:24" x14ac:dyDescent="0.3">
      <c r="A260" s="1" t="str">
        <f t="shared" si="46"/>
        <v>59829</v>
      </c>
      <c r="B260" s="1" t="s">
        <v>47</v>
      </c>
      <c r="C260" s="1" t="s">
        <v>48</v>
      </c>
      <c r="D260" s="1" t="str">
        <f t="shared" si="50"/>
        <v>9803</v>
      </c>
      <c r="E260" s="1" t="s">
        <v>32</v>
      </c>
      <c r="F260" s="1" t="str">
        <f>"608918417"</f>
        <v>608918417</v>
      </c>
      <c r="G260" s="1" t="s">
        <v>33</v>
      </c>
      <c r="H260" s="1" t="str">
        <f t="shared" si="48"/>
        <v>20220901</v>
      </c>
      <c r="I260" s="1" t="str">
        <f>"083930"</f>
        <v>083930</v>
      </c>
      <c r="J260" s="1" t="s">
        <v>79</v>
      </c>
      <c r="K260" s="1" t="s">
        <v>28</v>
      </c>
      <c r="L260" s="1" t="str">
        <f t="shared" si="49"/>
        <v>20220901</v>
      </c>
      <c r="M260" s="1" t="str">
        <f>"085000"</f>
        <v>085000</v>
      </c>
      <c r="N260" s="1" t="s">
        <v>89</v>
      </c>
      <c r="O260" s="1" t="s">
        <v>28</v>
      </c>
      <c r="P260" s="1" t="s">
        <v>55</v>
      </c>
      <c r="Q260" s="1">
        <v>25</v>
      </c>
      <c r="R260" s="1">
        <v>0</v>
      </c>
      <c r="S260" s="1">
        <v>25</v>
      </c>
      <c r="T260" s="1">
        <v>0</v>
      </c>
      <c r="U260" s="1">
        <v>0</v>
      </c>
      <c r="V260" s="1" t="str">
        <f t="shared" si="47"/>
        <v>里程去程</v>
      </c>
      <c r="W260" s="1" t="str">
        <f>"2120"</f>
        <v>2120</v>
      </c>
      <c r="X260" s="1" t="s">
        <v>35</v>
      </c>
    </row>
    <row r="261" spans="1:24" x14ac:dyDescent="0.3">
      <c r="A261" s="1" t="str">
        <f t="shared" si="46"/>
        <v>59829</v>
      </c>
      <c r="B261" s="1" t="s">
        <v>47</v>
      </c>
      <c r="C261" s="1" t="s">
        <v>48</v>
      </c>
      <c r="D261" s="1" t="str">
        <f t="shared" si="50"/>
        <v>9803</v>
      </c>
      <c r="E261" s="1" t="s">
        <v>32</v>
      </c>
      <c r="F261" s="1" t="str">
        <f>"1295880657"</f>
        <v>1295880657</v>
      </c>
      <c r="G261" s="1" t="s">
        <v>33</v>
      </c>
      <c r="H261" s="1" t="str">
        <f t="shared" si="48"/>
        <v>20220901</v>
      </c>
      <c r="I261" s="1" t="str">
        <f>"102708"</f>
        <v>102708</v>
      </c>
      <c r="J261" s="1" t="s">
        <v>28</v>
      </c>
      <c r="K261" s="1" t="s">
        <v>28</v>
      </c>
      <c r="L261" s="1" t="str">
        <f t="shared" si="49"/>
        <v>20220901</v>
      </c>
      <c r="M261" s="1" t="str">
        <f>"104852"</f>
        <v>104852</v>
      </c>
      <c r="N261" s="1" t="s">
        <v>34</v>
      </c>
      <c r="O261" s="1" t="s">
        <v>34</v>
      </c>
      <c r="P261" s="1" t="s">
        <v>55</v>
      </c>
      <c r="Q261" s="1">
        <v>25</v>
      </c>
      <c r="R261" s="1">
        <v>0</v>
      </c>
      <c r="S261" s="1">
        <v>25</v>
      </c>
      <c r="T261" s="1">
        <v>0</v>
      </c>
      <c r="U261" s="1">
        <v>0</v>
      </c>
      <c r="V261" s="1" t="str">
        <f t="shared" si="47"/>
        <v>里程去程</v>
      </c>
      <c r="W261" s="1" t="str">
        <f>"0820"</f>
        <v>0820</v>
      </c>
      <c r="X261" s="1" t="s">
        <v>35</v>
      </c>
    </row>
    <row r="262" spans="1:24" x14ac:dyDescent="0.3">
      <c r="A262" s="1" t="str">
        <f t="shared" si="46"/>
        <v>59829</v>
      </c>
      <c r="B262" s="1" t="s">
        <v>47</v>
      </c>
      <c r="C262" s="1" t="s">
        <v>48</v>
      </c>
      <c r="D262" s="1" t="str">
        <f t="shared" si="50"/>
        <v>9803</v>
      </c>
      <c r="E262" s="1" t="s">
        <v>32</v>
      </c>
      <c r="F262" s="1" t="str">
        <f>"944132581"</f>
        <v>944132581</v>
      </c>
      <c r="G262" s="1" t="s">
        <v>38</v>
      </c>
      <c r="H262" s="1" t="str">
        <f t="shared" si="48"/>
        <v>20220901</v>
      </c>
      <c r="I262" s="1" t="str">
        <f>"102725"</f>
        <v>102725</v>
      </c>
      <c r="J262" s="1" t="s">
        <v>28</v>
      </c>
      <c r="K262" s="1" t="s">
        <v>28</v>
      </c>
      <c r="L262" s="1" t="str">
        <f t="shared" si="49"/>
        <v>20220901</v>
      </c>
      <c r="M262" s="1" t="str">
        <f>"104840"</f>
        <v>104840</v>
      </c>
      <c r="N262" s="1" t="s">
        <v>34</v>
      </c>
      <c r="O262" s="1" t="s">
        <v>34</v>
      </c>
      <c r="P262" s="1" t="s">
        <v>55</v>
      </c>
      <c r="Q262" s="1">
        <v>25</v>
      </c>
      <c r="R262" s="1">
        <v>25</v>
      </c>
      <c r="S262" s="1">
        <v>0</v>
      </c>
      <c r="T262" s="1">
        <v>0</v>
      </c>
      <c r="U262" s="1">
        <v>0</v>
      </c>
      <c r="V262" s="1" t="str">
        <f t="shared" si="47"/>
        <v>里程去程</v>
      </c>
      <c r="W262" s="1" t="str">
        <f>"0320"</f>
        <v>0320</v>
      </c>
      <c r="X262" s="1" t="s">
        <v>35</v>
      </c>
    </row>
    <row r="263" spans="1:24" x14ac:dyDescent="0.3">
      <c r="A263" s="1" t="str">
        <f t="shared" si="46"/>
        <v>59829</v>
      </c>
      <c r="B263" s="1" t="s">
        <v>47</v>
      </c>
      <c r="C263" s="1" t="s">
        <v>48</v>
      </c>
      <c r="D263" s="1" t="str">
        <f t="shared" si="50"/>
        <v>9803</v>
      </c>
      <c r="E263" s="1" t="s">
        <v>32</v>
      </c>
      <c r="F263" s="1" t="str">
        <f>"1036068773"</f>
        <v>1036068773</v>
      </c>
      <c r="G263" s="1" t="s">
        <v>33</v>
      </c>
      <c r="H263" s="1" t="str">
        <f t="shared" si="48"/>
        <v>20220901</v>
      </c>
      <c r="I263" s="1" t="str">
        <f>"102730"</f>
        <v>102730</v>
      </c>
      <c r="J263" s="1" t="s">
        <v>28</v>
      </c>
      <c r="K263" s="1" t="s">
        <v>28</v>
      </c>
      <c r="L263" s="1" t="str">
        <f t="shared" si="49"/>
        <v>20220901</v>
      </c>
      <c r="M263" s="1" t="str">
        <f>"104844"</f>
        <v>104844</v>
      </c>
      <c r="N263" s="1" t="s">
        <v>34</v>
      </c>
      <c r="O263" s="1" t="s">
        <v>34</v>
      </c>
      <c r="P263" s="1" t="s">
        <v>55</v>
      </c>
      <c r="Q263" s="1">
        <v>25</v>
      </c>
      <c r="R263" s="1">
        <v>25</v>
      </c>
      <c r="S263" s="1">
        <v>0</v>
      </c>
      <c r="T263" s="1">
        <v>0</v>
      </c>
      <c r="U263" s="1">
        <v>0</v>
      </c>
      <c r="V263" s="1" t="str">
        <f t="shared" si="47"/>
        <v>里程去程</v>
      </c>
      <c r="W263" s="1" t="str">
        <f>"0120"</f>
        <v>0120</v>
      </c>
      <c r="X263" s="1" t="s">
        <v>35</v>
      </c>
    </row>
    <row r="264" spans="1:24" x14ac:dyDescent="0.3">
      <c r="A264" s="1" t="str">
        <f t="shared" si="46"/>
        <v>59829</v>
      </c>
      <c r="B264" s="1" t="s">
        <v>47</v>
      </c>
      <c r="C264" s="1" t="s">
        <v>48</v>
      </c>
      <c r="D264" s="1" t="str">
        <f t="shared" si="50"/>
        <v>9803</v>
      </c>
      <c r="E264" s="1" t="s">
        <v>32</v>
      </c>
      <c r="F264" s="1" t="str">
        <f>"1742060069"</f>
        <v>1742060069</v>
      </c>
      <c r="G264" s="1" t="s">
        <v>38</v>
      </c>
      <c r="H264" s="1" t="str">
        <f t="shared" si="48"/>
        <v>20220901</v>
      </c>
      <c r="I264" s="1" t="str">
        <f>"102737"</f>
        <v>102737</v>
      </c>
      <c r="J264" s="1" t="s">
        <v>28</v>
      </c>
      <c r="K264" s="1" t="s">
        <v>28</v>
      </c>
      <c r="L264" s="1" t="str">
        <f t="shared" si="49"/>
        <v>20220901</v>
      </c>
      <c r="M264" s="1" t="str">
        <f>"104834"</f>
        <v>104834</v>
      </c>
      <c r="N264" s="1" t="s">
        <v>34</v>
      </c>
      <c r="O264" s="1" t="s">
        <v>34</v>
      </c>
      <c r="P264" s="1" t="s">
        <v>55</v>
      </c>
      <c r="Q264" s="1">
        <v>25</v>
      </c>
      <c r="R264" s="1">
        <v>25</v>
      </c>
      <c r="S264" s="1">
        <v>0</v>
      </c>
      <c r="T264" s="1">
        <v>0</v>
      </c>
      <c r="U264" s="1">
        <v>0</v>
      </c>
      <c r="V264" s="1" t="str">
        <f t="shared" si="47"/>
        <v>里程去程</v>
      </c>
      <c r="W264" s="1" t="str">
        <f>"0820"</f>
        <v>0820</v>
      </c>
      <c r="X264" s="1" t="s">
        <v>35</v>
      </c>
    </row>
    <row r="265" spans="1:24" x14ac:dyDescent="0.3">
      <c r="A265" s="1" t="str">
        <f t="shared" si="46"/>
        <v>59829</v>
      </c>
      <c r="B265" s="1" t="s">
        <v>47</v>
      </c>
      <c r="C265" s="1" t="s">
        <v>48</v>
      </c>
      <c r="D265" s="1" t="str">
        <f t="shared" si="50"/>
        <v>9803</v>
      </c>
      <c r="E265" s="1" t="s">
        <v>32</v>
      </c>
      <c r="F265" s="1" t="str">
        <f>"1685724325"</f>
        <v>1685724325</v>
      </c>
      <c r="G265" s="1" t="s">
        <v>33</v>
      </c>
      <c r="H265" s="1" t="str">
        <f t="shared" si="48"/>
        <v>20220901</v>
      </c>
      <c r="I265" s="1" t="str">
        <f>"102743"</f>
        <v>102743</v>
      </c>
      <c r="J265" s="1" t="s">
        <v>28</v>
      </c>
      <c r="K265" s="1" t="s">
        <v>28</v>
      </c>
      <c r="L265" s="1" t="str">
        <f t="shared" si="49"/>
        <v>20220901</v>
      </c>
      <c r="M265" s="1" t="str">
        <f>"104848"</f>
        <v>104848</v>
      </c>
      <c r="N265" s="1" t="s">
        <v>34</v>
      </c>
      <c r="O265" s="1" t="s">
        <v>34</v>
      </c>
      <c r="P265" s="1" t="s">
        <v>55</v>
      </c>
      <c r="Q265" s="1">
        <v>25</v>
      </c>
      <c r="R265" s="1">
        <v>0</v>
      </c>
      <c r="S265" s="1">
        <v>25</v>
      </c>
      <c r="T265" s="1">
        <v>0</v>
      </c>
      <c r="U265" s="1">
        <v>0</v>
      </c>
      <c r="V265" s="1" t="str">
        <f t="shared" si="47"/>
        <v>里程去程</v>
      </c>
      <c r="W265" s="1" t="str">
        <f>"0820"</f>
        <v>0820</v>
      </c>
      <c r="X265" s="1" t="s">
        <v>35</v>
      </c>
    </row>
    <row r="266" spans="1:24" x14ac:dyDescent="0.3">
      <c r="A266" s="1" t="str">
        <f t="shared" si="46"/>
        <v>59829</v>
      </c>
      <c r="B266" s="1" t="s">
        <v>47</v>
      </c>
      <c r="C266" s="1" t="s">
        <v>48</v>
      </c>
      <c r="D266" s="1" t="str">
        <f t="shared" si="50"/>
        <v>9803</v>
      </c>
      <c r="E266" s="1" t="s">
        <v>32</v>
      </c>
      <c r="F266" s="1" t="str">
        <f>"806129445"</f>
        <v>806129445</v>
      </c>
      <c r="G266" s="1" t="s">
        <v>38</v>
      </c>
      <c r="H266" s="1" t="str">
        <f t="shared" si="48"/>
        <v>20220901</v>
      </c>
      <c r="I266" s="1" t="str">
        <f>"105612"</f>
        <v>105612</v>
      </c>
      <c r="J266" s="1" t="s">
        <v>34</v>
      </c>
      <c r="K266" s="1" t="s">
        <v>34</v>
      </c>
      <c r="L266" s="1" t="str">
        <f t="shared" si="49"/>
        <v>20220901</v>
      </c>
      <c r="M266" s="1" t="str">
        <f>"112526"</f>
        <v>112526</v>
      </c>
      <c r="N266" s="1" t="s">
        <v>28</v>
      </c>
      <c r="O266" s="1" t="s">
        <v>28</v>
      </c>
      <c r="P266" s="1" t="s">
        <v>55</v>
      </c>
      <c r="Q266" s="1">
        <v>25</v>
      </c>
      <c r="R266" s="1">
        <v>25</v>
      </c>
      <c r="S266" s="1">
        <v>0</v>
      </c>
      <c r="T266" s="1">
        <v>0</v>
      </c>
      <c r="U266" s="1">
        <v>0</v>
      </c>
      <c r="V266" s="1" t="str">
        <f>"里程返程"</f>
        <v>里程返程</v>
      </c>
      <c r="W266" s="1" t="str">
        <f>"0120"</f>
        <v>0120</v>
      </c>
      <c r="X266" s="1" t="s">
        <v>35</v>
      </c>
    </row>
    <row r="267" spans="1:24" x14ac:dyDescent="0.3">
      <c r="A267" s="1" t="str">
        <f t="shared" si="46"/>
        <v>59829</v>
      </c>
      <c r="B267" s="1" t="s">
        <v>47</v>
      </c>
      <c r="C267" s="1" t="s">
        <v>48</v>
      </c>
      <c r="D267" s="1" t="str">
        <f t="shared" si="50"/>
        <v>9803</v>
      </c>
      <c r="E267" s="1" t="s">
        <v>32</v>
      </c>
      <c r="F267" s="1" t="str">
        <f>"804794341"</f>
        <v>804794341</v>
      </c>
      <c r="G267" s="1" t="s">
        <v>38</v>
      </c>
      <c r="H267" s="1" t="str">
        <f t="shared" si="48"/>
        <v>20220901</v>
      </c>
      <c r="I267" s="1" t="str">
        <f>"105628"</f>
        <v>105628</v>
      </c>
      <c r="J267" s="1" t="s">
        <v>34</v>
      </c>
      <c r="K267" s="1" t="s">
        <v>34</v>
      </c>
      <c r="L267" s="1" t="str">
        <f t="shared" si="49"/>
        <v>20220901</v>
      </c>
      <c r="M267" s="1" t="str">
        <f>"112534"</f>
        <v>112534</v>
      </c>
      <c r="N267" s="1" t="s">
        <v>28</v>
      </c>
      <c r="O267" s="1" t="s">
        <v>28</v>
      </c>
      <c r="P267" s="1" t="s">
        <v>55</v>
      </c>
      <c r="Q267" s="1">
        <v>25</v>
      </c>
      <c r="R267" s="1">
        <v>25</v>
      </c>
      <c r="S267" s="1">
        <v>0</v>
      </c>
      <c r="T267" s="1">
        <v>0</v>
      </c>
      <c r="U267" s="1">
        <v>0</v>
      </c>
      <c r="V267" s="1" t="str">
        <f>"里程返程"</f>
        <v>里程返程</v>
      </c>
      <c r="W267" s="1" t="str">
        <f>"0120"</f>
        <v>0120</v>
      </c>
      <c r="X267" s="1" t="s">
        <v>35</v>
      </c>
    </row>
    <row r="268" spans="1:24" x14ac:dyDescent="0.3">
      <c r="A268" s="1" t="str">
        <f t="shared" si="46"/>
        <v>59829</v>
      </c>
      <c r="B268" s="1" t="s">
        <v>47</v>
      </c>
      <c r="C268" s="1" t="s">
        <v>48</v>
      </c>
      <c r="D268" s="1" t="str">
        <f t="shared" si="50"/>
        <v>9803</v>
      </c>
      <c r="E268" s="1" t="s">
        <v>32</v>
      </c>
      <c r="F268" s="1" t="str">
        <f>"1576746689"</f>
        <v>1576746689</v>
      </c>
      <c r="G268" s="1" t="s">
        <v>33</v>
      </c>
      <c r="H268" s="1" t="str">
        <f t="shared" si="48"/>
        <v>20220901</v>
      </c>
      <c r="I268" s="1" t="str">
        <f>"112710"</f>
        <v>112710</v>
      </c>
      <c r="J268" s="1" t="s">
        <v>28</v>
      </c>
      <c r="K268" s="1" t="s">
        <v>28</v>
      </c>
      <c r="L268" s="1" t="str">
        <f t="shared" si="49"/>
        <v>20220901</v>
      </c>
      <c r="M268" s="1" t="str">
        <f>"115103"</f>
        <v>115103</v>
      </c>
      <c r="N268" s="1" t="s">
        <v>34</v>
      </c>
      <c r="O268" s="1" t="s">
        <v>34</v>
      </c>
      <c r="P268" s="1" t="s">
        <v>55</v>
      </c>
      <c r="Q268" s="1">
        <v>25</v>
      </c>
      <c r="R268" s="1">
        <v>25</v>
      </c>
      <c r="S268" s="1">
        <v>0</v>
      </c>
      <c r="T268" s="1">
        <v>0</v>
      </c>
      <c r="U268" s="1">
        <v>0</v>
      </c>
      <c r="V268" s="1" t="str">
        <f>"里程去程"</f>
        <v>里程去程</v>
      </c>
      <c r="W268" s="1" t="str">
        <f>"0120"</f>
        <v>0120</v>
      </c>
      <c r="X268" s="1" t="s">
        <v>35</v>
      </c>
    </row>
    <row r="269" spans="1:24" x14ac:dyDescent="0.3">
      <c r="A269" s="1" t="str">
        <f t="shared" si="46"/>
        <v>59829</v>
      </c>
      <c r="B269" s="1" t="s">
        <v>47</v>
      </c>
      <c r="C269" s="1" t="s">
        <v>48</v>
      </c>
      <c r="D269" s="1" t="str">
        <f t="shared" si="50"/>
        <v>9803</v>
      </c>
      <c r="E269" s="1" t="s">
        <v>32</v>
      </c>
      <c r="F269" s="1" t="str">
        <f>"1081373489"</f>
        <v>1081373489</v>
      </c>
      <c r="G269" s="1" t="s">
        <v>33</v>
      </c>
      <c r="H269" s="1" t="str">
        <f t="shared" si="48"/>
        <v>20220901</v>
      </c>
      <c r="I269" s="1" t="str">
        <f>"112713"</f>
        <v>112713</v>
      </c>
      <c r="J269" s="1" t="s">
        <v>28</v>
      </c>
      <c r="K269" s="1" t="s">
        <v>28</v>
      </c>
      <c r="L269" s="1" t="str">
        <f t="shared" si="49"/>
        <v>20220901</v>
      </c>
      <c r="M269" s="1" t="str">
        <f>"115110"</f>
        <v>115110</v>
      </c>
      <c r="N269" s="1" t="s">
        <v>34</v>
      </c>
      <c r="O269" s="1" t="s">
        <v>34</v>
      </c>
      <c r="P269" s="1" t="s">
        <v>55</v>
      </c>
      <c r="Q269" s="1">
        <v>25</v>
      </c>
      <c r="R269" s="1">
        <v>25</v>
      </c>
      <c r="S269" s="1">
        <v>0</v>
      </c>
      <c r="T269" s="1">
        <v>0</v>
      </c>
      <c r="U269" s="1">
        <v>0</v>
      </c>
      <c r="V269" s="1" t="str">
        <f>"里程去程"</f>
        <v>里程去程</v>
      </c>
      <c r="W269" s="1" t="str">
        <f>"0120"</f>
        <v>0120</v>
      </c>
      <c r="X269" s="1" t="s">
        <v>35</v>
      </c>
    </row>
    <row r="270" spans="1:24" x14ac:dyDescent="0.3">
      <c r="A270" s="1" t="str">
        <f t="shared" si="46"/>
        <v>59829</v>
      </c>
      <c r="B270" s="1" t="s">
        <v>47</v>
      </c>
      <c r="C270" s="1" t="s">
        <v>48</v>
      </c>
      <c r="D270" s="1" t="str">
        <f t="shared" si="50"/>
        <v>9803</v>
      </c>
      <c r="E270" s="1" t="s">
        <v>32</v>
      </c>
      <c r="F270" s="1" t="str">
        <f>"435716689"</f>
        <v>435716689</v>
      </c>
      <c r="G270" s="1" t="s">
        <v>33</v>
      </c>
      <c r="H270" s="1" t="str">
        <f t="shared" si="48"/>
        <v>20220901</v>
      </c>
      <c r="I270" s="1" t="str">
        <f>"115146"</f>
        <v>115146</v>
      </c>
      <c r="J270" s="1" t="s">
        <v>34</v>
      </c>
      <c r="K270" s="1" t="s">
        <v>34</v>
      </c>
      <c r="L270" s="1" t="str">
        <f t="shared" si="49"/>
        <v>20220901</v>
      </c>
      <c r="M270" s="1" t="str">
        <f>"122559"</f>
        <v>122559</v>
      </c>
      <c r="N270" s="1" t="s">
        <v>28</v>
      </c>
      <c r="O270" s="1" t="s">
        <v>28</v>
      </c>
      <c r="P270" s="1" t="s">
        <v>55</v>
      </c>
      <c r="Q270" s="1">
        <v>25</v>
      </c>
      <c r="R270" s="1">
        <v>25</v>
      </c>
      <c r="S270" s="1">
        <v>0</v>
      </c>
      <c r="T270" s="1">
        <v>0</v>
      </c>
      <c r="U270" s="1">
        <v>0</v>
      </c>
      <c r="V270" s="1" t="str">
        <f t="shared" ref="V270:V291" si="51">"里程返程"</f>
        <v>里程返程</v>
      </c>
      <c r="W270" s="1" t="str">
        <f>"0120"</f>
        <v>0120</v>
      </c>
      <c r="X270" s="1" t="s">
        <v>35</v>
      </c>
    </row>
    <row r="271" spans="1:24" x14ac:dyDescent="0.3">
      <c r="A271" s="1" t="str">
        <f t="shared" si="46"/>
        <v>59829</v>
      </c>
      <c r="B271" s="1" t="s">
        <v>47</v>
      </c>
      <c r="C271" s="1" t="s">
        <v>48</v>
      </c>
      <c r="D271" s="1" t="str">
        <f t="shared" si="50"/>
        <v>9803</v>
      </c>
      <c r="E271" s="1" t="s">
        <v>32</v>
      </c>
      <c r="F271" s="1" t="str">
        <f>"1008834897"</f>
        <v>1008834897</v>
      </c>
      <c r="G271" s="1" t="s">
        <v>33</v>
      </c>
      <c r="H271" s="1" t="str">
        <f t="shared" si="48"/>
        <v>20220901</v>
      </c>
      <c r="I271" s="1" t="str">
        <f>"115150"</f>
        <v>115150</v>
      </c>
      <c r="J271" s="1" t="s">
        <v>34</v>
      </c>
      <c r="K271" s="1" t="s">
        <v>34</v>
      </c>
      <c r="L271" s="1" t="str">
        <f t="shared" si="49"/>
        <v>20220901</v>
      </c>
      <c r="M271" s="1" t="str">
        <f>"122555"</f>
        <v>122555</v>
      </c>
      <c r="N271" s="1" t="s">
        <v>28</v>
      </c>
      <c r="O271" s="1" t="s">
        <v>28</v>
      </c>
      <c r="P271" s="1" t="s">
        <v>55</v>
      </c>
      <c r="Q271" s="1">
        <v>25</v>
      </c>
      <c r="R271" s="1">
        <v>25</v>
      </c>
      <c r="S271" s="1">
        <v>0</v>
      </c>
      <c r="T271" s="1">
        <v>0</v>
      </c>
      <c r="U271" s="1">
        <v>0</v>
      </c>
      <c r="V271" s="1" t="str">
        <f t="shared" si="51"/>
        <v>里程返程</v>
      </c>
      <c r="W271" s="1" t="str">
        <f>"0a20"</f>
        <v>0a20</v>
      </c>
      <c r="X271" s="1" t="s">
        <v>35</v>
      </c>
    </row>
    <row r="272" spans="1:24" x14ac:dyDescent="0.3">
      <c r="A272" s="1" t="str">
        <f t="shared" si="46"/>
        <v>59829</v>
      </c>
      <c r="B272" s="1" t="s">
        <v>47</v>
      </c>
      <c r="C272" s="1" t="s">
        <v>48</v>
      </c>
      <c r="D272" s="1" t="str">
        <f t="shared" si="50"/>
        <v>9803</v>
      </c>
      <c r="E272" s="1" t="s">
        <v>32</v>
      </c>
      <c r="F272" s="1" t="str">
        <f>"5317151014141292"</f>
        <v>5317151014141292</v>
      </c>
      <c r="G272" s="1" t="s">
        <v>33</v>
      </c>
      <c r="H272" s="1" t="str">
        <f t="shared" si="48"/>
        <v>20220901</v>
      </c>
      <c r="I272" s="1" t="str">
        <f>"115153"</f>
        <v>115153</v>
      </c>
      <c r="J272" s="1" t="s">
        <v>34</v>
      </c>
      <c r="K272" s="1" t="s">
        <v>34</v>
      </c>
      <c r="L272" s="1" t="str">
        <f t="shared" si="49"/>
        <v>20220901</v>
      </c>
      <c r="M272" s="1" t="str">
        <f>"122625"</f>
        <v>122625</v>
      </c>
      <c r="N272" s="1" t="s">
        <v>28</v>
      </c>
      <c r="O272" s="1" t="s">
        <v>28</v>
      </c>
      <c r="P272" s="1" t="s">
        <v>55</v>
      </c>
      <c r="Q272" s="1">
        <v>25</v>
      </c>
      <c r="R272" s="1">
        <v>25</v>
      </c>
      <c r="S272" s="1">
        <v>0</v>
      </c>
      <c r="T272" s="1">
        <v>0</v>
      </c>
      <c r="U272" s="1">
        <v>0</v>
      </c>
      <c r="V272" s="1" t="str">
        <f t="shared" si="51"/>
        <v>里程返程</v>
      </c>
      <c r="W272" s="1" t="str">
        <f>"3A3B"</f>
        <v>3A3B</v>
      </c>
      <c r="X272" s="1" t="s">
        <v>109</v>
      </c>
    </row>
    <row r="273" spans="1:24" x14ac:dyDescent="0.3">
      <c r="A273" s="1" t="str">
        <f t="shared" si="46"/>
        <v>59829</v>
      </c>
      <c r="B273" s="1" t="s">
        <v>47</v>
      </c>
      <c r="C273" s="1" t="s">
        <v>48</v>
      </c>
      <c r="D273" s="1" t="str">
        <f t="shared" si="50"/>
        <v>9803</v>
      </c>
      <c r="E273" s="1" t="s">
        <v>32</v>
      </c>
      <c r="F273" s="1" t="str">
        <f>"1078167733"</f>
        <v>1078167733</v>
      </c>
      <c r="G273" s="1" t="s">
        <v>33</v>
      </c>
      <c r="H273" s="1" t="str">
        <f t="shared" si="48"/>
        <v>20220901</v>
      </c>
      <c r="I273" s="1" t="str">
        <f>"115156"</f>
        <v>115156</v>
      </c>
      <c r="J273" s="1" t="s">
        <v>34</v>
      </c>
      <c r="K273" s="1" t="s">
        <v>34</v>
      </c>
      <c r="L273" s="1" t="str">
        <f t="shared" si="49"/>
        <v>20220901</v>
      </c>
      <c r="M273" s="1" t="str">
        <f>"122607"</f>
        <v>122607</v>
      </c>
      <c r="N273" s="1" t="s">
        <v>28</v>
      </c>
      <c r="O273" s="1" t="s">
        <v>28</v>
      </c>
      <c r="P273" s="1" t="s">
        <v>55</v>
      </c>
      <c r="Q273" s="1">
        <v>25</v>
      </c>
      <c r="R273" s="1">
        <v>25</v>
      </c>
      <c r="S273" s="1">
        <v>0</v>
      </c>
      <c r="T273" s="1">
        <v>0</v>
      </c>
      <c r="U273" s="1">
        <v>0</v>
      </c>
      <c r="V273" s="1" t="str">
        <f t="shared" si="51"/>
        <v>里程返程</v>
      </c>
      <c r="W273" s="1" t="str">
        <f>"0120"</f>
        <v>0120</v>
      </c>
      <c r="X273" s="1" t="s">
        <v>35</v>
      </c>
    </row>
    <row r="274" spans="1:24" x14ac:dyDescent="0.3">
      <c r="A274" s="1" t="str">
        <f t="shared" si="46"/>
        <v>59829</v>
      </c>
      <c r="B274" s="1" t="s">
        <v>47</v>
      </c>
      <c r="C274" s="1" t="s">
        <v>48</v>
      </c>
      <c r="D274" s="1" t="str">
        <f t="shared" si="50"/>
        <v>9803</v>
      </c>
      <c r="E274" s="1" t="s">
        <v>32</v>
      </c>
      <c r="F274" s="1" t="str">
        <f>"7311181228002159"</f>
        <v>7311181228002159</v>
      </c>
      <c r="G274" s="1" t="s">
        <v>33</v>
      </c>
      <c r="H274" s="1" t="str">
        <f t="shared" si="48"/>
        <v>20220901</v>
      </c>
      <c r="I274" s="1" t="str">
        <f>"115209"</f>
        <v>115209</v>
      </c>
      <c r="J274" s="1" t="s">
        <v>34</v>
      </c>
      <c r="K274" s="1" t="s">
        <v>34</v>
      </c>
      <c r="L274" s="1" t="str">
        <f t="shared" si="49"/>
        <v>20220901</v>
      </c>
      <c r="M274" s="1" t="str">
        <f>"122436"</f>
        <v>122436</v>
      </c>
      <c r="N274" s="1" t="s">
        <v>28</v>
      </c>
      <c r="O274" s="1" t="s">
        <v>28</v>
      </c>
      <c r="P274" s="1" t="s">
        <v>55</v>
      </c>
      <c r="Q274" s="1">
        <v>25</v>
      </c>
      <c r="R274" s="1">
        <v>25</v>
      </c>
      <c r="S274" s="1">
        <v>0</v>
      </c>
      <c r="T274" s="1">
        <v>0</v>
      </c>
      <c r="U274" s="1">
        <v>0</v>
      </c>
      <c r="V274" s="1" t="str">
        <f t="shared" si="51"/>
        <v>里程返程</v>
      </c>
      <c r="W274" s="1" t="str">
        <f>"3B8B"</f>
        <v>3B8B</v>
      </c>
      <c r="X274" s="1" t="s">
        <v>109</v>
      </c>
    </row>
    <row r="275" spans="1:24" x14ac:dyDescent="0.3">
      <c r="A275" s="1" t="str">
        <f t="shared" si="46"/>
        <v>59829</v>
      </c>
      <c r="B275" s="1" t="s">
        <v>47</v>
      </c>
      <c r="C275" s="1" t="s">
        <v>48</v>
      </c>
      <c r="D275" s="1" t="str">
        <f t="shared" si="50"/>
        <v>9803</v>
      </c>
      <c r="E275" s="1" t="s">
        <v>32</v>
      </c>
      <c r="F275" s="1" t="str">
        <f>"820044469"</f>
        <v>820044469</v>
      </c>
      <c r="G275" s="1" t="s">
        <v>33</v>
      </c>
      <c r="H275" s="1" t="str">
        <f t="shared" si="48"/>
        <v>20220901</v>
      </c>
      <c r="I275" s="1" t="str">
        <f>"115225"</f>
        <v>115225</v>
      </c>
      <c r="J275" s="1" t="s">
        <v>34</v>
      </c>
      <c r="K275" s="1" t="s">
        <v>34</v>
      </c>
      <c r="L275" s="1" t="str">
        <f t="shared" si="49"/>
        <v>20220901</v>
      </c>
      <c r="M275" s="1" t="str">
        <f>"122615"</f>
        <v>122615</v>
      </c>
      <c r="N275" s="1" t="s">
        <v>28</v>
      </c>
      <c r="O275" s="1" t="s">
        <v>28</v>
      </c>
      <c r="P275" s="1" t="s">
        <v>55</v>
      </c>
      <c r="Q275" s="1">
        <v>25</v>
      </c>
      <c r="R275" s="1">
        <v>25</v>
      </c>
      <c r="S275" s="1">
        <v>0</v>
      </c>
      <c r="T275" s="1">
        <v>0</v>
      </c>
      <c r="U275" s="1">
        <v>0</v>
      </c>
      <c r="V275" s="1" t="str">
        <f t="shared" si="51"/>
        <v>里程返程</v>
      </c>
      <c r="W275" s="1" t="str">
        <f>"2020"</f>
        <v>2020</v>
      </c>
      <c r="X275" s="1" t="s">
        <v>35</v>
      </c>
    </row>
    <row r="276" spans="1:24" x14ac:dyDescent="0.3">
      <c r="A276" s="1" t="str">
        <f t="shared" si="46"/>
        <v>59829</v>
      </c>
      <c r="B276" s="1" t="s">
        <v>47</v>
      </c>
      <c r="C276" s="1" t="s">
        <v>48</v>
      </c>
      <c r="D276" s="1" t="str">
        <f t="shared" si="50"/>
        <v>9803</v>
      </c>
      <c r="E276" s="1" t="s">
        <v>32</v>
      </c>
      <c r="F276" s="1" t="str">
        <f>"1112813733"</f>
        <v>1112813733</v>
      </c>
      <c r="G276" s="1" t="s">
        <v>33</v>
      </c>
      <c r="H276" s="1" t="str">
        <f t="shared" si="48"/>
        <v>20220901</v>
      </c>
      <c r="I276" s="1" t="str">
        <f>"115237"</f>
        <v>115237</v>
      </c>
      <c r="J276" s="1" t="s">
        <v>34</v>
      </c>
      <c r="K276" s="1" t="s">
        <v>34</v>
      </c>
      <c r="L276" s="1" t="str">
        <f t="shared" si="49"/>
        <v>20220901</v>
      </c>
      <c r="M276" s="1" t="str">
        <f>"122612"</f>
        <v>122612</v>
      </c>
      <c r="N276" s="1" t="s">
        <v>28</v>
      </c>
      <c r="O276" s="1" t="s">
        <v>28</v>
      </c>
      <c r="P276" s="1" t="s">
        <v>55</v>
      </c>
      <c r="Q276" s="1">
        <v>25</v>
      </c>
      <c r="R276" s="1">
        <v>25</v>
      </c>
      <c r="S276" s="1">
        <v>0</v>
      </c>
      <c r="T276" s="1">
        <v>0</v>
      </c>
      <c r="U276" s="1">
        <v>0</v>
      </c>
      <c r="V276" s="1" t="str">
        <f t="shared" si="51"/>
        <v>里程返程</v>
      </c>
      <c r="W276" s="1" t="str">
        <f>"2020"</f>
        <v>2020</v>
      </c>
      <c r="X276" s="1" t="s">
        <v>35</v>
      </c>
    </row>
    <row r="277" spans="1:24" x14ac:dyDescent="0.3">
      <c r="A277" s="1" t="str">
        <f t="shared" si="46"/>
        <v>59829</v>
      </c>
      <c r="B277" s="1" t="s">
        <v>47</v>
      </c>
      <c r="C277" s="1" t="s">
        <v>48</v>
      </c>
      <c r="D277" s="1" t="str">
        <f t="shared" si="50"/>
        <v>9803</v>
      </c>
      <c r="E277" s="1" t="s">
        <v>32</v>
      </c>
      <c r="F277" s="1" t="str">
        <f>"716059937"</f>
        <v>716059937</v>
      </c>
      <c r="G277" s="1" t="s">
        <v>33</v>
      </c>
      <c r="H277" s="1" t="str">
        <f t="shared" si="48"/>
        <v>20220901</v>
      </c>
      <c r="I277" s="1" t="str">
        <f>"115243"</f>
        <v>115243</v>
      </c>
      <c r="J277" s="1" t="s">
        <v>34</v>
      </c>
      <c r="K277" s="1" t="s">
        <v>34</v>
      </c>
      <c r="L277" s="1" t="str">
        <f t="shared" si="49"/>
        <v>20220901</v>
      </c>
      <c r="M277" s="1" t="str">
        <f>"122602"</f>
        <v>122602</v>
      </c>
      <c r="N277" s="1" t="s">
        <v>28</v>
      </c>
      <c r="O277" s="1" t="s">
        <v>28</v>
      </c>
      <c r="P277" s="1" t="s">
        <v>55</v>
      </c>
      <c r="Q277" s="1">
        <v>25</v>
      </c>
      <c r="R277" s="1">
        <v>25</v>
      </c>
      <c r="S277" s="1">
        <v>0</v>
      </c>
      <c r="T277" s="1">
        <v>0</v>
      </c>
      <c r="U277" s="1">
        <v>0</v>
      </c>
      <c r="V277" s="1" t="str">
        <f t="shared" si="51"/>
        <v>里程返程</v>
      </c>
      <c r="W277" s="1" t="str">
        <f>"0820"</f>
        <v>0820</v>
      </c>
      <c r="X277" s="1" t="s">
        <v>35</v>
      </c>
    </row>
    <row r="278" spans="1:24" x14ac:dyDescent="0.3">
      <c r="A278" s="1" t="str">
        <f t="shared" si="46"/>
        <v>59829</v>
      </c>
      <c r="B278" s="1" t="s">
        <v>47</v>
      </c>
      <c r="C278" s="1" t="s">
        <v>48</v>
      </c>
      <c r="D278" s="1" t="str">
        <f t="shared" si="50"/>
        <v>9803</v>
      </c>
      <c r="E278" s="1" t="s">
        <v>32</v>
      </c>
      <c r="F278" s="1" t="str">
        <f>"232686257"</f>
        <v>232686257</v>
      </c>
      <c r="G278" s="1" t="s">
        <v>33</v>
      </c>
      <c r="H278" s="1" t="str">
        <f t="shared" si="48"/>
        <v>20220901</v>
      </c>
      <c r="I278" s="1" t="str">
        <f>"115301"</f>
        <v>115301</v>
      </c>
      <c r="J278" s="1" t="s">
        <v>34</v>
      </c>
      <c r="K278" s="1" t="s">
        <v>34</v>
      </c>
      <c r="L278" s="1" t="str">
        <f t="shared" si="49"/>
        <v>20220901</v>
      </c>
      <c r="M278" s="1" t="str">
        <f>"122246"</f>
        <v>122246</v>
      </c>
      <c r="N278" s="1" t="s">
        <v>95</v>
      </c>
      <c r="O278" s="1" t="s">
        <v>28</v>
      </c>
      <c r="P278" s="1" t="s">
        <v>55</v>
      </c>
      <c r="Q278" s="1">
        <v>25</v>
      </c>
      <c r="R278" s="1">
        <v>25</v>
      </c>
      <c r="S278" s="1">
        <v>0</v>
      </c>
      <c r="T278" s="1">
        <v>0</v>
      </c>
      <c r="U278" s="1">
        <v>0</v>
      </c>
      <c r="V278" s="1" t="str">
        <f t="shared" si="51"/>
        <v>里程返程</v>
      </c>
      <c r="W278" s="1" t="str">
        <f>"0620"</f>
        <v>0620</v>
      </c>
      <c r="X278" s="1" t="s">
        <v>35</v>
      </c>
    </row>
    <row r="279" spans="1:24" x14ac:dyDescent="0.3">
      <c r="A279" s="1" t="str">
        <f t="shared" si="46"/>
        <v>59829</v>
      </c>
      <c r="B279" s="1" t="s">
        <v>47</v>
      </c>
      <c r="C279" s="1" t="s">
        <v>48</v>
      </c>
      <c r="D279" s="1" t="str">
        <f t="shared" si="50"/>
        <v>9803</v>
      </c>
      <c r="E279" s="1" t="s">
        <v>32</v>
      </c>
      <c r="F279" s="1" t="str">
        <f>"1105535173"</f>
        <v>1105535173</v>
      </c>
      <c r="G279" s="1" t="s">
        <v>38</v>
      </c>
      <c r="H279" s="1" t="str">
        <f t="shared" si="48"/>
        <v>20220901</v>
      </c>
      <c r="I279" s="1" t="str">
        <f>"115306"</f>
        <v>115306</v>
      </c>
      <c r="J279" s="1" t="s">
        <v>34</v>
      </c>
      <c r="K279" s="1" t="s">
        <v>34</v>
      </c>
      <c r="L279" s="1" t="str">
        <f t="shared" si="49"/>
        <v>20220901</v>
      </c>
      <c r="M279" s="1" t="str">
        <f>"122515"</f>
        <v>122515</v>
      </c>
      <c r="N279" s="1" t="s">
        <v>28</v>
      </c>
      <c r="O279" s="1" t="s">
        <v>28</v>
      </c>
      <c r="P279" s="1" t="s">
        <v>55</v>
      </c>
      <c r="Q279" s="1">
        <v>25</v>
      </c>
      <c r="R279" s="1">
        <v>25</v>
      </c>
      <c r="S279" s="1">
        <v>0</v>
      </c>
      <c r="T279" s="1">
        <v>0</v>
      </c>
      <c r="U279" s="1">
        <v>0</v>
      </c>
      <c r="V279" s="1" t="str">
        <f t="shared" si="51"/>
        <v>里程返程</v>
      </c>
      <c r="W279" s="1" t="str">
        <f>"0820"</f>
        <v>0820</v>
      </c>
      <c r="X279" s="1" t="s">
        <v>35</v>
      </c>
    </row>
    <row r="280" spans="1:24" x14ac:dyDescent="0.3">
      <c r="A280" s="1" t="str">
        <f t="shared" si="46"/>
        <v>59829</v>
      </c>
      <c r="B280" s="1" t="s">
        <v>47</v>
      </c>
      <c r="C280" s="1" t="s">
        <v>48</v>
      </c>
      <c r="D280" s="1" t="str">
        <f t="shared" si="50"/>
        <v>9803</v>
      </c>
      <c r="E280" s="1" t="s">
        <v>32</v>
      </c>
      <c r="F280" s="1" t="str">
        <f>"1142366693"</f>
        <v>1142366693</v>
      </c>
      <c r="G280" s="1" t="s">
        <v>33</v>
      </c>
      <c r="H280" s="1" t="str">
        <f t="shared" si="48"/>
        <v>20220901</v>
      </c>
      <c r="I280" s="1" t="str">
        <f>"115319"</f>
        <v>115319</v>
      </c>
      <c r="J280" s="1" t="s">
        <v>34</v>
      </c>
      <c r="K280" s="1" t="s">
        <v>34</v>
      </c>
      <c r="L280" s="1" t="str">
        <f t="shared" si="49"/>
        <v>20220901</v>
      </c>
      <c r="M280" s="1" t="str">
        <f>"122506"</f>
        <v>122506</v>
      </c>
      <c r="N280" s="1" t="s">
        <v>28</v>
      </c>
      <c r="O280" s="1" t="s">
        <v>28</v>
      </c>
      <c r="P280" s="1" t="s">
        <v>55</v>
      </c>
      <c r="Q280" s="1">
        <v>25</v>
      </c>
      <c r="R280" s="1">
        <v>25</v>
      </c>
      <c r="S280" s="1">
        <v>0</v>
      </c>
      <c r="T280" s="1">
        <v>0</v>
      </c>
      <c r="U280" s="1">
        <v>0</v>
      </c>
      <c r="V280" s="1" t="str">
        <f t="shared" si="51"/>
        <v>里程返程</v>
      </c>
      <c r="W280" s="1" t="str">
        <f>"2120"</f>
        <v>2120</v>
      </c>
      <c r="X280" s="1" t="s">
        <v>35</v>
      </c>
    </row>
    <row r="281" spans="1:24" x14ac:dyDescent="0.3">
      <c r="A281" s="1" t="str">
        <f t="shared" si="46"/>
        <v>59829</v>
      </c>
      <c r="B281" s="1" t="s">
        <v>47</v>
      </c>
      <c r="C281" s="1" t="s">
        <v>48</v>
      </c>
      <c r="D281" s="1" t="str">
        <f t="shared" si="50"/>
        <v>9803</v>
      </c>
      <c r="E281" s="1" t="s">
        <v>32</v>
      </c>
      <c r="F281" s="1" t="str">
        <f>"775204309"</f>
        <v>775204309</v>
      </c>
      <c r="G281" s="1" t="s">
        <v>33</v>
      </c>
      <c r="H281" s="1" t="str">
        <f t="shared" si="48"/>
        <v>20220901</v>
      </c>
      <c r="I281" s="1" t="str">
        <f>"115322"</f>
        <v>115322</v>
      </c>
      <c r="J281" s="1" t="s">
        <v>34</v>
      </c>
      <c r="K281" s="1" t="s">
        <v>34</v>
      </c>
      <c r="L281" s="1" t="str">
        <f t="shared" si="49"/>
        <v>20220901</v>
      </c>
      <c r="M281" s="1" t="str">
        <f>"122504"</f>
        <v>122504</v>
      </c>
      <c r="N281" s="1" t="s">
        <v>28</v>
      </c>
      <c r="O281" s="1" t="s">
        <v>28</v>
      </c>
      <c r="P281" s="1" t="s">
        <v>55</v>
      </c>
      <c r="Q281" s="1">
        <v>25</v>
      </c>
      <c r="R281" s="1">
        <v>25</v>
      </c>
      <c r="S281" s="1">
        <v>0</v>
      </c>
      <c r="T281" s="1">
        <v>0</v>
      </c>
      <c r="U281" s="1">
        <v>0</v>
      </c>
      <c r="V281" s="1" t="str">
        <f t="shared" si="51"/>
        <v>里程返程</v>
      </c>
      <c r="W281" s="1" t="str">
        <f>"2120"</f>
        <v>2120</v>
      </c>
      <c r="X281" s="1" t="s">
        <v>35</v>
      </c>
    </row>
    <row r="282" spans="1:24" x14ac:dyDescent="0.3">
      <c r="A282" s="1" t="str">
        <f t="shared" si="46"/>
        <v>59829</v>
      </c>
      <c r="B282" s="1" t="s">
        <v>47</v>
      </c>
      <c r="C282" s="1" t="s">
        <v>48</v>
      </c>
      <c r="D282" s="1" t="str">
        <f t="shared" si="50"/>
        <v>9803</v>
      </c>
      <c r="E282" s="1" t="s">
        <v>32</v>
      </c>
      <c r="F282" s="1" t="str">
        <f>"643108533"</f>
        <v>643108533</v>
      </c>
      <c r="G282" s="1" t="s">
        <v>38</v>
      </c>
      <c r="H282" s="1" t="str">
        <f t="shared" si="48"/>
        <v>20220901</v>
      </c>
      <c r="I282" s="1" t="str">
        <f>"115330"</f>
        <v>115330</v>
      </c>
      <c r="J282" s="1" t="s">
        <v>34</v>
      </c>
      <c r="K282" s="1" t="s">
        <v>34</v>
      </c>
      <c r="L282" s="1" t="str">
        <f t="shared" si="49"/>
        <v>20220901</v>
      </c>
      <c r="M282" s="1" t="str">
        <f>"122545"</f>
        <v>122545</v>
      </c>
      <c r="N282" s="1" t="s">
        <v>28</v>
      </c>
      <c r="O282" s="1" t="s">
        <v>28</v>
      </c>
      <c r="P282" s="1" t="s">
        <v>55</v>
      </c>
      <c r="Q282" s="1">
        <v>25</v>
      </c>
      <c r="R282" s="1">
        <v>25</v>
      </c>
      <c r="S282" s="1">
        <v>0</v>
      </c>
      <c r="T282" s="1">
        <v>0</v>
      </c>
      <c r="U282" s="1">
        <v>0</v>
      </c>
      <c r="V282" s="1" t="str">
        <f t="shared" si="51"/>
        <v>里程返程</v>
      </c>
      <c r="W282" s="1" t="str">
        <f>"2120"</f>
        <v>2120</v>
      </c>
      <c r="X282" s="1" t="s">
        <v>35</v>
      </c>
    </row>
    <row r="283" spans="1:24" x14ac:dyDescent="0.3">
      <c r="A283" s="1" t="str">
        <f t="shared" si="46"/>
        <v>59829</v>
      </c>
      <c r="B283" s="1" t="s">
        <v>47</v>
      </c>
      <c r="C283" s="1" t="s">
        <v>48</v>
      </c>
      <c r="D283" s="1" t="str">
        <f t="shared" si="50"/>
        <v>9803</v>
      </c>
      <c r="E283" s="1" t="s">
        <v>32</v>
      </c>
      <c r="F283" s="1" t="str">
        <f>"831921973"</f>
        <v>831921973</v>
      </c>
      <c r="G283" s="1" t="s">
        <v>33</v>
      </c>
      <c r="H283" s="1" t="str">
        <f t="shared" si="48"/>
        <v>20220901</v>
      </c>
      <c r="I283" s="1" t="str">
        <f>"115500"</f>
        <v>115500</v>
      </c>
      <c r="J283" s="1" t="s">
        <v>34</v>
      </c>
      <c r="K283" s="1" t="s">
        <v>34</v>
      </c>
      <c r="L283" s="1" t="str">
        <f t="shared" si="49"/>
        <v>20220901</v>
      </c>
      <c r="M283" s="1" t="str">
        <f>"122532"</f>
        <v>122532</v>
      </c>
      <c r="N283" s="1" t="s">
        <v>28</v>
      </c>
      <c r="O283" s="1" t="s">
        <v>28</v>
      </c>
      <c r="P283" s="1" t="s">
        <v>55</v>
      </c>
      <c r="Q283" s="1">
        <v>25</v>
      </c>
      <c r="R283" s="1">
        <v>25</v>
      </c>
      <c r="S283" s="1">
        <v>0</v>
      </c>
      <c r="T283" s="1">
        <v>0</v>
      </c>
      <c r="U283" s="1">
        <v>0</v>
      </c>
      <c r="V283" s="1" t="str">
        <f t="shared" si="51"/>
        <v>里程返程</v>
      </c>
      <c r="W283" s="1" t="str">
        <f>"2120"</f>
        <v>2120</v>
      </c>
      <c r="X283" s="1" t="s">
        <v>35</v>
      </c>
    </row>
    <row r="284" spans="1:24" x14ac:dyDescent="0.3">
      <c r="A284" s="1" t="str">
        <f t="shared" si="46"/>
        <v>59829</v>
      </c>
      <c r="B284" s="1" t="s">
        <v>47</v>
      </c>
      <c r="C284" s="1" t="s">
        <v>48</v>
      </c>
      <c r="D284" s="1" t="str">
        <f t="shared" si="50"/>
        <v>9803</v>
      </c>
      <c r="E284" s="1" t="s">
        <v>32</v>
      </c>
      <c r="F284" s="1" t="str">
        <f>"1144505301"</f>
        <v>1144505301</v>
      </c>
      <c r="G284" s="1" t="s">
        <v>33</v>
      </c>
      <c r="H284" s="1" t="str">
        <f t="shared" si="48"/>
        <v>20220901</v>
      </c>
      <c r="I284" s="1" t="str">
        <f>"115541"</f>
        <v>115541</v>
      </c>
      <c r="J284" s="1" t="s">
        <v>34</v>
      </c>
      <c r="K284" s="1" t="s">
        <v>34</v>
      </c>
      <c r="L284" s="1" t="str">
        <f t="shared" si="49"/>
        <v>20220901</v>
      </c>
      <c r="M284" s="1" t="str">
        <f>"122458"</f>
        <v>122458</v>
      </c>
      <c r="N284" s="1" t="s">
        <v>28</v>
      </c>
      <c r="O284" s="1" t="s">
        <v>28</v>
      </c>
      <c r="P284" s="1" t="s">
        <v>55</v>
      </c>
      <c r="Q284" s="1">
        <v>25</v>
      </c>
      <c r="R284" s="1">
        <v>25</v>
      </c>
      <c r="S284" s="1">
        <v>0</v>
      </c>
      <c r="T284" s="1">
        <v>0</v>
      </c>
      <c r="U284" s="1">
        <v>0</v>
      </c>
      <c r="V284" s="1" t="str">
        <f t="shared" si="51"/>
        <v>里程返程</v>
      </c>
      <c r="W284" s="1" t="str">
        <f>"1b20"</f>
        <v>1b20</v>
      </c>
      <c r="X284" s="1" t="s">
        <v>35</v>
      </c>
    </row>
    <row r="285" spans="1:24" x14ac:dyDescent="0.3">
      <c r="A285" s="1" t="str">
        <f t="shared" si="46"/>
        <v>59829</v>
      </c>
      <c r="B285" s="1" t="s">
        <v>47</v>
      </c>
      <c r="C285" s="1" t="s">
        <v>48</v>
      </c>
      <c r="D285" s="1" t="str">
        <f t="shared" si="50"/>
        <v>9803</v>
      </c>
      <c r="E285" s="1" t="s">
        <v>32</v>
      </c>
      <c r="F285" s="1" t="str">
        <f>"2508078050"</f>
        <v>2508078050</v>
      </c>
      <c r="G285" s="1" t="s">
        <v>33</v>
      </c>
      <c r="H285" s="1" t="str">
        <f t="shared" si="48"/>
        <v>20220901</v>
      </c>
      <c r="I285" s="1" t="str">
        <f>"120436"</f>
        <v>120436</v>
      </c>
      <c r="J285" s="1" t="s">
        <v>73</v>
      </c>
      <c r="K285" s="1" t="s">
        <v>28</v>
      </c>
      <c r="L285" s="1" t="str">
        <f t="shared" si="49"/>
        <v>20220901</v>
      </c>
      <c r="M285" s="1" t="str">
        <f>"120825"</f>
        <v>120825</v>
      </c>
      <c r="N285" s="1" t="s">
        <v>87</v>
      </c>
      <c r="O285" s="1" t="s">
        <v>28</v>
      </c>
      <c r="P285" s="1" t="s">
        <v>55</v>
      </c>
      <c r="Q285" s="1">
        <v>25</v>
      </c>
      <c r="R285" s="1">
        <v>0</v>
      </c>
      <c r="S285" s="1">
        <v>25</v>
      </c>
      <c r="T285" s="1">
        <v>0</v>
      </c>
      <c r="U285" s="1">
        <v>0</v>
      </c>
      <c r="V285" s="1" t="str">
        <f t="shared" si="51"/>
        <v>里程返程</v>
      </c>
      <c r="W285" s="1" t="str">
        <f>"2120"</f>
        <v>2120</v>
      </c>
      <c r="X285" s="1" t="s">
        <v>35</v>
      </c>
    </row>
    <row r="286" spans="1:24" x14ac:dyDescent="0.3">
      <c r="A286" s="1" t="str">
        <f t="shared" si="46"/>
        <v>59829</v>
      </c>
      <c r="B286" s="1" t="s">
        <v>47</v>
      </c>
      <c r="C286" s="1" t="s">
        <v>48</v>
      </c>
      <c r="D286" s="1" t="str">
        <f t="shared" si="50"/>
        <v>9803</v>
      </c>
      <c r="E286" s="1" t="s">
        <v>32</v>
      </c>
      <c r="F286" s="1" t="str">
        <f>"148116485"</f>
        <v>148116485</v>
      </c>
      <c r="G286" s="1" t="s">
        <v>33</v>
      </c>
      <c r="H286" s="1" t="str">
        <f t="shared" si="48"/>
        <v>20220901</v>
      </c>
      <c r="I286" s="1" t="str">
        <f>"120442"</f>
        <v>120442</v>
      </c>
      <c r="J286" s="1" t="s">
        <v>73</v>
      </c>
      <c r="K286" s="1" t="s">
        <v>28</v>
      </c>
      <c r="L286" s="1" t="str">
        <f t="shared" si="49"/>
        <v>20220901</v>
      </c>
      <c r="M286" s="1" t="str">
        <f>"120814"</f>
        <v>120814</v>
      </c>
      <c r="N286" s="1" t="s">
        <v>87</v>
      </c>
      <c r="O286" s="1" t="s">
        <v>28</v>
      </c>
      <c r="P286" s="1" t="s">
        <v>55</v>
      </c>
      <c r="Q286" s="1">
        <v>25</v>
      </c>
      <c r="R286" s="1">
        <v>0</v>
      </c>
      <c r="S286" s="1">
        <v>25</v>
      </c>
      <c r="T286" s="1">
        <v>0</v>
      </c>
      <c r="U286" s="1">
        <v>0</v>
      </c>
      <c r="V286" s="1" t="str">
        <f t="shared" si="51"/>
        <v>里程返程</v>
      </c>
      <c r="W286" s="1" t="str">
        <f>"2120"</f>
        <v>2120</v>
      </c>
      <c r="X286" s="1" t="s">
        <v>35</v>
      </c>
    </row>
    <row r="287" spans="1:24" x14ac:dyDescent="0.3">
      <c r="A287" s="1" t="str">
        <f t="shared" si="46"/>
        <v>59829</v>
      </c>
      <c r="B287" s="1" t="s">
        <v>47</v>
      </c>
      <c r="C287" s="1" t="s">
        <v>48</v>
      </c>
      <c r="D287" s="1" t="str">
        <f t="shared" si="50"/>
        <v>9803</v>
      </c>
      <c r="E287" s="1" t="s">
        <v>32</v>
      </c>
      <c r="F287" s="1" t="str">
        <f>"226601286"</f>
        <v>226601286</v>
      </c>
      <c r="G287" s="1" t="s">
        <v>33</v>
      </c>
      <c r="H287" s="1" t="str">
        <f t="shared" si="48"/>
        <v>20220901</v>
      </c>
      <c r="I287" s="1" t="str">
        <f>"125330"</f>
        <v>125330</v>
      </c>
      <c r="J287" s="1" t="s">
        <v>34</v>
      </c>
      <c r="K287" s="1" t="s">
        <v>34</v>
      </c>
      <c r="L287" s="1" t="str">
        <f t="shared" si="49"/>
        <v>20220901</v>
      </c>
      <c r="M287" s="1" t="str">
        <f>"131939"</f>
        <v>131939</v>
      </c>
      <c r="N287" s="1" t="s">
        <v>28</v>
      </c>
      <c r="O287" s="1" t="s">
        <v>28</v>
      </c>
      <c r="P287" s="1" t="s">
        <v>55</v>
      </c>
      <c r="Q287" s="1">
        <v>25</v>
      </c>
      <c r="R287" s="1">
        <v>25</v>
      </c>
      <c r="S287" s="1">
        <v>0</v>
      </c>
      <c r="T287" s="1">
        <v>0</v>
      </c>
      <c r="U287" s="1">
        <v>0</v>
      </c>
      <c r="V287" s="1" t="str">
        <f t="shared" si="51"/>
        <v>里程返程</v>
      </c>
      <c r="W287" s="1" t="str">
        <f>"0820"</f>
        <v>0820</v>
      </c>
      <c r="X287" s="1" t="s">
        <v>35</v>
      </c>
    </row>
    <row r="288" spans="1:24" x14ac:dyDescent="0.3">
      <c r="A288" s="1" t="str">
        <f t="shared" si="46"/>
        <v>59829</v>
      </c>
      <c r="B288" s="1" t="s">
        <v>47</v>
      </c>
      <c r="C288" s="1" t="s">
        <v>48</v>
      </c>
      <c r="D288" s="1" t="str">
        <f t="shared" si="50"/>
        <v>9803</v>
      </c>
      <c r="E288" s="1" t="s">
        <v>32</v>
      </c>
      <c r="F288" s="1" t="str">
        <f>"1157380577"</f>
        <v>1157380577</v>
      </c>
      <c r="G288" s="1" t="s">
        <v>33</v>
      </c>
      <c r="H288" s="1" t="str">
        <f t="shared" si="48"/>
        <v>20220901</v>
      </c>
      <c r="I288" s="1" t="str">
        <f>"125332"</f>
        <v>125332</v>
      </c>
      <c r="J288" s="1" t="s">
        <v>34</v>
      </c>
      <c r="K288" s="1" t="s">
        <v>34</v>
      </c>
      <c r="L288" s="1" t="str">
        <f t="shared" si="49"/>
        <v>20220901</v>
      </c>
      <c r="M288" s="1" t="str">
        <f>"131941"</f>
        <v>131941</v>
      </c>
      <c r="N288" s="1" t="s">
        <v>28</v>
      </c>
      <c r="O288" s="1" t="s">
        <v>28</v>
      </c>
      <c r="P288" s="1" t="s">
        <v>55</v>
      </c>
      <c r="Q288" s="1">
        <v>25</v>
      </c>
      <c r="R288" s="1">
        <v>25</v>
      </c>
      <c r="S288" s="1">
        <v>0</v>
      </c>
      <c r="T288" s="1">
        <v>0</v>
      </c>
      <c r="U288" s="1">
        <v>0</v>
      </c>
      <c r="V288" s="1" t="str">
        <f t="shared" si="51"/>
        <v>里程返程</v>
      </c>
      <c r="W288" s="1" t="str">
        <f>"0820"</f>
        <v>0820</v>
      </c>
      <c r="X288" s="1" t="s">
        <v>35</v>
      </c>
    </row>
    <row r="289" spans="1:24" x14ac:dyDescent="0.3">
      <c r="A289" s="1" t="str">
        <f t="shared" si="46"/>
        <v>59829</v>
      </c>
      <c r="B289" s="1" t="s">
        <v>47</v>
      </c>
      <c r="C289" s="1" t="s">
        <v>48</v>
      </c>
      <c r="D289" s="1" t="str">
        <f t="shared" si="50"/>
        <v>9803</v>
      </c>
      <c r="E289" s="1" t="s">
        <v>32</v>
      </c>
      <c r="F289" s="1" t="str">
        <f>"1169935520"</f>
        <v>1169935520</v>
      </c>
      <c r="G289" s="1" t="s">
        <v>33</v>
      </c>
      <c r="H289" s="1" t="str">
        <f t="shared" si="48"/>
        <v>20220901</v>
      </c>
      <c r="I289" s="1" t="str">
        <f>"125341"</f>
        <v>125341</v>
      </c>
      <c r="J289" s="1" t="s">
        <v>34</v>
      </c>
      <c r="K289" s="1" t="s">
        <v>34</v>
      </c>
      <c r="L289" s="1" t="str">
        <f t="shared" si="49"/>
        <v>20220901</v>
      </c>
      <c r="M289" s="1" t="str">
        <f>"131928"</f>
        <v>131928</v>
      </c>
      <c r="N289" s="1" t="s">
        <v>28</v>
      </c>
      <c r="O289" s="1" t="s">
        <v>28</v>
      </c>
      <c r="P289" s="1" t="s">
        <v>55</v>
      </c>
      <c r="Q289" s="1">
        <v>25</v>
      </c>
      <c r="R289" s="1">
        <v>25</v>
      </c>
      <c r="S289" s="1">
        <v>0</v>
      </c>
      <c r="T289" s="1">
        <v>0</v>
      </c>
      <c r="U289" s="1">
        <v>0</v>
      </c>
      <c r="V289" s="1" t="str">
        <f t="shared" si="51"/>
        <v>里程返程</v>
      </c>
      <c r="W289" s="1" t="str">
        <f>"2020"</f>
        <v>2020</v>
      </c>
      <c r="X289" s="1" t="s">
        <v>35</v>
      </c>
    </row>
    <row r="290" spans="1:24" x14ac:dyDescent="0.3">
      <c r="A290" s="1" t="str">
        <f t="shared" si="46"/>
        <v>59829</v>
      </c>
      <c r="B290" s="1" t="s">
        <v>47</v>
      </c>
      <c r="C290" s="1" t="s">
        <v>48</v>
      </c>
      <c r="D290" s="1" t="str">
        <f t="shared" si="50"/>
        <v>9803</v>
      </c>
      <c r="E290" s="1" t="s">
        <v>32</v>
      </c>
      <c r="F290" s="1" t="str">
        <f>"2508078050"</f>
        <v>2508078050</v>
      </c>
      <c r="G290" s="1" t="s">
        <v>33</v>
      </c>
      <c r="H290" s="1" t="str">
        <f t="shared" si="48"/>
        <v>20220901</v>
      </c>
      <c r="I290" s="1" t="str">
        <f>"130629"</f>
        <v>130629</v>
      </c>
      <c r="J290" s="1" t="s">
        <v>87</v>
      </c>
      <c r="K290" s="1" t="s">
        <v>28</v>
      </c>
      <c r="L290" s="1" t="str">
        <f t="shared" si="49"/>
        <v>20220901</v>
      </c>
      <c r="M290" s="1" t="str">
        <f>"131923"</f>
        <v>131923</v>
      </c>
      <c r="N290" s="1" t="s">
        <v>28</v>
      </c>
      <c r="O290" s="1" t="s">
        <v>28</v>
      </c>
      <c r="P290" s="1" t="s">
        <v>55</v>
      </c>
      <c r="Q290" s="1">
        <v>25</v>
      </c>
      <c r="R290" s="1">
        <v>25</v>
      </c>
      <c r="S290" s="1">
        <v>0</v>
      </c>
      <c r="T290" s="1">
        <v>0</v>
      </c>
      <c r="U290" s="1">
        <v>0</v>
      </c>
      <c r="V290" s="1" t="str">
        <f t="shared" si="51"/>
        <v>里程返程</v>
      </c>
      <c r="W290" s="1" t="str">
        <f>"2020"</f>
        <v>2020</v>
      </c>
      <c r="X290" s="1" t="s">
        <v>35</v>
      </c>
    </row>
    <row r="291" spans="1:24" x14ac:dyDescent="0.3">
      <c r="A291" s="1" t="str">
        <f t="shared" si="46"/>
        <v>59829</v>
      </c>
      <c r="B291" s="1" t="s">
        <v>47</v>
      </c>
      <c r="C291" s="1" t="s">
        <v>48</v>
      </c>
      <c r="D291" s="1" t="str">
        <f t="shared" si="50"/>
        <v>9803</v>
      </c>
      <c r="E291" s="1" t="s">
        <v>32</v>
      </c>
      <c r="F291" s="1" t="str">
        <f>"148116485"</f>
        <v>148116485</v>
      </c>
      <c r="G291" s="1" t="s">
        <v>33</v>
      </c>
      <c r="H291" s="1" t="str">
        <f t="shared" si="48"/>
        <v>20220901</v>
      </c>
      <c r="I291" s="1" t="str">
        <f>"130633"</f>
        <v>130633</v>
      </c>
      <c r="J291" s="1" t="s">
        <v>87</v>
      </c>
      <c r="K291" s="1" t="s">
        <v>28</v>
      </c>
      <c r="L291" s="1" t="str">
        <f t="shared" si="49"/>
        <v>20220901</v>
      </c>
      <c r="M291" s="1" t="str">
        <f>"131916"</f>
        <v>131916</v>
      </c>
      <c r="N291" s="1" t="s">
        <v>28</v>
      </c>
      <c r="O291" s="1" t="s">
        <v>28</v>
      </c>
      <c r="P291" s="1" t="s">
        <v>55</v>
      </c>
      <c r="Q291" s="1">
        <v>25</v>
      </c>
      <c r="R291" s="1">
        <v>25</v>
      </c>
      <c r="S291" s="1">
        <v>0</v>
      </c>
      <c r="T291" s="1">
        <v>0</v>
      </c>
      <c r="U291" s="1">
        <v>0</v>
      </c>
      <c r="V291" s="1" t="str">
        <f t="shared" si="51"/>
        <v>里程返程</v>
      </c>
      <c r="W291" s="1" t="str">
        <f>"2020"</f>
        <v>2020</v>
      </c>
      <c r="X291" s="1" t="s">
        <v>35</v>
      </c>
    </row>
    <row r="292" spans="1:24" x14ac:dyDescent="0.3">
      <c r="A292" s="1" t="str">
        <f t="shared" si="46"/>
        <v>59829</v>
      </c>
      <c r="B292" s="1" t="s">
        <v>47</v>
      </c>
      <c r="C292" s="1" t="s">
        <v>48</v>
      </c>
      <c r="D292" s="1" t="str">
        <f>"9805"</f>
        <v>9805</v>
      </c>
      <c r="E292" s="1" t="s">
        <v>57</v>
      </c>
      <c r="F292" s="1" t="str">
        <f>"398784737"</f>
        <v>398784737</v>
      </c>
      <c r="G292" s="1" t="s">
        <v>33</v>
      </c>
      <c r="H292" s="1" t="str">
        <f t="shared" si="48"/>
        <v>20220901</v>
      </c>
      <c r="I292" s="1" t="str">
        <f>"175743"</f>
        <v>175743</v>
      </c>
      <c r="J292" s="1" t="s">
        <v>28</v>
      </c>
      <c r="K292" s="1" t="s">
        <v>28</v>
      </c>
      <c r="L292" s="1" t="str">
        <f t="shared" si="49"/>
        <v>20220901</v>
      </c>
      <c r="M292" s="1" t="str">
        <f>"181948"</f>
        <v>181948</v>
      </c>
      <c r="N292" s="1" t="s">
        <v>52</v>
      </c>
      <c r="O292" s="1" t="s">
        <v>52</v>
      </c>
      <c r="P292" s="1" t="s">
        <v>55</v>
      </c>
      <c r="Q292" s="1">
        <v>25</v>
      </c>
      <c r="R292" s="1">
        <v>0</v>
      </c>
      <c r="S292" s="1">
        <v>25</v>
      </c>
      <c r="T292" s="1">
        <v>0</v>
      </c>
      <c r="U292" s="1">
        <v>0</v>
      </c>
      <c r="V292" s="1" t="str">
        <f>"里程去程"</f>
        <v>里程去程</v>
      </c>
      <c r="W292" s="1" t="str">
        <f>"1e20"</f>
        <v>1e20</v>
      </c>
      <c r="X292" s="1" t="s">
        <v>35</v>
      </c>
    </row>
    <row r="293" spans="1:24" x14ac:dyDescent="0.3">
      <c r="A293" s="1" t="str">
        <f t="shared" ref="A293:A325" si="52">"59809"</f>
        <v>59809</v>
      </c>
      <c r="B293" s="1" t="s">
        <v>42</v>
      </c>
      <c r="C293" s="1" t="s">
        <v>43</v>
      </c>
      <c r="D293" s="1" t="str">
        <f t="shared" ref="D293:D305" si="53">"9806"</f>
        <v>9806</v>
      </c>
      <c r="E293" s="1" t="s">
        <v>49</v>
      </c>
      <c r="F293" s="1" t="str">
        <f>"927551509"</f>
        <v>927551509</v>
      </c>
      <c r="G293" s="1" t="s">
        <v>38</v>
      </c>
      <c r="H293" s="1" t="str">
        <f t="shared" ref="H293:H324" si="54">"20220902"</f>
        <v>20220902</v>
      </c>
      <c r="I293" s="1" t="str">
        <f>"072750"</f>
        <v>072750</v>
      </c>
      <c r="J293" s="1" t="s">
        <v>95</v>
      </c>
      <c r="K293" s="1" t="s">
        <v>28</v>
      </c>
      <c r="L293" s="1" t="str">
        <f t="shared" ref="L293:L320" si="55">"20220902"</f>
        <v>20220902</v>
      </c>
      <c r="M293" s="1" t="str">
        <f>"073812"</f>
        <v>073812</v>
      </c>
      <c r="N293" s="1" t="s">
        <v>63</v>
      </c>
      <c r="O293" s="1" t="s">
        <v>28</v>
      </c>
      <c r="P293" s="1" t="s">
        <v>55</v>
      </c>
      <c r="Q293" s="1">
        <v>25</v>
      </c>
      <c r="R293" s="1">
        <v>0</v>
      </c>
      <c r="S293" s="1">
        <v>25</v>
      </c>
      <c r="T293" s="1">
        <v>0</v>
      </c>
      <c r="U293" s="1">
        <v>0</v>
      </c>
      <c r="V293" s="1" t="str">
        <f t="shared" ref="V293:V306" si="56">"里程返程"</f>
        <v>里程返程</v>
      </c>
      <c r="W293" s="1" t="str">
        <f>"0820"</f>
        <v>0820</v>
      </c>
      <c r="X293" s="1" t="s">
        <v>35</v>
      </c>
    </row>
    <row r="294" spans="1:24" x14ac:dyDescent="0.3">
      <c r="A294" s="1" t="str">
        <f t="shared" si="52"/>
        <v>59809</v>
      </c>
      <c r="B294" s="1" t="s">
        <v>42</v>
      </c>
      <c r="C294" s="1" t="s">
        <v>43</v>
      </c>
      <c r="D294" s="1" t="str">
        <f t="shared" si="53"/>
        <v>9806</v>
      </c>
      <c r="E294" s="1" t="s">
        <v>49</v>
      </c>
      <c r="F294" s="1" t="str">
        <f>"126D55163C880400C814002000000019"</f>
        <v>126D55163C880400C814002000000019</v>
      </c>
      <c r="G294" s="1" t="s">
        <v>59</v>
      </c>
      <c r="H294" s="1" t="str">
        <f t="shared" si="54"/>
        <v>20220902</v>
      </c>
      <c r="I294" s="1" t="str">
        <f>"072752"</f>
        <v>072752</v>
      </c>
      <c r="J294" s="1" t="s">
        <v>95</v>
      </c>
      <c r="K294" s="1" t="s">
        <v>28</v>
      </c>
      <c r="L294" s="1" t="str">
        <f t="shared" si="55"/>
        <v>20220902</v>
      </c>
      <c r="M294" s="1" t="str">
        <f>"073810"</f>
        <v>073810</v>
      </c>
      <c r="N294" s="1" t="s">
        <v>63</v>
      </c>
      <c r="O294" s="1" t="s">
        <v>28</v>
      </c>
      <c r="P294" s="1" t="s">
        <v>55</v>
      </c>
      <c r="Q294" s="1">
        <v>25</v>
      </c>
      <c r="R294" s="1">
        <v>0</v>
      </c>
      <c r="S294" s="1">
        <v>25</v>
      </c>
      <c r="T294" s="1">
        <v>0</v>
      </c>
      <c r="U294" s="1">
        <v>0</v>
      </c>
      <c r="V294" s="1" t="str">
        <f t="shared" si="56"/>
        <v>里程返程</v>
      </c>
      <c r="W294" s="1" t="str">
        <f>"0620"</f>
        <v>0620</v>
      </c>
      <c r="X294" s="1" t="s">
        <v>29</v>
      </c>
    </row>
    <row r="295" spans="1:24" x14ac:dyDescent="0.3">
      <c r="A295" s="1" t="str">
        <f t="shared" si="52"/>
        <v>59809</v>
      </c>
      <c r="B295" s="1" t="s">
        <v>42</v>
      </c>
      <c r="C295" s="1" t="s">
        <v>43</v>
      </c>
      <c r="D295" s="1" t="str">
        <f t="shared" si="53"/>
        <v>9806</v>
      </c>
      <c r="E295" s="1" t="s">
        <v>49</v>
      </c>
      <c r="F295" s="1" t="str">
        <f>"1261180965"</f>
        <v>1261180965</v>
      </c>
      <c r="G295" s="1" t="s">
        <v>33</v>
      </c>
      <c r="H295" s="1" t="str">
        <f t="shared" si="54"/>
        <v>20220902</v>
      </c>
      <c r="I295" s="1" t="str">
        <f>"072757"</f>
        <v>072757</v>
      </c>
      <c r="J295" s="1" t="s">
        <v>95</v>
      </c>
      <c r="K295" s="1" t="s">
        <v>28</v>
      </c>
      <c r="L295" s="1" t="str">
        <f t="shared" si="55"/>
        <v>20220902</v>
      </c>
      <c r="M295" s="1" t="str">
        <f>"073814"</f>
        <v>073814</v>
      </c>
      <c r="N295" s="1" t="s">
        <v>63</v>
      </c>
      <c r="O295" s="1" t="s">
        <v>28</v>
      </c>
      <c r="P295" s="1" t="s">
        <v>55</v>
      </c>
      <c r="Q295" s="1">
        <v>25</v>
      </c>
      <c r="R295" s="1">
        <v>0</v>
      </c>
      <c r="S295" s="1">
        <v>25</v>
      </c>
      <c r="T295" s="1">
        <v>0</v>
      </c>
      <c r="U295" s="1">
        <v>0</v>
      </c>
      <c r="V295" s="1" t="str">
        <f t="shared" si="56"/>
        <v>里程返程</v>
      </c>
      <c r="W295" s="1" t="str">
        <f>"0820"</f>
        <v>0820</v>
      </c>
      <c r="X295" s="1" t="s">
        <v>35</v>
      </c>
    </row>
    <row r="296" spans="1:24" x14ac:dyDescent="0.3">
      <c r="A296" s="1" t="str">
        <f t="shared" si="52"/>
        <v>59809</v>
      </c>
      <c r="B296" s="1" t="s">
        <v>42</v>
      </c>
      <c r="C296" s="1" t="s">
        <v>111</v>
      </c>
      <c r="D296" s="1" t="str">
        <f t="shared" si="53"/>
        <v>9806</v>
      </c>
      <c r="E296" s="1" t="s">
        <v>49</v>
      </c>
      <c r="F296" s="1" t="str">
        <f>"7111180627000603"</f>
        <v>7111180627000603</v>
      </c>
      <c r="G296" s="1" t="s">
        <v>33</v>
      </c>
      <c r="H296" s="1" t="str">
        <f t="shared" si="54"/>
        <v>20220902</v>
      </c>
      <c r="I296" s="1" t="str">
        <f>"072803"</f>
        <v>072803</v>
      </c>
      <c r="J296" s="1" t="s">
        <v>95</v>
      </c>
      <c r="K296" s="1" t="s">
        <v>28</v>
      </c>
      <c r="L296" s="1" t="str">
        <f t="shared" si="55"/>
        <v>20220902</v>
      </c>
      <c r="M296" s="1" t="str">
        <f>"073816"</f>
        <v>073816</v>
      </c>
      <c r="N296" s="1" t="s">
        <v>63</v>
      </c>
      <c r="O296" s="1" t="s">
        <v>28</v>
      </c>
      <c r="P296" s="1" t="s">
        <v>55</v>
      </c>
      <c r="Q296" s="1">
        <v>25</v>
      </c>
      <c r="R296" s="1">
        <v>25</v>
      </c>
      <c r="S296" s="1">
        <v>0</v>
      </c>
      <c r="T296" s="1">
        <v>0</v>
      </c>
      <c r="U296" s="1">
        <v>0</v>
      </c>
      <c r="V296" s="1" t="str">
        <f t="shared" si="56"/>
        <v>里程返程</v>
      </c>
      <c r="W296" s="1" t="str">
        <f>"088B"</f>
        <v>088B</v>
      </c>
      <c r="X296" s="1" t="s">
        <v>109</v>
      </c>
    </row>
    <row r="297" spans="1:24" x14ac:dyDescent="0.3">
      <c r="A297" s="1" t="str">
        <f t="shared" si="52"/>
        <v>59809</v>
      </c>
      <c r="B297" s="1" t="s">
        <v>42</v>
      </c>
      <c r="C297" s="1" t="s">
        <v>43</v>
      </c>
      <c r="D297" s="1" t="str">
        <f t="shared" si="53"/>
        <v>9806</v>
      </c>
      <c r="E297" s="1" t="s">
        <v>49</v>
      </c>
      <c r="F297" s="1" t="str">
        <f>"1055537829"</f>
        <v>1055537829</v>
      </c>
      <c r="G297" s="1" t="s">
        <v>33</v>
      </c>
      <c r="H297" s="1" t="str">
        <f t="shared" si="54"/>
        <v>20220902</v>
      </c>
      <c r="I297" s="1" t="str">
        <f>"072807"</f>
        <v>072807</v>
      </c>
      <c r="J297" s="1" t="s">
        <v>95</v>
      </c>
      <c r="K297" s="1" t="s">
        <v>28</v>
      </c>
      <c r="L297" s="1" t="str">
        <f t="shared" si="55"/>
        <v>20220902</v>
      </c>
      <c r="M297" s="1" t="str">
        <f>"073820"</f>
        <v>073820</v>
      </c>
      <c r="N297" s="1" t="s">
        <v>63</v>
      </c>
      <c r="O297" s="1" t="s">
        <v>28</v>
      </c>
      <c r="P297" s="1" t="s">
        <v>55</v>
      </c>
      <c r="Q297" s="1">
        <v>25</v>
      </c>
      <c r="R297" s="1">
        <v>0</v>
      </c>
      <c r="S297" s="1">
        <v>25</v>
      </c>
      <c r="T297" s="1">
        <v>0</v>
      </c>
      <c r="U297" s="1">
        <v>0</v>
      </c>
      <c r="V297" s="1" t="str">
        <f t="shared" si="56"/>
        <v>里程返程</v>
      </c>
      <c r="W297" s="1" t="str">
        <f>"0820"</f>
        <v>0820</v>
      </c>
      <c r="X297" s="1" t="s">
        <v>35</v>
      </c>
    </row>
    <row r="298" spans="1:24" x14ac:dyDescent="0.3">
      <c r="A298" s="1" t="str">
        <f t="shared" si="52"/>
        <v>59809</v>
      </c>
      <c r="B298" s="1" t="s">
        <v>42</v>
      </c>
      <c r="C298" s="1" t="s">
        <v>43</v>
      </c>
      <c r="D298" s="1" t="str">
        <f t="shared" si="53"/>
        <v>9806</v>
      </c>
      <c r="E298" s="1" t="s">
        <v>49</v>
      </c>
      <c r="F298" s="1" t="str">
        <f>"F238370AF7880400C810002000000016"</f>
        <v>F238370AF7880400C810002000000016</v>
      </c>
      <c r="G298" s="1" t="s">
        <v>59</v>
      </c>
      <c r="H298" s="1" t="str">
        <f t="shared" si="54"/>
        <v>20220902</v>
      </c>
      <c r="I298" s="1" t="str">
        <f>"072812"</f>
        <v>072812</v>
      </c>
      <c r="J298" s="1" t="s">
        <v>95</v>
      </c>
      <c r="K298" s="1" t="s">
        <v>28</v>
      </c>
      <c r="L298" s="1" t="str">
        <f t="shared" si="55"/>
        <v>20220902</v>
      </c>
      <c r="M298" s="1" t="str">
        <f>"073823"</f>
        <v>073823</v>
      </c>
      <c r="N298" s="1" t="s">
        <v>63</v>
      </c>
      <c r="O298" s="1" t="s">
        <v>28</v>
      </c>
      <c r="P298" s="1" t="s">
        <v>55</v>
      </c>
      <c r="Q298" s="1">
        <v>25</v>
      </c>
      <c r="R298" s="1">
        <v>0</v>
      </c>
      <c r="S298" s="1">
        <v>25</v>
      </c>
      <c r="T298" s="1">
        <v>0</v>
      </c>
      <c r="U298" s="1">
        <v>0</v>
      </c>
      <c r="V298" s="1" t="str">
        <f t="shared" si="56"/>
        <v>里程返程</v>
      </c>
      <c r="W298" s="1" t="str">
        <f>"0620"</f>
        <v>0620</v>
      </c>
      <c r="X298" s="1" t="s">
        <v>29</v>
      </c>
    </row>
    <row r="299" spans="1:24" x14ac:dyDescent="0.3">
      <c r="A299" s="1" t="str">
        <f t="shared" si="52"/>
        <v>59809</v>
      </c>
      <c r="B299" s="1" t="s">
        <v>42</v>
      </c>
      <c r="C299" s="1" t="s">
        <v>43</v>
      </c>
      <c r="D299" s="1" t="str">
        <f t="shared" si="53"/>
        <v>9806</v>
      </c>
      <c r="E299" s="1" t="s">
        <v>49</v>
      </c>
      <c r="F299" s="1" t="str">
        <f>"1697487813"</f>
        <v>1697487813</v>
      </c>
      <c r="G299" s="1" t="s">
        <v>33</v>
      </c>
      <c r="H299" s="1" t="str">
        <f t="shared" si="54"/>
        <v>20220902</v>
      </c>
      <c r="I299" s="1" t="str">
        <f>"072813"</f>
        <v>072813</v>
      </c>
      <c r="J299" s="1" t="s">
        <v>95</v>
      </c>
      <c r="K299" s="1" t="s">
        <v>28</v>
      </c>
      <c r="L299" s="1" t="str">
        <f t="shared" si="55"/>
        <v>20220902</v>
      </c>
      <c r="M299" s="1" t="str">
        <f>"074542"</f>
        <v>074542</v>
      </c>
      <c r="N299" s="1" t="s">
        <v>99</v>
      </c>
      <c r="O299" s="1" t="s">
        <v>28</v>
      </c>
      <c r="P299" s="1" t="s">
        <v>55</v>
      </c>
      <c r="Q299" s="1">
        <v>25</v>
      </c>
      <c r="R299" s="1">
        <v>0</v>
      </c>
      <c r="S299" s="1">
        <v>25</v>
      </c>
      <c r="T299" s="1">
        <v>0</v>
      </c>
      <c r="U299" s="1">
        <v>0</v>
      </c>
      <c r="V299" s="1" t="str">
        <f t="shared" si="56"/>
        <v>里程返程</v>
      </c>
      <c r="W299" s="1" t="str">
        <f>"0820"</f>
        <v>0820</v>
      </c>
      <c r="X299" s="1" t="s">
        <v>35</v>
      </c>
    </row>
    <row r="300" spans="1:24" x14ac:dyDescent="0.3">
      <c r="A300" s="1" t="str">
        <f t="shared" si="52"/>
        <v>59809</v>
      </c>
      <c r="B300" s="1" t="s">
        <v>42</v>
      </c>
      <c r="C300" s="1" t="s">
        <v>111</v>
      </c>
      <c r="D300" s="1" t="str">
        <f t="shared" si="53"/>
        <v>9806</v>
      </c>
      <c r="E300" s="1" t="s">
        <v>49</v>
      </c>
      <c r="F300" s="1" t="str">
        <f>"7511161863006423"</f>
        <v>7511161863006423</v>
      </c>
      <c r="G300" s="1" t="s">
        <v>33</v>
      </c>
      <c r="H300" s="1" t="str">
        <f t="shared" si="54"/>
        <v>20220902</v>
      </c>
      <c r="I300" s="1" t="str">
        <f>"072817"</f>
        <v>072817</v>
      </c>
      <c r="J300" s="1" t="s">
        <v>95</v>
      </c>
      <c r="K300" s="1" t="s">
        <v>28</v>
      </c>
      <c r="L300" s="1" t="str">
        <f t="shared" si="55"/>
        <v>20220902</v>
      </c>
      <c r="M300" s="1" t="str">
        <f>"074544"</f>
        <v>074544</v>
      </c>
      <c r="N300" s="1" t="s">
        <v>99</v>
      </c>
      <c r="O300" s="1" t="s">
        <v>28</v>
      </c>
      <c r="P300" s="1" t="s">
        <v>55</v>
      </c>
      <c r="Q300" s="1">
        <v>25</v>
      </c>
      <c r="R300" s="1">
        <v>0</v>
      </c>
      <c r="S300" s="1">
        <v>25</v>
      </c>
      <c r="T300" s="1">
        <v>0</v>
      </c>
      <c r="U300" s="1">
        <v>0</v>
      </c>
      <c r="V300" s="1" t="str">
        <f t="shared" si="56"/>
        <v>里程返程</v>
      </c>
      <c r="W300" s="1" t="str">
        <f>"083B"</f>
        <v>083B</v>
      </c>
      <c r="X300" s="1" t="s">
        <v>109</v>
      </c>
    </row>
    <row r="301" spans="1:24" x14ac:dyDescent="0.3">
      <c r="A301" s="1" t="str">
        <f t="shared" si="52"/>
        <v>59809</v>
      </c>
      <c r="B301" s="1" t="s">
        <v>42</v>
      </c>
      <c r="C301" s="1" t="s">
        <v>43</v>
      </c>
      <c r="D301" s="1" t="str">
        <f t="shared" si="53"/>
        <v>9806</v>
      </c>
      <c r="E301" s="1" t="s">
        <v>49</v>
      </c>
      <c r="F301" s="1" t="str">
        <f>"12BE3C1B8B880400C817002000000021"</f>
        <v>12BE3C1B8B880400C817002000000021</v>
      </c>
      <c r="G301" s="1" t="s">
        <v>59</v>
      </c>
      <c r="H301" s="1" t="str">
        <f t="shared" si="54"/>
        <v>20220902</v>
      </c>
      <c r="I301" s="1" t="str">
        <f>"072827"</f>
        <v>072827</v>
      </c>
      <c r="J301" s="1" t="s">
        <v>95</v>
      </c>
      <c r="K301" s="1" t="s">
        <v>28</v>
      </c>
      <c r="L301" s="1" t="str">
        <f t="shared" si="55"/>
        <v>20220902</v>
      </c>
      <c r="M301" s="1" t="str">
        <f>"074556"</f>
        <v>074556</v>
      </c>
      <c r="N301" s="1" t="s">
        <v>99</v>
      </c>
      <c r="O301" s="1" t="s">
        <v>28</v>
      </c>
      <c r="P301" s="1" t="s">
        <v>55</v>
      </c>
      <c r="Q301" s="1">
        <v>25</v>
      </c>
      <c r="R301" s="1">
        <v>25</v>
      </c>
      <c r="S301" s="1">
        <v>0</v>
      </c>
      <c r="T301" s="1">
        <v>0</v>
      </c>
      <c r="U301" s="1">
        <v>0</v>
      </c>
      <c r="V301" s="1" t="str">
        <f t="shared" si="56"/>
        <v>里程返程</v>
      </c>
      <c r="W301" s="1" t="str">
        <f>"0020"</f>
        <v>0020</v>
      </c>
      <c r="X301" s="1" t="s">
        <v>29</v>
      </c>
    </row>
    <row r="302" spans="1:24" x14ac:dyDescent="0.3">
      <c r="A302" s="1" t="str">
        <f t="shared" si="52"/>
        <v>59809</v>
      </c>
      <c r="B302" s="1" t="s">
        <v>42</v>
      </c>
      <c r="C302" s="1" t="s">
        <v>43</v>
      </c>
      <c r="D302" s="1" t="str">
        <f t="shared" si="53"/>
        <v>9806</v>
      </c>
      <c r="E302" s="1" t="s">
        <v>49</v>
      </c>
      <c r="F302" s="1" t="str">
        <f>"B211E70246880400C834002000000015"</f>
        <v>B211E70246880400C834002000000015</v>
      </c>
      <c r="G302" s="1" t="s">
        <v>74</v>
      </c>
      <c r="H302" s="1" t="str">
        <f t="shared" si="54"/>
        <v>20220902</v>
      </c>
      <c r="I302" s="1" t="str">
        <f>"073314"</f>
        <v>073314</v>
      </c>
      <c r="J302" s="1" t="s">
        <v>101</v>
      </c>
      <c r="K302" s="1" t="s">
        <v>28</v>
      </c>
      <c r="L302" s="1" t="str">
        <f t="shared" si="55"/>
        <v>20220902</v>
      </c>
      <c r="M302" s="1" t="str">
        <f>"074552"</f>
        <v>074552</v>
      </c>
      <c r="N302" s="1" t="s">
        <v>99</v>
      </c>
      <c r="O302" s="1" t="s">
        <v>28</v>
      </c>
      <c r="P302" s="1" t="s">
        <v>68</v>
      </c>
      <c r="Q302" s="1">
        <v>13</v>
      </c>
      <c r="R302" s="1">
        <v>0</v>
      </c>
      <c r="S302" s="1">
        <v>0</v>
      </c>
      <c r="T302" s="1">
        <v>13</v>
      </c>
      <c r="U302" s="1">
        <v>0</v>
      </c>
      <c r="V302" s="1" t="str">
        <f t="shared" si="56"/>
        <v>里程返程</v>
      </c>
      <c r="W302" s="1" t="str">
        <f>"0020"</f>
        <v>0020</v>
      </c>
      <c r="X302" s="1" t="s">
        <v>29</v>
      </c>
    </row>
    <row r="303" spans="1:24" x14ac:dyDescent="0.3">
      <c r="A303" s="1" t="str">
        <f t="shared" si="52"/>
        <v>59809</v>
      </c>
      <c r="B303" s="1" t="s">
        <v>42</v>
      </c>
      <c r="C303" s="1" t="s">
        <v>43</v>
      </c>
      <c r="D303" s="1" t="str">
        <f t="shared" si="53"/>
        <v>9806</v>
      </c>
      <c r="E303" s="1" t="s">
        <v>49</v>
      </c>
      <c r="F303" s="1" t="str">
        <f>"1202E702F5880400C834002000000015"</f>
        <v>1202E702F5880400C834002000000015</v>
      </c>
      <c r="G303" s="1" t="s">
        <v>74</v>
      </c>
      <c r="H303" s="1" t="str">
        <f t="shared" si="54"/>
        <v>20220902</v>
      </c>
      <c r="I303" s="1" t="str">
        <f>"073317"</f>
        <v>073317</v>
      </c>
      <c r="J303" s="1" t="s">
        <v>101</v>
      </c>
      <c r="K303" s="1" t="s">
        <v>28</v>
      </c>
      <c r="L303" s="1" t="str">
        <f t="shared" si="55"/>
        <v>20220902</v>
      </c>
      <c r="M303" s="1" t="str">
        <f>"074547"</f>
        <v>074547</v>
      </c>
      <c r="N303" s="1" t="s">
        <v>99</v>
      </c>
      <c r="O303" s="1" t="s">
        <v>28</v>
      </c>
      <c r="P303" s="1" t="s">
        <v>68</v>
      </c>
      <c r="Q303" s="1">
        <v>13</v>
      </c>
      <c r="R303" s="1">
        <v>0</v>
      </c>
      <c r="S303" s="1">
        <v>0</v>
      </c>
      <c r="T303" s="1">
        <v>13</v>
      </c>
      <c r="U303" s="1">
        <v>0</v>
      </c>
      <c r="V303" s="1" t="str">
        <f t="shared" si="56"/>
        <v>里程返程</v>
      </c>
      <c r="W303" s="1" t="str">
        <f>"0020"</f>
        <v>0020</v>
      </c>
      <c r="X303" s="1" t="s">
        <v>29</v>
      </c>
    </row>
    <row r="304" spans="1:24" x14ac:dyDescent="0.3">
      <c r="A304" s="1" t="str">
        <f t="shared" si="52"/>
        <v>59809</v>
      </c>
      <c r="B304" s="1" t="s">
        <v>42</v>
      </c>
      <c r="C304" s="1" t="s">
        <v>43</v>
      </c>
      <c r="D304" s="1" t="str">
        <f t="shared" si="53"/>
        <v>9806</v>
      </c>
      <c r="E304" s="1" t="s">
        <v>49</v>
      </c>
      <c r="F304" s="1" t="str">
        <f>"B205E70252880400C834002000000015"</f>
        <v>B205E70252880400C834002000000015</v>
      </c>
      <c r="G304" s="1" t="s">
        <v>74</v>
      </c>
      <c r="H304" s="1" t="str">
        <f t="shared" si="54"/>
        <v>20220902</v>
      </c>
      <c r="I304" s="1" t="str">
        <f>"073320"</f>
        <v>073320</v>
      </c>
      <c r="J304" s="1" t="s">
        <v>101</v>
      </c>
      <c r="K304" s="1" t="s">
        <v>28</v>
      </c>
      <c r="L304" s="1" t="str">
        <f t="shared" si="55"/>
        <v>20220902</v>
      </c>
      <c r="M304" s="1" t="str">
        <f>"074548"</f>
        <v>074548</v>
      </c>
      <c r="N304" s="1" t="s">
        <v>99</v>
      </c>
      <c r="O304" s="1" t="s">
        <v>28</v>
      </c>
      <c r="P304" s="1" t="s">
        <v>68</v>
      </c>
      <c r="Q304" s="1">
        <v>13</v>
      </c>
      <c r="R304" s="1">
        <v>0</v>
      </c>
      <c r="S304" s="1">
        <v>0</v>
      </c>
      <c r="T304" s="1">
        <v>13</v>
      </c>
      <c r="U304" s="1">
        <v>0</v>
      </c>
      <c r="V304" s="1" t="str">
        <f t="shared" si="56"/>
        <v>里程返程</v>
      </c>
      <c r="W304" s="1" t="str">
        <f>"0020"</f>
        <v>0020</v>
      </c>
      <c r="X304" s="1" t="s">
        <v>29</v>
      </c>
    </row>
    <row r="305" spans="1:24" x14ac:dyDescent="0.3">
      <c r="A305" s="1" t="str">
        <f t="shared" si="52"/>
        <v>59809</v>
      </c>
      <c r="B305" s="1" t="s">
        <v>42</v>
      </c>
      <c r="C305" s="1" t="s">
        <v>43</v>
      </c>
      <c r="D305" s="1" t="str">
        <f t="shared" si="53"/>
        <v>9806</v>
      </c>
      <c r="E305" s="1" t="s">
        <v>49</v>
      </c>
      <c r="F305" s="1" t="str">
        <f>"F2A1E602B7880400C834002000000015"</f>
        <v>F2A1E602B7880400C834002000000015</v>
      </c>
      <c r="G305" s="1" t="s">
        <v>74</v>
      </c>
      <c r="H305" s="1" t="str">
        <f t="shared" si="54"/>
        <v>20220902</v>
      </c>
      <c r="I305" s="1" t="str">
        <f>"073322"</f>
        <v>073322</v>
      </c>
      <c r="J305" s="1" t="s">
        <v>101</v>
      </c>
      <c r="K305" s="1" t="s">
        <v>28</v>
      </c>
      <c r="L305" s="1" t="str">
        <f t="shared" si="55"/>
        <v>20220902</v>
      </c>
      <c r="M305" s="1" t="str">
        <f>"074550"</f>
        <v>074550</v>
      </c>
      <c r="N305" s="1" t="s">
        <v>99</v>
      </c>
      <c r="O305" s="1" t="s">
        <v>28</v>
      </c>
      <c r="P305" s="1" t="s">
        <v>68</v>
      </c>
      <c r="Q305" s="1">
        <v>13</v>
      </c>
      <c r="R305" s="1">
        <v>0</v>
      </c>
      <c r="S305" s="1">
        <v>0</v>
      </c>
      <c r="T305" s="1">
        <v>13</v>
      </c>
      <c r="U305" s="1">
        <v>0</v>
      </c>
      <c r="V305" s="1" t="str">
        <f t="shared" si="56"/>
        <v>里程返程</v>
      </c>
      <c r="W305" s="1" t="str">
        <f>"0020"</f>
        <v>0020</v>
      </c>
      <c r="X305" s="1" t="s">
        <v>29</v>
      </c>
    </row>
    <row r="306" spans="1:24" x14ac:dyDescent="0.3">
      <c r="A306" s="1" t="str">
        <f t="shared" si="52"/>
        <v>59809</v>
      </c>
      <c r="B306" s="1" t="s">
        <v>42</v>
      </c>
      <c r="C306" s="1" t="s">
        <v>43</v>
      </c>
      <c r="D306" s="1" t="str">
        <f>"9803"</f>
        <v>9803</v>
      </c>
      <c r="E306" s="1" t="s">
        <v>32</v>
      </c>
      <c r="F306" s="1" t="str">
        <f>"866619413"</f>
        <v>866619413</v>
      </c>
      <c r="G306" s="1" t="s">
        <v>26</v>
      </c>
      <c r="H306" s="1" t="str">
        <f t="shared" si="54"/>
        <v>20220902</v>
      </c>
      <c r="I306" s="1" t="str">
        <f>"083803"</f>
        <v>083803</v>
      </c>
      <c r="J306" s="1" t="s">
        <v>34</v>
      </c>
      <c r="K306" s="1" t="s">
        <v>34</v>
      </c>
      <c r="L306" s="1" t="str">
        <f t="shared" si="55"/>
        <v>20220902</v>
      </c>
      <c r="M306" s="1" t="str">
        <f>"090708"</f>
        <v>090708</v>
      </c>
      <c r="N306" s="1" t="s">
        <v>28</v>
      </c>
      <c r="O306" s="1" t="s">
        <v>28</v>
      </c>
      <c r="P306" s="1" t="s">
        <v>55</v>
      </c>
      <c r="Q306" s="1">
        <v>13</v>
      </c>
      <c r="R306" s="1">
        <v>13</v>
      </c>
      <c r="S306" s="1">
        <v>0</v>
      </c>
      <c r="T306" s="1">
        <v>0</v>
      </c>
      <c r="U306" s="1">
        <v>0</v>
      </c>
      <c r="V306" s="1" t="str">
        <f t="shared" si="56"/>
        <v>里程返程</v>
      </c>
      <c r="W306" s="1" t="str">
        <f>"2020"</f>
        <v>2020</v>
      </c>
      <c r="X306" s="1" t="s">
        <v>35</v>
      </c>
    </row>
    <row r="307" spans="1:24" x14ac:dyDescent="0.3">
      <c r="A307" s="1" t="str">
        <f t="shared" si="52"/>
        <v>59809</v>
      </c>
      <c r="B307" s="1" t="s">
        <v>42</v>
      </c>
      <c r="C307" s="1" t="s">
        <v>43</v>
      </c>
      <c r="D307" s="1" t="str">
        <f>"9803"</f>
        <v>9803</v>
      </c>
      <c r="E307" s="1" t="s">
        <v>32</v>
      </c>
      <c r="F307" s="1" t="str">
        <f>"E21F4F18AA880400C819002000000019"</f>
        <v>E21F4F18AA880400C819002000000019</v>
      </c>
      <c r="G307" s="1" t="s">
        <v>26</v>
      </c>
      <c r="H307" s="1" t="str">
        <f t="shared" si="54"/>
        <v>20220902</v>
      </c>
      <c r="I307" s="1" t="str">
        <f>"094604"</f>
        <v>094604</v>
      </c>
      <c r="J307" s="1" t="s">
        <v>28</v>
      </c>
      <c r="K307" s="1" t="s">
        <v>28</v>
      </c>
      <c r="L307" s="1" t="str">
        <f t="shared" si="55"/>
        <v>20220902</v>
      </c>
      <c r="M307" s="1" t="str">
        <f>"095634"</f>
        <v>095634</v>
      </c>
      <c r="N307" s="1" t="s">
        <v>70</v>
      </c>
      <c r="O307" s="1" t="s">
        <v>28</v>
      </c>
      <c r="P307" s="1" t="s">
        <v>55</v>
      </c>
      <c r="Q307" s="1">
        <v>13</v>
      </c>
      <c r="R307" s="1">
        <v>13</v>
      </c>
      <c r="S307" s="1">
        <v>0</v>
      </c>
      <c r="T307" s="1">
        <v>0</v>
      </c>
      <c r="U307" s="1">
        <v>0</v>
      </c>
      <c r="V307" s="1" t="str">
        <f>"里程去程"</f>
        <v>里程去程</v>
      </c>
      <c r="W307" s="1" t="str">
        <f>"0020"</f>
        <v>0020</v>
      </c>
      <c r="X307" s="1" t="s">
        <v>29</v>
      </c>
    </row>
    <row r="308" spans="1:24" x14ac:dyDescent="0.3">
      <c r="A308" s="1" t="str">
        <f t="shared" si="52"/>
        <v>59809</v>
      </c>
      <c r="B308" s="1" t="s">
        <v>42</v>
      </c>
      <c r="C308" s="1" t="s">
        <v>43</v>
      </c>
      <c r="D308" s="1" t="str">
        <f>"9803"</f>
        <v>9803</v>
      </c>
      <c r="E308" s="1" t="s">
        <v>32</v>
      </c>
      <c r="F308" s="1" t="str">
        <f>"122056321"</f>
        <v>122056321</v>
      </c>
      <c r="G308" s="1" t="s">
        <v>33</v>
      </c>
      <c r="H308" s="1" t="str">
        <f t="shared" si="54"/>
        <v>20220902</v>
      </c>
      <c r="I308" s="1" t="str">
        <f>"104347"</f>
        <v>104347</v>
      </c>
      <c r="J308" s="1" t="s">
        <v>73</v>
      </c>
      <c r="K308" s="1" t="s">
        <v>28</v>
      </c>
      <c r="L308" s="1" t="str">
        <f t="shared" si="55"/>
        <v>20220902</v>
      </c>
      <c r="M308" s="1" t="str">
        <f>"110617"</f>
        <v>110617</v>
      </c>
      <c r="N308" s="1" t="s">
        <v>28</v>
      </c>
      <c r="O308" s="1" t="s">
        <v>28</v>
      </c>
      <c r="P308" s="1" t="s">
        <v>55</v>
      </c>
      <c r="Q308" s="1">
        <v>25</v>
      </c>
      <c r="R308" s="1">
        <v>25</v>
      </c>
      <c r="S308" s="1">
        <v>0</v>
      </c>
      <c r="T308" s="1">
        <v>0</v>
      </c>
      <c r="U308" s="1">
        <v>0</v>
      </c>
      <c r="V308" s="1" t="str">
        <f>"里程返程"</f>
        <v>里程返程</v>
      </c>
      <c r="W308" s="1" t="str">
        <f>"2020"</f>
        <v>2020</v>
      </c>
      <c r="X308" s="1" t="s">
        <v>35</v>
      </c>
    </row>
    <row r="309" spans="1:24" x14ac:dyDescent="0.3">
      <c r="A309" s="1" t="str">
        <f t="shared" si="52"/>
        <v>59809</v>
      </c>
      <c r="B309" s="1" t="s">
        <v>42</v>
      </c>
      <c r="C309" s="1" t="s">
        <v>43</v>
      </c>
      <c r="D309" s="1" t="str">
        <f>"9803"</f>
        <v>9803</v>
      </c>
      <c r="E309" s="1" t="s">
        <v>32</v>
      </c>
      <c r="F309" s="1" t="str">
        <f>"896898549"</f>
        <v>896898549</v>
      </c>
      <c r="G309" s="1" t="s">
        <v>26</v>
      </c>
      <c r="H309" s="1" t="str">
        <f t="shared" si="54"/>
        <v>20220902</v>
      </c>
      <c r="I309" s="1" t="str">
        <f>"104358"</f>
        <v>104358</v>
      </c>
      <c r="J309" s="1" t="s">
        <v>73</v>
      </c>
      <c r="K309" s="1" t="s">
        <v>28</v>
      </c>
      <c r="L309" s="1" t="str">
        <f t="shared" si="55"/>
        <v>20220902</v>
      </c>
      <c r="M309" s="1" t="str">
        <f>"110619"</f>
        <v>110619</v>
      </c>
      <c r="N309" s="1" t="s">
        <v>28</v>
      </c>
      <c r="O309" s="1" t="s">
        <v>28</v>
      </c>
      <c r="P309" s="1" t="s">
        <v>55</v>
      </c>
      <c r="Q309" s="1">
        <v>13</v>
      </c>
      <c r="R309" s="1">
        <v>0</v>
      </c>
      <c r="S309" s="1">
        <v>13</v>
      </c>
      <c r="T309" s="1">
        <v>0</v>
      </c>
      <c r="U309" s="1">
        <v>0</v>
      </c>
      <c r="V309" s="1" t="str">
        <f>"里程返程"</f>
        <v>里程返程</v>
      </c>
      <c r="W309" s="1" t="str">
        <f>"2020"</f>
        <v>2020</v>
      </c>
      <c r="X309" s="1" t="s">
        <v>35</v>
      </c>
    </row>
    <row r="310" spans="1:24" x14ac:dyDescent="0.3">
      <c r="A310" s="1" t="str">
        <f t="shared" si="52"/>
        <v>59809</v>
      </c>
      <c r="B310" s="1" t="s">
        <v>42</v>
      </c>
      <c r="C310" s="1" t="s">
        <v>43</v>
      </c>
      <c r="D310" s="1" t="str">
        <f>"9805"</f>
        <v>9805</v>
      </c>
      <c r="E310" s="1" t="s">
        <v>57</v>
      </c>
      <c r="F310" s="1" t="str">
        <f>"2857294755"</f>
        <v>2857294755</v>
      </c>
      <c r="G310" s="1" t="s">
        <v>33</v>
      </c>
      <c r="H310" s="1" t="str">
        <f t="shared" si="54"/>
        <v>20220902</v>
      </c>
      <c r="I310" s="1" t="str">
        <f>"120923"</f>
        <v>120923</v>
      </c>
      <c r="J310" s="1" t="s">
        <v>28</v>
      </c>
      <c r="K310" s="1" t="s">
        <v>28</v>
      </c>
      <c r="L310" s="1" t="str">
        <f t="shared" si="55"/>
        <v>20220902</v>
      </c>
      <c r="M310" s="1" t="str">
        <f>"122152"</f>
        <v>122152</v>
      </c>
      <c r="N310" s="1" t="s">
        <v>62</v>
      </c>
      <c r="O310" s="1" t="s">
        <v>28</v>
      </c>
      <c r="P310" s="1" t="s">
        <v>55</v>
      </c>
      <c r="Q310" s="1">
        <v>25</v>
      </c>
      <c r="R310" s="1">
        <v>25</v>
      </c>
      <c r="S310" s="1">
        <v>0</v>
      </c>
      <c r="T310" s="1">
        <v>0</v>
      </c>
      <c r="U310" s="1">
        <v>0</v>
      </c>
      <c r="V310" s="1" t="str">
        <f>"里程去程"</f>
        <v>里程去程</v>
      </c>
      <c r="W310" s="1" t="str">
        <f>"0820"</f>
        <v>0820</v>
      </c>
      <c r="X310" s="1" t="s">
        <v>35</v>
      </c>
    </row>
    <row r="311" spans="1:24" x14ac:dyDescent="0.3">
      <c r="A311" s="1" t="str">
        <f t="shared" si="52"/>
        <v>59809</v>
      </c>
      <c r="B311" s="1" t="s">
        <v>42</v>
      </c>
      <c r="C311" s="1" t="s">
        <v>43</v>
      </c>
      <c r="D311" s="1" t="str">
        <f>"9805"</f>
        <v>9805</v>
      </c>
      <c r="E311" s="1" t="s">
        <v>57</v>
      </c>
      <c r="F311" s="1" t="str">
        <f>"296179553"</f>
        <v>296179553</v>
      </c>
      <c r="G311" s="1" t="s">
        <v>33</v>
      </c>
      <c r="H311" s="1" t="str">
        <f t="shared" si="54"/>
        <v>20220902</v>
      </c>
      <c r="I311" s="1" t="str">
        <f>"121000"</f>
        <v>121000</v>
      </c>
      <c r="J311" s="1" t="s">
        <v>28</v>
      </c>
      <c r="K311" s="1" t="s">
        <v>28</v>
      </c>
      <c r="L311" s="1" t="str">
        <f t="shared" si="55"/>
        <v>20220902</v>
      </c>
      <c r="M311" s="1" t="str">
        <f>"122131"</f>
        <v>122131</v>
      </c>
      <c r="N311" s="1" t="s">
        <v>62</v>
      </c>
      <c r="O311" s="1" t="s">
        <v>28</v>
      </c>
      <c r="P311" s="1" t="s">
        <v>55</v>
      </c>
      <c r="Q311" s="1">
        <v>25</v>
      </c>
      <c r="R311" s="1">
        <v>25</v>
      </c>
      <c r="S311" s="1">
        <v>0</v>
      </c>
      <c r="T311" s="1">
        <v>0</v>
      </c>
      <c r="U311" s="1">
        <v>0</v>
      </c>
      <c r="V311" s="1" t="str">
        <f>"里程去程"</f>
        <v>里程去程</v>
      </c>
      <c r="W311" s="1" t="str">
        <f>"0120"</f>
        <v>0120</v>
      </c>
      <c r="X311" s="1" t="s">
        <v>35</v>
      </c>
    </row>
    <row r="312" spans="1:24" x14ac:dyDescent="0.3">
      <c r="A312" s="1" t="str">
        <f t="shared" si="52"/>
        <v>59809</v>
      </c>
      <c r="B312" s="1" t="s">
        <v>42</v>
      </c>
      <c r="C312" s="1" t="s">
        <v>43</v>
      </c>
      <c r="D312" s="1" t="str">
        <f>"9805"</f>
        <v>9805</v>
      </c>
      <c r="E312" s="1" t="s">
        <v>57</v>
      </c>
      <c r="F312" s="1" t="str">
        <f>"931882709"</f>
        <v>931882709</v>
      </c>
      <c r="G312" s="1" t="s">
        <v>38</v>
      </c>
      <c r="H312" s="1" t="str">
        <f t="shared" si="54"/>
        <v>20220902</v>
      </c>
      <c r="I312" s="1" t="str">
        <f>"130507"</f>
        <v>130507</v>
      </c>
      <c r="J312" s="1" t="s">
        <v>52</v>
      </c>
      <c r="K312" s="1" t="s">
        <v>52</v>
      </c>
      <c r="L312" s="1" t="str">
        <f t="shared" si="55"/>
        <v>20220902</v>
      </c>
      <c r="M312" s="1" t="str">
        <f>"132538"</f>
        <v>132538</v>
      </c>
      <c r="N312" s="1" t="s">
        <v>28</v>
      </c>
      <c r="O312" s="1" t="s">
        <v>28</v>
      </c>
      <c r="P312" s="1" t="s">
        <v>55</v>
      </c>
      <c r="Q312" s="1">
        <v>25</v>
      </c>
      <c r="R312" s="1">
        <v>25</v>
      </c>
      <c r="S312" s="1">
        <v>0</v>
      </c>
      <c r="T312" s="1">
        <v>0</v>
      </c>
      <c r="U312" s="1">
        <v>0</v>
      </c>
      <c r="V312" s="1" t="str">
        <f>"里程返程"</f>
        <v>里程返程</v>
      </c>
      <c r="W312" s="1" t="str">
        <f>"1a20"</f>
        <v>1a20</v>
      </c>
      <c r="X312" s="1" t="s">
        <v>35</v>
      </c>
    </row>
    <row r="313" spans="1:24" x14ac:dyDescent="0.3">
      <c r="A313" s="1" t="str">
        <f t="shared" si="52"/>
        <v>59809</v>
      </c>
      <c r="B313" s="1" t="s">
        <v>42</v>
      </c>
      <c r="C313" s="1" t="s">
        <v>43</v>
      </c>
      <c r="D313" s="1" t="str">
        <f>"9805"</f>
        <v>9805</v>
      </c>
      <c r="E313" s="1" t="s">
        <v>57</v>
      </c>
      <c r="F313" s="1" t="str">
        <f>"D728903A55280400F700000000000000"</f>
        <v>D728903A55280400F700000000000000</v>
      </c>
      <c r="G313" s="1" t="s">
        <v>59</v>
      </c>
      <c r="H313" s="1" t="str">
        <f t="shared" si="54"/>
        <v>20220902</v>
      </c>
      <c r="I313" s="1" t="str">
        <f>"131918"</f>
        <v>131918</v>
      </c>
      <c r="J313" s="1" t="s">
        <v>92</v>
      </c>
      <c r="K313" s="1" t="s">
        <v>28</v>
      </c>
      <c r="L313" s="1" t="str">
        <f t="shared" si="55"/>
        <v>20220902</v>
      </c>
      <c r="M313" s="1" t="str">
        <f>"132543"</f>
        <v>132543</v>
      </c>
      <c r="N313" s="1" t="s">
        <v>28</v>
      </c>
      <c r="O313" s="1" t="s">
        <v>28</v>
      </c>
      <c r="P313" s="1" t="s">
        <v>55</v>
      </c>
      <c r="Q313" s="1">
        <v>25</v>
      </c>
      <c r="R313" s="1">
        <v>25</v>
      </c>
      <c r="S313" s="1">
        <v>0</v>
      </c>
      <c r="T313" s="1">
        <v>0</v>
      </c>
      <c r="U313" s="1">
        <v>0</v>
      </c>
      <c r="V313" s="1" t="str">
        <f>"里程返程"</f>
        <v>里程返程</v>
      </c>
      <c r="W313" s="1" t="str">
        <f>"0020"</f>
        <v>0020</v>
      </c>
      <c r="X313" s="1" t="s">
        <v>29</v>
      </c>
    </row>
    <row r="314" spans="1:24" x14ac:dyDescent="0.3">
      <c r="A314" s="1" t="str">
        <f t="shared" si="52"/>
        <v>59809</v>
      </c>
      <c r="B314" s="1" t="s">
        <v>42</v>
      </c>
      <c r="C314" s="1" t="s">
        <v>43</v>
      </c>
      <c r="D314" s="1" t="str">
        <f>"9803"</f>
        <v>9803</v>
      </c>
      <c r="E314" s="1" t="s">
        <v>32</v>
      </c>
      <c r="F314" s="1" t="str">
        <f>"1709069061"</f>
        <v>1709069061</v>
      </c>
      <c r="G314" s="1" t="s">
        <v>33</v>
      </c>
      <c r="H314" s="1" t="str">
        <f t="shared" si="54"/>
        <v>20220902</v>
      </c>
      <c r="I314" s="1" t="str">
        <f>"133815"</f>
        <v>133815</v>
      </c>
      <c r="J314" s="1" t="s">
        <v>46</v>
      </c>
      <c r="K314" s="1" t="s">
        <v>28</v>
      </c>
      <c r="L314" s="1" t="str">
        <f t="shared" si="55"/>
        <v>20220902</v>
      </c>
      <c r="M314" s="1" t="str">
        <f>"134654"</f>
        <v>134654</v>
      </c>
      <c r="N314" s="1" t="s">
        <v>34</v>
      </c>
      <c r="O314" s="1" t="s">
        <v>34</v>
      </c>
      <c r="P314" s="1" t="s">
        <v>55</v>
      </c>
      <c r="Q314" s="1">
        <v>25</v>
      </c>
      <c r="R314" s="1">
        <v>25</v>
      </c>
      <c r="S314" s="1">
        <v>0</v>
      </c>
      <c r="T314" s="1">
        <v>0</v>
      </c>
      <c r="U314" s="1">
        <v>0</v>
      </c>
      <c r="V314" s="1" t="str">
        <f>"里程去程"</f>
        <v>里程去程</v>
      </c>
      <c r="W314" s="1" t="str">
        <f>"2020"</f>
        <v>2020</v>
      </c>
      <c r="X314" s="1" t="s">
        <v>35</v>
      </c>
    </row>
    <row r="315" spans="1:24" x14ac:dyDescent="0.3">
      <c r="A315" s="1" t="str">
        <f t="shared" si="52"/>
        <v>59809</v>
      </c>
      <c r="B315" s="1" t="s">
        <v>42</v>
      </c>
      <c r="C315" s="1" t="s">
        <v>43</v>
      </c>
      <c r="D315" s="1" t="str">
        <f>"9805"</f>
        <v>9805</v>
      </c>
      <c r="E315" s="1" t="s">
        <v>57</v>
      </c>
      <c r="F315" s="1" t="str">
        <f>"1218017573"</f>
        <v>1218017573</v>
      </c>
      <c r="G315" s="1" t="s">
        <v>38</v>
      </c>
      <c r="H315" s="1" t="str">
        <f t="shared" si="54"/>
        <v>20220902</v>
      </c>
      <c r="I315" s="1" t="str">
        <f>"151710"</f>
        <v>151710</v>
      </c>
      <c r="J315" s="1" t="s">
        <v>28</v>
      </c>
      <c r="K315" s="1" t="s">
        <v>28</v>
      </c>
      <c r="L315" s="1" t="str">
        <f t="shared" si="55"/>
        <v>20220902</v>
      </c>
      <c r="M315" s="1" t="str">
        <f>"153036"</f>
        <v>153036</v>
      </c>
      <c r="N315" s="1" t="s">
        <v>62</v>
      </c>
      <c r="O315" s="1" t="s">
        <v>28</v>
      </c>
      <c r="P315" s="1" t="s">
        <v>55</v>
      </c>
      <c r="Q315" s="1">
        <v>25</v>
      </c>
      <c r="R315" s="1">
        <v>25</v>
      </c>
      <c r="S315" s="1">
        <v>0</v>
      </c>
      <c r="T315" s="1">
        <v>0</v>
      </c>
      <c r="U315" s="1">
        <v>0</v>
      </c>
      <c r="V315" s="1" t="str">
        <f>"里程去程"</f>
        <v>里程去程</v>
      </c>
      <c r="W315" s="1" t="str">
        <f>"0920"</f>
        <v>0920</v>
      </c>
      <c r="X315" s="1" t="s">
        <v>35</v>
      </c>
    </row>
    <row r="316" spans="1:24" x14ac:dyDescent="0.3">
      <c r="A316" s="1" t="str">
        <f t="shared" si="52"/>
        <v>59809</v>
      </c>
      <c r="B316" s="1" t="s">
        <v>42</v>
      </c>
      <c r="C316" s="1" t="s">
        <v>43</v>
      </c>
      <c r="D316" s="1" t="str">
        <f>"9805"</f>
        <v>9805</v>
      </c>
      <c r="E316" s="1" t="s">
        <v>57</v>
      </c>
      <c r="F316" s="1" t="str">
        <f>"3734919508"</f>
        <v>3734919508</v>
      </c>
      <c r="G316" s="1" t="s">
        <v>33</v>
      </c>
      <c r="H316" s="1" t="str">
        <f t="shared" si="54"/>
        <v>20220902</v>
      </c>
      <c r="I316" s="1" t="str">
        <f>"151721"</f>
        <v>151721</v>
      </c>
      <c r="J316" s="1" t="s">
        <v>28</v>
      </c>
      <c r="K316" s="1" t="s">
        <v>28</v>
      </c>
      <c r="L316" s="1" t="str">
        <f t="shared" si="55"/>
        <v>20220902</v>
      </c>
      <c r="M316" s="1" t="str">
        <f>"152950"</f>
        <v>152950</v>
      </c>
      <c r="N316" s="1" t="s">
        <v>56</v>
      </c>
      <c r="O316" s="1" t="s">
        <v>28</v>
      </c>
      <c r="P316" s="1" t="s">
        <v>55</v>
      </c>
      <c r="Q316" s="1">
        <v>25</v>
      </c>
      <c r="R316" s="1">
        <v>25</v>
      </c>
      <c r="S316" s="1">
        <v>0</v>
      </c>
      <c r="T316" s="1">
        <v>0</v>
      </c>
      <c r="U316" s="1">
        <v>0</v>
      </c>
      <c r="V316" s="1" t="str">
        <f>"里程去程"</f>
        <v>里程去程</v>
      </c>
      <c r="W316" s="1" t="str">
        <f>"0620"</f>
        <v>0620</v>
      </c>
      <c r="X316" s="1" t="s">
        <v>35</v>
      </c>
    </row>
    <row r="317" spans="1:24" x14ac:dyDescent="0.3">
      <c r="A317" s="1" t="str">
        <f t="shared" si="52"/>
        <v>59809</v>
      </c>
      <c r="B317" s="1" t="s">
        <v>42</v>
      </c>
      <c r="C317" s="1" t="s">
        <v>43</v>
      </c>
      <c r="D317" s="1" t="str">
        <f>"9805"</f>
        <v>9805</v>
      </c>
      <c r="E317" s="1" t="s">
        <v>57</v>
      </c>
      <c r="F317" s="1" t="str">
        <f>"3236999491"</f>
        <v>3236999491</v>
      </c>
      <c r="G317" s="1" t="s">
        <v>33</v>
      </c>
      <c r="H317" s="1" t="str">
        <f t="shared" si="54"/>
        <v>20220902</v>
      </c>
      <c r="I317" s="1" t="str">
        <f>"151757"</f>
        <v>151757</v>
      </c>
      <c r="J317" s="1" t="s">
        <v>28</v>
      </c>
      <c r="K317" s="1" t="s">
        <v>28</v>
      </c>
      <c r="L317" s="1" t="str">
        <f t="shared" si="55"/>
        <v>20220902</v>
      </c>
      <c r="M317" s="1" t="str">
        <f>"152955"</f>
        <v>152955</v>
      </c>
      <c r="N317" s="1" t="s">
        <v>62</v>
      </c>
      <c r="O317" s="1" t="s">
        <v>28</v>
      </c>
      <c r="P317" s="1" t="s">
        <v>55</v>
      </c>
      <c r="Q317" s="1">
        <v>25</v>
      </c>
      <c r="R317" s="1">
        <v>25</v>
      </c>
      <c r="S317" s="1">
        <v>0</v>
      </c>
      <c r="T317" s="1">
        <v>0</v>
      </c>
      <c r="U317" s="1">
        <v>0</v>
      </c>
      <c r="V317" s="1" t="str">
        <f>"里程去程"</f>
        <v>里程去程</v>
      </c>
      <c r="W317" s="1" t="str">
        <f>"0220"</f>
        <v>0220</v>
      </c>
      <c r="X317" s="1" t="s">
        <v>35</v>
      </c>
    </row>
    <row r="318" spans="1:24" x14ac:dyDescent="0.3">
      <c r="A318" s="1" t="str">
        <f t="shared" si="52"/>
        <v>59809</v>
      </c>
      <c r="B318" s="1" t="s">
        <v>42</v>
      </c>
      <c r="C318" s="1" t="s">
        <v>43</v>
      </c>
      <c r="D318" s="1" t="str">
        <f>"9805"</f>
        <v>9805</v>
      </c>
      <c r="E318" s="1" t="s">
        <v>57</v>
      </c>
      <c r="F318" s="1" t="str">
        <f>"1005723109"</f>
        <v>1005723109</v>
      </c>
      <c r="G318" s="1" t="s">
        <v>26</v>
      </c>
      <c r="H318" s="1" t="str">
        <f t="shared" si="54"/>
        <v>20220902</v>
      </c>
      <c r="I318" s="1" t="str">
        <f>"151805"</f>
        <v>151805</v>
      </c>
      <c r="J318" s="1" t="s">
        <v>28</v>
      </c>
      <c r="K318" s="1" t="s">
        <v>28</v>
      </c>
      <c r="L318" s="1" t="str">
        <f t="shared" si="55"/>
        <v>20220902</v>
      </c>
      <c r="M318" s="1" t="str">
        <f>"152859"</f>
        <v>152859</v>
      </c>
      <c r="N318" s="1" t="s">
        <v>61</v>
      </c>
      <c r="O318" s="1" t="s">
        <v>28</v>
      </c>
      <c r="P318" s="1" t="s">
        <v>55</v>
      </c>
      <c r="Q318" s="1">
        <v>13</v>
      </c>
      <c r="R318" s="1">
        <v>13</v>
      </c>
      <c r="S318" s="1">
        <v>0</v>
      </c>
      <c r="T318" s="1">
        <v>0</v>
      </c>
      <c r="U318" s="1">
        <v>0</v>
      </c>
      <c r="V318" s="1" t="str">
        <f>"里程去程"</f>
        <v>里程去程</v>
      </c>
      <c r="W318" s="1" t="str">
        <f>"0820"</f>
        <v>0820</v>
      </c>
      <c r="X318" s="1" t="s">
        <v>35</v>
      </c>
    </row>
    <row r="319" spans="1:24" x14ac:dyDescent="0.3">
      <c r="A319" s="1" t="str">
        <f t="shared" si="52"/>
        <v>59809</v>
      </c>
      <c r="B319" s="1" t="s">
        <v>42</v>
      </c>
      <c r="C319" s="1" t="s">
        <v>43</v>
      </c>
      <c r="D319" s="1" t="str">
        <f>"9803"</f>
        <v>9803</v>
      </c>
      <c r="E319" s="1" t="s">
        <v>32</v>
      </c>
      <c r="F319" s="1" t="str">
        <f>"1709069061"</f>
        <v>1709069061</v>
      </c>
      <c r="G319" s="1" t="s">
        <v>33</v>
      </c>
      <c r="H319" s="1" t="str">
        <f t="shared" si="54"/>
        <v>20220902</v>
      </c>
      <c r="I319" s="1" t="str">
        <f>"162803"</f>
        <v>162803</v>
      </c>
      <c r="J319" s="1" t="s">
        <v>34</v>
      </c>
      <c r="K319" s="1" t="s">
        <v>34</v>
      </c>
      <c r="L319" s="1" t="str">
        <f t="shared" si="55"/>
        <v>20220902</v>
      </c>
      <c r="M319" s="1" t="str">
        <f>"164353"</f>
        <v>164353</v>
      </c>
      <c r="N319" s="1" t="s">
        <v>46</v>
      </c>
      <c r="O319" s="1" t="s">
        <v>28</v>
      </c>
      <c r="P319" s="1" t="s">
        <v>55</v>
      </c>
      <c r="Q319" s="1">
        <v>25</v>
      </c>
      <c r="R319" s="1">
        <v>25</v>
      </c>
      <c r="S319" s="1">
        <v>0</v>
      </c>
      <c r="T319" s="1">
        <v>0</v>
      </c>
      <c r="U319" s="1">
        <v>0</v>
      </c>
      <c r="V319" s="1" t="str">
        <f>"里程返程"</f>
        <v>里程返程</v>
      </c>
      <c r="W319" s="1" t="str">
        <f>"2020"</f>
        <v>2020</v>
      </c>
      <c r="X319" s="1" t="s">
        <v>35</v>
      </c>
    </row>
    <row r="320" spans="1:24" x14ac:dyDescent="0.3">
      <c r="A320" s="1" t="str">
        <f t="shared" si="52"/>
        <v>59809</v>
      </c>
      <c r="B320" s="1" t="s">
        <v>42</v>
      </c>
      <c r="C320" s="1" t="s">
        <v>43</v>
      </c>
      <c r="D320" s="1" t="str">
        <f>"9803"</f>
        <v>9803</v>
      </c>
      <c r="E320" s="1" t="s">
        <v>32</v>
      </c>
      <c r="F320" s="1" t="str">
        <f>"477450417"</f>
        <v>477450417</v>
      </c>
      <c r="G320" s="1" t="s">
        <v>33</v>
      </c>
      <c r="H320" s="1" t="str">
        <f t="shared" si="54"/>
        <v>20220902</v>
      </c>
      <c r="I320" s="1" t="str">
        <f>"164951"</f>
        <v>164951</v>
      </c>
      <c r="J320" s="1" t="s">
        <v>46</v>
      </c>
      <c r="K320" s="1" t="s">
        <v>28</v>
      </c>
      <c r="L320" s="1" t="str">
        <f t="shared" si="55"/>
        <v>20220902</v>
      </c>
      <c r="M320" s="1" t="str">
        <f>"165745"</f>
        <v>165745</v>
      </c>
      <c r="N320" s="1" t="s">
        <v>28</v>
      </c>
      <c r="O320" s="1" t="s">
        <v>28</v>
      </c>
      <c r="P320" s="1" t="s">
        <v>55</v>
      </c>
      <c r="Q320" s="1">
        <v>25</v>
      </c>
      <c r="R320" s="1">
        <v>25</v>
      </c>
      <c r="S320" s="1">
        <v>0</v>
      </c>
      <c r="T320" s="1">
        <v>0</v>
      </c>
      <c r="U320" s="1">
        <v>0</v>
      </c>
      <c r="V320" s="1" t="str">
        <f>"里程返程"</f>
        <v>里程返程</v>
      </c>
      <c r="W320" s="1" t="str">
        <f>"0820"</f>
        <v>0820</v>
      </c>
      <c r="X320" s="1" t="s">
        <v>35</v>
      </c>
    </row>
    <row r="321" spans="1:24" x14ac:dyDescent="0.3">
      <c r="A321" s="1" t="str">
        <f t="shared" si="52"/>
        <v>59809</v>
      </c>
      <c r="B321" s="1" t="s">
        <v>42</v>
      </c>
      <c r="C321" s="1" t="s">
        <v>43</v>
      </c>
      <c r="D321" s="1" t="str">
        <f>"9806"</f>
        <v>9806</v>
      </c>
      <c r="E321" s="1" t="s">
        <v>49</v>
      </c>
      <c r="F321" s="1" t="str">
        <f>"514474881"</f>
        <v>514474881</v>
      </c>
      <c r="G321" s="1" t="s">
        <v>33</v>
      </c>
      <c r="H321" s="1" t="str">
        <f t="shared" si="54"/>
        <v>20220902</v>
      </c>
      <c r="I321" s="1" t="str">
        <f>"165831"</f>
        <v>165831</v>
      </c>
      <c r="J321" s="1" t="s">
        <v>28</v>
      </c>
      <c r="K321" s="1" t="s">
        <v>28</v>
      </c>
      <c r="L321" s="1" t="str">
        <f>""</f>
        <v/>
      </c>
      <c r="M321" s="1" t="str">
        <f>""</f>
        <v/>
      </c>
      <c r="P321" s="1" t="s">
        <v>88</v>
      </c>
      <c r="Q321" s="1">
        <v>25</v>
      </c>
      <c r="R321" s="1">
        <v>25</v>
      </c>
      <c r="S321" s="1">
        <v>0</v>
      </c>
      <c r="T321" s="1">
        <v>0</v>
      </c>
      <c r="U321" s="1">
        <v>0</v>
      </c>
      <c r="V321" s="1" t="str">
        <f>"里程返程"</f>
        <v>里程返程</v>
      </c>
      <c r="W321" s="1" t="str">
        <f>"0220"</f>
        <v>0220</v>
      </c>
      <c r="X321" s="1" t="s">
        <v>35</v>
      </c>
    </row>
    <row r="322" spans="1:24" x14ac:dyDescent="0.3">
      <c r="A322" s="1" t="str">
        <f t="shared" si="52"/>
        <v>59809</v>
      </c>
      <c r="B322" s="1" t="s">
        <v>42</v>
      </c>
      <c r="C322" s="1" t="s">
        <v>43</v>
      </c>
      <c r="D322" s="1" t="str">
        <f>"9806"</f>
        <v>9806</v>
      </c>
      <c r="E322" s="1" t="s">
        <v>49</v>
      </c>
      <c r="F322" s="1" t="str">
        <f>"428FC21B14880400C822002000000021"</f>
        <v>428FC21B14880400C822002000000021</v>
      </c>
      <c r="G322" s="1" t="s">
        <v>58</v>
      </c>
      <c r="H322" s="1" t="str">
        <f t="shared" si="54"/>
        <v>20220902</v>
      </c>
      <c r="I322" s="1" t="str">
        <f>"172500"</f>
        <v>172500</v>
      </c>
      <c r="J322" s="1" t="s">
        <v>76</v>
      </c>
      <c r="K322" s="1" t="s">
        <v>28</v>
      </c>
      <c r="L322" s="1" t="str">
        <f t="shared" ref="L322:L353" si="57">"20220902"</f>
        <v>20220902</v>
      </c>
      <c r="M322" s="1" t="str">
        <f>"174044"</f>
        <v>174044</v>
      </c>
      <c r="N322" s="1" t="s">
        <v>28</v>
      </c>
      <c r="O322" s="1" t="s">
        <v>28</v>
      </c>
      <c r="P322" s="1" t="s">
        <v>55</v>
      </c>
      <c r="Q322" s="1">
        <v>25</v>
      </c>
      <c r="R322" s="1">
        <v>25</v>
      </c>
      <c r="S322" s="1">
        <v>0</v>
      </c>
      <c r="T322" s="1">
        <v>0</v>
      </c>
      <c r="U322" s="1">
        <v>0</v>
      </c>
      <c r="V322" s="1" t="str">
        <f>"里程去程"</f>
        <v>里程去程</v>
      </c>
      <c r="W322" s="1" t="str">
        <f>"0020"</f>
        <v>0020</v>
      </c>
      <c r="X322" s="1" t="s">
        <v>29</v>
      </c>
    </row>
    <row r="323" spans="1:24" x14ac:dyDescent="0.3">
      <c r="A323" s="1" t="str">
        <f t="shared" si="52"/>
        <v>59809</v>
      </c>
      <c r="B323" s="1" t="s">
        <v>42</v>
      </c>
      <c r="C323" s="1" t="s">
        <v>43</v>
      </c>
      <c r="D323" s="1" t="str">
        <f>"9806"</f>
        <v>9806</v>
      </c>
      <c r="E323" s="1" t="s">
        <v>49</v>
      </c>
      <c r="F323" s="1" t="str">
        <f>"A2F0391B70880400C817002000000021"</f>
        <v>A2F0391B70880400C817002000000021</v>
      </c>
      <c r="G323" s="1" t="s">
        <v>59</v>
      </c>
      <c r="H323" s="1" t="str">
        <f t="shared" si="54"/>
        <v>20220902</v>
      </c>
      <c r="I323" s="1" t="str">
        <f>"172503"</f>
        <v>172503</v>
      </c>
      <c r="J323" s="1" t="s">
        <v>76</v>
      </c>
      <c r="K323" s="1" t="s">
        <v>28</v>
      </c>
      <c r="L323" s="1" t="str">
        <f t="shared" si="57"/>
        <v>20220902</v>
      </c>
      <c r="M323" s="1" t="str">
        <f>"174041"</f>
        <v>174041</v>
      </c>
      <c r="N323" s="1" t="s">
        <v>28</v>
      </c>
      <c r="O323" s="1" t="s">
        <v>28</v>
      </c>
      <c r="P323" s="1" t="s">
        <v>55</v>
      </c>
      <c r="Q323" s="1">
        <v>25</v>
      </c>
      <c r="R323" s="1">
        <v>25</v>
      </c>
      <c r="S323" s="1">
        <v>0</v>
      </c>
      <c r="T323" s="1">
        <v>0</v>
      </c>
      <c r="U323" s="1">
        <v>0</v>
      </c>
      <c r="V323" s="1" t="str">
        <f>"里程去程"</f>
        <v>里程去程</v>
      </c>
      <c r="W323" s="1" t="str">
        <f>"0020"</f>
        <v>0020</v>
      </c>
      <c r="X323" s="1" t="s">
        <v>29</v>
      </c>
    </row>
    <row r="324" spans="1:24" x14ac:dyDescent="0.3">
      <c r="A324" s="1" t="str">
        <f t="shared" si="52"/>
        <v>59809</v>
      </c>
      <c r="B324" s="1" t="s">
        <v>42</v>
      </c>
      <c r="C324" s="1" t="s">
        <v>43</v>
      </c>
      <c r="D324" s="1" t="str">
        <f>"9806"</f>
        <v>9806</v>
      </c>
      <c r="E324" s="1" t="s">
        <v>49</v>
      </c>
      <c r="F324" s="1" t="str">
        <f>"02A2F00959880400C810002000000016"</f>
        <v>02A2F00959880400C810002000000016</v>
      </c>
      <c r="G324" s="1" t="s">
        <v>59</v>
      </c>
      <c r="H324" s="1" t="str">
        <f t="shared" si="54"/>
        <v>20220902</v>
      </c>
      <c r="I324" s="1" t="str">
        <f>"172507"</f>
        <v>172507</v>
      </c>
      <c r="J324" s="1" t="s">
        <v>76</v>
      </c>
      <c r="K324" s="1" t="s">
        <v>28</v>
      </c>
      <c r="L324" s="1" t="str">
        <f t="shared" si="57"/>
        <v>20220902</v>
      </c>
      <c r="M324" s="1" t="str">
        <f>"174039"</f>
        <v>174039</v>
      </c>
      <c r="N324" s="1" t="s">
        <v>28</v>
      </c>
      <c r="O324" s="1" t="s">
        <v>28</v>
      </c>
      <c r="P324" s="1" t="s">
        <v>55</v>
      </c>
      <c r="Q324" s="1">
        <v>25</v>
      </c>
      <c r="R324" s="1">
        <v>25</v>
      </c>
      <c r="S324" s="1">
        <v>0</v>
      </c>
      <c r="T324" s="1">
        <v>0</v>
      </c>
      <c r="U324" s="1">
        <v>0</v>
      </c>
      <c r="V324" s="1" t="str">
        <f>"里程去程"</f>
        <v>里程去程</v>
      </c>
      <c r="W324" s="1" t="str">
        <f>"0020"</f>
        <v>0020</v>
      </c>
      <c r="X324" s="1" t="s">
        <v>29</v>
      </c>
    </row>
    <row r="325" spans="1:24" x14ac:dyDescent="0.3">
      <c r="A325" s="1" t="str">
        <f t="shared" si="52"/>
        <v>59809</v>
      </c>
      <c r="B325" s="1" t="s">
        <v>42</v>
      </c>
      <c r="C325" s="1" t="s">
        <v>43</v>
      </c>
      <c r="D325" s="1" t="str">
        <f>"9803"</f>
        <v>9803</v>
      </c>
      <c r="E325" s="1" t="s">
        <v>32</v>
      </c>
      <c r="F325" s="1" t="str">
        <f>"924867173"</f>
        <v>924867173</v>
      </c>
      <c r="G325" s="1" t="s">
        <v>38</v>
      </c>
      <c r="H325" s="1" t="str">
        <f t="shared" ref="H325:H356" si="58">"20220902"</f>
        <v>20220902</v>
      </c>
      <c r="I325" s="1" t="str">
        <f>"182118"</f>
        <v>182118</v>
      </c>
      <c r="J325" s="1" t="s">
        <v>46</v>
      </c>
      <c r="K325" s="1" t="s">
        <v>28</v>
      </c>
      <c r="L325" s="1" t="str">
        <f t="shared" si="57"/>
        <v>20220902</v>
      </c>
      <c r="M325" s="1" t="str">
        <f>"182938"</f>
        <v>182938</v>
      </c>
      <c r="N325" s="1" t="s">
        <v>28</v>
      </c>
      <c r="O325" s="1" t="s">
        <v>28</v>
      </c>
      <c r="P325" s="1" t="s">
        <v>55</v>
      </c>
      <c r="Q325" s="1">
        <v>25</v>
      </c>
      <c r="R325" s="1">
        <v>25</v>
      </c>
      <c r="S325" s="1">
        <v>0</v>
      </c>
      <c r="T325" s="1">
        <v>0</v>
      </c>
      <c r="U325" s="1">
        <v>0</v>
      </c>
      <c r="V325" s="1" t="str">
        <f>"里程返程"</f>
        <v>里程返程</v>
      </c>
      <c r="W325" s="1" t="str">
        <f>"2020"</f>
        <v>2020</v>
      </c>
      <c r="X325" s="1" t="s">
        <v>35</v>
      </c>
    </row>
    <row r="326" spans="1:24" x14ac:dyDescent="0.3">
      <c r="A326" s="1" t="str">
        <f t="shared" ref="A326:A359" si="59">"59820"</f>
        <v>59820</v>
      </c>
      <c r="B326" s="1" t="s">
        <v>53</v>
      </c>
      <c r="C326" s="1" t="s">
        <v>54</v>
      </c>
      <c r="D326" s="1" t="str">
        <f>"9805"</f>
        <v>9805</v>
      </c>
      <c r="E326" s="1" t="s">
        <v>57</v>
      </c>
      <c r="F326" s="1" t="str">
        <f>"32780D0344880400C834002000000015"</f>
        <v>32780D0344880400C834002000000015</v>
      </c>
      <c r="G326" s="1" t="s">
        <v>26</v>
      </c>
      <c r="H326" s="1" t="str">
        <f t="shared" si="58"/>
        <v>20220902</v>
      </c>
      <c r="I326" s="1" t="str">
        <f>"104135"</f>
        <v>104135</v>
      </c>
      <c r="J326" s="1" t="s">
        <v>28</v>
      </c>
      <c r="K326" s="1" t="s">
        <v>28</v>
      </c>
      <c r="L326" s="1" t="str">
        <f t="shared" si="57"/>
        <v>20220902</v>
      </c>
      <c r="M326" s="1" t="str">
        <f>"105246"</f>
        <v>105246</v>
      </c>
      <c r="N326" s="1" t="s">
        <v>62</v>
      </c>
      <c r="O326" s="1" t="s">
        <v>28</v>
      </c>
      <c r="P326" s="1" t="s">
        <v>68</v>
      </c>
      <c r="Q326" s="1">
        <v>13</v>
      </c>
      <c r="R326" s="1">
        <v>0</v>
      </c>
      <c r="S326" s="1">
        <v>0</v>
      </c>
      <c r="T326" s="1">
        <v>13</v>
      </c>
      <c r="U326" s="1">
        <v>0</v>
      </c>
      <c r="V326" s="1" t="str">
        <f t="shared" ref="V326:V346" si="60">"里程去程"</f>
        <v>里程去程</v>
      </c>
      <c r="W326" s="1" t="str">
        <f>"0020"</f>
        <v>0020</v>
      </c>
      <c r="X326" s="1" t="s">
        <v>29</v>
      </c>
    </row>
    <row r="327" spans="1:24" x14ac:dyDescent="0.3">
      <c r="A327" s="1" t="str">
        <f t="shared" si="59"/>
        <v>59820</v>
      </c>
      <c r="B327" s="1" t="s">
        <v>53</v>
      </c>
      <c r="C327" s="1" t="s">
        <v>54</v>
      </c>
      <c r="D327" s="1" t="str">
        <f t="shared" ref="D327:D359" si="61">"9801"</f>
        <v>9801</v>
      </c>
      <c r="E327" s="1" t="s">
        <v>25</v>
      </c>
      <c r="F327" s="1" t="str">
        <f>"42AFE60209880400C834002000000015"</f>
        <v>42AFE60209880400C834002000000015</v>
      </c>
      <c r="G327" s="1" t="s">
        <v>74</v>
      </c>
      <c r="H327" s="1" t="str">
        <f t="shared" si="58"/>
        <v>20220902</v>
      </c>
      <c r="I327" s="1" t="str">
        <f>"105645"</f>
        <v>105645</v>
      </c>
      <c r="J327" s="1" t="s">
        <v>52</v>
      </c>
      <c r="K327" s="1" t="s">
        <v>52</v>
      </c>
      <c r="L327" s="1" t="str">
        <f t="shared" si="57"/>
        <v>20220902</v>
      </c>
      <c r="M327" s="1" t="str">
        <f>"111540"</f>
        <v>111540</v>
      </c>
      <c r="N327" s="1" t="s">
        <v>80</v>
      </c>
      <c r="O327" s="1" t="s">
        <v>52</v>
      </c>
      <c r="P327" s="1" t="s">
        <v>68</v>
      </c>
      <c r="Q327" s="1">
        <v>13</v>
      </c>
      <c r="R327" s="1">
        <v>0</v>
      </c>
      <c r="S327" s="1">
        <v>0</v>
      </c>
      <c r="T327" s="1">
        <v>13</v>
      </c>
      <c r="U327" s="1">
        <v>0</v>
      </c>
      <c r="V327" s="1" t="str">
        <f t="shared" si="60"/>
        <v>里程去程</v>
      </c>
      <c r="W327" s="1" t="str">
        <f>"0020"</f>
        <v>0020</v>
      </c>
      <c r="X327" s="1" t="s">
        <v>29</v>
      </c>
    </row>
    <row r="328" spans="1:24" x14ac:dyDescent="0.3">
      <c r="A328" s="1" t="str">
        <f t="shared" si="59"/>
        <v>59820</v>
      </c>
      <c r="B328" s="1" t="s">
        <v>53</v>
      </c>
      <c r="C328" s="1" t="s">
        <v>54</v>
      </c>
      <c r="D328" s="1" t="str">
        <f t="shared" si="61"/>
        <v>9801</v>
      </c>
      <c r="E328" s="1" t="s">
        <v>25</v>
      </c>
      <c r="F328" s="1" t="str">
        <f>"529E1903D6880400C834002000000015"</f>
        <v>529E1903D6880400C834002000000015</v>
      </c>
      <c r="G328" s="1" t="s">
        <v>26</v>
      </c>
      <c r="H328" s="1" t="str">
        <f t="shared" si="58"/>
        <v>20220902</v>
      </c>
      <c r="I328" s="1" t="str">
        <f>"110608"</f>
        <v>110608</v>
      </c>
      <c r="J328" s="1" t="s">
        <v>60</v>
      </c>
      <c r="K328" s="1" t="s">
        <v>52</v>
      </c>
      <c r="L328" s="1" t="str">
        <f t="shared" si="57"/>
        <v>20220902</v>
      </c>
      <c r="M328" s="1" t="str">
        <f>"113302"</f>
        <v>113302</v>
      </c>
      <c r="N328" s="1" t="s">
        <v>70</v>
      </c>
      <c r="O328" s="1" t="s">
        <v>28</v>
      </c>
      <c r="P328" s="1" t="s">
        <v>68</v>
      </c>
      <c r="Q328" s="1">
        <v>13</v>
      </c>
      <c r="R328" s="1">
        <v>0</v>
      </c>
      <c r="S328" s="1">
        <v>0</v>
      </c>
      <c r="T328" s="1">
        <v>13</v>
      </c>
      <c r="U328" s="1">
        <v>0</v>
      </c>
      <c r="V328" s="1" t="str">
        <f t="shared" si="60"/>
        <v>里程去程</v>
      </c>
      <c r="W328" s="1" t="str">
        <f>"0020"</f>
        <v>0020</v>
      </c>
      <c r="X328" s="1" t="s">
        <v>29</v>
      </c>
    </row>
    <row r="329" spans="1:24" x14ac:dyDescent="0.3">
      <c r="A329" s="1" t="str">
        <f t="shared" si="59"/>
        <v>59820</v>
      </c>
      <c r="B329" s="1" t="s">
        <v>53</v>
      </c>
      <c r="C329" s="1" t="s">
        <v>54</v>
      </c>
      <c r="D329" s="1" t="str">
        <f t="shared" si="61"/>
        <v>9801</v>
      </c>
      <c r="E329" s="1" t="s">
        <v>25</v>
      </c>
      <c r="F329" s="1" t="str">
        <f>"C2C2E010F0880400C823002000000018"</f>
        <v>C2C2E010F0880400C823002000000018</v>
      </c>
      <c r="G329" s="1" t="s">
        <v>58</v>
      </c>
      <c r="H329" s="1" t="str">
        <f t="shared" si="58"/>
        <v>20220902</v>
      </c>
      <c r="I329" s="1" t="str">
        <f>"113315"</f>
        <v>113315</v>
      </c>
      <c r="J329" s="1" t="s">
        <v>27</v>
      </c>
      <c r="K329" s="1" t="s">
        <v>28</v>
      </c>
      <c r="L329" s="1" t="str">
        <f t="shared" si="57"/>
        <v>20220902</v>
      </c>
      <c r="M329" s="1" t="str">
        <f>"115733"</f>
        <v>115733</v>
      </c>
      <c r="N329" s="1" t="s">
        <v>44</v>
      </c>
      <c r="O329" s="1" t="s">
        <v>45</v>
      </c>
      <c r="P329" s="1" t="s">
        <v>55</v>
      </c>
      <c r="Q329" s="1">
        <v>25</v>
      </c>
      <c r="R329" s="1">
        <v>0</v>
      </c>
      <c r="S329" s="1">
        <v>25</v>
      </c>
      <c r="T329" s="1">
        <v>0</v>
      </c>
      <c r="U329" s="1">
        <v>0</v>
      </c>
      <c r="V329" s="1" t="str">
        <f t="shared" si="60"/>
        <v>里程去程</v>
      </c>
      <c r="W329" s="1" t="str">
        <f>"0620"</f>
        <v>0620</v>
      </c>
      <c r="X329" s="1" t="s">
        <v>29</v>
      </c>
    </row>
    <row r="330" spans="1:24" x14ac:dyDescent="0.3">
      <c r="A330" s="1" t="str">
        <f t="shared" si="59"/>
        <v>59820</v>
      </c>
      <c r="B330" s="1" t="s">
        <v>53</v>
      </c>
      <c r="C330" s="1" t="s">
        <v>54</v>
      </c>
      <c r="D330" s="1" t="str">
        <f t="shared" si="61"/>
        <v>9801</v>
      </c>
      <c r="E330" s="1" t="s">
        <v>25</v>
      </c>
      <c r="F330" s="1" t="str">
        <f>"636669521"</f>
        <v>636669521</v>
      </c>
      <c r="G330" s="1" t="s">
        <v>33</v>
      </c>
      <c r="H330" s="1" t="str">
        <f t="shared" si="58"/>
        <v>20220902</v>
      </c>
      <c r="I330" s="1" t="str">
        <f>"115912"</f>
        <v>115912</v>
      </c>
      <c r="J330" s="1" t="s">
        <v>52</v>
      </c>
      <c r="K330" s="1" t="s">
        <v>52</v>
      </c>
      <c r="L330" s="1" t="str">
        <f t="shared" si="57"/>
        <v>20220902</v>
      </c>
      <c r="M330" s="1" t="str">
        <f>"123621"</f>
        <v>123621</v>
      </c>
      <c r="N330" s="1" t="s">
        <v>70</v>
      </c>
      <c r="O330" s="1" t="s">
        <v>28</v>
      </c>
      <c r="P330" s="1" t="s">
        <v>55</v>
      </c>
      <c r="Q330" s="1">
        <v>25</v>
      </c>
      <c r="R330" s="1">
        <v>25</v>
      </c>
      <c r="S330" s="1">
        <v>0</v>
      </c>
      <c r="T330" s="1">
        <v>0</v>
      </c>
      <c r="U330" s="1">
        <v>0</v>
      </c>
      <c r="V330" s="1" t="str">
        <f t="shared" si="60"/>
        <v>里程去程</v>
      </c>
      <c r="W330" s="1" t="str">
        <f>"0120"</f>
        <v>0120</v>
      </c>
      <c r="X330" s="1" t="s">
        <v>35</v>
      </c>
    </row>
    <row r="331" spans="1:24" x14ac:dyDescent="0.3">
      <c r="A331" s="1" t="str">
        <f t="shared" si="59"/>
        <v>59820</v>
      </c>
      <c r="B331" s="1" t="s">
        <v>53</v>
      </c>
      <c r="C331" s="1" t="s">
        <v>54</v>
      </c>
      <c r="D331" s="1" t="str">
        <f t="shared" si="61"/>
        <v>9801</v>
      </c>
      <c r="E331" s="1" t="s">
        <v>25</v>
      </c>
      <c r="F331" s="1" t="str">
        <f>"F25B1B03B1880400C834002000000015"</f>
        <v>F25B1B03B1880400C834002000000015</v>
      </c>
      <c r="G331" s="1" t="s">
        <v>26</v>
      </c>
      <c r="H331" s="1" t="str">
        <f t="shared" si="58"/>
        <v>20220902</v>
      </c>
      <c r="I331" s="1" t="str">
        <f>"120801"</f>
        <v>120801</v>
      </c>
      <c r="J331" s="1" t="s">
        <v>60</v>
      </c>
      <c r="K331" s="1" t="s">
        <v>52</v>
      </c>
      <c r="L331" s="1" t="str">
        <f t="shared" si="57"/>
        <v>20220902</v>
      </c>
      <c r="M331" s="1" t="str">
        <f>"123614"</f>
        <v>123614</v>
      </c>
      <c r="N331" s="1" t="s">
        <v>70</v>
      </c>
      <c r="O331" s="1" t="s">
        <v>28</v>
      </c>
      <c r="P331" s="1" t="s">
        <v>68</v>
      </c>
      <c r="Q331" s="1">
        <v>13</v>
      </c>
      <c r="R331" s="1">
        <v>0</v>
      </c>
      <c r="S331" s="1">
        <v>0</v>
      </c>
      <c r="T331" s="1">
        <v>13</v>
      </c>
      <c r="U331" s="1">
        <v>0</v>
      </c>
      <c r="V331" s="1" t="str">
        <f t="shared" si="60"/>
        <v>里程去程</v>
      </c>
      <c r="W331" s="1" t="str">
        <f>"0020"</f>
        <v>0020</v>
      </c>
      <c r="X331" s="1" t="s">
        <v>29</v>
      </c>
    </row>
    <row r="332" spans="1:24" x14ac:dyDescent="0.3">
      <c r="A332" s="1" t="str">
        <f t="shared" si="59"/>
        <v>59820</v>
      </c>
      <c r="B332" s="1" t="s">
        <v>53</v>
      </c>
      <c r="C332" s="1" t="s">
        <v>54</v>
      </c>
      <c r="D332" s="1" t="str">
        <f t="shared" si="61"/>
        <v>9801</v>
      </c>
      <c r="E332" s="1" t="s">
        <v>25</v>
      </c>
      <c r="F332" s="1" t="str">
        <f>"4251460257880400C821002000000015"</f>
        <v>4251460257880400C821002000000015</v>
      </c>
      <c r="G332" s="1" t="s">
        <v>26</v>
      </c>
      <c r="H332" s="1" t="str">
        <f t="shared" si="58"/>
        <v>20220902</v>
      </c>
      <c r="I332" s="1" t="str">
        <f>"122340"</f>
        <v>122340</v>
      </c>
      <c r="J332" s="1" t="s">
        <v>69</v>
      </c>
      <c r="K332" s="1" t="s">
        <v>52</v>
      </c>
      <c r="L332" s="1" t="str">
        <f t="shared" si="57"/>
        <v>20220902</v>
      </c>
      <c r="M332" s="1" t="str">
        <f>"122903"</f>
        <v>122903</v>
      </c>
      <c r="N332" s="1" t="s">
        <v>83</v>
      </c>
      <c r="O332" s="1" t="s">
        <v>52</v>
      </c>
      <c r="P332" s="1" t="s">
        <v>68</v>
      </c>
      <c r="Q332" s="1">
        <v>13</v>
      </c>
      <c r="R332" s="1">
        <v>0</v>
      </c>
      <c r="S332" s="1">
        <v>0</v>
      </c>
      <c r="T332" s="1">
        <v>13</v>
      </c>
      <c r="U332" s="1">
        <v>0</v>
      </c>
      <c r="V332" s="1" t="str">
        <f t="shared" si="60"/>
        <v>里程去程</v>
      </c>
      <c r="W332" s="1" t="str">
        <f>"0020"</f>
        <v>0020</v>
      </c>
      <c r="X332" s="1" t="s">
        <v>29</v>
      </c>
    </row>
    <row r="333" spans="1:24" x14ac:dyDescent="0.3">
      <c r="A333" s="1" t="str">
        <f t="shared" si="59"/>
        <v>59820</v>
      </c>
      <c r="B333" s="1" t="s">
        <v>53</v>
      </c>
      <c r="C333" s="1" t="s">
        <v>54</v>
      </c>
      <c r="D333" s="1" t="str">
        <f t="shared" si="61"/>
        <v>9801</v>
      </c>
      <c r="E333" s="1" t="s">
        <v>25</v>
      </c>
      <c r="F333" s="1" t="str">
        <f>"B2A5D102C4880400C834002000000015"</f>
        <v>B2A5D102C4880400C834002000000015</v>
      </c>
      <c r="G333" s="1" t="s">
        <v>74</v>
      </c>
      <c r="H333" s="1" t="str">
        <f t="shared" si="58"/>
        <v>20220902</v>
      </c>
      <c r="I333" s="1" t="str">
        <f>"133303"</f>
        <v>133303</v>
      </c>
      <c r="J333" s="1" t="s">
        <v>95</v>
      </c>
      <c r="K333" s="1" t="s">
        <v>28</v>
      </c>
      <c r="L333" s="1" t="str">
        <f t="shared" si="57"/>
        <v>20220902</v>
      </c>
      <c r="M333" s="1" t="str">
        <f>"134606"</f>
        <v>134606</v>
      </c>
      <c r="N333" s="1" t="s">
        <v>61</v>
      </c>
      <c r="O333" s="1" t="s">
        <v>45</v>
      </c>
      <c r="P333" s="1" t="s">
        <v>68</v>
      </c>
      <c r="Q333" s="1">
        <v>13</v>
      </c>
      <c r="R333" s="1">
        <v>0</v>
      </c>
      <c r="S333" s="1">
        <v>0</v>
      </c>
      <c r="T333" s="1">
        <v>13</v>
      </c>
      <c r="U333" s="1">
        <v>0</v>
      </c>
      <c r="V333" s="1" t="str">
        <f t="shared" si="60"/>
        <v>里程去程</v>
      </c>
      <c r="W333" s="1" t="str">
        <f>"0020"</f>
        <v>0020</v>
      </c>
      <c r="X333" s="1" t="s">
        <v>29</v>
      </c>
    </row>
    <row r="334" spans="1:24" x14ac:dyDescent="0.3">
      <c r="A334" s="1" t="str">
        <f t="shared" si="59"/>
        <v>59820</v>
      </c>
      <c r="B334" s="1" t="s">
        <v>53</v>
      </c>
      <c r="C334" s="1" t="s">
        <v>54</v>
      </c>
      <c r="D334" s="1" t="str">
        <f t="shared" si="61"/>
        <v>9801</v>
      </c>
      <c r="E334" s="1" t="s">
        <v>25</v>
      </c>
      <c r="F334" s="1" t="str">
        <f>"F27CE6026A880400C834002000000015"</f>
        <v>F27CE6026A880400C834002000000015</v>
      </c>
      <c r="G334" s="1" t="s">
        <v>74</v>
      </c>
      <c r="H334" s="1" t="str">
        <f t="shared" si="58"/>
        <v>20220902</v>
      </c>
      <c r="I334" s="1" t="str">
        <f>"145740"</f>
        <v>145740</v>
      </c>
      <c r="J334" s="1" t="s">
        <v>52</v>
      </c>
      <c r="K334" s="1" t="s">
        <v>52</v>
      </c>
      <c r="L334" s="1" t="str">
        <f t="shared" si="57"/>
        <v>20220902</v>
      </c>
      <c r="M334" s="1" t="str">
        <f>"150638"</f>
        <v>150638</v>
      </c>
      <c r="N334" s="1" t="s">
        <v>60</v>
      </c>
      <c r="O334" s="1" t="s">
        <v>52</v>
      </c>
      <c r="P334" s="1" t="s">
        <v>68</v>
      </c>
      <c r="Q334" s="1">
        <v>13</v>
      </c>
      <c r="R334" s="1">
        <v>0</v>
      </c>
      <c r="S334" s="1">
        <v>0</v>
      </c>
      <c r="T334" s="1">
        <v>13</v>
      </c>
      <c r="U334" s="1">
        <v>0</v>
      </c>
      <c r="V334" s="1" t="str">
        <f t="shared" si="60"/>
        <v>里程去程</v>
      </c>
      <c r="W334" s="1" t="str">
        <f>"0020"</f>
        <v>0020</v>
      </c>
      <c r="X334" s="1" t="s">
        <v>29</v>
      </c>
    </row>
    <row r="335" spans="1:24" x14ac:dyDescent="0.3">
      <c r="A335" s="1" t="str">
        <f t="shared" si="59"/>
        <v>59820</v>
      </c>
      <c r="B335" s="1" t="s">
        <v>53</v>
      </c>
      <c r="C335" s="1" t="s">
        <v>54</v>
      </c>
      <c r="D335" s="1" t="str">
        <f t="shared" si="61"/>
        <v>9801</v>
      </c>
      <c r="E335" s="1" t="s">
        <v>25</v>
      </c>
      <c r="F335" s="1" t="str">
        <f>"1073273029"</f>
        <v>1073273029</v>
      </c>
      <c r="G335" s="1" t="s">
        <v>33</v>
      </c>
      <c r="H335" s="1" t="str">
        <f t="shared" si="58"/>
        <v>20220902</v>
      </c>
      <c r="I335" s="1" t="str">
        <f>"145744"</f>
        <v>145744</v>
      </c>
      <c r="J335" s="1" t="s">
        <v>52</v>
      </c>
      <c r="K335" s="1" t="s">
        <v>52</v>
      </c>
      <c r="L335" s="1" t="str">
        <f t="shared" si="57"/>
        <v>20220902</v>
      </c>
      <c r="M335" s="1" t="str">
        <f>"153331"</f>
        <v>153331</v>
      </c>
      <c r="N335" s="1" t="s">
        <v>70</v>
      </c>
      <c r="O335" s="1" t="s">
        <v>28</v>
      </c>
      <c r="P335" s="1" t="s">
        <v>55</v>
      </c>
      <c r="Q335" s="1">
        <v>25</v>
      </c>
      <c r="R335" s="1">
        <v>25</v>
      </c>
      <c r="S335" s="1">
        <v>0</v>
      </c>
      <c r="T335" s="1">
        <v>0</v>
      </c>
      <c r="U335" s="1">
        <v>0</v>
      </c>
      <c r="V335" s="1" t="str">
        <f t="shared" si="60"/>
        <v>里程去程</v>
      </c>
      <c r="W335" s="1" t="str">
        <f>"2020"</f>
        <v>2020</v>
      </c>
      <c r="X335" s="1" t="s">
        <v>35</v>
      </c>
    </row>
    <row r="336" spans="1:24" x14ac:dyDescent="0.3">
      <c r="A336" s="1" t="str">
        <f t="shared" si="59"/>
        <v>59820</v>
      </c>
      <c r="B336" s="1" t="s">
        <v>53</v>
      </c>
      <c r="C336" s="1" t="s">
        <v>54</v>
      </c>
      <c r="D336" s="1" t="str">
        <f t="shared" si="61"/>
        <v>9801</v>
      </c>
      <c r="E336" s="1" t="s">
        <v>25</v>
      </c>
      <c r="F336" s="1" t="str">
        <f>"C2F219032A880400C834002000000015"</f>
        <v>C2F219032A880400C834002000000015</v>
      </c>
      <c r="G336" s="1" t="s">
        <v>26</v>
      </c>
      <c r="H336" s="1" t="str">
        <f t="shared" si="58"/>
        <v>20220902</v>
      </c>
      <c r="I336" s="1" t="str">
        <f>"150443"</f>
        <v>150443</v>
      </c>
      <c r="J336" s="1" t="s">
        <v>86</v>
      </c>
      <c r="K336" s="1" t="s">
        <v>52</v>
      </c>
      <c r="L336" s="1" t="str">
        <f t="shared" si="57"/>
        <v>20220902</v>
      </c>
      <c r="M336" s="1" t="str">
        <f>"150936"</f>
        <v>150936</v>
      </c>
      <c r="N336" s="1" t="s">
        <v>51</v>
      </c>
      <c r="O336" s="1" t="s">
        <v>52</v>
      </c>
      <c r="P336" s="1" t="s">
        <v>68</v>
      </c>
      <c r="Q336" s="1">
        <v>13</v>
      </c>
      <c r="R336" s="1">
        <v>0</v>
      </c>
      <c r="S336" s="1">
        <v>0</v>
      </c>
      <c r="T336" s="1">
        <v>13</v>
      </c>
      <c r="U336" s="1">
        <v>0</v>
      </c>
      <c r="V336" s="1" t="str">
        <f t="shared" si="60"/>
        <v>里程去程</v>
      </c>
      <c r="W336" s="1" t="str">
        <f>"0020"</f>
        <v>0020</v>
      </c>
      <c r="X336" s="1" t="s">
        <v>29</v>
      </c>
    </row>
    <row r="337" spans="1:24" x14ac:dyDescent="0.3">
      <c r="A337" s="1" t="str">
        <f t="shared" si="59"/>
        <v>59820</v>
      </c>
      <c r="B337" s="1" t="s">
        <v>53</v>
      </c>
      <c r="C337" s="1" t="s">
        <v>54</v>
      </c>
      <c r="D337" s="1" t="str">
        <f t="shared" si="61"/>
        <v>9801</v>
      </c>
      <c r="E337" s="1" t="s">
        <v>25</v>
      </c>
      <c r="F337" s="1" t="str">
        <f>"C2333013D228040080CED9985D913018"</f>
        <v>C2333013D228040080CED9985D913018</v>
      </c>
      <c r="G337" s="1" t="s">
        <v>58</v>
      </c>
      <c r="H337" s="1" t="str">
        <f t="shared" si="58"/>
        <v>20220902</v>
      </c>
      <c r="I337" s="1" t="str">
        <f>"150721"</f>
        <v>150721</v>
      </c>
      <c r="J337" s="1" t="s">
        <v>60</v>
      </c>
      <c r="K337" s="1" t="s">
        <v>52</v>
      </c>
      <c r="L337" s="1" t="str">
        <f t="shared" si="57"/>
        <v>20220902</v>
      </c>
      <c r="M337" s="1" t="str">
        <f>"153335"</f>
        <v>153335</v>
      </c>
      <c r="N337" s="1" t="s">
        <v>70</v>
      </c>
      <c r="O337" s="1" t="s">
        <v>28</v>
      </c>
      <c r="P337" s="1" t="s">
        <v>55</v>
      </c>
      <c r="Q337" s="1">
        <v>25</v>
      </c>
      <c r="R337" s="1">
        <v>25</v>
      </c>
      <c r="S337" s="1">
        <v>0</v>
      </c>
      <c r="T337" s="1">
        <v>0</v>
      </c>
      <c r="U337" s="1">
        <v>0</v>
      </c>
      <c r="V337" s="1" t="str">
        <f t="shared" si="60"/>
        <v>里程去程</v>
      </c>
      <c r="W337" s="1" t="str">
        <f>"0020"</f>
        <v>0020</v>
      </c>
      <c r="X337" s="1" t="s">
        <v>29</v>
      </c>
    </row>
    <row r="338" spans="1:24" x14ac:dyDescent="0.3">
      <c r="A338" s="1" t="str">
        <f t="shared" si="59"/>
        <v>59820</v>
      </c>
      <c r="B338" s="1" t="s">
        <v>53</v>
      </c>
      <c r="C338" s="1" t="s">
        <v>54</v>
      </c>
      <c r="D338" s="1" t="str">
        <f t="shared" si="61"/>
        <v>9801</v>
      </c>
      <c r="E338" s="1" t="s">
        <v>25</v>
      </c>
      <c r="F338" s="1" t="str">
        <f>"1552799217"</f>
        <v>1552799217</v>
      </c>
      <c r="G338" s="1" t="s">
        <v>33</v>
      </c>
      <c r="H338" s="1" t="str">
        <f t="shared" si="58"/>
        <v>20220902</v>
      </c>
      <c r="I338" s="1" t="str">
        <f>"150723"</f>
        <v>150723</v>
      </c>
      <c r="J338" s="1" t="s">
        <v>60</v>
      </c>
      <c r="K338" s="1" t="s">
        <v>52</v>
      </c>
      <c r="L338" s="1" t="str">
        <f t="shared" si="57"/>
        <v>20220902</v>
      </c>
      <c r="M338" s="1" t="str">
        <f>"153334"</f>
        <v>153334</v>
      </c>
      <c r="N338" s="1" t="s">
        <v>70</v>
      </c>
      <c r="O338" s="1" t="s">
        <v>28</v>
      </c>
      <c r="P338" s="1" t="s">
        <v>55</v>
      </c>
      <c r="Q338" s="1">
        <v>25</v>
      </c>
      <c r="R338" s="1">
        <v>25</v>
      </c>
      <c r="S338" s="1">
        <v>0</v>
      </c>
      <c r="T338" s="1">
        <v>0</v>
      </c>
      <c r="U338" s="1">
        <v>0</v>
      </c>
      <c r="V338" s="1" t="str">
        <f t="shared" si="60"/>
        <v>里程去程</v>
      </c>
      <c r="W338" s="1" t="str">
        <f>"0020"</f>
        <v>0020</v>
      </c>
      <c r="X338" s="1" t="s">
        <v>35</v>
      </c>
    </row>
    <row r="339" spans="1:24" x14ac:dyDescent="0.3">
      <c r="A339" s="1" t="str">
        <f t="shared" si="59"/>
        <v>59820</v>
      </c>
      <c r="B339" s="1" t="s">
        <v>53</v>
      </c>
      <c r="C339" s="1" t="s">
        <v>54</v>
      </c>
      <c r="D339" s="1" t="str">
        <f t="shared" si="61"/>
        <v>9801</v>
      </c>
      <c r="E339" s="1" t="s">
        <v>25</v>
      </c>
      <c r="F339" s="1" t="str">
        <f>"814142689"</f>
        <v>814142689</v>
      </c>
      <c r="G339" s="1" t="s">
        <v>26</v>
      </c>
      <c r="H339" s="1" t="str">
        <f t="shared" si="58"/>
        <v>20220902</v>
      </c>
      <c r="I339" s="1" t="str">
        <f>"151618"</f>
        <v>151618</v>
      </c>
      <c r="J339" s="1" t="s">
        <v>80</v>
      </c>
      <c r="K339" s="1" t="s">
        <v>52</v>
      </c>
      <c r="L339" s="1" t="str">
        <f t="shared" si="57"/>
        <v>20220902</v>
      </c>
      <c r="M339" s="1" t="str">
        <f>"153320"</f>
        <v>153320</v>
      </c>
      <c r="N339" s="1" t="s">
        <v>70</v>
      </c>
      <c r="O339" s="1" t="s">
        <v>28</v>
      </c>
      <c r="P339" s="1" t="s">
        <v>55</v>
      </c>
      <c r="Q339" s="1">
        <v>13</v>
      </c>
      <c r="R339" s="1">
        <v>13</v>
      </c>
      <c r="S339" s="1">
        <v>0</v>
      </c>
      <c r="T339" s="1">
        <v>0</v>
      </c>
      <c r="U339" s="1">
        <v>0</v>
      </c>
      <c r="V339" s="1" t="str">
        <f t="shared" si="60"/>
        <v>里程去程</v>
      </c>
      <c r="W339" s="1" t="str">
        <f>"2120"</f>
        <v>2120</v>
      </c>
      <c r="X339" s="1" t="s">
        <v>35</v>
      </c>
    </row>
    <row r="340" spans="1:24" x14ac:dyDescent="0.3">
      <c r="A340" s="1" t="str">
        <f t="shared" si="59"/>
        <v>59820</v>
      </c>
      <c r="B340" s="1" t="s">
        <v>53</v>
      </c>
      <c r="C340" s="1" t="s">
        <v>54</v>
      </c>
      <c r="D340" s="1" t="str">
        <f t="shared" si="61"/>
        <v>9801</v>
      </c>
      <c r="E340" s="1" t="s">
        <v>25</v>
      </c>
      <c r="F340" s="1" t="str">
        <f>"888690417"</f>
        <v>888690417</v>
      </c>
      <c r="G340" s="1" t="s">
        <v>26</v>
      </c>
      <c r="H340" s="1" t="str">
        <f t="shared" si="58"/>
        <v>20220902</v>
      </c>
      <c r="I340" s="1" t="str">
        <f>"151620"</f>
        <v>151620</v>
      </c>
      <c r="J340" s="1" t="s">
        <v>80</v>
      </c>
      <c r="K340" s="1" t="s">
        <v>52</v>
      </c>
      <c r="L340" s="1" t="str">
        <f t="shared" si="57"/>
        <v>20220902</v>
      </c>
      <c r="M340" s="1" t="str">
        <f>"153317"</f>
        <v>153317</v>
      </c>
      <c r="N340" s="1" t="s">
        <v>70</v>
      </c>
      <c r="O340" s="1" t="s">
        <v>28</v>
      </c>
      <c r="P340" s="1" t="s">
        <v>55</v>
      </c>
      <c r="Q340" s="1">
        <v>13</v>
      </c>
      <c r="R340" s="1">
        <v>13</v>
      </c>
      <c r="S340" s="1">
        <v>0</v>
      </c>
      <c r="T340" s="1">
        <v>0</v>
      </c>
      <c r="U340" s="1">
        <v>0</v>
      </c>
      <c r="V340" s="1" t="str">
        <f t="shared" si="60"/>
        <v>里程去程</v>
      </c>
      <c r="W340" s="1" t="str">
        <f>"2120"</f>
        <v>2120</v>
      </c>
      <c r="X340" s="1" t="s">
        <v>35</v>
      </c>
    </row>
    <row r="341" spans="1:24" x14ac:dyDescent="0.3">
      <c r="A341" s="1" t="str">
        <f t="shared" si="59"/>
        <v>59820</v>
      </c>
      <c r="B341" s="1" t="s">
        <v>53</v>
      </c>
      <c r="C341" s="1" t="s">
        <v>54</v>
      </c>
      <c r="D341" s="1" t="str">
        <f t="shared" si="61"/>
        <v>9801</v>
      </c>
      <c r="E341" s="1" t="s">
        <v>25</v>
      </c>
      <c r="F341" s="1" t="str">
        <f>"2544504520"</f>
        <v>2544504520</v>
      </c>
      <c r="G341" s="1" t="s">
        <v>33</v>
      </c>
      <c r="H341" s="1" t="str">
        <f t="shared" si="58"/>
        <v>20220902</v>
      </c>
      <c r="I341" s="1" t="str">
        <f>"152944"</f>
        <v>152944</v>
      </c>
      <c r="J341" s="1" t="s">
        <v>84</v>
      </c>
      <c r="K341" s="1" t="s">
        <v>28</v>
      </c>
      <c r="L341" s="1" t="str">
        <f t="shared" si="57"/>
        <v>20220902</v>
      </c>
      <c r="M341" s="1" t="str">
        <f>"153328"</f>
        <v>153328</v>
      </c>
      <c r="N341" s="1" t="s">
        <v>70</v>
      </c>
      <c r="O341" s="1" t="s">
        <v>28</v>
      </c>
      <c r="P341" s="1" t="s">
        <v>55</v>
      </c>
      <c r="Q341" s="1">
        <v>25</v>
      </c>
      <c r="R341" s="1">
        <v>25</v>
      </c>
      <c r="S341" s="1">
        <v>0</v>
      </c>
      <c r="T341" s="1">
        <v>0</v>
      </c>
      <c r="U341" s="1">
        <v>0</v>
      </c>
      <c r="V341" s="1" t="str">
        <f t="shared" si="60"/>
        <v>里程去程</v>
      </c>
      <c r="W341" s="1" t="str">
        <f>"2120"</f>
        <v>2120</v>
      </c>
      <c r="X341" s="1" t="s">
        <v>35</v>
      </c>
    </row>
    <row r="342" spans="1:24" x14ac:dyDescent="0.3">
      <c r="A342" s="1" t="str">
        <f t="shared" si="59"/>
        <v>59820</v>
      </c>
      <c r="B342" s="1" t="s">
        <v>53</v>
      </c>
      <c r="C342" s="1" t="s">
        <v>54</v>
      </c>
      <c r="D342" s="1" t="str">
        <f t="shared" si="61"/>
        <v>9801</v>
      </c>
      <c r="E342" s="1" t="s">
        <v>25</v>
      </c>
      <c r="F342" s="1" t="str">
        <f>"801983333"</f>
        <v>801983333</v>
      </c>
      <c r="G342" s="1" t="s">
        <v>33</v>
      </c>
      <c r="H342" s="1" t="str">
        <f t="shared" si="58"/>
        <v>20220902</v>
      </c>
      <c r="I342" s="1" t="str">
        <f>"152950"</f>
        <v>152950</v>
      </c>
      <c r="J342" s="1" t="s">
        <v>84</v>
      </c>
      <c r="K342" s="1" t="s">
        <v>28</v>
      </c>
      <c r="L342" s="1" t="str">
        <f t="shared" si="57"/>
        <v>20220902</v>
      </c>
      <c r="M342" s="1" t="str">
        <f>"153310"</f>
        <v>153310</v>
      </c>
      <c r="N342" s="1" t="s">
        <v>70</v>
      </c>
      <c r="O342" s="1" t="s">
        <v>28</v>
      </c>
      <c r="P342" s="1" t="s">
        <v>55</v>
      </c>
      <c r="Q342" s="1">
        <v>25</v>
      </c>
      <c r="R342" s="1">
        <v>25</v>
      </c>
      <c r="S342" s="1">
        <v>0</v>
      </c>
      <c r="T342" s="1">
        <v>0</v>
      </c>
      <c r="U342" s="1">
        <v>0</v>
      </c>
      <c r="V342" s="1" t="str">
        <f t="shared" si="60"/>
        <v>里程去程</v>
      </c>
      <c r="W342" s="1" t="str">
        <f>"1920"</f>
        <v>1920</v>
      </c>
      <c r="X342" s="1" t="s">
        <v>35</v>
      </c>
    </row>
    <row r="343" spans="1:24" x14ac:dyDescent="0.3">
      <c r="A343" s="1" t="str">
        <f t="shared" si="59"/>
        <v>59820</v>
      </c>
      <c r="B343" s="1" t="s">
        <v>53</v>
      </c>
      <c r="C343" s="1" t="s">
        <v>54</v>
      </c>
      <c r="D343" s="1" t="str">
        <f t="shared" si="61"/>
        <v>9801</v>
      </c>
      <c r="E343" s="1" t="s">
        <v>25</v>
      </c>
      <c r="F343" s="1" t="str">
        <f>"42B9D00229880400C834002000000015"</f>
        <v>42B9D00229880400C834002000000015</v>
      </c>
      <c r="G343" s="1" t="s">
        <v>74</v>
      </c>
      <c r="H343" s="1" t="str">
        <f t="shared" si="58"/>
        <v>20220902</v>
      </c>
      <c r="I343" s="1" t="str">
        <f>"155812"</f>
        <v>155812</v>
      </c>
      <c r="J343" s="1" t="s">
        <v>52</v>
      </c>
      <c r="K343" s="1" t="s">
        <v>52</v>
      </c>
      <c r="L343" s="1" t="str">
        <f t="shared" si="57"/>
        <v>20220902</v>
      </c>
      <c r="M343" s="1" t="str">
        <f>"164842"</f>
        <v>164842</v>
      </c>
      <c r="N343" s="1" t="s">
        <v>70</v>
      </c>
      <c r="O343" s="1" t="s">
        <v>28</v>
      </c>
      <c r="P343" s="1" t="s">
        <v>68</v>
      </c>
      <c r="Q343" s="1">
        <v>13</v>
      </c>
      <c r="R343" s="1">
        <v>0</v>
      </c>
      <c r="S343" s="1">
        <v>0</v>
      </c>
      <c r="T343" s="1">
        <v>13</v>
      </c>
      <c r="U343" s="1">
        <v>0</v>
      </c>
      <c r="V343" s="1" t="str">
        <f t="shared" si="60"/>
        <v>里程去程</v>
      </c>
      <c r="W343" s="1" t="str">
        <f>"0020"</f>
        <v>0020</v>
      </c>
      <c r="X343" s="1" t="s">
        <v>29</v>
      </c>
    </row>
    <row r="344" spans="1:24" x14ac:dyDescent="0.3">
      <c r="A344" s="1" t="str">
        <f t="shared" si="59"/>
        <v>59820</v>
      </c>
      <c r="B344" s="1" t="s">
        <v>53</v>
      </c>
      <c r="C344" s="1" t="s">
        <v>54</v>
      </c>
      <c r="D344" s="1" t="str">
        <f t="shared" si="61"/>
        <v>9801</v>
      </c>
      <c r="E344" s="1" t="s">
        <v>25</v>
      </c>
      <c r="F344" s="1" t="str">
        <f>"F2F7D002D7880400C834002000000015"</f>
        <v>F2F7D002D7880400C834002000000015</v>
      </c>
      <c r="G344" s="1" t="s">
        <v>74</v>
      </c>
      <c r="H344" s="1" t="str">
        <f t="shared" si="58"/>
        <v>20220902</v>
      </c>
      <c r="I344" s="1" t="str">
        <f>"160721"</f>
        <v>160721</v>
      </c>
      <c r="J344" s="1" t="s">
        <v>60</v>
      </c>
      <c r="K344" s="1" t="s">
        <v>52</v>
      </c>
      <c r="L344" s="1" t="str">
        <f t="shared" si="57"/>
        <v>20220902</v>
      </c>
      <c r="M344" s="1" t="str">
        <f>"163014"</f>
        <v>163014</v>
      </c>
      <c r="N344" s="1" t="s">
        <v>67</v>
      </c>
      <c r="O344" s="1" t="s">
        <v>52</v>
      </c>
      <c r="P344" s="1" t="s">
        <v>68</v>
      </c>
      <c r="Q344" s="1">
        <v>13</v>
      </c>
      <c r="R344" s="1">
        <v>0</v>
      </c>
      <c r="S344" s="1">
        <v>0</v>
      </c>
      <c r="T344" s="1">
        <v>13</v>
      </c>
      <c r="U344" s="1">
        <v>0</v>
      </c>
      <c r="V344" s="1" t="str">
        <f t="shared" si="60"/>
        <v>里程去程</v>
      </c>
      <c r="W344" s="1" t="str">
        <f>"0020"</f>
        <v>0020</v>
      </c>
      <c r="X344" s="1" t="s">
        <v>29</v>
      </c>
    </row>
    <row r="345" spans="1:24" x14ac:dyDescent="0.3">
      <c r="A345" s="1" t="str">
        <f t="shared" si="59"/>
        <v>59820</v>
      </c>
      <c r="B345" s="1" t="s">
        <v>53</v>
      </c>
      <c r="C345" s="1" t="s">
        <v>54</v>
      </c>
      <c r="D345" s="1" t="str">
        <f t="shared" si="61"/>
        <v>9801</v>
      </c>
      <c r="E345" s="1" t="s">
        <v>25</v>
      </c>
      <c r="F345" s="1" t="str">
        <f>"8227D00277880400C834002000000015"</f>
        <v>8227D00277880400C834002000000015</v>
      </c>
      <c r="G345" s="1" t="s">
        <v>26</v>
      </c>
      <c r="H345" s="1" t="str">
        <f t="shared" si="58"/>
        <v>20220902</v>
      </c>
      <c r="I345" s="1" t="str">
        <f>"162909"</f>
        <v>162909</v>
      </c>
      <c r="J345" s="1" t="s">
        <v>78</v>
      </c>
      <c r="K345" s="1" t="s">
        <v>52</v>
      </c>
      <c r="L345" s="1" t="str">
        <f t="shared" si="57"/>
        <v>20220902</v>
      </c>
      <c r="M345" s="1" t="str">
        <f>"164110"</f>
        <v>164110</v>
      </c>
      <c r="N345" s="1" t="s">
        <v>70</v>
      </c>
      <c r="O345" s="1" t="s">
        <v>28</v>
      </c>
      <c r="P345" s="1" t="s">
        <v>68</v>
      </c>
      <c r="Q345" s="1">
        <v>13</v>
      </c>
      <c r="R345" s="1">
        <v>0</v>
      </c>
      <c r="S345" s="1">
        <v>0</v>
      </c>
      <c r="T345" s="1">
        <v>13</v>
      </c>
      <c r="U345" s="1">
        <v>0</v>
      </c>
      <c r="V345" s="1" t="str">
        <f t="shared" si="60"/>
        <v>里程去程</v>
      </c>
      <c r="W345" s="1" t="str">
        <f>"0020"</f>
        <v>0020</v>
      </c>
      <c r="X345" s="1" t="s">
        <v>29</v>
      </c>
    </row>
    <row r="346" spans="1:24" x14ac:dyDescent="0.3">
      <c r="A346" s="1" t="str">
        <f t="shared" si="59"/>
        <v>59820</v>
      </c>
      <c r="B346" s="1" t="s">
        <v>53</v>
      </c>
      <c r="C346" s="1" t="s">
        <v>54</v>
      </c>
      <c r="D346" s="1" t="str">
        <f t="shared" si="61"/>
        <v>9801</v>
      </c>
      <c r="E346" s="1" t="s">
        <v>25</v>
      </c>
      <c r="F346" s="1" t="str">
        <f>"991209989"</f>
        <v>991209989</v>
      </c>
      <c r="G346" s="1" t="s">
        <v>33</v>
      </c>
      <c r="H346" s="1" t="str">
        <f t="shared" si="58"/>
        <v>20220902</v>
      </c>
      <c r="I346" s="1" t="str">
        <f>"164117"</f>
        <v>164117</v>
      </c>
      <c r="J346" s="1" t="s">
        <v>27</v>
      </c>
      <c r="K346" s="1" t="s">
        <v>28</v>
      </c>
      <c r="L346" s="1" t="str">
        <f t="shared" si="57"/>
        <v>20220902</v>
      </c>
      <c r="M346" s="1" t="str">
        <f>"165449"</f>
        <v>165449</v>
      </c>
      <c r="N346" s="1" t="s">
        <v>56</v>
      </c>
      <c r="O346" s="1" t="s">
        <v>45</v>
      </c>
      <c r="P346" s="1" t="s">
        <v>55</v>
      </c>
      <c r="Q346" s="1">
        <v>25</v>
      </c>
      <c r="R346" s="1">
        <v>0</v>
      </c>
      <c r="S346" s="1">
        <v>25</v>
      </c>
      <c r="T346" s="1">
        <v>0</v>
      </c>
      <c r="U346" s="1">
        <v>0</v>
      </c>
      <c r="V346" s="1" t="str">
        <f t="shared" si="60"/>
        <v>里程去程</v>
      </c>
      <c r="W346" s="1" t="str">
        <f>"0820"</f>
        <v>0820</v>
      </c>
      <c r="X346" s="1" t="s">
        <v>35</v>
      </c>
    </row>
    <row r="347" spans="1:24" x14ac:dyDescent="0.3">
      <c r="A347" s="1" t="str">
        <f t="shared" si="59"/>
        <v>59820</v>
      </c>
      <c r="B347" s="1" t="s">
        <v>53</v>
      </c>
      <c r="C347" s="1" t="s">
        <v>54</v>
      </c>
      <c r="D347" s="1" t="str">
        <f t="shared" si="61"/>
        <v>9801</v>
      </c>
      <c r="E347" s="1" t="s">
        <v>25</v>
      </c>
      <c r="F347" s="1" t="str">
        <f>"C2C2E010F0880400C823002000000018"</f>
        <v>C2C2E010F0880400C823002000000018</v>
      </c>
      <c r="G347" s="1" t="s">
        <v>58</v>
      </c>
      <c r="H347" s="1" t="str">
        <f t="shared" si="58"/>
        <v>20220902</v>
      </c>
      <c r="I347" s="1" t="str">
        <f>"172714"</f>
        <v>172714</v>
      </c>
      <c r="J347" s="1" t="s">
        <v>44</v>
      </c>
      <c r="K347" s="1" t="s">
        <v>45</v>
      </c>
      <c r="L347" s="1" t="str">
        <f t="shared" si="57"/>
        <v>20220902</v>
      </c>
      <c r="M347" s="1" t="str">
        <f>"175156"</f>
        <v>175156</v>
      </c>
      <c r="N347" s="1" t="s">
        <v>28</v>
      </c>
      <c r="O347" s="1" t="s">
        <v>28</v>
      </c>
      <c r="P347" s="1" t="s">
        <v>55</v>
      </c>
      <c r="Q347" s="1">
        <v>25</v>
      </c>
      <c r="R347" s="1">
        <v>0</v>
      </c>
      <c r="S347" s="1">
        <v>25</v>
      </c>
      <c r="T347" s="1">
        <v>0</v>
      </c>
      <c r="U347" s="1">
        <v>0</v>
      </c>
      <c r="V347" s="1" t="str">
        <f t="shared" ref="V347:V357" si="62">"里程返程"</f>
        <v>里程返程</v>
      </c>
      <c r="W347" s="1" t="str">
        <f>"1120"</f>
        <v>1120</v>
      </c>
      <c r="X347" s="1" t="s">
        <v>29</v>
      </c>
    </row>
    <row r="348" spans="1:24" x14ac:dyDescent="0.3">
      <c r="A348" s="1" t="str">
        <f t="shared" si="59"/>
        <v>59820</v>
      </c>
      <c r="B348" s="1" t="s">
        <v>53</v>
      </c>
      <c r="C348" s="1" t="s">
        <v>54</v>
      </c>
      <c r="D348" s="1" t="str">
        <f t="shared" si="61"/>
        <v>9801</v>
      </c>
      <c r="E348" s="1" t="s">
        <v>25</v>
      </c>
      <c r="F348" s="1" t="str">
        <f>"5178DC49BC280400F700000000000000"</f>
        <v>5178DC49BC280400F700000000000000</v>
      </c>
      <c r="G348" s="1" t="s">
        <v>58</v>
      </c>
      <c r="H348" s="1" t="str">
        <f t="shared" si="58"/>
        <v>20220902</v>
      </c>
      <c r="I348" s="1" t="str">
        <f>"185502"</f>
        <v>185502</v>
      </c>
      <c r="J348" s="1" t="s">
        <v>28</v>
      </c>
      <c r="K348" s="1" t="s">
        <v>28</v>
      </c>
      <c r="L348" s="1" t="str">
        <f t="shared" si="57"/>
        <v>20220902</v>
      </c>
      <c r="M348" s="1" t="str">
        <f>"192546"</f>
        <v>192546</v>
      </c>
      <c r="N348" s="1" t="s">
        <v>52</v>
      </c>
      <c r="O348" s="1" t="s">
        <v>52</v>
      </c>
      <c r="P348" s="1" t="s">
        <v>55</v>
      </c>
      <c r="Q348" s="1">
        <v>25</v>
      </c>
      <c r="R348" s="1">
        <v>0</v>
      </c>
      <c r="S348" s="1">
        <v>25</v>
      </c>
      <c r="T348" s="1">
        <v>0</v>
      </c>
      <c r="U348" s="1">
        <v>0</v>
      </c>
      <c r="V348" s="1" t="str">
        <f t="shared" si="62"/>
        <v>里程返程</v>
      </c>
      <c r="W348" s="1" t="str">
        <f>"0620"</f>
        <v>0620</v>
      </c>
      <c r="X348" s="1" t="s">
        <v>29</v>
      </c>
    </row>
    <row r="349" spans="1:24" x14ac:dyDescent="0.3">
      <c r="A349" s="1" t="str">
        <f t="shared" si="59"/>
        <v>59820</v>
      </c>
      <c r="B349" s="1" t="s">
        <v>53</v>
      </c>
      <c r="C349" s="1" t="s">
        <v>54</v>
      </c>
      <c r="D349" s="1" t="str">
        <f t="shared" si="61"/>
        <v>9801</v>
      </c>
      <c r="E349" s="1" t="s">
        <v>25</v>
      </c>
      <c r="F349" s="1" t="str">
        <f>"1423293105"</f>
        <v>1423293105</v>
      </c>
      <c r="G349" s="1" t="s">
        <v>33</v>
      </c>
      <c r="H349" s="1" t="str">
        <f t="shared" si="58"/>
        <v>20220902</v>
      </c>
      <c r="I349" s="1" t="str">
        <f>"185510"</f>
        <v>185510</v>
      </c>
      <c r="J349" s="1" t="s">
        <v>28</v>
      </c>
      <c r="K349" s="1" t="s">
        <v>28</v>
      </c>
      <c r="L349" s="1" t="str">
        <f t="shared" si="57"/>
        <v>20220902</v>
      </c>
      <c r="M349" s="1" t="str">
        <f>"191106"</f>
        <v>191106</v>
      </c>
      <c r="N349" s="1" t="s">
        <v>77</v>
      </c>
      <c r="O349" s="1" t="s">
        <v>52</v>
      </c>
      <c r="P349" s="1" t="s">
        <v>55</v>
      </c>
      <c r="Q349" s="1">
        <v>25</v>
      </c>
      <c r="R349" s="1">
        <v>0</v>
      </c>
      <c r="S349" s="1">
        <v>25</v>
      </c>
      <c r="T349" s="1">
        <v>0</v>
      </c>
      <c r="U349" s="1">
        <v>0</v>
      </c>
      <c r="V349" s="1" t="str">
        <f t="shared" si="62"/>
        <v>里程返程</v>
      </c>
      <c r="W349" s="1" t="str">
        <f>"0820"</f>
        <v>0820</v>
      </c>
      <c r="X349" s="1" t="s">
        <v>35</v>
      </c>
    </row>
    <row r="350" spans="1:24" x14ac:dyDescent="0.3">
      <c r="A350" s="1" t="str">
        <f t="shared" si="59"/>
        <v>59820</v>
      </c>
      <c r="B350" s="1" t="s">
        <v>53</v>
      </c>
      <c r="C350" s="1" t="s">
        <v>54</v>
      </c>
      <c r="D350" s="1" t="str">
        <f t="shared" si="61"/>
        <v>9801</v>
      </c>
      <c r="E350" s="1" t="s">
        <v>25</v>
      </c>
      <c r="F350" s="1" t="str">
        <f>"52A4C1122528040080CEBCD765212818"</f>
        <v>52A4C1122528040080CEBCD765212818</v>
      </c>
      <c r="G350" s="1" t="s">
        <v>59</v>
      </c>
      <c r="H350" s="1" t="str">
        <f t="shared" si="58"/>
        <v>20220902</v>
      </c>
      <c r="I350" s="1" t="str">
        <f>"185511"</f>
        <v>185511</v>
      </c>
      <c r="J350" s="1" t="s">
        <v>28</v>
      </c>
      <c r="K350" s="1" t="s">
        <v>28</v>
      </c>
      <c r="L350" s="1" t="str">
        <f t="shared" si="57"/>
        <v>20220902</v>
      </c>
      <c r="M350" s="1" t="str">
        <f>"191111"</f>
        <v>191111</v>
      </c>
      <c r="N350" s="1" t="s">
        <v>77</v>
      </c>
      <c r="O350" s="1" t="s">
        <v>52</v>
      </c>
      <c r="P350" s="1" t="s">
        <v>55</v>
      </c>
      <c r="Q350" s="1">
        <v>25</v>
      </c>
      <c r="R350" s="1">
        <v>0</v>
      </c>
      <c r="S350" s="1">
        <v>25</v>
      </c>
      <c r="T350" s="1">
        <v>0</v>
      </c>
      <c r="U350" s="1">
        <v>0</v>
      </c>
      <c r="V350" s="1" t="str">
        <f t="shared" si="62"/>
        <v>里程返程</v>
      </c>
      <c r="W350" s="1" t="str">
        <f>"0620"</f>
        <v>0620</v>
      </c>
      <c r="X350" s="1" t="s">
        <v>29</v>
      </c>
    </row>
    <row r="351" spans="1:24" x14ac:dyDescent="0.3">
      <c r="A351" s="1" t="str">
        <f t="shared" si="59"/>
        <v>59820</v>
      </c>
      <c r="B351" s="1" t="s">
        <v>53</v>
      </c>
      <c r="C351" s="1" t="s">
        <v>54</v>
      </c>
      <c r="D351" s="1" t="str">
        <f t="shared" si="61"/>
        <v>9801</v>
      </c>
      <c r="E351" s="1" t="s">
        <v>25</v>
      </c>
      <c r="F351" s="1" t="str">
        <f>"E2A7C1129628040080CEBCD765212818"</f>
        <v>E2A7C1129628040080CEBCD765212818</v>
      </c>
      <c r="G351" s="1" t="s">
        <v>59</v>
      </c>
      <c r="H351" s="1" t="str">
        <f t="shared" si="58"/>
        <v>20220902</v>
      </c>
      <c r="I351" s="1" t="str">
        <f>"185517"</f>
        <v>185517</v>
      </c>
      <c r="J351" s="1" t="s">
        <v>28</v>
      </c>
      <c r="K351" s="1" t="s">
        <v>28</v>
      </c>
      <c r="L351" s="1" t="str">
        <f t="shared" si="57"/>
        <v>20220902</v>
      </c>
      <c r="M351" s="1" t="str">
        <f>"191118"</f>
        <v>191118</v>
      </c>
      <c r="N351" s="1" t="s">
        <v>77</v>
      </c>
      <c r="O351" s="1" t="s">
        <v>52</v>
      </c>
      <c r="P351" s="1" t="s">
        <v>55</v>
      </c>
      <c r="Q351" s="1">
        <v>25</v>
      </c>
      <c r="R351" s="1">
        <v>0</v>
      </c>
      <c r="S351" s="1">
        <v>25</v>
      </c>
      <c r="T351" s="1">
        <v>0</v>
      </c>
      <c r="U351" s="1">
        <v>0</v>
      </c>
      <c r="V351" s="1" t="str">
        <f t="shared" si="62"/>
        <v>里程返程</v>
      </c>
      <c r="W351" s="1" t="str">
        <f>"0620"</f>
        <v>0620</v>
      </c>
      <c r="X351" s="1" t="s">
        <v>29</v>
      </c>
    </row>
    <row r="352" spans="1:24" x14ac:dyDescent="0.3">
      <c r="A352" s="1" t="str">
        <f t="shared" si="59"/>
        <v>59820</v>
      </c>
      <c r="B352" s="1" t="s">
        <v>53</v>
      </c>
      <c r="C352" s="1" t="s">
        <v>54</v>
      </c>
      <c r="D352" s="1" t="str">
        <f t="shared" si="61"/>
        <v>9801</v>
      </c>
      <c r="E352" s="1" t="s">
        <v>25</v>
      </c>
      <c r="F352" s="1" t="str">
        <f>"02A4C1127528040080CEBCD765212818"</f>
        <v>02A4C1127528040080CEBCD765212818</v>
      </c>
      <c r="G352" s="1" t="s">
        <v>59</v>
      </c>
      <c r="H352" s="1" t="str">
        <f t="shared" si="58"/>
        <v>20220902</v>
      </c>
      <c r="I352" s="1" t="str">
        <f>"185521"</f>
        <v>185521</v>
      </c>
      <c r="J352" s="1" t="s">
        <v>28</v>
      </c>
      <c r="K352" s="1" t="s">
        <v>28</v>
      </c>
      <c r="L352" s="1" t="str">
        <f t="shared" si="57"/>
        <v>20220902</v>
      </c>
      <c r="M352" s="1" t="str">
        <f>"191121"</f>
        <v>191121</v>
      </c>
      <c r="N352" s="1" t="s">
        <v>77</v>
      </c>
      <c r="O352" s="1" t="s">
        <v>52</v>
      </c>
      <c r="P352" s="1" t="s">
        <v>55</v>
      </c>
      <c r="Q352" s="1">
        <v>25</v>
      </c>
      <c r="R352" s="1">
        <v>0</v>
      </c>
      <c r="S352" s="1">
        <v>25</v>
      </c>
      <c r="T352" s="1">
        <v>0</v>
      </c>
      <c r="U352" s="1">
        <v>0</v>
      </c>
      <c r="V352" s="1" t="str">
        <f t="shared" si="62"/>
        <v>里程返程</v>
      </c>
      <c r="W352" s="1" t="str">
        <f>"0620"</f>
        <v>0620</v>
      </c>
      <c r="X352" s="1" t="s">
        <v>29</v>
      </c>
    </row>
    <row r="353" spans="1:24" x14ac:dyDescent="0.3">
      <c r="A353" s="1" t="str">
        <f t="shared" si="59"/>
        <v>59820</v>
      </c>
      <c r="B353" s="1" t="s">
        <v>53</v>
      </c>
      <c r="C353" s="1" t="s">
        <v>54</v>
      </c>
      <c r="D353" s="1" t="str">
        <f t="shared" si="61"/>
        <v>9801</v>
      </c>
      <c r="E353" s="1" t="s">
        <v>25</v>
      </c>
      <c r="F353" s="1" t="str">
        <f>"32C82413CD28040080CED9985D913018"</f>
        <v>32C82413CD28040080CED9985D913018</v>
      </c>
      <c r="G353" s="1" t="s">
        <v>59</v>
      </c>
      <c r="H353" s="1" t="str">
        <f t="shared" si="58"/>
        <v>20220902</v>
      </c>
      <c r="I353" s="1" t="str">
        <f>"185528"</f>
        <v>185528</v>
      </c>
      <c r="J353" s="1" t="s">
        <v>28</v>
      </c>
      <c r="K353" s="1" t="s">
        <v>28</v>
      </c>
      <c r="L353" s="1" t="str">
        <f t="shared" si="57"/>
        <v>20220902</v>
      </c>
      <c r="M353" s="1" t="str">
        <f>"191114"</f>
        <v>191114</v>
      </c>
      <c r="N353" s="1" t="s">
        <v>77</v>
      </c>
      <c r="O353" s="1" t="s">
        <v>52</v>
      </c>
      <c r="P353" s="1" t="s">
        <v>55</v>
      </c>
      <c r="Q353" s="1">
        <v>25</v>
      </c>
      <c r="R353" s="1">
        <v>0</v>
      </c>
      <c r="S353" s="1">
        <v>25</v>
      </c>
      <c r="T353" s="1">
        <v>0</v>
      </c>
      <c r="U353" s="1">
        <v>0</v>
      </c>
      <c r="V353" s="1" t="str">
        <f t="shared" si="62"/>
        <v>里程返程</v>
      </c>
      <c r="W353" s="1" t="str">
        <f>"0620"</f>
        <v>0620</v>
      </c>
      <c r="X353" s="1" t="s">
        <v>29</v>
      </c>
    </row>
    <row r="354" spans="1:24" x14ac:dyDescent="0.3">
      <c r="A354" s="1" t="str">
        <f t="shared" si="59"/>
        <v>59820</v>
      </c>
      <c r="B354" s="1" t="s">
        <v>53</v>
      </c>
      <c r="C354" s="1" t="s">
        <v>54</v>
      </c>
      <c r="D354" s="1" t="str">
        <f t="shared" si="61"/>
        <v>9801</v>
      </c>
      <c r="E354" s="1" t="s">
        <v>25</v>
      </c>
      <c r="F354" s="1" t="str">
        <f>"1479925393"</f>
        <v>1479925393</v>
      </c>
      <c r="G354" s="1" t="s">
        <v>33</v>
      </c>
      <c r="H354" s="1" t="str">
        <f t="shared" si="58"/>
        <v>20220902</v>
      </c>
      <c r="I354" s="1" t="str">
        <f>"185539"</f>
        <v>185539</v>
      </c>
      <c r="J354" s="1" t="s">
        <v>28</v>
      </c>
      <c r="K354" s="1" t="s">
        <v>28</v>
      </c>
      <c r="L354" s="1" t="str">
        <f t="shared" ref="L354:L385" si="63">"20220902"</f>
        <v>20220902</v>
      </c>
      <c r="M354" s="1" t="str">
        <f>"192543"</f>
        <v>192543</v>
      </c>
      <c r="N354" s="1" t="s">
        <v>52</v>
      </c>
      <c r="O354" s="1" t="s">
        <v>52</v>
      </c>
      <c r="P354" s="1" t="s">
        <v>55</v>
      </c>
      <c r="Q354" s="1">
        <v>25</v>
      </c>
      <c r="R354" s="1">
        <v>25</v>
      </c>
      <c r="S354" s="1">
        <v>0</v>
      </c>
      <c r="T354" s="1">
        <v>0</v>
      </c>
      <c r="U354" s="1">
        <v>0</v>
      </c>
      <c r="V354" s="1" t="str">
        <f t="shared" si="62"/>
        <v>里程返程</v>
      </c>
      <c r="W354" s="1" t="str">
        <f>"0120"</f>
        <v>0120</v>
      </c>
      <c r="X354" s="1" t="s">
        <v>35</v>
      </c>
    </row>
    <row r="355" spans="1:24" x14ac:dyDescent="0.3">
      <c r="A355" s="1" t="str">
        <f t="shared" si="59"/>
        <v>59820</v>
      </c>
      <c r="B355" s="1" t="s">
        <v>53</v>
      </c>
      <c r="C355" s="1" t="s">
        <v>54</v>
      </c>
      <c r="D355" s="1" t="str">
        <f t="shared" si="61"/>
        <v>9801</v>
      </c>
      <c r="E355" s="1" t="s">
        <v>25</v>
      </c>
      <c r="F355" s="1" t="str">
        <f>"1102643221"</f>
        <v>1102643221</v>
      </c>
      <c r="G355" s="1" t="s">
        <v>38</v>
      </c>
      <c r="H355" s="1" t="str">
        <f t="shared" si="58"/>
        <v>20220902</v>
      </c>
      <c r="I355" s="1" t="str">
        <f>"185542"</f>
        <v>185542</v>
      </c>
      <c r="J355" s="1" t="s">
        <v>28</v>
      </c>
      <c r="K355" s="1" t="s">
        <v>28</v>
      </c>
      <c r="L355" s="1" t="str">
        <f t="shared" si="63"/>
        <v>20220902</v>
      </c>
      <c r="M355" s="1" t="str">
        <f>"192537"</f>
        <v>192537</v>
      </c>
      <c r="N355" s="1" t="s">
        <v>52</v>
      </c>
      <c r="O355" s="1" t="s">
        <v>52</v>
      </c>
      <c r="P355" s="1" t="s">
        <v>55</v>
      </c>
      <c r="Q355" s="1">
        <v>25</v>
      </c>
      <c r="R355" s="1">
        <v>25</v>
      </c>
      <c r="S355" s="1">
        <v>0</v>
      </c>
      <c r="T355" s="1">
        <v>0</v>
      </c>
      <c r="U355" s="1">
        <v>0</v>
      </c>
      <c r="V355" s="1" t="str">
        <f t="shared" si="62"/>
        <v>里程返程</v>
      </c>
      <c r="W355" s="1" t="str">
        <f>"0120"</f>
        <v>0120</v>
      </c>
      <c r="X355" s="1" t="s">
        <v>35</v>
      </c>
    </row>
    <row r="356" spans="1:24" x14ac:dyDescent="0.3">
      <c r="A356" s="1" t="str">
        <f t="shared" si="59"/>
        <v>59820</v>
      </c>
      <c r="B356" s="1" t="s">
        <v>53</v>
      </c>
      <c r="C356" s="1" t="s">
        <v>54</v>
      </c>
      <c r="D356" s="1" t="str">
        <f t="shared" si="61"/>
        <v>9801</v>
      </c>
      <c r="E356" s="1" t="s">
        <v>25</v>
      </c>
      <c r="F356" s="1" t="str">
        <f>"226873057"</f>
        <v>226873057</v>
      </c>
      <c r="G356" s="1" t="s">
        <v>33</v>
      </c>
      <c r="H356" s="1" t="str">
        <f t="shared" si="58"/>
        <v>20220902</v>
      </c>
      <c r="I356" s="1" t="str">
        <f>"185544"</f>
        <v>185544</v>
      </c>
      <c r="J356" s="1" t="s">
        <v>28</v>
      </c>
      <c r="K356" s="1" t="s">
        <v>28</v>
      </c>
      <c r="L356" s="1" t="str">
        <f t="shared" si="63"/>
        <v>20220902</v>
      </c>
      <c r="M356" s="1" t="str">
        <f>"192541"</f>
        <v>192541</v>
      </c>
      <c r="N356" s="1" t="s">
        <v>52</v>
      </c>
      <c r="O356" s="1" t="s">
        <v>52</v>
      </c>
      <c r="P356" s="1" t="s">
        <v>55</v>
      </c>
      <c r="Q356" s="1">
        <v>25</v>
      </c>
      <c r="R356" s="1">
        <v>25</v>
      </c>
      <c r="S356" s="1">
        <v>0</v>
      </c>
      <c r="T356" s="1">
        <v>0</v>
      </c>
      <c r="U356" s="1">
        <v>0</v>
      </c>
      <c r="V356" s="1" t="str">
        <f t="shared" si="62"/>
        <v>里程返程</v>
      </c>
      <c r="W356" s="1" t="str">
        <f>"0120"</f>
        <v>0120</v>
      </c>
      <c r="X356" s="1" t="s">
        <v>35</v>
      </c>
    </row>
    <row r="357" spans="1:24" x14ac:dyDescent="0.3">
      <c r="A357" s="1" t="str">
        <f t="shared" si="59"/>
        <v>59820</v>
      </c>
      <c r="B357" s="1" t="s">
        <v>53</v>
      </c>
      <c r="C357" s="1" t="s">
        <v>54</v>
      </c>
      <c r="D357" s="1" t="str">
        <f t="shared" si="61"/>
        <v>9801</v>
      </c>
      <c r="E357" s="1" t="s">
        <v>25</v>
      </c>
      <c r="F357" s="1" t="str">
        <f>"398784737"</f>
        <v>398784737</v>
      </c>
      <c r="G357" s="1" t="s">
        <v>33</v>
      </c>
      <c r="H357" s="1" t="str">
        <f t="shared" ref="H357:H388" si="64">"20220902"</f>
        <v>20220902</v>
      </c>
      <c r="I357" s="1" t="str">
        <f>"185547"</f>
        <v>185547</v>
      </c>
      <c r="J357" s="1" t="s">
        <v>28</v>
      </c>
      <c r="K357" s="1" t="s">
        <v>28</v>
      </c>
      <c r="L357" s="1" t="str">
        <f t="shared" si="63"/>
        <v>20220902</v>
      </c>
      <c r="M357" s="1" t="str">
        <f>"192549"</f>
        <v>192549</v>
      </c>
      <c r="N357" s="1" t="s">
        <v>52</v>
      </c>
      <c r="O357" s="1" t="s">
        <v>52</v>
      </c>
      <c r="P357" s="1" t="s">
        <v>55</v>
      </c>
      <c r="Q357" s="1">
        <v>25</v>
      </c>
      <c r="R357" s="1">
        <v>25</v>
      </c>
      <c r="S357" s="1">
        <v>0</v>
      </c>
      <c r="T357" s="1">
        <v>0</v>
      </c>
      <c r="U357" s="1">
        <v>0</v>
      </c>
      <c r="V357" s="1" t="str">
        <f t="shared" si="62"/>
        <v>里程返程</v>
      </c>
      <c r="W357" s="1" t="str">
        <f>"2120"</f>
        <v>2120</v>
      </c>
      <c r="X357" s="1" t="s">
        <v>35</v>
      </c>
    </row>
    <row r="358" spans="1:24" x14ac:dyDescent="0.3">
      <c r="A358" s="1" t="str">
        <f t="shared" si="59"/>
        <v>59820</v>
      </c>
      <c r="B358" s="1" t="s">
        <v>53</v>
      </c>
      <c r="C358" s="1" t="s">
        <v>54</v>
      </c>
      <c r="D358" s="1" t="str">
        <f t="shared" si="61"/>
        <v>9801</v>
      </c>
      <c r="E358" s="1" t="s">
        <v>25</v>
      </c>
      <c r="F358" s="1" t="str">
        <f>"62B85C0E88880400C806002000000018"</f>
        <v>62B85C0E88880400C806002000000018</v>
      </c>
      <c r="G358" s="1" t="s">
        <v>59</v>
      </c>
      <c r="H358" s="1" t="str">
        <f t="shared" si="64"/>
        <v>20220902</v>
      </c>
      <c r="I358" s="1" t="str">
        <f>"203447"</f>
        <v>203447</v>
      </c>
      <c r="J358" s="1" t="s">
        <v>27</v>
      </c>
      <c r="K358" s="1" t="s">
        <v>28</v>
      </c>
      <c r="L358" s="1" t="str">
        <f t="shared" si="63"/>
        <v>20220902</v>
      </c>
      <c r="M358" s="1" t="str">
        <f>"205428"</f>
        <v>205428</v>
      </c>
      <c r="N358" s="1" t="s">
        <v>44</v>
      </c>
      <c r="O358" s="1" t="s">
        <v>45</v>
      </c>
      <c r="P358" s="1" t="s">
        <v>55</v>
      </c>
      <c r="Q358" s="1">
        <v>25</v>
      </c>
      <c r="R358" s="1">
        <v>25</v>
      </c>
      <c r="S358" s="1">
        <v>0</v>
      </c>
      <c r="T358" s="1">
        <v>0</v>
      </c>
      <c r="U358" s="1">
        <v>0</v>
      </c>
      <c r="V358" s="1" t="str">
        <f>"里程去程"</f>
        <v>里程去程</v>
      </c>
      <c r="W358" s="1" t="str">
        <f>"0020"</f>
        <v>0020</v>
      </c>
      <c r="X358" s="1" t="s">
        <v>29</v>
      </c>
    </row>
    <row r="359" spans="1:24" x14ac:dyDescent="0.3">
      <c r="A359" s="1" t="str">
        <f t="shared" si="59"/>
        <v>59820</v>
      </c>
      <c r="B359" s="1" t="s">
        <v>53</v>
      </c>
      <c r="C359" s="1" t="s">
        <v>54</v>
      </c>
      <c r="D359" s="1" t="str">
        <f t="shared" si="61"/>
        <v>9801</v>
      </c>
      <c r="E359" s="1" t="s">
        <v>25</v>
      </c>
      <c r="F359" s="1" t="str">
        <f>"772356241"</f>
        <v>772356241</v>
      </c>
      <c r="G359" s="1" t="s">
        <v>33</v>
      </c>
      <c r="H359" s="1" t="str">
        <f t="shared" si="64"/>
        <v>20220902</v>
      </c>
      <c r="I359" s="1" t="str">
        <f>"203457"</f>
        <v>203457</v>
      </c>
      <c r="J359" s="1" t="s">
        <v>27</v>
      </c>
      <c r="K359" s="1" t="s">
        <v>28</v>
      </c>
      <c r="L359" s="1" t="str">
        <f t="shared" si="63"/>
        <v>20220902</v>
      </c>
      <c r="M359" s="1" t="str">
        <f>"205431"</f>
        <v>205431</v>
      </c>
      <c r="N359" s="1" t="s">
        <v>44</v>
      </c>
      <c r="O359" s="1" t="s">
        <v>45</v>
      </c>
      <c r="P359" s="1" t="s">
        <v>55</v>
      </c>
      <c r="Q359" s="1">
        <v>25</v>
      </c>
      <c r="R359" s="1">
        <v>25</v>
      </c>
      <c r="S359" s="1">
        <v>0</v>
      </c>
      <c r="T359" s="1">
        <v>0</v>
      </c>
      <c r="U359" s="1">
        <v>0</v>
      </c>
      <c r="V359" s="1" t="str">
        <f>"里程去程"</f>
        <v>里程去程</v>
      </c>
      <c r="W359" s="1" t="str">
        <f>"1b20"</f>
        <v>1b20</v>
      </c>
      <c r="X359" s="1" t="s">
        <v>35</v>
      </c>
    </row>
    <row r="360" spans="1:24" x14ac:dyDescent="0.3">
      <c r="A360" s="1" t="str">
        <f t="shared" ref="A360:A373" si="65">"59823"</f>
        <v>59823</v>
      </c>
      <c r="B360" s="1" t="s">
        <v>36</v>
      </c>
      <c r="C360" s="1" t="s">
        <v>37</v>
      </c>
      <c r="D360" s="1" t="str">
        <f t="shared" ref="D360:D369" si="66">"9803"</f>
        <v>9803</v>
      </c>
      <c r="E360" s="1" t="s">
        <v>32</v>
      </c>
      <c r="F360" s="1" t="str">
        <f>"866619413"</f>
        <v>866619413</v>
      </c>
      <c r="G360" s="1" t="s">
        <v>26</v>
      </c>
      <c r="H360" s="1" t="str">
        <f t="shared" si="64"/>
        <v>20220902</v>
      </c>
      <c r="I360" s="1" t="str">
        <f>"072948"</f>
        <v>072948</v>
      </c>
      <c r="J360" s="1" t="s">
        <v>28</v>
      </c>
      <c r="K360" s="1" t="s">
        <v>28</v>
      </c>
      <c r="L360" s="1" t="str">
        <f t="shared" si="63"/>
        <v>20220902</v>
      </c>
      <c r="M360" s="1" t="str">
        <f>"074513"</f>
        <v>074513</v>
      </c>
      <c r="N360" s="1" t="s">
        <v>34</v>
      </c>
      <c r="O360" s="1" t="s">
        <v>34</v>
      </c>
      <c r="P360" s="1" t="s">
        <v>55</v>
      </c>
      <c r="Q360" s="1">
        <v>13</v>
      </c>
      <c r="R360" s="1">
        <v>13</v>
      </c>
      <c r="S360" s="1">
        <v>0</v>
      </c>
      <c r="T360" s="1">
        <v>0</v>
      </c>
      <c r="U360" s="1">
        <v>0</v>
      </c>
      <c r="V360" s="1" t="str">
        <f>"里程去程"</f>
        <v>里程去程</v>
      </c>
      <c r="W360" s="1" t="str">
        <f>"0820"</f>
        <v>0820</v>
      </c>
      <c r="X360" s="1" t="s">
        <v>35</v>
      </c>
    </row>
    <row r="361" spans="1:24" x14ac:dyDescent="0.3">
      <c r="A361" s="1" t="str">
        <f t="shared" si="65"/>
        <v>59823</v>
      </c>
      <c r="B361" s="1" t="s">
        <v>36</v>
      </c>
      <c r="C361" s="1" t="s">
        <v>37</v>
      </c>
      <c r="D361" s="1" t="str">
        <f t="shared" si="66"/>
        <v>9803</v>
      </c>
      <c r="E361" s="1" t="s">
        <v>32</v>
      </c>
      <c r="F361" s="1" t="str">
        <f>"122056321"</f>
        <v>122056321</v>
      </c>
      <c r="G361" s="1" t="s">
        <v>33</v>
      </c>
      <c r="H361" s="1" t="str">
        <f t="shared" si="64"/>
        <v>20220902</v>
      </c>
      <c r="I361" s="1" t="str">
        <f>"083016"</f>
        <v>083016</v>
      </c>
      <c r="J361" s="1" t="s">
        <v>28</v>
      </c>
      <c r="K361" s="1" t="s">
        <v>28</v>
      </c>
      <c r="L361" s="1" t="str">
        <f t="shared" si="63"/>
        <v>20220902</v>
      </c>
      <c r="M361" s="1" t="str">
        <f>"085030"</f>
        <v>085030</v>
      </c>
      <c r="N361" s="1" t="s">
        <v>34</v>
      </c>
      <c r="O361" s="1" t="s">
        <v>34</v>
      </c>
      <c r="P361" s="1" t="s">
        <v>55</v>
      </c>
      <c r="Q361" s="1">
        <v>25</v>
      </c>
      <c r="R361" s="1">
        <v>25</v>
      </c>
      <c r="S361" s="1">
        <v>0</v>
      </c>
      <c r="T361" s="1">
        <v>0</v>
      </c>
      <c r="U361" s="1">
        <v>0</v>
      </c>
      <c r="V361" s="1" t="str">
        <f>"里程去程"</f>
        <v>里程去程</v>
      </c>
      <c r="W361" s="1" t="str">
        <f>"2120"</f>
        <v>2120</v>
      </c>
      <c r="X361" s="1" t="s">
        <v>35</v>
      </c>
    </row>
    <row r="362" spans="1:24" x14ac:dyDescent="0.3">
      <c r="A362" s="1" t="str">
        <f t="shared" si="65"/>
        <v>59823</v>
      </c>
      <c r="B362" s="1" t="s">
        <v>36</v>
      </c>
      <c r="C362" s="1" t="s">
        <v>37</v>
      </c>
      <c r="D362" s="1" t="str">
        <f t="shared" si="66"/>
        <v>9803</v>
      </c>
      <c r="E362" s="1" t="s">
        <v>32</v>
      </c>
      <c r="F362" s="1" t="str">
        <f>"896898549"</f>
        <v>896898549</v>
      </c>
      <c r="G362" s="1" t="s">
        <v>26</v>
      </c>
      <c r="H362" s="1" t="str">
        <f t="shared" si="64"/>
        <v>20220902</v>
      </c>
      <c r="I362" s="1" t="str">
        <f>"083019"</f>
        <v>083019</v>
      </c>
      <c r="J362" s="1" t="s">
        <v>28</v>
      </c>
      <c r="K362" s="1" t="s">
        <v>28</v>
      </c>
      <c r="L362" s="1" t="str">
        <f t="shared" si="63"/>
        <v>20220902</v>
      </c>
      <c r="M362" s="1" t="str">
        <f>"085040"</f>
        <v>085040</v>
      </c>
      <c r="N362" s="1" t="s">
        <v>34</v>
      </c>
      <c r="O362" s="1" t="s">
        <v>34</v>
      </c>
      <c r="P362" s="1" t="s">
        <v>55</v>
      </c>
      <c r="Q362" s="1">
        <v>13</v>
      </c>
      <c r="R362" s="1">
        <v>13</v>
      </c>
      <c r="S362" s="1">
        <v>0</v>
      </c>
      <c r="T362" s="1">
        <v>0</v>
      </c>
      <c r="U362" s="1">
        <v>0</v>
      </c>
      <c r="V362" s="1" t="str">
        <f>"里程去程"</f>
        <v>里程去程</v>
      </c>
      <c r="W362" s="1" t="str">
        <f>"2120"</f>
        <v>2120</v>
      </c>
      <c r="X362" s="1" t="s">
        <v>35</v>
      </c>
    </row>
    <row r="363" spans="1:24" x14ac:dyDescent="0.3">
      <c r="A363" s="1" t="str">
        <f t="shared" si="65"/>
        <v>59823</v>
      </c>
      <c r="B363" s="1" t="s">
        <v>36</v>
      </c>
      <c r="C363" s="1" t="s">
        <v>37</v>
      </c>
      <c r="D363" s="1" t="str">
        <f t="shared" si="66"/>
        <v>9803</v>
      </c>
      <c r="E363" s="1" t="s">
        <v>32</v>
      </c>
      <c r="F363" s="1" t="str">
        <f>"850723365"</f>
        <v>850723365</v>
      </c>
      <c r="G363" s="1" t="s">
        <v>33</v>
      </c>
      <c r="H363" s="1" t="str">
        <f t="shared" si="64"/>
        <v>20220902</v>
      </c>
      <c r="I363" s="1" t="str">
        <f>"092350"</f>
        <v>092350</v>
      </c>
      <c r="J363" s="1" t="s">
        <v>81</v>
      </c>
      <c r="K363" s="1" t="s">
        <v>28</v>
      </c>
      <c r="L363" s="1" t="str">
        <f t="shared" si="63"/>
        <v>20220902</v>
      </c>
      <c r="M363" s="1" t="str">
        <f>"093049"</f>
        <v>093049</v>
      </c>
      <c r="N363" s="1" t="s">
        <v>28</v>
      </c>
      <c r="O363" s="1" t="s">
        <v>28</v>
      </c>
      <c r="P363" s="1" t="s">
        <v>55</v>
      </c>
      <c r="Q363" s="1">
        <v>25</v>
      </c>
      <c r="R363" s="1">
        <v>25</v>
      </c>
      <c r="S363" s="1">
        <v>0</v>
      </c>
      <c r="T363" s="1">
        <v>0</v>
      </c>
      <c r="U363" s="1">
        <v>0</v>
      </c>
      <c r="V363" s="1" t="str">
        <f>"里程返程"</f>
        <v>里程返程</v>
      </c>
      <c r="W363" s="1" t="str">
        <f>"2120"</f>
        <v>2120</v>
      </c>
      <c r="X363" s="1" t="s">
        <v>35</v>
      </c>
    </row>
    <row r="364" spans="1:24" x14ac:dyDescent="0.3">
      <c r="A364" s="1" t="str">
        <f t="shared" si="65"/>
        <v>59823</v>
      </c>
      <c r="B364" s="1" t="s">
        <v>36</v>
      </c>
      <c r="C364" s="1" t="s">
        <v>37</v>
      </c>
      <c r="D364" s="1" t="str">
        <f t="shared" si="66"/>
        <v>9803</v>
      </c>
      <c r="E364" s="1" t="s">
        <v>32</v>
      </c>
      <c r="F364" s="1" t="str">
        <f>"4281678778"</f>
        <v>4281678778</v>
      </c>
      <c r="G364" s="1" t="s">
        <v>26</v>
      </c>
      <c r="H364" s="1" t="str">
        <f t="shared" si="64"/>
        <v>20220902</v>
      </c>
      <c r="I364" s="1" t="str">
        <f>"120720"</f>
        <v>120720</v>
      </c>
      <c r="J364" s="1" t="s">
        <v>87</v>
      </c>
      <c r="K364" s="1" t="s">
        <v>28</v>
      </c>
      <c r="L364" s="1" t="str">
        <f t="shared" si="63"/>
        <v>20220902</v>
      </c>
      <c r="M364" s="1" t="str">
        <f>"122655"</f>
        <v>122655</v>
      </c>
      <c r="N364" s="1" t="s">
        <v>95</v>
      </c>
      <c r="O364" s="1" t="s">
        <v>28</v>
      </c>
      <c r="P364" s="1" t="s">
        <v>55</v>
      </c>
      <c r="Q364" s="1">
        <v>13</v>
      </c>
      <c r="R364" s="1">
        <v>13</v>
      </c>
      <c r="S364" s="1">
        <v>0</v>
      </c>
      <c r="T364" s="1">
        <v>0</v>
      </c>
      <c r="U364" s="1">
        <v>0</v>
      </c>
      <c r="V364" s="1" t="str">
        <f>"里程返程"</f>
        <v>里程返程</v>
      </c>
      <c r="W364" s="1" t="str">
        <f>"2020"</f>
        <v>2020</v>
      </c>
      <c r="X364" s="1" t="s">
        <v>35</v>
      </c>
    </row>
    <row r="365" spans="1:24" x14ac:dyDescent="0.3">
      <c r="A365" s="1" t="str">
        <f t="shared" si="65"/>
        <v>59823</v>
      </c>
      <c r="B365" s="1" t="s">
        <v>36</v>
      </c>
      <c r="C365" s="1" t="s">
        <v>37</v>
      </c>
      <c r="D365" s="1" t="str">
        <f t="shared" si="66"/>
        <v>9803</v>
      </c>
      <c r="E365" s="1" t="s">
        <v>32</v>
      </c>
      <c r="F365" s="1" t="str">
        <f>"1410905585"</f>
        <v>1410905585</v>
      </c>
      <c r="G365" s="1" t="s">
        <v>26</v>
      </c>
      <c r="H365" s="1" t="str">
        <f t="shared" si="64"/>
        <v>20220902</v>
      </c>
      <c r="I365" s="1" t="str">
        <f>"120724"</f>
        <v>120724</v>
      </c>
      <c r="J365" s="1" t="s">
        <v>87</v>
      </c>
      <c r="K365" s="1" t="s">
        <v>28</v>
      </c>
      <c r="L365" s="1" t="str">
        <f t="shared" si="63"/>
        <v>20220902</v>
      </c>
      <c r="M365" s="1" t="str">
        <f>"122659"</f>
        <v>122659</v>
      </c>
      <c r="N365" s="1" t="s">
        <v>28</v>
      </c>
      <c r="O365" s="1" t="s">
        <v>28</v>
      </c>
      <c r="P365" s="1" t="s">
        <v>55</v>
      </c>
      <c r="Q365" s="1">
        <v>13</v>
      </c>
      <c r="R365" s="1">
        <v>13</v>
      </c>
      <c r="S365" s="1">
        <v>0</v>
      </c>
      <c r="T365" s="1">
        <v>0</v>
      </c>
      <c r="U365" s="1">
        <v>0</v>
      </c>
      <c r="V365" s="1" t="str">
        <f>"里程返程"</f>
        <v>里程返程</v>
      </c>
      <c r="W365" s="1" t="str">
        <f>"2020"</f>
        <v>2020</v>
      </c>
      <c r="X365" s="1" t="s">
        <v>35</v>
      </c>
    </row>
    <row r="366" spans="1:24" x14ac:dyDescent="0.3">
      <c r="A366" s="1" t="str">
        <f t="shared" si="65"/>
        <v>59823</v>
      </c>
      <c r="B366" s="1" t="s">
        <v>36</v>
      </c>
      <c r="C366" s="1" t="s">
        <v>37</v>
      </c>
      <c r="D366" s="1" t="str">
        <f t="shared" si="66"/>
        <v>9803</v>
      </c>
      <c r="E366" s="1" t="s">
        <v>32</v>
      </c>
      <c r="F366" s="1" t="str">
        <f>"82B8F802C0880400C834002000000015"</f>
        <v>82B8F802C0880400C834002000000015</v>
      </c>
      <c r="G366" s="1" t="s">
        <v>58</v>
      </c>
      <c r="H366" s="1" t="str">
        <f t="shared" si="64"/>
        <v>20220902</v>
      </c>
      <c r="I366" s="1" t="str">
        <f>"121402"</f>
        <v>121402</v>
      </c>
      <c r="J366" s="1" t="s">
        <v>46</v>
      </c>
      <c r="K366" s="1" t="s">
        <v>28</v>
      </c>
      <c r="L366" s="1" t="str">
        <f t="shared" si="63"/>
        <v>20220902</v>
      </c>
      <c r="M366" s="1" t="str">
        <f>"122731"</f>
        <v>122731</v>
      </c>
      <c r="N366" s="1" t="s">
        <v>28</v>
      </c>
      <c r="O366" s="1" t="s">
        <v>28</v>
      </c>
      <c r="P366" s="1" t="s">
        <v>55</v>
      </c>
      <c r="Q366" s="1">
        <v>25</v>
      </c>
      <c r="R366" s="1">
        <v>0</v>
      </c>
      <c r="S366" s="1">
        <v>25</v>
      </c>
      <c r="T366" s="1">
        <v>0</v>
      </c>
      <c r="U366" s="1">
        <v>0</v>
      </c>
      <c r="V366" s="1" t="str">
        <f>"里程返程"</f>
        <v>里程返程</v>
      </c>
      <c r="W366" s="1" t="str">
        <f>"2020"</f>
        <v>2020</v>
      </c>
      <c r="X366" s="1" t="s">
        <v>29</v>
      </c>
    </row>
    <row r="367" spans="1:24" x14ac:dyDescent="0.3">
      <c r="A367" s="1" t="str">
        <f t="shared" si="65"/>
        <v>59823</v>
      </c>
      <c r="B367" s="1" t="s">
        <v>36</v>
      </c>
      <c r="C367" s="1" t="s">
        <v>37</v>
      </c>
      <c r="D367" s="1" t="str">
        <f t="shared" si="66"/>
        <v>9803</v>
      </c>
      <c r="E367" s="1" t="s">
        <v>32</v>
      </c>
      <c r="F367" s="1" t="str">
        <f>"02E43A13CF28040080CED9985D913018"</f>
        <v>02E43A13CF28040080CED9985D913018</v>
      </c>
      <c r="G367" s="1" t="s">
        <v>58</v>
      </c>
      <c r="H367" s="1" t="str">
        <f t="shared" si="64"/>
        <v>20220902</v>
      </c>
      <c r="I367" s="1" t="str">
        <f>"121406"</f>
        <v>121406</v>
      </c>
      <c r="J367" s="1" t="s">
        <v>46</v>
      </c>
      <c r="K367" s="1" t="s">
        <v>28</v>
      </c>
      <c r="L367" s="1" t="str">
        <f t="shared" si="63"/>
        <v>20220902</v>
      </c>
      <c r="M367" s="1" t="str">
        <f>"122735"</f>
        <v>122735</v>
      </c>
      <c r="N367" s="1" t="s">
        <v>28</v>
      </c>
      <c r="O367" s="1" t="s">
        <v>28</v>
      </c>
      <c r="P367" s="1" t="s">
        <v>55</v>
      </c>
      <c r="Q367" s="1">
        <v>25</v>
      </c>
      <c r="R367" s="1">
        <v>0</v>
      </c>
      <c r="S367" s="1">
        <v>25</v>
      </c>
      <c r="T367" s="1">
        <v>0</v>
      </c>
      <c r="U367" s="1">
        <v>0</v>
      </c>
      <c r="V367" s="1" t="str">
        <f>"里程返程"</f>
        <v>里程返程</v>
      </c>
      <c r="W367" s="1" t="str">
        <f>"2020"</f>
        <v>2020</v>
      </c>
      <c r="X367" s="1" t="s">
        <v>29</v>
      </c>
    </row>
    <row r="368" spans="1:24" x14ac:dyDescent="0.3">
      <c r="A368" s="1" t="str">
        <f t="shared" si="65"/>
        <v>59823</v>
      </c>
      <c r="B368" s="1" t="s">
        <v>36</v>
      </c>
      <c r="C368" s="1" t="s">
        <v>37</v>
      </c>
      <c r="D368" s="1" t="str">
        <f t="shared" si="66"/>
        <v>9803</v>
      </c>
      <c r="E368" s="1" t="s">
        <v>32</v>
      </c>
      <c r="F368" s="1" t="str">
        <f>"9258E7022F880400C834002000000015"</f>
        <v>9258E7022F880400C834002000000015</v>
      </c>
      <c r="G368" s="1" t="s">
        <v>26</v>
      </c>
      <c r="H368" s="1" t="str">
        <f t="shared" si="64"/>
        <v>20220902</v>
      </c>
      <c r="I368" s="1" t="str">
        <f>"122819"</f>
        <v>122819</v>
      </c>
      <c r="J368" s="1" t="s">
        <v>28</v>
      </c>
      <c r="K368" s="1" t="s">
        <v>28</v>
      </c>
      <c r="L368" s="1" t="str">
        <f t="shared" si="63"/>
        <v>20220902</v>
      </c>
      <c r="M368" s="1" t="str">
        <f>"123710"</f>
        <v>123710</v>
      </c>
      <c r="N368" s="1" t="s">
        <v>70</v>
      </c>
      <c r="O368" s="1" t="s">
        <v>28</v>
      </c>
      <c r="P368" s="1" t="s">
        <v>68</v>
      </c>
      <c r="Q368" s="1">
        <v>13</v>
      </c>
      <c r="R368" s="1">
        <v>0</v>
      </c>
      <c r="S368" s="1">
        <v>0</v>
      </c>
      <c r="T368" s="1">
        <v>13</v>
      </c>
      <c r="U368" s="1">
        <v>0</v>
      </c>
      <c r="V368" s="1" t="str">
        <f>"里程去程"</f>
        <v>里程去程</v>
      </c>
      <c r="W368" s="1" t="str">
        <f>"0020"</f>
        <v>0020</v>
      </c>
      <c r="X368" s="1" t="s">
        <v>29</v>
      </c>
    </row>
    <row r="369" spans="1:24" x14ac:dyDescent="0.3">
      <c r="A369" s="1" t="str">
        <f t="shared" si="65"/>
        <v>59823</v>
      </c>
      <c r="B369" s="1" t="s">
        <v>36</v>
      </c>
      <c r="C369" s="1" t="s">
        <v>37</v>
      </c>
      <c r="D369" s="1" t="str">
        <f t="shared" si="66"/>
        <v>9803</v>
      </c>
      <c r="E369" s="1" t="s">
        <v>32</v>
      </c>
      <c r="F369" s="1" t="str">
        <f>"6238CC188E880400C821002000000019"</f>
        <v>6238CC188E880400C821002000000019</v>
      </c>
      <c r="G369" s="1" t="s">
        <v>74</v>
      </c>
      <c r="H369" s="1" t="str">
        <f t="shared" si="64"/>
        <v>20220902</v>
      </c>
      <c r="I369" s="1" t="str">
        <f>"173422"</f>
        <v>173422</v>
      </c>
      <c r="J369" s="1" t="s">
        <v>73</v>
      </c>
      <c r="K369" s="1" t="s">
        <v>28</v>
      </c>
      <c r="L369" s="1" t="str">
        <f t="shared" si="63"/>
        <v>20220902</v>
      </c>
      <c r="M369" s="1" t="str">
        <f>"175824"</f>
        <v>175824</v>
      </c>
      <c r="N369" s="1" t="s">
        <v>28</v>
      </c>
      <c r="O369" s="1" t="s">
        <v>28</v>
      </c>
      <c r="P369" s="1" t="s">
        <v>55</v>
      </c>
      <c r="Q369" s="1">
        <v>13</v>
      </c>
      <c r="R369" s="1">
        <v>0</v>
      </c>
      <c r="S369" s="1">
        <v>13</v>
      </c>
      <c r="T369" s="1">
        <v>0</v>
      </c>
      <c r="U369" s="1">
        <v>0</v>
      </c>
      <c r="V369" s="1" t="str">
        <f>"里程返程"</f>
        <v>里程返程</v>
      </c>
      <c r="W369" s="1" t="str">
        <f>"1120"</f>
        <v>1120</v>
      </c>
      <c r="X369" s="1" t="s">
        <v>29</v>
      </c>
    </row>
    <row r="370" spans="1:24" x14ac:dyDescent="0.3">
      <c r="A370" s="1" t="str">
        <f t="shared" si="65"/>
        <v>59823</v>
      </c>
      <c r="B370" s="1" t="s">
        <v>36</v>
      </c>
      <c r="C370" s="1" t="s">
        <v>37</v>
      </c>
      <c r="D370" s="1" t="str">
        <f>"9805"</f>
        <v>9805</v>
      </c>
      <c r="E370" s="1" t="s">
        <v>57</v>
      </c>
      <c r="F370" s="1" t="str">
        <f>"1116584517"</f>
        <v>1116584517</v>
      </c>
      <c r="G370" s="1" t="s">
        <v>33</v>
      </c>
      <c r="H370" s="1" t="str">
        <f t="shared" si="64"/>
        <v>20220902</v>
      </c>
      <c r="I370" s="1" t="str">
        <f>"175852"</f>
        <v>175852</v>
      </c>
      <c r="J370" s="1" t="s">
        <v>28</v>
      </c>
      <c r="K370" s="1" t="s">
        <v>28</v>
      </c>
      <c r="L370" s="1" t="str">
        <f t="shared" si="63"/>
        <v>20220902</v>
      </c>
      <c r="M370" s="1" t="str">
        <f>"181546"</f>
        <v>181546</v>
      </c>
      <c r="N370" s="1" t="s">
        <v>52</v>
      </c>
      <c r="O370" s="1" t="s">
        <v>52</v>
      </c>
      <c r="P370" s="1" t="s">
        <v>55</v>
      </c>
      <c r="Q370" s="1">
        <v>25</v>
      </c>
      <c r="R370" s="1">
        <v>25</v>
      </c>
      <c r="S370" s="1">
        <v>0</v>
      </c>
      <c r="T370" s="1">
        <v>0</v>
      </c>
      <c r="U370" s="1">
        <v>0</v>
      </c>
      <c r="V370" s="1" t="str">
        <f>"里程去程"</f>
        <v>里程去程</v>
      </c>
      <c r="W370" s="1" t="str">
        <f>"2120"</f>
        <v>2120</v>
      </c>
      <c r="X370" s="1" t="s">
        <v>35</v>
      </c>
    </row>
    <row r="371" spans="1:24" x14ac:dyDescent="0.3">
      <c r="A371" s="1" t="str">
        <f t="shared" si="65"/>
        <v>59823</v>
      </c>
      <c r="B371" s="1" t="s">
        <v>36</v>
      </c>
      <c r="C371" s="1" t="s">
        <v>37</v>
      </c>
      <c r="D371" s="1" t="str">
        <f>"9805"</f>
        <v>9805</v>
      </c>
      <c r="E371" s="1" t="s">
        <v>57</v>
      </c>
      <c r="F371" s="1" t="str">
        <f>"307740840"</f>
        <v>307740840</v>
      </c>
      <c r="G371" s="1" t="s">
        <v>26</v>
      </c>
      <c r="H371" s="1" t="str">
        <f t="shared" si="64"/>
        <v>20220902</v>
      </c>
      <c r="I371" s="1" t="str">
        <f>"175902"</f>
        <v>175902</v>
      </c>
      <c r="J371" s="1" t="s">
        <v>28</v>
      </c>
      <c r="K371" s="1" t="s">
        <v>28</v>
      </c>
      <c r="L371" s="1" t="str">
        <f t="shared" si="63"/>
        <v>20220902</v>
      </c>
      <c r="M371" s="1" t="str">
        <f>"180700"</f>
        <v>180700</v>
      </c>
      <c r="N371" s="1" t="s">
        <v>70</v>
      </c>
      <c r="O371" s="1" t="s">
        <v>28</v>
      </c>
      <c r="P371" s="1" t="s">
        <v>55</v>
      </c>
      <c r="Q371" s="1">
        <v>13</v>
      </c>
      <c r="R371" s="1">
        <v>13</v>
      </c>
      <c r="S371" s="1">
        <v>0</v>
      </c>
      <c r="T371" s="1">
        <v>0</v>
      </c>
      <c r="U371" s="1">
        <v>0</v>
      </c>
      <c r="V371" s="1" t="str">
        <f>"里程去程"</f>
        <v>里程去程</v>
      </c>
      <c r="W371" s="1" t="str">
        <f>"2020"</f>
        <v>2020</v>
      </c>
      <c r="X371" s="1" t="s">
        <v>35</v>
      </c>
    </row>
    <row r="372" spans="1:24" x14ac:dyDescent="0.3">
      <c r="A372" s="1" t="str">
        <f t="shared" si="65"/>
        <v>59823</v>
      </c>
      <c r="B372" s="1" t="s">
        <v>36</v>
      </c>
      <c r="C372" s="1" t="s">
        <v>37</v>
      </c>
      <c r="D372" s="1" t="str">
        <f>"9805"</f>
        <v>9805</v>
      </c>
      <c r="E372" s="1" t="s">
        <v>57</v>
      </c>
      <c r="F372" s="1" t="str">
        <f>"778623605"</f>
        <v>778623605</v>
      </c>
      <c r="G372" s="1" t="s">
        <v>33</v>
      </c>
      <c r="H372" s="1" t="str">
        <f t="shared" si="64"/>
        <v>20220902</v>
      </c>
      <c r="I372" s="1" t="str">
        <f>"175937"</f>
        <v>175937</v>
      </c>
      <c r="J372" s="1" t="s">
        <v>28</v>
      </c>
      <c r="K372" s="1" t="s">
        <v>28</v>
      </c>
      <c r="L372" s="1" t="str">
        <f t="shared" si="63"/>
        <v>20220902</v>
      </c>
      <c r="M372" s="1" t="str">
        <f>"181554"</f>
        <v>181554</v>
      </c>
      <c r="N372" s="1" t="s">
        <v>52</v>
      </c>
      <c r="O372" s="1" t="s">
        <v>52</v>
      </c>
      <c r="P372" s="1" t="s">
        <v>55</v>
      </c>
      <c r="Q372" s="1">
        <v>25</v>
      </c>
      <c r="R372" s="1">
        <v>25</v>
      </c>
      <c r="S372" s="1">
        <v>0</v>
      </c>
      <c r="T372" s="1">
        <v>0</v>
      </c>
      <c r="U372" s="1">
        <v>0</v>
      </c>
      <c r="V372" s="1" t="str">
        <f>"里程去程"</f>
        <v>里程去程</v>
      </c>
      <c r="W372" s="1" t="str">
        <f>"2120"</f>
        <v>2120</v>
      </c>
      <c r="X372" s="1" t="s">
        <v>35</v>
      </c>
    </row>
    <row r="373" spans="1:24" x14ac:dyDescent="0.3">
      <c r="A373" s="1" t="str">
        <f t="shared" si="65"/>
        <v>59823</v>
      </c>
      <c r="B373" s="1" t="s">
        <v>36</v>
      </c>
      <c r="C373" s="1" t="s">
        <v>37</v>
      </c>
      <c r="D373" s="1" t="str">
        <f>"9805"</f>
        <v>9805</v>
      </c>
      <c r="E373" s="1" t="s">
        <v>57</v>
      </c>
      <c r="F373" s="1" t="str">
        <f>"101610657"</f>
        <v>101610657</v>
      </c>
      <c r="G373" s="1" t="s">
        <v>33</v>
      </c>
      <c r="H373" s="1" t="str">
        <f t="shared" si="64"/>
        <v>20220902</v>
      </c>
      <c r="I373" s="1" t="str">
        <f>"181708"</f>
        <v>181708</v>
      </c>
      <c r="J373" s="1" t="s">
        <v>52</v>
      </c>
      <c r="K373" s="1" t="s">
        <v>52</v>
      </c>
      <c r="L373" s="1" t="str">
        <f t="shared" si="63"/>
        <v>20220902</v>
      </c>
      <c r="M373" s="1" t="str">
        <f>"183651"</f>
        <v>183651</v>
      </c>
      <c r="N373" s="1" t="s">
        <v>28</v>
      </c>
      <c r="O373" s="1" t="s">
        <v>28</v>
      </c>
      <c r="P373" s="1" t="s">
        <v>55</v>
      </c>
      <c r="Q373" s="1">
        <v>25</v>
      </c>
      <c r="R373" s="1">
        <v>0</v>
      </c>
      <c r="S373" s="1">
        <v>25</v>
      </c>
      <c r="T373" s="1">
        <v>0</v>
      </c>
      <c r="U373" s="1">
        <v>0</v>
      </c>
      <c r="V373" s="1" t="str">
        <f t="shared" ref="V373:V404" si="67">"里程返程"</f>
        <v>里程返程</v>
      </c>
      <c r="W373" s="1" t="str">
        <f>"2020"</f>
        <v>2020</v>
      </c>
      <c r="X373" s="1" t="s">
        <v>35</v>
      </c>
    </row>
    <row r="374" spans="1:24" x14ac:dyDescent="0.3">
      <c r="A374" s="1" t="str">
        <f t="shared" ref="A374:A418" si="68">"59825"</f>
        <v>59825</v>
      </c>
      <c r="B374" s="1" t="s">
        <v>30</v>
      </c>
      <c r="C374" s="1" t="s">
        <v>31</v>
      </c>
      <c r="D374" s="1" t="str">
        <f t="shared" ref="D374:D401" si="69">"9801"</f>
        <v>9801</v>
      </c>
      <c r="E374" s="1" t="s">
        <v>25</v>
      </c>
      <c r="F374" s="1" t="str">
        <f>"F29BD102BA880400C834002000000015"</f>
        <v>F29BD102BA880400C834002000000015</v>
      </c>
      <c r="G374" s="1" t="s">
        <v>26</v>
      </c>
      <c r="H374" s="1" t="str">
        <f t="shared" si="64"/>
        <v>20220902</v>
      </c>
      <c r="I374" s="1" t="str">
        <f>"083221"</f>
        <v>083221</v>
      </c>
      <c r="J374" s="1" t="s">
        <v>44</v>
      </c>
      <c r="K374" s="1" t="s">
        <v>45</v>
      </c>
      <c r="L374" s="1" t="str">
        <f t="shared" si="63"/>
        <v>20220902</v>
      </c>
      <c r="M374" s="1" t="str">
        <f>"085417"</f>
        <v>085417</v>
      </c>
      <c r="N374" s="1" t="s">
        <v>28</v>
      </c>
      <c r="O374" s="1" t="s">
        <v>28</v>
      </c>
      <c r="P374" s="1" t="s">
        <v>68</v>
      </c>
      <c r="Q374" s="1">
        <v>13</v>
      </c>
      <c r="R374" s="1">
        <v>0</v>
      </c>
      <c r="S374" s="1">
        <v>0</v>
      </c>
      <c r="T374" s="1">
        <v>13</v>
      </c>
      <c r="U374" s="1">
        <v>0</v>
      </c>
      <c r="V374" s="1" t="str">
        <f t="shared" si="67"/>
        <v>里程返程</v>
      </c>
      <c r="W374" s="1" t="str">
        <f>"0020"</f>
        <v>0020</v>
      </c>
      <c r="X374" s="1" t="s">
        <v>29</v>
      </c>
    </row>
    <row r="375" spans="1:24" x14ac:dyDescent="0.3">
      <c r="A375" s="1" t="str">
        <f t="shared" si="68"/>
        <v>59825</v>
      </c>
      <c r="B375" s="1" t="s">
        <v>30</v>
      </c>
      <c r="C375" s="1" t="s">
        <v>31</v>
      </c>
      <c r="D375" s="1" t="str">
        <f t="shared" si="69"/>
        <v>9801</v>
      </c>
      <c r="E375" s="1" t="s">
        <v>25</v>
      </c>
      <c r="F375" s="1" t="str">
        <f>"1203000709"</f>
        <v>1203000709</v>
      </c>
      <c r="G375" s="1" t="s">
        <v>33</v>
      </c>
      <c r="H375" s="1" t="str">
        <f t="shared" si="64"/>
        <v>20220902</v>
      </c>
      <c r="I375" s="1" t="str">
        <f>"084535"</f>
        <v>084535</v>
      </c>
      <c r="J375" s="1" t="s">
        <v>79</v>
      </c>
      <c r="K375" s="1" t="s">
        <v>45</v>
      </c>
      <c r="L375" s="1" t="str">
        <f t="shared" si="63"/>
        <v>20220902</v>
      </c>
      <c r="M375" s="1" t="str">
        <f>"085428"</f>
        <v>085428</v>
      </c>
      <c r="N375" s="1" t="s">
        <v>28</v>
      </c>
      <c r="O375" s="1" t="s">
        <v>28</v>
      </c>
      <c r="P375" s="1" t="s">
        <v>55</v>
      </c>
      <c r="Q375" s="1">
        <v>25</v>
      </c>
      <c r="R375" s="1">
        <v>25</v>
      </c>
      <c r="S375" s="1">
        <v>0</v>
      </c>
      <c r="T375" s="1">
        <v>0</v>
      </c>
      <c r="U375" s="1">
        <v>0</v>
      </c>
      <c r="V375" s="1" t="str">
        <f t="shared" si="67"/>
        <v>里程返程</v>
      </c>
      <c r="W375" s="1" t="str">
        <f>"0e20"</f>
        <v>0e20</v>
      </c>
      <c r="X375" s="1" t="s">
        <v>35</v>
      </c>
    </row>
    <row r="376" spans="1:24" x14ac:dyDescent="0.3">
      <c r="A376" s="1" t="str">
        <f t="shared" si="68"/>
        <v>59825</v>
      </c>
      <c r="B376" s="1" t="s">
        <v>30</v>
      </c>
      <c r="C376" s="1" t="s">
        <v>31</v>
      </c>
      <c r="D376" s="1" t="str">
        <f t="shared" si="69"/>
        <v>9801</v>
      </c>
      <c r="E376" s="1" t="s">
        <v>25</v>
      </c>
      <c r="F376" s="1" t="str">
        <f>"529E1903D6880400C834002000000015"</f>
        <v>529E1903D6880400C834002000000015</v>
      </c>
      <c r="G376" s="1" t="s">
        <v>26</v>
      </c>
      <c r="H376" s="1" t="str">
        <f t="shared" si="64"/>
        <v>20220902</v>
      </c>
      <c r="I376" s="1" t="str">
        <f>"085439"</f>
        <v>085439</v>
      </c>
      <c r="J376" s="1" t="s">
        <v>28</v>
      </c>
      <c r="K376" s="1" t="s">
        <v>28</v>
      </c>
      <c r="L376" s="1" t="str">
        <f t="shared" si="63"/>
        <v>20220902</v>
      </c>
      <c r="M376" s="1" t="str">
        <f>"092044"</f>
        <v>092044</v>
      </c>
      <c r="N376" s="1" t="s">
        <v>60</v>
      </c>
      <c r="O376" s="1" t="s">
        <v>52</v>
      </c>
      <c r="P376" s="1" t="s">
        <v>68</v>
      </c>
      <c r="Q376" s="1">
        <v>13</v>
      </c>
      <c r="R376" s="1">
        <v>0</v>
      </c>
      <c r="S376" s="1">
        <v>0</v>
      </c>
      <c r="T376" s="1">
        <v>13</v>
      </c>
      <c r="U376" s="1">
        <v>0</v>
      </c>
      <c r="V376" s="1" t="str">
        <f t="shared" si="67"/>
        <v>里程返程</v>
      </c>
      <c r="W376" s="1" t="str">
        <f>"0020"</f>
        <v>0020</v>
      </c>
      <c r="X376" s="1" t="s">
        <v>29</v>
      </c>
    </row>
    <row r="377" spans="1:24" x14ac:dyDescent="0.3">
      <c r="A377" s="1" t="str">
        <f t="shared" si="68"/>
        <v>59825</v>
      </c>
      <c r="B377" s="1" t="s">
        <v>30</v>
      </c>
      <c r="C377" s="1" t="s">
        <v>31</v>
      </c>
      <c r="D377" s="1" t="str">
        <f t="shared" si="69"/>
        <v>9801</v>
      </c>
      <c r="E377" s="1" t="s">
        <v>25</v>
      </c>
      <c r="F377" s="1" t="str">
        <f>"03A6A9454988040048B994D749703809"</f>
        <v>03A6A9454988040048B994D749703809</v>
      </c>
      <c r="G377" s="1" t="s">
        <v>64</v>
      </c>
      <c r="H377" s="1" t="str">
        <f t="shared" si="64"/>
        <v>20220902</v>
      </c>
      <c r="I377" s="1" t="str">
        <f>"085445"</f>
        <v>085445</v>
      </c>
      <c r="J377" s="1" t="s">
        <v>28</v>
      </c>
      <c r="K377" s="1" t="s">
        <v>28</v>
      </c>
      <c r="L377" s="1" t="str">
        <f t="shared" si="63"/>
        <v>20220902</v>
      </c>
      <c r="M377" s="1" t="str">
        <f>"090624"</f>
        <v>090624</v>
      </c>
      <c r="N377" s="1" t="s">
        <v>78</v>
      </c>
      <c r="O377" s="1" t="s">
        <v>52</v>
      </c>
      <c r="P377" s="1" t="s">
        <v>55</v>
      </c>
      <c r="Q377" s="1">
        <v>13</v>
      </c>
      <c r="R377" s="1">
        <v>13</v>
      </c>
      <c r="S377" s="1">
        <v>0</v>
      </c>
      <c r="T377" s="1">
        <v>0</v>
      </c>
      <c r="U377" s="1">
        <v>0</v>
      </c>
      <c r="V377" s="1" t="str">
        <f t="shared" si="67"/>
        <v>里程返程</v>
      </c>
      <c r="W377" s="1" t="str">
        <f>"0020"</f>
        <v>0020</v>
      </c>
      <c r="X377" s="1" t="s">
        <v>29</v>
      </c>
    </row>
    <row r="378" spans="1:24" x14ac:dyDescent="0.3">
      <c r="A378" s="1" t="str">
        <f t="shared" si="68"/>
        <v>59825</v>
      </c>
      <c r="B378" s="1" t="s">
        <v>30</v>
      </c>
      <c r="C378" s="1" t="s">
        <v>31</v>
      </c>
      <c r="D378" s="1" t="str">
        <f t="shared" si="69"/>
        <v>9801</v>
      </c>
      <c r="E378" s="1" t="s">
        <v>25</v>
      </c>
      <c r="F378" s="1" t="str">
        <f>"1827226693"</f>
        <v>1827226693</v>
      </c>
      <c r="G378" s="1" t="s">
        <v>38</v>
      </c>
      <c r="H378" s="1" t="str">
        <f t="shared" si="64"/>
        <v>20220902</v>
      </c>
      <c r="I378" s="1" t="str">
        <f>"094031"</f>
        <v>094031</v>
      </c>
      <c r="J378" s="1" t="s">
        <v>75</v>
      </c>
      <c r="K378" s="1" t="s">
        <v>45</v>
      </c>
      <c r="L378" s="1" t="str">
        <f t="shared" si="63"/>
        <v>20220902</v>
      </c>
      <c r="M378" s="1" t="str">
        <f>"095442"</f>
        <v>095442</v>
      </c>
      <c r="N378" s="1" t="s">
        <v>28</v>
      </c>
      <c r="O378" s="1" t="s">
        <v>28</v>
      </c>
      <c r="P378" s="1" t="s">
        <v>55</v>
      </c>
      <c r="Q378" s="1">
        <v>25</v>
      </c>
      <c r="R378" s="1">
        <v>25</v>
      </c>
      <c r="S378" s="1">
        <v>0</v>
      </c>
      <c r="T378" s="1">
        <v>0</v>
      </c>
      <c r="U378" s="1">
        <v>0</v>
      </c>
      <c r="V378" s="1" t="str">
        <f t="shared" si="67"/>
        <v>里程返程</v>
      </c>
      <c r="W378" s="1" t="str">
        <f>"2120"</f>
        <v>2120</v>
      </c>
      <c r="X378" s="1" t="s">
        <v>35</v>
      </c>
    </row>
    <row r="379" spans="1:24" x14ac:dyDescent="0.3">
      <c r="A379" s="1" t="str">
        <f t="shared" si="68"/>
        <v>59825</v>
      </c>
      <c r="B379" s="1" t="s">
        <v>30</v>
      </c>
      <c r="C379" s="1" t="s">
        <v>31</v>
      </c>
      <c r="D379" s="1" t="str">
        <f t="shared" si="69"/>
        <v>9801</v>
      </c>
      <c r="E379" s="1" t="s">
        <v>25</v>
      </c>
      <c r="F379" s="1" t="str">
        <f>"3888359370"</f>
        <v>3888359370</v>
      </c>
      <c r="G379" s="1" t="s">
        <v>33</v>
      </c>
      <c r="H379" s="1" t="str">
        <f t="shared" si="64"/>
        <v>20220902</v>
      </c>
      <c r="I379" s="1" t="str">
        <f>"094041"</f>
        <v>094041</v>
      </c>
      <c r="J379" s="1" t="s">
        <v>75</v>
      </c>
      <c r="K379" s="1" t="s">
        <v>45</v>
      </c>
      <c r="L379" s="1" t="str">
        <f t="shared" si="63"/>
        <v>20220902</v>
      </c>
      <c r="M379" s="1" t="str">
        <f>"095437"</f>
        <v>095437</v>
      </c>
      <c r="N379" s="1" t="s">
        <v>28</v>
      </c>
      <c r="O379" s="1" t="s">
        <v>28</v>
      </c>
      <c r="P379" s="1" t="s">
        <v>55</v>
      </c>
      <c r="Q379" s="1">
        <v>25</v>
      </c>
      <c r="R379" s="1">
        <v>25</v>
      </c>
      <c r="S379" s="1">
        <v>0</v>
      </c>
      <c r="T379" s="1">
        <v>0</v>
      </c>
      <c r="U379" s="1">
        <v>0</v>
      </c>
      <c r="V379" s="1" t="str">
        <f t="shared" si="67"/>
        <v>里程返程</v>
      </c>
      <c r="W379" s="1" t="str">
        <f>"2120"</f>
        <v>2120</v>
      </c>
      <c r="X379" s="1" t="s">
        <v>35</v>
      </c>
    </row>
    <row r="380" spans="1:24" x14ac:dyDescent="0.3">
      <c r="A380" s="1" t="str">
        <f t="shared" si="68"/>
        <v>59825</v>
      </c>
      <c r="B380" s="1" t="s">
        <v>30</v>
      </c>
      <c r="C380" s="1" t="s">
        <v>31</v>
      </c>
      <c r="D380" s="1" t="str">
        <f t="shared" si="69"/>
        <v>9801</v>
      </c>
      <c r="E380" s="1" t="s">
        <v>25</v>
      </c>
      <c r="F380" s="1" t="str">
        <f>"528167681"</f>
        <v>528167681</v>
      </c>
      <c r="G380" s="1" t="s">
        <v>33</v>
      </c>
      <c r="H380" s="1" t="str">
        <f t="shared" si="64"/>
        <v>20220902</v>
      </c>
      <c r="I380" s="1" t="str">
        <f>"094241"</f>
        <v>094241</v>
      </c>
      <c r="J380" s="1" t="s">
        <v>56</v>
      </c>
      <c r="K380" s="1" t="s">
        <v>45</v>
      </c>
      <c r="L380" s="1" t="str">
        <f t="shared" si="63"/>
        <v>20220902</v>
      </c>
      <c r="M380" s="1" t="str">
        <f>"095445"</f>
        <v>095445</v>
      </c>
      <c r="N380" s="1" t="s">
        <v>28</v>
      </c>
      <c r="O380" s="1" t="s">
        <v>28</v>
      </c>
      <c r="P380" s="1" t="s">
        <v>55</v>
      </c>
      <c r="Q380" s="1">
        <v>25</v>
      </c>
      <c r="R380" s="1">
        <v>25</v>
      </c>
      <c r="S380" s="1">
        <v>0</v>
      </c>
      <c r="T380" s="1">
        <v>0</v>
      </c>
      <c r="U380" s="1">
        <v>0</v>
      </c>
      <c r="V380" s="1" t="str">
        <f t="shared" si="67"/>
        <v>里程返程</v>
      </c>
      <c r="W380" s="1" t="str">
        <f>"2020"</f>
        <v>2020</v>
      </c>
      <c r="X380" s="1" t="s">
        <v>35</v>
      </c>
    </row>
    <row r="381" spans="1:24" x14ac:dyDescent="0.3">
      <c r="A381" s="1" t="str">
        <f t="shared" si="68"/>
        <v>59825</v>
      </c>
      <c r="B381" s="1" t="s">
        <v>30</v>
      </c>
      <c r="C381" s="1" t="s">
        <v>31</v>
      </c>
      <c r="D381" s="1" t="str">
        <f t="shared" si="69"/>
        <v>9801</v>
      </c>
      <c r="E381" s="1" t="s">
        <v>25</v>
      </c>
      <c r="F381" s="1" t="str">
        <f>"1204061808880400C814002000000019"</f>
        <v>1204061808880400C814002000000019</v>
      </c>
      <c r="G381" s="1" t="s">
        <v>59</v>
      </c>
      <c r="H381" s="1" t="str">
        <f t="shared" si="64"/>
        <v>20220902</v>
      </c>
      <c r="I381" s="1" t="str">
        <f>"095450"</f>
        <v>095450</v>
      </c>
      <c r="J381" s="1" t="s">
        <v>28</v>
      </c>
      <c r="K381" s="1" t="s">
        <v>28</v>
      </c>
      <c r="L381" s="1" t="str">
        <f t="shared" si="63"/>
        <v>20220902</v>
      </c>
      <c r="M381" s="1" t="str">
        <f>"101728"</f>
        <v>101728</v>
      </c>
      <c r="N381" s="1" t="s">
        <v>72</v>
      </c>
      <c r="O381" s="1" t="s">
        <v>52</v>
      </c>
      <c r="P381" s="1" t="s">
        <v>55</v>
      </c>
      <c r="Q381" s="1">
        <v>25</v>
      </c>
      <c r="R381" s="1">
        <v>25</v>
      </c>
      <c r="S381" s="1">
        <v>0</v>
      </c>
      <c r="T381" s="1">
        <v>0</v>
      </c>
      <c r="U381" s="1">
        <v>0</v>
      </c>
      <c r="V381" s="1" t="str">
        <f t="shared" si="67"/>
        <v>里程返程</v>
      </c>
      <c r="W381" s="1" t="str">
        <f>"0020"</f>
        <v>0020</v>
      </c>
      <c r="X381" s="1" t="s">
        <v>29</v>
      </c>
    </row>
    <row r="382" spans="1:24" x14ac:dyDescent="0.3">
      <c r="A382" s="1" t="str">
        <f t="shared" si="68"/>
        <v>59825</v>
      </c>
      <c r="B382" s="1" t="s">
        <v>30</v>
      </c>
      <c r="C382" s="1" t="s">
        <v>31</v>
      </c>
      <c r="D382" s="1" t="str">
        <f t="shared" si="69"/>
        <v>9801</v>
      </c>
      <c r="E382" s="1" t="s">
        <v>25</v>
      </c>
      <c r="F382" s="1" t="str">
        <f>"285817872"</f>
        <v>285817872</v>
      </c>
      <c r="G382" s="1" t="s">
        <v>33</v>
      </c>
      <c r="H382" s="1" t="str">
        <f t="shared" si="64"/>
        <v>20220902</v>
      </c>
      <c r="I382" s="1" t="str">
        <f>"095457"</f>
        <v>095457</v>
      </c>
      <c r="J382" s="1" t="s">
        <v>28</v>
      </c>
      <c r="K382" s="1" t="s">
        <v>28</v>
      </c>
      <c r="L382" s="1" t="str">
        <f t="shared" si="63"/>
        <v>20220902</v>
      </c>
      <c r="M382" s="1" t="str">
        <f>"102249"</f>
        <v>102249</v>
      </c>
      <c r="N382" s="1" t="s">
        <v>60</v>
      </c>
      <c r="O382" s="1" t="s">
        <v>52</v>
      </c>
      <c r="P382" s="1" t="s">
        <v>55</v>
      </c>
      <c r="Q382" s="1">
        <v>25</v>
      </c>
      <c r="R382" s="1">
        <v>0</v>
      </c>
      <c r="S382" s="1">
        <v>25</v>
      </c>
      <c r="T382" s="1">
        <v>0</v>
      </c>
      <c r="U382" s="1">
        <v>0</v>
      </c>
      <c r="V382" s="1" t="str">
        <f t="shared" si="67"/>
        <v>里程返程</v>
      </c>
      <c r="W382" s="1" t="str">
        <f>"0820"</f>
        <v>0820</v>
      </c>
      <c r="X382" s="1" t="s">
        <v>35</v>
      </c>
    </row>
    <row r="383" spans="1:24" x14ac:dyDescent="0.3">
      <c r="A383" s="1" t="str">
        <f t="shared" si="68"/>
        <v>59825</v>
      </c>
      <c r="B383" s="1" t="s">
        <v>30</v>
      </c>
      <c r="C383" s="1" t="s">
        <v>31</v>
      </c>
      <c r="D383" s="1" t="str">
        <f t="shared" si="69"/>
        <v>9801</v>
      </c>
      <c r="E383" s="1" t="s">
        <v>25</v>
      </c>
      <c r="F383" s="1" t="str">
        <f>"51321A037A88040043252B4B000D050F"</f>
        <v>51321A037A88040043252B4B000D050F</v>
      </c>
      <c r="G383" s="1" t="s">
        <v>26</v>
      </c>
      <c r="H383" s="1" t="str">
        <f t="shared" si="64"/>
        <v>20220902</v>
      </c>
      <c r="I383" s="1" t="str">
        <f>"095501"</f>
        <v>095501</v>
      </c>
      <c r="J383" s="1" t="s">
        <v>28</v>
      </c>
      <c r="K383" s="1" t="s">
        <v>28</v>
      </c>
      <c r="L383" s="1" t="str">
        <f t="shared" si="63"/>
        <v>20220902</v>
      </c>
      <c r="M383" s="1" t="str">
        <f>"102738"</f>
        <v>102738</v>
      </c>
      <c r="N383" s="1" t="s">
        <v>52</v>
      </c>
      <c r="O383" s="1" t="s">
        <v>52</v>
      </c>
      <c r="P383" s="1" t="s">
        <v>55</v>
      </c>
      <c r="Q383" s="1">
        <v>13</v>
      </c>
      <c r="R383" s="1">
        <v>13</v>
      </c>
      <c r="S383" s="1">
        <v>0</v>
      </c>
      <c r="T383" s="1">
        <v>0</v>
      </c>
      <c r="U383" s="1">
        <v>0</v>
      </c>
      <c r="V383" s="1" t="str">
        <f t="shared" si="67"/>
        <v>里程返程</v>
      </c>
      <c r="W383" s="1" t="str">
        <f t="shared" ref="W383:W388" si="70">"0020"</f>
        <v>0020</v>
      </c>
      <c r="X383" s="1" t="s">
        <v>29</v>
      </c>
    </row>
    <row r="384" spans="1:24" x14ac:dyDescent="0.3">
      <c r="A384" s="1" t="str">
        <f t="shared" si="68"/>
        <v>59825</v>
      </c>
      <c r="B384" s="1" t="s">
        <v>30</v>
      </c>
      <c r="C384" s="1" t="s">
        <v>31</v>
      </c>
      <c r="D384" s="1" t="str">
        <f t="shared" si="69"/>
        <v>9801</v>
      </c>
      <c r="E384" s="1" t="s">
        <v>25</v>
      </c>
      <c r="F384" s="1" t="str">
        <f>"E15824009D8804004324714D0004080E"</f>
        <v>E15824009D8804004324714D0004080E</v>
      </c>
      <c r="G384" s="1" t="s">
        <v>26</v>
      </c>
      <c r="H384" s="1" t="str">
        <f t="shared" si="64"/>
        <v>20220902</v>
      </c>
      <c r="I384" s="1" t="str">
        <f>"095507"</f>
        <v>095507</v>
      </c>
      <c r="J384" s="1" t="s">
        <v>28</v>
      </c>
      <c r="K384" s="1" t="s">
        <v>28</v>
      </c>
      <c r="L384" s="1" t="str">
        <f t="shared" si="63"/>
        <v>20220902</v>
      </c>
      <c r="M384" s="1" t="str">
        <f>"102733"</f>
        <v>102733</v>
      </c>
      <c r="N384" s="1" t="s">
        <v>52</v>
      </c>
      <c r="O384" s="1" t="s">
        <v>52</v>
      </c>
      <c r="P384" s="1" t="s">
        <v>55</v>
      </c>
      <c r="Q384" s="1">
        <v>13</v>
      </c>
      <c r="R384" s="1">
        <v>13</v>
      </c>
      <c r="S384" s="1">
        <v>0</v>
      </c>
      <c r="T384" s="1">
        <v>0</v>
      </c>
      <c r="U384" s="1">
        <v>0</v>
      </c>
      <c r="V384" s="1" t="str">
        <f t="shared" si="67"/>
        <v>里程返程</v>
      </c>
      <c r="W384" s="1" t="str">
        <f t="shared" si="70"/>
        <v>0020</v>
      </c>
      <c r="X384" s="1" t="s">
        <v>29</v>
      </c>
    </row>
    <row r="385" spans="1:24" x14ac:dyDescent="0.3">
      <c r="A385" s="1" t="str">
        <f t="shared" si="68"/>
        <v>59825</v>
      </c>
      <c r="B385" s="1" t="s">
        <v>30</v>
      </c>
      <c r="C385" s="1" t="s">
        <v>31</v>
      </c>
      <c r="D385" s="1" t="str">
        <f t="shared" si="69"/>
        <v>9801</v>
      </c>
      <c r="E385" s="1" t="s">
        <v>25</v>
      </c>
      <c r="F385" s="1" t="str">
        <f>"6243E702C4880400C834002000000015"</f>
        <v>6243E702C4880400C834002000000015</v>
      </c>
      <c r="G385" s="1" t="s">
        <v>74</v>
      </c>
      <c r="H385" s="1" t="str">
        <f t="shared" si="64"/>
        <v>20220902</v>
      </c>
      <c r="I385" s="1" t="str">
        <f>"095518"</f>
        <v>095518</v>
      </c>
      <c r="J385" s="1" t="s">
        <v>28</v>
      </c>
      <c r="K385" s="1" t="s">
        <v>28</v>
      </c>
      <c r="L385" s="1" t="str">
        <f t="shared" si="63"/>
        <v>20220902</v>
      </c>
      <c r="M385" s="1" t="str">
        <f>"102237"</f>
        <v>102237</v>
      </c>
      <c r="N385" s="1" t="s">
        <v>60</v>
      </c>
      <c r="O385" s="1" t="s">
        <v>52</v>
      </c>
      <c r="P385" s="1" t="s">
        <v>68</v>
      </c>
      <c r="Q385" s="1">
        <v>13</v>
      </c>
      <c r="R385" s="1">
        <v>0</v>
      </c>
      <c r="S385" s="1">
        <v>0</v>
      </c>
      <c r="T385" s="1">
        <v>13</v>
      </c>
      <c r="U385" s="1">
        <v>0</v>
      </c>
      <c r="V385" s="1" t="str">
        <f t="shared" si="67"/>
        <v>里程返程</v>
      </c>
      <c r="W385" s="1" t="str">
        <f t="shared" si="70"/>
        <v>0020</v>
      </c>
      <c r="X385" s="1" t="s">
        <v>29</v>
      </c>
    </row>
    <row r="386" spans="1:24" x14ac:dyDescent="0.3">
      <c r="A386" s="1" t="str">
        <f t="shared" si="68"/>
        <v>59825</v>
      </c>
      <c r="B386" s="1" t="s">
        <v>30</v>
      </c>
      <c r="C386" s="1" t="s">
        <v>31</v>
      </c>
      <c r="D386" s="1" t="str">
        <f t="shared" si="69"/>
        <v>9801</v>
      </c>
      <c r="E386" s="1" t="s">
        <v>25</v>
      </c>
      <c r="F386" s="1" t="str">
        <f>"E15824009D8804004324714D0004080E"</f>
        <v>E15824009D8804004324714D0004080E</v>
      </c>
      <c r="G386" s="1" t="s">
        <v>26</v>
      </c>
      <c r="H386" s="1" t="str">
        <f t="shared" si="64"/>
        <v>20220902</v>
      </c>
      <c r="I386" s="1" t="str">
        <f>"102818"</f>
        <v>102818</v>
      </c>
      <c r="J386" s="1" t="s">
        <v>44</v>
      </c>
      <c r="K386" s="1" t="s">
        <v>45</v>
      </c>
      <c r="L386" s="1" t="str">
        <f t="shared" ref="L386:L417" si="71">"20220902"</f>
        <v>20220902</v>
      </c>
      <c r="M386" s="1" t="str">
        <f>"103156"</f>
        <v>103156</v>
      </c>
      <c r="N386" s="1" t="s">
        <v>100</v>
      </c>
      <c r="O386" s="1" t="s">
        <v>45</v>
      </c>
      <c r="P386" s="1" t="s">
        <v>55</v>
      </c>
      <c r="Q386" s="1">
        <v>13</v>
      </c>
      <c r="R386" s="1">
        <v>13</v>
      </c>
      <c r="S386" s="1">
        <v>0</v>
      </c>
      <c r="T386" s="1">
        <v>0</v>
      </c>
      <c r="U386" s="1">
        <v>0</v>
      </c>
      <c r="V386" s="1" t="str">
        <f t="shared" si="67"/>
        <v>里程返程</v>
      </c>
      <c r="W386" s="1" t="str">
        <f t="shared" si="70"/>
        <v>0020</v>
      </c>
      <c r="X386" s="1" t="s">
        <v>29</v>
      </c>
    </row>
    <row r="387" spans="1:24" x14ac:dyDescent="0.3">
      <c r="A387" s="1" t="str">
        <f t="shared" si="68"/>
        <v>59825</v>
      </c>
      <c r="B387" s="1" t="s">
        <v>30</v>
      </c>
      <c r="C387" s="1" t="s">
        <v>31</v>
      </c>
      <c r="D387" s="1" t="str">
        <f t="shared" si="69"/>
        <v>9801</v>
      </c>
      <c r="E387" s="1" t="s">
        <v>25</v>
      </c>
      <c r="F387" s="1" t="str">
        <f>"51321A037A88040043252B4B000D050F"</f>
        <v>51321A037A88040043252B4B000D050F</v>
      </c>
      <c r="G387" s="1" t="s">
        <v>26</v>
      </c>
      <c r="H387" s="1" t="str">
        <f t="shared" si="64"/>
        <v>20220902</v>
      </c>
      <c r="I387" s="1" t="str">
        <f>"102827"</f>
        <v>102827</v>
      </c>
      <c r="J387" s="1" t="s">
        <v>44</v>
      </c>
      <c r="K387" s="1" t="s">
        <v>45</v>
      </c>
      <c r="L387" s="1" t="str">
        <f t="shared" si="71"/>
        <v>20220902</v>
      </c>
      <c r="M387" s="1" t="str">
        <f>"103202"</f>
        <v>103202</v>
      </c>
      <c r="N387" s="1" t="s">
        <v>100</v>
      </c>
      <c r="O387" s="1" t="s">
        <v>45</v>
      </c>
      <c r="P387" s="1" t="s">
        <v>55</v>
      </c>
      <c r="Q387" s="1">
        <v>13</v>
      </c>
      <c r="R387" s="1">
        <v>13</v>
      </c>
      <c r="S387" s="1">
        <v>0</v>
      </c>
      <c r="T387" s="1">
        <v>0</v>
      </c>
      <c r="U387" s="1">
        <v>0</v>
      </c>
      <c r="V387" s="1" t="str">
        <f t="shared" si="67"/>
        <v>里程返程</v>
      </c>
      <c r="W387" s="1" t="str">
        <f t="shared" si="70"/>
        <v>0020</v>
      </c>
      <c r="X387" s="1" t="s">
        <v>29</v>
      </c>
    </row>
    <row r="388" spans="1:24" x14ac:dyDescent="0.3">
      <c r="A388" s="1" t="str">
        <f t="shared" si="68"/>
        <v>59825</v>
      </c>
      <c r="B388" s="1" t="s">
        <v>30</v>
      </c>
      <c r="C388" s="1" t="s">
        <v>31</v>
      </c>
      <c r="D388" s="1" t="str">
        <f t="shared" si="69"/>
        <v>9801</v>
      </c>
      <c r="E388" s="1" t="s">
        <v>25</v>
      </c>
      <c r="F388" s="1" t="str">
        <f>"F1DA0D2F0988040043288DA200020912"</f>
        <v>F1DA0D2F0988040043288DA200020912</v>
      </c>
      <c r="G388" s="1" t="s">
        <v>58</v>
      </c>
      <c r="H388" s="1" t="str">
        <f t="shared" si="64"/>
        <v>20220902</v>
      </c>
      <c r="I388" s="1" t="str">
        <f>"103717"</f>
        <v>103717</v>
      </c>
      <c r="J388" s="1" t="s">
        <v>91</v>
      </c>
      <c r="K388" s="1" t="s">
        <v>45</v>
      </c>
      <c r="L388" s="1" t="str">
        <f t="shared" si="71"/>
        <v>20220902</v>
      </c>
      <c r="M388" s="1" t="str">
        <f>"105346"</f>
        <v>105346</v>
      </c>
      <c r="N388" s="1" t="s">
        <v>28</v>
      </c>
      <c r="O388" s="1" t="s">
        <v>28</v>
      </c>
      <c r="P388" s="1" t="s">
        <v>55</v>
      </c>
      <c r="Q388" s="1">
        <v>25</v>
      </c>
      <c r="R388" s="1">
        <v>25</v>
      </c>
      <c r="S388" s="1">
        <v>0</v>
      </c>
      <c r="T388" s="1">
        <v>0</v>
      </c>
      <c r="U388" s="1">
        <v>0</v>
      </c>
      <c r="V388" s="1" t="str">
        <f t="shared" si="67"/>
        <v>里程返程</v>
      </c>
      <c r="W388" s="1" t="str">
        <f t="shared" si="70"/>
        <v>0020</v>
      </c>
      <c r="X388" s="1" t="s">
        <v>29</v>
      </c>
    </row>
    <row r="389" spans="1:24" x14ac:dyDescent="0.3">
      <c r="A389" s="1" t="str">
        <f t="shared" si="68"/>
        <v>59825</v>
      </c>
      <c r="B389" s="1" t="s">
        <v>30</v>
      </c>
      <c r="C389" s="1" t="s">
        <v>31</v>
      </c>
      <c r="D389" s="1" t="str">
        <f t="shared" si="69"/>
        <v>9801</v>
      </c>
      <c r="E389" s="1" t="s">
        <v>25</v>
      </c>
      <c r="F389" s="1" t="str">
        <f>"248556513"</f>
        <v>248556513</v>
      </c>
      <c r="G389" s="1" t="s">
        <v>33</v>
      </c>
      <c r="H389" s="1" t="str">
        <f t="shared" ref="H389:H420" si="72">"20220902"</f>
        <v>20220902</v>
      </c>
      <c r="I389" s="1" t="str">
        <f>"105404"</f>
        <v>105404</v>
      </c>
      <c r="J389" s="1" t="s">
        <v>28</v>
      </c>
      <c r="K389" s="1" t="s">
        <v>28</v>
      </c>
      <c r="L389" s="1" t="str">
        <f t="shared" si="71"/>
        <v>20220902</v>
      </c>
      <c r="M389" s="1" t="str">
        <f>"112006"</f>
        <v>112006</v>
      </c>
      <c r="N389" s="1" t="s">
        <v>60</v>
      </c>
      <c r="O389" s="1" t="s">
        <v>52</v>
      </c>
      <c r="P389" s="1" t="s">
        <v>55</v>
      </c>
      <c r="Q389" s="1">
        <v>25</v>
      </c>
      <c r="R389" s="1">
        <v>25</v>
      </c>
      <c r="S389" s="1">
        <v>0</v>
      </c>
      <c r="T389" s="1">
        <v>0</v>
      </c>
      <c r="U389" s="1">
        <v>0</v>
      </c>
      <c r="V389" s="1" t="str">
        <f t="shared" si="67"/>
        <v>里程返程</v>
      </c>
      <c r="W389" s="1" t="str">
        <f>"2120"</f>
        <v>2120</v>
      </c>
      <c r="X389" s="1" t="s">
        <v>35</v>
      </c>
    </row>
    <row r="390" spans="1:24" x14ac:dyDescent="0.3">
      <c r="A390" s="1" t="str">
        <f t="shared" si="68"/>
        <v>59825</v>
      </c>
      <c r="B390" s="1" t="s">
        <v>30</v>
      </c>
      <c r="C390" s="1" t="s">
        <v>31</v>
      </c>
      <c r="D390" s="1" t="str">
        <f t="shared" si="69"/>
        <v>9801</v>
      </c>
      <c r="E390" s="1" t="s">
        <v>25</v>
      </c>
      <c r="F390" s="1" t="str">
        <f>"32780D0344880400C834002000000015"</f>
        <v>32780D0344880400C834002000000015</v>
      </c>
      <c r="G390" s="1" t="s">
        <v>26</v>
      </c>
      <c r="H390" s="1" t="str">
        <f t="shared" si="72"/>
        <v>20220902</v>
      </c>
      <c r="I390" s="1" t="str">
        <f>"112909"</f>
        <v>112909</v>
      </c>
      <c r="J390" s="1" t="s">
        <v>44</v>
      </c>
      <c r="K390" s="1" t="s">
        <v>45</v>
      </c>
      <c r="L390" s="1" t="str">
        <f t="shared" si="71"/>
        <v>20220902</v>
      </c>
      <c r="M390" s="1" t="str">
        <f>"115318"</f>
        <v>115318</v>
      </c>
      <c r="N390" s="1" t="s">
        <v>95</v>
      </c>
      <c r="O390" s="1" t="s">
        <v>28</v>
      </c>
      <c r="P390" s="1" t="s">
        <v>68</v>
      </c>
      <c r="Q390" s="1">
        <v>13</v>
      </c>
      <c r="R390" s="1">
        <v>0</v>
      </c>
      <c r="S390" s="1">
        <v>0</v>
      </c>
      <c r="T390" s="1">
        <v>13</v>
      </c>
      <c r="U390" s="1">
        <v>0</v>
      </c>
      <c r="V390" s="1" t="str">
        <f t="shared" si="67"/>
        <v>里程返程</v>
      </c>
      <c r="W390" s="1" t="str">
        <f>"0020"</f>
        <v>0020</v>
      </c>
      <c r="X390" s="1" t="s">
        <v>29</v>
      </c>
    </row>
    <row r="391" spans="1:24" x14ac:dyDescent="0.3">
      <c r="A391" s="1" t="str">
        <f t="shared" si="68"/>
        <v>59825</v>
      </c>
      <c r="B391" s="1" t="s">
        <v>30</v>
      </c>
      <c r="C391" s="1" t="s">
        <v>31</v>
      </c>
      <c r="D391" s="1" t="str">
        <f t="shared" si="69"/>
        <v>9801</v>
      </c>
      <c r="E391" s="1" t="s">
        <v>25</v>
      </c>
      <c r="F391" s="1" t="str">
        <f>"E207D00035880400C801002000000015"</f>
        <v>E207D00035880400C801002000000015</v>
      </c>
      <c r="G391" s="1" t="s">
        <v>59</v>
      </c>
      <c r="H391" s="1" t="str">
        <f t="shared" si="72"/>
        <v>20220902</v>
      </c>
      <c r="I391" s="1" t="str">
        <f>"113348"</f>
        <v>113348</v>
      </c>
      <c r="J391" s="1" t="s">
        <v>44</v>
      </c>
      <c r="K391" s="1" t="s">
        <v>45</v>
      </c>
      <c r="L391" s="1" t="str">
        <f t="shared" si="71"/>
        <v>20220902</v>
      </c>
      <c r="M391" s="1" t="str">
        <f>"113838"</f>
        <v>113838</v>
      </c>
      <c r="N391" s="1" t="s">
        <v>91</v>
      </c>
      <c r="O391" s="1" t="s">
        <v>45</v>
      </c>
      <c r="P391" s="1" t="s">
        <v>55</v>
      </c>
      <c r="Q391" s="1">
        <v>25</v>
      </c>
      <c r="R391" s="1">
        <v>25</v>
      </c>
      <c r="S391" s="1">
        <v>0</v>
      </c>
      <c r="T391" s="1">
        <v>0</v>
      </c>
      <c r="U391" s="1">
        <v>0</v>
      </c>
      <c r="V391" s="1" t="str">
        <f t="shared" si="67"/>
        <v>里程返程</v>
      </c>
      <c r="W391" s="1" t="str">
        <f>"0020"</f>
        <v>0020</v>
      </c>
      <c r="X391" s="1" t="s">
        <v>29</v>
      </c>
    </row>
    <row r="392" spans="1:24" x14ac:dyDescent="0.3">
      <c r="A392" s="1" t="str">
        <f t="shared" si="68"/>
        <v>59825</v>
      </c>
      <c r="B392" s="1" t="s">
        <v>30</v>
      </c>
      <c r="C392" s="1" t="s">
        <v>31</v>
      </c>
      <c r="D392" s="1" t="str">
        <f t="shared" si="69"/>
        <v>9801</v>
      </c>
      <c r="E392" s="1" t="s">
        <v>25</v>
      </c>
      <c r="F392" s="1" t="str">
        <f>"1103034737"</f>
        <v>1103034737</v>
      </c>
      <c r="G392" s="1" t="s">
        <v>33</v>
      </c>
      <c r="H392" s="1" t="str">
        <f t="shared" si="72"/>
        <v>20220902</v>
      </c>
      <c r="I392" s="1" t="str">
        <f>"113351"</f>
        <v>113351</v>
      </c>
      <c r="J392" s="1" t="s">
        <v>44</v>
      </c>
      <c r="K392" s="1" t="s">
        <v>45</v>
      </c>
      <c r="L392" s="1" t="str">
        <f t="shared" si="71"/>
        <v>20220902</v>
      </c>
      <c r="M392" s="1" t="str">
        <f>"113843"</f>
        <v>113843</v>
      </c>
      <c r="N392" s="1" t="s">
        <v>91</v>
      </c>
      <c r="O392" s="1" t="s">
        <v>45</v>
      </c>
      <c r="P392" s="1" t="s">
        <v>55</v>
      </c>
      <c r="Q392" s="1">
        <v>25</v>
      </c>
      <c r="R392" s="1">
        <v>25</v>
      </c>
      <c r="S392" s="1">
        <v>0</v>
      </c>
      <c r="T392" s="1">
        <v>0</v>
      </c>
      <c r="U392" s="1">
        <v>0</v>
      </c>
      <c r="V392" s="1" t="str">
        <f t="shared" si="67"/>
        <v>里程返程</v>
      </c>
      <c r="W392" s="1" t="str">
        <f>"2220"</f>
        <v>2220</v>
      </c>
      <c r="X392" s="1" t="s">
        <v>35</v>
      </c>
    </row>
    <row r="393" spans="1:24" x14ac:dyDescent="0.3">
      <c r="A393" s="1" t="str">
        <f t="shared" si="68"/>
        <v>59825</v>
      </c>
      <c r="B393" s="1" t="s">
        <v>30</v>
      </c>
      <c r="C393" s="1" t="s">
        <v>31</v>
      </c>
      <c r="D393" s="1" t="str">
        <f t="shared" si="69"/>
        <v>9801</v>
      </c>
      <c r="E393" s="1" t="s">
        <v>25</v>
      </c>
      <c r="F393" s="1" t="str">
        <f>"82B8F802C0880400C834002000000015"</f>
        <v>82B8F802C0880400C834002000000015</v>
      </c>
      <c r="G393" s="1" t="s">
        <v>58</v>
      </c>
      <c r="H393" s="1" t="str">
        <f t="shared" si="72"/>
        <v>20220902</v>
      </c>
      <c r="I393" s="1" t="str">
        <f>"113354"</f>
        <v>113354</v>
      </c>
      <c r="J393" s="1" t="s">
        <v>44</v>
      </c>
      <c r="K393" s="1" t="s">
        <v>45</v>
      </c>
      <c r="L393" s="1" t="str">
        <f t="shared" si="71"/>
        <v>20220902</v>
      </c>
      <c r="M393" s="1" t="str">
        <f>"114616"</f>
        <v>114616</v>
      </c>
      <c r="N393" s="1" t="s">
        <v>45</v>
      </c>
      <c r="O393" s="1" t="s">
        <v>45</v>
      </c>
      <c r="P393" s="1" t="s">
        <v>55</v>
      </c>
      <c r="Q393" s="1">
        <v>25</v>
      </c>
      <c r="R393" s="1">
        <v>25</v>
      </c>
      <c r="S393" s="1">
        <v>0</v>
      </c>
      <c r="T393" s="1">
        <v>0</v>
      </c>
      <c r="U393" s="1">
        <v>0</v>
      </c>
      <c r="V393" s="1" t="str">
        <f t="shared" si="67"/>
        <v>里程返程</v>
      </c>
      <c r="W393" s="1" t="str">
        <f>"0020"</f>
        <v>0020</v>
      </c>
      <c r="X393" s="1" t="s">
        <v>29</v>
      </c>
    </row>
    <row r="394" spans="1:24" x14ac:dyDescent="0.3">
      <c r="A394" s="1" t="str">
        <f t="shared" si="68"/>
        <v>59825</v>
      </c>
      <c r="B394" s="1" t="s">
        <v>30</v>
      </c>
      <c r="C394" s="1" t="s">
        <v>31</v>
      </c>
      <c r="D394" s="1" t="str">
        <f t="shared" si="69"/>
        <v>9801</v>
      </c>
      <c r="E394" s="1" t="s">
        <v>25</v>
      </c>
      <c r="F394" s="1" t="str">
        <f>"02E43A13CF28040080CED9985D913018"</f>
        <v>02E43A13CF28040080CED9985D913018</v>
      </c>
      <c r="G394" s="1" t="s">
        <v>58</v>
      </c>
      <c r="H394" s="1" t="str">
        <f t="shared" si="72"/>
        <v>20220902</v>
      </c>
      <c r="I394" s="1" t="str">
        <f>"113356"</f>
        <v>113356</v>
      </c>
      <c r="J394" s="1" t="s">
        <v>44</v>
      </c>
      <c r="K394" s="1" t="s">
        <v>45</v>
      </c>
      <c r="L394" s="1" t="str">
        <f t="shared" si="71"/>
        <v>20220902</v>
      </c>
      <c r="M394" s="1" t="str">
        <f>"114614"</f>
        <v>114614</v>
      </c>
      <c r="N394" s="1" t="s">
        <v>45</v>
      </c>
      <c r="O394" s="1" t="s">
        <v>45</v>
      </c>
      <c r="P394" s="1" t="s">
        <v>55</v>
      </c>
      <c r="Q394" s="1">
        <v>25</v>
      </c>
      <c r="R394" s="1">
        <v>25</v>
      </c>
      <c r="S394" s="1">
        <v>0</v>
      </c>
      <c r="T394" s="1">
        <v>0</v>
      </c>
      <c r="U394" s="1">
        <v>0</v>
      </c>
      <c r="V394" s="1" t="str">
        <f t="shared" si="67"/>
        <v>里程返程</v>
      </c>
      <c r="W394" s="1" t="str">
        <f>"0020"</f>
        <v>0020</v>
      </c>
      <c r="X394" s="1" t="s">
        <v>29</v>
      </c>
    </row>
    <row r="395" spans="1:24" x14ac:dyDescent="0.3">
      <c r="A395" s="1" t="str">
        <f t="shared" si="68"/>
        <v>59825</v>
      </c>
      <c r="B395" s="1" t="s">
        <v>30</v>
      </c>
      <c r="C395" s="1" t="s">
        <v>31</v>
      </c>
      <c r="D395" s="1" t="str">
        <f t="shared" si="69"/>
        <v>9801</v>
      </c>
      <c r="E395" s="1" t="s">
        <v>25</v>
      </c>
      <c r="F395" s="1" t="str">
        <f>"A1533700C58804004324714D0008080E"</f>
        <v>A1533700C58804004324714D0008080E</v>
      </c>
      <c r="G395" s="1" t="s">
        <v>59</v>
      </c>
      <c r="H395" s="1" t="str">
        <f t="shared" si="72"/>
        <v>20220902</v>
      </c>
      <c r="I395" s="1" t="str">
        <f>"113359"</f>
        <v>113359</v>
      </c>
      <c r="J395" s="1" t="s">
        <v>44</v>
      </c>
      <c r="K395" s="1" t="s">
        <v>45</v>
      </c>
      <c r="L395" s="1" t="str">
        <f t="shared" si="71"/>
        <v>20220902</v>
      </c>
      <c r="M395" s="1" t="str">
        <f>"113841"</f>
        <v>113841</v>
      </c>
      <c r="N395" s="1" t="s">
        <v>91</v>
      </c>
      <c r="O395" s="1" t="s">
        <v>45</v>
      </c>
      <c r="P395" s="1" t="s">
        <v>55</v>
      </c>
      <c r="Q395" s="1">
        <v>25</v>
      </c>
      <c r="R395" s="1">
        <v>25</v>
      </c>
      <c r="S395" s="1">
        <v>0</v>
      </c>
      <c r="T395" s="1">
        <v>0</v>
      </c>
      <c r="U395" s="1">
        <v>0</v>
      </c>
      <c r="V395" s="1" t="str">
        <f t="shared" si="67"/>
        <v>里程返程</v>
      </c>
      <c r="W395" s="1" t="str">
        <f>"0020"</f>
        <v>0020</v>
      </c>
      <c r="X395" s="1" t="s">
        <v>29</v>
      </c>
    </row>
    <row r="396" spans="1:24" x14ac:dyDescent="0.3">
      <c r="A396" s="1" t="str">
        <f t="shared" si="68"/>
        <v>59825</v>
      </c>
      <c r="B396" s="1" t="s">
        <v>30</v>
      </c>
      <c r="C396" s="1" t="s">
        <v>31</v>
      </c>
      <c r="D396" s="1" t="str">
        <f t="shared" si="69"/>
        <v>9801</v>
      </c>
      <c r="E396" s="1" t="s">
        <v>25</v>
      </c>
      <c r="F396" s="1" t="str">
        <f>"E842C50E61880400488514D04D800613"</f>
        <v>E842C50E61880400488514D04D800613</v>
      </c>
      <c r="G396" s="1" t="s">
        <v>58</v>
      </c>
      <c r="H396" s="1" t="str">
        <f t="shared" si="72"/>
        <v>20220902</v>
      </c>
      <c r="I396" s="1" t="str">
        <f>"113402"</f>
        <v>113402</v>
      </c>
      <c r="J396" s="1" t="s">
        <v>44</v>
      </c>
      <c r="K396" s="1" t="s">
        <v>45</v>
      </c>
      <c r="L396" s="1" t="str">
        <f t="shared" si="71"/>
        <v>20220902</v>
      </c>
      <c r="M396" s="1" t="str">
        <f>"113835"</f>
        <v>113835</v>
      </c>
      <c r="N396" s="1" t="s">
        <v>91</v>
      </c>
      <c r="O396" s="1" t="s">
        <v>45</v>
      </c>
      <c r="P396" s="1" t="s">
        <v>55</v>
      </c>
      <c r="Q396" s="1">
        <v>25</v>
      </c>
      <c r="R396" s="1">
        <v>25</v>
      </c>
      <c r="S396" s="1">
        <v>0</v>
      </c>
      <c r="T396" s="1">
        <v>0</v>
      </c>
      <c r="U396" s="1">
        <v>0</v>
      </c>
      <c r="V396" s="1" t="str">
        <f t="shared" si="67"/>
        <v>里程返程</v>
      </c>
      <c r="W396" s="1" t="str">
        <f>"0020"</f>
        <v>0020</v>
      </c>
      <c r="X396" s="1" t="s">
        <v>29</v>
      </c>
    </row>
    <row r="397" spans="1:24" x14ac:dyDescent="0.3">
      <c r="A397" s="1" t="str">
        <f t="shared" si="68"/>
        <v>59825</v>
      </c>
      <c r="B397" s="1" t="s">
        <v>30</v>
      </c>
      <c r="C397" s="1" t="s">
        <v>31</v>
      </c>
      <c r="D397" s="1" t="str">
        <f t="shared" si="69"/>
        <v>9801</v>
      </c>
      <c r="E397" s="1" t="s">
        <v>25</v>
      </c>
      <c r="F397" s="1" t="str">
        <f>"566510797"</f>
        <v>566510797</v>
      </c>
      <c r="G397" s="1" t="s">
        <v>33</v>
      </c>
      <c r="H397" s="1" t="str">
        <f t="shared" si="72"/>
        <v>20220902</v>
      </c>
      <c r="I397" s="1" t="str">
        <f>"113551"</f>
        <v>113551</v>
      </c>
      <c r="J397" s="1" t="s">
        <v>100</v>
      </c>
      <c r="K397" s="1" t="s">
        <v>45</v>
      </c>
      <c r="L397" s="1" t="str">
        <f t="shared" si="71"/>
        <v>20220902</v>
      </c>
      <c r="M397" s="1" t="str">
        <f>"115456"</f>
        <v>115456</v>
      </c>
      <c r="N397" s="1" t="s">
        <v>28</v>
      </c>
      <c r="O397" s="1" t="s">
        <v>28</v>
      </c>
      <c r="P397" s="1" t="s">
        <v>55</v>
      </c>
      <c r="Q397" s="1">
        <v>25</v>
      </c>
      <c r="R397" s="1">
        <v>25</v>
      </c>
      <c r="S397" s="1">
        <v>0</v>
      </c>
      <c r="T397" s="1">
        <v>0</v>
      </c>
      <c r="U397" s="1">
        <v>0</v>
      </c>
      <c r="V397" s="1" t="str">
        <f t="shared" si="67"/>
        <v>里程返程</v>
      </c>
      <c r="W397" s="1" t="str">
        <f>"2020"</f>
        <v>2020</v>
      </c>
      <c r="X397" s="1" t="s">
        <v>35</v>
      </c>
    </row>
    <row r="398" spans="1:24" x14ac:dyDescent="0.3">
      <c r="A398" s="1" t="str">
        <f t="shared" si="68"/>
        <v>59825</v>
      </c>
      <c r="B398" s="1" t="s">
        <v>30</v>
      </c>
      <c r="C398" s="1" t="s">
        <v>31</v>
      </c>
      <c r="D398" s="1" t="str">
        <f t="shared" si="69"/>
        <v>9801</v>
      </c>
      <c r="E398" s="1" t="s">
        <v>25</v>
      </c>
      <c r="F398" s="1" t="str">
        <f>"1251E618BD880400C821002000000019"</f>
        <v>1251E618BD880400C821002000000019</v>
      </c>
      <c r="G398" s="1" t="s">
        <v>58</v>
      </c>
      <c r="H398" s="1" t="str">
        <f t="shared" si="72"/>
        <v>20220902</v>
      </c>
      <c r="I398" s="1" t="str">
        <f>"113850"</f>
        <v>113850</v>
      </c>
      <c r="J398" s="1" t="s">
        <v>91</v>
      </c>
      <c r="K398" s="1" t="s">
        <v>45</v>
      </c>
      <c r="L398" s="1" t="str">
        <f t="shared" si="71"/>
        <v>20220902</v>
      </c>
      <c r="M398" s="1" t="str">
        <f>"120415"</f>
        <v>120415</v>
      </c>
      <c r="N398" s="1" t="s">
        <v>83</v>
      </c>
      <c r="O398" s="1" t="s">
        <v>52</v>
      </c>
      <c r="P398" s="1" t="s">
        <v>55</v>
      </c>
      <c r="Q398" s="1">
        <v>50</v>
      </c>
      <c r="R398" s="1">
        <v>50</v>
      </c>
      <c r="S398" s="1">
        <v>0</v>
      </c>
      <c r="T398" s="1">
        <v>0</v>
      </c>
      <c r="U398" s="1">
        <v>0</v>
      </c>
      <c r="V398" s="1" t="str">
        <f t="shared" si="67"/>
        <v>里程返程</v>
      </c>
      <c r="W398" s="1" t="str">
        <f>"0020"</f>
        <v>0020</v>
      </c>
      <c r="X398" s="1" t="s">
        <v>29</v>
      </c>
    </row>
    <row r="399" spans="1:24" x14ac:dyDescent="0.3">
      <c r="A399" s="1" t="str">
        <f t="shared" si="68"/>
        <v>59825</v>
      </c>
      <c r="B399" s="1" t="s">
        <v>30</v>
      </c>
      <c r="C399" s="1" t="s">
        <v>31</v>
      </c>
      <c r="D399" s="1" t="str">
        <f t="shared" si="69"/>
        <v>9801</v>
      </c>
      <c r="E399" s="1" t="s">
        <v>25</v>
      </c>
      <c r="F399" s="1" t="str">
        <f>"1633695205"</f>
        <v>1633695205</v>
      </c>
      <c r="G399" s="1" t="s">
        <v>33</v>
      </c>
      <c r="H399" s="1" t="str">
        <f t="shared" si="72"/>
        <v>20220902</v>
      </c>
      <c r="I399" s="1" t="str">
        <f>"113853"</f>
        <v>113853</v>
      </c>
      <c r="J399" s="1" t="s">
        <v>91</v>
      </c>
      <c r="K399" s="1" t="s">
        <v>45</v>
      </c>
      <c r="L399" s="1" t="str">
        <f t="shared" si="71"/>
        <v>20220902</v>
      </c>
      <c r="M399" s="1" t="str">
        <f>"120425"</f>
        <v>120425</v>
      </c>
      <c r="N399" s="1" t="s">
        <v>83</v>
      </c>
      <c r="O399" s="1" t="s">
        <v>52</v>
      </c>
      <c r="P399" s="1" t="s">
        <v>55</v>
      </c>
      <c r="Q399" s="1">
        <v>50</v>
      </c>
      <c r="R399" s="1">
        <v>50</v>
      </c>
      <c r="S399" s="1">
        <v>0</v>
      </c>
      <c r="T399" s="1">
        <v>0</v>
      </c>
      <c r="U399" s="1">
        <v>0</v>
      </c>
      <c r="V399" s="1" t="str">
        <f t="shared" si="67"/>
        <v>里程返程</v>
      </c>
      <c r="W399" s="1" t="str">
        <f>"2020"</f>
        <v>2020</v>
      </c>
      <c r="X399" s="1" t="s">
        <v>35</v>
      </c>
    </row>
    <row r="400" spans="1:24" x14ac:dyDescent="0.3">
      <c r="A400" s="1" t="str">
        <f t="shared" si="68"/>
        <v>59825</v>
      </c>
      <c r="B400" s="1" t="s">
        <v>30</v>
      </c>
      <c r="C400" s="1" t="s">
        <v>31</v>
      </c>
      <c r="D400" s="1" t="str">
        <f t="shared" si="69"/>
        <v>9801</v>
      </c>
      <c r="E400" s="1" t="s">
        <v>25</v>
      </c>
      <c r="F400" s="1" t="str">
        <f>"E1687444B9280400F700000000000000"</f>
        <v>E1687444B9280400F700000000000000</v>
      </c>
      <c r="G400" s="1" t="s">
        <v>58</v>
      </c>
      <c r="H400" s="1" t="str">
        <f t="shared" si="72"/>
        <v>20220902</v>
      </c>
      <c r="I400" s="1" t="str">
        <f>"113859"</f>
        <v>113859</v>
      </c>
      <c r="J400" s="1" t="s">
        <v>91</v>
      </c>
      <c r="K400" s="1" t="s">
        <v>45</v>
      </c>
      <c r="L400" s="1" t="str">
        <f t="shared" si="71"/>
        <v>20220902</v>
      </c>
      <c r="M400" s="1" t="str">
        <f>"120442"</f>
        <v>120442</v>
      </c>
      <c r="N400" s="1" t="s">
        <v>83</v>
      </c>
      <c r="O400" s="1" t="s">
        <v>52</v>
      </c>
      <c r="P400" s="1" t="s">
        <v>55</v>
      </c>
      <c r="Q400" s="1">
        <v>50</v>
      </c>
      <c r="R400" s="1">
        <v>50</v>
      </c>
      <c r="S400" s="1">
        <v>0</v>
      </c>
      <c r="T400" s="1">
        <v>0</v>
      </c>
      <c r="U400" s="1">
        <v>0</v>
      </c>
      <c r="V400" s="1" t="str">
        <f t="shared" si="67"/>
        <v>里程返程</v>
      </c>
      <c r="W400" s="1" t="str">
        <f>"0020"</f>
        <v>0020</v>
      </c>
      <c r="X400" s="1" t="s">
        <v>29</v>
      </c>
    </row>
    <row r="401" spans="1:24" x14ac:dyDescent="0.3">
      <c r="A401" s="1" t="str">
        <f t="shared" si="68"/>
        <v>59825</v>
      </c>
      <c r="B401" s="1" t="s">
        <v>30</v>
      </c>
      <c r="C401" s="1" t="s">
        <v>31</v>
      </c>
      <c r="D401" s="1" t="str">
        <f t="shared" si="69"/>
        <v>9801</v>
      </c>
      <c r="E401" s="1" t="s">
        <v>25</v>
      </c>
      <c r="F401" s="1" t="str">
        <f>"F2F7D002D7880400C834002000000015"</f>
        <v>F2F7D002D7880400C834002000000015</v>
      </c>
      <c r="G401" s="1" t="s">
        <v>74</v>
      </c>
      <c r="H401" s="1" t="str">
        <f t="shared" si="72"/>
        <v>20220902</v>
      </c>
      <c r="I401" s="1" t="str">
        <f>"120651"</f>
        <v>120651</v>
      </c>
      <c r="J401" s="1" t="s">
        <v>67</v>
      </c>
      <c r="K401" s="1" t="s">
        <v>52</v>
      </c>
      <c r="L401" s="1" t="str">
        <f t="shared" si="71"/>
        <v>20220902</v>
      </c>
      <c r="M401" s="1" t="str">
        <f>"122153"</f>
        <v>122153</v>
      </c>
      <c r="N401" s="1" t="s">
        <v>51</v>
      </c>
      <c r="O401" s="1" t="s">
        <v>52</v>
      </c>
      <c r="P401" s="1" t="s">
        <v>68</v>
      </c>
      <c r="Q401" s="1">
        <v>13</v>
      </c>
      <c r="R401" s="1">
        <v>0</v>
      </c>
      <c r="S401" s="1">
        <v>0</v>
      </c>
      <c r="T401" s="1">
        <v>13</v>
      </c>
      <c r="U401" s="1">
        <v>0</v>
      </c>
      <c r="V401" s="1" t="str">
        <f t="shared" si="67"/>
        <v>里程返程</v>
      </c>
      <c r="W401" s="1" t="str">
        <f>"0020"</f>
        <v>0020</v>
      </c>
      <c r="X401" s="1" t="s">
        <v>29</v>
      </c>
    </row>
    <row r="402" spans="1:24" x14ac:dyDescent="0.3">
      <c r="A402" s="1" t="str">
        <f t="shared" si="68"/>
        <v>59825</v>
      </c>
      <c r="B402" s="1" t="s">
        <v>30</v>
      </c>
      <c r="C402" s="1" t="s">
        <v>31</v>
      </c>
      <c r="D402" s="1" t="str">
        <f t="shared" ref="D402:D408" si="73">"9805"</f>
        <v>9805</v>
      </c>
      <c r="E402" s="1" t="s">
        <v>57</v>
      </c>
      <c r="F402" s="1" t="str">
        <f>"89946705"</f>
        <v>89946705</v>
      </c>
      <c r="G402" s="1" t="s">
        <v>33</v>
      </c>
      <c r="H402" s="1" t="str">
        <f t="shared" si="72"/>
        <v>20220902</v>
      </c>
      <c r="I402" s="1" t="str">
        <f>"132725"</f>
        <v>132725</v>
      </c>
      <c r="J402" s="1" t="s">
        <v>52</v>
      </c>
      <c r="K402" s="1" t="s">
        <v>52</v>
      </c>
      <c r="L402" s="1" t="str">
        <f t="shared" si="71"/>
        <v>20220902</v>
      </c>
      <c r="M402" s="1" t="str">
        <f>"134908"</f>
        <v>134908</v>
      </c>
      <c r="N402" s="1" t="s">
        <v>28</v>
      </c>
      <c r="O402" s="1" t="s">
        <v>28</v>
      </c>
      <c r="P402" s="1" t="s">
        <v>55</v>
      </c>
      <c r="Q402" s="1">
        <v>25</v>
      </c>
      <c r="R402" s="1">
        <v>0</v>
      </c>
      <c r="S402" s="1">
        <v>25</v>
      </c>
      <c r="T402" s="1">
        <v>0</v>
      </c>
      <c r="U402" s="1">
        <v>0</v>
      </c>
      <c r="V402" s="1" t="str">
        <f t="shared" si="67"/>
        <v>里程返程</v>
      </c>
      <c r="W402" s="1" t="str">
        <f>"2020"</f>
        <v>2020</v>
      </c>
      <c r="X402" s="1" t="s">
        <v>35</v>
      </c>
    </row>
    <row r="403" spans="1:24" x14ac:dyDescent="0.3">
      <c r="A403" s="1" t="str">
        <f t="shared" si="68"/>
        <v>59825</v>
      </c>
      <c r="B403" s="1" t="s">
        <v>30</v>
      </c>
      <c r="C403" s="1" t="s">
        <v>31</v>
      </c>
      <c r="D403" s="1" t="str">
        <f t="shared" si="73"/>
        <v>9805</v>
      </c>
      <c r="E403" s="1" t="s">
        <v>57</v>
      </c>
      <c r="F403" s="1" t="str">
        <f>"5001655A6E880400468F751241402411"</f>
        <v>5001655A6E880400468F751241402411</v>
      </c>
      <c r="G403" s="1" t="s">
        <v>58</v>
      </c>
      <c r="H403" s="1" t="str">
        <f t="shared" si="72"/>
        <v>20220902</v>
      </c>
      <c r="I403" s="1" t="str">
        <f>"133031"</f>
        <v>133031</v>
      </c>
      <c r="J403" s="1" t="s">
        <v>52</v>
      </c>
      <c r="K403" s="1" t="s">
        <v>52</v>
      </c>
      <c r="L403" s="1" t="str">
        <f t="shared" si="71"/>
        <v>20220902</v>
      </c>
      <c r="M403" s="1" t="str">
        <f>"134859"</f>
        <v>134859</v>
      </c>
      <c r="N403" s="1" t="s">
        <v>28</v>
      </c>
      <c r="O403" s="1" t="s">
        <v>28</v>
      </c>
      <c r="P403" s="1" t="s">
        <v>55</v>
      </c>
      <c r="Q403" s="1">
        <v>25</v>
      </c>
      <c r="R403" s="1">
        <v>0</v>
      </c>
      <c r="S403" s="1">
        <v>25</v>
      </c>
      <c r="T403" s="1">
        <v>0</v>
      </c>
      <c r="U403" s="1">
        <v>0</v>
      </c>
      <c r="V403" s="1" t="str">
        <f t="shared" si="67"/>
        <v>里程返程</v>
      </c>
      <c r="W403" s="1" t="str">
        <f>"1120"</f>
        <v>1120</v>
      </c>
      <c r="X403" s="1" t="s">
        <v>29</v>
      </c>
    </row>
    <row r="404" spans="1:24" x14ac:dyDescent="0.3">
      <c r="A404" s="1" t="str">
        <f t="shared" si="68"/>
        <v>59825</v>
      </c>
      <c r="B404" s="1" t="s">
        <v>30</v>
      </c>
      <c r="C404" s="1" t="s">
        <v>31</v>
      </c>
      <c r="D404" s="1" t="str">
        <f t="shared" si="73"/>
        <v>9805</v>
      </c>
      <c r="E404" s="1" t="s">
        <v>57</v>
      </c>
      <c r="F404" s="1" t="str">
        <f>"1219406501"</f>
        <v>1219406501</v>
      </c>
      <c r="G404" s="1" t="s">
        <v>26</v>
      </c>
      <c r="H404" s="1" t="str">
        <f t="shared" si="72"/>
        <v>20220902</v>
      </c>
      <c r="I404" s="1" t="str">
        <f>"133034"</f>
        <v>133034</v>
      </c>
      <c r="J404" s="1" t="s">
        <v>52</v>
      </c>
      <c r="K404" s="1" t="s">
        <v>52</v>
      </c>
      <c r="L404" s="1" t="str">
        <f t="shared" si="71"/>
        <v>20220902</v>
      </c>
      <c r="M404" s="1" t="str">
        <f>"134905"</f>
        <v>134905</v>
      </c>
      <c r="N404" s="1" t="s">
        <v>28</v>
      </c>
      <c r="O404" s="1" t="s">
        <v>28</v>
      </c>
      <c r="P404" s="1" t="s">
        <v>55</v>
      </c>
      <c r="Q404" s="1">
        <v>13</v>
      </c>
      <c r="R404" s="1">
        <v>0</v>
      </c>
      <c r="S404" s="1">
        <v>13</v>
      </c>
      <c r="T404" s="1">
        <v>0</v>
      </c>
      <c r="U404" s="1">
        <v>0</v>
      </c>
      <c r="V404" s="1" t="str">
        <f t="shared" si="67"/>
        <v>里程返程</v>
      </c>
      <c r="W404" s="1" t="str">
        <f>"2120"</f>
        <v>2120</v>
      </c>
      <c r="X404" s="1" t="s">
        <v>35</v>
      </c>
    </row>
    <row r="405" spans="1:24" x14ac:dyDescent="0.3">
      <c r="A405" s="1" t="str">
        <f t="shared" si="68"/>
        <v>59825</v>
      </c>
      <c r="B405" s="1" t="s">
        <v>30</v>
      </c>
      <c r="C405" s="1" t="s">
        <v>31</v>
      </c>
      <c r="D405" s="1" t="str">
        <f t="shared" si="73"/>
        <v>9805</v>
      </c>
      <c r="E405" s="1" t="s">
        <v>57</v>
      </c>
      <c r="F405" s="1" t="str">
        <f>"F2C149136928040080CED9985D913018"</f>
        <v>F2C149136928040080CED9985D913018</v>
      </c>
      <c r="G405" s="1" t="s">
        <v>59</v>
      </c>
      <c r="H405" s="1" t="str">
        <f t="shared" si="72"/>
        <v>20220902</v>
      </c>
      <c r="I405" s="1" t="str">
        <f>"142520"</f>
        <v>142520</v>
      </c>
      <c r="J405" s="1" t="s">
        <v>28</v>
      </c>
      <c r="K405" s="1" t="s">
        <v>28</v>
      </c>
      <c r="L405" s="1" t="str">
        <f t="shared" si="71"/>
        <v>20220902</v>
      </c>
      <c r="M405" s="1" t="str">
        <f>"144206"</f>
        <v>144206</v>
      </c>
      <c r="N405" s="1" t="s">
        <v>61</v>
      </c>
      <c r="O405" s="1" t="s">
        <v>28</v>
      </c>
      <c r="P405" s="1" t="s">
        <v>55</v>
      </c>
      <c r="Q405" s="1">
        <v>25</v>
      </c>
      <c r="R405" s="1">
        <v>25</v>
      </c>
      <c r="S405" s="1">
        <v>0</v>
      </c>
      <c r="T405" s="1">
        <v>0</v>
      </c>
      <c r="U405" s="1">
        <v>0</v>
      </c>
      <c r="V405" s="1" t="str">
        <f t="shared" ref="V405:V416" si="74">"里程去程"</f>
        <v>里程去程</v>
      </c>
      <c r="W405" s="1" t="str">
        <f>"0020"</f>
        <v>0020</v>
      </c>
      <c r="X405" s="1" t="s">
        <v>29</v>
      </c>
    </row>
    <row r="406" spans="1:24" x14ac:dyDescent="0.3">
      <c r="A406" s="1" t="str">
        <f t="shared" si="68"/>
        <v>59825</v>
      </c>
      <c r="B406" s="1" t="s">
        <v>30</v>
      </c>
      <c r="C406" s="1" t="s">
        <v>31</v>
      </c>
      <c r="D406" s="1" t="str">
        <f t="shared" si="73"/>
        <v>9805</v>
      </c>
      <c r="E406" s="1" t="s">
        <v>57</v>
      </c>
      <c r="F406" s="1" t="str">
        <f>"7236761624880400C814002000000019"</f>
        <v>7236761624880400C814002000000019</v>
      </c>
      <c r="G406" s="1" t="s">
        <v>59</v>
      </c>
      <c r="H406" s="1" t="str">
        <f t="shared" si="72"/>
        <v>20220902</v>
      </c>
      <c r="I406" s="1" t="str">
        <f>"142548"</f>
        <v>142548</v>
      </c>
      <c r="J406" s="1" t="s">
        <v>28</v>
      </c>
      <c r="K406" s="1" t="s">
        <v>28</v>
      </c>
      <c r="L406" s="1" t="str">
        <f t="shared" si="71"/>
        <v>20220902</v>
      </c>
      <c r="M406" s="1" t="str">
        <f>"144726"</f>
        <v>144726</v>
      </c>
      <c r="N406" s="1" t="s">
        <v>52</v>
      </c>
      <c r="O406" s="1" t="s">
        <v>52</v>
      </c>
      <c r="P406" s="1" t="s">
        <v>55</v>
      </c>
      <c r="Q406" s="1">
        <v>25</v>
      </c>
      <c r="R406" s="1">
        <v>0</v>
      </c>
      <c r="S406" s="1">
        <v>25</v>
      </c>
      <c r="T406" s="1">
        <v>0</v>
      </c>
      <c r="U406" s="1">
        <v>0</v>
      </c>
      <c r="V406" s="1" t="str">
        <f t="shared" si="74"/>
        <v>里程去程</v>
      </c>
      <c r="W406" s="1" t="str">
        <f>"0620"</f>
        <v>0620</v>
      </c>
      <c r="X406" s="1" t="s">
        <v>29</v>
      </c>
    </row>
    <row r="407" spans="1:24" x14ac:dyDescent="0.3">
      <c r="A407" s="1" t="str">
        <f t="shared" si="68"/>
        <v>59825</v>
      </c>
      <c r="B407" s="1" t="s">
        <v>30</v>
      </c>
      <c r="C407" s="1" t="s">
        <v>31</v>
      </c>
      <c r="D407" s="1" t="str">
        <f t="shared" si="73"/>
        <v>9805</v>
      </c>
      <c r="E407" s="1" t="s">
        <v>57</v>
      </c>
      <c r="F407" s="1" t="str">
        <f>"1558861583"</f>
        <v>1558861583</v>
      </c>
      <c r="G407" s="1" t="s">
        <v>33</v>
      </c>
      <c r="H407" s="1" t="str">
        <f t="shared" si="72"/>
        <v>20220902</v>
      </c>
      <c r="I407" s="1" t="str">
        <f>"142612"</f>
        <v>142612</v>
      </c>
      <c r="J407" s="1" t="s">
        <v>28</v>
      </c>
      <c r="K407" s="1" t="s">
        <v>28</v>
      </c>
      <c r="L407" s="1" t="str">
        <f t="shared" si="71"/>
        <v>20220902</v>
      </c>
      <c r="M407" s="1" t="str">
        <f>"144259"</f>
        <v>144259</v>
      </c>
      <c r="N407" s="1" t="s">
        <v>56</v>
      </c>
      <c r="O407" s="1" t="s">
        <v>28</v>
      </c>
      <c r="P407" s="1" t="s">
        <v>55</v>
      </c>
      <c r="Q407" s="1">
        <v>25</v>
      </c>
      <c r="R407" s="1">
        <v>25</v>
      </c>
      <c r="S407" s="1">
        <v>0</v>
      </c>
      <c r="T407" s="1">
        <v>0</v>
      </c>
      <c r="U407" s="1">
        <v>0</v>
      </c>
      <c r="V407" s="1" t="str">
        <f t="shared" si="74"/>
        <v>里程去程</v>
      </c>
      <c r="W407" s="1" t="str">
        <f>"2020"</f>
        <v>2020</v>
      </c>
      <c r="X407" s="1" t="s">
        <v>35</v>
      </c>
    </row>
    <row r="408" spans="1:24" x14ac:dyDescent="0.3">
      <c r="A408" s="1" t="str">
        <f t="shared" si="68"/>
        <v>59825</v>
      </c>
      <c r="B408" s="1" t="s">
        <v>30</v>
      </c>
      <c r="C408" s="1" t="s">
        <v>31</v>
      </c>
      <c r="D408" s="1" t="str">
        <f t="shared" si="73"/>
        <v>9805</v>
      </c>
      <c r="E408" s="1" t="s">
        <v>57</v>
      </c>
      <c r="F408" s="1" t="str">
        <f>"220803889"</f>
        <v>220803889</v>
      </c>
      <c r="G408" s="1" t="s">
        <v>74</v>
      </c>
      <c r="H408" s="1" t="str">
        <f t="shared" si="72"/>
        <v>20220902</v>
      </c>
      <c r="I408" s="1" t="str">
        <f>"142849"</f>
        <v>142849</v>
      </c>
      <c r="J408" s="1" t="s">
        <v>28</v>
      </c>
      <c r="K408" s="1" t="s">
        <v>28</v>
      </c>
      <c r="L408" s="1" t="str">
        <f t="shared" si="71"/>
        <v>20220902</v>
      </c>
      <c r="M408" s="1" t="str">
        <f>"144729"</f>
        <v>144729</v>
      </c>
      <c r="N408" s="1" t="s">
        <v>52</v>
      </c>
      <c r="O408" s="1" t="s">
        <v>52</v>
      </c>
      <c r="P408" s="1" t="s">
        <v>55</v>
      </c>
      <c r="Q408" s="1">
        <v>13</v>
      </c>
      <c r="R408" s="1">
        <v>13</v>
      </c>
      <c r="S408" s="1">
        <v>0</v>
      </c>
      <c r="T408" s="1">
        <v>0</v>
      </c>
      <c r="U408" s="1">
        <v>0</v>
      </c>
      <c r="V408" s="1" t="str">
        <f t="shared" si="74"/>
        <v>里程去程</v>
      </c>
      <c r="W408" s="1" t="str">
        <f>"0e20"</f>
        <v>0e20</v>
      </c>
      <c r="X408" s="1" t="s">
        <v>35</v>
      </c>
    </row>
    <row r="409" spans="1:24" x14ac:dyDescent="0.3">
      <c r="A409" s="1" t="str">
        <f t="shared" si="68"/>
        <v>59825</v>
      </c>
      <c r="B409" s="1" t="s">
        <v>30</v>
      </c>
      <c r="C409" s="1" t="s">
        <v>31</v>
      </c>
      <c r="D409" s="1" t="str">
        <f>"9803"</f>
        <v>9803</v>
      </c>
      <c r="E409" s="1" t="s">
        <v>32</v>
      </c>
      <c r="F409" s="1" t="str">
        <f>"1763769697"</f>
        <v>1763769697</v>
      </c>
      <c r="G409" s="1" t="s">
        <v>33</v>
      </c>
      <c r="H409" s="1" t="str">
        <f t="shared" si="72"/>
        <v>20220902</v>
      </c>
      <c r="I409" s="1" t="str">
        <f>"151113"</f>
        <v>151113</v>
      </c>
      <c r="J409" s="1" t="s">
        <v>28</v>
      </c>
      <c r="K409" s="1" t="s">
        <v>28</v>
      </c>
      <c r="L409" s="1" t="str">
        <f t="shared" si="71"/>
        <v>20220902</v>
      </c>
      <c r="M409" s="1" t="str">
        <f>"152017"</f>
        <v>152017</v>
      </c>
      <c r="N409" s="1" t="s">
        <v>79</v>
      </c>
      <c r="O409" s="1" t="s">
        <v>28</v>
      </c>
      <c r="P409" s="1" t="s">
        <v>55</v>
      </c>
      <c r="Q409" s="1">
        <v>25</v>
      </c>
      <c r="R409" s="1">
        <v>25</v>
      </c>
      <c r="S409" s="1">
        <v>0</v>
      </c>
      <c r="T409" s="1">
        <v>0</v>
      </c>
      <c r="U409" s="1">
        <v>0</v>
      </c>
      <c r="V409" s="1" t="str">
        <f t="shared" si="74"/>
        <v>里程去程</v>
      </c>
      <c r="W409" s="1" t="str">
        <f>"0220"</f>
        <v>0220</v>
      </c>
      <c r="X409" s="1" t="s">
        <v>35</v>
      </c>
    </row>
    <row r="410" spans="1:24" x14ac:dyDescent="0.3">
      <c r="A410" s="1" t="str">
        <f t="shared" si="68"/>
        <v>59825</v>
      </c>
      <c r="B410" s="1" t="s">
        <v>30</v>
      </c>
      <c r="C410" s="1" t="s">
        <v>31</v>
      </c>
      <c r="D410" s="1" t="str">
        <f>"9803"</f>
        <v>9803</v>
      </c>
      <c r="E410" s="1" t="s">
        <v>32</v>
      </c>
      <c r="F410" s="1" t="str">
        <f>"1600449973"</f>
        <v>1600449973</v>
      </c>
      <c r="G410" s="1" t="s">
        <v>33</v>
      </c>
      <c r="H410" s="1" t="str">
        <f t="shared" si="72"/>
        <v>20220902</v>
      </c>
      <c r="I410" s="1" t="str">
        <f>"151122"</f>
        <v>151122</v>
      </c>
      <c r="J410" s="1" t="s">
        <v>28</v>
      </c>
      <c r="K410" s="1" t="s">
        <v>28</v>
      </c>
      <c r="L410" s="1" t="str">
        <f t="shared" si="71"/>
        <v>20220902</v>
      </c>
      <c r="M410" s="1" t="str">
        <f>"152020"</f>
        <v>152020</v>
      </c>
      <c r="N410" s="1" t="s">
        <v>79</v>
      </c>
      <c r="O410" s="1" t="s">
        <v>28</v>
      </c>
      <c r="P410" s="1" t="s">
        <v>55</v>
      </c>
      <c r="Q410" s="1">
        <v>25</v>
      </c>
      <c r="R410" s="1">
        <v>25</v>
      </c>
      <c r="S410" s="1">
        <v>0</v>
      </c>
      <c r="T410" s="1">
        <v>0</v>
      </c>
      <c r="U410" s="1">
        <v>0</v>
      </c>
      <c r="V410" s="1" t="str">
        <f t="shared" si="74"/>
        <v>里程去程</v>
      </c>
      <c r="W410" s="1" t="str">
        <f>"1420"</f>
        <v>1420</v>
      </c>
      <c r="X410" s="1" t="s">
        <v>35</v>
      </c>
    </row>
    <row r="411" spans="1:24" x14ac:dyDescent="0.3">
      <c r="A411" s="1" t="str">
        <f t="shared" si="68"/>
        <v>59825</v>
      </c>
      <c r="B411" s="1" t="s">
        <v>30</v>
      </c>
      <c r="C411" s="1" t="s">
        <v>31</v>
      </c>
      <c r="D411" s="1" t="str">
        <f>"9803"</f>
        <v>9803</v>
      </c>
      <c r="E411" s="1" t="s">
        <v>32</v>
      </c>
      <c r="F411" s="1" t="str">
        <f>"92EFBA02C5880400C834002000000015"</f>
        <v>92EFBA02C5880400C834002000000015</v>
      </c>
      <c r="G411" s="1" t="s">
        <v>26</v>
      </c>
      <c r="H411" s="1" t="str">
        <f t="shared" si="72"/>
        <v>20220902</v>
      </c>
      <c r="I411" s="1" t="str">
        <f>"151123"</f>
        <v>151123</v>
      </c>
      <c r="J411" s="1" t="s">
        <v>28</v>
      </c>
      <c r="K411" s="1" t="s">
        <v>28</v>
      </c>
      <c r="L411" s="1" t="str">
        <f t="shared" si="71"/>
        <v>20220902</v>
      </c>
      <c r="M411" s="1" t="str">
        <f>"152014"</f>
        <v>152014</v>
      </c>
      <c r="N411" s="1" t="s">
        <v>79</v>
      </c>
      <c r="O411" s="1" t="s">
        <v>28</v>
      </c>
      <c r="P411" s="1" t="s">
        <v>68</v>
      </c>
      <c r="Q411" s="1">
        <v>13</v>
      </c>
      <c r="R411" s="1">
        <v>0</v>
      </c>
      <c r="S411" s="1">
        <v>0</v>
      </c>
      <c r="T411" s="1">
        <v>13</v>
      </c>
      <c r="U411" s="1">
        <v>0</v>
      </c>
      <c r="V411" s="1" t="str">
        <f t="shared" si="74"/>
        <v>里程去程</v>
      </c>
      <c r="W411" s="1" t="str">
        <f>"0020"</f>
        <v>0020</v>
      </c>
      <c r="X411" s="1" t="s">
        <v>29</v>
      </c>
    </row>
    <row r="412" spans="1:24" x14ac:dyDescent="0.3">
      <c r="A412" s="1" t="str">
        <f t="shared" si="68"/>
        <v>59825</v>
      </c>
      <c r="B412" s="1" t="s">
        <v>30</v>
      </c>
      <c r="C412" s="1" t="s">
        <v>31</v>
      </c>
      <c r="D412" s="1" t="str">
        <f>"9806"</f>
        <v>9806</v>
      </c>
      <c r="E412" s="1" t="s">
        <v>49</v>
      </c>
      <c r="F412" s="1" t="str">
        <f>"12BE3C1B8B880400C817002000000021"</f>
        <v>12BE3C1B8B880400C817002000000021</v>
      </c>
      <c r="G412" s="1" t="s">
        <v>59</v>
      </c>
      <c r="H412" s="1" t="str">
        <f t="shared" si="72"/>
        <v>20220902</v>
      </c>
      <c r="I412" s="1" t="str">
        <f>"163532"</f>
        <v>163532</v>
      </c>
      <c r="J412" s="1" t="s">
        <v>76</v>
      </c>
      <c r="K412" s="1" t="s">
        <v>28</v>
      </c>
      <c r="L412" s="1" t="str">
        <f t="shared" si="71"/>
        <v>20220902</v>
      </c>
      <c r="M412" s="1" t="str">
        <f>"164958"</f>
        <v>164958</v>
      </c>
      <c r="N412" s="1" t="s">
        <v>28</v>
      </c>
      <c r="O412" s="1" t="s">
        <v>28</v>
      </c>
      <c r="P412" s="1" t="s">
        <v>55</v>
      </c>
      <c r="Q412" s="1">
        <v>25</v>
      </c>
      <c r="R412" s="1">
        <v>25</v>
      </c>
      <c r="S412" s="1">
        <v>0</v>
      </c>
      <c r="T412" s="1">
        <v>0</v>
      </c>
      <c r="U412" s="1">
        <v>0</v>
      </c>
      <c r="V412" s="1" t="str">
        <f t="shared" si="74"/>
        <v>里程去程</v>
      </c>
      <c r="W412" s="1" t="str">
        <f>"0020"</f>
        <v>0020</v>
      </c>
      <c r="X412" s="1" t="s">
        <v>29</v>
      </c>
    </row>
    <row r="413" spans="1:24" x14ac:dyDescent="0.3">
      <c r="A413" s="1" t="str">
        <f t="shared" si="68"/>
        <v>59825</v>
      </c>
      <c r="B413" s="1" t="s">
        <v>30</v>
      </c>
      <c r="C413" s="1" t="s">
        <v>31</v>
      </c>
      <c r="D413" s="1" t="str">
        <f>"9806"</f>
        <v>9806</v>
      </c>
      <c r="E413" s="1" t="s">
        <v>49</v>
      </c>
      <c r="F413" s="1" t="str">
        <f>"22C8DE1B2F880400C822002000000021"</f>
        <v>22C8DE1B2F880400C822002000000021</v>
      </c>
      <c r="G413" s="1" t="s">
        <v>58</v>
      </c>
      <c r="H413" s="1" t="str">
        <f t="shared" si="72"/>
        <v>20220902</v>
      </c>
      <c r="I413" s="1" t="str">
        <f>"163633"</f>
        <v>163633</v>
      </c>
      <c r="J413" s="1" t="s">
        <v>76</v>
      </c>
      <c r="K413" s="1" t="s">
        <v>28</v>
      </c>
      <c r="L413" s="1" t="str">
        <f t="shared" si="71"/>
        <v>20220902</v>
      </c>
      <c r="M413" s="1" t="str">
        <f>"165002"</f>
        <v>165002</v>
      </c>
      <c r="N413" s="1" t="s">
        <v>28</v>
      </c>
      <c r="O413" s="1" t="s">
        <v>28</v>
      </c>
      <c r="P413" s="1" t="s">
        <v>55</v>
      </c>
      <c r="Q413" s="1">
        <v>25</v>
      </c>
      <c r="R413" s="1">
        <v>25</v>
      </c>
      <c r="S413" s="1">
        <v>0</v>
      </c>
      <c r="T413" s="1">
        <v>0</v>
      </c>
      <c r="U413" s="1">
        <v>0</v>
      </c>
      <c r="V413" s="1" t="str">
        <f t="shared" si="74"/>
        <v>里程去程</v>
      </c>
      <c r="W413" s="1" t="str">
        <f>"0020"</f>
        <v>0020</v>
      </c>
      <c r="X413" s="1" t="s">
        <v>29</v>
      </c>
    </row>
    <row r="414" spans="1:24" x14ac:dyDescent="0.3">
      <c r="A414" s="1" t="str">
        <f t="shared" si="68"/>
        <v>59825</v>
      </c>
      <c r="B414" s="1" t="s">
        <v>30</v>
      </c>
      <c r="C414" s="1" t="s">
        <v>31</v>
      </c>
      <c r="D414" s="1" t="str">
        <f>"9806"</f>
        <v>9806</v>
      </c>
      <c r="E414" s="1" t="s">
        <v>49</v>
      </c>
      <c r="F414" s="1" t="str">
        <f>"1055537829"</f>
        <v>1055537829</v>
      </c>
      <c r="G414" s="1" t="s">
        <v>33</v>
      </c>
      <c r="H414" s="1" t="str">
        <f t="shared" si="72"/>
        <v>20220902</v>
      </c>
      <c r="I414" s="1" t="str">
        <f>"164217"</f>
        <v>164217</v>
      </c>
      <c r="J414" s="1" t="s">
        <v>98</v>
      </c>
      <c r="K414" s="1" t="s">
        <v>28</v>
      </c>
      <c r="L414" s="1" t="str">
        <f t="shared" si="71"/>
        <v>20220902</v>
      </c>
      <c r="M414" s="1" t="str">
        <f>"164953"</f>
        <v>164953</v>
      </c>
      <c r="N414" s="1" t="s">
        <v>28</v>
      </c>
      <c r="O414" s="1" t="s">
        <v>28</v>
      </c>
      <c r="P414" s="1" t="s">
        <v>55</v>
      </c>
      <c r="Q414" s="1">
        <v>25</v>
      </c>
      <c r="R414" s="1">
        <v>25</v>
      </c>
      <c r="S414" s="1">
        <v>0</v>
      </c>
      <c r="T414" s="1">
        <v>0</v>
      </c>
      <c r="U414" s="1">
        <v>0</v>
      </c>
      <c r="V414" s="1" t="str">
        <f t="shared" si="74"/>
        <v>里程去程</v>
      </c>
      <c r="W414" s="1" t="str">
        <f>"2020"</f>
        <v>2020</v>
      </c>
      <c r="X414" s="1" t="s">
        <v>35</v>
      </c>
    </row>
    <row r="415" spans="1:24" x14ac:dyDescent="0.3">
      <c r="A415" s="1" t="str">
        <f t="shared" si="68"/>
        <v>59825</v>
      </c>
      <c r="B415" s="1" t="s">
        <v>30</v>
      </c>
      <c r="C415" s="1" t="s">
        <v>31</v>
      </c>
      <c r="D415" s="1" t="str">
        <f>"9805"</f>
        <v>9805</v>
      </c>
      <c r="E415" s="1" t="s">
        <v>57</v>
      </c>
      <c r="F415" s="1" t="str">
        <f>"1087508001"</f>
        <v>1087508001</v>
      </c>
      <c r="G415" s="1" t="s">
        <v>33</v>
      </c>
      <c r="H415" s="1" t="str">
        <f t="shared" si="72"/>
        <v>20220902</v>
      </c>
      <c r="I415" s="1" t="str">
        <f>"165031"</f>
        <v>165031</v>
      </c>
      <c r="J415" s="1" t="s">
        <v>28</v>
      </c>
      <c r="K415" s="1" t="s">
        <v>28</v>
      </c>
      <c r="L415" s="1" t="str">
        <f t="shared" si="71"/>
        <v>20220902</v>
      </c>
      <c r="M415" s="1" t="str">
        <f>"170045"</f>
        <v>170045</v>
      </c>
      <c r="N415" s="1" t="s">
        <v>46</v>
      </c>
      <c r="O415" s="1" t="s">
        <v>28</v>
      </c>
      <c r="P415" s="1" t="s">
        <v>55</v>
      </c>
      <c r="Q415" s="1">
        <v>25</v>
      </c>
      <c r="R415" s="1">
        <v>0</v>
      </c>
      <c r="S415" s="1">
        <v>25</v>
      </c>
      <c r="T415" s="1">
        <v>0</v>
      </c>
      <c r="U415" s="1">
        <v>0</v>
      </c>
      <c r="V415" s="1" t="str">
        <f t="shared" si="74"/>
        <v>里程去程</v>
      </c>
      <c r="W415" s="1" t="str">
        <f>"0820"</f>
        <v>0820</v>
      </c>
      <c r="X415" s="1" t="s">
        <v>35</v>
      </c>
    </row>
    <row r="416" spans="1:24" x14ac:dyDescent="0.3">
      <c r="A416" s="1" t="str">
        <f t="shared" si="68"/>
        <v>59825</v>
      </c>
      <c r="B416" s="1" t="s">
        <v>30</v>
      </c>
      <c r="C416" s="1" t="s">
        <v>31</v>
      </c>
      <c r="D416" s="1" t="str">
        <f>"9805"</f>
        <v>9805</v>
      </c>
      <c r="E416" s="1" t="s">
        <v>57</v>
      </c>
      <c r="F416" s="1" t="str">
        <f>"1861159169"</f>
        <v>1861159169</v>
      </c>
      <c r="G416" s="1" t="s">
        <v>33</v>
      </c>
      <c r="H416" s="1" t="str">
        <f t="shared" si="72"/>
        <v>20220902</v>
      </c>
      <c r="I416" s="1" t="str">
        <f>"165034"</f>
        <v>165034</v>
      </c>
      <c r="J416" s="1" t="s">
        <v>28</v>
      </c>
      <c r="K416" s="1" t="s">
        <v>28</v>
      </c>
      <c r="L416" s="1" t="str">
        <f t="shared" si="71"/>
        <v>20220902</v>
      </c>
      <c r="M416" s="1" t="str">
        <f>"170039"</f>
        <v>170039</v>
      </c>
      <c r="N416" s="1" t="s">
        <v>46</v>
      </c>
      <c r="O416" s="1" t="s">
        <v>28</v>
      </c>
      <c r="P416" s="1" t="s">
        <v>55</v>
      </c>
      <c r="Q416" s="1">
        <v>25</v>
      </c>
      <c r="R416" s="1">
        <v>0</v>
      </c>
      <c r="S416" s="1">
        <v>25</v>
      </c>
      <c r="T416" s="1">
        <v>0</v>
      </c>
      <c r="U416" s="1">
        <v>0</v>
      </c>
      <c r="V416" s="1" t="str">
        <f t="shared" si="74"/>
        <v>里程去程</v>
      </c>
      <c r="W416" s="1" t="str">
        <f>"0820"</f>
        <v>0820</v>
      </c>
      <c r="X416" s="1" t="s">
        <v>35</v>
      </c>
    </row>
    <row r="417" spans="1:24" x14ac:dyDescent="0.3">
      <c r="A417" s="1" t="str">
        <f t="shared" si="68"/>
        <v>59825</v>
      </c>
      <c r="B417" s="1" t="s">
        <v>30</v>
      </c>
      <c r="C417" s="1" t="s">
        <v>31</v>
      </c>
      <c r="D417" s="1" t="str">
        <f t="shared" ref="D417:D450" si="75">"9801"</f>
        <v>9801</v>
      </c>
      <c r="E417" s="1" t="s">
        <v>25</v>
      </c>
      <c r="F417" s="1" t="str">
        <f>"205662177"</f>
        <v>205662177</v>
      </c>
      <c r="G417" s="1" t="s">
        <v>33</v>
      </c>
      <c r="H417" s="1" t="str">
        <f t="shared" si="72"/>
        <v>20220902</v>
      </c>
      <c r="I417" s="1" t="str">
        <f>"192413"</f>
        <v>192413</v>
      </c>
      <c r="J417" s="1" t="s">
        <v>28</v>
      </c>
      <c r="K417" s="1" t="s">
        <v>28</v>
      </c>
      <c r="L417" s="1" t="str">
        <f t="shared" si="71"/>
        <v>20220902</v>
      </c>
      <c r="M417" s="1" t="str">
        <f>"194308"</f>
        <v>194308</v>
      </c>
      <c r="N417" s="1" t="s">
        <v>65</v>
      </c>
      <c r="O417" s="1" t="s">
        <v>52</v>
      </c>
      <c r="P417" s="1" t="s">
        <v>55</v>
      </c>
      <c r="Q417" s="1">
        <v>25</v>
      </c>
      <c r="R417" s="1">
        <v>25</v>
      </c>
      <c r="S417" s="1">
        <v>0</v>
      </c>
      <c r="T417" s="1">
        <v>0</v>
      </c>
      <c r="U417" s="1">
        <v>0</v>
      </c>
      <c r="V417" s="1" t="str">
        <f t="shared" ref="V417:V431" si="76">"里程返程"</f>
        <v>里程返程</v>
      </c>
      <c r="W417" s="1" t="str">
        <f>"0820"</f>
        <v>0820</v>
      </c>
      <c r="X417" s="1" t="s">
        <v>35</v>
      </c>
    </row>
    <row r="418" spans="1:24" x14ac:dyDescent="0.3">
      <c r="A418" s="1" t="str">
        <f t="shared" si="68"/>
        <v>59825</v>
      </c>
      <c r="B418" s="1" t="s">
        <v>30</v>
      </c>
      <c r="C418" s="1" t="s">
        <v>31</v>
      </c>
      <c r="D418" s="1" t="str">
        <f t="shared" si="75"/>
        <v>9801</v>
      </c>
      <c r="E418" s="1" t="s">
        <v>25</v>
      </c>
      <c r="F418" s="1" t="str">
        <f>"3606748307"</f>
        <v>3606748307</v>
      </c>
      <c r="G418" s="1" t="s">
        <v>33</v>
      </c>
      <c r="H418" s="1" t="str">
        <f t="shared" si="72"/>
        <v>20220902</v>
      </c>
      <c r="I418" s="1" t="str">
        <f>"192420"</f>
        <v>192420</v>
      </c>
      <c r="J418" s="1" t="s">
        <v>28</v>
      </c>
      <c r="K418" s="1" t="s">
        <v>28</v>
      </c>
      <c r="L418" s="1" t="str">
        <f t="shared" ref="L418:L450" si="77">"20220902"</f>
        <v>20220902</v>
      </c>
      <c r="M418" s="1" t="str">
        <f>"194852"</f>
        <v>194852</v>
      </c>
      <c r="N418" s="1" t="s">
        <v>60</v>
      </c>
      <c r="O418" s="1" t="s">
        <v>52</v>
      </c>
      <c r="P418" s="1" t="s">
        <v>55</v>
      </c>
      <c r="Q418" s="1">
        <v>25</v>
      </c>
      <c r="R418" s="1">
        <v>25</v>
      </c>
      <c r="S418" s="1">
        <v>0</v>
      </c>
      <c r="T418" s="1">
        <v>0</v>
      </c>
      <c r="U418" s="1">
        <v>0</v>
      </c>
      <c r="V418" s="1" t="str">
        <f t="shared" si="76"/>
        <v>里程返程</v>
      </c>
      <c r="W418" s="1" t="str">
        <f>"0320"</f>
        <v>0320</v>
      </c>
      <c r="X418" s="1" t="s">
        <v>35</v>
      </c>
    </row>
    <row r="419" spans="1:24" x14ac:dyDescent="0.3">
      <c r="A419" s="1" t="str">
        <f t="shared" ref="A419:A450" si="78">"59828"</f>
        <v>59828</v>
      </c>
      <c r="B419" s="1" t="s">
        <v>23</v>
      </c>
      <c r="C419" s="1" t="s">
        <v>24</v>
      </c>
      <c r="D419" s="1" t="str">
        <f t="shared" si="75"/>
        <v>9801</v>
      </c>
      <c r="E419" s="1" t="s">
        <v>25</v>
      </c>
      <c r="F419" s="1" t="str">
        <f>"B2A5D102C4880400C834002000000015"</f>
        <v>B2A5D102C4880400C834002000000015</v>
      </c>
      <c r="G419" s="1" t="s">
        <v>74</v>
      </c>
      <c r="H419" s="1" t="str">
        <f t="shared" si="72"/>
        <v>20220902</v>
      </c>
      <c r="I419" s="1" t="str">
        <f>"061749"</f>
        <v>061749</v>
      </c>
      <c r="J419" s="1" t="s">
        <v>61</v>
      </c>
      <c r="K419" s="1" t="s">
        <v>45</v>
      </c>
      <c r="L419" s="1" t="str">
        <f t="shared" si="77"/>
        <v>20220902</v>
      </c>
      <c r="M419" s="1" t="str">
        <f>"062702"</f>
        <v>062702</v>
      </c>
      <c r="N419" s="1" t="s">
        <v>28</v>
      </c>
      <c r="O419" s="1" t="s">
        <v>28</v>
      </c>
      <c r="P419" s="1" t="s">
        <v>68</v>
      </c>
      <c r="Q419" s="1">
        <v>13</v>
      </c>
      <c r="R419" s="1">
        <v>0</v>
      </c>
      <c r="S419" s="1">
        <v>0</v>
      </c>
      <c r="T419" s="1">
        <v>13</v>
      </c>
      <c r="U419" s="1">
        <v>0</v>
      </c>
      <c r="V419" s="1" t="str">
        <f t="shared" si="76"/>
        <v>里程返程</v>
      </c>
      <c r="W419" s="1" t="str">
        <f>"0020"</f>
        <v>0020</v>
      </c>
      <c r="X419" s="1" t="s">
        <v>29</v>
      </c>
    </row>
    <row r="420" spans="1:24" x14ac:dyDescent="0.3">
      <c r="A420" s="1" t="str">
        <f t="shared" si="78"/>
        <v>59828</v>
      </c>
      <c r="B420" s="1" t="s">
        <v>23</v>
      </c>
      <c r="C420" s="1" t="s">
        <v>24</v>
      </c>
      <c r="D420" s="1" t="str">
        <f t="shared" si="75"/>
        <v>9801</v>
      </c>
      <c r="E420" s="1" t="s">
        <v>25</v>
      </c>
      <c r="F420" s="1" t="str">
        <f>"E130C75F492804001C00000000000000"</f>
        <v>E130C75F492804001C00000000000000</v>
      </c>
      <c r="G420" s="1" t="s">
        <v>58</v>
      </c>
      <c r="H420" s="1" t="str">
        <f t="shared" si="72"/>
        <v>20220902</v>
      </c>
      <c r="I420" s="1" t="str">
        <f>"062153"</f>
        <v>062153</v>
      </c>
      <c r="J420" s="1" t="s">
        <v>79</v>
      </c>
      <c r="K420" s="1" t="s">
        <v>45</v>
      </c>
      <c r="L420" s="1" t="str">
        <f t="shared" si="77"/>
        <v>20220902</v>
      </c>
      <c r="M420" s="1" t="str">
        <f>"062715"</f>
        <v>062715</v>
      </c>
      <c r="N420" s="1" t="s">
        <v>28</v>
      </c>
      <c r="O420" s="1" t="s">
        <v>28</v>
      </c>
      <c r="P420" s="1" t="s">
        <v>55</v>
      </c>
      <c r="Q420" s="1">
        <v>25</v>
      </c>
      <c r="R420" s="1">
        <v>25</v>
      </c>
      <c r="S420" s="1">
        <v>0</v>
      </c>
      <c r="T420" s="1">
        <v>0</v>
      </c>
      <c r="U420" s="1">
        <v>0</v>
      </c>
      <c r="V420" s="1" t="str">
        <f t="shared" si="76"/>
        <v>里程返程</v>
      </c>
      <c r="W420" s="1" t="str">
        <f>"0020"</f>
        <v>0020</v>
      </c>
      <c r="X420" s="1" t="s">
        <v>29</v>
      </c>
    </row>
    <row r="421" spans="1:24" x14ac:dyDescent="0.3">
      <c r="A421" s="1" t="str">
        <f t="shared" si="78"/>
        <v>59828</v>
      </c>
      <c r="B421" s="1" t="s">
        <v>23</v>
      </c>
      <c r="C421" s="1" t="s">
        <v>24</v>
      </c>
      <c r="D421" s="1" t="str">
        <f t="shared" si="75"/>
        <v>9801</v>
      </c>
      <c r="E421" s="1" t="s">
        <v>25</v>
      </c>
      <c r="F421" s="1" t="str">
        <f>"1752749445"</f>
        <v>1752749445</v>
      </c>
      <c r="G421" s="1" t="s">
        <v>33</v>
      </c>
      <c r="H421" s="1" t="str">
        <f t="shared" ref="H421:H450" si="79">"20220902"</f>
        <v>20220902</v>
      </c>
      <c r="I421" s="1" t="str">
        <f>"063052"</f>
        <v>063052</v>
      </c>
      <c r="J421" s="1" t="s">
        <v>28</v>
      </c>
      <c r="K421" s="1" t="s">
        <v>28</v>
      </c>
      <c r="L421" s="1" t="str">
        <f t="shared" si="77"/>
        <v>20220902</v>
      </c>
      <c r="M421" s="1" t="str">
        <f>"065253"</f>
        <v>065253</v>
      </c>
      <c r="N421" s="1" t="s">
        <v>72</v>
      </c>
      <c r="O421" s="1" t="s">
        <v>52</v>
      </c>
      <c r="P421" s="1" t="s">
        <v>55</v>
      </c>
      <c r="Q421" s="1">
        <v>25</v>
      </c>
      <c r="R421" s="1">
        <v>0</v>
      </c>
      <c r="S421" s="1">
        <v>25</v>
      </c>
      <c r="T421" s="1">
        <v>0</v>
      </c>
      <c r="U421" s="1">
        <v>0</v>
      </c>
      <c r="V421" s="1" t="str">
        <f t="shared" si="76"/>
        <v>里程返程</v>
      </c>
      <c r="W421" s="1" t="str">
        <f>"0820"</f>
        <v>0820</v>
      </c>
      <c r="X421" s="1" t="s">
        <v>35</v>
      </c>
    </row>
    <row r="422" spans="1:24" x14ac:dyDescent="0.3">
      <c r="A422" s="1" t="str">
        <f t="shared" si="78"/>
        <v>59828</v>
      </c>
      <c r="B422" s="1" t="s">
        <v>23</v>
      </c>
      <c r="C422" s="1" t="s">
        <v>24</v>
      </c>
      <c r="D422" s="1" t="str">
        <f t="shared" si="75"/>
        <v>9801</v>
      </c>
      <c r="E422" s="1" t="s">
        <v>25</v>
      </c>
      <c r="F422" s="1" t="str">
        <f>"619F1761882804001C00000000000000"</f>
        <v>619F1761882804001C00000000000000</v>
      </c>
      <c r="G422" s="1" t="s">
        <v>58</v>
      </c>
      <c r="H422" s="1" t="str">
        <f t="shared" si="79"/>
        <v>20220902</v>
      </c>
      <c r="I422" s="1" t="str">
        <f>"063103"</f>
        <v>063103</v>
      </c>
      <c r="J422" s="1" t="s">
        <v>28</v>
      </c>
      <c r="K422" s="1" t="s">
        <v>28</v>
      </c>
      <c r="L422" s="1" t="str">
        <f t="shared" si="77"/>
        <v>20220902</v>
      </c>
      <c r="M422" s="1" t="str">
        <f>"065249"</f>
        <v>065249</v>
      </c>
      <c r="N422" s="1" t="s">
        <v>72</v>
      </c>
      <c r="O422" s="1" t="s">
        <v>52</v>
      </c>
      <c r="P422" s="1" t="s">
        <v>55</v>
      </c>
      <c r="Q422" s="1">
        <v>25</v>
      </c>
      <c r="R422" s="1">
        <v>0</v>
      </c>
      <c r="S422" s="1">
        <v>25</v>
      </c>
      <c r="T422" s="1">
        <v>0</v>
      </c>
      <c r="U422" s="1">
        <v>0</v>
      </c>
      <c r="V422" s="1" t="str">
        <f t="shared" si="76"/>
        <v>里程返程</v>
      </c>
      <c r="W422" s="1" t="str">
        <f>"0620"</f>
        <v>0620</v>
      </c>
      <c r="X422" s="1" t="s">
        <v>29</v>
      </c>
    </row>
    <row r="423" spans="1:24" x14ac:dyDescent="0.3">
      <c r="A423" s="1" t="str">
        <f t="shared" si="78"/>
        <v>59828</v>
      </c>
      <c r="B423" s="1" t="s">
        <v>23</v>
      </c>
      <c r="C423" s="1" t="s">
        <v>24</v>
      </c>
      <c r="D423" s="1" t="str">
        <f t="shared" si="75"/>
        <v>9801</v>
      </c>
      <c r="E423" s="1" t="s">
        <v>25</v>
      </c>
      <c r="F423" s="1" t="str">
        <f>"E27D1D0381880400C834002000000015"</f>
        <v>E27D1D0381880400C834002000000015</v>
      </c>
      <c r="G423" s="1" t="s">
        <v>26</v>
      </c>
      <c r="H423" s="1" t="str">
        <f t="shared" si="79"/>
        <v>20220902</v>
      </c>
      <c r="I423" s="1" t="str">
        <f>"063114"</f>
        <v>063114</v>
      </c>
      <c r="J423" s="1" t="s">
        <v>28</v>
      </c>
      <c r="K423" s="1" t="s">
        <v>28</v>
      </c>
      <c r="L423" s="1" t="str">
        <f t="shared" si="77"/>
        <v>20220902</v>
      </c>
      <c r="M423" s="1" t="str">
        <f>"065147"</f>
        <v>065147</v>
      </c>
      <c r="N423" s="1" t="s">
        <v>65</v>
      </c>
      <c r="O423" s="1" t="s">
        <v>52</v>
      </c>
      <c r="P423" s="1" t="s">
        <v>68</v>
      </c>
      <c r="Q423" s="1">
        <v>13</v>
      </c>
      <c r="R423" s="1">
        <v>0</v>
      </c>
      <c r="S423" s="1">
        <v>0</v>
      </c>
      <c r="T423" s="1">
        <v>13</v>
      </c>
      <c r="U423" s="1">
        <v>0</v>
      </c>
      <c r="V423" s="1" t="str">
        <f t="shared" si="76"/>
        <v>里程返程</v>
      </c>
      <c r="W423" s="1" t="str">
        <f>"0020"</f>
        <v>0020</v>
      </c>
      <c r="X423" s="1" t="s">
        <v>29</v>
      </c>
    </row>
    <row r="424" spans="1:24" x14ac:dyDescent="0.3">
      <c r="A424" s="1" t="str">
        <f t="shared" si="78"/>
        <v>59828</v>
      </c>
      <c r="B424" s="1" t="s">
        <v>23</v>
      </c>
      <c r="C424" s="1" t="s">
        <v>24</v>
      </c>
      <c r="D424" s="1" t="str">
        <f t="shared" si="75"/>
        <v>9801</v>
      </c>
      <c r="E424" s="1" t="s">
        <v>25</v>
      </c>
      <c r="F424" s="1" t="str">
        <f>"1558861583"</f>
        <v>1558861583</v>
      </c>
      <c r="G424" s="1" t="s">
        <v>33</v>
      </c>
      <c r="H424" s="1" t="str">
        <f t="shared" si="79"/>
        <v>20220902</v>
      </c>
      <c r="I424" s="1" t="str">
        <f>"070727"</f>
        <v>070727</v>
      </c>
      <c r="J424" s="1" t="s">
        <v>75</v>
      </c>
      <c r="K424" s="1" t="s">
        <v>45</v>
      </c>
      <c r="L424" s="1" t="str">
        <f t="shared" si="77"/>
        <v>20220902</v>
      </c>
      <c r="M424" s="1" t="str">
        <f>"072154"</f>
        <v>072154</v>
      </c>
      <c r="N424" s="1" t="s">
        <v>28</v>
      </c>
      <c r="O424" s="1" t="s">
        <v>28</v>
      </c>
      <c r="P424" s="1" t="s">
        <v>55</v>
      </c>
      <c r="Q424" s="1">
        <v>25</v>
      </c>
      <c r="R424" s="1">
        <v>25</v>
      </c>
      <c r="S424" s="1">
        <v>0</v>
      </c>
      <c r="T424" s="1">
        <v>0</v>
      </c>
      <c r="U424" s="1">
        <v>0</v>
      </c>
      <c r="V424" s="1" t="str">
        <f t="shared" si="76"/>
        <v>里程返程</v>
      </c>
      <c r="W424" s="1" t="str">
        <f>"2120"</f>
        <v>2120</v>
      </c>
      <c r="X424" s="1" t="s">
        <v>35</v>
      </c>
    </row>
    <row r="425" spans="1:24" x14ac:dyDescent="0.3">
      <c r="A425" s="1" t="str">
        <f t="shared" si="78"/>
        <v>59828</v>
      </c>
      <c r="B425" s="1" t="s">
        <v>23</v>
      </c>
      <c r="C425" s="1" t="s">
        <v>24</v>
      </c>
      <c r="D425" s="1" t="str">
        <f t="shared" si="75"/>
        <v>9801</v>
      </c>
      <c r="E425" s="1" t="s">
        <v>25</v>
      </c>
      <c r="F425" s="1" t="str">
        <f>"1760414485"</f>
        <v>1760414485</v>
      </c>
      <c r="G425" s="1" t="s">
        <v>33</v>
      </c>
      <c r="H425" s="1" t="str">
        <f t="shared" si="79"/>
        <v>20220902</v>
      </c>
      <c r="I425" s="1" t="str">
        <f>"070729"</f>
        <v>070729</v>
      </c>
      <c r="J425" s="1" t="s">
        <v>75</v>
      </c>
      <c r="K425" s="1" t="s">
        <v>45</v>
      </c>
      <c r="L425" s="1" t="str">
        <f t="shared" si="77"/>
        <v>20220902</v>
      </c>
      <c r="M425" s="1" t="str">
        <f>"072151"</f>
        <v>072151</v>
      </c>
      <c r="N425" s="1" t="s">
        <v>28</v>
      </c>
      <c r="O425" s="1" t="s">
        <v>28</v>
      </c>
      <c r="P425" s="1" t="s">
        <v>55</v>
      </c>
      <c r="Q425" s="1">
        <v>25</v>
      </c>
      <c r="R425" s="1">
        <v>25</v>
      </c>
      <c r="S425" s="1">
        <v>0</v>
      </c>
      <c r="T425" s="1">
        <v>0</v>
      </c>
      <c r="U425" s="1">
        <v>0</v>
      </c>
      <c r="V425" s="1" t="str">
        <f t="shared" si="76"/>
        <v>里程返程</v>
      </c>
      <c r="W425" s="1" t="str">
        <f>"0020"</f>
        <v>0020</v>
      </c>
      <c r="X425" s="1" t="s">
        <v>35</v>
      </c>
    </row>
    <row r="426" spans="1:24" x14ac:dyDescent="0.3">
      <c r="A426" s="1" t="str">
        <f t="shared" si="78"/>
        <v>59828</v>
      </c>
      <c r="B426" s="1" t="s">
        <v>23</v>
      </c>
      <c r="C426" s="1" t="s">
        <v>24</v>
      </c>
      <c r="D426" s="1" t="str">
        <f t="shared" si="75"/>
        <v>9801</v>
      </c>
      <c r="E426" s="1" t="s">
        <v>25</v>
      </c>
      <c r="F426" s="1" t="str">
        <f>"1121254629"</f>
        <v>1121254629</v>
      </c>
      <c r="G426" s="1" t="s">
        <v>33</v>
      </c>
      <c r="H426" s="1" t="str">
        <f t="shared" si="79"/>
        <v>20220902</v>
      </c>
      <c r="I426" s="1" t="str">
        <f>"070732"</f>
        <v>070732</v>
      </c>
      <c r="J426" s="1" t="s">
        <v>75</v>
      </c>
      <c r="K426" s="1" t="s">
        <v>45</v>
      </c>
      <c r="L426" s="1" t="str">
        <f t="shared" si="77"/>
        <v>20220902</v>
      </c>
      <c r="M426" s="1" t="str">
        <f>"072144"</f>
        <v>072144</v>
      </c>
      <c r="N426" s="1" t="s">
        <v>28</v>
      </c>
      <c r="O426" s="1" t="s">
        <v>28</v>
      </c>
      <c r="P426" s="1" t="s">
        <v>55</v>
      </c>
      <c r="Q426" s="1">
        <v>25</v>
      </c>
      <c r="R426" s="1">
        <v>25</v>
      </c>
      <c r="S426" s="1">
        <v>0</v>
      </c>
      <c r="T426" s="1">
        <v>0</v>
      </c>
      <c r="U426" s="1">
        <v>0</v>
      </c>
      <c r="V426" s="1" t="str">
        <f t="shared" si="76"/>
        <v>里程返程</v>
      </c>
      <c r="W426" s="1" t="str">
        <f>"0620"</f>
        <v>0620</v>
      </c>
      <c r="X426" s="1" t="s">
        <v>35</v>
      </c>
    </row>
    <row r="427" spans="1:24" x14ac:dyDescent="0.3">
      <c r="A427" s="1" t="str">
        <f t="shared" si="78"/>
        <v>59828</v>
      </c>
      <c r="B427" s="1" t="s">
        <v>23</v>
      </c>
      <c r="C427" s="1" t="s">
        <v>24</v>
      </c>
      <c r="D427" s="1" t="str">
        <f t="shared" si="75"/>
        <v>9801</v>
      </c>
      <c r="E427" s="1" t="s">
        <v>25</v>
      </c>
      <c r="F427" s="1" t="str">
        <f>"92BE6D1352880400C831002000000018"</f>
        <v>92BE6D1352880400C831002000000018</v>
      </c>
      <c r="G427" s="1" t="s">
        <v>59</v>
      </c>
      <c r="H427" s="1" t="str">
        <f t="shared" si="79"/>
        <v>20220902</v>
      </c>
      <c r="I427" s="1" t="str">
        <f>"070751"</f>
        <v>070751</v>
      </c>
      <c r="J427" s="1" t="s">
        <v>75</v>
      </c>
      <c r="K427" s="1" t="s">
        <v>45</v>
      </c>
      <c r="L427" s="1" t="str">
        <f t="shared" si="77"/>
        <v>20220902</v>
      </c>
      <c r="M427" s="1" t="str">
        <f>"072140"</f>
        <v>072140</v>
      </c>
      <c r="N427" s="1" t="s">
        <v>28</v>
      </c>
      <c r="O427" s="1" t="s">
        <v>28</v>
      </c>
      <c r="P427" s="1" t="s">
        <v>55</v>
      </c>
      <c r="Q427" s="1">
        <v>25</v>
      </c>
      <c r="R427" s="1">
        <v>25</v>
      </c>
      <c r="S427" s="1">
        <v>0</v>
      </c>
      <c r="T427" s="1">
        <v>0</v>
      </c>
      <c r="U427" s="1">
        <v>0</v>
      </c>
      <c r="V427" s="1" t="str">
        <f t="shared" si="76"/>
        <v>里程返程</v>
      </c>
      <c r="W427" s="1" t="str">
        <f>"0020"</f>
        <v>0020</v>
      </c>
      <c r="X427" s="1" t="s">
        <v>29</v>
      </c>
    </row>
    <row r="428" spans="1:24" x14ac:dyDescent="0.3">
      <c r="A428" s="1" t="str">
        <f t="shared" si="78"/>
        <v>59828</v>
      </c>
      <c r="B428" s="1" t="s">
        <v>23</v>
      </c>
      <c r="C428" s="1" t="s">
        <v>24</v>
      </c>
      <c r="D428" s="1" t="str">
        <f t="shared" si="75"/>
        <v>9801</v>
      </c>
      <c r="E428" s="1" t="s">
        <v>25</v>
      </c>
      <c r="F428" s="1" t="str">
        <f>"D257BD023A880400C834002000000015"</f>
        <v>D257BD023A880400C834002000000015</v>
      </c>
      <c r="G428" s="1" t="s">
        <v>74</v>
      </c>
      <c r="H428" s="1" t="str">
        <f t="shared" si="79"/>
        <v>20220902</v>
      </c>
      <c r="I428" s="1" t="str">
        <f>"072159"</f>
        <v>072159</v>
      </c>
      <c r="J428" s="1" t="s">
        <v>28</v>
      </c>
      <c r="K428" s="1" t="s">
        <v>28</v>
      </c>
      <c r="L428" s="1" t="str">
        <f t="shared" si="77"/>
        <v>20220902</v>
      </c>
      <c r="M428" s="1" t="str">
        <f>"073348"</f>
        <v>073348</v>
      </c>
      <c r="N428" s="1" t="s">
        <v>67</v>
      </c>
      <c r="O428" s="1" t="s">
        <v>52</v>
      </c>
      <c r="P428" s="1" t="s">
        <v>68</v>
      </c>
      <c r="Q428" s="1">
        <v>13</v>
      </c>
      <c r="R428" s="1">
        <v>0</v>
      </c>
      <c r="S428" s="1">
        <v>0</v>
      </c>
      <c r="T428" s="1">
        <v>13</v>
      </c>
      <c r="U428" s="1">
        <v>0</v>
      </c>
      <c r="V428" s="1" t="str">
        <f t="shared" si="76"/>
        <v>里程返程</v>
      </c>
      <c r="W428" s="1" t="str">
        <f>"0020"</f>
        <v>0020</v>
      </c>
      <c r="X428" s="1" t="s">
        <v>29</v>
      </c>
    </row>
    <row r="429" spans="1:24" x14ac:dyDescent="0.3">
      <c r="A429" s="1" t="str">
        <f t="shared" si="78"/>
        <v>59828</v>
      </c>
      <c r="B429" s="1" t="s">
        <v>23</v>
      </c>
      <c r="C429" s="1" t="s">
        <v>24</v>
      </c>
      <c r="D429" s="1" t="str">
        <f t="shared" si="75"/>
        <v>9801</v>
      </c>
      <c r="E429" s="1" t="s">
        <v>25</v>
      </c>
      <c r="F429" s="1" t="str">
        <f>"F282E40195880400C821002000000015"</f>
        <v>F282E40195880400C821002000000015</v>
      </c>
      <c r="G429" s="1" t="s">
        <v>58</v>
      </c>
      <c r="H429" s="1" t="str">
        <f t="shared" si="79"/>
        <v>20220902</v>
      </c>
      <c r="I429" s="1" t="str">
        <f>"072203"</f>
        <v>072203</v>
      </c>
      <c r="J429" s="1" t="s">
        <v>28</v>
      </c>
      <c r="K429" s="1" t="s">
        <v>28</v>
      </c>
      <c r="L429" s="1" t="str">
        <f t="shared" si="77"/>
        <v>20220902</v>
      </c>
      <c r="M429" s="1" t="str">
        <f>"074751"</f>
        <v>074751</v>
      </c>
      <c r="N429" s="1" t="s">
        <v>65</v>
      </c>
      <c r="O429" s="1" t="s">
        <v>52</v>
      </c>
      <c r="P429" s="1" t="s">
        <v>55</v>
      </c>
      <c r="Q429" s="1">
        <v>25</v>
      </c>
      <c r="R429" s="1">
        <v>0</v>
      </c>
      <c r="S429" s="1">
        <v>25</v>
      </c>
      <c r="T429" s="1">
        <v>0</v>
      </c>
      <c r="U429" s="1">
        <v>0</v>
      </c>
      <c r="V429" s="1" t="str">
        <f t="shared" si="76"/>
        <v>里程返程</v>
      </c>
      <c r="W429" s="1" t="str">
        <f>"0620"</f>
        <v>0620</v>
      </c>
      <c r="X429" s="1" t="s">
        <v>29</v>
      </c>
    </row>
    <row r="430" spans="1:24" x14ac:dyDescent="0.3">
      <c r="A430" s="1" t="str">
        <f t="shared" si="78"/>
        <v>59828</v>
      </c>
      <c r="B430" s="1" t="s">
        <v>23</v>
      </c>
      <c r="C430" s="1" t="s">
        <v>24</v>
      </c>
      <c r="D430" s="1" t="str">
        <f t="shared" si="75"/>
        <v>9801</v>
      </c>
      <c r="E430" s="1" t="s">
        <v>25</v>
      </c>
      <c r="F430" s="1" t="str">
        <f>"62F00B1881880400C814002000000019"</f>
        <v>62F00B1881880400C814002000000019</v>
      </c>
      <c r="G430" s="1" t="s">
        <v>59</v>
      </c>
      <c r="H430" s="1" t="str">
        <f t="shared" si="79"/>
        <v>20220902</v>
      </c>
      <c r="I430" s="1" t="str">
        <f>"072207"</f>
        <v>072207</v>
      </c>
      <c r="J430" s="1" t="s">
        <v>28</v>
      </c>
      <c r="K430" s="1" t="s">
        <v>28</v>
      </c>
      <c r="L430" s="1" t="str">
        <f t="shared" si="77"/>
        <v>20220902</v>
      </c>
      <c r="M430" s="1" t="str">
        <f>"074858"</f>
        <v>074858</v>
      </c>
      <c r="N430" s="1" t="s">
        <v>72</v>
      </c>
      <c r="O430" s="1" t="s">
        <v>52</v>
      </c>
      <c r="P430" s="1" t="s">
        <v>55</v>
      </c>
      <c r="Q430" s="1">
        <v>25</v>
      </c>
      <c r="R430" s="1">
        <v>0</v>
      </c>
      <c r="S430" s="1">
        <v>25</v>
      </c>
      <c r="T430" s="1">
        <v>0</v>
      </c>
      <c r="U430" s="1">
        <v>0</v>
      </c>
      <c r="V430" s="1" t="str">
        <f t="shared" si="76"/>
        <v>里程返程</v>
      </c>
      <c r="W430" s="1" t="str">
        <f>"0620"</f>
        <v>0620</v>
      </c>
      <c r="X430" s="1" t="s">
        <v>29</v>
      </c>
    </row>
    <row r="431" spans="1:24" x14ac:dyDescent="0.3">
      <c r="A431" s="1" t="str">
        <f t="shared" si="78"/>
        <v>59828</v>
      </c>
      <c r="B431" s="1" t="s">
        <v>23</v>
      </c>
      <c r="C431" s="1" t="s">
        <v>24</v>
      </c>
      <c r="D431" s="1" t="str">
        <f t="shared" si="75"/>
        <v>9801</v>
      </c>
      <c r="E431" s="1" t="s">
        <v>25</v>
      </c>
      <c r="F431" s="1" t="str">
        <f>"82730F18E6880400C814002000000019"</f>
        <v>82730F18E6880400C814002000000019</v>
      </c>
      <c r="G431" s="1" t="s">
        <v>59</v>
      </c>
      <c r="H431" s="1" t="str">
        <f t="shared" si="79"/>
        <v>20220902</v>
      </c>
      <c r="I431" s="1" t="str">
        <f>"072211"</f>
        <v>072211</v>
      </c>
      <c r="J431" s="1" t="s">
        <v>28</v>
      </c>
      <c r="K431" s="1" t="s">
        <v>28</v>
      </c>
      <c r="L431" s="1" t="str">
        <f t="shared" si="77"/>
        <v>20220902</v>
      </c>
      <c r="M431" s="1" t="str">
        <f>"074856"</f>
        <v>074856</v>
      </c>
      <c r="N431" s="1" t="s">
        <v>72</v>
      </c>
      <c r="O431" s="1" t="s">
        <v>52</v>
      </c>
      <c r="P431" s="1" t="s">
        <v>55</v>
      </c>
      <c r="Q431" s="1">
        <v>25</v>
      </c>
      <c r="R431" s="1">
        <v>0</v>
      </c>
      <c r="S431" s="1">
        <v>25</v>
      </c>
      <c r="T431" s="1">
        <v>0</v>
      </c>
      <c r="U431" s="1">
        <v>0</v>
      </c>
      <c r="V431" s="1" t="str">
        <f t="shared" si="76"/>
        <v>里程返程</v>
      </c>
      <c r="W431" s="1" t="str">
        <f>"0620"</f>
        <v>0620</v>
      </c>
      <c r="X431" s="1" t="s">
        <v>29</v>
      </c>
    </row>
    <row r="432" spans="1:24" x14ac:dyDescent="0.3">
      <c r="A432" s="1" t="str">
        <f t="shared" si="78"/>
        <v>59828</v>
      </c>
      <c r="B432" s="1" t="s">
        <v>23</v>
      </c>
      <c r="C432" s="1" t="s">
        <v>24</v>
      </c>
      <c r="D432" s="1" t="str">
        <f t="shared" si="75"/>
        <v>9801</v>
      </c>
      <c r="E432" s="1" t="s">
        <v>25</v>
      </c>
      <c r="F432" s="1" t="str">
        <f>"193443265"</f>
        <v>193443265</v>
      </c>
      <c r="G432" s="1" t="s">
        <v>74</v>
      </c>
      <c r="H432" s="1" t="str">
        <f t="shared" si="79"/>
        <v>20220902</v>
      </c>
      <c r="I432" s="1" t="str">
        <f>"081706"</f>
        <v>081706</v>
      </c>
      <c r="J432" s="1" t="s">
        <v>80</v>
      </c>
      <c r="K432" s="1" t="s">
        <v>52</v>
      </c>
      <c r="L432" s="1" t="str">
        <f t="shared" si="77"/>
        <v>20220902</v>
      </c>
      <c r="M432" s="1" t="str">
        <f>"083548"</f>
        <v>083548</v>
      </c>
      <c r="N432" s="1" t="s">
        <v>70</v>
      </c>
      <c r="O432" s="1" t="s">
        <v>28</v>
      </c>
      <c r="P432" s="1" t="s">
        <v>55</v>
      </c>
      <c r="Q432" s="1">
        <v>13</v>
      </c>
      <c r="R432" s="1">
        <v>13</v>
      </c>
      <c r="S432" s="1">
        <v>0</v>
      </c>
      <c r="T432" s="1">
        <v>0</v>
      </c>
      <c r="U432" s="1">
        <v>0</v>
      </c>
      <c r="V432" s="1" t="str">
        <f>"里程去程"</f>
        <v>里程去程</v>
      </c>
      <c r="W432" s="1" t="str">
        <f>"0820"</f>
        <v>0820</v>
      </c>
      <c r="X432" s="1" t="s">
        <v>35</v>
      </c>
    </row>
    <row r="433" spans="1:24" x14ac:dyDescent="0.3">
      <c r="A433" s="1" t="str">
        <f t="shared" si="78"/>
        <v>59828</v>
      </c>
      <c r="B433" s="1" t="s">
        <v>23</v>
      </c>
      <c r="C433" s="1" t="s">
        <v>24</v>
      </c>
      <c r="D433" s="1" t="str">
        <f t="shared" si="75"/>
        <v>9801</v>
      </c>
      <c r="E433" s="1" t="s">
        <v>25</v>
      </c>
      <c r="F433" s="1" t="str">
        <f>"1251E618BD880400C821002000000019"</f>
        <v>1251E618BD880400C821002000000019</v>
      </c>
      <c r="G433" s="1" t="s">
        <v>58</v>
      </c>
      <c r="H433" s="1" t="str">
        <f t="shared" si="79"/>
        <v>20220902</v>
      </c>
      <c r="I433" s="1" t="str">
        <f>"092617"</f>
        <v>092617</v>
      </c>
      <c r="J433" s="1" t="s">
        <v>83</v>
      </c>
      <c r="K433" s="1" t="s">
        <v>52</v>
      </c>
      <c r="L433" s="1" t="str">
        <f t="shared" si="77"/>
        <v>20220902</v>
      </c>
      <c r="M433" s="1" t="str">
        <f>"095600"</f>
        <v>095600</v>
      </c>
      <c r="N433" s="1" t="s">
        <v>91</v>
      </c>
      <c r="O433" s="1" t="s">
        <v>45</v>
      </c>
      <c r="P433" s="1" t="s">
        <v>55</v>
      </c>
      <c r="Q433" s="1">
        <v>50</v>
      </c>
      <c r="R433" s="1">
        <v>50</v>
      </c>
      <c r="S433" s="1">
        <v>0</v>
      </c>
      <c r="T433" s="1">
        <v>0</v>
      </c>
      <c r="U433" s="1">
        <v>0</v>
      </c>
      <c r="V433" s="1" t="str">
        <f>"里程去程"</f>
        <v>里程去程</v>
      </c>
      <c r="W433" s="1" t="str">
        <f>"0020"</f>
        <v>0020</v>
      </c>
      <c r="X433" s="1" t="s">
        <v>29</v>
      </c>
    </row>
    <row r="434" spans="1:24" x14ac:dyDescent="0.3">
      <c r="A434" s="1" t="str">
        <f t="shared" si="78"/>
        <v>59828</v>
      </c>
      <c r="B434" s="1" t="s">
        <v>23</v>
      </c>
      <c r="C434" s="1" t="s">
        <v>24</v>
      </c>
      <c r="D434" s="1" t="str">
        <f t="shared" si="75"/>
        <v>9801</v>
      </c>
      <c r="E434" s="1" t="s">
        <v>25</v>
      </c>
      <c r="F434" s="1" t="str">
        <f>"1633695205"</f>
        <v>1633695205</v>
      </c>
      <c r="G434" s="1" t="s">
        <v>33</v>
      </c>
      <c r="H434" s="1" t="str">
        <f t="shared" si="79"/>
        <v>20220902</v>
      </c>
      <c r="I434" s="1" t="str">
        <f>"092620"</f>
        <v>092620</v>
      </c>
      <c r="J434" s="1" t="s">
        <v>83</v>
      </c>
      <c r="K434" s="1" t="s">
        <v>52</v>
      </c>
      <c r="L434" s="1" t="str">
        <f t="shared" si="77"/>
        <v>20220902</v>
      </c>
      <c r="M434" s="1" t="str">
        <f>"095556"</f>
        <v>095556</v>
      </c>
      <c r="N434" s="1" t="s">
        <v>91</v>
      </c>
      <c r="O434" s="1" t="s">
        <v>45</v>
      </c>
      <c r="P434" s="1" t="s">
        <v>55</v>
      </c>
      <c r="Q434" s="1">
        <v>50</v>
      </c>
      <c r="R434" s="1">
        <v>50</v>
      </c>
      <c r="S434" s="1">
        <v>0</v>
      </c>
      <c r="T434" s="1">
        <v>0</v>
      </c>
      <c r="U434" s="1">
        <v>0</v>
      </c>
      <c r="V434" s="1" t="str">
        <f>"里程去程"</f>
        <v>里程去程</v>
      </c>
      <c r="W434" s="1" t="str">
        <f>"0820"</f>
        <v>0820</v>
      </c>
      <c r="X434" s="1" t="s">
        <v>35</v>
      </c>
    </row>
    <row r="435" spans="1:24" x14ac:dyDescent="0.3">
      <c r="A435" s="1" t="str">
        <f t="shared" si="78"/>
        <v>59828</v>
      </c>
      <c r="B435" s="1" t="s">
        <v>23</v>
      </c>
      <c r="C435" s="1" t="s">
        <v>24</v>
      </c>
      <c r="D435" s="1" t="str">
        <f t="shared" si="75"/>
        <v>9801</v>
      </c>
      <c r="E435" s="1" t="s">
        <v>25</v>
      </c>
      <c r="F435" s="1" t="str">
        <f>"E1687444B9280400F700000000000000"</f>
        <v>E1687444B9280400F700000000000000</v>
      </c>
      <c r="G435" s="1" t="s">
        <v>58</v>
      </c>
      <c r="H435" s="1" t="str">
        <f t="shared" si="79"/>
        <v>20220902</v>
      </c>
      <c r="I435" s="1" t="str">
        <f>"092631"</f>
        <v>092631</v>
      </c>
      <c r="J435" s="1" t="s">
        <v>83</v>
      </c>
      <c r="K435" s="1" t="s">
        <v>52</v>
      </c>
      <c r="L435" s="1" t="str">
        <f t="shared" si="77"/>
        <v>20220902</v>
      </c>
      <c r="M435" s="1" t="str">
        <f>"095545"</f>
        <v>095545</v>
      </c>
      <c r="N435" s="1" t="s">
        <v>91</v>
      </c>
      <c r="O435" s="1" t="s">
        <v>45</v>
      </c>
      <c r="P435" s="1" t="s">
        <v>55</v>
      </c>
      <c r="Q435" s="1">
        <v>50</v>
      </c>
      <c r="R435" s="1">
        <v>50</v>
      </c>
      <c r="S435" s="1">
        <v>0</v>
      </c>
      <c r="T435" s="1">
        <v>0</v>
      </c>
      <c r="U435" s="1">
        <v>0</v>
      </c>
      <c r="V435" s="1" t="str">
        <f>"里程去程"</f>
        <v>里程去程</v>
      </c>
      <c r="W435" s="1" t="str">
        <f>"0020"</f>
        <v>0020</v>
      </c>
      <c r="X435" s="1" t="s">
        <v>29</v>
      </c>
    </row>
    <row r="436" spans="1:24" x14ac:dyDescent="0.3">
      <c r="A436" s="1" t="str">
        <f t="shared" si="78"/>
        <v>59828</v>
      </c>
      <c r="B436" s="1" t="s">
        <v>23</v>
      </c>
      <c r="C436" s="1" t="s">
        <v>24</v>
      </c>
      <c r="D436" s="1" t="str">
        <f t="shared" si="75"/>
        <v>9801</v>
      </c>
      <c r="E436" s="1" t="s">
        <v>25</v>
      </c>
      <c r="F436" s="1" t="str">
        <f>"566510797"</f>
        <v>566510797</v>
      </c>
      <c r="G436" s="1" t="s">
        <v>33</v>
      </c>
      <c r="H436" s="1" t="str">
        <f t="shared" si="79"/>
        <v>20220902</v>
      </c>
      <c r="I436" s="1" t="str">
        <f>"093453"</f>
        <v>093453</v>
      </c>
      <c r="J436" s="1" t="s">
        <v>27</v>
      </c>
      <c r="K436" s="1" t="s">
        <v>28</v>
      </c>
      <c r="L436" s="1" t="str">
        <f t="shared" si="77"/>
        <v>20220902</v>
      </c>
      <c r="M436" s="1" t="str">
        <f>"095353"</f>
        <v>095353</v>
      </c>
      <c r="N436" s="1" t="s">
        <v>75</v>
      </c>
      <c r="O436" s="1" t="s">
        <v>45</v>
      </c>
      <c r="P436" s="1" t="s">
        <v>55</v>
      </c>
      <c r="Q436" s="1">
        <v>25</v>
      </c>
      <c r="R436" s="1">
        <v>25</v>
      </c>
      <c r="S436" s="1">
        <v>0</v>
      </c>
      <c r="T436" s="1">
        <v>0</v>
      </c>
      <c r="U436" s="1">
        <v>0</v>
      </c>
      <c r="V436" s="1" t="str">
        <f>"里程去程"</f>
        <v>里程去程</v>
      </c>
      <c r="W436" s="1" t="str">
        <f>"0920"</f>
        <v>0920</v>
      </c>
      <c r="X436" s="1" t="s">
        <v>35</v>
      </c>
    </row>
    <row r="437" spans="1:24" x14ac:dyDescent="0.3">
      <c r="A437" s="1" t="str">
        <f t="shared" si="78"/>
        <v>59828</v>
      </c>
      <c r="B437" s="1" t="s">
        <v>23</v>
      </c>
      <c r="C437" s="1" t="s">
        <v>24</v>
      </c>
      <c r="D437" s="1" t="str">
        <f t="shared" si="75"/>
        <v>9801</v>
      </c>
      <c r="E437" s="1" t="s">
        <v>25</v>
      </c>
      <c r="F437" s="1" t="str">
        <f>"879807136"</f>
        <v>879807136</v>
      </c>
      <c r="G437" s="1" t="s">
        <v>33</v>
      </c>
      <c r="H437" s="1" t="str">
        <f t="shared" si="79"/>
        <v>20220902</v>
      </c>
      <c r="I437" s="1" t="str">
        <f>"125119"</f>
        <v>125119</v>
      </c>
      <c r="J437" s="1" t="s">
        <v>28</v>
      </c>
      <c r="K437" s="1" t="s">
        <v>28</v>
      </c>
      <c r="L437" s="1" t="str">
        <f t="shared" si="77"/>
        <v>20220902</v>
      </c>
      <c r="M437" s="1" t="str">
        <f>"130635"</f>
        <v>130635</v>
      </c>
      <c r="N437" s="1" t="s">
        <v>67</v>
      </c>
      <c r="O437" s="1" t="s">
        <v>52</v>
      </c>
      <c r="P437" s="1" t="s">
        <v>55</v>
      </c>
      <c r="Q437" s="1">
        <v>25</v>
      </c>
      <c r="R437" s="1">
        <v>25</v>
      </c>
      <c r="S437" s="1">
        <v>0</v>
      </c>
      <c r="T437" s="1">
        <v>0</v>
      </c>
      <c r="U437" s="1">
        <v>0</v>
      </c>
      <c r="V437" s="1" t="str">
        <f t="shared" ref="V437:V450" si="80">"里程返程"</f>
        <v>里程返程</v>
      </c>
      <c r="W437" s="1" t="str">
        <f>"0820"</f>
        <v>0820</v>
      </c>
      <c r="X437" s="1" t="s">
        <v>35</v>
      </c>
    </row>
    <row r="438" spans="1:24" x14ac:dyDescent="0.3">
      <c r="A438" s="1" t="str">
        <f t="shared" si="78"/>
        <v>59828</v>
      </c>
      <c r="B438" s="1" t="s">
        <v>23</v>
      </c>
      <c r="C438" s="1" t="s">
        <v>24</v>
      </c>
      <c r="D438" s="1" t="str">
        <f t="shared" si="75"/>
        <v>9801</v>
      </c>
      <c r="E438" s="1" t="s">
        <v>25</v>
      </c>
      <c r="F438" s="1" t="str">
        <f>"41AE265D948804004325C3F900090C0F"</f>
        <v>41AE265D948804004325C3F900090C0F</v>
      </c>
      <c r="G438" s="1" t="s">
        <v>26</v>
      </c>
      <c r="H438" s="1" t="str">
        <f t="shared" si="79"/>
        <v>20220902</v>
      </c>
      <c r="I438" s="1" t="str">
        <f>"125126"</f>
        <v>125126</v>
      </c>
      <c r="J438" s="1" t="s">
        <v>28</v>
      </c>
      <c r="K438" s="1" t="s">
        <v>28</v>
      </c>
      <c r="L438" s="1" t="str">
        <f t="shared" si="77"/>
        <v>20220902</v>
      </c>
      <c r="M438" s="1" t="str">
        <f>"132524"</f>
        <v>132524</v>
      </c>
      <c r="N438" s="1" t="s">
        <v>52</v>
      </c>
      <c r="O438" s="1" t="s">
        <v>52</v>
      </c>
      <c r="P438" s="1" t="s">
        <v>55</v>
      </c>
      <c r="Q438" s="1">
        <v>13</v>
      </c>
      <c r="R438" s="1">
        <v>13</v>
      </c>
      <c r="S438" s="1">
        <v>0</v>
      </c>
      <c r="T438" s="1">
        <v>0</v>
      </c>
      <c r="U438" s="1">
        <v>0</v>
      </c>
      <c r="V438" s="1" t="str">
        <f t="shared" si="80"/>
        <v>里程返程</v>
      </c>
      <c r="W438" s="1" t="str">
        <f>"0020"</f>
        <v>0020</v>
      </c>
      <c r="X438" s="1" t="s">
        <v>29</v>
      </c>
    </row>
    <row r="439" spans="1:24" x14ac:dyDescent="0.3">
      <c r="A439" s="1" t="str">
        <f t="shared" si="78"/>
        <v>59828</v>
      </c>
      <c r="B439" s="1" t="s">
        <v>23</v>
      </c>
      <c r="C439" s="1" t="s">
        <v>24</v>
      </c>
      <c r="D439" s="1" t="str">
        <f t="shared" si="75"/>
        <v>9801</v>
      </c>
      <c r="E439" s="1" t="s">
        <v>25</v>
      </c>
      <c r="F439" s="1" t="str">
        <f>"82B8F802C0880400C834002000000015"</f>
        <v>82B8F802C0880400C834002000000015</v>
      </c>
      <c r="G439" s="1" t="s">
        <v>58</v>
      </c>
      <c r="H439" s="1" t="str">
        <f t="shared" si="79"/>
        <v>20220902</v>
      </c>
      <c r="I439" s="1" t="str">
        <f>"125212"</f>
        <v>125212</v>
      </c>
      <c r="J439" s="1" t="s">
        <v>28</v>
      </c>
      <c r="K439" s="1" t="s">
        <v>28</v>
      </c>
      <c r="L439" s="1" t="str">
        <f t="shared" si="77"/>
        <v>20220902</v>
      </c>
      <c r="M439" s="1" t="str">
        <f>"130753"</f>
        <v>130753</v>
      </c>
      <c r="N439" s="1" t="s">
        <v>78</v>
      </c>
      <c r="O439" s="1" t="s">
        <v>52</v>
      </c>
      <c r="P439" s="1" t="s">
        <v>55</v>
      </c>
      <c r="Q439" s="1">
        <v>25</v>
      </c>
      <c r="R439" s="1">
        <v>0</v>
      </c>
      <c r="S439" s="1">
        <v>25</v>
      </c>
      <c r="T439" s="1">
        <v>0</v>
      </c>
      <c r="U439" s="1">
        <v>0</v>
      </c>
      <c r="V439" s="1" t="str">
        <f t="shared" si="80"/>
        <v>里程返程</v>
      </c>
      <c r="W439" s="1" t="str">
        <f>"2020"</f>
        <v>2020</v>
      </c>
      <c r="X439" s="1" t="s">
        <v>29</v>
      </c>
    </row>
    <row r="440" spans="1:24" x14ac:dyDescent="0.3">
      <c r="A440" s="1" t="str">
        <f t="shared" si="78"/>
        <v>59828</v>
      </c>
      <c r="B440" s="1" t="s">
        <v>23</v>
      </c>
      <c r="C440" s="1" t="s">
        <v>24</v>
      </c>
      <c r="D440" s="1" t="str">
        <f t="shared" si="75"/>
        <v>9801</v>
      </c>
      <c r="E440" s="1" t="s">
        <v>25</v>
      </c>
      <c r="F440" s="1" t="str">
        <f>"02E43A13CF28040080CED9985D913018"</f>
        <v>02E43A13CF28040080CED9985D913018</v>
      </c>
      <c r="G440" s="1" t="s">
        <v>58</v>
      </c>
      <c r="H440" s="1" t="str">
        <f t="shared" si="79"/>
        <v>20220902</v>
      </c>
      <c r="I440" s="1" t="str">
        <f>"125218"</f>
        <v>125218</v>
      </c>
      <c r="J440" s="1" t="s">
        <v>28</v>
      </c>
      <c r="K440" s="1" t="s">
        <v>28</v>
      </c>
      <c r="L440" s="1" t="str">
        <f t="shared" si="77"/>
        <v>20220902</v>
      </c>
      <c r="M440" s="1" t="str">
        <f>"130756"</f>
        <v>130756</v>
      </c>
      <c r="N440" s="1" t="s">
        <v>78</v>
      </c>
      <c r="O440" s="1" t="s">
        <v>52</v>
      </c>
      <c r="P440" s="1" t="s">
        <v>55</v>
      </c>
      <c r="Q440" s="1">
        <v>25</v>
      </c>
      <c r="R440" s="1">
        <v>0</v>
      </c>
      <c r="S440" s="1">
        <v>25</v>
      </c>
      <c r="T440" s="1">
        <v>0</v>
      </c>
      <c r="U440" s="1">
        <v>0</v>
      </c>
      <c r="V440" s="1" t="str">
        <f t="shared" si="80"/>
        <v>里程返程</v>
      </c>
      <c r="W440" s="1" t="str">
        <f>"2020"</f>
        <v>2020</v>
      </c>
      <c r="X440" s="1" t="s">
        <v>29</v>
      </c>
    </row>
    <row r="441" spans="1:24" x14ac:dyDescent="0.3">
      <c r="A441" s="1" t="str">
        <f t="shared" si="78"/>
        <v>59828</v>
      </c>
      <c r="B441" s="1" t="s">
        <v>23</v>
      </c>
      <c r="C441" s="1" t="s">
        <v>24</v>
      </c>
      <c r="D441" s="1" t="str">
        <f t="shared" si="75"/>
        <v>9801</v>
      </c>
      <c r="E441" s="1" t="s">
        <v>25</v>
      </c>
      <c r="F441" s="1" t="str">
        <f>"89946705"</f>
        <v>89946705</v>
      </c>
      <c r="G441" s="1" t="s">
        <v>33</v>
      </c>
      <c r="H441" s="1" t="str">
        <f t="shared" si="79"/>
        <v>20220902</v>
      </c>
      <c r="I441" s="1" t="str">
        <f>"125245"</f>
        <v>125245</v>
      </c>
      <c r="J441" s="1" t="s">
        <v>28</v>
      </c>
      <c r="K441" s="1" t="s">
        <v>28</v>
      </c>
      <c r="L441" s="1" t="str">
        <f t="shared" si="77"/>
        <v>20220902</v>
      </c>
      <c r="M441" s="1" t="str">
        <f>"132527"</f>
        <v>132527</v>
      </c>
      <c r="N441" s="1" t="s">
        <v>52</v>
      </c>
      <c r="O441" s="1" t="s">
        <v>52</v>
      </c>
      <c r="P441" s="1" t="s">
        <v>55</v>
      </c>
      <c r="Q441" s="1">
        <v>25</v>
      </c>
      <c r="R441" s="1">
        <v>25</v>
      </c>
      <c r="S441" s="1">
        <v>0</v>
      </c>
      <c r="T441" s="1">
        <v>0</v>
      </c>
      <c r="U441" s="1">
        <v>0</v>
      </c>
      <c r="V441" s="1" t="str">
        <f t="shared" si="80"/>
        <v>里程返程</v>
      </c>
      <c r="W441" s="1" t="str">
        <f>"0120"</f>
        <v>0120</v>
      </c>
      <c r="X441" s="1" t="s">
        <v>35</v>
      </c>
    </row>
    <row r="442" spans="1:24" x14ac:dyDescent="0.3">
      <c r="A442" s="1" t="str">
        <f t="shared" si="78"/>
        <v>59828</v>
      </c>
      <c r="B442" s="1" t="s">
        <v>23</v>
      </c>
      <c r="C442" s="1" t="s">
        <v>24</v>
      </c>
      <c r="D442" s="1" t="str">
        <f t="shared" si="75"/>
        <v>9801</v>
      </c>
      <c r="E442" s="1" t="s">
        <v>25</v>
      </c>
      <c r="F442" s="1" t="str">
        <f>"E220D10211880400C834002000000015"</f>
        <v>E220D10211880400C834002000000015</v>
      </c>
      <c r="G442" s="1" t="s">
        <v>74</v>
      </c>
      <c r="H442" s="1" t="str">
        <f t="shared" si="79"/>
        <v>20220902</v>
      </c>
      <c r="I442" s="1" t="str">
        <f>"131449"</f>
        <v>131449</v>
      </c>
      <c r="J442" s="1" t="s">
        <v>97</v>
      </c>
      <c r="K442" s="1" t="s">
        <v>52</v>
      </c>
      <c r="L442" s="1" t="str">
        <f t="shared" si="77"/>
        <v>20220902</v>
      </c>
      <c r="M442" s="1" t="str">
        <f>"131644"</f>
        <v>131644</v>
      </c>
      <c r="N442" s="1" t="s">
        <v>65</v>
      </c>
      <c r="O442" s="1" t="s">
        <v>52</v>
      </c>
      <c r="P442" s="1" t="s">
        <v>68</v>
      </c>
      <c r="Q442" s="1">
        <v>13</v>
      </c>
      <c r="R442" s="1">
        <v>0</v>
      </c>
      <c r="S442" s="1">
        <v>0</v>
      </c>
      <c r="T442" s="1">
        <v>13</v>
      </c>
      <c r="U442" s="1">
        <v>0</v>
      </c>
      <c r="V442" s="1" t="str">
        <f t="shared" si="80"/>
        <v>里程返程</v>
      </c>
      <c r="W442" s="1" t="str">
        <f>"0020"</f>
        <v>0020</v>
      </c>
      <c r="X442" s="1" t="s">
        <v>29</v>
      </c>
    </row>
    <row r="443" spans="1:24" x14ac:dyDescent="0.3">
      <c r="A443" s="1" t="str">
        <f t="shared" si="78"/>
        <v>59828</v>
      </c>
      <c r="B443" s="1" t="s">
        <v>23</v>
      </c>
      <c r="C443" s="1" t="s">
        <v>24</v>
      </c>
      <c r="D443" s="1" t="str">
        <f t="shared" si="75"/>
        <v>9801</v>
      </c>
      <c r="E443" s="1" t="s">
        <v>25</v>
      </c>
      <c r="F443" s="1" t="str">
        <f>"2651777679"</f>
        <v>2651777679</v>
      </c>
      <c r="G443" s="1" t="s">
        <v>33</v>
      </c>
      <c r="H443" s="1" t="str">
        <f t="shared" si="79"/>
        <v>20220902</v>
      </c>
      <c r="I443" s="1" t="str">
        <f>"142934"</f>
        <v>142934</v>
      </c>
      <c r="J443" s="1" t="s">
        <v>44</v>
      </c>
      <c r="K443" s="1" t="s">
        <v>45</v>
      </c>
      <c r="L443" s="1" t="str">
        <f t="shared" si="77"/>
        <v>20220902</v>
      </c>
      <c r="M443" s="1" t="str">
        <f>"145108"</f>
        <v>145108</v>
      </c>
      <c r="N443" s="1" t="s">
        <v>28</v>
      </c>
      <c r="O443" s="1" t="s">
        <v>28</v>
      </c>
      <c r="P443" s="1" t="s">
        <v>55</v>
      </c>
      <c r="Q443" s="1">
        <v>25</v>
      </c>
      <c r="R443" s="1">
        <v>25</v>
      </c>
      <c r="S443" s="1">
        <v>0</v>
      </c>
      <c r="T443" s="1">
        <v>0</v>
      </c>
      <c r="U443" s="1">
        <v>0</v>
      </c>
      <c r="V443" s="1" t="str">
        <f t="shared" si="80"/>
        <v>里程返程</v>
      </c>
      <c r="W443" s="1" t="str">
        <f>"0620"</f>
        <v>0620</v>
      </c>
      <c r="X443" s="1" t="s">
        <v>35</v>
      </c>
    </row>
    <row r="444" spans="1:24" x14ac:dyDescent="0.3">
      <c r="A444" s="1" t="str">
        <f t="shared" si="78"/>
        <v>59828</v>
      </c>
      <c r="B444" s="1" t="s">
        <v>23</v>
      </c>
      <c r="C444" s="1" t="s">
        <v>24</v>
      </c>
      <c r="D444" s="1" t="str">
        <f t="shared" si="75"/>
        <v>9801</v>
      </c>
      <c r="E444" s="1" t="s">
        <v>25</v>
      </c>
      <c r="F444" s="1" t="str">
        <f>"1038806837"</f>
        <v>1038806837</v>
      </c>
      <c r="G444" s="1" t="s">
        <v>38</v>
      </c>
      <c r="H444" s="1" t="str">
        <f t="shared" si="79"/>
        <v>20220902</v>
      </c>
      <c r="I444" s="1" t="str">
        <f>"143213"</f>
        <v>143213</v>
      </c>
      <c r="J444" s="1" t="s">
        <v>44</v>
      </c>
      <c r="K444" s="1" t="s">
        <v>45</v>
      </c>
      <c r="L444" s="1" t="str">
        <f t="shared" si="77"/>
        <v>20220902</v>
      </c>
      <c r="M444" s="1" t="str">
        <f>"145115"</f>
        <v>145115</v>
      </c>
      <c r="N444" s="1" t="s">
        <v>28</v>
      </c>
      <c r="O444" s="1" t="s">
        <v>28</v>
      </c>
      <c r="P444" s="1" t="s">
        <v>55</v>
      </c>
      <c r="Q444" s="1">
        <v>25</v>
      </c>
      <c r="R444" s="1">
        <v>25</v>
      </c>
      <c r="S444" s="1">
        <v>0</v>
      </c>
      <c r="T444" s="1">
        <v>0</v>
      </c>
      <c r="U444" s="1">
        <v>0</v>
      </c>
      <c r="V444" s="1" t="str">
        <f t="shared" si="80"/>
        <v>里程返程</v>
      </c>
      <c r="W444" s="1" t="str">
        <f>"2020"</f>
        <v>2020</v>
      </c>
      <c r="X444" s="1" t="s">
        <v>35</v>
      </c>
    </row>
    <row r="445" spans="1:24" x14ac:dyDescent="0.3">
      <c r="A445" s="1" t="str">
        <f t="shared" si="78"/>
        <v>59828</v>
      </c>
      <c r="B445" s="1" t="s">
        <v>23</v>
      </c>
      <c r="C445" s="1" t="s">
        <v>24</v>
      </c>
      <c r="D445" s="1" t="str">
        <f t="shared" si="75"/>
        <v>9801</v>
      </c>
      <c r="E445" s="1" t="s">
        <v>25</v>
      </c>
      <c r="F445" s="1" t="str">
        <f>"1102101509"</f>
        <v>1102101509</v>
      </c>
      <c r="G445" s="1" t="s">
        <v>38</v>
      </c>
      <c r="H445" s="1" t="str">
        <f t="shared" si="79"/>
        <v>20220902</v>
      </c>
      <c r="I445" s="1" t="str">
        <f>"143216"</f>
        <v>143216</v>
      </c>
      <c r="J445" s="1" t="s">
        <v>44</v>
      </c>
      <c r="K445" s="1" t="s">
        <v>45</v>
      </c>
      <c r="L445" s="1" t="str">
        <f t="shared" si="77"/>
        <v>20220902</v>
      </c>
      <c r="M445" s="1" t="str">
        <f>"145118"</f>
        <v>145118</v>
      </c>
      <c r="N445" s="1" t="s">
        <v>28</v>
      </c>
      <c r="O445" s="1" t="s">
        <v>28</v>
      </c>
      <c r="P445" s="1" t="s">
        <v>55</v>
      </c>
      <c r="Q445" s="1">
        <v>25</v>
      </c>
      <c r="R445" s="1">
        <v>25</v>
      </c>
      <c r="S445" s="1">
        <v>0</v>
      </c>
      <c r="T445" s="1">
        <v>0</v>
      </c>
      <c r="U445" s="1">
        <v>0</v>
      </c>
      <c r="V445" s="1" t="str">
        <f t="shared" si="80"/>
        <v>里程返程</v>
      </c>
      <c r="W445" s="1" t="str">
        <f>"2020"</f>
        <v>2020</v>
      </c>
      <c r="X445" s="1" t="s">
        <v>35</v>
      </c>
    </row>
    <row r="446" spans="1:24" x14ac:dyDescent="0.3">
      <c r="A446" s="1" t="str">
        <f t="shared" si="78"/>
        <v>59828</v>
      </c>
      <c r="B446" s="1" t="s">
        <v>23</v>
      </c>
      <c r="C446" s="1" t="s">
        <v>24</v>
      </c>
      <c r="D446" s="1" t="str">
        <f t="shared" si="75"/>
        <v>9801</v>
      </c>
      <c r="E446" s="1" t="s">
        <v>25</v>
      </c>
      <c r="F446" s="1" t="str">
        <f>"72C3A51602880400C814002000000019"</f>
        <v>72C3A51602880400C814002000000019</v>
      </c>
      <c r="G446" s="1" t="s">
        <v>64</v>
      </c>
      <c r="H446" s="1" t="str">
        <f t="shared" si="79"/>
        <v>20220902</v>
      </c>
      <c r="I446" s="1" t="str">
        <f>"152816"</f>
        <v>152816</v>
      </c>
      <c r="J446" s="1" t="s">
        <v>44</v>
      </c>
      <c r="K446" s="1" t="s">
        <v>45</v>
      </c>
      <c r="L446" s="1" t="str">
        <f t="shared" si="77"/>
        <v>20220902</v>
      </c>
      <c r="M446" s="1" t="str">
        <f>"154921"</f>
        <v>154921</v>
      </c>
      <c r="N446" s="1" t="s">
        <v>28</v>
      </c>
      <c r="O446" s="1" t="s">
        <v>28</v>
      </c>
      <c r="P446" s="1" t="s">
        <v>55</v>
      </c>
      <c r="Q446" s="1">
        <v>13</v>
      </c>
      <c r="R446" s="1">
        <v>0</v>
      </c>
      <c r="S446" s="1">
        <v>13</v>
      </c>
      <c r="T446" s="1">
        <v>0</v>
      </c>
      <c r="U446" s="1">
        <v>0</v>
      </c>
      <c r="V446" s="1" t="str">
        <f t="shared" si="80"/>
        <v>里程返程</v>
      </c>
      <c r="W446" s="1" t="str">
        <f>"1120"</f>
        <v>1120</v>
      </c>
      <c r="X446" s="1" t="s">
        <v>29</v>
      </c>
    </row>
    <row r="447" spans="1:24" x14ac:dyDescent="0.3">
      <c r="A447" s="1" t="str">
        <f t="shared" si="78"/>
        <v>59828</v>
      </c>
      <c r="B447" s="1" t="s">
        <v>23</v>
      </c>
      <c r="C447" s="1" t="s">
        <v>24</v>
      </c>
      <c r="D447" s="1" t="str">
        <f t="shared" si="75"/>
        <v>9801</v>
      </c>
      <c r="E447" s="1" t="s">
        <v>25</v>
      </c>
      <c r="F447" s="1" t="str">
        <f>"817054238688040043281482000F0112"</f>
        <v>817054238688040043281482000F0112</v>
      </c>
      <c r="G447" s="1" t="s">
        <v>64</v>
      </c>
      <c r="H447" s="1" t="str">
        <f t="shared" si="79"/>
        <v>20220902</v>
      </c>
      <c r="I447" s="1" t="str">
        <f>"152824"</f>
        <v>152824</v>
      </c>
      <c r="J447" s="1" t="s">
        <v>44</v>
      </c>
      <c r="K447" s="1" t="s">
        <v>45</v>
      </c>
      <c r="L447" s="1" t="str">
        <f t="shared" si="77"/>
        <v>20220902</v>
      </c>
      <c r="M447" s="1" t="str">
        <f>"154923"</f>
        <v>154923</v>
      </c>
      <c r="N447" s="1" t="s">
        <v>28</v>
      </c>
      <c r="O447" s="1" t="s">
        <v>28</v>
      </c>
      <c r="P447" s="1" t="s">
        <v>55</v>
      </c>
      <c r="Q447" s="1">
        <v>13</v>
      </c>
      <c r="R447" s="1">
        <v>0</v>
      </c>
      <c r="S447" s="1">
        <v>13</v>
      </c>
      <c r="T447" s="1">
        <v>0</v>
      </c>
      <c r="U447" s="1">
        <v>0</v>
      </c>
      <c r="V447" s="1" t="str">
        <f t="shared" si="80"/>
        <v>里程返程</v>
      </c>
      <c r="W447" s="1" t="str">
        <f>"1120"</f>
        <v>1120</v>
      </c>
      <c r="X447" s="1" t="s">
        <v>29</v>
      </c>
    </row>
    <row r="448" spans="1:24" x14ac:dyDescent="0.3">
      <c r="A448" s="1" t="str">
        <f t="shared" si="78"/>
        <v>59828</v>
      </c>
      <c r="B448" s="1" t="s">
        <v>23</v>
      </c>
      <c r="C448" s="1" t="s">
        <v>24</v>
      </c>
      <c r="D448" s="1" t="str">
        <f t="shared" si="75"/>
        <v>9801</v>
      </c>
      <c r="E448" s="1" t="s">
        <v>25</v>
      </c>
      <c r="F448" s="1" t="str">
        <f>"42AFE60209880400C834002000000015"</f>
        <v>42AFE60209880400C834002000000015</v>
      </c>
      <c r="G448" s="1" t="s">
        <v>74</v>
      </c>
      <c r="H448" s="1" t="str">
        <f t="shared" si="79"/>
        <v>20220902</v>
      </c>
      <c r="I448" s="1" t="str">
        <f>"161503"</f>
        <v>161503</v>
      </c>
      <c r="J448" s="1" t="s">
        <v>80</v>
      </c>
      <c r="K448" s="1" t="s">
        <v>52</v>
      </c>
      <c r="L448" s="1" t="str">
        <f t="shared" si="77"/>
        <v>20220902</v>
      </c>
      <c r="M448" s="1" t="str">
        <f>"163027"</f>
        <v>163027</v>
      </c>
      <c r="N448" s="1" t="s">
        <v>52</v>
      </c>
      <c r="O448" s="1" t="s">
        <v>52</v>
      </c>
      <c r="P448" s="1" t="s">
        <v>68</v>
      </c>
      <c r="Q448" s="1">
        <v>13</v>
      </c>
      <c r="R448" s="1">
        <v>0</v>
      </c>
      <c r="S448" s="1">
        <v>0</v>
      </c>
      <c r="T448" s="1">
        <v>13</v>
      </c>
      <c r="U448" s="1">
        <v>0</v>
      </c>
      <c r="V448" s="1" t="str">
        <f t="shared" si="80"/>
        <v>里程返程</v>
      </c>
      <c r="W448" s="1" t="str">
        <f>"0020"</f>
        <v>0020</v>
      </c>
      <c r="X448" s="1" t="s">
        <v>29</v>
      </c>
    </row>
    <row r="449" spans="1:24" x14ac:dyDescent="0.3">
      <c r="A449" s="1" t="str">
        <f t="shared" si="78"/>
        <v>59828</v>
      </c>
      <c r="B449" s="1" t="s">
        <v>23</v>
      </c>
      <c r="C449" s="1" t="s">
        <v>24</v>
      </c>
      <c r="D449" s="1" t="str">
        <f t="shared" si="75"/>
        <v>9801</v>
      </c>
      <c r="E449" s="1" t="s">
        <v>25</v>
      </c>
      <c r="F449" s="1" t="str">
        <f>"540148081"</f>
        <v>540148081</v>
      </c>
      <c r="G449" s="1" t="s">
        <v>74</v>
      </c>
      <c r="H449" s="1" t="str">
        <f t="shared" si="79"/>
        <v>20220902</v>
      </c>
      <c r="I449" s="1" t="str">
        <f>"164051"</f>
        <v>164051</v>
      </c>
      <c r="J449" s="1" t="s">
        <v>61</v>
      </c>
      <c r="K449" s="1" t="s">
        <v>45</v>
      </c>
      <c r="L449" s="1" t="str">
        <f t="shared" si="77"/>
        <v>20220902</v>
      </c>
      <c r="M449" s="1" t="str">
        <f>"165009"</f>
        <v>165009</v>
      </c>
      <c r="N449" s="1" t="s">
        <v>28</v>
      </c>
      <c r="O449" s="1" t="s">
        <v>28</v>
      </c>
      <c r="P449" s="1" t="s">
        <v>55</v>
      </c>
      <c r="Q449" s="1">
        <v>13</v>
      </c>
      <c r="R449" s="1">
        <v>13</v>
      </c>
      <c r="S449" s="1">
        <v>0</v>
      </c>
      <c r="T449" s="1">
        <v>0</v>
      </c>
      <c r="U449" s="1">
        <v>0</v>
      </c>
      <c r="V449" s="1" t="str">
        <f t="shared" si="80"/>
        <v>里程返程</v>
      </c>
      <c r="W449" s="1" t="str">
        <f>"2020"</f>
        <v>2020</v>
      </c>
      <c r="X449" s="1" t="s">
        <v>35</v>
      </c>
    </row>
    <row r="450" spans="1:24" x14ac:dyDescent="0.3">
      <c r="A450" s="1" t="str">
        <f t="shared" si="78"/>
        <v>59828</v>
      </c>
      <c r="B450" s="1" t="s">
        <v>23</v>
      </c>
      <c r="C450" s="1" t="s">
        <v>24</v>
      </c>
      <c r="D450" s="1" t="str">
        <f t="shared" si="75"/>
        <v>9801</v>
      </c>
      <c r="E450" s="1" t="s">
        <v>25</v>
      </c>
      <c r="F450" s="1" t="str">
        <f>"101610657"</f>
        <v>101610657</v>
      </c>
      <c r="G450" s="1" t="s">
        <v>33</v>
      </c>
      <c r="H450" s="1" t="str">
        <f t="shared" si="79"/>
        <v>20220902</v>
      </c>
      <c r="I450" s="1" t="str">
        <f>"165144"</f>
        <v>165144</v>
      </c>
      <c r="J450" s="1" t="s">
        <v>28</v>
      </c>
      <c r="K450" s="1" t="s">
        <v>28</v>
      </c>
      <c r="L450" s="1" t="str">
        <f t="shared" si="77"/>
        <v>20220902</v>
      </c>
      <c r="M450" s="1" t="str">
        <f>"173003"</f>
        <v>173003</v>
      </c>
      <c r="N450" s="1" t="s">
        <v>52</v>
      </c>
      <c r="O450" s="1" t="s">
        <v>52</v>
      </c>
      <c r="P450" s="1" t="s">
        <v>55</v>
      </c>
      <c r="Q450" s="1">
        <v>25</v>
      </c>
      <c r="R450" s="1">
        <v>25</v>
      </c>
      <c r="S450" s="1">
        <v>0</v>
      </c>
      <c r="T450" s="1">
        <v>0</v>
      </c>
      <c r="U450" s="1">
        <v>0</v>
      </c>
      <c r="V450" s="1" t="str">
        <f t="shared" si="80"/>
        <v>里程返程</v>
      </c>
      <c r="W450" s="1" t="str">
        <f>"0e20"</f>
        <v>0e20</v>
      </c>
      <c r="X450" s="1" t="s">
        <v>35</v>
      </c>
    </row>
    <row r="451" spans="1:24" x14ac:dyDescent="0.3">
      <c r="A451" s="1" t="str">
        <f t="shared" ref="A451:A461" si="81">"59809"</f>
        <v>59809</v>
      </c>
      <c r="B451" s="1" t="s">
        <v>42</v>
      </c>
      <c r="C451" s="1" t="s">
        <v>43</v>
      </c>
      <c r="D451" s="1" t="str">
        <f t="shared" ref="D451:D461" si="82">"9805"</f>
        <v>9805</v>
      </c>
      <c r="E451" s="1" t="s">
        <v>57</v>
      </c>
      <c r="F451" s="1" t="str">
        <f>"837738181"</f>
        <v>837738181</v>
      </c>
      <c r="G451" s="1" t="s">
        <v>33</v>
      </c>
      <c r="H451" s="1" t="str">
        <f t="shared" ref="H451:H482" si="83">"20220903"</f>
        <v>20220903</v>
      </c>
      <c r="I451" s="1" t="str">
        <f>"120733"</f>
        <v>120733</v>
      </c>
      <c r="J451" s="1" t="s">
        <v>28</v>
      </c>
      <c r="K451" s="1" t="s">
        <v>28</v>
      </c>
      <c r="L451" s="1" t="str">
        <f t="shared" ref="L451:L482" si="84">"20220903"</f>
        <v>20220903</v>
      </c>
      <c r="M451" s="1" t="str">
        <f>"122027"</f>
        <v>122027</v>
      </c>
      <c r="N451" s="1" t="s">
        <v>56</v>
      </c>
      <c r="O451" s="1" t="s">
        <v>28</v>
      </c>
      <c r="P451" s="1" t="s">
        <v>55</v>
      </c>
      <c r="Q451" s="1">
        <v>25</v>
      </c>
      <c r="R451" s="1">
        <v>25</v>
      </c>
      <c r="S451" s="1">
        <v>0</v>
      </c>
      <c r="T451" s="1">
        <v>0</v>
      </c>
      <c r="U451" s="1">
        <v>0</v>
      </c>
      <c r="V451" s="1" t="str">
        <f>"里程去程"</f>
        <v>里程去程</v>
      </c>
      <c r="W451" s="1" t="str">
        <f>"2120"</f>
        <v>2120</v>
      </c>
      <c r="X451" s="1" t="s">
        <v>35</v>
      </c>
    </row>
    <row r="452" spans="1:24" x14ac:dyDescent="0.3">
      <c r="A452" s="1" t="str">
        <f t="shared" si="81"/>
        <v>59809</v>
      </c>
      <c r="B452" s="1" t="s">
        <v>42</v>
      </c>
      <c r="C452" s="1" t="s">
        <v>43</v>
      </c>
      <c r="D452" s="1" t="str">
        <f t="shared" si="82"/>
        <v>9805</v>
      </c>
      <c r="E452" s="1" t="s">
        <v>57</v>
      </c>
      <c r="F452" s="1" t="str">
        <f>"837738181"</f>
        <v>837738181</v>
      </c>
      <c r="G452" s="1" t="s">
        <v>33</v>
      </c>
      <c r="H452" s="1" t="str">
        <f t="shared" si="83"/>
        <v>20220903</v>
      </c>
      <c r="I452" s="1" t="str">
        <f>"131447"</f>
        <v>131447</v>
      </c>
      <c r="J452" s="1" t="s">
        <v>62</v>
      </c>
      <c r="K452" s="1" t="s">
        <v>28</v>
      </c>
      <c r="L452" s="1" t="str">
        <f t="shared" si="84"/>
        <v>20220903</v>
      </c>
      <c r="M452" s="1" t="str">
        <f>"132654"</f>
        <v>132654</v>
      </c>
      <c r="N452" s="1" t="s">
        <v>28</v>
      </c>
      <c r="O452" s="1" t="s">
        <v>28</v>
      </c>
      <c r="P452" s="1" t="s">
        <v>55</v>
      </c>
      <c r="Q452" s="1">
        <v>25</v>
      </c>
      <c r="R452" s="1">
        <v>25</v>
      </c>
      <c r="S452" s="1">
        <v>0</v>
      </c>
      <c r="T452" s="1">
        <v>0</v>
      </c>
      <c r="U452" s="1">
        <v>0</v>
      </c>
      <c r="V452" s="1" t="str">
        <f>"里程返程"</f>
        <v>里程返程</v>
      </c>
      <c r="W452" s="1" t="str">
        <f>"2020"</f>
        <v>2020</v>
      </c>
      <c r="X452" s="1" t="s">
        <v>35</v>
      </c>
    </row>
    <row r="453" spans="1:24" x14ac:dyDescent="0.3">
      <c r="A453" s="1" t="str">
        <f t="shared" si="81"/>
        <v>59809</v>
      </c>
      <c r="B453" s="1" t="s">
        <v>42</v>
      </c>
      <c r="C453" s="1" t="s">
        <v>43</v>
      </c>
      <c r="D453" s="1" t="str">
        <f t="shared" si="82"/>
        <v>9805</v>
      </c>
      <c r="E453" s="1" t="s">
        <v>57</v>
      </c>
      <c r="F453" s="1" t="str">
        <f>"3608556403"</f>
        <v>3608556403</v>
      </c>
      <c r="G453" s="1" t="s">
        <v>33</v>
      </c>
      <c r="H453" s="1" t="str">
        <f t="shared" si="83"/>
        <v>20220903</v>
      </c>
      <c r="I453" s="1" t="str">
        <f>"151514"</f>
        <v>151514</v>
      </c>
      <c r="J453" s="1" t="s">
        <v>28</v>
      </c>
      <c r="K453" s="1" t="s">
        <v>28</v>
      </c>
      <c r="L453" s="1" t="str">
        <f t="shared" si="84"/>
        <v>20220903</v>
      </c>
      <c r="M453" s="1" t="str">
        <f>"153356"</f>
        <v>153356</v>
      </c>
      <c r="N453" s="1" t="s">
        <v>52</v>
      </c>
      <c r="O453" s="1" t="s">
        <v>52</v>
      </c>
      <c r="P453" s="1" t="s">
        <v>55</v>
      </c>
      <c r="Q453" s="1">
        <v>25</v>
      </c>
      <c r="R453" s="1">
        <v>25</v>
      </c>
      <c r="S453" s="1">
        <v>0</v>
      </c>
      <c r="T453" s="1">
        <v>0</v>
      </c>
      <c r="U453" s="1">
        <v>0</v>
      </c>
      <c r="V453" s="1" t="str">
        <f t="shared" ref="V453:V476" si="85">"里程去程"</f>
        <v>里程去程</v>
      </c>
      <c r="W453" s="1" t="str">
        <f>"0120"</f>
        <v>0120</v>
      </c>
      <c r="X453" s="1" t="s">
        <v>35</v>
      </c>
    </row>
    <row r="454" spans="1:24" x14ac:dyDescent="0.3">
      <c r="A454" s="1" t="str">
        <f t="shared" si="81"/>
        <v>59809</v>
      </c>
      <c r="B454" s="1" t="s">
        <v>42</v>
      </c>
      <c r="C454" s="1" t="s">
        <v>43</v>
      </c>
      <c r="D454" s="1" t="str">
        <f t="shared" si="82"/>
        <v>9805</v>
      </c>
      <c r="E454" s="1" t="s">
        <v>57</v>
      </c>
      <c r="F454" s="1" t="str">
        <f>"999396949"</f>
        <v>999396949</v>
      </c>
      <c r="G454" s="1" t="s">
        <v>33</v>
      </c>
      <c r="H454" s="1" t="str">
        <f t="shared" si="83"/>
        <v>20220903</v>
      </c>
      <c r="I454" s="1" t="str">
        <f>"151519"</f>
        <v>151519</v>
      </c>
      <c r="J454" s="1" t="s">
        <v>28</v>
      </c>
      <c r="K454" s="1" t="s">
        <v>28</v>
      </c>
      <c r="L454" s="1" t="str">
        <f t="shared" si="84"/>
        <v>20220903</v>
      </c>
      <c r="M454" s="1" t="str">
        <f>"153412"</f>
        <v>153412</v>
      </c>
      <c r="N454" s="1" t="s">
        <v>52</v>
      </c>
      <c r="O454" s="1" t="s">
        <v>52</v>
      </c>
      <c r="P454" s="1" t="s">
        <v>55</v>
      </c>
      <c r="Q454" s="1">
        <v>25</v>
      </c>
      <c r="R454" s="1">
        <v>25</v>
      </c>
      <c r="S454" s="1">
        <v>0</v>
      </c>
      <c r="T454" s="1">
        <v>0</v>
      </c>
      <c r="U454" s="1">
        <v>0</v>
      </c>
      <c r="V454" s="1" t="str">
        <f t="shared" si="85"/>
        <v>里程去程</v>
      </c>
      <c r="W454" s="1" t="str">
        <f>"0220"</f>
        <v>0220</v>
      </c>
      <c r="X454" s="1" t="s">
        <v>35</v>
      </c>
    </row>
    <row r="455" spans="1:24" x14ac:dyDescent="0.3">
      <c r="A455" s="1" t="str">
        <f t="shared" si="81"/>
        <v>59809</v>
      </c>
      <c r="B455" s="1" t="s">
        <v>42</v>
      </c>
      <c r="C455" s="1" t="s">
        <v>43</v>
      </c>
      <c r="D455" s="1" t="str">
        <f t="shared" si="82"/>
        <v>9805</v>
      </c>
      <c r="E455" s="1" t="s">
        <v>57</v>
      </c>
      <c r="F455" s="1" t="str">
        <f>"181198677"</f>
        <v>181198677</v>
      </c>
      <c r="G455" s="1" t="s">
        <v>33</v>
      </c>
      <c r="H455" s="1" t="str">
        <f t="shared" si="83"/>
        <v>20220903</v>
      </c>
      <c r="I455" s="1" t="str">
        <f>"151521"</f>
        <v>151521</v>
      </c>
      <c r="J455" s="1" t="s">
        <v>28</v>
      </c>
      <c r="K455" s="1" t="s">
        <v>28</v>
      </c>
      <c r="L455" s="1" t="str">
        <f t="shared" si="84"/>
        <v>20220903</v>
      </c>
      <c r="M455" s="1" t="str">
        <f>"153409"</f>
        <v>153409</v>
      </c>
      <c r="N455" s="1" t="s">
        <v>52</v>
      </c>
      <c r="O455" s="1" t="s">
        <v>52</v>
      </c>
      <c r="P455" s="1" t="s">
        <v>55</v>
      </c>
      <c r="Q455" s="1">
        <v>25</v>
      </c>
      <c r="R455" s="1">
        <v>25</v>
      </c>
      <c r="S455" s="1">
        <v>0</v>
      </c>
      <c r="T455" s="1">
        <v>0</v>
      </c>
      <c r="U455" s="1">
        <v>0</v>
      </c>
      <c r="V455" s="1" t="str">
        <f t="shared" si="85"/>
        <v>里程去程</v>
      </c>
      <c r="W455" s="1" t="str">
        <f>"1420"</f>
        <v>1420</v>
      </c>
      <c r="X455" s="1" t="s">
        <v>35</v>
      </c>
    </row>
    <row r="456" spans="1:24" x14ac:dyDescent="0.3">
      <c r="A456" s="1" t="str">
        <f t="shared" si="81"/>
        <v>59809</v>
      </c>
      <c r="B456" s="1" t="s">
        <v>42</v>
      </c>
      <c r="C456" s="1" t="s">
        <v>43</v>
      </c>
      <c r="D456" s="1" t="str">
        <f t="shared" si="82"/>
        <v>9805</v>
      </c>
      <c r="E456" s="1" t="s">
        <v>57</v>
      </c>
      <c r="F456" s="1" t="str">
        <f>"1037469525"</f>
        <v>1037469525</v>
      </c>
      <c r="G456" s="1" t="s">
        <v>33</v>
      </c>
      <c r="H456" s="1" t="str">
        <f t="shared" si="83"/>
        <v>20220903</v>
      </c>
      <c r="I456" s="1" t="str">
        <f>"151538"</f>
        <v>151538</v>
      </c>
      <c r="J456" s="1" t="s">
        <v>28</v>
      </c>
      <c r="K456" s="1" t="s">
        <v>28</v>
      </c>
      <c r="L456" s="1" t="str">
        <f t="shared" si="84"/>
        <v>20220903</v>
      </c>
      <c r="M456" s="1" t="str">
        <f>"153404"</f>
        <v>153404</v>
      </c>
      <c r="N456" s="1" t="s">
        <v>52</v>
      </c>
      <c r="O456" s="1" t="s">
        <v>52</v>
      </c>
      <c r="P456" s="1" t="s">
        <v>55</v>
      </c>
      <c r="Q456" s="1">
        <v>25</v>
      </c>
      <c r="R456" s="1">
        <v>25</v>
      </c>
      <c r="S456" s="1">
        <v>0</v>
      </c>
      <c r="T456" s="1">
        <v>0</v>
      </c>
      <c r="U456" s="1">
        <v>0</v>
      </c>
      <c r="V456" s="1" t="str">
        <f t="shared" si="85"/>
        <v>里程去程</v>
      </c>
      <c r="W456" s="1" t="str">
        <f>"0220"</f>
        <v>0220</v>
      </c>
      <c r="X456" s="1" t="s">
        <v>35</v>
      </c>
    </row>
    <row r="457" spans="1:24" x14ac:dyDescent="0.3">
      <c r="A457" s="1" t="str">
        <f t="shared" si="81"/>
        <v>59809</v>
      </c>
      <c r="B457" s="1" t="s">
        <v>42</v>
      </c>
      <c r="C457" s="1" t="s">
        <v>43</v>
      </c>
      <c r="D457" s="1" t="str">
        <f t="shared" si="82"/>
        <v>9805</v>
      </c>
      <c r="E457" s="1" t="s">
        <v>57</v>
      </c>
      <c r="F457" s="1" t="str">
        <f>"21E48732702804001C00000000000000"</f>
        <v>21E48732702804001C00000000000000</v>
      </c>
      <c r="G457" s="1" t="s">
        <v>58</v>
      </c>
      <c r="H457" s="1" t="str">
        <f t="shared" si="83"/>
        <v>20220903</v>
      </c>
      <c r="I457" s="1" t="str">
        <f>"151549"</f>
        <v>151549</v>
      </c>
      <c r="J457" s="1" t="s">
        <v>28</v>
      </c>
      <c r="K457" s="1" t="s">
        <v>28</v>
      </c>
      <c r="L457" s="1" t="str">
        <f t="shared" si="84"/>
        <v>20220903</v>
      </c>
      <c r="M457" s="1" t="str">
        <f>"153112"</f>
        <v>153112</v>
      </c>
      <c r="N457" s="1" t="s">
        <v>62</v>
      </c>
      <c r="O457" s="1" t="s">
        <v>28</v>
      </c>
      <c r="P457" s="1" t="s">
        <v>55</v>
      </c>
      <c r="Q457" s="1">
        <v>25</v>
      </c>
      <c r="R457" s="1">
        <v>25</v>
      </c>
      <c r="S457" s="1">
        <v>0</v>
      </c>
      <c r="T457" s="1">
        <v>0</v>
      </c>
      <c r="U457" s="1">
        <v>0</v>
      </c>
      <c r="V457" s="1" t="str">
        <f t="shared" si="85"/>
        <v>里程去程</v>
      </c>
      <c r="W457" s="1" t="str">
        <f>"0020"</f>
        <v>0020</v>
      </c>
      <c r="X457" s="1" t="s">
        <v>29</v>
      </c>
    </row>
    <row r="458" spans="1:24" x14ac:dyDescent="0.3">
      <c r="A458" s="1" t="str">
        <f t="shared" si="81"/>
        <v>59809</v>
      </c>
      <c r="B458" s="1" t="s">
        <v>42</v>
      </c>
      <c r="C458" s="1" t="s">
        <v>43</v>
      </c>
      <c r="D458" s="1" t="str">
        <f t="shared" si="82"/>
        <v>9805</v>
      </c>
      <c r="E458" s="1" t="s">
        <v>57</v>
      </c>
      <c r="F458" s="1" t="str">
        <f>"230173039"</f>
        <v>230173039</v>
      </c>
      <c r="G458" s="1" t="s">
        <v>33</v>
      </c>
      <c r="H458" s="1" t="str">
        <f t="shared" si="83"/>
        <v>20220903</v>
      </c>
      <c r="I458" s="1" t="str">
        <f>"151553"</f>
        <v>151553</v>
      </c>
      <c r="J458" s="1" t="s">
        <v>28</v>
      </c>
      <c r="K458" s="1" t="s">
        <v>28</v>
      </c>
      <c r="L458" s="1" t="str">
        <f t="shared" si="84"/>
        <v>20220903</v>
      </c>
      <c r="M458" s="1" t="str">
        <f>"153406"</f>
        <v>153406</v>
      </c>
      <c r="N458" s="1" t="s">
        <v>52</v>
      </c>
      <c r="O458" s="1" t="s">
        <v>52</v>
      </c>
      <c r="P458" s="1" t="s">
        <v>55</v>
      </c>
      <c r="Q458" s="1">
        <v>25</v>
      </c>
      <c r="R458" s="1">
        <v>25</v>
      </c>
      <c r="S458" s="1">
        <v>0</v>
      </c>
      <c r="T458" s="1">
        <v>0</v>
      </c>
      <c r="U458" s="1">
        <v>0</v>
      </c>
      <c r="V458" s="1" t="str">
        <f t="shared" si="85"/>
        <v>里程去程</v>
      </c>
      <c r="W458" s="1" t="str">
        <f>"0e20"</f>
        <v>0e20</v>
      </c>
      <c r="X458" s="1" t="s">
        <v>35</v>
      </c>
    </row>
    <row r="459" spans="1:24" x14ac:dyDescent="0.3">
      <c r="A459" s="1" t="str">
        <f t="shared" si="81"/>
        <v>59809</v>
      </c>
      <c r="B459" s="1" t="s">
        <v>42</v>
      </c>
      <c r="C459" s="1" t="s">
        <v>43</v>
      </c>
      <c r="D459" s="1" t="str">
        <f t="shared" si="82"/>
        <v>9805</v>
      </c>
      <c r="E459" s="1" t="s">
        <v>57</v>
      </c>
      <c r="F459" s="1" t="str">
        <f>"2243CF06A8880400C838002000000015"</f>
        <v>2243CF06A8880400C838002000000015</v>
      </c>
      <c r="G459" s="1" t="s">
        <v>26</v>
      </c>
      <c r="H459" s="1" t="str">
        <f t="shared" si="83"/>
        <v>20220903</v>
      </c>
      <c r="I459" s="1" t="str">
        <f>"151617"</f>
        <v>151617</v>
      </c>
      <c r="J459" s="1" t="s">
        <v>28</v>
      </c>
      <c r="K459" s="1" t="s">
        <v>28</v>
      </c>
      <c r="L459" s="1" t="str">
        <f t="shared" si="84"/>
        <v>20220903</v>
      </c>
      <c r="M459" s="1" t="str">
        <f>"153345"</f>
        <v>153345</v>
      </c>
      <c r="N459" s="1" t="s">
        <v>52</v>
      </c>
      <c r="O459" s="1" t="s">
        <v>52</v>
      </c>
      <c r="P459" s="1" t="s">
        <v>68</v>
      </c>
      <c r="Q459" s="1">
        <v>13</v>
      </c>
      <c r="R459" s="1">
        <v>0</v>
      </c>
      <c r="S459" s="1">
        <v>0</v>
      </c>
      <c r="T459" s="1">
        <v>13</v>
      </c>
      <c r="U459" s="1">
        <v>0</v>
      </c>
      <c r="V459" s="1" t="str">
        <f t="shared" si="85"/>
        <v>里程去程</v>
      </c>
      <c r="W459" s="1" t="str">
        <f>"0020"</f>
        <v>0020</v>
      </c>
      <c r="X459" s="1" t="s">
        <v>29</v>
      </c>
    </row>
    <row r="460" spans="1:24" x14ac:dyDescent="0.3">
      <c r="A460" s="1" t="str">
        <f t="shared" si="81"/>
        <v>59809</v>
      </c>
      <c r="B460" s="1" t="s">
        <v>42</v>
      </c>
      <c r="C460" s="1" t="s">
        <v>43</v>
      </c>
      <c r="D460" s="1" t="str">
        <f t="shared" si="82"/>
        <v>9805</v>
      </c>
      <c r="E460" s="1" t="s">
        <v>57</v>
      </c>
      <c r="F460" s="1" t="str">
        <f>"883692469"</f>
        <v>883692469</v>
      </c>
      <c r="G460" s="1" t="s">
        <v>26</v>
      </c>
      <c r="H460" s="1" t="str">
        <f t="shared" si="83"/>
        <v>20220903</v>
      </c>
      <c r="I460" s="1" t="str">
        <f>"152756"</f>
        <v>152756</v>
      </c>
      <c r="J460" s="1" t="s">
        <v>46</v>
      </c>
      <c r="K460" s="1" t="s">
        <v>28</v>
      </c>
      <c r="L460" s="1" t="str">
        <f t="shared" si="84"/>
        <v>20220903</v>
      </c>
      <c r="M460" s="1" t="str">
        <f>"153041"</f>
        <v>153041</v>
      </c>
      <c r="N460" s="1" t="s">
        <v>62</v>
      </c>
      <c r="O460" s="1" t="s">
        <v>28</v>
      </c>
      <c r="P460" s="1" t="s">
        <v>55</v>
      </c>
      <c r="Q460" s="1">
        <v>13</v>
      </c>
      <c r="R460" s="1">
        <v>13</v>
      </c>
      <c r="S460" s="1">
        <v>0</v>
      </c>
      <c r="T460" s="1">
        <v>0</v>
      </c>
      <c r="U460" s="1">
        <v>0</v>
      </c>
      <c r="V460" s="1" t="str">
        <f t="shared" si="85"/>
        <v>里程去程</v>
      </c>
      <c r="W460" s="1" t="str">
        <f>"0120"</f>
        <v>0120</v>
      </c>
      <c r="X460" s="1" t="s">
        <v>35</v>
      </c>
    </row>
    <row r="461" spans="1:24" x14ac:dyDescent="0.3">
      <c r="A461" s="1" t="str">
        <f t="shared" si="81"/>
        <v>59809</v>
      </c>
      <c r="B461" s="1" t="s">
        <v>42</v>
      </c>
      <c r="C461" s="1" t="s">
        <v>43</v>
      </c>
      <c r="D461" s="1" t="str">
        <f t="shared" si="82"/>
        <v>9805</v>
      </c>
      <c r="E461" s="1" t="s">
        <v>57</v>
      </c>
      <c r="F461" s="1" t="str">
        <f>"2699356783"</f>
        <v>2699356783</v>
      </c>
      <c r="G461" s="1" t="s">
        <v>26</v>
      </c>
      <c r="H461" s="1" t="str">
        <f t="shared" si="83"/>
        <v>20220903</v>
      </c>
      <c r="I461" s="1" t="str">
        <f>"152835"</f>
        <v>152835</v>
      </c>
      <c r="J461" s="1" t="s">
        <v>46</v>
      </c>
      <c r="K461" s="1" t="s">
        <v>28</v>
      </c>
      <c r="L461" s="1" t="str">
        <f t="shared" si="84"/>
        <v>20220903</v>
      </c>
      <c r="M461" s="1" t="str">
        <f>"153044"</f>
        <v>153044</v>
      </c>
      <c r="N461" s="1" t="s">
        <v>62</v>
      </c>
      <c r="O461" s="1" t="s">
        <v>28</v>
      </c>
      <c r="P461" s="1" t="s">
        <v>55</v>
      </c>
      <c r="Q461" s="1">
        <v>13</v>
      </c>
      <c r="R461" s="1">
        <v>13</v>
      </c>
      <c r="S461" s="1">
        <v>0</v>
      </c>
      <c r="T461" s="1">
        <v>0</v>
      </c>
      <c r="U461" s="1">
        <v>0</v>
      </c>
      <c r="V461" s="1" t="str">
        <f t="shared" si="85"/>
        <v>里程去程</v>
      </c>
      <c r="W461" s="1" t="str">
        <f>"0220"</f>
        <v>0220</v>
      </c>
      <c r="X461" s="1" t="s">
        <v>35</v>
      </c>
    </row>
    <row r="462" spans="1:24" x14ac:dyDescent="0.3">
      <c r="A462" s="1" t="str">
        <f t="shared" ref="A462:A479" si="86">"59820"</f>
        <v>59820</v>
      </c>
      <c r="B462" s="1" t="s">
        <v>53</v>
      </c>
      <c r="C462" s="1" t="s">
        <v>54</v>
      </c>
      <c r="D462" s="1" t="str">
        <f t="shared" ref="D462:D493" si="87">"9801"</f>
        <v>9801</v>
      </c>
      <c r="E462" s="1" t="s">
        <v>25</v>
      </c>
      <c r="F462" s="1" t="str">
        <f>"647927605"</f>
        <v>647927605</v>
      </c>
      <c r="G462" s="1" t="s">
        <v>33</v>
      </c>
      <c r="H462" s="1" t="str">
        <f t="shared" si="83"/>
        <v>20220903</v>
      </c>
      <c r="I462" s="1" t="str">
        <f>"123234"</f>
        <v>123234</v>
      </c>
      <c r="J462" s="1" t="s">
        <v>27</v>
      </c>
      <c r="K462" s="1" t="s">
        <v>28</v>
      </c>
      <c r="L462" s="1" t="str">
        <f t="shared" si="84"/>
        <v>20220903</v>
      </c>
      <c r="M462" s="1" t="str">
        <f>"125854"</f>
        <v>125854</v>
      </c>
      <c r="N462" s="1" t="s">
        <v>44</v>
      </c>
      <c r="O462" s="1" t="s">
        <v>45</v>
      </c>
      <c r="P462" s="1" t="s">
        <v>55</v>
      </c>
      <c r="Q462" s="1">
        <v>25</v>
      </c>
      <c r="R462" s="1">
        <v>0</v>
      </c>
      <c r="S462" s="1">
        <v>25</v>
      </c>
      <c r="T462" s="1">
        <v>0</v>
      </c>
      <c r="U462" s="1">
        <v>0</v>
      </c>
      <c r="V462" s="1" t="str">
        <f t="shared" si="85"/>
        <v>里程去程</v>
      </c>
      <c r="W462" s="1" t="str">
        <f>"0820"</f>
        <v>0820</v>
      </c>
      <c r="X462" s="1" t="s">
        <v>35</v>
      </c>
    </row>
    <row r="463" spans="1:24" x14ac:dyDescent="0.3">
      <c r="A463" s="1" t="str">
        <f t="shared" si="86"/>
        <v>59820</v>
      </c>
      <c r="B463" s="1" t="s">
        <v>53</v>
      </c>
      <c r="C463" s="1" t="s">
        <v>54</v>
      </c>
      <c r="D463" s="1" t="str">
        <f t="shared" si="87"/>
        <v>9801</v>
      </c>
      <c r="E463" s="1" t="s">
        <v>25</v>
      </c>
      <c r="F463" s="1" t="str">
        <f>"115076293"</f>
        <v>115076293</v>
      </c>
      <c r="G463" s="1" t="s">
        <v>33</v>
      </c>
      <c r="H463" s="1" t="str">
        <f t="shared" si="83"/>
        <v>20220903</v>
      </c>
      <c r="I463" s="1" t="str">
        <f>"132919"</f>
        <v>132919</v>
      </c>
      <c r="J463" s="1" t="s">
        <v>27</v>
      </c>
      <c r="K463" s="1" t="s">
        <v>28</v>
      </c>
      <c r="L463" s="1" t="str">
        <f t="shared" si="84"/>
        <v>20220903</v>
      </c>
      <c r="M463" s="1" t="str">
        <f>"135259"</f>
        <v>135259</v>
      </c>
      <c r="N463" s="1" t="s">
        <v>100</v>
      </c>
      <c r="O463" s="1" t="s">
        <v>45</v>
      </c>
      <c r="P463" s="1" t="s">
        <v>55</v>
      </c>
      <c r="Q463" s="1">
        <v>25</v>
      </c>
      <c r="R463" s="1">
        <v>25</v>
      </c>
      <c r="S463" s="1">
        <v>0</v>
      </c>
      <c r="T463" s="1">
        <v>0</v>
      </c>
      <c r="U463" s="1">
        <v>0</v>
      </c>
      <c r="V463" s="1" t="str">
        <f t="shared" si="85"/>
        <v>里程去程</v>
      </c>
      <c r="W463" s="1" t="str">
        <f>"0220"</f>
        <v>0220</v>
      </c>
      <c r="X463" s="1" t="s">
        <v>35</v>
      </c>
    </row>
    <row r="464" spans="1:24" x14ac:dyDescent="0.3">
      <c r="A464" s="1" t="str">
        <f t="shared" si="86"/>
        <v>59820</v>
      </c>
      <c r="B464" s="1" t="s">
        <v>53</v>
      </c>
      <c r="C464" s="1" t="s">
        <v>54</v>
      </c>
      <c r="D464" s="1" t="str">
        <f t="shared" si="87"/>
        <v>9801</v>
      </c>
      <c r="E464" s="1" t="s">
        <v>25</v>
      </c>
      <c r="F464" s="1" t="str">
        <f>"1406685281"</f>
        <v>1406685281</v>
      </c>
      <c r="G464" s="1" t="s">
        <v>26</v>
      </c>
      <c r="H464" s="1" t="str">
        <f t="shared" si="83"/>
        <v>20220903</v>
      </c>
      <c r="I464" s="1" t="str">
        <f>"133014"</f>
        <v>133014</v>
      </c>
      <c r="J464" s="1" t="s">
        <v>27</v>
      </c>
      <c r="K464" s="1" t="s">
        <v>28</v>
      </c>
      <c r="L464" s="1" t="str">
        <f t="shared" si="84"/>
        <v>20220903</v>
      </c>
      <c r="M464" s="1" t="str">
        <f>"135431"</f>
        <v>135431</v>
      </c>
      <c r="N464" s="1" t="s">
        <v>44</v>
      </c>
      <c r="O464" s="1" t="s">
        <v>45</v>
      </c>
      <c r="P464" s="1" t="s">
        <v>55</v>
      </c>
      <c r="Q464" s="1">
        <v>13</v>
      </c>
      <c r="R464" s="1">
        <v>13</v>
      </c>
      <c r="S464" s="1">
        <v>0</v>
      </c>
      <c r="T464" s="1">
        <v>0</v>
      </c>
      <c r="U464" s="1">
        <v>0</v>
      </c>
      <c r="V464" s="1" t="str">
        <f t="shared" si="85"/>
        <v>里程去程</v>
      </c>
      <c r="W464" s="1" t="str">
        <f>"0120"</f>
        <v>0120</v>
      </c>
      <c r="X464" s="1" t="s">
        <v>35</v>
      </c>
    </row>
    <row r="465" spans="1:24" x14ac:dyDescent="0.3">
      <c r="A465" s="1" t="str">
        <f t="shared" si="86"/>
        <v>59820</v>
      </c>
      <c r="B465" s="1" t="s">
        <v>53</v>
      </c>
      <c r="C465" s="1" t="s">
        <v>54</v>
      </c>
      <c r="D465" s="1" t="str">
        <f t="shared" si="87"/>
        <v>9801</v>
      </c>
      <c r="E465" s="1" t="s">
        <v>25</v>
      </c>
      <c r="F465" s="1" t="str">
        <f>"1406324017"</f>
        <v>1406324017</v>
      </c>
      <c r="G465" s="1" t="s">
        <v>26</v>
      </c>
      <c r="H465" s="1" t="str">
        <f t="shared" si="83"/>
        <v>20220903</v>
      </c>
      <c r="I465" s="1" t="str">
        <f>"133027"</f>
        <v>133027</v>
      </c>
      <c r="J465" s="1" t="s">
        <v>27</v>
      </c>
      <c r="K465" s="1" t="s">
        <v>28</v>
      </c>
      <c r="L465" s="1" t="str">
        <f t="shared" si="84"/>
        <v>20220903</v>
      </c>
      <c r="M465" s="1" t="str">
        <f>"135440"</f>
        <v>135440</v>
      </c>
      <c r="N465" s="1" t="s">
        <v>44</v>
      </c>
      <c r="O465" s="1" t="s">
        <v>45</v>
      </c>
      <c r="P465" s="1" t="s">
        <v>55</v>
      </c>
      <c r="Q465" s="1">
        <v>13</v>
      </c>
      <c r="R465" s="1">
        <v>13</v>
      </c>
      <c r="S465" s="1">
        <v>0</v>
      </c>
      <c r="T465" s="1">
        <v>0</v>
      </c>
      <c r="U465" s="1">
        <v>0</v>
      </c>
      <c r="V465" s="1" t="str">
        <f t="shared" si="85"/>
        <v>里程去程</v>
      </c>
      <c r="W465" s="1" t="str">
        <f>"0120"</f>
        <v>0120</v>
      </c>
      <c r="X465" s="1" t="s">
        <v>35</v>
      </c>
    </row>
    <row r="466" spans="1:24" x14ac:dyDescent="0.3">
      <c r="A466" s="1" t="str">
        <f t="shared" si="86"/>
        <v>59820</v>
      </c>
      <c r="B466" s="1" t="s">
        <v>53</v>
      </c>
      <c r="C466" s="1" t="s">
        <v>54</v>
      </c>
      <c r="D466" s="1" t="str">
        <f t="shared" si="87"/>
        <v>9801</v>
      </c>
      <c r="E466" s="1" t="s">
        <v>25</v>
      </c>
      <c r="F466" s="1" t="str">
        <f>"2770287247"</f>
        <v>2770287247</v>
      </c>
      <c r="G466" s="1" t="s">
        <v>26</v>
      </c>
      <c r="H466" s="1" t="str">
        <f t="shared" si="83"/>
        <v>20220903</v>
      </c>
      <c r="I466" s="1" t="str">
        <f>"133032"</f>
        <v>133032</v>
      </c>
      <c r="J466" s="1" t="s">
        <v>27</v>
      </c>
      <c r="K466" s="1" t="s">
        <v>28</v>
      </c>
      <c r="L466" s="1" t="str">
        <f t="shared" si="84"/>
        <v>20220903</v>
      </c>
      <c r="M466" s="1" t="str">
        <f>"135343"</f>
        <v>135343</v>
      </c>
      <c r="N466" s="1" t="s">
        <v>44</v>
      </c>
      <c r="O466" s="1" t="s">
        <v>45</v>
      </c>
      <c r="P466" s="1" t="s">
        <v>55</v>
      </c>
      <c r="Q466" s="1">
        <v>13</v>
      </c>
      <c r="R466" s="1">
        <v>13</v>
      </c>
      <c r="S466" s="1">
        <v>0</v>
      </c>
      <c r="T466" s="1">
        <v>0</v>
      </c>
      <c r="U466" s="1">
        <v>0</v>
      </c>
      <c r="V466" s="1" t="str">
        <f t="shared" si="85"/>
        <v>里程去程</v>
      </c>
      <c r="W466" s="1" t="str">
        <f>"0120"</f>
        <v>0120</v>
      </c>
      <c r="X466" s="1" t="s">
        <v>35</v>
      </c>
    </row>
    <row r="467" spans="1:24" x14ac:dyDescent="0.3">
      <c r="A467" s="1" t="str">
        <f t="shared" si="86"/>
        <v>59820</v>
      </c>
      <c r="B467" s="1" t="s">
        <v>53</v>
      </c>
      <c r="C467" s="1" t="s">
        <v>54</v>
      </c>
      <c r="D467" s="1" t="str">
        <f t="shared" si="87"/>
        <v>9801</v>
      </c>
      <c r="E467" s="1" t="s">
        <v>25</v>
      </c>
      <c r="F467" s="1" t="str">
        <f>"813320661"</f>
        <v>813320661</v>
      </c>
      <c r="G467" s="1" t="s">
        <v>26</v>
      </c>
      <c r="H467" s="1" t="str">
        <f t="shared" si="83"/>
        <v>20220903</v>
      </c>
      <c r="I467" s="1" t="str">
        <f>"133358"</f>
        <v>133358</v>
      </c>
      <c r="J467" s="1" t="s">
        <v>27</v>
      </c>
      <c r="K467" s="1" t="s">
        <v>28</v>
      </c>
      <c r="L467" s="1" t="str">
        <f t="shared" si="84"/>
        <v>20220903</v>
      </c>
      <c r="M467" s="1" t="str">
        <f>"134628"</f>
        <v>134628</v>
      </c>
      <c r="N467" s="1" t="s">
        <v>56</v>
      </c>
      <c r="O467" s="1" t="s">
        <v>45</v>
      </c>
      <c r="P467" s="1" t="s">
        <v>55</v>
      </c>
      <c r="Q467" s="1">
        <v>13</v>
      </c>
      <c r="R467" s="1">
        <v>13</v>
      </c>
      <c r="S467" s="1">
        <v>0</v>
      </c>
      <c r="T467" s="1">
        <v>0</v>
      </c>
      <c r="U467" s="1">
        <v>0</v>
      </c>
      <c r="V467" s="1" t="str">
        <f t="shared" si="85"/>
        <v>里程去程</v>
      </c>
      <c r="W467" s="1" t="str">
        <f>"0820"</f>
        <v>0820</v>
      </c>
      <c r="X467" s="1" t="s">
        <v>35</v>
      </c>
    </row>
    <row r="468" spans="1:24" x14ac:dyDescent="0.3">
      <c r="A468" s="1" t="str">
        <f t="shared" si="86"/>
        <v>59820</v>
      </c>
      <c r="B468" s="1" t="s">
        <v>53</v>
      </c>
      <c r="C468" s="1" t="s">
        <v>54</v>
      </c>
      <c r="D468" s="1" t="str">
        <f t="shared" si="87"/>
        <v>9801</v>
      </c>
      <c r="E468" s="1" t="s">
        <v>25</v>
      </c>
      <c r="F468" s="1" t="str">
        <f>"25827325"</f>
        <v>25827325</v>
      </c>
      <c r="G468" s="1" t="s">
        <v>96</v>
      </c>
      <c r="H468" s="1" t="str">
        <f t="shared" si="83"/>
        <v>20220903</v>
      </c>
      <c r="I468" s="1" t="str">
        <f>"133401"</f>
        <v>133401</v>
      </c>
      <c r="J468" s="1" t="s">
        <v>27</v>
      </c>
      <c r="K468" s="1" t="s">
        <v>28</v>
      </c>
      <c r="L468" s="1" t="str">
        <f t="shared" si="84"/>
        <v>20220903</v>
      </c>
      <c r="M468" s="1" t="str">
        <f>"134621"</f>
        <v>134621</v>
      </c>
      <c r="N468" s="1" t="s">
        <v>56</v>
      </c>
      <c r="O468" s="1" t="s">
        <v>45</v>
      </c>
      <c r="P468" s="1" t="s">
        <v>55</v>
      </c>
      <c r="Q468" s="1">
        <v>13</v>
      </c>
      <c r="R468" s="1">
        <v>13</v>
      </c>
      <c r="S468" s="1">
        <v>0</v>
      </c>
      <c r="T468" s="1">
        <v>0</v>
      </c>
      <c r="U468" s="1">
        <v>0</v>
      </c>
      <c r="V468" s="1" t="str">
        <f t="shared" si="85"/>
        <v>里程去程</v>
      </c>
      <c r="W468" s="1" t="str">
        <f>"1120"</f>
        <v>1120</v>
      </c>
      <c r="X468" s="1" t="s">
        <v>35</v>
      </c>
    </row>
    <row r="469" spans="1:24" x14ac:dyDescent="0.3">
      <c r="A469" s="1" t="str">
        <f t="shared" si="86"/>
        <v>59820</v>
      </c>
      <c r="B469" s="1" t="s">
        <v>53</v>
      </c>
      <c r="C469" s="1" t="s">
        <v>54</v>
      </c>
      <c r="D469" s="1" t="str">
        <f t="shared" si="87"/>
        <v>9801</v>
      </c>
      <c r="E469" s="1" t="s">
        <v>25</v>
      </c>
      <c r="F469" s="1" t="str">
        <f>"804136613"</f>
        <v>804136613</v>
      </c>
      <c r="G469" s="1" t="s">
        <v>26</v>
      </c>
      <c r="H469" s="1" t="str">
        <f t="shared" si="83"/>
        <v>20220903</v>
      </c>
      <c r="I469" s="1" t="str">
        <f>"133403"</f>
        <v>133403</v>
      </c>
      <c r="J469" s="1" t="s">
        <v>27</v>
      </c>
      <c r="K469" s="1" t="s">
        <v>28</v>
      </c>
      <c r="L469" s="1" t="str">
        <f t="shared" si="84"/>
        <v>20220903</v>
      </c>
      <c r="M469" s="1" t="str">
        <f>"134630"</f>
        <v>134630</v>
      </c>
      <c r="N469" s="1" t="s">
        <v>56</v>
      </c>
      <c r="O469" s="1" t="s">
        <v>45</v>
      </c>
      <c r="P469" s="1" t="s">
        <v>55</v>
      </c>
      <c r="Q469" s="1">
        <v>13</v>
      </c>
      <c r="R469" s="1">
        <v>13</v>
      </c>
      <c r="S469" s="1">
        <v>0</v>
      </c>
      <c r="T469" s="1">
        <v>0</v>
      </c>
      <c r="U469" s="1">
        <v>0</v>
      </c>
      <c r="V469" s="1" t="str">
        <f t="shared" si="85"/>
        <v>里程去程</v>
      </c>
      <c r="W469" s="1" t="str">
        <f>"0120"</f>
        <v>0120</v>
      </c>
      <c r="X469" s="1" t="s">
        <v>35</v>
      </c>
    </row>
    <row r="470" spans="1:24" x14ac:dyDescent="0.3">
      <c r="A470" s="1" t="str">
        <f t="shared" si="86"/>
        <v>59820</v>
      </c>
      <c r="B470" s="1" t="s">
        <v>53</v>
      </c>
      <c r="C470" s="1" t="s">
        <v>54</v>
      </c>
      <c r="D470" s="1" t="str">
        <f t="shared" si="87"/>
        <v>9801</v>
      </c>
      <c r="E470" s="1" t="s">
        <v>25</v>
      </c>
      <c r="F470" s="1" t="str">
        <f>"942396965"</f>
        <v>942396965</v>
      </c>
      <c r="G470" s="1" t="s">
        <v>26</v>
      </c>
      <c r="H470" s="1" t="str">
        <f t="shared" si="83"/>
        <v>20220903</v>
      </c>
      <c r="I470" s="1" t="str">
        <f>"133408"</f>
        <v>133408</v>
      </c>
      <c r="J470" s="1" t="s">
        <v>27</v>
      </c>
      <c r="K470" s="1" t="s">
        <v>28</v>
      </c>
      <c r="L470" s="1" t="str">
        <f t="shared" si="84"/>
        <v>20220903</v>
      </c>
      <c r="M470" s="1" t="str">
        <f>"134636"</f>
        <v>134636</v>
      </c>
      <c r="N470" s="1" t="s">
        <v>56</v>
      </c>
      <c r="O470" s="1" t="s">
        <v>45</v>
      </c>
      <c r="P470" s="1" t="s">
        <v>55</v>
      </c>
      <c r="Q470" s="1">
        <v>13</v>
      </c>
      <c r="R470" s="1">
        <v>13</v>
      </c>
      <c r="S470" s="1">
        <v>0</v>
      </c>
      <c r="T470" s="1">
        <v>0</v>
      </c>
      <c r="U470" s="1">
        <v>0</v>
      </c>
      <c r="V470" s="1" t="str">
        <f t="shared" si="85"/>
        <v>里程去程</v>
      </c>
      <c r="W470" s="1" t="str">
        <f>"0120"</f>
        <v>0120</v>
      </c>
      <c r="X470" s="1" t="s">
        <v>35</v>
      </c>
    </row>
    <row r="471" spans="1:24" x14ac:dyDescent="0.3">
      <c r="A471" s="1" t="str">
        <f t="shared" si="86"/>
        <v>59820</v>
      </c>
      <c r="B471" s="1" t="s">
        <v>53</v>
      </c>
      <c r="C471" s="1" t="s">
        <v>54</v>
      </c>
      <c r="D471" s="1" t="str">
        <f t="shared" si="87"/>
        <v>9801</v>
      </c>
      <c r="E471" s="1" t="s">
        <v>25</v>
      </c>
      <c r="F471" s="1" t="str">
        <f>"2071452438"</f>
        <v>2071452438</v>
      </c>
      <c r="G471" s="1" t="s">
        <v>33</v>
      </c>
      <c r="H471" s="1" t="str">
        <f t="shared" si="83"/>
        <v>20220903</v>
      </c>
      <c r="I471" s="1" t="str">
        <f>"133412"</f>
        <v>133412</v>
      </c>
      <c r="J471" s="1" t="s">
        <v>27</v>
      </c>
      <c r="K471" s="1" t="s">
        <v>28</v>
      </c>
      <c r="L471" s="1" t="str">
        <f t="shared" si="84"/>
        <v>20220903</v>
      </c>
      <c r="M471" s="1" t="str">
        <f>"134632"</f>
        <v>134632</v>
      </c>
      <c r="N471" s="1" t="s">
        <v>56</v>
      </c>
      <c r="O471" s="1" t="s">
        <v>45</v>
      </c>
      <c r="P471" s="1" t="s">
        <v>55</v>
      </c>
      <c r="Q471" s="1">
        <v>25</v>
      </c>
      <c r="R471" s="1">
        <v>25</v>
      </c>
      <c r="S471" s="1">
        <v>0</v>
      </c>
      <c r="T471" s="1">
        <v>0</v>
      </c>
      <c r="U471" s="1">
        <v>0</v>
      </c>
      <c r="V471" s="1" t="str">
        <f t="shared" si="85"/>
        <v>里程去程</v>
      </c>
      <c r="W471" s="1" t="str">
        <f>"0120"</f>
        <v>0120</v>
      </c>
      <c r="X471" s="1" t="s">
        <v>35</v>
      </c>
    </row>
    <row r="472" spans="1:24" x14ac:dyDescent="0.3">
      <c r="A472" s="1" t="str">
        <f t="shared" si="86"/>
        <v>59820</v>
      </c>
      <c r="B472" s="1" t="s">
        <v>53</v>
      </c>
      <c r="C472" s="1" t="s">
        <v>54</v>
      </c>
      <c r="D472" s="1" t="str">
        <f t="shared" si="87"/>
        <v>9801</v>
      </c>
      <c r="E472" s="1" t="s">
        <v>25</v>
      </c>
      <c r="F472" s="1" t="str">
        <f>"4222936045"</f>
        <v>4222936045</v>
      </c>
      <c r="G472" s="1" t="s">
        <v>26</v>
      </c>
      <c r="H472" s="1" t="str">
        <f t="shared" si="83"/>
        <v>20220903</v>
      </c>
      <c r="I472" s="1" t="str">
        <f>"133414"</f>
        <v>133414</v>
      </c>
      <c r="J472" s="1" t="s">
        <v>27</v>
      </c>
      <c r="K472" s="1" t="s">
        <v>28</v>
      </c>
      <c r="L472" s="1" t="str">
        <f t="shared" si="84"/>
        <v>20220903</v>
      </c>
      <c r="M472" s="1" t="str">
        <f>"134624"</f>
        <v>134624</v>
      </c>
      <c r="N472" s="1" t="s">
        <v>56</v>
      </c>
      <c r="O472" s="1" t="s">
        <v>45</v>
      </c>
      <c r="P472" s="1" t="s">
        <v>55</v>
      </c>
      <c r="Q472" s="1">
        <v>13</v>
      </c>
      <c r="R472" s="1">
        <v>13</v>
      </c>
      <c r="S472" s="1">
        <v>0</v>
      </c>
      <c r="T472" s="1">
        <v>0</v>
      </c>
      <c r="U472" s="1">
        <v>0</v>
      </c>
      <c r="V472" s="1" t="str">
        <f t="shared" si="85"/>
        <v>里程去程</v>
      </c>
      <c r="W472" s="1" t="str">
        <f>"0120"</f>
        <v>0120</v>
      </c>
      <c r="X472" s="1" t="s">
        <v>35</v>
      </c>
    </row>
    <row r="473" spans="1:24" x14ac:dyDescent="0.3">
      <c r="A473" s="1" t="str">
        <f t="shared" si="86"/>
        <v>59820</v>
      </c>
      <c r="B473" s="1" t="s">
        <v>53</v>
      </c>
      <c r="C473" s="1" t="s">
        <v>54</v>
      </c>
      <c r="D473" s="1" t="str">
        <f t="shared" si="87"/>
        <v>9801</v>
      </c>
      <c r="E473" s="1" t="s">
        <v>25</v>
      </c>
      <c r="F473" s="1" t="str">
        <f>"1406404689"</f>
        <v>1406404689</v>
      </c>
      <c r="G473" s="1" t="s">
        <v>26</v>
      </c>
      <c r="H473" s="1" t="str">
        <f t="shared" si="83"/>
        <v>20220903</v>
      </c>
      <c r="I473" s="1" t="str">
        <f>"133417"</f>
        <v>133417</v>
      </c>
      <c r="J473" s="1" t="s">
        <v>27</v>
      </c>
      <c r="K473" s="1" t="s">
        <v>28</v>
      </c>
      <c r="L473" s="1" t="str">
        <f t="shared" si="84"/>
        <v>20220903</v>
      </c>
      <c r="M473" s="1" t="str">
        <f>"134600"</f>
        <v>134600</v>
      </c>
      <c r="N473" s="1" t="s">
        <v>61</v>
      </c>
      <c r="O473" s="1" t="s">
        <v>45</v>
      </c>
      <c r="P473" s="1" t="s">
        <v>55</v>
      </c>
      <c r="Q473" s="1">
        <v>13</v>
      </c>
      <c r="R473" s="1">
        <v>13</v>
      </c>
      <c r="S473" s="1">
        <v>0</v>
      </c>
      <c r="T473" s="1">
        <v>0</v>
      </c>
      <c r="U473" s="1">
        <v>0</v>
      </c>
      <c r="V473" s="1" t="str">
        <f t="shared" si="85"/>
        <v>里程去程</v>
      </c>
      <c r="W473" s="1" t="str">
        <f>"0120"</f>
        <v>0120</v>
      </c>
      <c r="X473" s="1" t="s">
        <v>35</v>
      </c>
    </row>
    <row r="474" spans="1:24" x14ac:dyDescent="0.3">
      <c r="A474" s="1" t="str">
        <f t="shared" si="86"/>
        <v>59820</v>
      </c>
      <c r="B474" s="1" t="s">
        <v>53</v>
      </c>
      <c r="C474" s="1" t="s">
        <v>54</v>
      </c>
      <c r="D474" s="1" t="str">
        <f t="shared" si="87"/>
        <v>9801</v>
      </c>
      <c r="E474" s="1" t="s">
        <v>25</v>
      </c>
      <c r="F474" s="1" t="str">
        <f>"969889189"</f>
        <v>969889189</v>
      </c>
      <c r="G474" s="1" t="s">
        <v>33</v>
      </c>
      <c r="H474" s="1" t="str">
        <f t="shared" si="83"/>
        <v>20220903</v>
      </c>
      <c r="I474" s="1" t="str">
        <f>"145532"</f>
        <v>145532</v>
      </c>
      <c r="J474" s="1" t="s">
        <v>52</v>
      </c>
      <c r="K474" s="1" t="s">
        <v>52</v>
      </c>
      <c r="L474" s="1" t="str">
        <f t="shared" si="84"/>
        <v>20220903</v>
      </c>
      <c r="M474" s="1" t="str">
        <f>"152749"</f>
        <v>152749</v>
      </c>
      <c r="N474" s="1" t="s">
        <v>67</v>
      </c>
      <c r="O474" s="1" t="s">
        <v>52</v>
      </c>
      <c r="P474" s="1" t="s">
        <v>55</v>
      </c>
      <c r="Q474" s="1">
        <v>25</v>
      </c>
      <c r="R474" s="1">
        <v>25</v>
      </c>
      <c r="S474" s="1">
        <v>0</v>
      </c>
      <c r="T474" s="1">
        <v>0</v>
      </c>
      <c r="U474" s="1">
        <v>0</v>
      </c>
      <c r="V474" s="1" t="str">
        <f t="shared" si="85"/>
        <v>里程去程</v>
      </c>
      <c r="W474" s="1" t="str">
        <f>"2020"</f>
        <v>2020</v>
      </c>
      <c r="X474" s="1" t="s">
        <v>35</v>
      </c>
    </row>
    <row r="475" spans="1:24" x14ac:dyDescent="0.3">
      <c r="A475" s="1" t="str">
        <f t="shared" si="86"/>
        <v>59820</v>
      </c>
      <c r="B475" s="1" t="s">
        <v>53</v>
      </c>
      <c r="C475" s="1" t="s">
        <v>54</v>
      </c>
      <c r="D475" s="1" t="str">
        <f t="shared" si="87"/>
        <v>9801</v>
      </c>
      <c r="E475" s="1" t="s">
        <v>25</v>
      </c>
      <c r="F475" s="1" t="str">
        <f>"319096273"</f>
        <v>319096273</v>
      </c>
      <c r="G475" s="1" t="s">
        <v>33</v>
      </c>
      <c r="H475" s="1" t="str">
        <f t="shared" si="83"/>
        <v>20220903</v>
      </c>
      <c r="I475" s="1" t="str">
        <f>"163505"</f>
        <v>163505</v>
      </c>
      <c r="J475" s="1" t="s">
        <v>27</v>
      </c>
      <c r="K475" s="1" t="s">
        <v>28</v>
      </c>
      <c r="L475" s="1" t="str">
        <f t="shared" si="84"/>
        <v>20220903</v>
      </c>
      <c r="M475" s="1" t="str">
        <f>"170116"</f>
        <v>170116</v>
      </c>
      <c r="N475" s="1" t="s">
        <v>44</v>
      </c>
      <c r="O475" s="1" t="s">
        <v>45</v>
      </c>
      <c r="P475" s="1" t="s">
        <v>55</v>
      </c>
      <c r="Q475" s="1">
        <v>25</v>
      </c>
      <c r="R475" s="1">
        <v>25</v>
      </c>
      <c r="S475" s="1">
        <v>0</v>
      </c>
      <c r="T475" s="1">
        <v>0</v>
      </c>
      <c r="U475" s="1">
        <v>0</v>
      </c>
      <c r="V475" s="1" t="str">
        <f t="shared" si="85"/>
        <v>里程去程</v>
      </c>
      <c r="W475" s="1" t="str">
        <f>"0120"</f>
        <v>0120</v>
      </c>
      <c r="X475" s="1" t="s">
        <v>35</v>
      </c>
    </row>
    <row r="476" spans="1:24" x14ac:dyDescent="0.3">
      <c r="A476" s="1" t="str">
        <f t="shared" si="86"/>
        <v>59820</v>
      </c>
      <c r="B476" s="1" t="s">
        <v>53</v>
      </c>
      <c r="C476" s="1" t="s">
        <v>54</v>
      </c>
      <c r="D476" s="1" t="str">
        <f t="shared" si="87"/>
        <v>9801</v>
      </c>
      <c r="E476" s="1" t="s">
        <v>25</v>
      </c>
      <c r="F476" s="1" t="str">
        <f>"1305238545"</f>
        <v>1305238545</v>
      </c>
      <c r="G476" s="1" t="s">
        <v>26</v>
      </c>
      <c r="H476" s="1" t="str">
        <f t="shared" si="83"/>
        <v>20220903</v>
      </c>
      <c r="I476" s="1" t="str">
        <f>"163701"</f>
        <v>163701</v>
      </c>
      <c r="J476" s="1" t="s">
        <v>27</v>
      </c>
      <c r="K476" s="1" t="s">
        <v>28</v>
      </c>
      <c r="L476" s="1" t="str">
        <f t="shared" si="84"/>
        <v>20220903</v>
      </c>
      <c r="M476" s="1" t="str">
        <f>"170001"</f>
        <v>170001</v>
      </c>
      <c r="N476" s="1" t="s">
        <v>44</v>
      </c>
      <c r="O476" s="1" t="s">
        <v>45</v>
      </c>
      <c r="P476" s="1" t="s">
        <v>55</v>
      </c>
      <c r="Q476" s="1">
        <v>13</v>
      </c>
      <c r="R476" s="1">
        <v>13</v>
      </c>
      <c r="S476" s="1">
        <v>0</v>
      </c>
      <c r="T476" s="1">
        <v>0</v>
      </c>
      <c r="U476" s="1">
        <v>0</v>
      </c>
      <c r="V476" s="1" t="str">
        <f t="shared" si="85"/>
        <v>里程去程</v>
      </c>
      <c r="W476" s="1" t="str">
        <f>"0120"</f>
        <v>0120</v>
      </c>
      <c r="X476" s="1" t="s">
        <v>35</v>
      </c>
    </row>
    <row r="477" spans="1:24" x14ac:dyDescent="0.3">
      <c r="A477" s="1" t="str">
        <f t="shared" si="86"/>
        <v>59820</v>
      </c>
      <c r="B477" s="1" t="s">
        <v>53</v>
      </c>
      <c r="C477" s="1" t="s">
        <v>54</v>
      </c>
      <c r="D477" s="1" t="str">
        <f t="shared" si="87"/>
        <v>9801</v>
      </c>
      <c r="E477" s="1" t="s">
        <v>25</v>
      </c>
      <c r="F477" s="1" t="str">
        <f>"1769011745"</f>
        <v>1769011745</v>
      </c>
      <c r="G477" s="1" t="s">
        <v>33</v>
      </c>
      <c r="H477" s="1" t="str">
        <f t="shared" si="83"/>
        <v>20220903</v>
      </c>
      <c r="I477" s="1" t="str">
        <f>"172913"</f>
        <v>172913</v>
      </c>
      <c r="J477" s="1" t="s">
        <v>44</v>
      </c>
      <c r="K477" s="1" t="s">
        <v>45</v>
      </c>
      <c r="L477" s="1" t="str">
        <f t="shared" si="84"/>
        <v>20220903</v>
      </c>
      <c r="M477" s="1" t="str">
        <f>"174948"</f>
        <v>174948</v>
      </c>
      <c r="N477" s="1" t="s">
        <v>28</v>
      </c>
      <c r="O477" s="1" t="s">
        <v>28</v>
      </c>
      <c r="P477" s="1" t="s">
        <v>55</v>
      </c>
      <c r="Q477" s="1">
        <v>25</v>
      </c>
      <c r="R477" s="1">
        <v>25</v>
      </c>
      <c r="S477" s="1">
        <v>0</v>
      </c>
      <c r="T477" s="1">
        <v>0</v>
      </c>
      <c r="U477" s="1">
        <v>0</v>
      </c>
      <c r="V477" s="1" t="str">
        <f t="shared" ref="V477:V493" si="88">"里程返程"</f>
        <v>里程返程</v>
      </c>
      <c r="W477" s="1" t="str">
        <f>"2120"</f>
        <v>2120</v>
      </c>
      <c r="X477" s="1" t="s">
        <v>35</v>
      </c>
    </row>
    <row r="478" spans="1:24" x14ac:dyDescent="0.3">
      <c r="A478" s="1" t="str">
        <f t="shared" si="86"/>
        <v>59820</v>
      </c>
      <c r="B478" s="1" t="s">
        <v>53</v>
      </c>
      <c r="C478" s="1" t="s">
        <v>54</v>
      </c>
      <c r="D478" s="1" t="str">
        <f t="shared" si="87"/>
        <v>9801</v>
      </c>
      <c r="E478" s="1" t="s">
        <v>25</v>
      </c>
      <c r="F478" s="1" t="str">
        <f>"1255328197"</f>
        <v>1255328197</v>
      </c>
      <c r="G478" s="1" t="s">
        <v>38</v>
      </c>
      <c r="H478" s="1" t="str">
        <f t="shared" si="83"/>
        <v>20220903</v>
      </c>
      <c r="I478" s="1" t="str">
        <f>"172916"</f>
        <v>172916</v>
      </c>
      <c r="J478" s="1" t="s">
        <v>44</v>
      </c>
      <c r="K478" s="1" t="s">
        <v>45</v>
      </c>
      <c r="L478" s="1" t="str">
        <f t="shared" si="84"/>
        <v>20220903</v>
      </c>
      <c r="M478" s="1" t="str">
        <f>"175004"</f>
        <v>175004</v>
      </c>
      <c r="N478" s="1" t="s">
        <v>28</v>
      </c>
      <c r="O478" s="1" t="s">
        <v>28</v>
      </c>
      <c r="P478" s="1" t="s">
        <v>55</v>
      </c>
      <c r="Q478" s="1">
        <v>25</v>
      </c>
      <c r="R478" s="1">
        <v>25</v>
      </c>
      <c r="S478" s="1">
        <v>0</v>
      </c>
      <c r="T478" s="1">
        <v>0</v>
      </c>
      <c r="U478" s="1">
        <v>0</v>
      </c>
      <c r="V478" s="1" t="str">
        <f t="shared" si="88"/>
        <v>里程返程</v>
      </c>
      <c r="W478" s="1" t="str">
        <f>"2120"</f>
        <v>2120</v>
      </c>
      <c r="X478" s="1" t="s">
        <v>35</v>
      </c>
    </row>
    <row r="479" spans="1:24" x14ac:dyDescent="0.3">
      <c r="A479" s="1" t="str">
        <f t="shared" si="86"/>
        <v>59820</v>
      </c>
      <c r="B479" s="1" t="s">
        <v>53</v>
      </c>
      <c r="C479" s="1" t="s">
        <v>54</v>
      </c>
      <c r="D479" s="1" t="str">
        <f t="shared" si="87"/>
        <v>9801</v>
      </c>
      <c r="E479" s="1" t="s">
        <v>25</v>
      </c>
      <c r="F479" s="1" t="str">
        <f>"835995889"</f>
        <v>835995889</v>
      </c>
      <c r="G479" s="1" t="s">
        <v>33</v>
      </c>
      <c r="H479" s="1" t="str">
        <f t="shared" si="83"/>
        <v>20220903</v>
      </c>
      <c r="I479" s="1" t="str">
        <f>"185701"</f>
        <v>185701</v>
      </c>
      <c r="J479" s="1" t="s">
        <v>28</v>
      </c>
      <c r="K479" s="1" t="s">
        <v>28</v>
      </c>
      <c r="L479" s="1" t="str">
        <f t="shared" si="84"/>
        <v>20220903</v>
      </c>
      <c r="M479" s="1" t="str">
        <f>"192842"</f>
        <v>192842</v>
      </c>
      <c r="N479" s="1" t="s">
        <v>52</v>
      </c>
      <c r="O479" s="1" t="s">
        <v>52</v>
      </c>
      <c r="P479" s="1" t="s">
        <v>55</v>
      </c>
      <c r="Q479" s="1">
        <v>25</v>
      </c>
      <c r="R479" s="1">
        <v>25</v>
      </c>
      <c r="S479" s="1">
        <v>0</v>
      </c>
      <c r="T479" s="1">
        <v>0</v>
      </c>
      <c r="U479" s="1">
        <v>0</v>
      </c>
      <c r="V479" s="1" t="str">
        <f t="shared" si="88"/>
        <v>里程返程</v>
      </c>
      <c r="W479" s="1" t="str">
        <f>"0920"</f>
        <v>0920</v>
      </c>
      <c r="X479" s="1" t="s">
        <v>35</v>
      </c>
    </row>
    <row r="480" spans="1:24" x14ac:dyDescent="0.3">
      <c r="A480" s="1" t="str">
        <f t="shared" ref="A480:A504" si="89">"59825"</f>
        <v>59825</v>
      </c>
      <c r="B480" s="1" t="s">
        <v>30</v>
      </c>
      <c r="C480" s="1" t="s">
        <v>31</v>
      </c>
      <c r="D480" s="1" t="str">
        <f t="shared" si="87"/>
        <v>9801</v>
      </c>
      <c r="E480" s="1" t="s">
        <v>25</v>
      </c>
      <c r="F480" s="1" t="str">
        <f>"1725435766"</f>
        <v>1725435766</v>
      </c>
      <c r="G480" s="1" t="s">
        <v>26</v>
      </c>
      <c r="H480" s="1" t="str">
        <f t="shared" si="83"/>
        <v>20220903</v>
      </c>
      <c r="I480" s="1" t="str">
        <f>"083026"</f>
        <v>083026</v>
      </c>
      <c r="J480" s="1" t="s">
        <v>44</v>
      </c>
      <c r="K480" s="1" t="s">
        <v>45</v>
      </c>
      <c r="L480" s="1" t="str">
        <f t="shared" si="84"/>
        <v>20220903</v>
      </c>
      <c r="M480" s="1" t="str">
        <f>"084332"</f>
        <v>084332</v>
      </c>
      <c r="N480" s="1" t="s">
        <v>45</v>
      </c>
      <c r="O480" s="1" t="s">
        <v>45</v>
      </c>
      <c r="P480" s="1" t="s">
        <v>55</v>
      </c>
      <c r="Q480" s="1">
        <v>13</v>
      </c>
      <c r="R480" s="1">
        <v>0</v>
      </c>
      <c r="S480" s="1">
        <v>13</v>
      </c>
      <c r="T480" s="1">
        <v>0</v>
      </c>
      <c r="U480" s="1">
        <v>0</v>
      </c>
      <c r="V480" s="1" t="str">
        <f t="shared" si="88"/>
        <v>里程返程</v>
      </c>
      <c r="W480" s="1" t="str">
        <f>"2120"</f>
        <v>2120</v>
      </c>
      <c r="X480" s="1" t="s">
        <v>35</v>
      </c>
    </row>
    <row r="481" spans="1:24" x14ac:dyDescent="0.3">
      <c r="A481" s="1" t="str">
        <f t="shared" si="89"/>
        <v>59825</v>
      </c>
      <c r="B481" s="1" t="s">
        <v>30</v>
      </c>
      <c r="C481" s="1" t="s">
        <v>31</v>
      </c>
      <c r="D481" s="1" t="str">
        <f t="shared" si="87"/>
        <v>9801</v>
      </c>
      <c r="E481" s="1" t="s">
        <v>25</v>
      </c>
      <c r="F481" s="1" t="str">
        <f>"244993935"</f>
        <v>244993935</v>
      </c>
      <c r="G481" s="1" t="s">
        <v>33</v>
      </c>
      <c r="H481" s="1" t="str">
        <f t="shared" si="83"/>
        <v>20220903</v>
      </c>
      <c r="I481" s="1" t="str">
        <f>"083514"</f>
        <v>083514</v>
      </c>
      <c r="J481" s="1" t="s">
        <v>100</v>
      </c>
      <c r="K481" s="1" t="s">
        <v>45</v>
      </c>
      <c r="L481" s="1" t="str">
        <f t="shared" si="84"/>
        <v>20220903</v>
      </c>
      <c r="M481" s="1" t="str">
        <f>"085238"</f>
        <v>085238</v>
      </c>
      <c r="N481" s="1" t="s">
        <v>28</v>
      </c>
      <c r="O481" s="1" t="s">
        <v>28</v>
      </c>
      <c r="P481" s="1" t="s">
        <v>55</v>
      </c>
      <c r="Q481" s="1">
        <v>25</v>
      </c>
      <c r="R481" s="1">
        <v>25</v>
      </c>
      <c r="S481" s="1">
        <v>0</v>
      </c>
      <c r="T481" s="1">
        <v>0</v>
      </c>
      <c r="U481" s="1">
        <v>0</v>
      </c>
      <c r="V481" s="1" t="str">
        <f t="shared" si="88"/>
        <v>里程返程</v>
      </c>
      <c r="W481" s="1" t="str">
        <f>"0920"</f>
        <v>0920</v>
      </c>
      <c r="X481" s="1" t="s">
        <v>35</v>
      </c>
    </row>
    <row r="482" spans="1:24" x14ac:dyDescent="0.3">
      <c r="A482" s="1" t="str">
        <f t="shared" si="89"/>
        <v>59825</v>
      </c>
      <c r="B482" s="1" t="s">
        <v>30</v>
      </c>
      <c r="C482" s="1" t="s">
        <v>31</v>
      </c>
      <c r="D482" s="1" t="str">
        <f t="shared" si="87"/>
        <v>9801</v>
      </c>
      <c r="E482" s="1" t="s">
        <v>25</v>
      </c>
      <c r="F482" s="1" t="str">
        <f>"1060614593"</f>
        <v>1060614593</v>
      </c>
      <c r="G482" s="1" t="s">
        <v>33</v>
      </c>
      <c r="H482" s="1" t="str">
        <f t="shared" si="83"/>
        <v>20220903</v>
      </c>
      <c r="I482" s="1" t="str">
        <f>"092835"</f>
        <v>092835</v>
      </c>
      <c r="J482" s="1" t="s">
        <v>44</v>
      </c>
      <c r="K482" s="1" t="s">
        <v>45</v>
      </c>
      <c r="L482" s="1" t="str">
        <f t="shared" si="84"/>
        <v>20220903</v>
      </c>
      <c r="M482" s="1" t="str">
        <f>"095306"</f>
        <v>095306</v>
      </c>
      <c r="N482" s="1" t="s">
        <v>28</v>
      </c>
      <c r="O482" s="1" t="s">
        <v>28</v>
      </c>
      <c r="P482" s="1" t="s">
        <v>55</v>
      </c>
      <c r="Q482" s="1">
        <v>25</v>
      </c>
      <c r="R482" s="1">
        <v>25</v>
      </c>
      <c r="S482" s="1">
        <v>0</v>
      </c>
      <c r="T482" s="1">
        <v>0</v>
      </c>
      <c r="U482" s="1">
        <v>0</v>
      </c>
      <c r="V482" s="1" t="str">
        <f t="shared" si="88"/>
        <v>里程返程</v>
      </c>
      <c r="W482" s="1" t="str">
        <f>"2120"</f>
        <v>2120</v>
      </c>
      <c r="X482" s="1" t="s">
        <v>35</v>
      </c>
    </row>
    <row r="483" spans="1:24" x14ac:dyDescent="0.3">
      <c r="A483" s="1" t="str">
        <f t="shared" si="89"/>
        <v>59825</v>
      </c>
      <c r="B483" s="1" t="s">
        <v>30</v>
      </c>
      <c r="C483" s="1" t="s">
        <v>31</v>
      </c>
      <c r="D483" s="1" t="str">
        <f t="shared" si="87"/>
        <v>9801</v>
      </c>
      <c r="E483" s="1" t="s">
        <v>25</v>
      </c>
      <c r="F483" s="1" t="str">
        <f>"946133157"</f>
        <v>946133157</v>
      </c>
      <c r="G483" s="1" t="s">
        <v>33</v>
      </c>
      <c r="H483" s="1" t="str">
        <f t="shared" ref="H483:H514" si="90">"20220903"</f>
        <v>20220903</v>
      </c>
      <c r="I483" s="1" t="str">
        <f>"095326"</f>
        <v>095326</v>
      </c>
      <c r="J483" s="1" t="s">
        <v>28</v>
      </c>
      <c r="K483" s="1" t="s">
        <v>28</v>
      </c>
      <c r="L483" s="1" t="str">
        <f t="shared" ref="L483:L514" si="91">"20220903"</f>
        <v>20220903</v>
      </c>
      <c r="M483" s="1" t="str">
        <f>"101359"</f>
        <v>101359</v>
      </c>
      <c r="N483" s="1" t="s">
        <v>80</v>
      </c>
      <c r="O483" s="1" t="s">
        <v>52</v>
      </c>
      <c r="P483" s="1" t="s">
        <v>55</v>
      </c>
      <c r="Q483" s="1">
        <v>25</v>
      </c>
      <c r="R483" s="1">
        <v>25</v>
      </c>
      <c r="S483" s="1">
        <v>0</v>
      </c>
      <c r="T483" s="1">
        <v>0</v>
      </c>
      <c r="U483" s="1">
        <v>0</v>
      </c>
      <c r="V483" s="1" t="str">
        <f t="shared" si="88"/>
        <v>里程返程</v>
      </c>
      <c r="W483" s="1" t="str">
        <f>"0320"</f>
        <v>0320</v>
      </c>
      <c r="X483" s="1" t="s">
        <v>35</v>
      </c>
    </row>
    <row r="484" spans="1:24" x14ac:dyDescent="0.3">
      <c r="A484" s="1" t="str">
        <f t="shared" si="89"/>
        <v>59825</v>
      </c>
      <c r="B484" s="1" t="s">
        <v>30</v>
      </c>
      <c r="C484" s="1" t="s">
        <v>31</v>
      </c>
      <c r="D484" s="1" t="str">
        <f t="shared" si="87"/>
        <v>9801</v>
      </c>
      <c r="E484" s="1" t="s">
        <v>25</v>
      </c>
      <c r="F484" s="1" t="str">
        <f>"642910863"</f>
        <v>642910863</v>
      </c>
      <c r="G484" s="1" t="s">
        <v>33</v>
      </c>
      <c r="H484" s="1" t="str">
        <f t="shared" si="90"/>
        <v>20220903</v>
      </c>
      <c r="I484" s="1" t="str">
        <f>"095340"</f>
        <v>095340</v>
      </c>
      <c r="J484" s="1" t="s">
        <v>28</v>
      </c>
      <c r="K484" s="1" t="s">
        <v>28</v>
      </c>
      <c r="L484" s="1" t="str">
        <f t="shared" si="91"/>
        <v>20220903</v>
      </c>
      <c r="M484" s="1" t="str">
        <f>"102540"</f>
        <v>102540</v>
      </c>
      <c r="N484" s="1" t="s">
        <v>52</v>
      </c>
      <c r="O484" s="1" t="s">
        <v>52</v>
      </c>
      <c r="P484" s="1" t="s">
        <v>55</v>
      </c>
      <c r="Q484" s="1">
        <v>25</v>
      </c>
      <c r="R484" s="1">
        <v>25</v>
      </c>
      <c r="S484" s="1">
        <v>0</v>
      </c>
      <c r="T484" s="1">
        <v>0</v>
      </c>
      <c r="U484" s="1">
        <v>0</v>
      </c>
      <c r="V484" s="1" t="str">
        <f t="shared" si="88"/>
        <v>里程返程</v>
      </c>
      <c r="W484" s="1" t="str">
        <f>"0820"</f>
        <v>0820</v>
      </c>
      <c r="X484" s="1" t="s">
        <v>35</v>
      </c>
    </row>
    <row r="485" spans="1:24" x14ac:dyDescent="0.3">
      <c r="A485" s="1" t="str">
        <f t="shared" si="89"/>
        <v>59825</v>
      </c>
      <c r="B485" s="1" t="s">
        <v>30</v>
      </c>
      <c r="C485" s="1" t="s">
        <v>31</v>
      </c>
      <c r="D485" s="1" t="str">
        <f t="shared" si="87"/>
        <v>9801</v>
      </c>
      <c r="E485" s="1" t="s">
        <v>25</v>
      </c>
      <c r="F485" s="1" t="str">
        <f>"969889189"</f>
        <v>969889189</v>
      </c>
      <c r="G485" s="1" t="s">
        <v>33</v>
      </c>
      <c r="H485" s="1" t="str">
        <f t="shared" si="90"/>
        <v>20220903</v>
      </c>
      <c r="I485" s="1" t="str">
        <f>"100631"</f>
        <v>100631</v>
      </c>
      <c r="J485" s="1" t="s">
        <v>67</v>
      </c>
      <c r="K485" s="1" t="s">
        <v>52</v>
      </c>
      <c r="L485" s="1" t="str">
        <f t="shared" si="91"/>
        <v>20220903</v>
      </c>
      <c r="M485" s="1" t="str">
        <f>"102543"</f>
        <v>102543</v>
      </c>
      <c r="N485" s="1" t="s">
        <v>52</v>
      </c>
      <c r="O485" s="1" t="s">
        <v>52</v>
      </c>
      <c r="P485" s="1" t="s">
        <v>55</v>
      </c>
      <c r="Q485" s="1">
        <v>25</v>
      </c>
      <c r="R485" s="1">
        <v>25</v>
      </c>
      <c r="S485" s="1">
        <v>0</v>
      </c>
      <c r="T485" s="1">
        <v>0</v>
      </c>
      <c r="U485" s="1">
        <v>0</v>
      </c>
      <c r="V485" s="1" t="str">
        <f t="shared" si="88"/>
        <v>里程返程</v>
      </c>
      <c r="W485" s="1" t="str">
        <f>"2020"</f>
        <v>2020</v>
      </c>
      <c r="X485" s="1" t="s">
        <v>35</v>
      </c>
    </row>
    <row r="486" spans="1:24" x14ac:dyDescent="0.3">
      <c r="A486" s="1" t="str">
        <f t="shared" si="89"/>
        <v>59825</v>
      </c>
      <c r="B486" s="1" t="s">
        <v>30</v>
      </c>
      <c r="C486" s="1" t="s">
        <v>31</v>
      </c>
      <c r="D486" s="1" t="str">
        <f t="shared" si="87"/>
        <v>9801</v>
      </c>
      <c r="E486" s="1" t="s">
        <v>25</v>
      </c>
      <c r="F486" s="1" t="str">
        <f>"1658104480"</f>
        <v>1658104480</v>
      </c>
      <c r="G486" s="1" t="s">
        <v>33</v>
      </c>
      <c r="H486" s="1" t="str">
        <f t="shared" si="90"/>
        <v>20220903</v>
      </c>
      <c r="I486" s="1" t="str">
        <f>"105552"</f>
        <v>105552</v>
      </c>
      <c r="J486" s="1" t="s">
        <v>28</v>
      </c>
      <c r="K486" s="1" t="s">
        <v>28</v>
      </c>
      <c r="L486" s="1" t="str">
        <f t="shared" si="91"/>
        <v>20220903</v>
      </c>
      <c r="M486" s="1" t="str">
        <f>"110752"</f>
        <v>110752</v>
      </c>
      <c r="N486" s="1" t="s">
        <v>78</v>
      </c>
      <c r="O486" s="1" t="s">
        <v>52</v>
      </c>
      <c r="P486" s="1" t="s">
        <v>55</v>
      </c>
      <c r="Q486" s="1">
        <v>25</v>
      </c>
      <c r="R486" s="1">
        <v>25</v>
      </c>
      <c r="S486" s="1">
        <v>0</v>
      </c>
      <c r="T486" s="1">
        <v>0</v>
      </c>
      <c r="U486" s="1">
        <v>0</v>
      </c>
      <c r="V486" s="1" t="str">
        <f t="shared" si="88"/>
        <v>里程返程</v>
      </c>
      <c r="W486" s="1" t="str">
        <f>"2120"</f>
        <v>2120</v>
      </c>
      <c r="X486" s="1" t="s">
        <v>35</v>
      </c>
    </row>
    <row r="487" spans="1:24" x14ac:dyDescent="0.3">
      <c r="A487" s="1" t="str">
        <f t="shared" si="89"/>
        <v>59825</v>
      </c>
      <c r="B487" s="1" t="s">
        <v>30</v>
      </c>
      <c r="C487" s="1" t="s">
        <v>31</v>
      </c>
      <c r="D487" s="1" t="str">
        <f t="shared" si="87"/>
        <v>9801</v>
      </c>
      <c r="E487" s="1" t="s">
        <v>25</v>
      </c>
      <c r="F487" s="1" t="str">
        <f>"951029585"</f>
        <v>951029585</v>
      </c>
      <c r="G487" s="1" t="s">
        <v>33</v>
      </c>
      <c r="H487" s="1" t="str">
        <f t="shared" si="90"/>
        <v>20220903</v>
      </c>
      <c r="I487" s="1" t="str">
        <f>"105652"</f>
        <v>105652</v>
      </c>
      <c r="J487" s="1" t="s">
        <v>28</v>
      </c>
      <c r="K487" s="1" t="s">
        <v>28</v>
      </c>
      <c r="L487" s="1" t="str">
        <f t="shared" si="91"/>
        <v>20220903</v>
      </c>
      <c r="M487" s="1" t="str">
        <f>"111917"</f>
        <v>111917</v>
      </c>
      <c r="N487" s="1" t="s">
        <v>65</v>
      </c>
      <c r="O487" s="1" t="s">
        <v>52</v>
      </c>
      <c r="P487" s="1" t="s">
        <v>55</v>
      </c>
      <c r="Q487" s="1">
        <v>25</v>
      </c>
      <c r="R487" s="1">
        <v>25</v>
      </c>
      <c r="S487" s="1">
        <v>0</v>
      </c>
      <c r="T487" s="1">
        <v>0</v>
      </c>
      <c r="U487" s="1">
        <v>0</v>
      </c>
      <c r="V487" s="1" t="str">
        <f t="shared" si="88"/>
        <v>里程返程</v>
      </c>
      <c r="W487" s="1" t="str">
        <f>"2120"</f>
        <v>2120</v>
      </c>
      <c r="X487" s="1" t="s">
        <v>35</v>
      </c>
    </row>
    <row r="488" spans="1:24" x14ac:dyDescent="0.3">
      <c r="A488" s="1" t="str">
        <f t="shared" si="89"/>
        <v>59825</v>
      </c>
      <c r="B488" s="1" t="s">
        <v>30</v>
      </c>
      <c r="C488" s="1" t="s">
        <v>31</v>
      </c>
      <c r="D488" s="1" t="str">
        <f t="shared" si="87"/>
        <v>9801</v>
      </c>
      <c r="E488" s="1" t="s">
        <v>25</v>
      </c>
      <c r="F488" s="1" t="str">
        <f>"831336213"</f>
        <v>831336213</v>
      </c>
      <c r="G488" s="1" t="s">
        <v>33</v>
      </c>
      <c r="H488" s="1" t="str">
        <f t="shared" si="90"/>
        <v>20220903</v>
      </c>
      <c r="I488" s="1" t="str">
        <f>"105659"</f>
        <v>105659</v>
      </c>
      <c r="J488" s="1" t="s">
        <v>28</v>
      </c>
      <c r="K488" s="1" t="s">
        <v>28</v>
      </c>
      <c r="L488" s="1" t="str">
        <f t="shared" si="91"/>
        <v>20220903</v>
      </c>
      <c r="M488" s="1" t="str">
        <f>"112055"</f>
        <v>112055</v>
      </c>
      <c r="N488" s="1" t="s">
        <v>72</v>
      </c>
      <c r="O488" s="1" t="s">
        <v>52</v>
      </c>
      <c r="P488" s="1" t="s">
        <v>55</v>
      </c>
      <c r="Q488" s="1">
        <v>25</v>
      </c>
      <c r="R488" s="1">
        <v>25</v>
      </c>
      <c r="S488" s="1">
        <v>0</v>
      </c>
      <c r="T488" s="1">
        <v>0</v>
      </c>
      <c r="U488" s="1">
        <v>0</v>
      </c>
      <c r="V488" s="1" t="str">
        <f t="shared" si="88"/>
        <v>里程返程</v>
      </c>
      <c r="W488" s="1" t="str">
        <f>"2320"</f>
        <v>2320</v>
      </c>
      <c r="X488" s="1" t="s">
        <v>35</v>
      </c>
    </row>
    <row r="489" spans="1:24" x14ac:dyDescent="0.3">
      <c r="A489" s="1" t="str">
        <f t="shared" si="89"/>
        <v>59825</v>
      </c>
      <c r="B489" s="1" t="s">
        <v>30</v>
      </c>
      <c r="C489" s="1" t="s">
        <v>31</v>
      </c>
      <c r="D489" s="1" t="str">
        <f t="shared" si="87"/>
        <v>9801</v>
      </c>
      <c r="E489" s="1" t="s">
        <v>25</v>
      </c>
      <c r="F489" s="1" t="str">
        <f>"1051369429"</f>
        <v>1051369429</v>
      </c>
      <c r="G489" s="1" t="s">
        <v>33</v>
      </c>
      <c r="H489" s="1" t="str">
        <f t="shared" si="90"/>
        <v>20220903</v>
      </c>
      <c r="I489" s="1" t="str">
        <f>"105702"</f>
        <v>105702</v>
      </c>
      <c r="J489" s="1" t="s">
        <v>28</v>
      </c>
      <c r="K489" s="1" t="s">
        <v>28</v>
      </c>
      <c r="L489" s="1" t="str">
        <f t="shared" si="91"/>
        <v>20220903</v>
      </c>
      <c r="M489" s="1" t="str">
        <f>"111618"</f>
        <v>111618</v>
      </c>
      <c r="N489" s="1" t="s">
        <v>97</v>
      </c>
      <c r="O489" s="1" t="s">
        <v>52</v>
      </c>
      <c r="P489" s="1" t="s">
        <v>55</v>
      </c>
      <c r="Q489" s="1">
        <v>25</v>
      </c>
      <c r="R489" s="1">
        <v>0</v>
      </c>
      <c r="S489" s="1">
        <v>25</v>
      </c>
      <c r="T489" s="1">
        <v>0</v>
      </c>
      <c r="U489" s="1">
        <v>0</v>
      </c>
      <c r="V489" s="1" t="str">
        <f t="shared" si="88"/>
        <v>里程返程</v>
      </c>
      <c r="W489" s="1" t="str">
        <f>"2120"</f>
        <v>2120</v>
      </c>
      <c r="X489" s="1" t="s">
        <v>35</v>
      </c>
    </row>
    <row r="490" spans="1:24" x14ac:dyDescent="0.3">
      <c r="A490" s="1" t="str">
        <f t="shared" si="89"/>
        <v>59825</v>
      </c>
      <c r="B490" s="1" t="s">
        <v>30</v>
      </c>
      <c r="C490" s="1" t="s">
        <v>31</v>
      </c>
      <c r="D490" s="1" t="str">
        <f t="shared" si="87"/>
        <v>9801</v>
      </c>
      <c r="E490" s="1" t="s">
        <v>25</v>
      </c>
      <c r="F490" s="1" t="str">
        <f>"2094463244"</f>
        <v>2094463244</v>
      </c>
      <c r="G490" s="1" t="s">
        <v>33</v>
      </c>
      <c r="H490" s="1" t="str">
        <f t="shared" si="90"/>
        <v>20220903</v>
      </c>
      <c r="I490" s="1" t="str">
        <f>"105704"</f>
        <v>105704</v>
      </c>
      <c r="J490" s="1" t="s">
        <v>28</v>
      </c>
      <c r="K490" s="1" t="s">
        <v>28</v>
      </c>
      <c r="L490" s="1" t="str">
        <f t="shared" si="91"/>
        <v>20220903</v>
      </c>
      <c r="M490" s="1" t="str">
        <f>"111609"</f>
        <v>111609</v>
      </c>
      <c r="N490" s="1" t="s">
        <v>97</v>
      </c>
      <c r="O490" s="1" t="s">
        <v>52</v>
      </c>
      <c r="P490" s="1" t="s">
        <v>55</v>
      </c>
      <c r="Q490" s="1">
        <v>25</v>
      </c>
      <c r="R490" s="1">
        <v>0</v>
      </c>
      <c r="S490" s="1">
        <v>25</v>
      </c>
      <c r="T490" s="1">
        <v>0</v>
      </c>
      <c r="U490" s="1">
        <v>0</v>
      </c>
      <c r="V490" s="1" t="str">
        <f t="shared" si="88"/>
        <v>里程返程</v>
      </c>
      <c r="W490" s="1" t="str">
        <f>"2120"</f>
        <v>2120</v>
      </c>
      <c r="X490" s="1" t="s">
        <v>35</v>
      </c>
    </row>
    <row r="491" spans="1:24" x14ac:dyDescent="0.3">
      <c r="A491" s="1" t="str">
        <f t="shared" si="89"/>
        <v>59825</v>
      </c>
      <c r="B491" s="1" t="s">
        <v>30</v>
      </c>
      <c r="C491" s="1" t="s">
        <v>31</v>
      </c>
      <c r="D491" s="1" t="str">
        <f t="shared" si="87"/>
        <v>9801</v>
      </c>
      <c r="E491" s="1" t="s">
        <v>25</v>
      </c>
      <c r="F491" s="1" t="str">
        <f>"158886069"</f>
        <v>158886069</v>
      </c>
      <c r="G491" s="1" t="s">
        <v>33</v>
      </c>
      <c r="H491" s="1" t="str">
        <f t="shared" si="90"/>
        <v>20220903</v>
      </c>
      <c r="I491" s="1" t="str">
        <f>"115611"</f>
        <v>115611</v>
      </c>
      <c r="J491" s="1" t="s">
        <v>28</v>
      </c>
      <c r="K491" s="1" t="s">
        <v>28</v>
      </c>
      <c r="L491" s="1" t="str">
        <f t="shared" si="91"/>
        <v>20220903</v>
      </c>
      <c r="M491" s="1" t="str">
        <f>"121946"</f>
        <v>121946</v>
      </c>
      <c r="N491" s="1" t="s">
        <v>71</v>
      </c>
      <c r="O491" s="1" t="s">
        <v>52</v>
      </c>
      <c r="P491" s="1" t="s">
        <v>55</v>
      </c>
      <c r="Q491" s="1">
        <v>25</v>
      </c>
      <c r="R491" s="1">
        <v>0</v>
      </c>
      <c r="S491" s="1">
        <v>25</v>
      </c>
      <c r="T491" s="1">
        <v>0</v>
      </c>
      <c r="U491" s="1">
        <v>0</v>
      </c>
      <c r="V491" s="1" t="str">
        <f t="shared" si="88"/>
        <v>里程返程</v>
      </c>
      <c r="W491" s="1" t="str">
        <f>"0820"</f>
        <v>0820</v>
      </c>
      <c r="X491" s="1" t="s">
        <v>35</v>
      </c>
    </row>
    <row r="492" spans="1:24" x14ac:dyDescent="0.3">
      <c r="A492" s="1" t="str">
        <f t="shared" si="89"/>
        <v>59825</v>
      </c>
      <c r="B492" s="1" t="s">
        <v>30</v>
      </c>
      <c r="C492" s="1" t="s">
        <v>31</v>
      </c>
      <c r="D492" s="1" t="str">
        <f t="shared" si="87"/>
        <v>9801</v>
      </c>
      <c r="E492" s="1" t="s">
        <v>25</v>
      </c>
      <c r="F492" s="1" t="str">
        <f>"1256518469"</f>
        <v>1256518469</v>
      </c>
      <c r="G492" s="1" t="s">
        <v>33</v>
      </c>
      <c r="H492" s="1" t="str">
        <f t="shared" si="90"/>
        <v>20220903</v>
      </c>
      <c r="I492" s="1" t="str">
        <f>"115613"</f>
        <v>115613</v>
      </c>
      <c r="J492" s="1" t="s">
        <v>28</v>
      </c>
      <c r="K492" s="1" t="s">
        <v>28</v>
      </c>
      <c r="L492" s="1" t="str">
        <f t="shared" si="91"/>
        <v>20220903</v>
      </c>
      <c r="M492" s="1" t="str">
        <f>"121943"</f>
        <v>121943</v>
      </c>
      <c r="N492" s="1" t="s">
        <v>71</v>
      </c>
      <c r="O492" s="1" t="s">
        <v>52</v>
      </c>
      <c r="P492" s="1" t="s">
        <v>55</v>
      </c>
      <c r="Q492" s="1">
        <v>25</v>
      </c>
      <c r="R492" s="1">
        <v>0</v>
      </c>
      <c r="S492" s="1">
        <v>25</v>
      </c>
      <c r="T492" s="1">
        <v>0</v>
      </c>
      <c r="U492" s="1">
        <v>0</v>
      </c>
      <c r="V492" s="1" t="str">
        <f t="shared" si="88"/>
        <v>里程返程</v>
      </c>
      <c r="W492" s="1" t="str">
        <f>"0820"</f>
        <v>0820</v>
      </c>
      <c r="X492" s="1" t="s">
        <v>35</v>
      </c>
    </row>
    <row r="493" spans="1:24" x14ac:dyDescent="0.3">
      <c r="A493" s="1" t="str">
        <f t="shared" si="89"/>
        <v>59825</v>
      </c>
      <c r="B493" s="1" t="s">
        <v>30</v>
      </c>
      <c r="C493" s="1" t="s">
        <v>31</v>
      </c>
      <c r="D493" s="1" t="str">
        <f t="shared" si="87"/>
        <v>9801</v>
      </c>
      <c r="E493" s="1" t="s">
        <v>25</v>
      </c>
      <c r="F493" s="1" t="str">
        <f>"2621352495"</f>
        <v>2621352495</v>
      </c>
      <c r="G493" s="1" t="s">
        <v>33</v>
      </c>
      <c r="H493" s="1" t="str">
        <f t="shared" si="90"/>
        <v>20220903</v>
      </c>
      <c r="I493" s="1" t="str">
        <f>"115616"</f>
        <v>115616</v>
      </c>
      <c r="J493" s="1" t="s">
        <v>28</v>
      </c>
      <c r="K493" s="1" t="s">
        <v>28</v>
      </c>
      <c r="L493" s="1" t="str">
        <f t="shared" si="91"/>
        <v>20220903</v>
      </c>
      <c r="M493" s="1" t="str">
        <f>"122812"</f>
        <v>122812</v>
      </c>
      <c r="N493" s="1" t="s">
        <v>52</v>
      </c>
      <c r="O493" s="1" t="s">
        <v>52</v>
      </c>
      <c r="P493" s="1" t="s">
        <v>55</v>
      </c>
      <c r="Q493" s="1">
        <v>25</v>
      </c>
      <c r="R493" s="1">
        <v>0</v>
      </c>
      <c r="S493" s="1">
        <v>25</v>
      </c>
      <c r="T493" s="1">
        <v>0</v>
      </c>
      <c r="U493" s="1">
        <v>0</v>
      </c>
      <c r="V493" s="1" t="str">
        <f t="shared" si="88"/>
        <v>里程返程</v>
      </c>
      <c r="W493" s="1" t="str">
        <f>"0820"</f>
        <v>0820</v>
      </c>
      <c r="X493" s="1" t="s">
        <v>35</v>
      </c>
    </row>
    <row r="494" spans="1:24" x14ac:dyDescent="0.3">
      <c r="A494" s="1" t="str">
        <f t="shared" si="89"/>
        <v>59825</v>
      </c>
      <c r="B494" s="1" t="s">
        <v>30</v>
      </c>
      <c r="C494" s="1" t="s">
        <v>31</v>
      </c>
      <c r="D494" s="1" t="str">
        <f>"9805"</f>
        <v>9805</v>
      </c>
      <c r="E494" s="1" t="s">
        <v>57</v>
      </c>
      <c r="F494" s="1" t="str">
        <f>"1276728709"</f>
        <v>1276728709</v>
      </c>
      <c r="G494" s="1" t="s">
        <v>33</v>
      </c>
      <c r="H494" s="1" t="str">
        <f t="shared" si="90"/>
        <v>20220903</v>
      </c>
      <c r="I494" s="1" t="str">
        <f>"142614"</f>
        <v>142614</v>
      </c>
      <c r="J494" s="1" t="s">
        <v>28</v>
      </c>
      <c r="K494" s="1" t="s">
        <v>28</v>
      </c>
      <c r="L494" s="1" t="str">
        <f t="shared" si="91"/>
        <v>20220903</v>
      </c>
      <c r="M494" s="1" t="str">
        <f>"144823"</f>
        <v>144823</v>
      </c>
      <c r="N494" s="1" t="s">
        <v>52</v>
      </c>
      <c r="O494" s="1" t="s">
        <v>52</v>
      </c>
      <c r="P494" s="1" t="s">
        <v>55</v>
      </c>
      <c r="Q494" s="1">
        <v>25</v>
      </c>
      <c r="R494" s="1">
        <v>0</v>
      </c>
      <c r="S494" s="1">
        <v>25</v>
      </c>
      <c r="T494" s="1">
        <v>0</v>
      </c>
      <c r="U494" s="1">
        <v>0</v>
      </c>
      <c r="V494" s="1" t="str">
        <f>"里程去程"</f>
        <v>里程去程</v>
      </c>
      <c r="W494" s="1" t="str">
        <f>"2120"</f>
        <v>2120</v>
      </c>
      <c r="X494" s="1" t="s">
        <v>35</v>
      </c>
    </row>
    <row r="495" spans="1:24" x14ac:dyDescent="0.3">
      <c r="A495" s="1" t="str">
        <f t="shared" si="89"/>
        <v>59825</v>
      </c>
      <c r="B495" s="1" t="s">
        <v>30</v>
      </c>
      <c r="C495" s="1" t="s">
        <v>31</v>
      </c>
      <c r="D495" s="1" t="str">
        <f>"9805"</f>
        <v>9805</v>
      </c>
      <c r="E495" s="1" t="s">
        <v>57</v>
      </c>
      <c r="F495" s="1" t="str">
        <f>"1874287329"</f>
        <v>1874287329</v>
      </c>
      <c r="G495" s="1" t="s">
        <v>33</v>
      </c>
      <c r="H495" s="1" t="str">
        <f t="shared" si="90"/>
        <v>20220903</v>
      </c>
      <c r="I495" s="1" t="str">
        <f>"144858"</f>
        <v>144858</v>
      </c>
      <c r="J495" s="1" t="s">
        <v>52</v>
      </c>
      <c r="K495" s="1" t="s">
        <v>52</v>
      </c>
      <c r="L495" s="1" t="str">
        <f t="shared" si="91"/>
        <v>20220903</v>
      </c>
      <c r="M495" s="1" t="str">
        <f>"151042"</f>
        <v>151042</v>
      </c>
      <c r="N495" s="1" t="s">
        <v>28</v>
      </c>
      <c r="O495" s="1" t="s">
        <v>28</v>
      </c>
      <c r="P495" s="1" t="s">
        <v>55</v>
      </c>
      <c r="Q495" s="1">
        <v>25</v>
      </c>
      <c r="R495" s="1">
        <v>25</v>
      </c>
      <c r="S495" s="1">
        <v>0</v>
      </c>
      <c r="T495" s="1">
        <v>0</v>
      </c>
      <c r="U495" s="1">
        <v>0</v>
      </c>
      <c r="V495" s="1" t="str">
        <f t="shared" ref="V495:V511" si="92">"里程返程"</f>
        <v>里程返程</v>
      </c>
      <c r="W495" s="1" t="str">
        <f>"2120"</f>
        <v>2120</v>
      </c>
      <c r="X495" s="1" t="s">
        <v>35</v>
      </c>
    </row>
    <row r="496" spans="1:24" x14ac:dyDescent="0.3">
      <c r="A496" s="1" t="str">
        <f t="shared" si="89"/>
        <v>59825</v>
      </c>
      <c r="B496" s="1" t="s">
        <v>30</v>
      </c>
      <c r="C496" s="1" t="s">
        <v>31</v>
      </c>
      <c r="D496" s="1" t="str">
        <f>"9805"</f>
        <v>9805</v>
      </c>
      <c r="E496" s="1" t="s">
        <v>57</v>
      </c>
      <c r="F496" s="1" t="str">
        <f>"1762059009"</f>
        <v>1762059009</v>
      </c>
      <c r="G496" s="1" t="s">
        <v>33</v>
      </c>
      <c r="H496" s="1" t="str">
        <f t="shared" si="90"/>
        <v>20220903</v>
      </c>
      <c r="I496" s="1" t="str">
        <f>"144943"</f>
        <v>144943</v>
      </c>
      <c r="J496" s="1" t="s">
        <v>52</v>
      </c>
      <c r="K496" s="1" t="s">
        <v>52</v>
      </c>
      <c r="L496" s="1" t="str">
        <f t="shared" si="91"/>
        <v>20220903</v>
      </c>
      <c r="M496" s="1" t="str">
        <f>"151015"</f>
        <v>151015</v>
      </c>
      <c r="N496" s="1" t="s">
        <v>95</v>
      </c>
      <c r="O496" s="1" t="s">
        <v>28</v>
      </c>
      <c r="P496" s="1" t="s">
        <v>55</v>
      </c>
      <c r="Q496" s="1">
        <v>25</v>
      </c>
      <c r="R496" s="1">
        <v>25</v>
      </c>
      <c r="S496" s="1">
        <v>0</v>
      </c>
      <c r="T496" s="1">
        <v>0</v>
      </c>
      <c r="U496" s="1">
        <v>0</v>
      </c>
      <c r="V496" s="1" t="str">
        <f t="shared" si="92"/>
        <v>里程返程</v>
      </c>
      <c r="W496" s="1" t="str">
        <f>"1120"</f>
        <v>1120</v>
      </c>
      <c r="X496" s="1" t="s">
        <v>35</v>
      </c>
    </row>
    <row r="497" spans="1:24" x14ac:dyDescent="0.3">
      <c r="A497" s="1" t="str">
        <f t="shared" si="89"/>
        <v>59825</v>
      </c>
      <c r="B497" s="1" t="s">
        <v>30</v>
      </c>
      <c r="C497" s="1" t="s">
        <v>31</v>
      </c>
      <c r="D497" s="1" t="str">
        <f>"9803"</f>
        <v>9803</v>
      </c>
      <c r="E497" s="1" t="s">
        <v>32</v>
      </c>
      <c r="F497" s="1" t="str">
        <f>"1683525680"</f>
        <v>1683525680</v>
      </c>
      <c r="G497" s="1" t="s">
        <v>33</v>
      </c>
      <c r="H497" s="1" t="str">
        <f t="shared" si="90"/>
        <v>20220903</v>
      </c>
      <c r="I497" s="1" t="str">
        <f>"154659"</f>
        <v>154659</v>
      </c>
      <c r="J497" s="1" t="s">
        <v>73</v>
      </c>
      <c r="K497" s="1" t="s">
        <v>28</v>
      </c>
      <c r="L497" s="1" t="str">
        <f t="shared" si="91"/>
        <v>20220903</v>
      </c>
      <c r="M497" s="1" t="str">
        <f>"155848"</f>
        <v>155848</v>
      </c>
      <c r="N497" s="1" t="s">
        <v>46</v>
      </c>
      <c r="O497" s="1" t="s">
        <v>28</v>
      </c>
      <c r="P497" s="1" t="s">
        <v>55</v>
      </c>
      <c r="Q497" s="1">
        <v>25</v>
      </c>
      <c r="R497" s="1">
        <v>25</v>
      </c>
      <c r="S497" s="1">
        <v>0</v>
      </c>
      <c r="T497" s="1">
        <v>0</v>
      </c>
      <c r="U497" s="1">
        <v>0</v>
      </c>
      <c r="V497" s="1" t="str">
        <f t="shared" si="92"/>
        <v>里程返程</v>
      </c>
      <c r="W497" s="1" t="str">
        <f>"2020"</f>
        <v>2020</v>
      </c>
      <c r="X497" s="1" t="s">
        <v>35</v>
      </c>
    </row>
    <row r="498" spans="1:24" x14ac:dyDescent="0.3">
      <c r="A498" s="1" t="str">
        <f t="shared" si="89"/>
        <v>59825</v>
      </c>
      <c r="B498" s="1" t="s">
        <v>30</v>
      </c>
      <c r="C498" s="1" t="s">
        <v>31</v>
      </c>
      <c r="D498" s="1" t="str">
        <f>"9803"</f>
        <v>9803</v>
      </c>
      <c r="E498" s="1" t="s">
        <v>32</v>
      </c>
      <c r="F498" s="1" t="str">
        <f>"863691077"</f>
        <v>863691077</v>
      </c>
      <c r="G498" s="1" t="s">
        <v>33</v>
      </c>
      <c r="H498" s="1" t="str">
        <f t="shared" si="90"/>
        <v>20220903</v>
      </c>
      <c r="I498" s="1" t="str">
        <f>"154702"</f>
        <v>154702</v>
      </c>
      <c r="J498" s="1" t="s">
        <v>73</v>
      </c>
      <c r="K498" s="1" t="s">
        <v>28</v>
      </c>
      <c r="L498" s="1" t="str">
        <f t="shared" si="91"/>
        <v>20220903</v>
      </c>
      <c r="M498" s="1" t="str">
        <f>"155845"</f>
        <v>155845</v>
      </c>
      <c r="N498" s="1" t="s">
        <v>46</v>
      </c>
      <c r="O498" s="1" t="s">
        <v>28</v>
      </c>
      <c r="P498" s="1" t="s">
        <v>55</v>
      </c>
      <c r="Q498" s="1">
        <v>25</v>
      </c>
      <c r="R498" s="1">
        <v>25</v>
      </c>
      <c r="S498" s="1">
        <v>0</v>
      </c>
      <c r="T498" s="1">
        <v>0</v>
      </c>
      <c r="U498" s="1">
        <v>0</v>
      </c>
      <c r="V498" s="1" t="str">
        <f t="shared" si="92"/>
        <v>里程返程</v>
      </c>
      <c r="W498" s="1" t="str">
        <f>"2020"</f>
        <v>2020</v>
      </c>
      <c r="X498" s="1" t="s">
        <v>35</v>
      </c>
    </row>
    <row r="499" spans="1:24" x14ac:dyDescent="0.3">
      <c r="A499" s="1" t="str">
        <f t="shared" si="89"/>
        <v>59825</v>
      </c>
      <c r="B499" s="1" t="s">
        <v>30</v>
      </c>
      <c r="C499" s="1" t="s">
        <v>31</v>
      </c>
      <c r="D499" s="1" t="str">
        <f>"9801"</f>
        <v>9801</v>
      </c>
      <c r="E499" s="1" t="s">
        <v>25</v>
      </c>
      <c r="F499" s="1" t="str">
        <f>"1819200369"</f>
        <v>1819200369</v>
      </c>
      <c r="G499" s="1" t="s">
        <v>33</v>
      </c>
      <c r="H499" s="1" t="str">
        <f t="shared" si="90"/>
        <v>20220903</v>
      </c>
      <c r="I499" s="1" t="str">
        <f>"185753"</f>
        <v>185753</v>
      </c>
      <c r="J499" s="1" t="s">
        <v>44</v>
      </c>
      <c r="K499" s="1" t="s">
        <v>45</v>
      </c>
      <c r="L499" s="1" t="str">
        <f t="shared" si="91"/>
        <v>20220903</v>
      </c>
      <c r="M499" s="1" t="str">
        <f>"192407"</f>
        <v>192407</v>
      </c>
      <c r="N499" s="1" t="s">
        <v>28</v>
      </c>
      <c r="O499" s="1" t="s">
        <v>28</v>
      </c>
      <c r="P499" s="1" t="s">
        <v>55</v>
      </c>
      <c r="Q499" s="1">
        <v>25</v>
      </c>
      <c r="R499" s="1">
        <v>25</v>
      </c>
      <c r="S499" s="1">
        <v>0</v>
      </c>
      <c r="T499" s="1">
        <v>0</v>
      </c>
      <c r="U499" s="1">
        <v>0</v>
      </c>
      <c r="V499" s="1" t="str">
        <f t="shared" si="92"/>
        <v>里程返程</v>
      </c>
      <c r="W499" s="1" t="str">
        <f>"0120"</f>
        <v>0120</v>
      </c>
      <c r="X499" s="1" t="s">
        <v>35</v>
      </c>
    </row>
    <row r="500" spans="1:24" x14ac:dyDescent="0.3">
      <c r="A500" s="1" t="str">
        <f t="shared" si="89"/>
        <v>59825</v>
      </c>
      <c r="B500" s="1" t="s">
        <v>30</v>
      </c>
      <c r="C500" s="1" t="s">
        <v>31</v>
      </c>
      <c r="D500" s="1" t="str">
        <f>"9801"</f>
        <v>9801</v>
      </c>
      <c r="E500" s="1" t="s">
        <v>25</v>
      </c>
      <c r="F500" s="1" t="str">
        <f>"1875531185"</f>
        <v>1875531185</v>
      </c>
      <c r="G500" s="1" t="s">
        <v>33</v>
      </c>
      <c r="H500" s="1" t="str">
        <f t="shared" si="90"/>
        <v>20220903</v>
      </c>
      <c r="I500" s="1" t="str">
        <f>"190341"</f>
        <v>190341</v>
      </c>
      <c r="J500" s="1" t="s">
        <v>44</v>
      </c>
      <c r="K500" s="1" t="s">
        <v>45</v>
      </c>
      <c r="L500" s="1" t="str">
        <f t="shared" si="91"/>
        <v>20220903</v>
      </c>
      <c r="M500" s="1" t="str">
        <f>"192411"</f>
        <v>192411</v>
      </c>
      <c r="N500" s="1" t="s">
        <v>28</v>
      </c>
      <c r="O500" s="1" t="s">
        <v>28</v>
      </c>
      <c r="P500" s="1" t="s">
        <v>55</v>
      </c>
      <c r="Q500" s="1">
        <v>25</v>
      </c>
      <c r="R500" s="1">
        <v>25</v>
      </c>
      <c r="S500" s="1">
        <v>0</v>
      </c>
      <c r="T500" s="1">
        <v>0</v>
      </c>
      <c r="U500" s="1">
        <v>0</v>
      </c>
      <c r="V500" s="1" t="str">
        <f t="shared" si="92"/>
        <v>里程返程</v>
      </c>
      <c r="W500" s="1" t="str">
        <f>"0020"</f>
        <v>0020</v>
      </c>
      <c r="X500" s="1" t="s">
        <v>35</v>
      </c>
    </row>
    <row r="501" spans="1:24" x14ac:dyDescent="0.3">
      <c r="A501" s="1" t="str">
        <f t="shared" si="89"/>
        <v>59825</v>
      </c>
      <c r="B501" s="1" t="s">
        <v>30</v>
      </c>
      <c r="C501" s="1" t="s">
        <v>31</v>
      </c>
      <c r="D501" s="1" t="str">
        <f>"9805"</f>
        <v>9805</v>
      </c>
      <c r="E501" s="1" t="s">
        <v>57</v>
      </c>
      <c r="F501" s="1" t="str">
        <f>"1761947509"</f>
        <v>1761947509</v>
      </c>
      <c r="G501" s="1" t="s">
        <v>33</v>
      </c>
      <c r="H501" s="1" t="str">
        <f t="shared" si="90"/>
        <v>20220903</v>
      </c>
      <c r="I501" s="1" t="str">
        <f>"195818"</f>
        <v>195818</v>
      </c>
      <c r="J501" s="1" t="s">
        <v>52</v>
      </c>
      <c r="K501" s="1" t="s">
        <v>52</v>
      </c>
      <c r="L501" s="1" t="str">
        <f t="shared" si="91"/>
        <v>20220903</v>
      </c>
      <c r="M501" s="1" t="str">
        <f>"201801"</f>
        <v>201801</v>
      </c>
      <c r="N501" s="1" t="s">
        <v>28</v>
      </c>
      <c r="O501" s="1" t="s">
        <v>28</v>
      </c>
      <c r="P501" s="1" t="s">
        <v>55</v>
      </c>
      <c r="Q501" s="1">
        <v>25</v>
      </c>
      <c r="R501" s="1">
        <v>25</v>
      </c>
      <c r="S501" s="1">
        <v>0</v>
      </c>
      <c r="T501" s="1">
        <v>0</v>
      </c>
      <c r="U501" s="1">
        <v>0</v>
      </c>
      <c r="V501" s="1" t="str">
        <f t="shared" si="92"/>
        <v>里程返程</v>
      </c>
      <c r="W501" s="1" t="str">
        <f>"2020"</f>
        <v>2020</v>
      </c>
      <c r="X501" s="1" t="s">
        <v>35</v>
      </c>
    </row>
    <row r="502" spans="1:24" x14ac:dyDescent="0.3">
      <c r="A502" s="1" t="str">
        <f t="shared" si="89"/>
        <v>59825</v>
      </c>
      <c r="B502" s="1" t="s">
        <v>30</v>
      </c>
      <c r="C502" s="1" t="s">
        <v>31</v>
      </c>
      <c r="D502" s="1" t="str">
        <f>"9805"</f>
        <v>9805</v>
      </c>
      <c r="E502" s="1" t="s">
        <v>57</v>
      </c>
      <c r="F502" s="1" t="str">
        <f>"1715027858"</f>
        <v>1715027858</v>
      </c>
      <c r="G502" s="1" t="s">
        <v>33</v>
      </c>
      <c r="H502" s="1" t="str">
        <f t="shared" si="90"/>
        <v>20220903</v>
      </c>
      <c r="I502" s="1" t="str">
        <f>"195827"</f>
        <v>195827</v>
      </c>
      <c r="J502" s="1" t="s">
        <v>52</v>
      </c>
      <c r="K502" s="1" t="s">
        <v>52</v>
      </c>
      <c r="L502" s="1" t="str">
        <f t="shared" si="91"/>
        <v>20220903</v>
      </c>
      <c r="M502" s="1" t="str">
        <f>"201804"</f>
        <v>201804</v>
      </c>
      <c r="N502" s="1" t="s">
        <v>28</v>
      </c>
      <c r="O502" s="1" t="s">
        <v>28</v>
      </c>
      <c r="P502" s="1" t="s">
        <v>55</v>
      </c>
      <c r="Q502" s="1">
        <v>25</v>
      </c>
      <c r="R502" s="1">
        <v>0</v>
      </c>
      <c r="S502" s="1">
        <v>25</v>
      </c>
      <c r="T502" s="1">
        <v>0</v>
      </c>
      <c r="U502" s="1">
        <v>0</v>
      </c>
      <c r="V502" s="1" t="str">
        <f t="shared" si="92"/>
        <v>里程返程</v>
      </c>
      <c r="W502" s="1" t="str">
        <f>"2120"</f>
        <v>2120</v>
      </c>
      <c r="X502" s="1" t="s">
        <v>35</v>
      </c>
    </row>
    <row r="503" spans="1:24" x14ac:dyDescent="0.3">
      <c r="A503" s="1" t="str">
        <f t="shared" si="89"/>
        <v>59825</v>
      </c>
      <c r="B503" s="1" t="s">
        <v>30</v>
      </c>
      <c r="C503" s="1" t="s">
        <v>31</v>
      </c>
      <c r="D503" s="1" t="str">
        <f>"9805"</f>
        <v>9805</v>
      </c>
      <c r="E503" s="1" t="s">
        <v>57</v>
      </c>
      <c r="F503" s="1" t="str">
        <f>"1513360305"</f>
        <v>1513360305</v>
      </c>
      <c r="G503" s="1" t="s">
        <v>33</v>
      </c>
      <c r="H503" s="1" t="str">
        <f t="shared" si="90"/>
        <v>20220903</v>
      </c>
      <c r="I503" s="1" t="str">
        <f>"195834"</f>
        <v>195834</v>
      </c>
      <c r="J503" s="1" t="s">
        <v>52</v>
      </c>
      <c r="K503" s="1" t="s">
        <v>52</v>
      </c>
      <c r="L503" s="1" t="str">
        <f t="shared" si="91"/>
        <v>20220903</v>
      </c>
      <c r="M503" s="1" t="str">
        <f>"201811"</f>
        <v>201811</v>
      </c>
      <c r="N503" s="1" t="s">
        <v>28</v>
      </c>
      <c r="O503" s="1" t="s">
        <v>28</v>
      </c>
      <c r="P503" s="1" t="s">
        <v>55</v>
      </c>
      <c r="Q503" s="1">
        <v>25</v>
      </c>
      <c r="R503" s="1">
        <v>0</v>
      </c>
      <c r="S503" s="1">
        <v>25</v>
      </c>
      <c r="T503" s="1">
        <v>0</v>
      </c>
      <c r="U503" s="1">
        <v>0</v>
      </c>
      <c r="V503" s="1" t="str">
        <f t="shared" si="92"/>
        <v>里程返程</v>
      </c>
      <c r="W503" s="1" t="str">
        <f>"2120"</f>
        <v>2120</v>
      </c>
      <c r="X503" s="1" t="s">
        <v>35</v>
      </c>
    </row>
    <row r="504" spans="1:24" x14ac:dyDescent="0.3">
      <c r="A504" s="1" t="str">
        <f t="shared" si="89"/>
        <v>59825</v>
      </c>
      <c r="B504" s="1" t="s">
        <v>30</v>
      </c>
      <c r="C504" s="1" t="s">
        <v>31</v>
      </c>
      <c r="D504" s="1" t="str">
        <f>"9805"</f>
        <v>9805</v>
      </c>
      <c r="E504" s="1" t="s">
        <v>57</v>
      </c>
      <c r="F504" s="1" t="str">
        <f>"1704733937"</f>
        <v>1704733937</v>
      </c>
      <c r="G504" s="1" t="s">
        <v>33</v>
      </c>
      <c r="H504" s="1" t="str">
        <f t="shared" si="90"/>
        <v>20220903</v>
      </c>
      <c r="I504" s="1" t="str">
        <f>"195842"</f>
        <v>195842</v>
      </c>
      <c r="J504" s="1" t="s">
        <v>52</v>
      </c>
      <c r="K504" s="1" t="s">
        <v>52</v>
      </c>
      <c r="L504" s="1" t="str">
        <f t="shared" si="91"/>
        <v>20220903</v>
      </c>
      <c r="M504" s="1" t="str">
        <f>"201817"</f>
        <v>201817</v>
      </c>
      <c r="N504" s="1" t="s">
        <v>28</v>
      </c>
      <c r="O504" s="1" t="s">
        <v>28</v>
      </c>
      <c r="P504" s="1" t="s">
        <v>55</v>
      </c>
      <c r="Q504" s="1">
        <v>25</v>
      </c>
      <c r="R504" s="1">
        <v>25</v>
      </c>
      <c r="S504" s="1">
        <v>0</v>
      </c>
      <c r="T504" s="1">
        <v>0</v>
      </c>
      <c r="U504" s="1">
        <v>0</v>
      </c>
      <c r="V504" s="1" t="str">
        <f t="shared" si="92"/>
        <v>里程返程</v>
      </c>
      <c r="W504" s="1" t="str">
        <f>"2120"</f>
        <v>2120</v>
      </c>
      <c r="X504" s="1" t="s">
        <v>35</v>
      </c>
    </row>
    <row r="505" spans="1:24" x14ac:dyDescent="0.3">
      <c r="A505" s="1" t="str">
        <f t="shared" ref="A505:A538" si="93">"59828"</f>
        <v>59828</v>
      </c>
      <c r="B505" s="1" t="s">
        <v>23</v>
      </c>
      <c r="C505" s="1" t="s">
        <v>24</v>
      </c>
      <c r="D505" s="1" t="str">
        <f t="shared" ref="D505:D538" si="94">"9801"</f>
        <v>9801</v>
      </c>
      <c r="E505" s="1" t="s">
        <v>25</v>
      </c>
      <c r="F505" s="1" t="str">
        <f>"4035494611"</f>
        <v>4035494611</v>
      </c>
      <c r="G505" s="1" t="s">
        <v>33</v>
      </c>
      <c r="H505" s="1" t="str">
        <f t="shared" si="90"/>
        <v>20220903</v>
      </c>
      <c r="I505" s="1" t="str">
        <f>"063302"</f>
        <v>063302</v>
      </c>
      <c r="J505" s="1" t="s">
        <v>28</v>
      </c>
      <c r="K505" s="1" t="s">
        <v>28</v>
      </c>
      <c r="L505" s="1" t="str">
        <f t="shared" si="91"/>
        <v>20220903</v>
      </c>
      <c r="M505" s="1" t="str">
        <f>"064113"</f>
        <v>064113</v>
      </c>
      <c r="N505" s="1" t="s">
        <v>83</v>
      </c>
      <c r="O505" s="1" t="s">
        <v>52</v>
      </c>
      <c r="P505" s="1" t="s">
        <v>55</v>
      </c>
      <c r="Q505" s="1">
        <v>25</v>
      </c>
      <c r="R505" s="1">
        <v>25</v>
      </c>
      <c r="S505" s="1">
        <v>0</v>
      </c>
      <c r="T505" s="1">
        <v>0</v>
      </c>
      <c r="U505" s="1">
        <v>0</v>
      </c>
      <c r="V505" s="1" t="str">
        <f t="shared" si="92"/>
        <v>里程返程</v>
      </c>
      <c r="W505" s="1" t="str">
        <f>"0220"</f>
        <v>0220</v>
      </c>
      <c r="X505" s="1" t="s">
        <v>35</v>
      </c>
    </row>
    <row r="506" spans="1:24" x14ac:dyDescent="0.3">
      <c r="A506" s="1" t="str">
        <f t="shared" si="93"/>
        <v>59828</v>
      </c>
      <c r="B506" s="1" t="s">
        <v>23</v>
      </c>
      <c r="C506" s="1" t="s">
        <v>24</v>
      </c>
      <c r="D506" s="1" t="str">
        <f t="shared" si="94"/>
        <v>9801</v>
      </c>
      <c r="E506" s="1" t="s">
        <v>25</v>
      </c>
      <c r="F506" s="1" t="str">
        <f>"120A1D191C880400C821002000000019"</f>
        <v>120A1D191C880400C821002000000019</v>
      </c>
      <c r="G506" s="1" t="s">
        <v>58</v>
      </c>
      <c r="H506" s="1" t="str">
        <f t="shared" si="90"/>
        <v>20220903</v>
      </c>
      <c r="I506" s="1" t="str">
        <f>"063307"</f>
        <v>063307</v>
      </c>
      <c r="J506" s="1" t="s">
        <v>28</v>
      </c>
      <c r="K506" s="1" t="s">
        <v>28</v>
      </c>
      <c r="L506" s="1" t="str">
        <f t="shared" si="91"/>
        <v>20220903</v>
      </c>
      <c r="M506" s="1" t="str">
        <f>"065125"</f>
        <v>065125</v>
      </c>
      <c r="N506" s="1" t="s">
        <v>65</v>
      </c>
      <c r="O506" s="1" t="s">
        <v>52</v>
      </c>
      <c r="P506" s="1" t="s">
        <v>55</v>
      </c>
      <c r="Q506" s="1">
        <v>25</v>
      </c>
      <c r="R506" s="1">
        <v>25</v>
      </c>
      <c r="S506" s="1">
        <v>0</v>
      </c>
      <c r="T506" s="1">
        <v>0</v>
      </c>
      <c r="U506" s="1">
        <v>0</v>
      </c>
      <c r="V506" s="1" t="str">
        <f t="shared" si="92"/>
        <v>里程返程</v>
      </c>
      <c r="W506" s="1" t="str">
        <f>"0020"</f>
        <v>0020</v>
      </c>
      <c r="X506" s="1" t="s">
        <v>29</v>
      </c>
    </row>
    <row r="507" spans="1:24" x14ac:dyDescent="0.3">
      <c r="A507" s="1" t="str">
        <f t="shared" si="93"/>
        <v>59828</v>
      </c>
      <c r="B507" s="1" t="s">
        <v>23</v>
      </c>
      <c r="C507" s="1" t="s">
        <v>24</v>
      </c>
      <c r="D507" s="1" t="str">
        <f t="shared" si="94"/>
        <v>9801</v>
      </c>
      <c r="E507" s="1" t="s">
        <v>25</v>
      </c>
      <c r="F507" s="1" t="str">
        <f>"1108376293"</f>
        <v>1108376293</v>
      </c>
      <c r="G507" s="1" t="s">
        <v>33</v>
      </c>
      <c r="H507" s="1" t="str">
        <f t="shared" si="90"/>
        <v>20220903</v>
      </c>
      <c r="I507" s="1" t="str">
        <f>"063337"</f>
        <v>063337</v>
      </c>
      <c r="J507" s="1" t="s">
        <v>28</v>
      </c>
      <c r="K507" s="1" t="s">
        <v>28</v>
      </c>
      <c r="L507" s="1" t="str">
        <f t="shared" si="91"/>
        <v>20220903</v>
      </c>
      <c r="M507" s="1" t="str">
        <f>"065443"</f>
        <v>065443</v>
      </c>
      <c r="N507" s="1" t="s">
        <v>51</v>
      </c>
      <c r="O507" s="1" t="s">
        <v>52</v>
      </c>
      <c r="P507" s="1" t="s">
        <v>55</v>
      </c>
      <c r="Q507" s="1">
        <v>25</v>
      </c>
      <c r="R507" s="1">
        <v>0</v>
      </c>
      <c r="S507" s="1">
        <v>25</v>
      </c>
      <c r="T507" s="1">
        <v>0</v>
      </c>
      <c r="U507" s="1">
        <v>0</v>
      </c>
      <c r="V507" s="1" t="str">
        <f t="shared" si="92"/>
        <v>里程返程</v>
      </c>
      <c r="W507" s="1" t="str">
        <f>"0820"</f>
        <v>0820</v>
      </c>
      <c r="X507" s="1" t="s">
        <v>35</v>
      </c>
    </row>
    <row r="508" spans="1:24" x14ac:dyDescent="0.3">
      <c r="A508" s="1" t="str">
        <f t="shared" si="93"/>
        <v>59828</v>
      </c>
      <c r="B508" s="1" t="s">
        <v>23</v>
      </c>
      <c r="C508" s="1" t="s">
        <v>24</v>
      </c>
      <c r="D508" s="1" t="str">
        <f t="shared" si="94"/>
        <v>9801</v>
      </c>
      <c r="E508" s="1" t="s">
        <v>25</v>
      </c>
      <c r="F508" s="1" t="str">
        <f>"F282E40195880400C821002000000015"</f>
        <v>F282E40195880400C821002000000015</v>
      </c>
      <c r="G508" s="1" t="s">
        <v>58</v>
      </c>
      <c r="H508" s="1" t="str">
        <f t="shared" si="90"/>
        <v>20220903</v>
      </c>
      <c r="I508" s="1" t="str">
        <f>"072054"</f>
        <v>072054</v>
      </c>
      <c r="J508" s="1" t="s">
        <v>28</v>
      </c>
      <c r="K508" s="1" t="s">
        <v>28</v>
      </c>
      <c r="L508" s="1" t="str">
        <f t="shared" si="91"/>
        <v>20220903</v>
      </c>
      <c r="M508" s="1" t="str">
        <f>"074328"</f>
        <v>074328</v>
      </c>
      <c r="N508" s="1" t="s">
        <v>65</v>
      </c>
      <c r="O508" s="1" t="s">
        <v>52</v>
      </c>
      <c r="P508" s="1" t="s">
        <v>55</v>
      </c>
      <c r="Q508" s="1">
        <v>25</v>
      </c>
      <c r="R508" s="1">
        <v>0</v>
      </c>
      <c r="S508" s="1">
        <v>25</v>
      </c>
      <c r="T508" s="1">
        <v>0</v>
      </c>
      <c r="U508" s="1">
        <v>0</v>
      </c>
      <c r="V508" s="1" t="str">
        <f t="shared" si="92"/>
        <v>里程返程</v>
      </c>
      <c r="W508" s="1" t="str">
        <f>"0620"</f>
        <v>0620</v>
      </c>
      <c r="X508" s="1" t="s">
        <v>29</v>
      </c>
    </row>
    <row r="509" spans="1:24" x14ac:dyDescent="0.3">
      <c r="A509" s="1" t="str">
        <f t="shared" si="93"/>
        <v>59828</v>
      </c>
      <c r="B509" s="1" t="s">
        <v>23</v>
      </c>
      <c r="C509" s="1" t="s">
        <v>24</v>
      </c>
      <c r="D509" s="1" t="str">
        <f t="shared" si="94"/>
        <v>9801</v>
      </c>
      <c r="E509" s="1" t="s">
        <v>25</v>
      </c>
      <c r="F509" s="1" t="str">
        <f>"2396183627"</f>
        <v>2396183627</v>
      </c>
      <c r="G509" s="1" t="s">
        <v>33</v>
      </c>
      <c r="H509" s="1" t="str">
        <f t="shared" si="90"/>
        <v>20220903</v>
      </c>
      <c r="I509" s="1" t="str">
        <f>"072058"</f>
        <v>072058</v>
      </c>
      <c r="J509" s="1" t="s">
        <v>28</v>
      </c>
      <c r="K509" s="1" t="s">
        <v>28</v>
      </c>
      <c r="L509" s="1" t="str">
        <f t="shared" si="91"/>
        <v>20220903</v>
      </c>
      <c r="M509" s="1" t="str">
        <f>"075530"</f>
        <v>075530</v>
      </c>
      <c r="N509" s="1" t="s">
        <v>52</v>
      </c>
      <c r="O509" s="1" t="s">
        <v>52</v>
      </c>
      <c r="P509" s="1" t="s">
        <v>55</v>
      </c>
      <c r="Q509" s="1">
        <v>25</v>
      </c>
      <c r="R509" s="1">
        <v>0</v>
      </c>
      <c r="S509" s="1">
        <v>25</v>
      </c>
      <c r="T509" s="1">
        <v>0</v>
      </c>
      <c r="U509" s="1">
        <v>0</v>
      </c>
      <c r="V509" s="1" t="str">
        <f t="shared" si="92"/>
        <v>里程返程</v>
      </c>
      <c r="W509" s="1" t="str">
        <f>"0820"</f>
        <v>0820</v>
      </c>
      <c r="X509" s="1" t="s">
        <v>35</v>
      </c>
    </row>
    <row r="510" spans="1:24" x14ac:dyDescent="0.3">
      <c r="A510" s="1" t="str">
        <f t="shared" si="93"/>
        <v>59828</v>
      </c>
      <c r="B510" s="1" t="s">
        <v>23</v>
      </c>
      <c r="C510" s="1" t="s">
        <v>24</v>
      </c>
      <c r="D510" s="1" t="str">
        <f t="shared" si="94"/>
        <v>9801</v>
      </c>
      <c r="E510" s="1" t="s">
        <v>25</v>
      </c>
      <c r="F510" s="1" t="str">
        <f>"826FD2023D880400C834002000000015"</f>
        <v>826FD2023D880400C834002000000015</v>
      </c>
      <c r="G510" s="1" t="s">
        <v>26</v>
      </c>
      <c r="H510" s="1" t="str">
        <f t="shared" si="90"/>
        <v>20220903</v>
      </c>
      <c r="I510" s="1" t="str">
        <f>"072136"</f>
        <v>072136</v>
      </c>
      <c r="J510" s="1" t="s">
        <v>28</v>
      </c>
      <c r="K510" s="1" t="s">
        <v>28</v>
      </c>
      <c r="L510" s="1" t="str">
        <f t="shared" si="91"/>
        <v>20220903</v>
      </c>
      <c r="M510" s="1" t="str">
        <f>"074454"</f>
        <v>074454</v>
      </c>
      <c r="N510" s="1" t="s">
        <v>72</v>
      </c>
      <c r="O510" s="1" t="s">
        <v>52</v>
      </c>
      <c r="P510" s="1" t="s">
        <v>68</v>
      </c>
      <c r="Q510" s="1">
        <v>13</v>
      </c>
      <c r="R510" s="1">
        <v>0</v>
      </c>
      <c r="S510" s="1">
        <v>0</v>
      </c>
      <c r="T510" s="1">
        <v>13</v>
      </c>
      <c r="U510" s="1">
        <v>0</v>
      </c>
      <c r="V510" s="1" t="str">
        <f t="shared" si="92"/>
        <v>里程返程</v>
      </c>
      <c r="W510" s="1" t="str">
        <f>"0020"</f>
        <v>0020</v>
      </c>
      <c r="X510" s="1" t="s">
        <v>29</v>
      </c>
    </row>
    <row r="511" spans="1:24" x14ac:dyDescent="0.3">
      <c r="A511" s="1" t="str">
        <f t="shared" si="93"/>
        <v>59828</v>
      </c>
      <c r="B511" s="1" t="s">
        <v>23</v>
      </c>
      <c r="C511" s="1" t="s">
        <v>24</v>
      </c>
      <c r="D511" s="1" t="str">
        <f t="shared" si="94"/>
        <v>9801</v>
      </c>
      <c r="E511" s="1" t="s">
        <v>25</v>
      </c>
      <c r="F511" s="1" t="str">
        <f>"D257BD023A880400C834002000000015"</f>
        <v>D257BD023A880400C834002000000015</v>
      </c>
      <c r="G511" s="1" t="s">
        <v>74</v>
      </c>
      <c r="H511" s="1" t="str">
        <f t="shared" si="90"/>
        <v>20220903</v>
      </c>
      <c r="I511" s="1" t="str">
        <f>"072150"</f>
        <v>072150</v>
      </c>
      <c r="J511" s="1" t="s">
        <v>28</v>
      </c>
      <c r="K511" s="1" t="s">
        <v>28</v>
      </c>
      <c r="L511" s="1" t="str">
        <f t="shared" si="91"/>
        <v>20220903</v>
      </c>
      <c r="M511" s="1" t="str">
        <f>"073146"</f>
        <v>073146</v>
      </c>
      <c r="N511" s="1" t="s">
        <v>67</v>
      </c>
      <c r="O511" s="1" t="s">
        <v>52</v>
      </c>
      <c r="P511" s="1" t="s">
        <v>68</v>
      </c>
      <c r="Q511" s="1">
        <v>13</v>
      </c>
      <c r="R511" s="1">
        <v>0</v>
      </c>
      <c r="S511" s="1">
        <v>0</v>
      </c>
      <c r="T511" s="1">
        <v>13</v>
      </c>
      <c r="U511" s="1">
        <v>0</v>
      </c>
      <c r="V511" s="1" t="str">
        <f t="shared" si="92"/>
        <v>里程返程</v>
      </c>
      <c r="W511" s="1" t="str">
        <f>"0020"</f>
        <v>0020</v>
      </c>
      <c r="X511" s="1" t="s">
        <v>29</v>
      </c>
    </row>
    <row r="512" spans="1:24" x14ac:dyDescent="0.3">
      <c r="A512" s="1" t="str">
        <f t="shared" si="93"/>
        <v>59828</v>
      </c>
      <c r="B512" s="1" t="s">
        <v>23</v>
      </c>
      <c r="C512" s="1" t="s">
        <v>24</v>
      </c>
      <c r="D512" s="1" t="str">
        <f t="shared" si="94"/>
        <v>9801</v>
      </c>
      <c r="E512" s="1" t="s">
        <v>25</v>
      </c>
      <c r="F512" s="1" t="str">
        <f>"9517172009157051"</f>
        <v>9517172009157051</v>
      </c>
      <c r="G512" s="1" t="s">
        <v>33</v>
      </c>
      <c r="H512" s="1" t="str">
        <f t="shared" si="90"/>
        <v>20220903</v>
      </c>
      <c r="I512" s="1" t="str">
        <f>"080739"</f>
        <v>080739</v>
      </c>
      <c r="J512" s="1" t="s">
        <v>60</v>
      </c>
      <c r="K512" s="1" t="s">
        <v>52</v>
      </c>
      <c r="L512" s="1" t="str">
        <f t="shared" si="91"/>
        <v>20220903</v>
      </c>
      <c r="M512" s="1" t="str">
        <f>"083251"</f>
        <v>083251</v>
      </c>
      <c r="N512" s="1" t="s">
        <v>70</v>
      </c>
      <c r="O512" s="1" t="s">
        <v>28</v>
      </c>
      <c r="P512" s="1" t="s">
        <v>55</v>
      </c>
      <c r="Q512" s="1">
        <v>25</v>
      </c>
      <c r="R512" s="1">
        <v>25</v>
      </c>
      <c r="S512" s="1">
        <v>0</v>
      </c>
      <c r="T512" s="1">
        <v>0</v>
      </c>
      <c r="U512" s="1">
        <v>0</v>
      </c>
      <c r="V512" s="1" t="str">
        <f t="shared" ref="V512:V518" si="95">"里程去程"</f>
        <v>里程去程</v>
      </c>
      <c r="W512" s="1" t="str">
        <f>"0F3B"</f>
        <v>0F3B</v>
      </c>
      <c r="X512" s="1" t="s">
        <v>109</v>
      </c>
    </row>
    <row r="513" spans="1:24" x14ac:dyDescent="0.3">
      <c r="A513" s="1" t="str">
        <f t="shared" si="93"/>
        <v>59828</v>
      </c>
      <c r="B513" s="1" t="s">
        <v>23</v>
      </c>
      <c r="C513" s="1" t="s">
        <v>24</v>
      </c>
      <c r="D513" s="1" t="str">
        <f t="shared" si="94"/>
        <v>9801</v>
      </c>
      <c r="E513" s="1" t="s">
        <v>25</v>
      </c>
      <c r="F513" s="1" t="str">
        <f>"1005723109"</f>
        <v>1005723109</v>
      </c>
      <c r="G513" s="1" t="s">
        <v>26</v>
      </c>
      <c r="H513" s="1" t="str">
        <f t="shared" si="90"/>
        <v>20220903</v>
      </c>
      <c r="I513" s="1" t="str">
        <f>"090042"</f>
        <v>090042</v>
      </c>
      <c r="J513" s="1" t="s">
        <v>52</v>
      </c>
      <c r="K513" s="1" t="s">
        <v>52</v>
      </c>
      <c r="L513" s="1" t="str">
        <f t="shared" si="91"/>
        <v>20220903</v>
      </c>
      <c r="M513" s="1" t="str">
        <f>"093400"</f>
        <v>093400</v>
      </c>
      <c r="N513" s="1" t="s">
        <v>70</v>
      </c>
      <c r="O513" s="1" t="s">
        <v>28</v>
      </c>
      <c r="P513" s="1" t="s">
        <v>55</v>
      </c>
      <c r="Q513" s="1">
        <v>13</v>
      </c>
      <c r="R513" s="1">
        <v>13</v>
      </c>
      <c r="S513" s="1">
        <v>0</v>
      </c>
      <c r="T513" s="1">
        <v>0</v>
      </c>
      <c r="U513" s="1">
        <v>0</v>
      </c>
      <c r="V513" s="1" t="str">
        <f t="shared" si="95"/>
        <v>里程去程</v>
      </c>
      <c r="W513" s="1" t="str">
        <f>"2020"</f>
        <v>2020</v>
      </c>
      <c r="X513" s="1" t="s">
        <v>35</v>
      </c>
    </row>
    <row r="514" spans="1:24" x14ac:dyDescent="0.3">
      <c r="A514" s="1" t="str">
        <f t="shared" si="93"/>
        <v>59828</v>
      </c>
      <c r="B514" s="1" t="s">
        <v>23</v>
      </c>
      <c r="C514" s="1" t="s">
        <v>24</v>
      </c>
      <c r="D514" s="1" t="str">
        <f t="shared" si="94"/>
        <v>9801</v>
      </c>
      <c r="E514" s="1" t="s">
        <v>25</v>
      </c>
      <c r="F514" s="1" t="str">
        <f>"1636928213"</f>
        <v>1636928213</v>
      </c>
      <c r="G514" s="1" t="s">
        <v>33</v>
      </c>
      <c r="H514" s="1" t="str">
        <f t="shared" si="90"/>
        <v>20220903</v>
      </c>
      <c r="I514" s="1" t="str">
        <f>"092212"</f>
        <v>092212</v>
      </c>
      <c r="J514" s="1" t="s">
        <v>69</v>
      </c>
      <c r="K514" s="1" t="s">
        <v>52</v>
      </c>
      <c r="L514" s="1" t="str">
        <f t="shared" si="91"/>
        <v>20220903</v>
      </c>
      <c r="M514" s="1" t="str">
        <f>"093348"</f>
        <v>093348</v>
      </c>
      <c r="N514" s="1" t="s">
        <v>70</v>
      </c>
      <c r="O514" s="1" t="s">
        <v>28</v>
      </c>
      <c r="P514" s="1" t="s">
        <v>55</v>
      </c>
      <c r="Q514" s="1">
        <v>25</v>
      </c>
      <c r="R514" s="1">
        <v>25</v>
      </c>
      <c r="S514" s="1">
        <v>0</v>
      </c>
      <c r="T514" s="1">
        <v>0</v>
      </c>
      <c r="U514" s="1">
        <v>0</v>
      </c>
      <c r="V514" s="1" t="str">
        <f t="shared" si="95"/>
        <v>里程去程</v>
      </c>
      <c r="W514" s="1" t="str">
        <f>"0820"</f>
        <v>0820</v>
      </c>
      <c r="X514" s="1" t="s">
        <v>35</v>
      </c>
    </row>
    <row r="515" spans="1:24" x14ac:dyDescent="0.3">
      <c r="A515" s="1" t="str">
        <f t="shared" si="93"/>
        <v>59828</v>
      </c>
      <c r="B515" s="1" t="s">
        <v>23</v>
      </c>
      <c r="C515" s="1" t="s">
        <v>24</v>
      </c>
      <c r="D515" s="1" t="str">
        <f t="shared" si="94"/>
        <v>9801</v>
      </c>
      <c r="E515" s="1" t="s">
        <v>25</v>
      </c>
      <c r="F515" s="1" t="str">
        <f>"E213BD024E880400C834002000000015"</f>
        <v>E213BD024E880400C834002000000015</v>
      </c>
      <c r="G515" s="1" t="s">
        <v>74</v>
      </c>
      <c r="H515" s="1" t="str">
        <f t="shared" ref="H515:H546" si="96">"20220903"</f>
        <v>20220903</v>
      </c>
      <c r="I515" s="1" t="str">
        <f>"093409"</f>
        <v>093409</v>
      </c>
      <c r="J515" s="1" t="s">
        <v>27</v>
      </c>
      <c r="K515" s="1" t="s">
        <v>28</v>
      </c>
      <c r="L515" s="1" t="str">
        <f t="shared" ref="L515:L546" si="97">"20220903"</f>
        <v>20220903</v>
      </c>
      <c r="M515" s="1" t="str">
        <f>"094850"</f>
        <v>094850</v>
      </c>
      <c r="N515" s="1" t="s">
        <v>61</v>
      </c>
      <c r="O515" s="1" t="s">
        <v>45</v>
      </c>
      <c r="P515" s="1" t="s">
        <v>68</v>
      </c>
      <c r="Q515" s="1">
        <v>13</v>
      </c>
      <c r="R515" s="1">
        <v>0</v>
      </c>
      <c r="S515" s="1">
        <v>0</v>
      </c>
      <c r="T515" s="1">
        <v>13</v>
      </c>
      <c r="U515" s="1">
        <v>0</v>
      </c>
      <c r="V515" s="1" t="str">
        <f t="shared" si="95"/>
        <v>里程去程</v>
      </c>
      <c r="W515" s="1" t="str">
        <f>"0020"</f>
        <v>0020</v>
      </c>
      <c r="X515" s="1" t="s">
        <v>29</v>
      </c>
    </row>
    <row r="516" spans="1:24" x14ac:dyDescent="0.3">
      <c r="A516" s="1" t="str">
        <f t="shared" si="93"/>
        <v>59828</v>
      </c>
      <c r="B516" s="1" t="s">
        <v>23</v>
      </c>
      <c r="C516" s="1" t="s">
        <v>24</v>
      </c>
      <c r="D516" s="1" t="str">
        <f t="shared" si="94"/>
        <v>9801</v>
      </c>
      <c r="E516" s="1" t="s">
        <v>25</v>
      </c>
      <c r="F516" s="1" t="str">
        <f>"1125544725"</f>
        <v>1125544725</v>
      </c>
      <c r="G516" s="1" t="s">
        <v>33</v>
      </c>
      <c r="H516" s="1" t="str">
        <f t="shared" si="96"/>
        <v>20220903</v>
      </c>
      <c r="I516" s="1" t="str">
        <f>"093414"</f>
        <v>093414</v>
      </c>
      <c r="J516" s="1" t="s">
        <v>27</v>
      </c>
      <c r="K516" s="1" t="s">
        <v>28</v>
      </c>
      <c r="L516" s="1" t="str">
        <f t="shared" si="97"/>
        <v>20220903</v>
      </c>
      <c r="M516" s="1" t="str">
        <f>"095844"</f>
        <v>095844</v>
      </c>
      <c r="N516" s="1" t="s">
        <v>44</v>
      </c>
      <c r="O516" s="1" t="s">
        <v>45</v>
      </c>
      <c r="P516" s="1" t="s">
        <v>55</v>
      </c>
      <c r="Q516" s="1">
        <v>25</v>
      </c>
      <c r="R516" s="1">
        <v>0</v>
      </c>
      <c r="S516" s="1">
        <v>25</v>
      </c>
      <c r="T516" s="1">
        <v>0</v>
      </c>
      <c r="U516" s="1">
        <v>0</v>
      </c>
      <c r="V516" s="1" t="str">
        <f t="shared" si="95"/>
        <v>里程去程</v>
      </c>
      <c r="W516" s="1" t="str">
        <f>"0820"</f>
        <v>0820</v>
      </c>
      <c r="X516" s="1" t="s">
        <v>35</v>
      </c>
    </row>
    <row r="517" spans="1:24" x14ac:dyDescent="0.3">
      <c r="A517" s="1" t="str">
        <f t="shared" si="93"/>
        <v>59828</v>
      </c>
      <c r="B517" s="1" t="s">
        <v>23</v>
      </c>
      <c r="C517" s="1" t="s">
        <v>24</v>
      </c>
      <c r="D517" s="1" t="str">
        <f t="shared" si="94"/>
        <v>9801</v>
      </c>
      <c r="E517" s="1" t="s">
        <v>25</v>
      </c>
      <c r="F517" s="1" t="str">
        <f>"1063910805"</f>
        <v>1063910805</v>
      </c>
      <c r="G517" s="1" t="s">
        <v>33</v>
      </c>
      <c r="H517" s="1" t="str">
        <f t="shared" si="96"/>
        <v>20220903</v>
      </c>
      <c r="I517" s="1" t="str">
        <f>"093419"</f>
        <v>093419</v>
      </c>
      <c r="J517" s="1" t="s">
        <v>27</v>
      </c>
      <c r="K517" s="1" t="s">
        <v>28</v>
      </c>
      <c r="L517" s="1" t="str">
        <f t="shared" si="97"/>
        <v>20220903</v>
      </c>
      <c r="M517" s="1" t="str">
        <f>"094334"</f>
        <v>094334</v>
      </c>
      <c r="N517" s="1" t="s">
        <v>70</v>
      </c>
      <c r="O517" s="1" t="s">
        <v>28</v>
      </c>
      <c r="P517" s="1" t="s">
        <v>55</v>
      </c>
      <c r="Q517" s="1">
        <v>25</v>
      </c>
      <c r="R517" s="1">
        <v>0</v>
      </c>
      <c r="S517" s="1">
        <v>25</v>
      </c>
      <c r="T517" s="1">
        <v>0</v>
      </c>
      <c r="U517" s="1">
        <v>0</v>
      </c>
      <c r="V517" s="1" t="str">
        <f t="shared" si="95"/>
        <v>里程去程</v>
      </c>
      <c r="W517" s="1" t="str">
        <f>"0820"</f>
        <v>0820</v>
      </c>
      <c r="X517" s="1" t="s">
        <v>35</v>
      </c>
    </row>
    <row r="518" spans="1:24" x14ac:dyDescent="0.3">
      <c r="A518" s="1" t="str">
        <f t="shared" si="93"/>
        <v>59828</v>
      </c>
      <c r="B518" s="1" t="s">
        <v>23</v>
      </c>
      <c r="C518" s="1" t="s">
        <v>24</v>
      </c>
      <c r="D518" s="1" t="str">
        <f t="shared" si="94"/>
        <v>9801</v>
      </c>
      <c r="E518" s="1" t="s">
        <v>25</v>
      </c>
      <c r="F518" s="1" t="str">
        <f>"32780D0344880400C834002000000015"</f>
        <v>32780D0344880400C834002000000015</v>
      </c>
      <c r="G518" s="1" t="s">
        <v>26</v>
      </c>
      <c r="H518" s="1" t="str">
        <f t="shared" si="96"/>
        <v>20220903</v>
      </c>
      <c r="I518" s="1" t="str">
        <f>"093705"</f>
        <v>093705</v>
      </c>
      <c r="J518" s="1" t="s">
        <v>27</v>
      </c>
      <c r="K518" s="1" t="s">
        <v>28</v>
      </c>
      <c r="L518" s="1" t="str">
        <f t="shared" si="97"/>
        <v>20220903</v>
      </c>
      <c r="M518" s="1" t="str">
        <f>"095847"</f>
        <v>095847</v>
      </c>
      <c r="N518" s="1" t="s">
        <v>44</v>
      </c>
      <c r="O518" s="1" t="s">
        <v>45</v>
      </c>
      <c r="P518" s="1" t="s">
        <v>68</v>
      </c>
      <c r="Q518" s="1">
        <v>13</v>
      </c>
      <c r="R518" s="1">
        <v>0</v>
      </c>
      <c r="S518" s="1">
        <v>0</v>
      </c>
      <c r="T518" s="1">
        <v>13</v>
      </c>
      <c r="U518" s="1">
        <v>0</v>
      </c>
      <c r="V518" s="1" t="str">
        <f t="shared" si="95"/>
        <v>里程去程</v>
      </c>
      <c r="W518" s="1" t="str">
        <f>"0020"</f>
        <v>0020</v>
      </c>
      <c r="X518" s="1" t="s">
        <v>29</v>
      </c>
    </row>
    <row r="519" spans="1:24" x14ac:dyDescent="0.3">
      <c r="A519" s="1" t="str">
        <f t="shared" si="93"/>
        <v>59828</v>
      </c>
      <c r="B519" s="1" t="s">
        <v>23</v>
      </c>
      <c r="C519" s="1" t="s">
        <v>24</v>
      </c>
      <c r="D519" s="1" t="str">
        <f t="shared" si="94"/>
        <v>9801</v>
      </c>
      <c r="E519" s="1" t="s">
        <v>25</v>
      </c>
      <c r="F519" s="1" t="str">
        <f>"1761947509"</f>
        <v>1761947509</v>
      </c>
      <c r="G519" s="1" t="s">
        <v>33</v>
      </c>
      <c r="H519" s="1" t="str">
        <f t="shared" si="96"/>
        <v>20220903</v>
      </c>
      <c r="I519" s="1" t="str">
        <f>"125015"</f>
        <v>125015</v>
      </c>
      <c r="J519" s="1" t="s">
        <v>28</v>
      </c>
      <c r="K519" s="1" t="s">
        <v>28</v>
      </c>
      <c r="L519" s="1" t="str">
        <f t="shared" si="97"/>
        <v>20220903</v>
      </c>
      <c r="M519" s="1" t="str">
        <f>"131743"</f>
        <v>131743</v>
      </c>
      <c r="N519" s="1" t="s">
        <v>65</v>
      </c>
      <c r="O519" s="1" t="s">
        <v>52</v>
      </c>
      <c r="P519" s="1" t="s">
        <v>55</v>
      </c>
      <c r="Q519" s="1">
        <v>25</v>
      </c>
      <c r="R519" s="1">
        <v>25</v>
      </c>
      <c r="S519" s="1">
        <v>0</v>
      </c>
      <c r="T519" s="1">
        <v>0</v>
      </c>
      <c r="U519" s="1">
        <v>0</v>
      </c>
      <c r="V519" s="1" t="str">
        <f t="shared" ref="V519:V538" si="98">"里程返程"</f>
        <v>里程返程</v>
      </c>
      <c r="W519" s="1" t="str">
        <f>"2020"</f>
        <v>2020</v>
      </c>
      <c r="X519" s="1" t="s">
        <v>35</v>
      </c>
    </row>
    <row r="520" spans="1:24" x14ac:dyDescent="0.3">
      <c r="A520" s="1" t="str">
        <f t="shared" si="93"/>
        <v>59828</v>
      </c>
      <c r="B520" s="1" t="s">
        <v>23</v>
      </c>
      <c r="C520" s="1" t="s">
        <v>24</v>
      </c>
      <c r="D520" s="1" t="str">
        <f t="shared" si="94"/>
        <v>9801</v>
      </c>
      <c r="E520" s="1" t="s">
        <v>25</v>
      </c>
      <c r="F520" s="1" t="str">
        <f>"1634059552"</f>
        <v>1634059552</v>
      </c>
      <c r="G520" s="1" t="s">
        <v>33</v>
      </c>
      <c r="H520" s="1" t="str">
        <f t="shared" si="96"/>
        <v>20220903</v>
      </c>
      <c r="I520" s="1" t="str">
        <f>"125021"</f>
        <v>125021</v>
      </c>
      <c r="J520" s="1" t="s">
        <v>28</v>
      </c>
      <c r="K520" s="1" t="s">
        <v>28</v>
      </c>
      <c r="L520" s="1" t="str">
        <f t="shared" si="97"/>
        <v>20220903</v>
      </c>
      <c r="M520" s="1" t="str">
        <f>"132522"</f>
        <v>132522</v>
      </c>
      <c r="N520" s="1" t="s">
        <v>52</v>
      </c>
      <c r="O520" s="1" t="s">
        <v>52</v>
      </c>
      <c r="P520" s="1" t="s">
        <v>55</v>
      </c>
      <c r="Q520" s="1">
        <v>25</v>
      </c>
      <c r="R520" s="1">
        <v>25</v>
      </c>
      <c r="S520" s="1">
        <v>0</v>
      </c>
      <c r="T520" s="1">
        <v>0</v>
      </c>
      <c r="U520" s="1">
        <v>0</v>
      </c>
      <c r="V520" s="1" t="str">
        <f t="shared" si="98"/>
        <v>里程返程</v>
      </c>
      <c r="W520" s="1" t="str">
        <f>"2220"</f>
        <v>2220</v>
      </c>
      <c r="X520" s="1" t="s">
        <v>35</v>
      </c>
    </row>
    <row r="521" spans="1:24" x14ac:dyDescent="0.3">
      <c r="A521" s="1" t="str">
        <f t="shared" si="93"/>
        <v>59828</v>
      </c>
      <c r="B521" s="1" t="s">
        <v>23</v>
      </c>
      <c r="C521" s="1" t="s">
        <v>24</v>
      </c>
      <c r="D521" s="1" t="str">
        <f t="shared" si="94"/>
        <v>9801</v>
      </c>
      <c r="E521" s="1" t="s">
        <v>25</v>
      </c>
      <c r="F521" s="1" t="str">
        <f>"D15AE0513A2804001C00000000000000"</f>
        <v>D15AE0513A2804001C00000000000000</v>
      </c>
      <c r="G521" s="1" t="s">
        <v>58</v>
      </c>
      <c r="H521" s="1" t="str">
        <f t="shared" si="96"/>
        <v>20220903</v>
      </c>
      <c r="I521" s="1" t="str">
        <f>"142605"</f>
        <v>142605</v>
      </c>
      <c r="J521" s="1" t="s">
        <v>44</v>
      </c>
      <c r="K521" s="1" t="s">
        <v>45</v>
      </c>
      <c r="L521" s="1" t="str">
        <f t="shared" si="97"/>
        <v>20220903</v>
      </c>
      <c r="M521" s="1" t="str">
        <f>"144147"</f>
        <v>144147</v>
      </c>
      <c r="N521" s="1" t="s">
        <v>45</v>
      </c>
      <c r="O521" s="1" t="s">
        <v>45</v>
      </c>
      <c r="P521" s="1" t="s">
        <v>55</v>
      </c>
      <c r="Q521" s="1">
        <v>25</v>
      </c>
      <c r="R521" s="1">
        <v>0</v>
      </c>
      <c r="S521" s="1">
        <v>25</v>
      </c>
      <c r="T521" s="1">
        <v>0</v>
      </c>
      <c r="U521" s="1">
        <v>0</v>
      </c>
      <c r="V521" s="1" t="str">
        <f t="shared" si="98"/>
        <v>里程返程</v>
      </c>
      <c r="W521" s="1" t="str">
        <f>"1120"</f>
        <v>1120</v>
      </c>
      <c r="X521" s="1" t="s">
        <v>29</v>
      </c>
    </row>
    <row r="522" spans="1:24" x14ac:dyDescent="0.3">
      <c r="A522" s="1" t="str">
        <f t="shared" si="93"/>
        <v>59828</v>
      </c>
      <c r="B522" s="1" t="s">
        <v>23</v>
      </c>
      <c r="C522" s="1" t="s">
        <v>24</v>
      </c>
      <c r="D522" s="1" t="str">
        <f t="shared" si="94"/>
        <v>9801</v>
      </c>
      <c r="E522" s="1" t="s">
        <v>25</v>
      </c>
      <c r="F522" s="1" t="str">
        <f>"1127797057"</f>
        <v>1127797057</v>
      </c>
      <c r="G522" s="1" t="s">
        <v>33</v>
      </c>
      <c r="H522" s="1" t="str">
        <f t="shared" si="96"/>
        <v>20220903</v>
      </c>
      <c r="I522" s="1" t="str">
        <f>"144221"</f>
        <v>144221</v>
      </c>
      <c r="J522" s="1" t="s">
        <v>45</v>
      </c>
      <c r="K522" s="1" t="s">
        <v>45</v>
      </c>
      <c r="L522" s="1" t="str">
        <f t="shared" si="97"/>
        <v>20220903</v>
      </c>
      <c r="M522" s="1" t="str">
        <f>"145110"</f>
        <v>145110</v>
      </c>
      <c r="N522" s="1" t="s">
        <v>28</v>
      </c>
      <c r="O522" s="1" t="s">
        <v>28</v>
      </c>
      <c r="P522" s="1" t="s">
        <v>55</v>
      </c>
      <c r="Q522" s="1">
        <v>25</v>
      </c>
      <c r="R522" s="1">
        <v>25</v>
      </c>
      <c r="S522" s="1">
        <v>0</v>
      </c>
      <c r="T522" s="1">
        <v>0</v>
      </c>
      <c r="U522" s="1">
        <v>0</v>
      </c>
      <c r="V522" s="1" t="str">
        <f t="shared" si="98"/>
        <v>里程返程</v>
      </c>
      <c r="W522" s="1" t="str">
        <f>"2120"</f>
        <v>2120</v>
      </c>
      <c r="X522" s="1" t="s">
        <v>35</v>
      </c>
    </row>
    <row r="523" spans="1:24" x14ac:dyDescent="0.3">
      <c r="A523" s="1" t="str">
        <f t="shared" si="93"/>
        <v>59828</v>
      </c>
      <c r="B523" s="1" t="s">
        <v>23</v>
      </c>
      <c r="C523" s="1" t="s">
        <v>24</v>
      </c>
      <c r="D523" s="1" t="str">
        <f t="shared" si="94"/>
        <v>9801</v>
      </c>
      <c r="E523" s="1" t="s">
        <v>25</v>
      </c>
      <c r="F523" s="1" t="str">
        <f>"885956401"</f>
        <v>885956401</v>
      </c>
      <c r="G523" s="1" t="s">
        <v>33</v>
      </c>
      <c r="H523" s="1" t="str">
        <f t="shared" si="96"/>
        <v>20220903</v>
      </c>
      <c r="I523" s="1" t="str">
        <f>"144223"</f>
        <v>144223</v>
      </c>
      <c r="J523" s="1" t="s">
        <v>45</v>
      </c>
      <c r="K523" s="1" t="s">
        <v>45</v>
      </c>
      <c r="L523" s="1" t="str">
        <f t="shared" si="97"/>
        <v>20220903</v>
      </c>
      <c r="M523" s="1" t="str">
        <f>"145112"</f>
        <v>145112</v>
      </c>
      <c r="N523" s="1" t="s">
        <v>28</v>
      </c>
      <c r="O523" s="1" t="s">
        <v>28</v>
      </c>
      <c r="P523" s="1" t="s">
        <v>55</v>
      </c>
      <c r="Q523" s="1">
        <v>25</v>
      </c>
      <c r="R523" s="1">
        <v>25</v>
      </c>
      <c r="S523" s="1">
        <v>0</v>
      </c>
      <c r="T523" s="1">
        <v>0</v>
      </c>
      <c r="U523" s="1">
        <v>0</v>
      </c>
      <c r="V523" s="1" t="str">
        <f t="shared" si="98"/>
        <v>里程返程</v>
      </c>
      <c r="W523" s="1" t="str">
        <f>"2120"</f>
        <v>2120</v>
      </c>
      <c r="X523" s="1" t="s">
        <v>35</v>
      </c>
    </row>
    <row r="524" spans="1:24" x14ac:dyDescent="0.3">
      <c r="A524" s="1" t="str">
        <f t="shared" si="93"/>
        <v>59828</v>
      </c>
      <c r="B524" s="1" t="s">
        <v>23</v>
      </c>
      <c r="C524" s="1" t="s">
        <v>24</v>
      </c>
      <c r="D524" s="1" t="str">
        <f t="shared" si="94"/>
        <v>9801</v>
      </c>
      <c r="E524" s="1" t="s">
        <v>25</v>
      </c>
      <c r="F524" s="1" t="str">
        <f>"2025826032"</f>
        <v>2025826032</v>
      </c>
      <c r="G524" s="1" t="s">
        <v>33</v>
      </c>
      <c r="H524" s="1" t="str">
        <f t="shared" si="96"/>
        <v>20220903</v>
      </c>
      <c r="I524" s="1" t="str">
        <f>"145158"</f>
        <v>145158</v>
      </c>
      <c r="J524" s="1" t="s">
        <v>28</v>
      </c>
      <c r="K524" s="1" t="s">
        <v>28</v>
      </c>
      <c r="L524" s="1" t="str">
        <f t="shared" si="97"/>
        <v>20220903</v>
      </c>
      <c r="M524" s="1" t="str">
        <f>"152700"</f>
        <v>152700</v>
      </c>
      <c r="N524" s="1" t="s">
        <v>52</v>
      </c>
      <c r="O524" s="1" t="s">
        <v>52</v>
      </c>
      <c r="P524" s="1" t="s">
        <v>55</v>
      </c>
      <c r="Q524" s="1">
        <v>25</v>
      </c>
      <c r="R524" s="1">
        <v>0</v>
      </c>
      <c r="S524" s="1">
        <v>25</v>
      </c>
      <c r="T524" s="1">
        <v>0</v>
      </c>
      <c r="U524" s="1">
        <v>0</v>
      </c>
      <c r="V524" s="1" t="str">
        <f t="shared" si="98"/>
        <v>里程返程</v>
      </c>
      <c r="W524" s="1" t="str">
        <f>"2020"</f>
        <v>2020</v>
      </c>
      <c r="X524" s="1" t="s">
        <v>35</v>
      </c>
    </row>
    <row r="525" spans="1:24" x14ac:dyDescent="0.3">
      <c r="A525" s="1" t="str">
        <f t="shared" si="93"/>
        <v>59828</v>
      </c>
      <c r="B525" s="1" t="s">
        <v>23</v>
      </c>
      <c r="C525" s="1" t="s">
        <v>24</v>
      </c>
      <c r="D525" s="1" t="str">
        <f t="shared" si="94"/>
        <v>9801</v>
      </c>
      <c r="E525" s="1" t="s">
        <v>25</v>
      </c>
      <c r="F525" s="1" t="str">
        <f>"1014721781"</f>
        <v>1014721781</v>
      </c>
      <c r="G525" s="1" t="s">
        <v>33</v>
      </c>
      <c r="H525" s="1" t="str">
        <f t="shared" si="96"/>
        <v>20220903</v>
      </c>
      <c r="I525" s="1" t="str">
        <f>"145204"</f>
        <v>145204</v>
      </c>
      <c r="J525" s="1" t="s">
        <v>28</v>
      </c>
      <c r="K525" s="1" t="s">
        <v>28</v>
      </c>
      <c r="L525" s="1" t="str">
        <f t="shared" si="97"/>
        <v>20220903</v>
      </c>
      <c r="M525" s="1" t="str">
        <f>"151442"</f>
        <v>151442</v>
      </c>
      <c r="N525" s="1" t="s">
        <v>80</v>
      </c>
      <c r="O525" s="1" t="s">
        <v>52</v>
      </c>
      <c r="P525" s="1" t="s">
        <v>55</v>
      </c>
      <c r="Q525" s="1">
        <v>25</v>
      </c>
      <c r="R525" s="1">
        <v>25</v>
      </c>
      <c r="S525" s="1">
        <v>0</v>
      </c>
      <c r="T525" s="1">
        <v>0</v>
      </c>
      <c r="U525" s="1">
        <v>0</v>
      </c>
      <c r="V525" s="1" t="str">
        <f t="shared" si="98"/>
        <v>里程返程</v>
      </c>
      <c r="W525" s="1" t="str">
        <f>"0120"</f>
        <v>0120</v>
      </c>
      <c r="X525" s="1" t="s">
        <v>35</v>
      </c>
    </row>
    <row r="526" spans="1:24" x14ac:dyDescent="0.3">
      <c r="A526" s="1" t="str">
        <f t="shared" si="93"/>
        <v>59828</v>
      </c>
      <c r="B526" s="1" t="s">
        <v>23</v>
      </c>
      <c r="C526" s="1" t="s">
        <v>24</v>
      </c>
      <c r="D526" s="1" t="str">
        <f t="shared" si="94"/>
        <v>9801</v>
      </c>
      <c r="E526" s="1" t="s">
        <v>25</v>
      </c>
      <c r="F526" s="1" t="str">
        <f>"1771718133"</f>
        <v>1771718133</v>
      </c>
      <c r="G526" s="1" t="s">
        <v>33</v>
      </c>
      <c r="H526" s="1" t="str">
        <f t="shared" si="96"/>
        <v>20220903</v>
      </c>
      <c r="I526" s="1" t="str">
        <f>"162739"</f>
        <v>162739</v>
      </c>
      <c r="J526" s="1" t="s">
        <v>44</v>
      </c>
      <c r="K526" s="1" t="s">
        <v>45</v>
      </c>
      <c r="L526" s="1" t="str">
        <f t="shared" si="97"/>
        <v>20220903</v>
      </c>
      <c r="M526" s="1" t="str">
        <f>"164832"</f>
        <v>164832</v>
      </c>
      <c r="N526" s="1" t="s">
        <v>28</v>
      </c>
      <c r="O526" s="1" t="s">
        <v>28</v>
      </c>
      <c r="P526" s="1" t="s">
        <v>55</v>
      </c>
      <c r="Q526" s="1">
        <v>25</v>
      </c>
      <c r="R526" s="1">
        <v>0</v>
      </c>
      <c r="S526" s="1">
        <v>25</v>
      </c>
      <c r="T526" s="1">
        <v>0</v>
      </c>
      <c r="U526" s="1">
        <v>0</v>
      </c>
      <c r="V526" s="1" t="str">
        <f t="shared" si="98"/>
        <v>里程返程</v>
      </c>
      <c r="W526" s="1" t="str">
        <f>"2120"</f>
        <v>2120</v>
      </c>
      <c r="X526" s="1" t="s">
        <v>35</v>
      </c>
    </row>
    <row r="527" spans="1:24" x14ac:dyDescent="0.3">
      <c r="A527" s="1" t="str">
        <f t="shared" si="93"/>
        <v>59828</v>
      </c>
      <c r="B527" s="1" t="s">
        <v>23</v>
      </c>
      <c r="C527" s="1" t="s">
        <v>24</v>
      </c>
      <c r="D527" s="1" t="str">
        <f t="shared" si="94"/>
        <v>9801</v>
      </c>
      <c r="E527" s="1" t="s">
        <v>25</v>
      </c>
      <c r="F527" s="1" t="str">
        <f>"22AE6609E3880400C810002000000016"</f>
        <v>22AE6609E3880400C810002000000016</v>
      </c>
      <c r="G527" s="1" t="s">
        <v>59</v>
      </c>
      <c r="H527" s="1" t="str">
        <f t="shared" si="96"/>
        <v>20220903</v>
      </c>
      <c r="I527" s="1" t="str">
        <f>"162751"</f>
        <v>162751</v>
      </c>
      <c r="J527" s="1" t="s">
        <v>44</v>
      </c>
      <c r="K527" s="1" t="s">
        <v>45</v>
      </c>
      <c r="L527" s="1" t="str">
        <f t="shared" si="97"/>
        <v>20220903</v>
      </c>
      <c r="M527" s="1" t="str">
        <f>"164835"</f>
        <v>164835</v>
      </c>
      <c r="N527" s="1" t="s">
        <v>28</v>
      </c>
      <c r="O527" s="1" t="s">
        <v>28</v>
      </c>
      <c r="P527" s="1" t="s">
        <v>55</v>
      </c>
      <c r="Q527" s="1">
        <v>25</v>
      </c>
      <c r="R527" s="1">
        <v>0</v>
      </c>
      <c r="S527" s="1">
        <v>25</v>
      </c>
      <c r="T527" s="1">
        <v>0</v>
      </c>
      <c r="U527" s="1">
        <v>0</v>
      </c>
      <c r="V527" s="1" t="str">
        <f t="shared" si="98"/>
        <v>里程返程</v>
      </c>
      <c r="W527" s="1" t="str">
        <f>"1120"</f>
        <v>1120</v>
      </c>
      <c r="X527" s="1" t="s">
        <v>29</v>
      </c>
    </row>
    <row r="528" spans="1:24" x14ac:dyDescent="0.3">
      <c r="A528" s="1" t="str">
        <f t="shared" si="93"/>
        <v>59828</v>
      </c>
      <c r="B528" s="1" t="s">
        <v>23</v>
      </c>
      <c r="C528" s="1" t="s">
        <v>24</v>
      </c>
      <c r="D528" s="1" t="str">
        <f t="shared" si="94"/>
        <v>9801</v>
      </c>
      <c r="E528" s="1" t="s">
        <v>25</v>
      </c>
      <c r="F528" s="1" t="str">
        <f>"2071452438"</f>
        <v>2071452438</v>
      </c>
      <c r="G528" s="1" t="s">
        <v>33</v>
      </c>
      <c r="H528" s="1" t="str">
        <f t="shared" si="96"/>
        <v>20220903</v>
      </c>
      <c r="I528" s="1" t="str">
        <f>"163227"</f>
        <v>163227</v>
      </c>
      <c r="J528" s="1" t="s">
        <v>44</v>
      </c>
      <c r="K528" s="1" t="s">
        <v>45</v>
      </c>
      <c r="L528" s="1" t="str">
        <f t="shared" si="97"/>
        <v>20220903</v>
      </c>
      <c r="M528" s="1" t="str">
        <f>"164847"</f>
        <v>164847</v>
      </c>
      <c r="N528" s="1" t="s">
        <v>28</v>
      </c>
      <c r="O528" s="1" t="s">
        <v>28</v>
      </c>
      <c r="P528" s="1" t="s">
        <v>55</v>
      </c>
      <c r="Q528" s="1">
        <v>25</v>
      </c>
      <c r="R528" s="1">
        <v>25</v>
      </c>
      <c r="S528" s="1">
        <v>0</v>
      </c>
      <c r="T528" s="1">
        <v>0</v>
      </c>
      <c r="U528" s="1">
        <v>0</v>
      </c>
      <c r="V528" s="1" t="str">
        <f t="shared" si="98"/>
        <v>里程返程</v>
      </c>
      <c r="W528" s="1" t="str">
        <f t="shared" ref="W528:W534" si="99">"2020"</f>
        <v>2020</v>
      </c>
      <c r="X528" s="1" t="s">
        <v>35</v>
      </c>
    </row>
    <row r="529" spans="1:24" x14ac:dyDescent="0.3">
      <c r="A529" s="1" t="str">
        <f t="shared" si="93"/>
        <v>59828</v>
      </c>
      <c r="B529" s="1" t="s">
        <v>23</v>
      </c>
      <c r="C529" s="1" t="s">
        <v>24</v>
      </c>
      <c r="D529" s="1" t="str">
        <f t="shared" si="94"/>
        <v>9801</v>
      </c>
      <c r="E529" s="1" t="s">
        <v>25</v>
      </c>
      <c r="F529" s="1" t="str">
        <f>"25827325"</f>
        <v>25827325</v>
      </c>
      <c r="G529" s="1" t="s">
        <v>96</v>
      </c>
      <c r="H529" s="1" t="str">
        <f t="shared" si="96"/>
        <v>20220903</v>
      </c>
      <c r="I529" s="1" t="str">
        <f>"163233"</f>
        <v>163233</v>
      </c>
      <c r="J529" s="1" t="s">
        <v>44</v>
      </c>
      <c r="K529" s="1" t="s">
        <v>45</v>
      </c>
      <c r="L529" s="1" t="str">
        <f t="shared" si="97"/>
        <v>20220903</v>
      </c>
      <c r="M529" s="1" t="str">
        <f>"164829"</f>
        <v>164829</v>
      </c>
      <c r="N529" s="1" t="s">
        <v>28</v>
      </c>
      <c r="O529" s="1" t="s">
        <v>28</v>
      </c>
      <c r="P529" s="1" t="s">
        <v>55</v>
      </c>
      <c r="Q529" s="1">
        <v>13</v>
      </c>
      <c r="R529" s="1">
        <v>13</v>
      </c>
      <c r="S529" s="1">
        <v>0</v>
      </c>
      <c r="T529" s="1">
        <v>0</v>
      </c>
      <c r="U529" s="1">
        <v>0</v>
      </c>
      <c r="V529" s="1" t="str">
        <f t="shared" si="98"/>
        <v>里程返程</v>
      </c>
      <c r="W529" s="1" t="str">
        <f t="shared" si="99"/>
        <v>2020</v>
      </c>
      <c r="X529" s="1" t="s">
        <v>35</v>
      </c>
    </row>
    <row r="530" spans="1:24" x14ac:dyDescent="0.3">
      <c r="A530" s="1" t="str">
        <f t="shared" si="93"/>
        <v>59828</v>
      </c>
      <c r="B530" s="1" t="s">
        <v>23</v>
      </c>
      <c r="C530" s="1" t="s">
        <v>24</v>
      </c>
      <c r="D530" s="1" t="str">
        <f t="shared" si="94"/>
        <v>9801</v>
      </c>
      <c r="E530" s="1" t="s">
        <v>25</v>
      </c>
      <c r="F530" s="1" t="str">
        <f>"804136613"</f>
        <v>804136613</v>
      </c>
      <c r="G530" s="1" t="s">
        <v>26</v>
      </c>
      <c r="H530" s="1" t="str">
        <f t="shared" si="96"/>
        <v>20220903</v>
      </c>
      <c r="I530" s="1" t="str">
        <f>"163234"</f>
        <v>163234</v>
      </c>
      <c r="J530" s="1" t="s">
        <v>44</v>
      </c>
      <c r="K530" s="1" t="s">
        <v>45</v>
      </c>
      <c r="L530" s="1" t="str">
        <f t="shared" si="97"/>
        <v>20220903</v>
      </c>
      <c r="M530" s="1" t="str">
        <f>"164844"</f>
        <v>164844</v>
      </c>
      <c r="N530" s="1" t="s">
        <v>28</v>
      </c>
      <c r="O530" s="1" t="s">
        <v>28</v>
      </c>
      <c r="P530" s="1" t="s">
        <v>55</v>
      </c>
      <c r="Q530" s="1">
        <v>13</v>
      </c>
      <c r="R530" s="1">
        <v>0</v>
      </c>
      <c r="S530" s="1">
        <v>13</v>
      </c>
      <c r="T530" s="1">
        <v>0</v>
      </c>
      <c r="U530" s="1">
        <v>0</v>
      </c>
      <c r="V530" s="1" t="str">
        <f t="shared" si="98"/>
        <v>里程返程</v>
      </c>
      <c r="W530" s="1" t="str">
        <f t="shared" si="99"/>
        <v>2020</v>
      </c>
      <c r="X530" s="1" t="s">
        <v>35</v>
      </c>
    </row>
    <row r="531" spans="1:24" x14ac:dyDescent="0.3">
      <c r="A531" s="1" t="str">
        <f t="shared" si="93"/>
        <v>59828</v>
      </c>
      <c r="B531" s="1" t="s">
        <v>23</v>
      </c>
      <c r="C531" s="1" t="s">
        <v>24</v>
      </c>
      <c r="D531" s="1" t="str">
        <f t="shared" si="94"/>
        <v>9801</v>
      </c>
      <c r="E531" s="1" t="s">
        <v>25</v>
      </c>
      <c r="F531" s="1" t="str">
        <f>"4222936045"</f>
        <v>4222936045</v>
      </c>
      <c r="G531" s="1" t="s">
        <v>26</v>
      </c>
      <c r="H531" s="1" t="str">
        <f t="shared" si="96"/>
        <v>20220903</v>
      </c>
      <c r="I531" s="1" t="str">
        <f>"163240"</f>
        <v>163240</v>
      </c>
      <c r="J531" s="1" t="s">
        <v>44</v>
      </c>
      <c r="K531" s="1" t="s">
        <v>45</v>
      </c>
      <c r="L531" s="1" t="str">
        <f t="shared" si="97"/>
        <v>20220903</v>
      </c>
      <c r="M531" s="1" t="str">
        <f>"164825"</f>
        <v>164825</v>
      </c>
      <c r="N531" s="1" t="s">
        <v>28</v>
      </c>
      <c r="O531" s="1" t="s">
        <v>28</v>
      </c>
      <c r="P531" s="1" t="s">
        <v>55</v>
      </c>
      <c r="Q531" s="1">
        <v>13</v>
      </c>
      <c r="R531" s="1">
        <v>0</v>
      </c>
      <c r="S531" s="1">
        <v>13</v>
      </c>
      <c r="T531" s="1">
        <v>0</v>
      </c>
      <c r="U531" s="1">
        <v>0</v>
      </c>
      <c r="V531" s="1" t="str">
        <f t="shared" si="98"/>
        <v>里程返程</v>
      </c>
      <c r="W531" s="1" t="str">
        <f t="shared" si="99"/>
        <v>2020</v>
      </c>
      <c r="X531" s="1" t="s">
        <v>35</v>
      </c>
    </row>
    <row r="532" spans="1:24" x14ac:dyDescent="0.3">
      <c r="A532" s="1" t="str">
        <f t="shared" si="93"/>
        <v>59828</v>
      </c>
      <c r="B532" s="1" t="s">
        <v>23</v>
      </c>
      <c r="C532" s="1" t="s">
        <v>24</v>
      </c>
      <c r="D532" s="1" t="str">
        <f t="shared" si="94"/>
        <v>9801</v>
      </c>
      <c r="E532" s="1" t="s">
        <v>25</v>
      </c>
      <c r="F532" s="1" t="str">
        <f>"813320661"</f>
        <v>813320661</v>
      </c>
      <c r="G532" s="1" t="s">
        <v>26</v>
      </c>
      <c r="H532" s="1" t="str">
        <f t="shared" si="96"/>
        <v>20220903</v>
      </c>
      <c r="I532" s="1" t="str">
        <f>"163240"</f>
        <v>163240</v>
      </c>
      <c r="J532" s="1" t="s">
        <v>44</v>
      </c>
      <c r="K532" s="1" t="s">
        <v>45</v>
      </c>
      <c r="L532" s="1" t="str">
        <f t="shared" si="97"/>
        <v>20220903</v>
      </c>
      <c r="M532" s="1" t="str">
        <f>"164821"</f>
        <v>164821</v>
      </c>
      <c r="N532" s="1" t="s">
        <v>28</v>
      </c>
      <c r="O532" s="1" t="s">
        <v>28</v>
      </c>
      <c r="P532" s="1" t="s">
        <v>55</v>
      </c>
      <c r="Q532" s="1">
        <v>13</v>
      </c>
      <c r="R532" s="1">
        <v>0</v>
      </c>
      <c r="S532" s="1">
        <v>13</v>
      </c>
      <c r="T532" s="1">
        <v>0</v>
      </c>
      <c r="U532" s="1">
        <v>0</v>
      </c>
      <c r="V532" s="1" t="str">
        <f t="shared" si="98"/>
        <v>里程返程</v>
      </c>
      <c r="W532" s="1" t="str">
        <f t="shared" si="99"/>
        <v>2020</v>
      </c>
      <c r="X532" s="1" t="s">
        <v>35</v>
      </c>
    </row>
    <row r="533" spans="1:24" x14ac:dyDescent="0.3">
      <c r="A533" s="1" t="str">
        <f t="shared" si="93"/>
        <v>59828</v>
      </c>
      <c r="B533" s="1" t="s">
        <v>23</v>
      </c>
      <c r="C533" s="1" t="s">
        <v>24</v>
      </c>
      <c r="D533" s="1" t="str">
        <f t="shared" si="94"/>
        <v>9801</v>
      </c>
      <c r="E533" s="1" t="s">
        <v>25</v>
      </c>
      <c r="F533" s="1" t="str">
        <f>"942396965"</f>
        <v>942396965</v>
      </c>
      <c r="G533" s="1" t="s">
        <v>26</v>
      </c>
      <c r="H533" s="1" t="str">
        <f t="shared" si="96"/>
        <v>20220903</v>
      </c>
      <c r="I533" s="1" t="str">
        <f>"163246"</f>
        <v>163246</v>
      </c>
      <c r="J533" s="1" t="s">
        <v>44</v>
      </c>
      <c r="K533" s="1" t="s">
        <v>45</v>
      </c>
      <c r="L533" s="1" t="str">
        <f t="shared" si="97"/>
        <v>20220903</v>
      </c>
      <c r="M533" s="1" t="str">
        <f>"164838"</f>
        <v>164838</v>
      </c>
      <c r="N533" s="1" t="s">
        <v>28</v>
      </c>
      <c r="O533" s="1" t="s">
        <v>28</v>
      </c>
      <c r="P533" s="1" t="s">
        <v>55</v>
      </c>
      <c r="Q533" s="1">
        <v>13</v>
      </c>
      <c r="R533" s="1">
        <v>0</v>
      </c>
      <c r="S533" s="1">
        <v>13</v>
      </c>
      <c r="T533" s="1">
        <v>0</v>
      </c>
      <c r="U533" s="1">
        <v>0</v>
      </c>
      <c r="V533" s="1" t="str">
        <f t="shared" si="98"/>
        <v>里程返程</v>
      </c>
      <c r="W533" s="1" t="str">
        <f t="shared" si="99"/>
        <v>2020</v>
      </c>
      <c r="X533" s="1" t="s">
        <v>35</v>
      </c>
    </row>
    <row r="534" spans="1:24" x14ac:dyDescent="0.3">
      <c r="A534" s="1" t="str">
        <f t="shared" si="93"/>
        <v>59828</v>
      </c>
      <c r="B534" s="1" t="s">
        <v>23</v>
      </c>
      <c r="C534" s="1" t="s">
        <v>24</v>
      </c>
      <c r="D534" s="1" t="str">
        <f t="shared" si="94"/>
        <v>9801</v>
      </c>
      <c r="E534" s="1" t="s">
        <v>25</v>
      </c>
      <c r="F534" s="1" t="str">
        <f>"1406404689"</f>
        <v>1406404689</v>
      </c>
      <c r="G534" s="1" t="s">
        <v>26</v>
      </c>
      <c r="H534" s="1" t="str">
        <f t="shared" si="96"/>
        <v>20220903</v>
      </c>
      <c r="I534" s="1" t="str">
        <f>"163253"</f>
        <v>163253</v>
      </c>
      <c r="J534" s="1" t="s">
        <v>44</v>
      </c>
      <c r="K534" s="1" t="s">
        <v>45</v>
      </c>
      <c r="L534" s="1" t="str">
        <f t="shared" si="97"/>
        <v>20220903</v>
      </c>
      <c r="M534" s="1" t="str">
        <f>"164841"</f>
        <v>164841</v>
      </c>
      <c r="N534" s="1" t="s">
        <v>28</v>
      </c>
      <c r="O534" s="1" t="s">
        <v>28</v>
      </c>
      <c r="P534" s="1" t="s">
        <v>55</v>
      </c>
      <c r="Q534" s="1">
        <v>13</v>
      </c>
      <c r="R534" s="1">
        <v>0</v>
      </c>
      <c r="S534" s="1">
        <v>13</v>
      </c>
      <c r="T534" s="1">
        <v>0</v>
      </c>
      <c r="U534" s="1">
        <v>0</v>
      </c>
      <c r="V534" s="1" t="str">
        <f t="shared" si="98"/>
        <v>里程返程</v>
      </c>
      <c r="W534" s="1" t="str">
        <f t="shared" si="99"/>
        <v>2020</v>
      </c>
      <c r="X534" s="1" t="s">
        <v>35</v>
      </c>
    </row>
    <row r="535" spans="1:24" x14ac:dyDescent="0.3">
      <c r="A535" s="1" t="str">
        <f t="shared" si="93"/>
        <v>59828</v>
      </c>
      <c r="B535" s="1" t="s">
        <v>23</v>
      </c>
      <c r="C535" s="1" t="s">
        <v>24</v>
      </c>
      <c r="D535" s="1" t="str">
        <f t="shared" si="94"/>
        <v>9801</v>
      </c>
      <c r="E535" s="1" t="s">
        <v>25</v>
      </c>
      <c r="F535" s="1" t="str">
        <f>"E9001910E08804004326A4E600150211"</f>
        <v>E9001910E08804004326A4E600150211</v>
      </c>
      <c r="G535" s="1" t="s">
        <v>58</v>
      </c>
      <c r="H535" s="1" t="str">
        <f t="shared" si="96"/>
        <v>20220903</v>
      </c>
      <c r="I535" s="1" t="str">
        <f>"164901"</f>
        <v>164901</v>
      </c>
      <c r="J535" s="1" t="s">
        <v>28</v>
      </c>
      <c r="K535" s="1" t="s">
        <v>28</v>
      </c>
      <c r="L535" s="1" t="str">
        <f t="shared" si="97"/>
        <v>20220903</v>
      </c>
      <c r="M535" s="1" t="str">
        <f>"165951"</f>
        <v>165951</v>
      </c>
      <c r="N535" s="1" t="s">
        <v>84</v>
      </c>
      <c r="O535" s="1" t="s">
        <v>28</v>
      </c>
      <c r="P535" s="1" t="s">
        <v>55</v>
      </c>
      <c r="Q535" s="1">
        <v>25</v>
      </c>
      <c r="R535" s="1">
        <v>25</v>
      </c>
      <c r="S535" s="1">
        <v>0</v>
      </c>
      <c r="T535" s="1">
        <v>0</v>
      </c>
      <c r="U535" s="1">
        <v>0</v>
      </c>
      <c r="V535" s="1" t="str">
        <f t="shared" si="98"/>
        <v>里程返程</v>
      </c>
      <c r="W535" s="1" t="str">
        <f>"0020"</f>
        <v>0020</v>
      </c>
      <c r="X535" s="1" t="s">
        <v>29</v>
      </c>
    </row>
    <row r="536" spans="1:24" x14ac:dyDescent="0.3">
      <c r="A536" s="1" t="str">
        <f t="shared" si="93"/>
        <v>59828</v>
      </c>
      <c r="B536" s="1" t="s">
        <v>23</v>
      </c>
      <c r="C536" s="1" t="s">
        <v>24</v>
      </c>
      <c r="D536" s="1" t="str">
        <f t="shared" si="94"/>
        <v>9801</v>
      </c>
      <c r="E536" s="1" t="s">
        <v>25</v>
      </c>
      <c r="F536" s="1" t="str">
        <f>"021C29182F880400C819002000000019"</f>
        <v>021C29182F880400C819002000000019</v>
      </c>
      <c r="G536" s="1" t="s">
        <v>59</v>
      </c>
      <c r="H536" s="1" t="str">
        <f t="shared" si="96"/>
        <v>20220903</v>
      </c>
      <c r="I536" s="1" t="str">
        <f>"164914"</f>
        <v>164914</v>
      </c>
      <c r="J536" s="1" t="s">
        <v>28</v>
      </c>
      <c r="K536" s="1" t="s">
        <v>28</v>
      </c>
      <c r="L536" s="1" t="str">
        <f t="shared" si="97"/>
        <v>20220903</v>
      </c>
      <c r="M536" s="1" t="str">
        <f>"170405"</f>
        <v>170405</v>
      </c>
      <c r="N536" s="1" t="s">
        <v>67</v>
      </c>
      <c r="O536" s="1" t="s">
        <v>52</v>
      </c>
      <c r="P536" s="1" t="s">
        <v>55</v>
      </c>
      <c r="Q536" s="1">
        <v>25</v>
      </c>
      <c r="R536" s="1">
        <v>25</v>
      </c>
      <c r="S536" s="1">
        <v>0</v>
      </c>
      <c r="T536" s="1">
        <v>0</v>
      </c>
      <c r="U536" s="1">
        <v>0</v>
      </c>
      <c r="V536" s="1" t="str">
        <f t="shared" si="98"/>
        <v>里程返程</v>
      </c>
      <c r="W536" s="1" t="str">
        <f>"0020"</f>
        <v>0020</v>
      </c>
      <c r="X536" s="1" t="s">
        <v>29</v>
      </c>
    </row>
    <row r="537" spans="1:24" x14ac:dyDescent="0.3">
      <c r="A537" s="1" t="str">
        <f t="shared" si="93"/>
        <v>59828</v>
      </c>
      <c r="B537" s="1" t="s">
        <v>23</v>
      </c>
      <c r="C537" s="1" t="s">
        <v>24</v>
      </c>
      <c r="D537" s="1" t="str">
        <f t="shared" si="94"/>
        <v>9801</v>
      </c>
      <c r="E537" s="1" t="s">
        <v>25</v>
      </c>
      <c r="F537" s="1" t="str">
        <f>"F276E60260880400C834002000000015"</f>
        <v>F276E60260880400C834002000000015</v>
      </c>
      <c r="G537" s="1" t="s">
        <v>74</v>
      </c>
      <c r="H537" s="1" t="str">
        <f t="shared" si="96"/>
        <v>20220903</v>
      </c>
      <c r="I537" s="1" t="str">
        <f>"170219"</f>
        <v>170219</v>
      </c>
      <c r="J537" s="1" t="s">
        <v>83</v>
      </c>
      <c r="K537" s="1" t="s">
        <v>52</v>
      </c>
      <c r="L537" s="1" t="str">
        <f t="shared" si="97"/>
        <v>20220903</v>
      </c>
      <c r="M537" s="1" t="str">
        <f>"171538"</f>
        <v>171538</v>
      </c>
      <c r="N537" s="1" t="s">
        <v>65</v>
      </c>
      <c r="O537" s="1" t="s">
        <v>52</v>
      </c>
      <c r="P537" s="1" t="s">
        <v>68</v>
      </c>
      <c r="Q537" s="1">
        <v>13</v>
      </c>
      <c r="R537" s="1">
        <v>0</v>
      </c>
      <c r="S537" s="1">
        <v>0</v>
      </c>
      <c r="T537" s="1">
        <v>13</v>
      </c>
      <c r="U537" s="1">
        <v>0</v>
      </c>
      <c r="V537" s="1" t="str">
        <f t="shared" si="98"/>
        <v>里程返程</v>
      </c>
      <c r="W537" s="1" t="str">
        <f>"0020"</f>
        <v>0020</v>
      </c>
      <c r="X537" s="1" t="s">
        <v>29</v>
      </c>
    </row>
    <row r="538" spans="1:24" x14ac:dyDescent="0.3">
      <c r="A538" s="1" t="str">
        <f t="shared" si="93"/>
        <v>59828</v>
      </c>
      <c r="B538" s="1" t="s">
        <v>23</v>
      </c>
      <c r="C538" s="1" t="s">
        <v>24</v>
      </c>
      <c r="D538" s="1" t="str">
        <f t="shared" si="94"/>
        <v>9801</v>
      </c>
      <c r="E538" s="1" t="s">
        <v>25</v>
      </c>
      <c r="F538" s="1" t="str">
        <f>"52534E1B54880400C822002000000021"</f>
        <v>52534E1B54880400C822002000000021</v>
      </c>
      <c r="G538" s="1" t="s">
        <v>66</v>
      </c>
      <c r="H538" s="1" t="str">
        <f t="shared" si="96"/>
        <v>20220903</v>
      </c>
      <c r="I538" s="1" t="str">
        <f>"170221"</f>
        <v>170221</v>
      </c>
      <c r="J538" s="1" t="s">
        <v>83</v>
      </c>
      <c r="K538" s="1" t="s">
        <v>52</v>
      </c>
      <c r="L538" s="1" t="str">
        <f t="shared" si="97"/>
        <v>20220903</v>
      </c>
      <c r="M538" s="1" t="str">
        <f>"171540"</f>
        <v>171540</v>
      </c>
      <c r="N538" s="1" t="s">
        <v>65</v>
      </c>
      <c r="O538" s="1" t="s">
        <v>52</v>
      </c>
      <c r="P538" s="1" t="s">
        <v>55</v>
      </c>
      <c r="Q538" s="1">
        <v>13</v>
      </c>
      <c r="R538" s="1">
        <v>13</v>
      </c>
      <c r="S538" s="1">
        <v>0</v>
      </c>
      <c r="T538" s="1">
        <v>0</v>
      </c>
      <c r="U538" s="1">
        <v>0</v>
      </c>
      <c r="V538" s="1" t="str">
        <f t="shared" si="98"/>
        <v>里程返程</v>
      </c>
      <c r="W538" s="1" t="str">
        <f>"0020"</f>
        <v>0020</v>
      </c>
      <c r="X538" s="1" t="s">
        <v>29</v>
      </c>
    </row>
    <row r="539" spans="1:24" x14ac:dyDescent="0.3">
      <c r="A539" s="1" t="str">
        <f t="shared" ref="A539:A552" si="100">"59829"</f>
        <v>59829</v>
      </c>
      <c r="B539" s="1" t="s">
        <v>47</v>
      </c>
      <c r="C539" s="1" t="s">
        <v>48</v>
      </c>
      <c r="D539" s="1" t="str">
        <f t="shared" ref="D539:D548" si="101">"9803"</f>
        <v>9803</v>
      </c>
      <c r="E539" s="1" t="s">
        <v>32</v>
      </c>
      <c r="F539" s="1" t="str">
        <f>"927551509"</f>
        <v>927551509</v>
      </c>
      <c r="G539" s="1" t="s">
        <v>38</v>
      </c>
      <c r="H539" s="1" t="str">
        <f t="shared" si="96"/>
        <v>20220903</v>
      </c>
      <c r="I539" s="1" t="str">
        <f>"072844"</f>
        <v>072844</v>
      </c>
      <c r="J539" s="1" t="s">
        <v>28</v>
      </c>
      <c r="K539" s="1" t="s">
        <v>28</v>
      </c>
      <c r="L539" s="1" t="str">
        <f t="shared" si="97"/>
        <v>20220903</v>
      </c>
      <c r="M539" s="1" t="str">
        <f>"073945"</f>
        <v>073945</v>
      </c>
      <c r="N539" s="1" t="s">
        <v>46</v>
      </c>
      <c r="O539" s="1" t="s">
        <v>28</v>
      </c>
      <c r="P539" s="1" t="s">
        <v>55</v>
      </c>
      <c r="Q539" s="1">
        <v>25</v>
      </c>
      <c r="R539" s="1">
        <v>0</v>
      </c>
      <c r="S539" s="1">
        <v>25</v>
      </c>
      <c r="T539" s="1">
        <v>0</v>
      </c>
      <c r="U539" s="1">
        <v>0</v>
      </c>
      <c r="V539" s="1" t="str">
        <f t="shared" ref="V539:V544" si="102">"里程去程"</f>
        <v>里程去程</v>
      </c>
      <c r="W539" s="1" t="str">
        <f>"0820"</f>
        <v>0820</v>
      </c>
      <c r="X539" s="1" t="s">
        <v>35</v>
      </c>
    </row>
    <row r="540" spans="1:24" x14ac:dyDescent="0.3">
      <c r="A540" s="1" t="str">
        <f t="shared" si="100"/>
        <v>59829</v>
      </c>
      <c r="B540" s="1" t="s">
        <v>47</v>
      </c>
      <c r="C540" s="1" t="s">
        <v>48</v>
      </c>
      <c r="D540" s="1" t="str">
        <f t="shared" si="101"/>
        <v>9803</v>
      </c>
      <c r="E540" s="1" t="s">
        <v>32</v>
      </c>
      <c r="F540" s="1" t="str">
        <f>"1683525680"</f>
        <v>1683525680</v>
      </c>
      <c r="G540" s="1" t="s">
        <v>33</v>
      </c>
      <c r="H540" s="1" t="str">
        <f t="shared" si="96"/>
        <v>20220903</v>
      </c>
      <c r="I540" s="1" t="str">
        <f>"122744"</f>
        <v>122744</v>
      </c>
      <c r="J540" s="1" t="s">
        <v>28</v>
      </c>
      <c r="K540" s="1" t="s">
        <v>28</v>
      </c>
      <c r="L540" s="1" t="str">
        <f t="shared" si="97"/>
        <v>20220903</v>
      </c>
      <c r="M540" s="1" t="str">
        <f>"125012"</f>
        <v>125012</v>
      </c>
      <c r="N540" s="1" t="s">
        <v>34</v>
      </c>
      <c r="O540" s="1" t="s">
        <v>34</v>
      </c>
      <c r="P540" s="1" t="s">
        <v>55</v>
      </c>
      <c r="Q540" s="1">
        <v>25</v>
      </c>
      <c r="R540" s="1">
        <v>25</v>
      </c>
      <c r="S540" s="1">
        <v>0</v>
      </c>
      <c r="T540" s="1">
        <v>0</v>
      </c>
      <c r="U540" s="1">
        <v>0</v>
      </c>
      <c r="V540" s="1" t="str">
        <f t="shared" si="102"/>
        <v>里程去程</v>
      </c>
      <c r="W540" s="1" t="str">
        <f>"0120"</f>
        <v>0120</v>
      </c>
      <c r="X540" s="1" t="s">
        <v>35</v>
      </c>
    </row>
    <row r="541" spans="1:24" x14ac:dyDescent="0.3">
      <c r="A541" s="1" t="str">
        <f t="shared" si="100"/>
        <v>59829</v>
      </c>
      <c r="B541" s="1" t="s">
        <v>47</v>
      </c>
      <c r="C541" s="1" t="s">
        <v>48</v>
      </c>
      <c r="D541" s="1" t="str">
        <f t="shared" si="101"/>
        <v>9803</v>
      </c>
      <c r="E541" s="1" t="s">
        <v>32</v>
      </c>
      <c r="F541" s="1" t="str">
        <f>"863691077"</f>
        <v>863691077</v>
      </c>
      <c r="G541" s="1" t="s">
        <v>33</v>
      </c>
      <c r="H541" s="1" t="str">
        <f t="shared" si="96"/>
        <v>20220903</v>
      </c>
      <c r="I541" s="1" t="str">
        <f>"122749"</f>
        <v>122749</v>
      </c>
      <c r="J541" s="1" t="s">
        <v>28</v>
      </c>
      <c r="K541" s="1" t="s">
        <v>28</v>
      </c>
      <c r="L541" s="1" t="str">
        <f t="shared" si="97"/>
        <v>20220903</v>
      </c>
      <c r="M541" s="1" t="str">
        <f>"125009"</f>
        <v>125009</v>
      </c>
      <c r="N541" s="1" t="s">
        <v>34</v>
      </c>
      <c r="O541" s="1" t="s">
        <v>34</v>
      </c>
      <c r="P541" s="1" t="s">
        <v>55</v>
      </c>
      <c r="Q541" s="1">
        <v>25</v>
      </c>
      <c r="R541" s="1">
        <v>25</v>
      </c>
      <c r="S541" s="1">
        <v>0</v>
      </c>
      <c r="T541" s="1">
        <v>0</v>
      </c>
      <c r="U541" s="1">
        <v>0</v>
      </c>
      <c r="V541" s="1" t="str">
        <f t="shared" si="102"/>
        <v>里程去程</v>
      </c>
      <c r="W541" s="1" t="str">
        <f>"0420"</f>
        <v>0420</v>
      </c>
      <c r="X541" s="1" t="s">
        <v>35</v>
      </c>
    </row>
    <row r="542" spans="1:24" x14ac:dyDescent="0.3">
      <c r="A542" s="1" t="str">
        <f t="shared" si="100"/>
        <v>59829</v>
      </c>
      <c r="B542" s="1" t="s">
        <v>47</v>
      </c>
      <c r="C542" s="1" t="s">
        <v>48</v>
      </c>
      <c r="D542" s="1" t="str">
        <f t="shared" si="101"/>
        <v>9803</v>
      </c>
      <c r="E542" s="1" t="s">
        <v>32</v>
      </c>
      <c r="F542" s="1" t="str">
        <f>"52524D165B880400C814002000000019"</f>
        <v>52524D165B880400C814002000000019</v>
      </c>
      <c r="G542" s="1" t="s">
        <v>26</v>
      </c>
      <c r="H542" s="1" t="str">
        <f t="shared" si="96"/>
        <v>20220903</v>
      </c>
      <c r="I542" s="1" t="str">
        <f>"122754"</f>
        <v>122754</v>
      </c>
      <c r="J542" s="1" t="s">
        <v>28</v>
      </c>
      <c r="K542" s="1" t="s">
        <v>28</v>
      </c>
      <c r="L542" s="1" t="str">
        <f t="shared" si="97"/>
        <v>20220903</v>
      </c>
      <c r="M542" s="1" t="str">
        <f>"123927"</f>
        <v>123927</v>
      </c>
      <c r="N542" s="1" t="s">
        <v>79</v>
      </c>
      <c r="O542" s="1" t="s">
        <v>28</v>
      </c>
      <c r="P542" s="1" t="s">
        <v>55</v>
      </c>
      <c r="Q542" s="1">
        <v>13</v>
      </c>
      <c r="R542" s="1">
        <v>13</v>
      </c>
      <c r="S542" s="1">
        <v>0</v>
      </c>
      <c r="T542" s="1">
        <v>0</v>
      </c>
      <c r="U542" s="1">
        <v>0</v>
      </c>
      <c r="V542" s="1" t="str">
        <f t="shared" si="102"/>
        <v>里程去程</v>
      </c>
      <c r="W542" s="1" t="str">
        <f>"0020"</f>
        <v>0020</v>
      </c>
      <c r="X542" s="1" t="s">
        <v>29</v>
      </c>
    </row>
    <row r="543" spans="1:24" x14ac:dyDescent="0.3">
      <c r="A543" s="1" t="str">
        <f t="shared" si="100"/>
        <v>59829</v>
      </c>
      <c r="B543" s="1" t="s">
        <v>47</v>
      </c>
      <c r="C543" s="1" t="s">
        <v>48</v>
      </c>
      <c r="D543" s="1" t="str">
        <f t="shared" si="101"/>
        <v>9803</v>
      </c>
      <c r="E543" s="1" t="s">
        <v>32</v>
      </c>
      <c r="F543" s="1" t="str">
        <f>"2025826032"</f>
        <v>2025826032</v>
      </c>
      <c r="G543" s="1" t="s">
        <v>33</v>
      </c>
      <c r="H543" s="1" t="str">
        <f t="shared" si="96"/>
        <v>20220903</v>
      </c>
      <c r="I543" s="1" t="str">
        <f>"122758"</f>
        <v>122758</v>
      </c>
      <c r="J543" s="1" t="s">
        <v>28</v>
      </c>
      <c r="K543" s="1" t="s">
        <v>28</v>
      </c>
      <c r="L543" s="1" t="str">
        <f t="shared" si="97"/>
        <v>20220903</v>
      </c>
      <c r="M543" s="1" t="str">
        <f>"125015"</f>
        <v>125015</v>
      </c>
      <c r="N543" s="1" t="s">
        <v>34</v>
      </c>
      <c r="O543" s="1" t="s">
        <v>34</v>
      </c>
      <c r="P543" s="1" t="s">
        <v>55</v>
      </c>
      <c r="Q543" s="1">
        <v>25</v>
      </c>
      <c r="R543" s="1">
        <v>25</v>
      </c>
      <c r="S543" s="1">
        <v>0</v>
      </c>
      <c r="T543" s="1">
        <v>0</v>
      </c>
      <c r="U543" s="1">
        <v>0</v>
      </c>
      <c r="V543" s="1" t="str">
        <f t="shared" si="102"/>
        <v>里程去程</v>
      </c>
      <c r="W543" s="1" t="str">
        <f>"0120"</f>
        <v>0120</v>
      </c>
      <c r="X543" s="1" t="s">
        <v>35</v>
      </c>
    </row>
    <row r="544" spans="1:24" x14ac:dyDescent="0.3">
      <c r="A544" s="1" t="str">
        <f t="shared" si="100"/>
        <v>59829</v>
      </c>
      <c r="B544" s="1" t="s">
        <v>47</v>
      </c>
      <c r="C544" s="1" t="s">
        <v>48</v>
      </c>
      <c r="D544" s="1" t="str">
        <f t="shared" si="101"/>
        <v>9803</v>
      </c>
      <c r="E544" s="1" t="s">
        <v>32</v>
      </c>
      <c r="F544" s="1" t="str">
        <f>"928864212"</f>
        <v>928864212</v>
      </c>
      <c r="G544" s="1" t="s">
        <v>33</v>
      </c>
      <c r="H544" s="1" t="str">
        <f t="shared" si="96"/>
        <v>20220903</v>
      </c>
      <c r="I544" s="1" t="str">
        <f>"122821"</f>
        <v>122821</v>
      </c>
      <c r="J544" s="1" t="s">
        <v>28</v>
      </c>
      <c r="K544" s="1" t="s">
        <v>28</v>
      </c>
      <c r="L544" s="1" t="str">
        <f t="shared" si="97"/>
        <v>20220903</v>
      </c>
      <c r="M544" s="1" t="str">
        <f>"124138"</f>
        <v>124138</v>
      </c>
      <c r="N544" s="1" t="s">
        <v>46</v>
      </c>
      <c r="O544" s="1" t="s">
        <v>28</v>
      </c>
      <c r="P544" s="1" t="s">
        <v>55</v>
      </c>
      <c r="Q544" s="1">
        <v>25</v>
      </c>
      <c r="R544" s="1">
        <v>25</v>
      </c>
      <c r="S544" s="1">
        <v>0</v>
      </c>
      <c r="T544" s="1">
        <v>0</v>
      </c>
      <c r="U544" s="1">
        <v>0</v>
      </c>
      <c r="V544" s="1" t="str">
        <f t="shared" si="102"/>
        <v>里程去程</v>
      </c>
      <c r="W544" s="1" t="str">
        <f>"0120"</f>
        <v>0120</v>
      </c>
      <c r="X544" s="1" t="s">
        <v>35</v>
      </c>
    </row>
    <row r="545" spans="1:24" x14ac:dyDescent="0.3">
      <c r="A545" s="1" t="str">
        <f t="shared" si="100"/>
        <v>59829</v>
      </c>
      <c r="B545" s="1" t="s">
        <v>47</v>
      </c>
      <c r="C545" s="1" t="s">
        <v>48</v>
      </c>
      <c r="D545" s="1" t="str">
        <f t="shared" si="101"/>
        <v>9803</v>
      </c>
      <c r="E545" s="1" t="s">
        <v>32</v>
      </c>
      <c r="F545" s="1" t="str">
        <f>"2025826032"</f>
        <v>2025826032</v>
      </c>
      <c r="G545" s="1" t="s">
        <v>33</v>
      </c>
      <c r="H545" s="1" t="str">
        <f t="shared" si="96"/>
        <v>20220903</v>
      </c>
      <c r="I545" s="1" t="str">
        <f>"125806"</f>
        <v>125806</v>
      </c>
      <c r="J545" s="1" t="s">
        <v>34</v>
      </c>
      <c r="K545" s="1" t="s">
        <v>34</v>
      </c>
      <c r="L545" s="1" t="str">
        <f t="shared" si="97"/>
        <v>20220903</v>
      </c>
      <c r="M545" s="1" t="str">
        <f>"130341"</f>
        <v>130341</v>
      </c>
      <c r="N545" s="1" t="s">
        <v>73</v>
      </c>
      <c r="O545" s="1" t="s">
        <v>28</v>
      </c>
      <c r="P545" s="1" t="s">
        <v>55</v>
      </c>
      <c r="Q545" s="1">
        <v>25</v>
      </c>
      <c r="R545" s="1">
        <v>25</v>
      </c>
      <c r="S545" s="1">
        <v>0</v>
      </c>
      <c r="T545" s="1">
        <v>0</v>
      </c>
      <c r="U545" s="1">
        <v>0</v>
      </c>
      <c r="V545" s="1" t="str">
        <f>"里程返程"</f>
        <v>里程返程</v>
      </c>
      <c r="W545" s="1" t="str">
        <f>"2020"</f>
        <v>2020</v>
      </c>
      <c r="X545" s="1" t="s">
        <v>35</v>
      </c>
    </row>
    <row r="546" spans="1:24" x14ac:dyDescent="0.3">
      <c r="A546" s="1" t="str">
        <f t="shared" si="100"/>
        <v>59829</v>
      </c>
      <c r="B546" s="1" t="s">
        <v>47</v>
      </c>
      <c r="C546" s="1" t="s">
        <v>48</v>
      </c>
      <c r="D546" s="1" t="str">
        <f t="shared" si="101"/>
        <v>9803</v>
      </c>
      <c r="E546" s="1" t="s">
        <v>32</v>
      </c>
      <c r="F546" s="1" t="str">
        <f>"1087508001"</f>
        <v>1087508001</v>
      </c>
      <c r="G546" s="1" t="s">
        <v>33</v>
      </c>
      <c r="H546" s="1" t="str">
        <f t="shared" si="96"/>
        <v>20220903</v>
      </c>
      <c r="I546" s="1" t="str">
        <f>"130354"</f>
        <v>130354</v>
      </c>
      <c r="J546" s="1" t="s">
        <v>73</v>
      </c>
      <c r="K546" s="1" t="s">
        <v>28</v>
      </c>
      <c r="L546" s="1" t="str">
        <f t="shared" si="97"/>
        <v>20220903</v>
      </c>
      <c r="M546" s="1" t="str">
        <f>"131234"</f>
        <v>131234</v>
      </c>
      <c r="N546" s="1" t="s">
        <v>46</v>
      </c>
      <c r="O546" s="1" t="s">
        <v>28</v>
      </c>
      <c r="P546" s="1" t="s">
        <v>55</v>
      </c>
      <c r="Q546" s="1">
        <v>25</v>
      </c>
      <c r="R546" s="1">
        <v>0</v>
      </c>
      <c r="S546" s="1">
        <v>25</v>
      </c>
      <c r="T546" s="1">
        <v>0</v>
      </c>
      <c r="U546" s="1">
        <v>0</v>
      </c>
      <c r="V546" s="1" t="str">
        <f>"里程返程"</f>
        <v>里程返程</v>
      </c>
      <c r="W546" s="1" t="str">
        <f>"2120"</f>
        <v>2120</v>
      </c>
      <c r="X546" s="1" t="s">
        <v>35</v>
      </c>
    </row>
    <row r="547" spans="1:24" x14ac:dyDescent="0.3">
      <c r="A547" s="1" t="str">
        <f t="shared" si="100"/>
        <v>59829</v>
      </c>
      <c r="B547" s="1" t="s">
        <v>47</v>
      </c>
      <c r="C547" s="1" t="s">
        <v>48</v>
      </c>
      <c r="D547" s="1" t="str">
        <f t="shared" si="101"/>
        <v>9803</v>
      </c>
      <c r="E547" s="1" t="s">
        <v>32</v>
      </c>
      <c r="F547" s="1" t="str">
        <f>"1861159169"</f>
        <v>1861159169</v>
      </c>
      <c r="G547" s="1" t="s">
        <v>33</v>
      </c>
      <c r="H547" s="1" t="str">
        <f t="shared" ref="H547:H552" si="103">"20220903"</f>
        <v>20220903</v>
      </c>
      <c r="I547" s="1" t="str">
        <f>"130356"</f>
        <v>130356</v>
      </c>
      <c r="J547" s="1" t="s">
        <v>73</v>
      </c>
      <c r="K547" s="1" t="s">
        <v>28</v>
      </c>
      <c r="L547" s="1" t="str">
        <f t="shared" ref="L547:L552" si="104">"20220903"</f>
        <v>20220903</v>
      </c>
      <c r="M547" s="1" t="str">
        <f>"131231"</f>
        <v>131231</v>
      </c>
      <c r="N547" s="1" t="s">
        <v>46</v>
      </c>
      <c r="O547" s="1" t="s">
        <v>28</v>
      </c>
      <c r="P547" s="1" t="s">
        <v>55</v>
      </c>
      <c r="Q547" s="1">
        <v>25</v>
      </c>
      <c r="R547" s="1">
        <v>0</v>
      </c>
      <c r="S547" s="1">
        <v>25</v>
      </c>
      <c r="T547" s="1">
        <v>0</v>
      </c>
      <c r="U547" s="1">
        <v>0</v>
      </c>
      <c r="V547" s="1" t="str">
        <f>"里程返程"</f>
        <v>里程返程</v>
      </c>
      <c r="W547" s="1" t="str">
        <f>"2120"</f>
        <v>2120</v>
      </c>
      <c r="X547" s="1" t="s">
        <v>35</v>
      </c>
    </row>
    <row r="548" spans="1:24" x14ac:dyDescent="0.3">
      <c r="A548" s="1" t="str">
        <f t="shared" si="100"/>
        <v>59829</v>
      </c>
      <c r="B548" s="1" t="s">
        <v>47</v>
      </c>
      <c r="C548" s="1" t="s">
        <v>48</v>
      </c>
      <c r="D548" s="1" t="str">
        <f t="shared" si="101"/>
        <v>9803</v>
      </c>
      <c r="E548" s="1" t="s">
        <v>32</v>
      </c>
      <c r="F548" s="1" t="str">
        <f>"928864212"</f>
        <v>928864212</v>
      </c>
      <c r="G548" s="1" t="s">
        <v>33</v>
      </c>
      <c r="H548" s="1" t="str">
        <f t="shared" si="103"/>
        <v>20220903</v>
      </c>
      <c r="I548" s="1" t="str">
        <f>"162528"</f>
        <v>162528</v>
      </c>
      <c r="J548" s="1" t="s">
        <v>46</v>
      </c>
      <c r="K548" s="1" t="s">
        <v>28</v>
      </c>
      <c r="L548" s="1" t="str">
        <f t="shared" si="104"/>
        <v>20220903</v>
      </c>
      <c r="M548" s="1" t="str">
        <f>"163804"</f>
        <v>163804</v>
      </c>
      <c r="N548" s="1" t="s">
        <v>93</v>
      </c>
      <c r="O548" s="1" t="s">
        <v>28</v>
      </c>
      <c r="P548" s="1" t="s">
        <v>55</v>
      </c>
      <c r="Q548" s="1">
        <v>25</v>
      </c>
      <c r="R548" s="1">
        <v>25</v>
      </c>
      <c r="S548" s="1">
        <v>0</v>
      </c>
      <c r="T548" s="1">
        <v>0</v>
      </c>
      <c r="U548" s="1">
        <v>0</v>
      </c>
      <c r="V548" s="1" t="str">
        <f>"里程去程"</f>
        <v>里程去程</v>
      </c>
      <c r="W548" s="1" t="str">
        <f>"2020"</f>
        <v>2020</v>
      </c>
      <c r="X548" s="1" t="s">
        <v>35</v>
      </c>
    </row>
    <row r="549" spans="1:24" x14ac:dyDescent="0.3">
      <c r="A549" s="1" t="str">
        <f t="shared" si="100"/>
        <v>59829</v>
      </c>
      <c r="B549" s="1" t="s">
        <v>47</v>
      </c>
      <c r="C549" s="1" t="s">
        <v>48</v>
      </c>
      <c r="D549" s="1" t="str">
        <f t="shared" ref="D549:D556" si="105">"9805"</f>
        <v>9805</v>
      </c>
      <c r="E549" s="1" t="s">
        <v>57</v>
      </c>
      <c r="F549" s="1" t="str">
        <f>"F2EE750168880400C818002000000015"</f>
        <v>F2EE750168880400C818002000000015</v>
      </c>
      <c r="G549" s="1" t="s">
        <v>82</v>
      </c>
      <c r="H549" s="1" t="str">
        <f t="shared" si="103"/>
        <v>20220903</v>
      </c>
      <c r="I549" s="1" t="str">
        <f>"175710"</f>
        <v>175710</v>
      </c>
      <c r="J549" s="1" t="s">
        <v>28</v>
      </c>
      <c r="K549" s="1" t="s">
        <v>28</v>
      </c>
      <c r="L549" s="1" t="str">
        <f t="shared" si="104"/>
        <v>20220903</v>
      </c>
      <c r="M549" s="1" t="str">
        <f>"181729"</f>
        <v>181729</v>
      </c>
      <c r="N549" s="1" t="s">
        <v>52</v>
      </c>
      <c r="O549" s="1" t="s">
        <v>52</v>
      </c>
      <c r="P549" s="1" t="s">
        <v>55</v>
      </c>
      <c r="Q549" s="1">
        <v>13</v>
      </c>
      <c r="R549" s="1">
        <v>0</v>
      </c>
      <c r="S549" s="1">
        <v>13</v>
      </c>
      <c r="T549" s="1">
        <v>0</v>
      </c>
      <c r="U549" s="1">
        <v>0</v>
      </c>
      <c r="V549" s="1" t="str">
        <f>"里程去程"</f>
        <v>里程去程</v>
      </c>
      <c r="W549" s="1" t="str">
        <f>"1120"</f>
        <v>1120</v>
      </c>
      <c r="X549" s="1" t="s">
        <v>29</v>
      </c>
    </row>
    <row r="550" spans="1:24" x14ac:dyDescent="0.3">
      <c r="A550" s="1" t="str">
        <f t="shared" si="100"/>
        <v>59829</v>
      </c>
      <c r="B550" s="1" t="s">
        <v>47</v>
      </c>
      <c r="C550" s="1" t="s">
        <v>48</v>
      </c>
      <c r="D550" s="1" t="str">
        <f t="shared" si="105"/>
        <v>9805</v>
      </c>
      <c r="E550" s="1" t="s">
        <v>57</v>
      </c>
      <c r="F550" s="1" t="str">
        <f>"62D77501C1880400C818002000000015"</f>
        <v>62D77501C1880400C818002000000015</v>
      </c>
      <c r="G550" s="1" t="s">
        <v>66</v>
      </c>
      <c r="H550" s="1" t="str">
        <f t="shared" si="103"/>
        <v>20220903</v>
      </c>
      <c r="I550" s="1" t="str">
        <f>"175714"</f>
        <v>175714</v>
      </c>
      <c r="J550" s="1" t="s">
        <v>28</v>
      </c>
      <c r="K550" s="1" t="s">
        <v>28</v>
      </c>
      <c r="L550" s="1" t="str">
        <f t="shared" si="104"/>
        <v>20220903</v>
      </c>
      <c r="M550" s="1" t="str">
        <f>"181733"</f>
        <v>181733</v>
      </c>
      <c r="N550" s="1" t="s">
        <v>52</v>
      </c>
      <c r="O550" s="1" t="s">
        <v>52</v>
      </c>
      <c r="P550" s="1" t="s">
        <v>55</v>
      </c>
      <c r="Q550" s="1">
        <v>13</v>
      </c>
      <c r="R550" s="1">
        <v>0</v>
      </c>
      <c r="S550" s="1">
        <v>13</v>
      </c>
      <c r="T550" s="1">
        <v>0</v>
      </c>
      <c r="U550" s="1">
        <v>0</v>
      </c>
      <c r="V550" s="1" t="str">
        <f>"里程去程"</f>
        <v>里程去程</v>
      </c>
      <c r="W550" s="1" t="str">
        <f>"1120"</f>
        <v>1120</v>
      </c>
      <c r="X550" s="1" t="s">
        <v>29</v>
      </c>
    </row>
    <row r="551" spans="1:24" x14ac:dyDescent="0.3">
      <c r="A551" s="1" t="str">
        <f t="shared" si="100"/>
        <v>59829</v>
      </c>
      <c r="B551" s="1" t="s">
        <v>47</v>
      </c>
      <c r="C551" s="1" t="s">
        <v>48</v>
      </c>
      <c r="D551" s="1" t="str">
        <f t="shared" si="105"/>
        <v>9805</v>
      </c>
      <c r="E551" s="1" t="s">
        <v>57</v>
      </c>
      <c r="F551" s="1" t="str">
        <f>"863691077"</f>
        <v>863691077</v>
      </c>
      <c r="G551" s="1" t="s">
        <v>33</v>
      </c>
      <c r="H551" s="1" t="str">
        <f t="shared" si="103"/>
        <v>20220903</v>
      </c>
      <c r="I551" s="1" t="str">
        <f>"182501"</f>
        <v>182501</v>
      </c>
      <c r="J551" s="1" t="s">
        <v>62</v>
      </c>
      <c r="K551" s="1" t="s">
        <v>28</v>
      </c>
      <c r="L551" s="1" t="str">
        <f t="shared" si="104"/>
        <v>20220903</v>
      </c>
      <c r="M551" s="1" t="str">
        <f>"183828"</f>
        <v>183828</v>
      </c>
      <c r="N551" s="1" t="s">
        <v>28</v>
      </c>
      <c r="O551" s="1" t="s">
        <v>28</v>
      </c>
      <c r="P551" s="1" t="s">
        <v>55</v>
      </c>
      <c r="Q551" s="1">
        <v>25</v>
      </c>
      <c r="R551" s="1">
        <v>0</v>
      </c>
      <c r="S551" s="1">
        <v>25</v>
      </c>
      <c r="T551" s="1">
        <v>0</v>
      </c>
      <c r="U551" s="1">
        <v>0</v>
      </c>
      <c r="V551" s="1" t="str">
        <f>"里程返程"</f>
        <v>里程返程</v>
      </c>
      <c r="W551" s="1" t="str">
        <f>"2020"</f>
        <v>2020</v>
      </c>
      <c r="X551" s="1" t="s">
        <v>35</v>
      </c>
    </row>
    <row r="552" spans="1:24" x14ac:dyDescent="0.3">
      <c r="A552" s="1" t="str">
        <f t="shared" si="100"/>
        <v>59829</v>
      </c>
      <c r="B552" s="1" t="s">
        <v>47</v>
      </c>
      <c r="C552" s="1" t="s">
        <v>48</v>
      </c>
      <c r="D552" s="1" t="str">
        <f t="shared" si="105"/>
        <v>9805</v>
      </c>
      <c r="E552" s="1" t="s">
        <v>57</v>
      </c>
      <c r="F552" s="1" t="str">
        <f>"1683525680"</f>
        <v>1683525680</v>
      </c>
      <c r="G552" s="1" t="s">
        <v>33</v>
      </c>
      <c r="H552" s="1" t="str">
        <f t="shared" si="103"/>
        <v>20220903</v>
      </c>
      <c r="I552" s="1" t="str">
        <f>"182503"</f>
        <v>182503</v>
      </c>
      <c r="J552" s="1" t="s">
        <v>62</v>
      </c>
      <c r="K552" s="1" t="s">
        <v>28</v>
      </c>
      <c r="L552" s="1" t="str">
        <f t="shared" si="104"/>
        <v>20220903</v>
      </c>
      <c r="M552" s="1" t="str">
        <f>"183824"</f>
        <v>183824</v>
      </c>
      <c r="N552" s="1" t="s">
        <v>28</v>
      </c>
      <c r="O552" s="1" t="s">
        <v>28</v>
      </c>
      <c r="P552" s="1" t="s">
        <v>55</v>
      </c>
      <c r="Q552" s="1">
        <v>25</v>
      </c>
      <c r="R552" s="1">
        <v>0</v>
      </c>
      <c r="S552" s="1">
        <v>25</v>
      </c>
      <c r="T552" s="1">
        <v>0</v>
      </c>
      <c r="U552" s="1">
        <v>0</v>
      </c>
      <c r="V552" s="1" t="str">
        <f>"里程返程"</f>
        <v>里程返程</v>
      </c>
      <c r="W552" s="1" t="str">
        <f>"2020"</f>
        <v>2020</v>
      </c>
      <c r="X552" s="1" t="s">
        <v>35</v>
      </c>
    </row>
    <row r="553" spans="1:24" x14ac:dyDescent="0.3">
      <c r="A553" s="1" t="str">
        <f t="shared" ref="A553:A565" si="106">"59809"</f>
        <v>59809</v>
      </c>
      <c r="B553" s="1" t="s">
        <v>42</v>
      </c>
      <c r="C553" s="1" t="s">
        <v>43</v>
      </c>
      <c r="D553" s="1" t="str">
        <f t="shared" si="105"/>
        <v>9805</v>
      </c>
      <c r="E553" s="1" t="s">
        <v>57</v>
      </c>
      <c r="F553" s="1" t="str">
        <f>"3258C312BB28040080CEBCD765212818"</f>
        <v>3258C312BB28040080CEBCD765212818</v>
      </c>
      <c r="G553" s="1" t="s">
        <v>59</v>
      </c>
      <c r="H553" s="1" t="str">
        <f t="shared" ref="H553:H584" si="107">"20220904"</f>
        <v>20220904</v>
      </c>
      <c r="I553" s="1" t="str">
        <f>"120736"</f>
        <v>120736</v>
      </c>
      <c r="J553" s="1" t="s">
        <v>28</v>
      </c>
      <c r="K553" s="1" t="s">
        <v>28</v>
      </c>
      <c r="L553" s="1" t="str">
        <f t="shared" ref="L553:L587" si="108">"20220904"</f>
        <v>20220904</v>
      </c>
      <c r="M553" s="1" t="str">
        <f>"122701"</f>
        <v>122701</v>
      </c>
      <c r="N553" s="1" t="s">
        <v>52</v>
      </c>
      <c r="O553" s="1" t="s">
        <v>52</v>
      </c>
      <c r="P553" s="1" t="s">
        <v>55</v>
      </c>
      <c r="Q553" s="1">
        <v>25</v>
      </c>
      <c r="R553" s="1">
        <v>25</v>
      </c>
      <c r="S553" s="1">
        <v>0</v>
      </c>
      <c r="T553" s="1">
        <v>0</v>
      </c>
      <c r="U553" s="1">
        <v>0</v>
      </c>
      <c r="V553" s="1" t="str">
        <f t="shared" ref="V553:V564" si="109">"里程去程"</f>
        <v>里程去程</v>
      </c>
      <c r="W553" s="1" t="str">
        <f>"0020"</f>
        <v>0020</v>
      </c>
      <c r="X553" s="1" t="s">
        <v>29</v>
      </c>
    </row>
    <row r="554" spans="1:24" x14ac:dyDescent="0.3">
      <c r="A554" s="1" t="str">
        <f t="shared" si="106"/>
        <v>59809</v>
      </c>
      <c r="B554" s="1" t="s">
        <v>42</v>
      </c>
      <c r="C554" s="1" t="s">
        <v>43</v>
      </c>
      <c r="D554" s="1" t="str">
        <f t="shared" si="105"/>
        <v>9805</v>
      </c>
      <c r="E554" s="1" t="s">
        <v>57</v>
      </c>
      <c r="F554" s="1" t="str">
        <f>"921AFC146028040080CEDA1449914018"</f>
        <v>921AFC146028040080CEDA1449914018</v>
      </c>
      <c r="G554" s="1" t="s">
        <v>59</v>
      </c>
      <c r="H554" s="1" t="str">
        <f t="shared" si="107"/>
        <v>20220904</v>
      </c>
      <c r="I554" s="1" t="str">
        <f>"120737"</f>
        <v>120737</v>
      </c>
      <c r="J554" s="1" t="s">
        <v>28</v>
      </c>
      <c r="K554" s="1" t="s">
        <v>28</v>
      </c>
      <c r="L554" s="1" t="str">
        <f t="shared" si="108"/>
        <v>20220904</v>
      </c>
      <c r="M554" s="1" t="str">
        <f>"122706"</f>
        <v>122706</v>
      </c>
      <c r="N554" s="1" t="s">
        <v>52</v>
      </c>
      <c r="O554" s="1" t="s">
        <v>52</v>
      </c>
      <c r="P554" s="1" t="s">
        <v>55</v>
      </c>
      <c r="Q554" s="1">
        <v>25</v>
      </c>
      <c r="R554" s="1">
        <v>25</v>
      </c>
      <c r="S554" s="1">
        <v>0</v>
      </c>
      <c r="T554" s="1">
        <v>0</v>
      </c>
      <c r="U554" s="1">
        <v>0</v>
      </c>
      <c r="V554" s="1" t="str">
        <f t="shared" si="109"/>
        <v>里程去程</v>
      </c>
      <c r="W554" s="1" t="str">
        <f>"0020"</f>
        <v>0020</v>
      </c>
      <c r="X554" s="1" t="s">
        <v>29</v>
      </c>
    </row>
    <row r="555" spans="1:24" x14ac:dyDescent="0.3">
      <c r="A555" s="1" t="str">
        <f t="shared" si="106"/>
        <v>59809</v>
      </c>
      <c r="B555" s="1" t="s">
        <v>42</v>
      </c>
      <c r="C555" s="1" t="s">
        <v>43</v>
      </c>
      <c r="D555" s="1" t="str">
        <f t="shared" si="105"/>
        <v>9805</v>
      </c>
      <c r="E555" s="1" t="s">
        <v>57</v>
      </c>
      <c r="F555" s="1" t="str">
        <f>"412147137"</f>
        <v>412147137</v>
      </c>
      <c r="G555" s="1" t="s">
        <v>33</v>
      </c>
      <c r="H555" s="1" t="str">
        <f t="shared" si="107"/>
        <v>20220904</v>
      </c>
      <c r="I555" s="1" t="str">
        <f>"120751"</f>
        <v>120751</v>
      </c>
      <c r="J555" s="1" t="s">
        <v>28</v>
      </c>
      <c r="K555" s="1" t="s">
        <v>28</v>
      </c>
      <c r="L555" s="1" t="str">
        <f t="shared" si="108"/>
        <v>20220904</v>
      </c>
      <c r="M555" s="1" t="str">
        <f>"122015"</f>
        <v>122015</v>
      </c>
      <c r="N555" s="1" t="s">
        <v>79</v>
      </c>
      <c r="O555" s="1" t="s">
        <v>28</v>
      </c>
      <c r="P555" s="1" t="s">
        <v>55</v>
      </c>
      <c r="Q555" s="1">
        <v>25</v>
      </c>
      <c r="R555" s="1">
        <v>25</v>
      </c>
      <c r="S555" s="1">
        <v>0</v>
      </c>
      <c r="T555" s="1">
        <v>0</v>
      </c>
      <c r="U555" s="1">
        <v>0</v>
      </c>
      <c r="V555" s="1" t="str">
        <f t="shared" si="109"/>
        <v>里程去程</v>
      </c>
      <c r="W555" s="1" t="str">
        <f>"2120"</f>
        <v>2120</v>
      </c>
      <c r="X555" s="1" t="s">
        <v>35</v>
      </c>
    </row>
    <row r="556" spans="1:24" x14ac:dyDescent="0.3">
      <c r="A556" s="1" t="str">
        <f t="shared" si="106"/>
        <v>59809</v>
      </c>
      <c r="B556" s="1" t="s">
        <v>42</v>
      </c>
      <c r="C556" s="1" t="s">
        <v>43</v>
      </c>
      <c r="D556" s="1" t="str">
        <f t="shared" si="105"/>
        <v>9805</v>
      </c>
      <c r="E556" s="1" t="s">
        <v>57</v>
      </c>
      <c r="F556" s="1" t="str">
        <f>"A2CB9916E6880400C814002000000019"</f>
        <v>A2CB9916E6880400C814002000000019</v>
      </c>
      <c r="G556" s="1" t="s">
        <v>59</v>
      </c>
      <c r="H556" s="1" t="str">
        <f t="shared" si="107"/>
        <v>20220904</v>
      </c>
      <c r="I556" s="1" t="str">
        <f>"121010"</f>
        <v>121010</v>
      </c>
      <c r="J556" s="1" t="s">
        <v>28</v>
      </c>
      <c r="K556" s="1" t="s">
        <v>28</v>
      </c>
      <c r="L556" s="1" t="str">
        <f t="shared" si="108"/>
        <v>20220904</v>
      </c>
      <c r="M556" s="1" t="str">
        <f>"122411"</f>
        <v>122411</v>
      </c>
      <c r="N556" s="1" t="s">
        <v>56</v>
      </c>
      <c r="O556" s="1" t="s">
        <v>28</v>
      </c>
      <c r="P556" s="1" t="s">
        <v>55</v>
      </c>
      <c r="Q556" s="1">
        <v>25</v>
      </c>
      <c r="R556" s="1">
        <v>25</v>
      </c>
      <c r="S556" s="1">
        <v>0</v>
      </c>
      <c r="T556" s="1">
        <v>0</v>
      </c>
      <c r="U556" s="1">
        <v>0</v>
      </c>
      <c r="V556" s="1" t="str">
        <f t="shared" si="109"/>
        <v>里程去程</v>
      </c>
      <c r="W556" s="1" t="str">
        <f>"0020"</f>
        <v>0020</v>
      </c>
      <c r="X556" s="1" t="s">
        <v>29</v>
      </c>
    </row>
    <row r="557" spans="1:24" x14ac:dyDescent="0.3">
      <c r="A557" s="1" t="str">
        <f t="shared" si="106"/>
        <v>59809</v>
      </c>
      <c r="B557" s="1" t="s">
        <v>42</v>
      </c>
      <c r="C557" s="1" t="s">
        <v>43</v>
      </c>
      <c r="D557" s="1" t="str">
        <f t="shared" ref="D557:D563" si="110">"9803"</f>
        <v>9803</v>
      </c>
      <c r="E557" s="1" t="s">
        <v>32</v>
      </c>
      <c r="F557" s="1" t="str">
        <f>"829986341"</f>
        <v>829986341</v>
      </c>
      <c r="G557" s="1" t="s">
        <v>26</v>
      </c>
      <c r="H557" s="1" t="str">
        <f t="shared" si="107"/>
        <v>20220904</v>
      </c>
      <c r="I557" s="1" t="str">
        <f>"132555"</f>
        <v>132555</v>
      </c>
      <c r="J557" s="1" t="s">
        <v>28</v>
      </c>
      <c r="K557" s="1" t="s">
        <v>28</v>
      </c>
      <c r="L557" s="1" t="str">
        <f t="shared" si="108"/>
        <v>20220904</v>
      </c>
      <c r="M557" s="1" t="str">
        <f>"133816"</f>
        <v>133816</v>
      </c>
      <c r="N557" s="1" t="s">
        <v>46</v>
      </c>
      <c r="O557" s="1" t="s">
        <v>28</v>
      </c>
      <c r="P557" s="1" t="s">
        <v>55</v>
      </c>
      <c r="Q557" s="1">
        <v>13</v>
      </c>
      <c r="R557" s="1">
        <v>13</v>
      </c>
      <c r="S557" s="1">
        <v>0</v>
      </c>
      <c r="T557" s="1">
        <v>0</v>
      </c>
      <c r="U557" s="1">
        <v>0</v>
      </c>
      <c r="V557" s="1" t="str">
        <f t="shared" si="109"/>
        <v>里程去程</v>
      </c>
      <c r="W557" s="1" t="str">
        <f>"0e20"</f>
        <v>0e20</v>
      </c>
      <c r="X557" s="1" t="s">
        <v>35</v>
      </c>
    </row>
    <row r="558" spans="1:24" x14ac:dyDescent="0.3">
      <c r="A558" s="1" t="str">
        <f t="shared" si="106"/>
        <v>59809</v>
      </c>
      <c r="B558" s="1" t="s">
        <v>42</v>
      </c>
      <c r="C558" s="1" t="s">
        <v>43</v>
      </c>
      <c r="D558" s="1" t="str">
        <f t="shared" si="110"/>
        <v>9803</v>
      </c>
      <c r="E558" s="1" t="s">
        <v>32</v>
      </c>
      <c r="F558" s="1" t="str">
        <f>"1087459877"</f>
        <v>1087459877</v>
      </c>
      <c r="G558" s="1" t="s">
        <v>33</v>
      </c>
      <c r="H558" s="1" t="str">
        <f t="shared" si="107"/>
        <v>20220904</v>
      </c>
      <c r="I558" s="1" t="str">
        <f>"132559"</f>
        <v>132559</v>
      </c>
      <c r="J558" s="1" t="s">
        <v>28</v>
      </c>
      <c r="K558" s="1" t="s">
        <v>28</v>
      </c>
      <c r="L558" s="1" t="str">
        <f t="shared" si="108"/>
        <v>20220904</v>
      </c>
      <c r="M558" s="1" t="str">
        <f>"133831"</f>
        <v>133831</v>
      </c>
      <c r="N558" s="1" t="s">
        <v>46</v>
      </c>
      <c r="O558" s="1" t="s">
        <v>28</v>
      </c>
      <c r="P558" s="1" t="s">
        <v>55</v>
      </c>
      <c r="Q558" s="1">
        <v>25</v>
      </c>
      <c r="R558" s="1">
        <v>25</v>
      </c>
      <c r="S558" s="1">
        <v>0</v>
      </c>
      <c r="T558" s="1">
        <v>0</v>
      </c>
      <c r="U558" s="1">
        <v>0</v>
      </c>
      <c r="V558" s="1" t="str">
        <f t="shared" si="109"/>
        <v>里程去程</v>
      </c>
      <c r="W558" s="1" t="str">
        <f>"1920"</f>
        <v>1920</v>
      </c>
      <c r="X558" s="1" t="s">
        <v>35</v>
      </c>
    </row>
    <row r="559" spans="1:24" x14ac:dyDescent="0.3">
      <c r="A559" s="1" t="str">
        <f t="shared" si="106"/>
        <v>59809</v>
      </c>
      <c r="B559" s="1" t="s">
        <v>42</v>
      </c>
      <c r="C559" s="1" t="s">
        <v>43</v>
      </c>
      <c r="D559" s="1" t="str">
        <f t="shared" si="110"/>
        <v>9803</v>
      </c>
      <c r="E559" s="1" t="s">
        <v>32</v>
      </c>
      <c r="F559" s="1" t="str">
        <f>"900722181"</f>
        <v>900722181</v>
      </c>
      <c r="G559" s="1" t="s">
        <v>26</v>
      </c>
      <c r="H559" s="1" t="str">
        <f t="shared" si="107"/>
        <v>20220904</v>
      </c>
      <c r="I559" s="1" t="str">
        <f>"132602"</f>
        <v>132602</v>
      </c>
      <c r="J559" s="1" t="s">
        <v>28</v>
      </c>
      <c r="K559" s="1" t="s">
        <v>28</v>
      </c>
      <c r="L559" s="1" t="str">
        <f t="shared" si="108"/>
        <v>20220904</v>
      </c>
      <c r="M559" s="1" t="str">
        <f>"133823"</f>
        <v>133823</v>
      </c>
      <c r="N559" s="1" t="s">
        <v>46</v>
      </c>
      <c r="O559" s="1" t="s">
        <v>28</v>
      </c>
      <c r="P559" s="1" t="s">
        <v>55</v>
      </c>
      <c r="Q559" s="1">
        <v>13</v>
      </c>
      <c r="R559" s="1">
        <v>13</v>
      </c>
      <c r="S559" s="1">
        <v>0</v>
      </c>
      <c r="T559" s="1">
        <v>0</v>
      </c>
      <c r="U559" s="1">
        <v>0</v>
      </c>
      <c r="V559" s="1" t="str">
        <f t="shared" si="109"/>
        <v>里程去程</v>
      </c>
      <c r="W559" s="1" t="str">
        <f>"0320"</f>
        <v>0320</v>
      </c>
      <c r="X559" s="1" t="s">
        <v>35</v>
      </c>
    </row>
    <row r="560" spans="1:24" x14ac:dyDescent="0.3">
      <c r="A560" s="1" t="str">
        <f t="shared" si="106"/>
        <v>59809</v>
      </c>
      <c r="B560" s="1" t="s">
        <v>42</v>
      </c>
      <c r="C560" s="1" t="s">
        <v>43</v>
      </c>
      <c r="D560" s="1" t="str">
        <f t="shared" si="110"/>
        <v>9803</v>
      </c>
      <c r="E560" s="1" t="s">
        <v>32</v>
      </c>
      <c r="F560" s="1" t="str">
        <f>"1744109029"</f>
        <v>1744109029</v>
      </c>
      <c r="G560" s="1" t="s">
        <v>33</v>
      </c>
      <c r="H560" s="1" t="str">
        <f t="shared" si="107"/>
        <v>20220904</v>
      </c>
      <c r="I560" s="1" t="str">
        <f>"132605"</f>
        <v>132605</v>
      </c>
      <c r="J560" s="1" t="s">
        <v>28</v>
      </c>
      <c r="K560" s="1" t="s">
        <v>28</v>
      </c>
      <c r="L560" s="1" t="str">
        <f t="shared" si="108"/>
        <v>20220904</v>
      </c>
      <c r="M560" s="1" t="str">
        <f>"133833"</f>
        <v>133833</v>
      </c>
      <c r="N560" s="1" t="s">
        <v>46</v>
      </c>
      <c r="O560" s="1" t="s">
        <v>28</v>
      </c>
      <c r="P560" s="1" t="s">
        <v>55</v>
      </c>
      <c r="Q560" s="1">
        <v>25</v>
      </c>
      <c r="R560" s="1">
        <v>25</v>
      </c>
      <c r="S560" s="1">
        <v>0</v>
      </c>
      <c r="T560" s="1">
        <v>0</v>
      </c>
      <c r="U560" s="1">
        <v>0</v>
      </c>
      <c r="V560" s="1" t="str">
        <f t="shared" si="109"/>
        <v>里程去程</v>
      </c>
      <c r="W560" s="1" t="str">
        <f>"1920"</f>
        <v>1920</v>
      </c>
      <c r="X560" s="1" t="s">
        <v>35</v>
      </c>
    </row>
    <row r="561" spans="1:24" x14ac:dyDescent="0.3">
      <c r="A561" s="1" t="str">
        <f t="shared" si="106"/>
        <v>59809</v>
      </c>
      <c r="B561" s="1" t="s">
        <v>42</v>
      </c>
      <c r="C561" s="1" t="s">
        <v>43</v>
      </c>
      <c r="D561" s="1" t="str">
        <f t="shared" si="110"/>
        <v>9803</v>
      </c>
      <c r="E561" s="1" t="s">
        <v>32</v>
      </c>
      <c r="F561" s="1" t="str">
        <f>"1046616245"</f>
        <v>1046616245</v>
      </c>
      <c r="G561" s="1" t="s">
        <v>26</v>
      </c>
      <c r="H561" s="1" t="str">
        <f t="shared" si="107"/>
        <v>20220904</v>
      </c>
      <c r="I561" s="1" t="str">
        <f>"132608"</f>
        <v>132608</v>
      </c>
      <c r="J561" s="1" t="s">
        <v>28</v>
      </c>
      <c r="K561" s="1" t="s">
        <v>28</v>
      </c>
      <c r="L561" s="1" t="str">
        <f t="shared" si="108"/>
        <v>20220904</v>
      </c>
      <c r="M561" s="1" t="str">
        <f>"133828"</f>
        <v>133828</v>
      </c>
      <c r="N561" s="1" t="s">
        <v>46</v>
      </c>
      <c r="O561" s="1" t="s">
        <v>28</v>
      </c>
      <c r="P561" s="1" t="s">
        <v>55</v>
      </c>
      <c r="Q561" s="1">
        <v>13</v>
      </c>
      <c r="R561" s="1">
        <v>13</v>
      </c>
      <c r="S561" s="1">
        <v>0</v>
      </c>
      <c r="T561" s="1">
        <v>0</v>
      </c>
      <c r="U561" s="1">
        <v>0</v>
      </c>
      <c r="V561" s="1" t="str">
        <f t="shared" si="109"/>
        <v>里程去程</v>
      </c>
      <c r="W561" s="1" t="str">
        <f>"0120"</f>
        <v>0120</v>
      </c>
      <c r="X561" s="1" t="s">
        <v>35</v>
      </c>
    </row>
    <row r="562" spans="1:24" x14ac:dyDescent="0.3">
      <c r="A562" s="1" t="str">
        <f t="shared" si="106"/>
        <v>59809</v>
      </c>
      <c r="B562" s="1" t="s">
        <v>42</v>
      </c>
      <c r="C562" s="1" t="s">
        <v>43</v>
      </c>
      <c r="D562" s="1" t="str">
        <f t="shared" si="110"/>
        <v>9803</v>
      </c>
      <c r="E562" s="1" t="s">
        <v>32</v>
      </c>
      <c r="F562" s="1" t="str">
        <f>"973188021"</f>
        <v>973188021</v>
      </c>
      <c r="G562" s="1" t="s">
        <v>26</v>
      </c>
      <c r="H562" s="1" t="str">
        <f t="shared" si="107"/>
        <v>20220904</v>
      </c>
      <c r="I562" s="1" t="str">
        <f>"132612"</f>
        <v>132612</v>
      </c>
      <c r="J562" s="1" t="s">
        <v>28</v>
      </c>
      <c r="K562" s="1" t="s">
        <v>28</v>
      </c>
      <c r="L562" s="1" t="str">
        <f t="shared" si="108"/>
        <v>20220904</v>
      </c>
      <c r="M562" s="1" t="str">
        <f>"133812"</f>
        <v>133812</v>
      </c>
      <c r="N562" s="1" t="s">
        <v>46</v>
      </c>
      <c r="O562" s="1" t="s">
        <v>28</v>
      </c>
      <c r="P562" s="1" t="s">
        <v>55</v>
      </c>
      <c r="Q562" s="1">
        <v>13</v>
      </c>
      <c r="R562" s="1">
        <v>13</v>
      </c>
      <c r="S562" s="1">
        <v>0</v>
      </c>
      <c r="T562" s="1">
        <v>0</v>
      </c>
      <c r="U562" s="1">
        <v>0</v>
      </c>
      <c r="V562" s="1" t="str">
        <f t="shared" si="109"/>
        <v>里程去程</v>
      </c>
      <c r="W562" s="1" t="str">
        <f>"1920"</f>
        <v>1920</v>
      </c>
      <c r="X562" s="1" t="s">
        <v>35</v>
      </c>
    </row>
    <row r="563" spans="1:24" x14ac:dyDescent="0.3">
      <c r="A563" s="1" t="str">
        <f t="shared" si="106"/>
        <v>59809</v>
      </c>
      <c r="B563" s="1" t="s">
        <v>42</v>
      </c>
      <c r="C563" s="1" t="s">
        <v>43</v>
      </c>
      <c r="D563" s="1" t="str">
        <f t="shared" si="110"/>
        <v>9803</v>
      </c>
      <c r="E563" s="1" t="s">
        <v>32</v>
      </c>
      <c r="F563" s="1" t="str">
        <f>"255928385"</f>
        <v>255928385</v>
      </c>
      <c r="G563" s="1" t="s">
        <v>96</v>
      </c>
      <c r="H563" s="1" t="str">
        <f t="shared" si="107"/>
        <v>20220904</v>
      </c>
      <c r="I563" s="1" t="str">
        <f>"132751"</f>
        <v>132751</v>
      </c>
      <c r="J563" s="1" t="s">
        <v>28</v>
      </c>
      <c r="K563" s="1" t="s">
        <v>28</v>
      </c>
      <c r="L563" s="1" t="str">
        <f t="shared" si="108"/>
        <v>20220904</v>
      </c>
      <c r="M563" s="1" t="str">
        <f>"133826"</f>
        <v>133826</v>
      </c>
      <c r="N563" s="1" t="s">
        <v>46</v>
      </c>
      <c r="O563" s="1" t="s">
        <v>28</v>
      </c>
      <c r="P563" s="1" t="s">
        <v>55</v>
      </c>
      <c r="Q563" s="1">
        <v>13</v>
      </c>
      <c r="R563" s="1">
        <v>13</v>
      </c>
      <c r="S563" s="1">
        <v>0</v>
      </c>
      <c r="T563" s="1">
        <v>0</v>
      </c>
      <c r="U563" s="1">
        <v>0</v>
      </c>
      <c r="V563" s="1" t="str">
        <f t="shared" si="109"/>
        <v>里程去程</v>
      </c>
      <c r="W563" s="1" t="str">
        <f>"0e20"</f>
        <v>0e20</v>
      </c>
      <c r="X563" s="1" t="s">
        <v>35</v>
      </c>
    </row>
    <row r="564" spans="1:24" x14ac:dyDescent="0.3">
      <c r="A564" s="1" t="str">
        <f t="shared" si="106"/>
        <v>59809</v>
      </c>
      <c r="B564" s="1" t="s">
        <v>42</v>
      </c>
      <c r="C564" s="1" t="s">
        <v>43</v>
      </c>
      <c r="D564" s="1" t="str">
        <f>"9805"</f>
        <v>9805</v>
      </c>
      <c r="E564" s="1" t="s">
        <v>57</v>
      </c>
      <c r="F564" s="1" t="str">
        <f>"3228AC0FB9880400C820002000000018"</f>
        <v>3228AC0FB9880400C820002000000018</v>
      </c>
      <c r="G564" s="1" t="s">
        <v>59</v>
      </c>
      <c r="H564" s="1" t="str">
        <f t="shared" si="107"/>
        <v>20220904</v>
      </c>
      <c r="I564" s="1" t="str">
        <f>"151721"</f>
        <v>151721</v>
      </c>
      <c r="J564" s="1" t="s">
        <v>28</v>
      </c>
      <c r="K564" s="1" t="s">
        <v>28</v>
      </c>
      <c r="L564" s="1" t="str">
        <f t="shared" si="108"/>
        <v>20220904</v>
      </c>
      <c r="M564" s="1" t="str">
        <f>"153622"</f>
        <v>153622</v>
      </c>
      <c r="N564" s="1" t="s">
        <v>52</v>
      </c>
      <c r="O564" s="1" t="s">
        <v>52</v>
      </c>
      <c r="P564" s="1" t="s">
        <v>55</v>
      </c>
      <c r="Q564" s="1">
        <v>25</v>
      </c>
      <c r="R564" s="1">
        <v>25</v>
      </c>
      <c r="S564" s="1">
        <v>0</v>
      </c>
      <c r="T564" s="1">
        <v>0</v>
      </c>
      <c r="U564" s="1">
        <v>0</v>
      </c>
      <c r="V564" s="1" t="str">
        <f t="shared" si="109"/>
        <v>里程去程</v>
      </c>
      <c r="W564" s="1" t="str">
        <f>"0020"</f>
        <v>0020</v>
      </c>
      <c r="X564" s="1" t="s">
        <v>29</v>
      </c>
    </row>
    <row r="565" spans="1:24" x14ac:dyDescent="0.3">
      <c r="A565" s="1" t="str">
        <f t="shared" si="106"/>
        <v>59809</v>
      </c>
      <c r="B565" s="1" t="s">
        <v>42</v>
      </c>
      <c r="C565" s="1" t="s">
        <v>43</v>
      </c>
      <c r="D565" s="1" t="str">
        <f>"9806"</f>
        <v>9806</v>
      </c>
      <c r="E565" s="1" t="s">
        <v>49</v>
      </c>
      <c r="F565" s="1" t="str">
        <f>"11A834018C880400432494C60018080E"</f>
        <v>11A834018C880400432494C60018080E</v>
      </c>
      <c r="G565" s="1" t="s">
        <v>59</v>
      </c>
      <c r="H565" s="1" t="str">
        <f t="shared" si="107"/>
        <v>20220904</v>
      </c>
      <c r="I565" s="1" t="str">
        <f>"165807"</f>
        <v>165807</v>
      </c>
      <c r="J565" s="1" t="s">
        <v>28</v>
      </c>
      <c r="K565" s="1" t="s">
        <v>28</v>
      </c>
      <c r="L565" s="1" t="str">
        <f t="shared" si="108"/>
        <v>20220904</v>
      </c>
      <c r="M565" s="1" t="str">
        <f>"171405"</f>
        <v>171405</v>
      </c>
      <c r="N565" s="1" t="s">
        <v>99</v>
      </c>
      <c r="O565" s="1" t="s">
        <v>28</v>
      </c>
      <c r="P565" s="1" t="s">
        <v>55</v>
      </c>
      <c r="Q565" s="1">
        <v>25</v>
      </c>
      <c r="R565" s="1">
        <v>0</v>
      </c>
      <c r="S565" s="1">
        <v>25</v>
      </c>
      <c r="T565" s="1">
        <v>0</v>
      </c>
      <c r="U565" s="1">
        <v>0</v>
      </c>
      <c r="V565" s="1" t="str">
        <f>"里程返程"</f>
        <v>里程返程</v>
      </c>
      <c r="W565" s="1" t="str">
        <f>"0620"</f>
        <v>0620</v>
      </c>
      <c r="X565" s="1" t="s">
        <v>29</v>
      </c>
    </row>
    <row r="566" spans="1:24" x14ac:dyDescent="0.3">
      <c r="A566" s="1" t="str">
        <f t="shared" ref="A566:A597" si="111">"59822"</f>
        <v>59822</v>
      </c>
      <c r="B566" s="1" t="s">
        <v>39</v>
      </c>
      <c r="C566" s="1" t="s">
        <v>40</v>
      </c>
      <c r="D566" s="1" t="str">
        <f t="shared" ref="D566:D592" si="112">"9801"</f>
        <v>9801</v>
      </c>
      <c r="E566" s="1" t="s">
        <v>25</v>
      </c>
      <c r="F566" s="1" t="str">
        <f>"1695105317"</f>
        <v>1695105317</v>
      </c>
      <c r="G566" s="1" t="s">
        <v>33</v>
      </c>
      <c r="H566" s="1" t="str">
        <f t="shared" si="107"/>
        <v>20220904</v>
      </c>
      <c r="I566" s="1" t="str">
        <f>"110142"</f>
        <v>110142</v>
      </c>
      <c r="J566" s="1" t="s">
        <v>52</v>
      </c>
      <c r="K566" s="1" t="s">
        <v>52</v>
      </c>
      <c r="L566" s="1" t="str">
        <f t="shared" si="108"/>
        <v>20220904</v>
      </c>
      <c r="M566" s="1" t="str">
        <f>"113533"</f>
        <v>113533</v>
      </c>
      <c r="N566" s="1" t="s">
        <v>70</v>
      </c>
      <c r="O566" s="1" t="s">
        <v>28</v>
      </c>
      <c r="P566" s="1" t="s">
        <v>55</v>
      </c>
      <c r="Q566" s="1">
        <v>25</v>
      </c>
      <c r="R566" s="1">
        <v>25</v>
      </c>
      <c r="S566" s="1">
        <v>0</v>
      </c>
      <c r="T566" s="1">
        <v>0</v>
      </c>
      <c r="U566" s="1">
        <v>0</v>
      </c>
      <c r="V566" s="1" t="str">
        <f t="shared" ref="V566:V580" si="113">"里程去程"</f>
        <v>里程去程</v>
      </c>
      <c r="W566" s="1" t="str">
        <f>"0820"</f>
        <v>0820</v>
      </c>
      <c r="X566" s="1" t="s">
        <v>35</v>
      </c>
    </row>
    <row r="567" spans="1:24" x14ac:dyDescent="0.3">
      <c r="A567" s="1" t="str">
        <f t="shared" si="111"/>
        <v>59822</v>
      </c>
      <c r="B567" s="1" t="s">
        <v>39</v>
      </c>
      <c r="C567" s="1" t="s">
        <v>40</v>
      </c>
      <c r="D567" s="1" t="str">
        <f t="shared" si="112"/>
        <v>9801</v>
      </c>
      <c r="E567" s="1" t="s">
        <v>25</v>
      </c>
      <c r="F567" s="1" t="str">
        <f>"969889189"</f>
        <v>969889189</v>
      </c>
      <c r="G567" s="1" t="s">
        <v>33</v>
      </c>
      <c r="H567" s="1" t="str">
        <f t="shared" si="107"/>
        <v>20220904</v>
      </c>
      <c r="I567" s="1" t="str">
        <f>"112505"</f>
        <v>112505</v>
      </c>
      <c r="J567" s="1" t="s">
        <v>67</v>
      </c>
      <c r="K567" s="1" t="s">
        <v>52</v>
      </c>
      <c r="L567" s="1" t="str">
        <f t="shared" si="108"/>
        <v>20220904</v>
      </c>
      <c r="M567" s="1" t="str">
        <f>"113530"</f>
        <v>113530</v>
      </c>
      <c r="N567" s="1" t="s">
        <v>70</v>
      </c>
      <c r="O567" s="1" t="s">
        <v>28</v>
      </c>
      <c r="P567" s="1" t="s">
        <v>55</v>
      </c>
      <c r="Q567" s="1">
        <v>25</v>
      </c>
      <c r="R567" s="1">
        <v>25</v>
      </c>
      <c r="S567" s="1">
        <v>0</v>
      </c>
      <c r="T567" s="1">
        <v>0</v>
      </c>
      <c r="U567" s="1">
        <v>0</v>
      </c>
      <c r="V567" s="1" t="str">
        <f t="shared" si="113"/>
        <v>里程去程</v>
      </c>
      <c r="W567" s="1" t="str">
        <f>"2020"</f>
        <v>2020</v>
      </c>
      <c r="X567" s="1" t="s">
        <v>35</v>
      </c>
    </row>
    <row r="568" spans="1:24" x14ac:dyDescent="0.3">
      <c r="A568" s="1" t="str">
        <f t="shared" si="111"/>
        <v>59822</v>
      </c>
      <c r="B568" s="1" t="s">
        <v>39</v>
      </c>
      <c r="C568" s="1" t="s">
        <v>40</v>
      </c>
      <c r="D568" s="1" t="str">
        <f t="shared" si="112"/>
        <v>9801</v>
      </c>
      <c r="E568" s="1" t="s">
        <v>25</v>
      </c>
      <c r="F568" s="1" t="str">
        <f>"995391765"</f>
        <v>995391765</v>
      </c>
      <c r="G568" s="1" t="s">
        <v>33</v>
      </c>
      <c r="H568" s="1" t="str">
        <f t="shared" si="107"/>
        <v>20220904</v>
      </c>
      <c r="I568" s="1" t="str">
        <f>"113545"</f>
        <v>113545</v>
      </c>
      <c r="J568" s="1" t="s">
        <v>27</v>
      </c>
      <c r="K568" s="1" t="s">
        <v>28</v>
      </c>
      <c r="L568" s="1" t="str">
        <f t="shared" si="108"/>
        <v>20220904</v>
      </c>
      <c r="M568" s="1" t="str">
        <f>"115345"</f>
        <v>115345</v>
      </c>
      <c r="N568" s="1" t="s">
        <v>100</v>
      </c>
      <c r="O568" s="1" t="s">
        <v>45</v>
      </c>
      <c r="P568" s="1" t="s">
        <v>55</v>
      </c>
      <c r="Q568" s="1">
        <v>25</v>
      </c>
      <c r="R568" s="1">
        <v>0</v>
      </c>
      <c r="S568" s="1">
        <v>25</v>
      </c>
      <c r="T568" s="1">
        <v>0</v>
      </c>
      <c r="U568" s="1">
        <v>0</v>
      </c>
      <c r="V568" s="1" t="str">
        <f t="shared" si="113"/>
        <v>里程去程</v>
      </c>
      <c r="W568" s="1" t="str">
        <f>"0820"</f>
        <v>0820</v>
      </c>
      <c r="X568" s="1" t="s">
        <v>35</v>
      </c>
    </row>
    <row r="569" spans="1:24" x14ac:dyDescent="0.3">
      <c r="A569" s="1" t="str">
        <f t="shared" si="111"/>
        <v>59822</v>
      </c>
      <c r="B569" s="1" t="s">
        <v>39</v>
      </c>
      <c r="C569" s="1" t="s">
        <v>40</v>
      </c>
      <c r="D569" s="1" t="str">
        <f t="shared" si="112"/>
        <v>9801</v>
      </c>
      <c r="E569" s="1" t="s">
        <v>25</v>
      </c>
      <c r="F569" s="1" t="str">
        <f>"868587989"</f>
        <v>868587989</v>
      </c>
      <c r="G569" s="1" t="s">
        <v>33</v>
      </c>
      <c r="H569" s="1" t="str">
        <f t="shared" si="107"/>
        <v>20220904</v>
      </c>
      <c r="I569" s="1" t="str">
        <f>"121708"</f>
        <v>121708</v>
      </c>
      <c r="J569" s="1" t="s">
        <v>80</v>
      </c>
      <c r="K569" s="1" t="s">
        <v>52</v>
      </c>
      <c r="L569" s="1" t="str">
        <f t="shared" si="108"/>
        <v>20220904</v>
      </c>
      <c r="M569" s="1" t="str">
        <f>"123210"</f>
        <v>123210</v>
      </c>
      <c r="N569" s="1" t="s">
        <v>70</v>
      </c>
      <c r="O569" s="1" t="s">
        <v>28</v>
      </c>
      <c r="P569" s="1" t="s">
        <v>55</v>
      </c>
      <c r="Q569" s="1">
        <v>25</v>
      </c>
      <c r="R569" s="1">
        <v>25</v>
      </c>
      <c r="S569" s="1">
        <v>0</v>
      </c>
      <c r="T569" s="1">
        <v>0</v>
      </c>
      <c r="U569" s="1">
        <v>0</v>
      </c>
      <c r="V569" s="1" t="str">
        <f t="shared" si="113"/>
        <v>里程去程</v>
      </c>
      <c r="W569" s="1" t="str">
        <f>"2320"</f>
        <v>2320</v>
      </c>
      <c r="X569" s="1" t="s">
        <v>35</v>
      </c>
    </row>
    <row r="570" spans="1:24" x14ac:dyDescent="0.3">
      <c r="A570" s="1" t="str">
        <f t="shared" si="111"/>
        <v>59822</v>
      </c>
      <c r="B570" s="1" t="s">
        <v>39</v>
      </c>
      <c r="C570" s="1" t="s">
        <v>40</v>
      </c>
      <c r="D570" s="1" t="str">
        <f t="shared" si="112"/>
        <v>9801</v>
      </c>
      <c r="E570" s="1" t="s">
        <v>25</v>
      </c>
      <c r="F570" s="1" t="str">
        <f>"2605976495"</f>
        <v>2605976495</v>
      </c>
      <c r="G570" s="1" t="s">
        <v>33</v>
      </c>
      <c r="H570" s="1" t="str">
        <f t="shared" si="107"/>
        <v>20220904</v>
      </c>
      <c r="I570" s="1" t="str">
        <f>"121715"</f>
        <v>121715</v>
      </c>
      <c r="J570" s="1" t="s">
        <v>80</v>
      </c>
      <c r="K570" s="1" t="s">
        <v>52</v>
      </c>
      <c r="L570" s="1" t="str">
        <f t="shared" si="108"/>
        <v>20220904</v>
      </c>
      <c r="M570" s="1" t="str">
        <f>"123205"</f>
        <v>123205</v>
      </c>
      <c r="N570" s="1" t="s">
        <v>70</v>
      </c>
      <c r="O570" s="1" t="s">
        <v>28</v>
      </c>
      <c r="P570" s="1" t="s">
        <v>55</v>
      </c>
      <c r="Q570" s="1">
        <v>25</v>
      </c>
      <c r="R570" s="1">
        <v>25</v>
      </c>
      <c r="S570" s="1">
        <v>0</v>
      </c>
      <c r="T570" s="1">
        <v>0</v>
      </c>
      <c r="U570" s="1">
        <v>0</v>
      </c>
      <c r="V570" s="1" t="str">
        <f t="shared" si="113"/>
        <v>里程去程</v>
      </c>
      <c r="W570" s="1" t="str">
        <f>"0120"</f>
        <v>0120</v>
      </c>
      <c r="X570" s="1" t="s">
        <v>35</v>
      </c>
    </row>
    <row r="571" spans="1:24" x14ac:dyDescent="0.3">
      <c r="A571" s="1" t="str">
        <f t="shared" si="111"/>
        <v>59822</v>
      </c>
      <c r="B571" s="1" t="s">
        <v>39</v>
      </c>
      <c r="C571" s="1" t="s">
        <v>40</v>
      </c>
      <c r="D571" s="1" t="str">
        <f t="shared" si="112"/>
        <v>9801</v>
      </c>
      <c r="E571" s="1" t="s">
        <v>25</v>
      </c>
      <c r="F571" s="1" t="str">
        <f>"1022049077"</f>
        <v>1022049077</v>
      </c>
      <c r="G571" s="1" t="s">
        <v>96</v>
      </c>
      <c r="H571" s="1" t="str">
        <f t="shared" si="107"/>
        <v>20220904</v>
      </c>
      <c r="I571" s="1" t="str">
        <f>"121723"</f>
        <v>121723</v>
      </c>
      <c r="J571" s="1" t="s">
        <v>80</v>
      </c>
      <c r="K571" s="1" t="s">
        <v>52</v>
      </c>
      <c r="L571" s="1" t="str">
        <f t="shared" si="108"/>
        <v>20220904</v>
      </c>
      <c r="M571" s="1" t="str">
        <f>"123201"</f>
        <v>123201</v>
      </c>
      <c r="N571" s="1" t="s">
        <v>70</v>
      </c>
      <c r="O571" s="1" t="s">
        <v>28</v>
      </c>
      <c r="P571" s="1" t="s">
        <v>55</v>
      </c>
      <c r="Q571" s="1">
        <v>13</v>
      </c>
      <c r="R571" s="1">
        <v>13</v>
      </c>
      <c r="S571" s="1">
        <v>0</v>
      </c>
      <c r="T571" s="1">
        <v>0</v>
      </c>
      <c r="U571" s="1">
        <v>0</v>
      </c>
      <c r="V571" s="1" t="str">
        <f t="shared" si="113"/>
        <v>里程去程</v>
      </c>
      <c r="W571" s="1" t="str">
        <f>"0820"</f>
        <v>0820</v>
      </c>
      <c r="X571" s="1" t="s">
        <v>35</v>
      </c>
    </row>
    <row r="572" spans="1:24" x14ac:dyDescent="0.3">
      <c r="A572" s="1" t="str">
        <f t="shared" si="111"/>
        <v>59822</v>
      </c>
      <c r="B572" s="1" t="s">
        <v>39</v>
      </c>
      <c r="C572" s="1" t="s">
        <v>40</v>
      </c>
      <c r="D572" s="1" t="str">
        <f t="shared" si="112"/>
        <v>9801</v>
      </c>
      <c r="E572" s="1" t="s">
        <v>25</v>
      </c>
      <c r="F572" s="1" t="str">
        <f>"1240779889"</f>
        <v>1240779889</v>
      </c>
      <c r="G572" s="1" t="s">
        <v>33</v>
      </c>
      <c r="H572" s="1" t="str">
        <f t="shared" si="107"/>
        <v>20220904</v>
      </c>
      <c r="I572" s="1" t="str">
        <f>"123217"</f>
        <v>123217</v>
      </c>
      <c r="J572" s="1" t="s">
        <v>27</v>
      </c>
      <c r="K572" s="1" t="s">
        <v>28</v>
      </c>
      <c r="L572" s="1" t="str">
        <f t="shared" si="108"/>
        <v>20220904</v>
      </c>
      <c r="M572" s="1" t="str">
        <f>"125331"</f>
        <v>125331</v>
      </c>
      <c r="N572" s="1" t="s">
        <v>44</v>
      </c>
      <c r="O572" s="1" t="s">
        <v>45</v>
      </c>
      <c r="P572" s="1" t="s">
        <v>55</v>
      </c>
      <c r="Q572" s="1">
        <v>25</v>
      </c>
      <c r="R572" s="1">
        <v>25</v>
      </c>
      <c r="S572" s="1">
        <v>0</v>
      </c>
      <c r="T572" s="1">
        <v>0</v>
      </c>
      <c r="U572" s="1">
        <v>0</v>
      </c>
      <c r="V572" s="1" t="str">
        <f t="shared" si="113"/>
        <v>里程去程</v>
      </c>
      <c r="W572" s="1" t="str">
        <f>"2120"</f>
        <v>2120</v>
      </c>
      <c r="X572" s="1" t="s">
        <v>35</v>
      </c>
    </row>
    <row r="573" spans="1:24" x14ac:dyDescent="0.3">
      <c r="A573" s="1" t="str">
        <f t="shared" si="111"/>
        <v>59822</v>
      </c>
      <c r="B573" s="1" t="s">
        <v>39</v>
      </c>
      <c r="C573" s="1" t="s">
        <v>40</v>
      </c>
      <c r="D573" s="1" t="str">
        <f t="shared" si="112"/>
        <v>9801</v>
      </c>
      <c r="E573" s="1" t="s">
        <v>25</v>
      </c>
      <c r="F573" s="1" t="str">
        <f>"2802894415"</f>
        <v>2802894415</v>
      </c>
      <c r="G573" s="1" t="s">
        <v>33</v>
      </c>
      <c r="H573" s="1" t="str">
        <f t="shared" si="107"/>
        <v>20220904</v>
      </c>
      <c r="I573" s="1" t="str">
        <f>"123218"</f>
        <v>123218</v>
      </c>
      <c r="J573" s="1" t="s">
        <v>27</v>
      </c>
      <c r="K573" s="1" t="s">
        <v>28</v>
      </c>
      <c r="L573" s="1" t="str">
        <f t="shared" si="108"/>
        <v>20220904</v>
      </c>
      <c r="M573" s="1" t="str">
        <f>"125310"</f>
        <v>125310</v>
      </c>
      <c r="N573" s="1" t="s">
        <v>44</v>
      </c>
      <c r="O573" s="1" t="s">
        <v>45</v>
      </c>
      <c r="P573" s="1" t="s">
        <v>55</v>
      </c>
      <c r="Q573" s="1">
        <v>25</v>
      </c>
      <c r="R573" s="1">
        <v>25</v>
      </c>
      <c r="S573" s="1">
        <v>0</v>
      </c>
      <c r="T573" s="1">
        <v>0</v>
      </c>
      <c r="U573" s="1">
        <v>0</v>
      </c>
      <c r="V573" s="1" t="str">
        <f t="shared" si="113"/>
        <v>里程去程</v>
      </c>
      <c r="W573" s="1" t="str">
        <f>"2120"</f>
        <v>2120</v>
      </c>
      <c r="X573" s="1" t="s">
        <v>35</v>
      </c>
    </row>
    <row r="574" spans="1:24" x14ac:dyDescent="0.3">
      <c r="A574" s="1" t="str">
        <f t="shared" si="111"/>
        <v>59822</v>
      </c>
      <c r="B574" s="1" t="s">
        <v>39</v>
      </c>
      <c r="C574" s="1" t="s">
        <v>40</v>
      </c>
      <c r="D574" s="1" t="str">
        <f t="shared" si="112"/>
        <v>9801</v>
      </c>
      <c r="E574" s="1" t="s">
        <v>25</v>
      </c>
      <c r="F574" s="1" t="str">
        <f>"187053583"</f>
        <v>187053583</v>
      </c>
      <c r="G574" s="1" t="s">
        <v>33</v>
      </c>
      <c r="H574" s="1" t="str">
        <f t="shared" si="107"/>
        <v>20220904</v>
      </c>
      <c r="I574" s="1" t="str">
        <f>"123227"</f>
        <v>123227</v>
      </c>
      <c r="J574" s="1" t="s">
        <v>27</v>
      </c>
      <c r="K574" s="1" t="s">
        <v>28</v>
      </c>
      <c r="L574" s="1" t="str">
        <f t="shared" si="108"/>
        <v>20220904</v>
      </c>
      <c r="M574" s="1" t="str">
        <f>"125327"</f>
        <v>125327</v>
      </c>
      <c r="N574" s="1" t="s">
        <v>44</v>
      </c>
      <c r="O574" s="1" t="s">
        <v>45</v>
      </c>
      <c r="P574" s="1" t="s">
        <v>55</v>
      </c>
      <c r="Q574" s="1">
        <v>25</v>
      </c>
      <c r="R574" s="1">
        <v>25</v>
      </c>
      <c r="S574" s="1">
        <v>0</v>
      </c>
      <c r="T574" s="1">
        <v>0</v>
      </c>
      <c r="U574" s="1">
        <v>0</v>
      </c>
      <c r="V574" s="1" t="str">
        <f t="shared" si="113"/>
        <v>里程去程</v>
      </c>
      <c r="W574" s="1" t="str">
        <f>"2120"</f>
        <v>2120</v>
      </c>
      <c r="X574" s="1" t="s">
        <v>35</v>
      </c>
    </row>
    <row r="575" spans="1:24" x14ac:dyDescent="0.3">
      <c r="A575" s="1" t="str">
        <f t="shared" si="111"/>
        <v>59822</v>
      </c>
      <c r="B575" s="1" t="s">
        <v>39</v>
      </c>
      <c r="C575" s="1" t="s">
        <v>40</v>
      </c>
      <c r="D575" s="1" t="str">
        <f t="shared" si="112"/>
        <v>9801</v>
      </c>
      <c r="E575" s="1" t="s">
        <v>25</v>
      </c>
      <c r="F575" s="1" t="str">
        <f>"1811272069"</f>
        <v>1811272069</v>
      </c>
      <c r="G575" s="1" t="s">
        <v>33</v>
      </c>
      <c r="H575" s="1" t="str">
        <f t="shared" si="107"/>
        <v>20220904</v>
      </c>
      <c r="I575" s="1" t="str">
        <f>"123247"</f>
        <v>123247</v>
      </c>
      <c r="J575" s="1" t="s">
        <v>27</v>
      </c>
      <c r="K575" s="1" t="s">
        <v>28</v>
      </c>
      <c r="L575" s="1" t="str">
        <f t="shared" si="108"/>
        <v>20220904</v>
      </c>
      <c r="M575" s="1" t="str">
        <f>"125339"</f>
        <v>125339</v>
      </c>
      <c r="N575" s="1" t="s">
        <v>44</v>
      </c>
      <c r="O575" s="1" t="s">
        <v>45</v>
      </c>
      <c r="P575" s="1" t="s">
        <v>55</v>
      </c>
      <c r="Q575" s="1">
        <v>25</v>
      </c>
      <c r="R575" s="1">
        <v>25</v>
      </c>
      <c r="S575" s="1">
        <v>0</v>
      </c>
      <c r="T575" s="1">
        <v>0</v>
      </c>
      <c r="U575" s="1">
        <v>0</v>
      </c>
      <c r="V575" s="1" t="str">
        <f t="shared" si="113"/>
        <v>里程去程</v>
      </c>
      <c r="W575" s="1" t="str">
        <f>"0320"</f>
        <v>0320</v>
      </c>
      <c r="X575" s="1" t="s">
        <v>35</v>
      </c>
    </row>
    <row r="576" spans="1:24" x14ac:dyDescent="0.3">
      <c r="A576" s="1" t="str">
        <f t="shared" si="111"/>
        <v>59822</v>
      </c>
      <c r="B576" s="1" t="s">
        <v>39</v>
      </c>
      <c r="C576" s="1" t="s">
        <v>40</v>
      </c>
      <c r="D576" s="1" t="str">
        <f t="shared" si="112"/>
        <v>9801</v>
      </c>
      <c r="E576" s="1" t="s">
        <v>25</v>
      </c>
      <c r="F576" s="1" t="str">
        <f>"1718406374"</f>
        <v>1718406374</v>
      </c>
      <c r="G576" s="1" t="s">
        <v>33</v>
      </c>
      <c r="H576" s="1" t="str">
        <f t="shared" si="107"/>
        <v>20220904</v>
      </c>
      <c r="I576" s="1" t="str">
        <f>"123334"</f>
        <v>123334</v>
      </c>
      <c r="J576" s="1" t="s">
        <v>27</v>
      </c>
      <c r="K576" s="1" t="s">
        <v>28</v>
      </c>
      <c r="L576" s="1" t="str">
        <f t="shared" si="108"/>
        <v>20220904</v>
      </c>
      <c r="M576" s="1" t="str">
        <f>"125334"</f>
        <v>125334</v>
      </c>
      <c r="N576" s="1" t="s">
        <v>44</v>
      </c>
      <c r="O576" s="1" t="s">
        <v>45</v>
      </c>
      <c r="P576" s="1" t="s">
        <v>55</v>
      </c>
      <c r="Q576" s="1">
        <v>25</v>
      </c>
      <c r="R576" s="1">
        <v>25</v>
      </c>
      <c r="S576" s="1">
        <v>0</v>
      </c>
      <c r="T576" s="1">
        <v>0</v>
      </c>
      <c r="U576" s="1">
        <v>0</v>
      </c>
      <c r="V576" s="1" t="str">
        <f t="shared" si="113"/>
        <v>里程去程</v>
      </c>
      <c r="W576" s="1" t="str">
        <f>"0220"</f>
        <v>0220</v>
      </c>
      <c r="X576" s="1" t="s">
        <v>35</v>
      </c>
    </row>
    <row r="577" spans="1:24" x14ac:dyDescent="0.3">
      <c r="A577" s="1" t="str">
        <f t="shared" si="111"/>
        <v>59822</v>
      </c>
      <c r="B577" s="1" t="s">
        <v>39</v>
      </c>
      <c r="C577" s="1" t="s">
        <v>40</v>
      </c>
      <c r="D577" s="1" t="str">
        <f t="shared" si="112"/>
        <v>9801</v>
      </c>
      <c r="E577" s="1" t="s">
        <v>25</v>
      </c>
      <c r="F577" s="1" t="str">
        <f>"995391765"</f>
        <v>995391765</v>
      </c>
      <c r="G577" s="1" t="s">
        <v>33</v>
      </c>
      <c r="H577" s="1" t="str">
        <f t="shared" si="107"/>
        <v>20220904</v>
      </c>
      <c r="I577" s="1" t="str">
        <f>"135522"</f>
        <v>135522</v>
      </c>
      <c r="J577" s="1" t="s">
        <v>100</v>
      </c>
      <c r="K577" s="1" t="s">
        <v>45</v>
      </c>
      <c r="L577" s="1" t="str">
        <f t="shared" si="108"/>
        <v>20220904</v>
      </c>
      <c r="M577" s="1" t="str">
        <f>"135926"</f>
        <v>135926</v>
      </c>
      <c r="N577" s="1" t="s">
        <v>44</v>
      </c>
      <c r="O577" s="1" t="s">
        <v>45</v>
      </c>
      <c r="P577" s="1" t="s">
        <v>55</v>
      </c>
      <c r="Q577" s="1">
        <v>25</v>
      </c>
      <c r="R577" s="1">
        <v>25</v>
      </c>
      <c r="S577" s="1">
        <v>0</v>
      </c>
      <c r="T577" s="1">
        <v>0</v>
      </c>
      <c r="U577" s="1">
        <v>0</v>
      </c>
      <c r="V577" s="1" t="str">
        <f t="shared" si="113"/>
        <v>里程去程</v>
      </c>
      <c r="W577" s="1" t="str">
        <f>"2020"</f>
        <v>2020</v>
      </c>
      <c r="X577" s="1" t="s">
        <v>35</v>
      </c>
    </row>
    <row r="578" spans="1:24" x14ac:dyDescent="0.3">
      <c r="A578" s="1" t="str">
        <f t="shared" si="111"/>
        <v>59822</v>
      </c>
      <c r="B578" s="1" t="s">
        <v>39</v>
      </c>
      <c r="C578" s="1" t="s">
        <v>40</v>
      </c>
      <c r="D578" s="1" t="str">
        <f t="shared" si="112"/>
        <v>9801</v>
      </c>
      <c r="E578" s="1" t="s">
        <v>25</v>
      </c>
      <c r="F578" s="1" t="str">
        <f>"243440801"</f>
        <v>243440801</v>
      </c>
      <c r="G578" s="1" t="s">
        <v>33</v>
      </c>
      <c r="H578" s="1" t="str">
        <f t="shared" si="107"/>
        <v>20220904</v>
      </c>
      <c r="I578" s="1" t="str">
        <f>"160220"</f>
        <v>160220</v>
      </c>
      <c r="J578" s="1" t="s">
        <v>52</v>
      </c>
      <c r="K578" s="1" t="s">
        <v>52</v>
      </c>
      <c r="L578" s="1" t="str">
        <f t="shared" si="108"/>
        <v>20220904</v>
      </c>
      <c r="M578" s="1" t="str">
        <f>"163450"</f>
        <v>163450</v>
      </c>
      <c r="N578" s="1" t="s">
        <v>70</v>
      </c>
      <c r="O578" s="1" t="s">
        <v>28</v>
      </c>
      <c r="P578" s="1" t="s">
        <v>55</v>
      </c>
      <c r="Q578" s="1">
        <v>25</v>
      </c>
      <c r="R578" s="1">
        <v>0</v>
      </c>
      <c r="S578" s="1">
        <v>25</v>
      </c>
      <c r="T578" s="1">
        <v>0</v>
      </c>
      <c r="U578" s="1">
        <v>0</v>
      </c>
      <c r="V578" s="1" t="str">
        <f t="shared" si="113"/>
        <v>里程去程</v>
      </c>
      <c r="W578" s="1" t="str">
        <f>"2020"</f>
        <v>2020</v>
      </c>
      <c r="X578" s="1" t="s">
        <v>35</v>
      </c>
    </row>
    <row r="579" spans="1:24" x14ac:dyDescent="0.3">
      <c r="A579" s="1" t="str">
        <f t="shared" si="111"/>
        <v>59822</v>
      </c>
      <c r="B579" s="1" t="s">
        <v>39</v>
      </c>
      <c r="C579" s="1" t="s">
        <v>40</v>
      </c>
      <c r="D579" s="1" t="str">
        <f t="shared" si="112"/>
        <v>9801</v>
      </c>
      <c r="E579" s="1" t="s">
        <v>25</v>
      </c>
      <c r="F579" s="1" t="str">
        <f>"1062958421"</f>
        <v>1062958421</v>
      </c>
      <c r="G579" s="1" t="s">
        <v>33</v>
      </c>
      <c r="H579" s="1" t="str">
        <f t="shared" si="107"/>
        <v>20220904</v>
      </c>
      <c r="I579" s="1" t="str">
        <f>"160755"</f>
        <v>160755</v>
      </c>
      <c r="J579" s="1" t="s">
        <v>86</v>
      </c>
      <c r="K579" s="1" t="s">
        <v>52</v>
      </c>
      <c r="L579" s="1" t="str">
        <f t="shared" si="108"/>
        <v>20220904</v>
      </c>
      <c r="M579" s="1" t="str">
        <f>"162604"</f>
        <v>162604</v>
      </c>
      <c r="N579" s="1" t="s">
        <v>78</v>
      </c>
      <c r="O579" s="1" t="s">
        <v>52</v>
      </c>
      <c r="P579" s="1" t="s">
        <v>55</v>
      </c>
      <c r="Q579" s="1">
        <v>25</v>
      </c>
      <c r="R579" s="1">
        <v>25</v>
      </c>
      <c r="S579" s="1">
        <v>0</v>
      </c>
      <c r="T579" s="1">
        <v>0</v>
      </c>
      <c r="U579" s="1">
        <v>0</v>
      </c>
      <c r="V579" s="1" t="str">
        <f t="shared" si="113"/>
        <v>里程去程</v>
      </c>
      <c r="W579" s="1" t="str">
        <f>"2020"</f>
        <v>2020</v>
      </c>
      <c r="X579" s="1" t="s">
        <v>35</v>
      </c>
    </row>
    <row r="580" spans="1:24" x14ac:dyDescent="0.3">
      <c r="A580" s="1" t="str">
        <f t="shared" si="111"/>
        <v>59822</v>
      </c>
      <c r="B580" s="1" t="s">
        <v>39</v>
      </c>
      <c r="C580" s="1" t="s">
        <v>40</v>
      </c>
      <c r="D580" s="1" t="str">
        <f t="shared" si="112"/>
        <v>9801</v>
      </c>
      <c r="E580" s="1" t="s">
        <v>25</v>
      </c>
      <c r="F580" s="1" t="str">
        <f>"478425130"</f>
        <v>478425130</v>
      </c>
      <c r="G580" s="1" t="s">
        <v>33</v>
      </c>
      <c r="H580" s="1" t="str">
        <f t="shared" si="107"/>
        <v>20220904</v>
      </c>
      <c r="I580" s="1" t="str">
        <f>"160757"</f>
        <v>160757</v>
      </c>
      <c r="J580" s="1" t="s">
        <v>86</v>
      </c>
      <c r="K580" s="1" t="s">
        <v>52</v>
      </c>
      <c r="L580" s="1" t="str">
        <f t="shared" si="108"/>
        <v>20220904</v>
      </c>
      <c r="M580" s="1" t="str">
        <f>"162606"</f>
        <v>162606</v>
      </c>
      <c r="N580" s="1" t="s">
        <v>78</v>
      </c>
      <c r="O580" s="1" t="s">
        <v>52</v>
      </c>
      <c r="P580" s="1" t="s">
        <v>55</v>
      </c>
      <c r="Q580" s="1">
        <v>25</v>
      </c>
      <c r="R580" s="1">
        <v>25</v>
      </c>
      <c r="S580" s="1">
        <v>0</v>
      </c>
      <c r="T580" s="1">
        <v>0</v>
      </c>
      <c r="U580" s="1">
        <v>0</v>
      </c>
      <c r="V580" s="1" t="str">
        <f t="shared" si="113"/>
        <v>里程去程</v>
      </c>
      <c r="W580" s="1" t="str">
        <f>"2020"</f>
        <v>2020</v>
      </c>
      <c r="X580" s="1" t="s">
        <v>35</v>
      </c>
    </row>
    <row r="581" spans="1:24" x14ac:dyDescent="0.3">
      <c r="A581" s="1" t="str">
        <f t="shared" si="111"/>
        <v>59822</v>
      </c>
      <c r="B581" s="1" t="s">
        <v>39</v>
      </c>
      <c r="C581" s="1" t="s">
        <v>40</v>
      </c>
      <c r="D581" s="1" t="str">
        <f t="shared" si="112"/>
        <v>9801</v>
      </c>
      <c r="E581" s="1" t="s">
        <v>25</v>
      </c>
      <c r="F581" s="1" t="str">
        <f>"1658104480"</f>
        <v>1658104480</v>
      </c>
      <c r="G581" s="1" t="s">
        <v>33</v>
      </c>
      <c r="H581" s="1" t="str">
        <f t="shared" si="107"/>
        <v>20220904</v>
      </c>
      <c r="I581" s="1" t="str">
        <f>"174259"</f>
        <v>174259</v>
      </c>
      <c r="J581" s="1" t="s">
        <v>79</v>
      </c>
      <c r="K581" s="1" t="s">
        <v>45</v>
      </c>
      <c r="L581" s="1" t="str">
        <f t="shared" si="108"/>
        <v>20220904</v>
      </c>
      <c r="M581" s="1" t="str">
        <f>"174937"</f>
        <v>174937</v>
      </c>
      <c r="N581" s="1" t="s">
        <v>28</v>
      </c>
      <c r="O581" s="1" t="s">
        <v>28</v>
      </c>
      <c r="P581" s="1" t="s">
        <v>55</v>
      </c>
      <c r="Q581" s="1">
        <v>25</v>
      </c>
      <c r="R581" s="1">
        <v>25</v>
      </c>
      <c r="S581" s="1">
        <v>0</v>
      </c>
      <c r="T581" s="1">
        <v>0</v>
      </c>
      <c r="U581" s="1">
        <v>0</v>
      </c>
      <c r="V581" s="1" t="str">
        <f t="shared" ref="V581:V589" si="114">"里程返程"</f>
        <v>里程返程</v>
      </c>
      <c r="W581" s="1" t="str">
        <f>"2020"</f>
        <v>2020</v>
      </c>
      <c r="X581" s="1" t="s">
        <v>35</v>
      </c>
    </row>
    <row r="582" spans="1:24" x14ac:dyDescent="0.3">
      <c r="A582" s="1" t="str">
        <f t="shared" si="111"/>
        <v>59822</v>
      </c>
      <c r="B582" s="1" t="s">
        <v>39</v>
      </c>
      <c r="C582" s="1" t="s">
        <v>40</v>
      </c>
      <c r="D582" s="1" t="str">
        <f t="shared" si="112"/>
        <v>9801</v>
      </c>
      <c r="E582" s="1" t="s">
        <v>25</v>
      </c>
      <c r="F582" s="1" t="str">
        <f>"1561820417"</f>
        <v>1561820417</v>
      </c>
      <c r="G582" s="1" t="s">
        <v>33</v>
      </c>
      <c r="H582" s="1" t="str">
        <f t="shared" si="107"/>
        <v>20220904</v>
      </c>
      <c r="I582" s="1" t="str">
        <f>"175009"</f>
        <v>175009</v>
      </c>
      <c r="J582" s="1" t="s">
        <v>28</v>
      </c>
      <c r="K582" s="1" t="s">
        <v>28</v>
      </c>
      <c r="L582" s="1" t="str">
        <f t="shared" si="108"/>
        <v>20220904</v>
      </c>
      <c r="M582" s="1" t="str">
        <f>"182303"</f>
        <v>182303</v>
      </c>
      <c r="N582" s="1" t="s">
        <v>52</v>
      </c>
      <c r="O582" s="1" t="s">
        <v>52</v>
      </c>
      <c r="P582" s="1" t="s">
        <v>55</v>
      </c>
      <c r="Q582" s="1">
        <v>25</v>
      </c>
      <c r="R582" s="1">
        <v>25</v>
      </c>
      <c r="S582" s="1">
        <v>0</v>
      </c>
      <c r="T582" s="1">
        <v>0</v>
      </c>
      <c r="U582" s="1">
        <v>0</v>
      </c>
      <c r="V582" s="1" t="str">
        <f t="shared" si="114"/>
        <v>里程返程</v>
      </c>
      <c r="W582" s="1" t="str">
        <f>"1620"</f>
        <v>1620</v>
      </c>
      <c r="X582" s="1" t="s">
        <v>35</v>
      </c>
    </row>
    <row r="583" spans="1:24" x14ac:dyDescent="0.3">
      <c r="A583" s="1" t="str">
        <f t="shared" si="111"/>
        <v>59822</v>
      </c>
      <c r="B583" s="1" t="s">
        <v>39</v>
      </c>
      <c r="C583" s="1" t="s">
        <v>40</v>
      </c>
      <c r="D583" s="1" t="str">
        <f t="shared" si="112"/>
        <v>9801</v>
      </c>
      <c r="E583" s="1" t="s">
        <v>25</v>
      </c>
      <c r="F583" s="1" t="str">
        <f>"108155457"</f>
        <v>108155457</v>
      </c>
      <c r="G583" s="1" t="s">
        <v>33</v>
      </c>
      <c r="H583" s="1" t="str">
        <f t="shared" si="107"/>
        <v>20220904</v>
      </c>
      <c r="I583" s="1" t="str">
        <f>"175021"</f>
        <v>175021</v>
      </c>
      <c r="J583" s="1" t="s">
        <v>28</v>
      </c>
      <c r="K583" s="1" t="s">
        <v>28</v>
      </c>
      <c r="L583" s="1" t="str">
        <f t="shared" si="108"/>
        <v>20220904</v>
      </c>
      <c r="M583" s="1" t="str">
        <f>"180247"</f>
        <v>180247</v>
      </c>
      <c r="N583" s="1" t="s">
        <v>83</v>
      </c>
      <c r="O583" s="1" t="s">
        <v>52</v>
      </c>
      <c r="P583" s="1" t="s">
        <v>55</v>
      </c>
      <c r="Q583" s="1">
        <v>25</v>
      </c>
      <c r="R583" s="1">
        <v>25</v>
      </c>
      <c r="S583" s="1">
        <v>0</v>
      </c>
      <c r="T583" s="1">
        <v>0</v>
      </c>
      <c r="U583" s="1">
        <v>0</v>
      </c>
      <c r="V583" s="1" t="str">
        <f t="shared" si="114"/>
        <v>里程返程</v>
      </c>
      <c r="W583" s="1" t="str">
        <f>"0320"</f>
        <v>0320</v>
      </c>
      <c r="X583" s="1" t="s">
        <v>35</v>
      </c>
    </row>
    <row r="584" spans="1:24" x14ac:dyDescent="0.3">
      <c r="A584" s="1" t="str">
        <f t="shared" si="111"/>
        <v>59822</v>
      </c>
      <c r="B584" s="1" t="s">
        <v>39</v>
      </c>
      <c r="C584" s="1" t="s">
        <v>40</v>
      </c>
      <c r="D584" s="1" t="str">
        <f t="shared" si="112"/>
        <v>9801</v>
      </c>
      <c r="E584" s="1" t="s">
        <v>25</v>
      </c>
      <c r="F584" s="1" t="str">
        <f>"7311170791004013"</f>
        <v>7311170791004013</v>
      </c>
      <c r="G584" s="1" t="s">
        <v>33</v>
      </c>
      <c r="H584" s="1" t="str">
        <f t="shared" si="107"/>
        <v>20220904</v>
      </c>
      <c r="I584" s="1" t="str">
        <f>"175200"</f>
        <v>175200</v>
      </c>
      <c r="J584" s="1" t="s">
        <v>28</v>
      </c>
      <c r="K584" s="1" t="s">
        <v>28</v>
      </c>
      <c r="L584" s="1" t="str">
        <f t="shared" si="108"/>
        <v>20220904</v>
      </c>
      <c r="M584" s="1" t="str">
        <f>"182258"</f>
        <v>182258</v>
      </c>
      <c r="N584" s="1" t="s">
        <v>52</v>
      </c>
      <c r="O584" s="1" t="s">
        <v>52</v>
      </c>
      <c r="P584" s="1" t="s">
        <v>55</v>
      </c>
      <c r="Q584" s="1">
        <v>25</v>
      </c>
      <c r="R584" s="1">
        <v>25</v>
      </c>
      <c r="S584" s="1">
        <v>0</v>
      </c>
      <c r="T584" s="1">
        <v>0</v>
      </c>
      <c r="U584" s="1">
        <v>0</v>
      </c>
      <c r="V584" s="1" t="str">
        <f t="shared" si="114"/>
        <v>里程返程</v>
      </c>
      <c r="W584" s="1" t="str">
        <f>"0F3B"</f>
        <v>0F3B</v>
      </c>
      <c r="X584" s="1" t="s">
        <v>109</v>
      </c>
    </row>
    <row r="585" spans="1:24" x14ac:dyDescent="0.3">
      <c r="A585" s="1" t="str">
        <f t="shared" si="111"/>
        <v>59822</v>
      </c>
      <c r="B585" s="1" t="s">
        <v>39</v>
      </c>
      <c r="C585" s="1" t="s">
        <v>40</v>
      </c>
      <c r="D585" s="1" t="str">
        <f t="shared" si="112"/>
        <v>9801</v>
      </c>
      <c r="E585" s="1" t="s">
        <v>25</v>
      </c>
      <c r="F585" s="1" t="str">
        <f>"1713976517"</f>
        <v>1713976517</v>
      </c>
      <c r="G585" s="1" t="s">
        <v>33</v>
      </c>
      <c r="H585" s="1" t="str">
        <f t="shared" ref="H585:H616" si="115">"20220904"</f>
        <v>20220904</v>
      </c>
      <c r="I585" s="1" t="str">
        <f>"175216"</f>
        <v>175216</v>
      </c>
      <c r="J585" s="1" t="s">
        <v>28</v>
      </c>
      <c r="K585" s="1" t="s">
        <v>28</v>
      </c>
      <c r="L585" s="1" t="str">
        <f t="shared" si="108"/>
        <v>20220904</v>
      </c>
      <c r="M585" s="1" t="str">
        <f>"181648"</f>
        <v>181648</v>
      </c>
      <c r="N585" s="1" t="s">
        <v>72</v>
      </c>
      <c r="O585" s="1" t="s">
        <v>52</v>
      </c>
      <c r="P585" s="1" t="s">
        <v>55</v>
      </c>
      <c r="Q585" s="1">
        <v>25</v>
      </c>
      <c r="R585" s="1">
        <v>25</v>
      </c>
      <c r="S585" s="1">
        <v>0</v>
      </c>
      <c r="T585" s="1">
        <v>0</v>
      </c>
      <c r="U585" s="1">
        <v>0</v>
      </c>
      <c r="V585" s="1" t="str">
        <f t="shared" si="114"/>
        <v>里程返程</v>
      </c>
      <c r="W585" s="1" t="str">
        <f>"0220"</f>
        <v>0220</v>
      </c>
      <c r="X585" s="1" t="s">
        <v>35</v>
      </c>
    </row>
    <row r="586" spans="1:24" x14ac:dyDescent="0.3">
      <c r="A586" s="1" t="str">
        <f t="shared" si="111"/>
        <v>59822</v>
      </c>
      <c r="B586" s="1" t="s">
        <v>39</v>
      </c>
      <c r="C586" s="1" t="s">
        <v>40</v>
      </c>
      <c r="D586" s="1" t="str">
        <f t="shared" si="112"/>
        <v>9801</v>
      </c>
      <c r="E586" s="1" t="s">
        <v>25</v>
      </c>
      <c r="F586" s="1" t="str">
        <f>"723936145"</f>
        <v>723936145</v>
      </c>
      <c r="G586" s="1" t="s">
        <v>33</v>
      </c>
      <c r="H586" s="1" t="str">
        <f t="shared" si="115"/>
        <v>20220904</v>
      </c>
      <c r="I586" s="1" t="str">
        <f>"175225"</f>
        <v>175225</v>
      </c>
      <c r="J586" s="1" t="s">
        <v>28</v>
      </c>
      <c r="K586" s="1" t="s">
        <v>28</v>
      </c>
      <c r="L586" s="1" t="str">
        <f t="shared" si="108"/>
        <v>20220904</v>
      </c>
      <c r="M586" s="1" t="str">
        <f>"181221"</f>
        <v>181221</v>
      </c>
      <c r="N586" s="1" t="s">
        <v>80</v>
      </c>
      <c r="O586" s="1" t="s">
        <v>52</v>
      </c>
      <c r="P586" s="1" t="s">
        <v>55</v>
      </c>
      <c r="Q586" s="1">
        <v>25</v>
      </c>
      <c r="R586" s="1">
        <v>25</v>
      </c>
      <c r="S586" s="1">
        <v>0</v>
      </c>
      <c r="T586" s="1">
        <v>0</v>
      </c>
      <c r="U586" s="1">
        <v>0</v>
      </c>
      <c r="V586" s="1" t="str">
        <f t="shared" si="114"/>
        <v>里程返程</v>
      </c>
      <c r="W586" s="1" t="str">
        <f>"0120"</f>
        <v>0120</v>
      </c>
      <c r="X586" s="1" t="s">
        <v>35</v>
      </c>
    </row>
    <row r="587" spans="1:24" x14ac:dyDescent="0.3">
      <c r="A587" s="1" t="str">
        <f t="shared" si="111"/>
        <v>59822</v>
      </c>
      <c r="B587" s="1" t="s">
        <v>39</v>
      </c>
      <c r="C587" s="1" t="s">
        <v>40</v>
      </c>
      <c r="D587" s="1" t="str">
        <f t="shared" si="112"/>
        <v>9801</v>
      </c>
      <c r="E587" s="1" t="s">
        <v>25</v>
      </c>
      <c r="F587" s="1" t="str">
        <f>"1110524741"</f>
        <v>1110524741</v>
      </c>
      <c r="G587" s="1" t="s">
        <v>26</v>
      </c>
      <c r="H587" s="1" t="str">
        <f t="shared" si="115"/>
        <v>20220904</v>
      </c>
      <c r="I587" s="1" t="str">
        <f>"175344"</f>
        <v>175344</v>
      </c>
      <c r="J587" s="1" t="s">
        <v>28</v>
      </c>
      <c r="K587" s="1" t="s">
        <v>28</v>
      </c>
      <c r="L587" s="1" t="str">
        <f t="shared" si="108"/>
        <v>20220904</v>
      </c>
      <c r="M587" s="1" t="str">
        <f>"180818"</f>
        <v>180818</v>
      </c>
      <c r="N587" s="1" t="s">
        <v>69</v>
      </c>
      <c r="O587" s="1" t="s">
        <v>52</v>
      </c>
      <c r="P587" s="1" t="s">
        <v>55</v>
      </c>
      <c r="Q587" s="1">
        <v>13</v>
      </c>
      <c r="R587" s="1">
        <v>0</v>
      </c>
      <c r="S587" s="1">
        <v>13</v>
      </c>
      <c r="T587" s="1">
        <v>0</v>
      </c>
      <c r="U587" s="1">
        <v>0</v>
      </c>
      <c r="V587" s="1" t="str">
        <f t="shared" si="114"/>
        <v>里程返程</v>
      </c>
      <c r="W587" s="1" t="str">
        <f>"1920"</f>
        <v>1920</v>
      </c>
      <c r="X587" s="1" t="s">
        <v>35</v>
      </c>
    </row>
    <row r="588" spans="1:24" x14ac:dyDescent="0.3">
      <c r="A588" s="1" t="str">
        <f t="shared" si="111"/>
        <v>59822</v>
      </c>
      <c r="B588" s="1" t="s">
        <v>39</v>
      </c>
      <c r="C588" s="1" t="s">
        <v>40</v>
      </c>
      <c r="D588" s="1" t="str">
        <f t="shared" si="112"/>
        <v>9801</v>
      </c>
      <c r="E588" s="1" t="s">
        <v>25</v>
      </c>
      <c r="F588" s="1" t="str">
        <f>"1525334024"</f>
        <v>1525334024</v>
      </c>
      <c r="G588" s="1" t="s">
        <v>33</v>
      </c>
      <c r="H588" s="1" t="str">
        <f t="shared" si="115"/>
        <v>20220904</v>
      </c>
      <c r="I588" s="1" t="str">
        <f>"183855"</f>
        <v>183855</v>
      </c>
      <c r="J588" s="1" t="s">
        <v>75</v>
      </c>
      <c r="K588" s="1" t="s">
        <v>45</v>
      </c>
      <c r="L588" s="1" t="str">
        <f>""</f>
        <v/>
      </c>
      <c r="M588" s="1" t="str">
        <f>""</f>
        <v/>
      </c>
      <c r="P588" s="1" t="s">
        <v>88</v>
      </c>
      <c r="Q588" s="1">
        <v>25</v>
      </c>
      <c r="R588" s="1">
        <v>25</v>
      </c>
      <c r="S588" s="1">
        <v>0</v>
      </c>
      <c r="T588" s="1">
        <v>0</v>
      </c>
      <c r="U588" s="1">
        <v>0</v>
      </c>
      <c r="V588" s="1" t="str">
        <f t="shared" si="114"/>
        <v>里程返程</v>
      </c>
      <c r="W588" s="1" t="str">
        <f>"0120"</f>
        <v>0120</v>
      </c>
      <c r="X588" s="1" t="s">
        <v>35</v>
      </c>
    </row>
    <row r="589" spans="1:24" x14ac:dyDescent="0.3">
      <c r="A589" s="1" t="str">
        <f t="shared" si="111"/>
        <v>59822</v>
      </c>
      <c r="B589" s="1" t="s">
        <v>39</v>
      </c>
      <c r="C589" s="1" t="s">
        <v>40</v>
      </c>
      <c r="D589" s="1" t="str">
        <f t="shared" si="112"/>
        <v>9801</v>
      </c>
      <c r="E589" s="1" t="s">
        <v>25</v>
      </c>
      <c r="F589" s="1" t="str">
        <f>"3221782280"</f>
        <v>3221782280</v>
      </c>
      <c r="G589" s="1" t="s">
        <v>33</v>
      </c>
      <c r="H589" s="1" t="str">
        <f t="shared" si="115"/>
        <v>20220904</v>
      </c>
      <c r="I589" s="1" t="str">
        <f>"185252"</f>
        <v>185252</v>
      </c>
      <c r="J589" s="1" t="s">
        <v>28</v>
      </c>
      <c r="K589" s="1" t="s">
        <v>28</v>
      </c>
      <c r="P589" s="1" t="s">
        <v>113</v>
      </c>
      <c r="Q589" s="1">
        <v>25</v>
      </c>
      <c r="R589" s="1">
        <v>0</v>
      </c>
      <c r="S589" s="1">
        <v>0</v>
      </c>
      <c r="T589" s="1">
        <v>0</v>
      </c>
      <c r="U589" s="1">
        <v>0</v>
      </c>
      <c r="V589" s="1" t="str">
        <f t="shared" si="114"/>
        <v>里程返程</v>
      </c>
      <c r="W589" s="1" t="str">
        <f>"2020"</f>
        <v>2020</v>
      </c>
      <c r="X589" s="1" t="s">
        <v>35</v>
      </c>
    </row>
    <row r="590" spans="1:24" x14ac:dyDescent="0.3">
      <c r="A590" s="1" t="str">
        <f t="shared" si="111"/>
        <v>59822</v>
      </c>
      <c r="B590" s="1" t="s">
        <v>39</v>
      </c>
      <c r="C590" s="1" t="s">
        <v>40</v>
      </c>
      <c r="D590" s="1" t="str">
        <f t="shared" si="112"/>
        <v>9801</v>
      </c>
      <c r="E590" s="1" t="s">
        <v>25</v>
      </c>
      <c r="F590" s="1" t="str">
        <f>"195396047"</f>
        <v>195396047</v>
      </c>
      <c r="G590" s="1" t="s">
        <v>33</v>
      </c>
      <c r="H590" s="1" t="str">
        <f t="shared" si="115"/>
        <v>20220904</v>
      </c>
      <c r="I590" s="1" t="str">
        <f>"195934"</f>
        <v>195934</v>
      </c>
      <c r="J590" s="1" t="s">
        <v>52</v>
      </c>
      <c r="K590" s="1" t="s">
        <v>52</v>
      </c>
      <c r="L590" s="1" t="str">
        <f t="shared" ref="L590:L621" si="116">"20220904"</f>
        <v>20220904</v>
      </c>
      <c r="M590" s="1" t="str">
        <f>"202308"</f>
        <v>202308</v>
      </c>
      <c r="N590" s="1" t="s">
        <v>83</v>
      </c>
      <c r="O590" s="1" t="s">
        <v>52</v>
      </c>
      <c r="P590" s="1" t="s">
        <v>55</v>
      </c>
      <c r="Q590" s="1">
        <v>25</v>
      </c>
      <c r="R590" s="1">
        <v>25</v>
      </c>
      <c r="S590" s="1">
        <v>0</v>
      </c>
      <c r="T590" s="1">
        <v>0</v>
      </c>
      <c r="U590" s="1">
        <v>0</v>
      </c>
      <c r="V590" s="1" t="str">
        <f>"里程去程"</f>
        <v>里程去程</v>
      </c>
      <c r="W590" s="1" t="str">
        <f>"0120"</f>
        <v>0120</v>
      </c>
      <c r="X590" s="1" t="s">
        <v>35</v>
      </c>
    </row>
    <row r="591" spans="1:24" x14ac:dyDescent="0.3">
      <c r="A591" s="1" t="str">
        <f t="shared" si="111"/>
        <v>59822</v>
      </c>
      <c r="B591" s="1" t="s">
        <v>39</v>
      </c>
      <c r="C591" s="1" t="s">
        <v>40</v>
      </c>
      <c r="D591" s="1" t="str">
        <f t="shared" si="112"/>
        <v>9801</v>
      </c>
      <c r="E591" s="1" t="s">
        <v>25</v>
      </c>
      <c r="F591" s="1" t="str">
        <f>"1319951505"</f>
        <v>1319951505</v>
      </c>
      <c r="G591" s="1" t="s">
        <v>33</v>
      </c>
      <c r="H591" s="1" t="str">
        <f t="shared" si="115"/>
        <v>20220904</v>
      </c>
      <c r="I591" s="1" t="str">
        <f>"200449"</f>
        <v>200449</v>
      </c>
      <c r="J591" s="1" t="s">
        <v>86</v>
      </c>
      <c r="K591" s="1" t="s">
        <v>52</v>
      </c>
      <c r="L591" s="1" t="str">
        <f t="shared" si="116"/>
        <v>20220904</v>
      </c>
      <c r="M591" s="1" t="str">
        <f>"202258"</f>
        <v>202258</v>
      </c>
      <c r="N591" s="1" t="s">
        <v>83</v>
      </c>
      <c r="O591" s="1" t="s">
        <v>52</v>
      </c>
      <c r="P591" s="1" t="s">
        <v>55</v>
      </c>
      <c r="Q591" s="1">
        <v>25</v>
      </c>
      <c r="R591" s="1">
        <v>25</v>
      </c>
      <c r="S591" s="1">
        <v>0</v>
      </c>
      <c r="T591" s="1">
        <v>0</v>
      </c>
      <c r="U591" s="1">
        <v>0</v>
      </c>
      <c r="V591" s="1" t="str">
        <f>"里程去程"</f>
        <v>里程去程</v>
      </c>
      <c r="W591" s="1" t="str">
        <f>"2020"</f>
        <v>2020</v>
      </c>
      <c r="X591" s="1" t="s">
        <v>35</v>
      </c>
    </row>
    <row r="592" spans="1:24" x14ac:dyDescent="0.3">
      <c r="A592" s="1" t="str">
        <f t="shared" si="111"/>
        <v>59822</v>
      </c>
      <c r="B592" s="1" t="s">
        <v>39</v>
      </c>
      <c r="C592" s="1" t="s">
        <v>40</v>
      </c>
      <c r="D592" s="1" t="str">
        <f t="shared" si="112"/>
        <v>9801</v>
      </c>
      <c r="E592" s="1" t="s">
        <v>25</v>
      </c>
      <c r="F592" s="1" t="str">
        <f>"1783389333"</f>
        <v>1783389333</v>
      </c>
      <c r="G592" s="1" t="s">
        <v>33</v>
      </c>
      <c r="H592" s="1" t="str">
        <f t="shared" si="115"/>
        <v>20220904</v>
      </c>
      <c r="I592" s="1" t="str">
        <f>"203506"</f>
        <v>203506</v>
      </c>
      <c r="J592" s="1" t="s">
        <v>27</v>
      </c>
      <c r="K592" s="1" t="s">
        <v>28</v>
      </c>
      <c r="L592" s="1" t="str">
        <f t="shared" si="116"/>
        <v>20220904</v>
      </c>
      <c r="M592" s="1" t="str">
        <f>"204534"</f>
        <v>204534</v>
      </c>
      <c r="N592" s="1" t="s">
        <v>45</v>
      </c>
      <c r="O592" s="1" t="s">
        <v>45</v>
      </c>
      <c r="P592" s="1" t="s">
        <v>55</v>
      </c>
      <c r="Q592" s="1">
        <v>25</v>
      </c>
      <c r="R592" s="1">
        <v>0</v>
      </c>
      <c r="S592" s="1">
        <v>25</v>
      </c>
      <c r="T592" s="1">
        <v>0</v>
      </c>
      <c r="U592" s="1">
        <v>0</v>
      </c>
      <c r="V592" s="1" t="str">
        <f>"里程去程"</f>
        <v>里程去程</v>
      </c>
      <c r="W592" s="1" t="str">
        <f>"0820"</f>
        <v>0820</v>
      </c>
      <c r="X592" s="1" t="s">
        <v>35</v>
      </c>
    </row>
    <row r="593" spans="1:24" x14ac:dyDescent="0.3">
      <c r="A593" s="1" t="str">
        <f t="shared" si="111"/>
        <v>59822</v>
      </c>
      <c r="B593" s="1" t="s">
        <v>39</v>
      </c>
      <c r="C593" s="1" t="s">
        <v>40</v>
      </c>
      <c r="D593" s="1" t="str">
        <f>"9805"</f>
        <v>9805</v>
      </c>
      <c r="E593" s="1" t="s">
        <v>57</v>
      </c>
      <c r="F593" s="1" t="str">
        <f>"904946181"</f>
        <v>904946181</v>
      </c>
      <c r="G593" s="1" t="s">
        <v>33</v>
      </c>
      <c r="H593" s="1" t="str">
        <f t="shared" si="115"/>
        <v>20220904</v>
      </c>
      <c r="I593" s="1" t="str">
        <f>"211858"</f>
        <v>211858</v>
      </c>
      <c r="J593" s="1" t="s">
        <v>28</v>
      </c>
      <c r="K593" s="1" t="s">
        <v>28</v>
      </c>
      <c r="L593" s="1" t="str">
        <f t="shared" si="116"/>
        <v>20220904</v>
      </c>
      <c r="M593" s="1" t="str">
        <f>"213207"</f>
        <v>213207</v>
      </c>
      <c r="N593" s="1" t="s">
        <v>56</v>
      </c>
      <c r="O593" s="1" t="s">
        <v>28</v>
      </c>
      <c r="P593" s="1" t="s">
        <v>55</v>
      </c>
      <c r="Q593" s="1">
        <v>25</v>
      </c>
      <c r="R593" s="1">
        <v>25</v>
      </c>
      <c r="S593" s="1">
        <v>0</v>
      </c>
      <c r="T593" s="1">
        <v>0</v>
      </c>
      <c r="U593" s="1">
        <v>0</v>
      </c>
      <c r="V593" s="1" t="str">
        <f>"里程去程"</f>
        <v>里程去程</v>
      </c>
      <c r="W593" s="1" t="str">
        <f>"2020"</f>
        <v>2020</v>
      </c>
      <c r="X593" s="1" t="s">
        <v>35</v>
      </c>
    </row>
    <row r="594" spans="1:24" x14ac:dyDescent="0.3">
      <c r="A594" s="1" t="str">
        <f t="shared" si="111"/>
        <v>59822</v>
      </c>
      <c r="B594" s="1" t="s">
        <v>39</v>
      </c>
      <c r="C594" s="1" t="s">
        <v>40</v>
      </c>
      <c r="D594" s="1" t="str">
        <f>"9805"</f>
        <v>9805</v>
      </c>
      <c r="E594" s="1" t="s">
        <v>57</v>
      </c>
      <c r="F594" s="1" t="str">
        <f>"1102348005"</f>
        <v>1102348005</v>
      </c>
      <c r="G594" s="1" t="s">
        <v>38</v>
      </c>
      <c r="H594" s="1" t="str">
        <f t="shared" si="115"/>
        <v>20220904</v>
      </c>
      <c r="I594" s="1" t="str">
        <f>"213545"</f>
        <v>213545</v>
      </c>
      <c r="J594" s="1" t="s">
        <v>52</v>
      </c>
      <c r="K594" s="1" t="s">
        <v>52</v>
      </c>
      <c r="L594" s="1" t="str">
        <f t="shared" si="116"/>
        <v>20220904</v>
      </c>
      <c r="M594" s="1" t="str">
        <f>"215707"</f>
        <v>215707</v>
      </c>
      <c r="N594" s="1" t="s">
        <v>90</v>
      </c>
      <c r="O594" s="1" t="s">
        <v>28</v>
      </c>
      <c r="P594" s="1" t="s">
        <v>55</v>
      </c>
      <c r="Q594" s="1">
        <v>25</v>
      </c>
      <c r="R594" s="1">
        <v>0</v>
      </c>
      <c r="S594" s="1">
        <v>25</v>
      </c>
      <c r="T594" s="1">
        <v>0</v>
      </c>
      <c r="U594" s="1">
        <v>0</v>
      </c>
      <c r="V594" s="1" t="str">
        <f t="shared" ref="V594:V607" si="117">"里程返程"</f>
        <v>里程返程</v>
      </c>
      <c r="W594" s="1" t="str">
        <f>"2120"</f>
        <v>2120</v>
      </c>
      <c r="X594" s="1" t="s">
        <v>35</v>
      </c>
    </row>
    <row r="595" spans="1:24" x14ac:dyDescent="0.3">
      <c r="A595" s="1" t="str">
        <f t="shared" si="111"/>
        <v>59822</v>
      </c>
      <c r="B595" s="1" t="s">
        <v>39</v>
      </c>
      <c r="C595" s="1" t="s">
        <v>40</v>
      </c>
      <c r="D595" s="1" t="str">
        <f>"9805"</f>
        <v>9805</v>
      </c>
      <c r="E595" s="1" t="s">
        <v>57</v>
      </c>
      <c r="F595" s="1" t="str">
        <f>"578875105"</f>
        <v>578875105</v>
      </c>
      <c r="G595" s="1" t="s">
        <v>33</v>
      </c>
      <c r="H595" s="1" t="str">
        <f t="shared" si="115"/>
        <v>20220904</v>
      </c>
      <c r="I595" s="1" t="str">
        <f>"213552"</f>
        <v>213552</v>
      </c>
      <c r="J595" s="1" t="s">
        <v>52</v>
      </c>
      <c r="K595" s="1" t="s">
        <v>52</v>
      </c>
      <c r="L595" s="1" t="str">
        <f t="shared" si="116"/>
        <v>20220904</v>
      </c>
      <c r="M595" s="1" t="str">
        <f>"220001"</f>
        <v>220001</v>
      </c>
      <c r="N595" s="1" t="s">
        <v>28</v>
      </c>
      <c r="O595" s="1" t="s">
        <v>28</v>
      </c>
      <c r="P595" s="1" t="s">
        <v>55</v>
      </c>
      <c r="Q595" s="1">
        <v>25</v>
      </c>
      <c r="R595" s="1">
        <v>0</v>
      </c>
      <c r="S595" s="1">
        <v>25</v>
      </c>
      <c r="T595" s="1">
        <v>0</v>
      </c>
      <c r="U595" s="1">
        <v>0</v>
      </c>
      <c r="V595" s="1" t="str">
        <f t="shared" si="117"/>
        <v>里程返程</v>
      </c>
      <c r="W595" s="1" t="str">
        <f>"2120"</f>
        <v>2120</v>
      </c>
      <c r="X595" s="1" t="s">
        <v>35</v>
      </c>
    </row>
    <row r="596" spans="1:24" x14ac:dyDescent="0.3">
      <c r="A596" s="1" t="str">
        <f t="shared" si="111"/>
        <v>59822</v>
      </c>
      <c r="B596" s="1" t="s">
        <v>39</v>
      </c>
      <c r="C596" s="1" t="s">
        <v>40</v>
      </c>
      <c r="D596" s="1" t="str">
        <f>"9805"</f>
        <v>9805</v>
      </c>
      <c r="E596" s="1" t="s">
        <v>57</v>
      </c>
      <c r="F596" s="1" t="str">
        <f>"1210616885"</f>
        <v>1210616885</v>
      </c>
      <c r="G596" s="1" t="s">
        <v>38</v>
      </c>
      <c r="H596" s="1" t="str">
        <f t="shared" si="115"/>
        <v>20220904</v>
      </c>
      <c r="I596" s="1" t="str">
        <f>"213556"</f>
        <v>213556</v>
      </c>
      <c r="J596" s="1" t="s">
        <v>52</v>
      </c>
      <c r="K596" s="1" t="s">
        <v>52</v>
      </c>
      <c r="L596" s="1" t="str">
        <f t="shared" si="116"/>
        <v>20220904</v>
      </c>
      <c r="M596" s="1" t="str">
        <f>"215709"</f>
        <v>215709</v>
      </c>
      <c r="N596" s="1" t="s">
        <v>90</v>
      </c>
      <c r="O596" s="1" t="s">
        <v>28</v>
      </c>
      <c r="P596" s="1" t="s">
        <v>55</v>
      </c>
      <c r="Q596" s="1">
        <v>25</v>
      </c>
      <c r="R596" s="1">
        <v>0</v>
      </c>
      <c r="S596" s="1">
        <v>25</v>
      </c>
      <c r="T596" s="1">
        <v>0</v>
      </c>
      <c r="U596" s="1">
        <v>0</v>
      </c>
      <c r="V596" s="1" t="str">
        <f t="shared" si="117"/>
        <v>里程返程</v>
      </c>
      <c r="W596" s="1" t="str">
        <f>"2120"</f>
        <v>2120</v>
      </c>
      <c r="X596" s="1" t="s">
        <v>35</v>
      </c>
    </row>
    <row r="597" spans="1:24" x14ac:dyDescent="0.3">
      <c r="A597" s="1" t="str">
        <f t="shared" si="111"/>
        <v>59822</v>
      </c>
      <c r="B597" s="1" t="s">
        <v>39</v>
      </c>
      <c r="C597" s="1" t="s">
        <v>40</v>
      </c>
      <c r="D597" s="1" t="str">
        <f>"9805"</f>
        <v>9805</v>
      </c>
      <c r="E597" s="1" t="s">
        <v>57</v>
      </c>
      <c r="F597" s="1" t="str">
        <f>"1811272069"</f>
        <v>1811272069</v>
      </c>
      <c r="G597" s="1" t="s">
        <v>33</v>
      </c>
      <c r="H597" s="1" t="str">
        <f t="shared" si="115"/>
        <v>20220904</v>
      </c>
      <c r="I597" s="1" t="str">
        <f>"214517"</f>
        <v>214517</v>
      </c>
      <c r="J597" s="1" t="s">
        <v>103</v>
      </c>
      <c r="K597" s="1" t="s">
        <v>28</v>
      </c>
      <c r="L597" s="1" t="str">
        <f t="shared" si="116"/>
        <v>20220904</v>
      </c>
      <c r="M597" s="1" t="str">
        <f>"220007"</f>
        <v>220007</v>
      </c>
      <c r="N597" s="1" t="s">
        <v>28</v>
      </c>
      <c r="O597" s="1" t="s">
        <v>28</v>
      </c>
      <c r="P597" s="1" t="s">
        <v>55</v>
      </c>
      <c r="Q597" s="1">
        <v>25</v>
      </c>
      <c r="R597" s="1">
        <v>25</v>
      </c>
      <c r="S597" s="1">
        <v>0</v>
      </c>
      <c r="T597" s="1">
        <v>0</v>
      </c>
      <c r="U597" s="1">
        <v>0</v>
      </c>
      <c r="V597" s="1" t="str">
        <f t="shared" si="117"/>
        <v>里程返程</v>
      </c>
      <c r="W597" s="1" t="str">
        <f>"2120"</f>
        <v>2120</v>
      </c>
      <c r="X597" s="1" t="s">
        <v>35</v>
      </c>
    </row>
    <row r="598" spans="1:24" x14ac:dyDescent="0.3">
      <c r="A598" s="1" t="str">
        <f t="shared" ref="A598:A622" si="118">"59825"</f>
        <v>59825</v>
      </c>
      <c r="B598" s="1" t="s">
        <v>30</v>
      </c>
      <c r="C598" s="1" t="s">
        <v>31</v>
      </c>
      <c r="D598" s="1" t="str">
        <f t="shared" ref="D598:D605" si="119">"9801"</f>
        <v>9801</v>
      </c>
      <c r="E598" s="1" t="s">
        <v>25</v>
      </c>
      <c r="F598" s="1" t="str">
        <f>"1558861583"</f>
        <v>1558861583</v>
      </c>
      <c r="G598" s="1" t="s">
        <v>33</v>
      </c>
      <c r="H598" s="1" t="str">
        <f t="shared" si="115"/>
        <v>20220904</v>
      </c>
      <c r="I598" s="1" t="str">
        <f>"083856"</f>
        <v>083856</v>
      </c>
      <c r="J598" s="1" t="s">
        <v>75</v>
      </c>
      <c r="K598" s="1" t="s">
        <v>45</v>
      </c>
      <c r="L598" s="1" t="str">
        <f t="shared" si="116"/>
        <v>20220904</v>
      </c>
      <c r="M598" s="1" t="str">
        <f>"085344"</f>
        <v>085344</v>
      </c>
      <c r="N598" s="1" t="s">
        <v>28</v>
      </c>
      <c r="O598" s="1" t="s">
        <v>28</v>
      </c>
      <c r="P598" s="1" t="s">
        <v>55</v>
      </c>
      <c r="Q598" s="1">
        <v>25</v>
      </c>
      <c r="R598" s="1">
        <v>25</v>
      </c>
      <c r="S598" s="1">
        <v>0</v>
      </c>
      <c r="T598" s="1">
        <v>0</v>
      </c>
      <c r="U598" s="1">
        <v>0</v>
      </c>
      <c r="V598" s="1" t="str">
        <f t="shared" si="117"/>
        <v>里程返程</v>
      </c>
      <c r="W598" s="1" t="str">
        <f>"2020"</f>
        <v>2020</v>
      </c>
      <c r="X598" s="1" t="s">
        <v>35</v>
      </c>
    </row>
    <row r="599" spans="1:24" x14ac:dyDescent="0.3">
      <c r="A599" s="1" t="str">
        <f t="shared" si="118"/>
        <v>59825</v>
      </c>
      <c r="B599" s="1" t="s">
        <v>30</v>
      </c>
      <c r="C599" s="1" t="s">
        <v>31</v>
      </c>
      <c r="D599" s="1" t="str">
        <f t="shared" si="119"/>
        <v>9801</v>
      </c>
      <c r="E599" s="1" t="s">
        <v>25</v>
      </c>
      <c r="F599" s="1" t="str">
        <f>"942403653"</f>
        <v>942403653</v>
      </c>
      <c r="G599" s="1" t="s">
        <v>33</v>
      </c>
      <c r="H599" s="1" t="str">
        <f t="shared" si="115"/>
        <v>20220904</v>
      </c>
      <c r="I599" s="1" t="str">
        <f>"090636"</f>
        <v>090636</v>
      </c>
      <c r="J599" s="1" t="s">
        <v>67</v>
      </c>
      <c r="K599" s="1" t="s">
        <v>52</v>
      </c>
      <c r="L599" s="1" t="str">
        <f t="shared" si="116"/>
        <v>20220904</v>
      </c>
      <c r="M599" s="1" t="str">
        <f>"091810"</f>
        <v>091810</v>
      </c>
      <c r="N599" s="1" t="s">
        <v>72</v>
      </c>
      <c r="O599" s="1" t="s">
        <v>52</v>
      </c>
      <c r="P599" s="1" t="s">
        <v>55</v>
      </c>
      <c r="Q599" s="1">
        <v>25</v>
      </c>
      <c r="R599" s="1">
        <v>25</v>
      </c>
      <c r="S599" s="1">
        <v>0</v>
      </c>
      <c r="T599" s="1">
        <v>0</v>
      </c>
      <c r="U599" s="1">
        <v>0</v>
      </c>
      <c r="V599" s="1" t="str">
        <f t="shared" si="117"/>
        <v>里程返程</v>
      </c>
      <c r="W599" s="1" t="str">
        <f>"2120"</f>
        <v>2120</v>
      </c>
      <c r="X599" s="1" t="s">
        <v>35</v>
      </c>
    </row>
    <row r="600" spans="1:24" x14ac:dyDescent="0.3">
      <c r="A600" s="1" t="str">
        <f t="shared" si="118"/>
        <v>59825</v>
      </c>
      <c r="B600" s="1" t="s">
        <v>30</v>
      </c>
      <c r="C600" s="1" t="s">
        <v>31</v>
      </c>
      <c r="D600" s="1" t="str">
        <f t="shared" si="119"/>
        <v>9801</v>
      </c>
      <c r="E600" s="1" t="s">
        <v>25</v>
      </c>
      <c r="F600" s="1" t="str">
        <f>"1367289936"</f>
        <v>1367289936</v>
      </c>
      <c r="G600" s="1" t="s">
        <v>33</v>
      </c>
      <c r="H600" s="1" t="str">
        <f t="shared" si="115"/>
        <v>20220904</v>
      </c>
      <c r="I600" s="1" t="str">
        <f>"090638"</f>
        <v>090638</v>
      </c>
      <c r="J600" s="1" t="s">
        <v>67</v>
      </c>
      <c r="K600" s="1" t="s">
        <v>52</v>
      </c>
      <c r="L600" s="1" t="str">
        <f t="shared" si="116"/>
        <v>20220904</v>
      </c>
      <c r="M600" s="1" t="str">
        <f>"091807"</f>
        <v>091807</v>
      </c>
      <c r="N600" s="1" t="s">
        <v>72</v>
      </c>
      <c r="O600" s="1" t="s">
        <v>52</v>
      </c>
      <c r="P600" s="1" t="s">
        <v>55</v>
      </c>
      <c r="Q600" s="1">
        <v>25</v>
      </c>
      <c r="R600" s="1">
        <v>25</v>
      </c>
      <c r="S600" s="1">
        <v>0</v>
      </c>
      <c r="T600" s="1">
        <v>0</v>
      </c>
      <c r="U600" s="1">
        <v>0</v>
      </c>
      <c r="V600" s="1" t="str">
        <f t="shared" si="117"/>
        <v>里程返程</v>
      </c>
      <c r="W600" s="1" t="str">
        <f>"2120"</f>
        <v>2120</v>
      </c>
      <c r="X600" s="1" t="s">
        <v>35</v>
      </c>
    </row>
    <row r="601" spans="1:24" x14ac:dyDescent="0.3">
      <c r="A601" s="1" t="str">
        <f t="shared" si="118"/>
        <v>59825</v>
      </c>
      <c r="B601" s="1" t="s">
        <v>30</v>
      </c>
      <c r="C601" s="1" t="s">
        <v>31</v>
      </c>
      <c r="D601" s="1" t="str">
        <f t="shared" si="119"/>
        <v>9801</v>
      </c>
      <c r="E601" s="1" t="s">
        <v>25</v>
      </c>
      <c r="F601" s="1" t="str">
        <f>"1261025957"</f>
        <v>1261025957</v>
      </c>
      <c r="G601" s="1" t="s">
        <v>33</v>
      </c>
      <c r="H601" s="1" t="str">
        <f t="shared" si="115"/>
        <v>20220904</v>
      </c>
      <c r="I601" s="1" t="str">
        <f>"115623"</f>
        <v>115623</v>
      </c>
      <c r="J601" s="1" t="s">
        <v>28</v>
      </c>
      <c r="K601" s="1" t="s">
        <v>28</v>
      </c>
      <c r="L601" s="1" t="str">
        <f t="shared" si="116"/>
        <v>20220904</v>
      </c>
      <c r="M601" s="1" t="str">
        <f>"122454"</f>
        <v>122454</v>
      </c>
      <c r="N601" s="1" t="s">
        <v>52</v>
      </c>
      <c r="O601" s="1" t="s">
        <v>52</v>
      </c>
      <c r="P601" s="1" t="s">
        <v>55</v>
      </c>
      <c r="Q601" s="1">
        <v>25</v>
      </c>
      <c r="R601" s="1">
        <v>0</v>
      </c>
      <c r="S601" s="1">
        <v>25</v>
      </c>
      <c r="T601" s="1">
        <v>0</v>
      </c>
      <c r="U601" s="1">
        <v>0</v>
      </c>
      <c r="V601" s="1" t="str">
        <f t="shared" si="117"/>
        <v>里程返程</v>
      </c>
      <c r="W601" s="1" t="str">
        <f>"2120"</f>
        <v>2120</v>
      </c>
      <c r="X601" s="1" t="s">
        <v>35</v>
      </c>
    </row>
    <row r="602" spans="1:24" x14ac:dyDescent="0.3">
      <c r="A602" s="1" t="str">
        <f t="shared" si="118"/>
        <v>59825</v>
      </c>
      <c r="B602" s="1" t="s">
        <v>30</v>
      </c>
      <c r="C602" s="1" t="s">
        <v>31</v>
      </c>
      <c r="D602" s="1" t="str">
        <f t="shared" si="119"/>
        <v>9801</v>
      </c>
      <c r="E602" s="1" t="s">
        <v>25</v>
      </c>
      <c r="F602" s="1" t="str">
        <f>"669733429"</f>
        <v>669733429</v>
      </c>
      <c r="G602" s="1" t="s">
        <v>33</v>
      </c>
      <c r="H602" s="1" t="str">
        <f t="shared" si="115"/>
        <v>20220904</v>
      </c>
      <c r="I602" s="1" t="str">
        <f>"115626"</f>
        <v>115626</v>
      </c>
      <c r="J602" s="1" t="s">
        <v>28</v>
      </c>
      <c r="K602" s="1" t="s">
        <v>28</v>
      </c>
      <c r="L602" s="1" t="str">
        <f t="shared" si="116"/>
        <v>20220904</v>
      </c>
      <c r="M602" s="1" t="str">
        <f>"122448"</f>
        <v>122448</v>
      </c>
      <c r="N602" s="1" t="s">
        <v>52</v>
      </c>
      <c r="O602" s="1" t="s">
        <v>52</v>
      </c>
      <c r="P602" s="1" t="s">
        <v>55</v>
      </c>
      <c r="Q602" s="1">
        <v>25</v>
      </c>
      <c r="R602" s="1">
        <v>0</v>
      </c>
      <c r="S602" s="1">
        <v>25</v>
      </c>
      <c r="T602" s="1">
        <v>0</v>
      </c>
      <c r="U602" s="1">
        <v>0</v>
      </c>
      <c r="V602" s="1" t="str">
        <f t="shared" si="117"/>
        <v>里程返程</v>
      </c>
      <c r="W602" s="1" t="str">
        <f>"0820"</f>
        <v>0820</v>
      </c>
      <c r="X602" s="1" t="s">
        <v>35</v>
      </c>
    </row>
    <row r="603" spans="1:24" x14ac:dyDescent="0.3">
      <c r="A603" s="1" t="str">
        <f t="shared" si="118"/>
        <v>59825</v>
      </c>
      <c r="B603" s="1" t="s">
        <v>30</v>
      </c>
      <c r="C603" s="1" t="s">
        <v>31</v>
      </c>
      <c r="D603" s="1" t="str">
        <f t="shared" si="119"/>
        <v>9801</v>
      </c>
      <c r="E603" s="1" t="s">
        <v>25</v>
      </c>
      <c r="F603" s="1" t="str">
        <f>"1062958421"</f>
        <v>1062958421</v>
      </c>
      <c r="G603" s="1" t="s">
        <v>33</v>
      </c>
      <c r="H603" s="1" t="str">
        <f t="shared" si="115"/>
        <v>20220904</v>
      </c>
      <c r="I603" s="1" t="str">
        <f>"115710"</f>
        <v>115710</v>
      </c>
      <c r="J603" s="1" t="s">
        <v>28</v>
      </c>
      <c r="K603" s="1" t="s">
        <v>28</v>
      </c>
      <c r="L603" s="1" t="str">
        <f t="shared" si="116"/>
        <v>20220904</v>
      </c>
      <c r="M603" s="1" t="str">
        <f>"122437"</f>
        <v>122437</v>
      </c>
      <c r="N603" s="1" t="s">
        <v>52</v>
      </c>
      <c r="O603" s="1" t="s">
        <v>52</v>
      </c>
      <c r="P603" s="1" t="s">
        <v>55</v>
      </c>
      <c r="Q603" s="1">
        <v>25</v>
      </c>
      <c r="R603" s="1">
        <v>25</v>
      </c>
      <c r="S603" s="1">
        <v>0</v>
      </c>
      <c r="T603" s="1">
        <v>0</v>
      </c>
      <c r="U603" s="1">
        <v>0</v>
      </c>
      <c r="V603" s="1" t="str">
        <f t="shared" si="117"/>
        <v>里程返程</v>
      </c>
      <c r="W603" s="1" t="str">
        <f>"0120"</f>
        <v>0120</v>
      </c>
      <c r="X603" s="1" t="s">
        <v>35</v>
      </c>
    </row>
    <row r="604" spans="1:24" x14ac:dyDescent="0.3">
      <c r="A604" s="1" t="str">
        <f t="shared" si="118"/>
        <v>59825</v>
      </c>
      <c r="B604" s="1" t="s">
        <v>30</v>
      </c>
      <c r="C604" s="1" t="s">
        <v>31</v>
      </c>
      <c r="D604" s="1" t="str">
        <f t="shared" si="119"/>
        <v>9801</v>
      </c>
      <c r="E604" s="1" t="s">
        <v>25</v>
      </c>
      <c r="F604" s="1" t="str">
        <f>"1821976720"</f>
        <v>1821976720</v>
      </c>
      <c r="G604" s="1" t="s">
        <v>26</v>
      </c>
      <c r="H604" s="1" t="str">
        <f t="shared" si="115"/>
        <v>20220904</v>
      </c>
      <c r="I604" s="1" t="str">
        <f>"115713"</f>
        <v>115713</v>
      </c>
      <c r="J604" s="1" t="s">
        <v>28</v>
      </c>
      <c r="K604" s="1" t="s">
        <v>28</v>
      </c>
      <c r="L604" s="1" t="str">
        <f t="shared" si="116"/>
        <v>20220904</v>
      </c>
      <c r="M604" s="1" t="str">
        <f>"122409"</f>
        <v>122409</v>
      </c>
      <c r="N604" s="1" t="s">
        <v>52</v>
      </c>
      <c r="O604" s="1" t="s">
        <v>52</v>
      </c>
      <c r="P604" s="1" t="s">
        <v>55</v>
      </c>
      <c r="Q604" s="1">
        <v>13</v>
      </c>
      <c r="R604" s="1">
        <v>13</v>
      </c>
      <c r="S604" s="1">
        <v>0</v>
      </c>
      <c r="T604" s="1">
        <v>0</v>
      </c>
      <c r="U604" s="1">
        <v>0</v>
      </c>
      <c r="V604" s="1" t="str">
        <f t="shared" si="117"/>
        <v>里程返程</v>
      </c>
      <c r="W604" s="1" t="str">
        <f>"0820"</f>
        <v>0820</v>
      </c>
      <c r="X604" s="1" t="s">
        <v>35</v>
      </c>
    </row>
    <row r="605" spans="1:24" x14ac:dyDescent="0.3">
      <c r="A605" s="1" t="str">
        <f t="shared" si="118"/>
        <v>59825</v>
      </c>
      <c r="B605" s="1" t="s">
        <v>30</v>
      </c>
      <c r="C605" s="1" t="s">
        <v>31</v>
      </c>
      <c r="D605" s="1" t="str">
        <f t="shared" si="119"/>
        <v>9801</v>
      </c>
      <c r="E605" s="1" t="s">
        <v>25</v>
      </c>
      <c r="F605" s="1" t="str">
        <f>"478425130"</f>
        <v>478425130</v>
      </c>
      <c r="G605" s="1" t="s">
        <v>33</v>
      </c>
      <c r="H605" s="1" t="str">
        <f t="shared" si="115"/>
        <v>20220904</v>
      </c>
      <c r="I605" s="1" t="str">
        <f>"115720"</f>
        <v>115720</v>
      </c>
      <c r="J605" s="1" t="s">
        <v>28</v>
      </c>
      <c r="K605" s="1" t="s">
        <v>28</v>
      </c>
      <c r="L605" s="1" t="str">
        <f t="shared" si="116"/>
        <v>20220904</v>
      </c>
      <c r="M605" s="1" t="str">
        <f>"122441"</f>
        <v>122441</v>
      </c>
      <c r="N605" s="1" t="s">
        <v>52</v>
      </c>
      <c r="O605" s="1" t="s">
        <v>52</v>
      </c>
      <c r="P605" s="1" t="s">
        <v>55</v>
      </c>
      <c r="Q605" s="1">
        <v>25</v>
      </c>
      <c r="R605" s="1">
        <v>25</v>
      </c>
      <c r="S605" s="1">
        <v>0</v>
      </c>
      <c r="T605" s="1">
        <v>0</v>
      </c>
      <c r="U605" s="1">
        <v>0</v>
      </c>
      <c r="V605" s="1" t="str">
        <f t="shared" si="117"/>
        <v>里程返程</v>
      </c>
      <c r="W605" s="1" t="str">
        <f>"0620"</f>
        <v>0620</v>
      </c>
      <c r="X605" s="1" t="s">
        <v>35</v>
      </c>
    </row>
    <row r="606" spans="1:24" x14ac:dyDescent="0.3">
      <c r="A606" s="1" t="str">
        <f t="shared" si="118"/>
        <v>59825</v>
      </c>
      <c r="B606" s="1" t="s">
        <v>30</v>
      </c>
      <c r="C606" s="1" t="s">
        <v>31</v>
      </c>
      <c r="D606" s="1" t="str">
        <f>"9805"</f>
        <v>9805</v>
      </c>
      <c r="E606" s="1" t="s">
        <v>57</v>
      </c>
      <c r="F606" s="1" t="str">
        <f>"1207058837"</f>
        <v>1207058837</v>
      </c>
      <c r="G606" s="1" t="s">
        <v>96</v>
      </c>
      <c r="H606" s="1" t="str">
        <f t="shared" si="115"/>
        <v>20220904</v>
      </c>
      <c r="I606" s="1" t="str">
        <f>"132843"</f>
        <v>132843</v>
      </c>
      <c r="J606" s="1" t="s">
        <v>52</v>
      </c>
      <c r="K606" s="1" t="s">
        <v>52</v>
      </c>
      <c r="L606" s="1" t="str">
        <f t="shared" si="116"/>
        <v>20220904</v>
      </c>
      <c r="M606" s="1" t="str">
        <f>"134007"</f>
        <v>134007</v>
      </c>
      <c r="N606" s="1" t="s">
        <v>46</v>
      </c>
      <c r="O606" s="1" t="s">
        <v>28</v>
      </c>
      <c r="P606" s="1" t="s">
        <v>55</v>
      </c>
      <c r="Q606" s="1">
        <v>13</v>
      </c>
      <c r="R606" s="1">
        <v>13</v>
      </c>
      <c r="S606" s="1">
        <v>0</v>
      </c>
      <c r="T606" s="1">
        <v>0</v>
      </c>
      <c r="U606" s="1">
        <v>0</v>
      </c>
      <c r="V606" s="1" t="str">
        <f t="shared" si="117"/>
        <v>里程返程</v>
      </c>
      <c r="W606" s="1" t="str">
        <f>"2120"</f>
        <v>2120</v>
      </c>
      <c r="X606" s="1" t="s">
        <v>35</v>
      </c>
    </row>
    <row r="607" spans="1:24" x14ac:dyDescent="0.3">
      <c r="A607" s="1" t="str">
        <f t="shared" si="118"/>
        <v>59825</v>
      </c>
      <c r="B607" s="1" t="s">
        <v>30</v>
      </c>
      <c r="C607" s="1" t="s">
        <v>31</v>
      </c>
      <c r="D607" s="1" t="str">
        <f>"9805"</f>
        <v>9805</v>
      </c>
      <c r="E607" s="1" t="s">
        <v>57</v>
      </c>
      <c r="F607" s="1" t="str">
        <f>"1173174053"</f>
        <v>1173174053</v>
      </c>
      <c r="G607" s="1" t="s">
        <v>33</v>
      </c>
      <c r="H607" s="1" t="str">
        <f t="shared" si="115"/>
        <v>20220904</v>
      </c>
      <c r="I607" s="1" t="str">
        <f>"132858"</f>
        <v>132858</v>
      </c>
      <c r="J607" s="1" t="s">
        <v>52</v>
      </c>
      <c r="K607" s="1" t="s">
        <v>52</v>
      </c>
      <c r="L607" s="1" t="str">
        <f t="shared" si="116"/>
        <v>20220904</v>
      </c>
      <c r="M607" s="1" t="str">
        <f>"134015"</f>
        <v>134015</v>
      </c>
      <c r="N607" s="1" t="s">
        <v>46</v>
      </c>
      <c r="O607" s="1" t="s">
        <v>28</v>
      </c>
      <c r="P607" s="1" t="s">
        <v>55</v>
      </c>
      <c r="Q607" s="1">
        <v>25</v>
      </c>
      <c r="R607" s="1">
        <v>25</v>
      </c>
      <c r="S607" s="1">
        <v>0</v>
      </c>
      <c r="T607" s="1">
        <v>0</v>
      </c>
      <c r="U607" s="1">
        <v>0</v>
      </c>
      <c r="V607" s="1" t="str">
        <f t="shared" si="117"/>
        <v>里程返程</v>
      </c>
      <c r="W607" s="1" t="str">
        <f>"2120"</f>
        <v>2120</v>
      </c>
      <c r="X607" s="1" t="s">
        <v>35</v>
      </c>
    </row>
    <row r="608" spans="1:24" x14ac:dyDescent="0.3">
      <c r="A608" s="1" t="str">
        <f t="shared" si="118"/>
        <v>59825</v>
      </c>
      <c r="B608" s="1" t="s">
        <v>30</v>
      </c>
      <c r="C608" s="1" t="s">
        <v>31</v>
      </c>
      <c r="D608" s="1" t="str">
        <f>"9805"</f>
        <v>9805</v>
      </c>
      <c r="E608" s="1" t="s">
        <v>57</v>
      </c>
      <c r="F608" s="1" t="str">
        <f>"1172922261"</f>
        <v>1172922261</v>
      </c>
      <c r="G608" s="1" t="s">
        <v>33</v>
      </c>
      <c r="H608" s="1" t="str">
        <f t="shared" si="115"/>
        <v>20220904</v>
      </c>
      <c r="I608" s="1" t="str">
        <f>"142600"</f>
        <v>142600</v>
      </c>
      <c r="J608" s="1" t="s">
        <v>28</v>
      </c>
      <c r="K608" s="1" t="s">
        <v>28</v>
      </c>
      <c r="L608" s="1" t="str">
        <f t="shared" si="116"/>
        <v>20220904</v>
      </c>
      <c r="M608" s="1" t="str">
        <f>"144559"</f>
        <v>144559</v>
      </c>
      <c r="N608" s="1" t="s">
        <v>52</v>
      </c>
      <c r="O608" s="1" t="s">
        <v>52</v>
      </c>
      <c r="P608" s="1" t="s">
        <v>55</v>
      </c>
      <c r="Q608" s="1">
        <v>25</v>
      </c>
      <c r="R608" s="1">
        <v>25</v>
      </c>
      <c r="S608" s="1">
        <v>0</v>
      </c>
      <c r="T608" s="1">
        <v>0</v>
      </c>
      <c r="U608" s="1">
        <v>0</v>
      </c>
      <c r="V608" s="1" t="str">
        <f>"里程去程"</f>
        <v>里程去程</v>
      </c>
      <c r="W608" s="1" t="str">
        <f>"0820"</f>
        <v>0820</v>
      </c>
      <c r="X608" s="1" t="s">
        <v>35</v>
      </c>
    </row>
    <row r="609" spans="1:24" x14ac:dyDescent="0.3">
      <c r="A609" s="1" t="str">
        <f t="shared" si="118"/>
        <v>59825</v>
      </c>
      <c r="B609" s="1" t="s">
        <v>30</v>
      </c>
      <c r="C609" s="1" t="s">
        <v>31</v>
      </c>
      <c r="D609" s="1" t="str">
        <f>"9805"</f>
        <v>9805</v>
      </c>
      <c r="E609" s="1" t="s">
        <v>57</v>
      </c>
      <c r="F609" s="1" t="str">
        <f>"1292188833"</f>
        <v>1292188833</v>
      </c>
      <c r="G609" s="1" t="s">
        <v>33</v>
      </c>
      <c r="H609" s="1" t="str">
        <f t="shared" si="115"/>
        <v>20220904</v>
      </c>
      <c r="I609" s="1" t="str">
        <f>"142603"</f>
        <v>142603</v>
      </c>
      <c r="J609" s="1" t="s">
        <v>28</v>
      </c>
      <c r="K609" s="1" t="s">
        <v>28</v>
      </c>
      <c r="L609" s="1" t="str">
        <f t="shared" si="116"/>
        <v>20220904</v>
      </c>
      <c r="M609" s="1" t="str">
        <f>"144419"</f>
        <v>144419</v>
      </c>
      <c r="N609" s="1" t="s">
        <v>62</v>
      </c>
      <c r="O609" s="1" t="s">
        <v>28</v>
      </c>
      <c r="P609" s="1" t="s">
        <v>55</v>
      </c>
      <c r="Q609" s="1">
        <v>25</v>
      </c>
      <c r="R609" s="1">
        <v>0</v>
      </c>
      <c r="S609" s="1">
        <v>25</v>
      </c>
      <c r="T609" s="1">
        <v>0</v>
      </c>
      <c r="U609" s="1">
        <v>0</v>
      </c>
      <c r="V609" s="1" t="str">
        <f>"里程去程"</f>
        <v>里程去程</v>
      </c>
      <c r="W609" s="1" t="str">
        <f>"0820"</f>
        <v>0820</v>
      </c>
      <c r="X609" s="1" t="s">
        <v>35</v>
      </c>
    </row>
    <row r="610" spans="1:24" x14ac:dyDescent="0.3">
      <c r="A610" s="1" t="str">
        <f t="shared" si="118"/>
        <v>59825</v>
      </c>
      <c r="B610" s="1" t="s">
        <v>30</v>
      </c>
      <c r="C610" s="1" t="s">
        <v>31</v>
      </c>
      <c r="D610" s="1" t="str">
        <f>"9805"</f>
        <v>9805</v>
      </c>
      <c r="E610" s="1" t="s">
        <v>57</v>
      </c>
      <c r="F610" s="1" t="str">
        <f>"243440801"</f>
        <v>243440801</v>
      </c>
      <c r="G610" s="1" t="s">
        <v>33</v>
      </c>
      <c r="H610" s="1" t="str">
        <f t="shared" si="115"/>
        <v>20220904</v>
      </c>
      <c r="I610" s="1" t="str">
        <f>"142610"</f>
        <v>142610</v>
      </c>
      <c r="J610" s="1" t="s">
        <v>28</v>
      </c>
      <c r="K610" s="1" t="s">
        <v>28</v>
      </c>
      <c r="L610" s="1" t="str">
        <f t="shared" si="116"/>
        <v>20220904</v>
      </c>
      <c r="M610" s="1" t="str">
        <f>"144421"</f>
        <v>144421</v>
      </c>
      <c r="N610" s="1" t="s">
        <v>62</v>
      </c>
      <c r="O610" s="1" t="s">
        <v>28</v>
      </c>
      <c r="P610" s="1" t="s">
        <v>55</v>
      </c>
      <c r="Q610" s="1">
        <v>25</v>
      </c>
      <c r="R610" s="1">
        <v>0</v>
      </c>
      <c r="S610" s="1">
        <v>25</v>
      </c>
      <c r="T610" s="1">
        <v>0</v>
      </c>
      <c r="U610" s="1">
        <v>0</v>
      </c>
      <c r="V610" s="1" t="str">
        <f>"里程去程"</f>
        <v>里程去程</v>
      </c>
      <c r="W610" s="1" t="str">
        <f>"0820"</f>
        <v>0820</v>
      </c>
      <c r="X610" s="1" t="s">
        <v>35</v>
      </c>
    </row>
    <row r="611" spans="1:24" x14ac:dyDescent="0.3">
      <c r="A611" s="1" t="str">
        <f t="shared" si="118"/>
        <v>59825</v>
      </c>
      <c r="B611" s="1" t="s">
        <v>30</v>
      </c>
      <c r="C611" s="1" t="s">
        <v>110</v>
      </c>
      <c r="D611" s="1" t="str">
        <f>"9806"</f>
        <v>9806</v>
      </c>
      <c r="E611" s="1" t="s">
        <v>49</v>
      </c>
      <c r="F611" s="1" t="str">
        <f>"7311140026045641"</f>
        <v>7311140026045641</v>
      </c>
      <c r="G611" s="1" t="s">
        <v>33</v>
      </c>
      <c r="H611" s="1" t="str">
        <f t="shared" si="115"/>
        <v>20220904</v>
      </c>
      <c r="I611" s="1" t="str">
        <f>"161108"</f>
        <v>161108</v>
      </c>
      <c r="J611" s="1" t="s">
        <v>28</v>
      </c>
      <c r="K611" s="1" t="s">
        <v>28</v>
      </c>
      <c r="L611" s="1" t="str">
        <f t="shared" si="116"/>
        <v>20220904</v>
      </c>
      <c r="M611" s="1" t="str">
        <f>"162901"</f>
        <v>162901</v>
      </c>
      <c r="N611" s="1" t="s">
        <v>99</v>
      </c>
      <c r="O611" s="1" t="s">
        <v>28</v>
      </c>
      <c r="P611" s="1" t="s">
        <v>55</v>
      </c>
      <c r="Q611" s="1">
        <v>25</v>
      </c>
      <c r="R611" s="1">
        <v>0</v>
      </c>
      <c r="S611" s="1">
        <v>25</v>
      </c>
      <c r="T611" s="1">
        <v>0</v>
      </c>
      <c r="U611" s="1">
        <v>0</v>
      </c>
      <c r="V611" s="1" t="str">
        <f>"里程返程"</f>
        <v>里程返程</v>
      </c>
      <c r="W611" s="1" t="str">
        <f>"083B"</f>
        <v>083B</v>
      </c>
      <c r="X611" s="1" t="s">
        <v>109</v>
      </c>
    </row>
    <row r="612" spans="1:24" x14ac:dyDescent="0.3">
      <c r="A612" s="1" t="str">
        <f t="shared" si="118"/>
        <v>59825</v>
      </c>
      <c r="B612" s="1" t="s">
        <v>30</v>
      </c>
      <c r="C612" s="1" t="s">
        <v>31</v>
      </c>
      <c r="D612" s="1" t="str">
        <f>"9805"</f>
        <v>9805</v>
      </c>
      <c r="E612" s="1" t="s">
        <v>57</v>
      </c>
      <c r="F612" s="1" t="str">
        <f>"611742401"</f>
        <v>611742401</v>
      </c>
      <c r="G612" s="1" t="s">
        <v>33</v>
      </c>
      <c r="H612" s="1" t="str">
        <f t="shared" si="115"/>
        <v>20220904</v>
      </c>
      <c r="I612" s="1" t="str">
        <f>"165701"</f>
        <v>165701</v>
      </c>
      <c r="J612" s="1" t="s">
        <v>28</v>
      </c>
      <c r="K612" s="1" t="s">
        <v>28</v>
      </c>
      <c r="L612" s="1" t="str">
        <f t="shared" si="116"/>
        <v>20220904</v>
      </c>
      <c r="M612" s="1" t="str">
        <f>"170304"</f>
        <v>170304</v>
      </c>
      <c r="N612" s="1" t="s">
        <v>79</v>
      </c>
      <c r="O612" s="1" t="s">
        <v>28</v>
      </c>
      <c r="P612" s="1" t="s">
        <v>55</v>
      </c>
      <c r="Q612" s="1">
        <v>25</v>
      </c>
      <c r="R612" s="1">
        <v>25</v>
      </c>
      <c r="S612" s="1">
        <v>0</v>
      </c>
      <c r="T612" s="1">
        <v>0</v>
      </c>
      <c r="U612" s="1">
        <v>0</v>
      </c>
      <c r="V612" s="1" t="str">
        <f>"里程去程"</f>
        <v>里程去程</v>
      </c>
      <c r="W612" s="1" t="str">
        <f>"0120"</f>
        <v>0120</v>
      </c>
      <c r="X612" s="1" t="s">
        <v>35</v>
      </c>
    </row>
    <row r="613" spans="1:24" x14ac:dyDescent="0.3">
      <c r="A613" s="1" t="str">
        <f t="shared" si="118"/>
        <v>59825</v>
      </c>
      <c r="B613" s="1" t="s">
        <v>30</v>
      </c>
      <c r="C613" s="1" t="s">
        <v>31</v>
      </c>
      <c r="D613" s="1" t="str">
        <f>"9801"</f>
        <v>9801</v>
      </c>
      <c r="E613" s="1" t="s">
        <v>25</v>
      </c>
      <c r="F613" s="1" t="str">
        <f>"106334769"</f>
        <v>106334769</v>
      </c>
      <c r="G613" s="1" t="s">
        <v>26</v>
      </c>
      <c r="H613" s="1" t="str">
        <f t="shared" si="115"/>
        <v>20220904</v>
      </c>
      <c r="I613" s="1" t="str">
        <f>"185716"</f>
        <v>185716</v>
      </c>
      <c r="J613" s="1" t="s">
        <v>44</v>
      </c>
      <c r="K613" s="1" t="s">
        <v>45</v>
      </c>
      <c r="L613" s="1" t="str">
        <f t="shared" si="116"/>
        <v>20220904</v>
      </c>
      <c r="M613" s="1" t="str">
        <f>"192316"</f>
        <v>192316</v>
      </c>
      <c r="N613" s="1" t="s">
        <v>95</v>
      </c>
      <c r="O613" s="1" t="s">
        <v>28</v>
      </c>
      <c r="P613" s="1" t="s">
        <v>55</v>
      </c>
      <c r="Q613" s="1">
        <v>13</v>
      </c>
      <c r="R613" s="1">
        <v>0</v>
      </c>
      <c r="S613" s="1">
        <v>13</v>
      </c>
      <c r="T613" s="1">
        <v>0</v>
      </c>
      <c r="U613" s="1">
        <v>0</v>
      </c>
      <c r="V613" s="1" t="str">
        <f t="shared" ref="V613:V626" si="120">"里程返程"</f>
        <v>里程返程</v>
      </c>
      <c r="W613" s="1" t="str">
        <f>"2120"</f>
        <v>2120</v>
      </c>
      <c r="X613" s="1" t="s">
        <v>35</v>
      </c>
    </row>
    <row r="614" spans="1:24" x14ac:dyDescent="0.3">
      <c r="A614" s="1" t="str">
        <f t="shared" si="118"/>
        <v>59825</v>
      </c>
      <c r="B614" s="1" t="s">
        <v>30</v>
      </c>
      <c r="C614" s="1" t="s">
        <v>31</v>
      </c>
      <c r="D614" s="1" t="str">
        <f>"9801"</f>
        <v>9801</v>
      </c>
      <c r="E614" s="1" t="s">
        <v>25</v>
      </c>
      <c r="F614" s="1" t="str">
        <f>"1401854721"</f>
        <v>1401854721</v>
      </c>
      <c r="G614" s="1" t="s">
        <v>33</v>
      </c>
      <c r="H614" s="1" t="str">
        <f t="shared" si="115"/>
        <v>20220904</v>
      </c>
      <c r="I614" s="1" t="str">
        <f>"192441"</f>
        <v>192441</v>
      </c>
      <c r="J614" s="1" t="s">
        <v>28</v>
      </c>
      <c r="K614" s="1" t="s">
        <v>28</v>
      </c>
      <c r="L614" s="1" t="str">
        <f t="shared" si="116"/>
        <v>20220904</v>
      </c>
      <c r="M614" s="1" t="str">
        <f>"194709"</f>
        <v>194709</v>
      </c>
      <c r="N614" s="1" t="s">
        <v>71</v>
      </c>
      <c r="O614" s="1" t="s">
        <v>52</v>
      </c>
      <c r="P614" s="1" t="s">
        <v>55</v>
      </c>
      <c r="Q614" s="1">
        <v>25</v>
      </c>
      <c r="R614" s="1">
        <v>0</v>
      </c>
      <c r="S614" s="1">
        <v>25</v>
      </c>
      <c r="T614" s="1">
        <v>0</v>
      </c>
      <c r="U614" s="1">
        <v>0</v>
      </c>
      <c r="V614" s="1" t="str">
        <f t="shared" si="120"/>
        <v>里程返程</v>
      </c>
      <c r="W614" s="1" t="str">
        <f>"0820"</f>
        <v>0820</v>
      </c>
      <c r="X614" s="1" t="s">
        <v>35</v>
      </c>
    </row>
    <row r="615" spans="1:24" x14ac:dyDescent="0.3">
      <c r="A615" s="1" t="str">
        <f t="shared" si="118"/>
        <v>59825</v>
      </c>
      <c r="B615" s="1" t="s">
        <v>30</v>
      </c>
      <c r="C615" s="1" t="s">
        <v>31</v>
      </c>
      <c r="D615" s="1" t="str">
        <f t="shared" ref="D615:D622" si="121">"9805"</f>
        <v>9805</v>
      </c>
      <c r="E615" s="1" t="s">
        <v>57</v>
      </c>
      <c r="F615" s="1" t="str">
        <f>"669733429"</f>
        <v>669733429</v>
      </c>
      <c r="G615" s="1" t="s">
        <v>33</v>
      </c>
      <c r="H615" s="1" t="str">
        <f t="shared" si="115"/>
        <v>20220904</v>
      </c>
      <c r="I615" s="1" t="str">
        <f>"195543"</f>
        <v>195543</v>
      </c>
      <c r="J615" s="1" t="s">
        <v>52</v>
      </c>
      <c r="K615" s="1" t="s">
        <v>52</v>
      </c>
      <c r="L615" s="1" t="str">
        <f t="shared" si="116"/>
        <v>20220904</v>
      </c>
      <c r="M615" s="1" t="str">
        <f>"201818"</f>
        <v>201818</v>
      </c>
      <c r="N615" s="1" t="s">
        <v>90</v>
      </c>
      <c r="O615" s="1" t="s">
        <v>28</v>
      </c>
      <c r="P615" s="1" t="s">
        <v>55</v>
      </c>
      <c r="Q615" s="1">
        <v>25</v>
      </c>
      <c r="R615" s="1">
        <v>25</v>
      </c>
      <c r="S615" s="1">
        <v>0</v>
      </c>
      <c r="T615" s="1">
        <v>0</v>
      </c>
      <c r="U615" s="1">
        <v>0</v>
      </c>
      <c r="V615" s="1" t="str">
        <f t="shared" si="120"/>
        <v>里程返程</v>
      </c>
      <c r="W615" s="1" t="str">
        <f>"2020"</f>
        <v>2020</v>
      </c>
      <c r="X615" s="1" t="s">
        <v>35</v>
      </c>
    </row>
    <row r="616" spans="1:24" x14ac:dyDescent="0.3">
      <c r="A616" s="1" t="str">
        <f t="shared" si="118"/>
        <v>59825</v>
      </c>
      <c r="B616" s="1" t="s">
        <v>30</v>
      </c>
      <c r="C616" s="1" t="s">
        <v>31</v>
      </c>
      <c r="D616" s="1" t="str">
        <f t="shared" si="121"/>
        <v>9805</v>
      </c>
      <c r="E616" s="1" t="s">
        <v>57</v>
      </c>
      <c r="F616" s="1" t="str">
        <f>"895907685"</f>
        <v>895907685</v>
      </c>
      <c r="G616" s="1" t="s">
        <v>33</v>
      </c>
      <c r="H616" s="1" t="str">
        <f t="shared" si="115"/>
        <v>20220904</v>
      </c>
      <c r="I616" s="1" t="str">
        <f>"195546"</f>
        <v>195546</v>
      </c>
      <c r="J616" s="1" t="s">
        <v>52</v>
      </c>
      <c r="K616" s="1" t="s">
        <v>52</v>
      </c>
      <c r="L616" s="1" t="str">
        <f t="shared" si="116"/>
        <v>20220904</v>
      </c>
      <c r="M616" s="1" t="str">
        <f>"202033"</f>
        <v>202033</v>
      </c>
      <c r="N616" s="1" t="s">
        <v>28</v>
      </c>
      <c r="O616" s="1" t="s">
        <v>28</v>
      </c>
      <c r="P616" s="1" t="s">
        <v>55</v>
      </c>
      <c r="Q616" s="1">
        <v>25</v>
      </c>
      <c r="R616" s="1">
        <v>0</v>
      </c>
      <c r="S616" s="1">
        <v>25</v>
      </c>
      <c r="T616" s="1">
        <v>0</v>
      </c>
      <c r="U616" s="1">
        <v>0</v>
      </c>
      <c r="V616" s="1" t="str">
        <f t="shared" si="120"/>
        <v>里程返程</v>
      </c>
      <c r="W616" s="1" t="str">
        <f>"2120"</f>
        <v>2120</v>
      </c>
      <c r="X616" s="1" t="s">
        <v>35</v>
      </c>
    </row>
    <row r="617" spans="1:24" x14ac:dyDescent="0.3">
      <c r="A617" s="1" t="str">
        <f t="shared" si="118"/>
        <v>59825</v>
      </c>
      <c r="B617" s="1" t="s">
        <v>30</v>
      </c>
      <c r="C617" s="1" t="s">
        <v>31</v>
      </c>
      <c r="D617" s="1" t="str">
        <f t="shared" si="121"/>
        <v>9805</v>
      </c>
      <c r="E617" s="1" t="s">
        <v>57</v>
      </c>
      <c r="F617" s="1" t="str">
        <f>"1704337633"</f>
        <v>1704337633</v>
      </c>
      <c r="G617" s="1" t="s">
        <v>33</v>
      </c>
      <c r="H617" s="1" t="str">
        <f t="shared" ref="H617:H648" si="122">"20220904"</f>
        <v>20220904</v>
      </c>
      <c r="I617" s="1" t="str">
        <f>"195554"</f>
        <v>195554</v>
      </c>
      <c r="J617" s="1" t="s">
        <v>52</v>
      </c>
      <c r="K617" s="1" t="s">
        <v>52</v>
      </c>
      <c r="L617" s="1" t="str">
        <f t="shared" si="116"/>
        <v>20220904</v>
      </c>
      <c r="M617" s="1" t="str">
        <f>"202010"</f>
        <v>202010</v>
      </c>
      <c r="N617" s="1" t="s">
        <v>28</v>
      </c>
      <c r="O617" s="1" t="s">
        <v>28</v>
      </c>
      <c r="P617" s="1" t="s">
        <v>55</v>
      </c>
      <c r="Q617" s="1">
        <v>25</v>
      </c>
      <c r="R617" s="1">
        <v>25</v>
      </c>
      <c r="S617" s="1">
        <v>0</v>
      </c>
      <c r="T617" s="1">
        <v>0</v>
      </c>
      <c r="U617" s="1">
        <v>0</v>
      </c>
      <c r="V617" s="1" t="str">
        <f t="shared" si="120"/>
        <v>里程返程</v>
      </c>
      <c r="W617" s="1" t="str">
        <f>"0120"</f>
        <v>0120</v>
      </c>
      <c r="X617" s="1" t="s">
        <v>35</v>
      </c>
    </row>
    <row r="618" spans="1:24" x14ac:dyDescent="0.3">
      <c r="A618" s="1" t="str">
        <f t="shared" si="118"/>
        <v>59825</v>
      </c>
      <c r="B618" s="1" t="s">
        <v>30</v>
      </c>
      <c r="C618" s="1" t="s">
        <v>31</v>
      </c>
      <c r="D618" s="1" t="str">
        <f t="shared" si="121"/>
        <v>9805</v>
      </c>
      <c r="E618" s="1" t="s">
        <v>57</v>
      </c>
      <c r="F618" s="1" t="str">
        <f>"93410801"</f>
        <v>93410801</v>
      </c>
      <c r="G618" s="1" t="s">
        <v>33</v>
      </c>
      <c r="H618" s="1" t="str">
        <f t="shared" si="122"/>
        <v>20220904</v>
      </c>
      <c r="I618" s="1" t="str">
        <f>"195606"</f>
        <v>195606</v>
      </c>
      <c r="J618" s="1" t="s">
        <v>52</v>
      </c>
      <c r="K618" s="1" t="s">
        <v>52</v>
      </c>
      <c r="L618" s="1" t="str">
        <f t="shared" si="116"/>
        <v>20220904</v>
      </c>
      <c r="M618" s="1" t="str">
        <f>"202027"</f>
        <v>202027</v>
      </c>
      <c r="N618" s="1" t="s">
        <v>28</v>
      </c>
      <c r="O618" s="1" t="s">
        <v>28</v>
      </c>
      <c r="P618" s="1" t="s">
        <v>55</v>
      </c>
      <c r="Q618" s="1">
        <v>25</v>
      </c>
      <c r="R618" s="1">
        <v>25</v>
      </c>
      <c r="S618" s="1">
        <v>0</v>
      </c>
      <c r="T618" s="1">
        <v>0</v>
      </c>
      <c r="U618" s="1">
        <v>0</v>
      </c>
      <c r="V618" s="1" t="str">
        <f t="shared" si="120"/>
        <v>里程返程</v>
      </c>
      <c r="W618" s="1" t="str">
        <f>"2320"</f>
        <v>2320</v>
      </c>
      <c r="X618" s="1" t="s">
        <v>35</v>
      </c>
    </row>
    <row r="619" spans="1:24" x14ac:dyDescent="0.3">
      <c r="A619" s="1" t="str">
        <f t="shared" si="118"/>
        <v>59825</v>
      </c>
      <c r="B619" s="1" t="s">
        <v>30</v>
      </c>
      <c r="C619" s="1" t="s">
        <v>31</v>
      </c>
      <c r="D619" s="1" t="str">
        <f t="shared" si="121"/>
        <v>9805</v>
      </c>
      <c r="E619" s="1" t="s">
        <v>57</v>
      </c>
      <c r="F619" s="1" t="str">
        <f>"155826081"</f>
        <v>155826081</v>
      </c>
      <c r="G619" s="1" t="s">
        <v>33</v>
      </c>
      <c r="H619" s="1" t="str">
        <f t="shared" si="122"/>
        <v>20220904</v>
      </c>
      <c r="I619" s="1" t="str">
        <f>"200515"</f>
        <v>200515</v>
      </c>
      <c r="J619" s="1" t="s">
        <v>62</v>
      </c>
      <c r="K619" s="1" t="s">
        <v>28</v>
      </c>
      <c r="L619" s="1" t="str">
        <f t="shared" si="116"/>
        <v>20220904</v>
      </c>
      <c r="M619" s="1" t="str">
        <f>"202052"</f>
        <v>202052</v>
      </c>
      <c r="N619" s="1" t="s">
        <v>28</v>
      </c>
      <c r="O619" s="1" t="s">
        <v>28</v>
      </c>
      <c r="P619" s="1" t="s">
        <v>55</v>
      </c>
      <c r="Q619" s="1">
        <v>25</v>
      </c>
      <c r="R619" s="1">
        <v>0</v>
      </c>
      <c r="S619" s="1">
        <v>25</v>
      </c>
      <c r="T619" s="1">
        <v>0</v>
      </c>
      <c r="U619" s="1">
        <v>0</v>
      </c>
      <c r="V619" s="1" t="str">
        <f t="shared" si="120"/>
        <v>里程返程</v>
      </c>
      <c r="W619" s="1" t="str">
        <f>"2120"</f>
        <v>2120</v>
      </c>
      <c r="X619" s="1" t="s">
        <v>35</v>
      </c>
    </row>
    <row r="620" spans="1:24" x14ac:dyDescent="0.3">
      <c r="A620" s="1" t="str">
        <f t="shared" si="118"/>
        <v>59825</v>
      </c>
      <c r="B620" s="1" t="s">
        <v>30</v>
      </c>
      <c r="C620" s="1" t="s">
        <v>31</v>
      </c>
      <c r="D620" s="1" t="str">
        <f t="shared" si="121"/>
        <v>9805</v>
      </c>
      <c r="E620" s="1" t="s">
        <v>57</v>
      </c>
      <c r="F620" s="1" t="str">
        <f>"834038049"</f>
        <v>834038049</v>
      </c>
      <c r="G620" s="1" t="s">
        <v>33</v>
      </c>
      <c r="H620" s="1" t="str">
        <f t="shared" si="122"/>
        <v>20220904</v>
      </c>
      <c r="I620" s="1" t="str">
        <f>"200519"</f>
        <v>200519</v>
      </c>
      <c r="J620" s="1" t="s">
        <v>62</v>
      </c>
      <c r="K620" s="1" t="s">
        <v>28</v>
      </c>
      <c r="L620" s="1" t="str">
        <f t="shared" si="116"/>
        <v>20220904</v>
      </c>
      <c r="M620" s="1" t="str">
        <f>"202041"</f>
        <v>202041</v>
      </c>
      <c r="N620" s="1" t="s">
        <v>28</v>
      </c>
      <c r="O620" s="1" t="s">
        <v>28</v>
      </c>
      <c r="P620" s="1" t="s">
        <v>55</v>
      </c>
      <c r="Q620" s="1">
        <v>25</v>
      </c>
      <c r="R620" s="1">
        <v>0</v>
      </c>
      <c r="S620" s="1">
        <v>25</v>
      </c>
      <c r="T620" s="1">
        <v>0</v>
      </c>
      <c r="U620" s="1">
        <v>0</v>
      </c>
      <c r="V620" s="1" t="str">
        <f t="shared" si="120"/>
        <v>里程返程</v>
      </c>
      <c r="W620" s="1" t="str">
        <f>"2120"</f>
        <v>2120</v>
      </c>
      <c r="X620" s="1" t="s">
        <v>35</v>
      </c>
    </row>
    <row r="621" spans="1:24" x14ac:dyDescent="0.3">
      <c r="A621" s="1" t="str">
        <f t="shared" si="118"/>
        <v>59825</v>
      </c>
      <c r="B621" s="1" t="s">
        <v>30</v>
      </c>
      <c r="C621" s="1" t="s">
        <v>31</v>
      </c>
      <c r="D621" s="1" t="str">
        <f t="shared" si="121"/>
        <v>9805</v>
      </c>
      <c r="E621" s="1" t="s">
        <v>57</v>
      </c>
      <c r="F621" s="1" t="str">
        <f>"892732900"</f>
        <v>892732900</v>
      </c>
      <c r="G621" s="1" t="s">
        <v>26</v>
      </c>
      <c r="H621" s="1" t="str">
        <f t="shared" si="122"/>
        <v>20220904</v>
      </c>
      <c r="I621" s="1" t="str">
        <f>"200520"</f>
        <v>200520</v>
      </c>
      <c r="J621" s="1" t="s">
        <v>62</v>
      </c>
      <c r="K621" s="1" t="s">
        <v>28</v>
      </c>
      <c r="L621" s="1" t="str">
        <f t="shared" si="116"/>
        <v>20220904</v>
      </c>
      <c r="M621" s="1" t="str">
        <f>"202039"</f>
        <v>202039</v>
      </c>
      <c r="N621" s="1" t="s">
        <v>28</v>
      </c>
      <c r="O621" s="1" t="s">
        <v>28</v>
      </c>
      <c r="P621" s="1" t="s">
        <v>55</v>
      </c>
      <c r="Q621" s="1">
        <v>13</v>
      </c>
      <c r="R621" s="1">
        <v>0</v>
      </c>
      <c r="S621" s="1">
        <v>13</v>
      </c>
      <c r="T621" s="1">
        <v>0</v>
      </c>
      <c r="U621" s="1">
        <v>0</v>
      </c>
      <c r="V621" s="1" t="str">
        <f t="shared" si="120"/>
        <v>里程返程</v>
      </c>
      <c r="W621" s="1" t="str">
        <f>"2120"</f>
        <v>2120</v>
      </c>
      <c r="X621" s="1" t="s">
        <v>35</v>
      </c>
    </row>
    <row r="622" spans="1:24" x14ac:dyDescent="0.3">
      <c r="A622" s="1" t="str">
        <f t="shared" si="118"/>
        <v>59825</v>
      </c>
      <c r="B622" s="1" t="s">
        <v>30</v>
      </c>
      <c r="C622" s="1" t="s">
        <v>31</v>
      </c>
      <c r="D622" s="1" t="str">
        <f t="shared" si="121"/>
        <v>9805</v>
      </c>
      <c r="E622" s="1" t="s">
        <v>57</v>
      </c>
      <c r="F622" s="1" t="str">
        <f>"3158578442"</f>
        <v>3158578442</v>
      </c>
      <c r="G622" s="1" t="s">
        <v>33</v>
      </c>
      <c r="H622" s="1" t="str">
        <f t="shared" si="122"/>
        <v>20220904</v>
      </c>
      <c r="I622" s="1" t="str">
        <f>"200527"</f>
        <v>200527</v>
      </c>
      <c r="J622" s="1" t="s">
        <v>62</v>
      </c>
      <c r="K622" s="1" t="s">
        <v>28</v>
      </c>
      <c r="L622" s="1" t="str">
        <f t="shared" ref="L622:L653" si="123">"20220904"</f>
        <v>20220904</v>
      </c>
      <c r="M622" s="1" t="str">
        <f>"202036"</f>
        <v>202036</v>
      </c>
      <c r="N622" s="1" t="s">
        <v>28</v>
      </c>
      <c r="O622" s="1" t="s">
        <v>28</v>
      </c>
      <c r="P622" s="1" t="s">
        <v>55</v>
      </c>
      <c r="Q622" s="1">
        <v>25</v>
      </c>
      <c r="R622" s="1">
        <v>0</v>
      </c>
      <c r="S622" s="1">
        <v>25</v>
      </c>
      <c r="T622" s="1">
        <v>0</v>
      </c>
      <c r="U622" s="1">
        <v>0</v>
      </c>
      <c r="V622" s="1" t="str">
        <f t="shared" si="120"/>
        <v>里程返程</v>
      </c>
      <c r="W622" s="1" t="str">
        <f>"2120"</f>
        <v>2120</v>
      </c>
      <c r="X622" s="1" t="s">
        <v>35</v>
      </c>
    </row>
    <row r="623" spans="1:24" x14ac:dyDescent="0.3">
      <c r="A623" s="1" t="str">
        <f t="shared" ref="A623:A656" si="124">"59828"</f>
        <v>59828</v>
      </c>
      <c r="B623" s="1" t="s">
        <v>23</v>
      </c>
      <c r="C623" s="1" t="s">
        <v>24</v>
      </c>
      <c r="D623" s="1" t="str">
        <f t="shared" ref="D623:D656" si="125">"9801"</f>
        <v>9801</v>
      </c>
      <c r="E623" s="1" t="s">
        <v>25</v>
      </c>
      <c r="F623" s="1" t="str">
        <f>"32780D0344880400C834002000000015"</f>
        <v>32780D0344880400C834002000000015</v>
      </c>
      <c r="G623" s="1" t="s">
        <v>26</v>
      </c>
      <c r="H623" s="1" t="str">
        <f t="shared" si="122"/>
        <v>20220904</v>
      </c>
      <c r="I623" s="1" t="str">
        <f>"063902"</f>
        <v>063902</v>
      </c>
      <c r="J623" s="1" t="s">
        <v>41</v>
      </c>
      <c r="K623" s="1" t="s">
        <v>28</v>
      </c>
      <c r="L623" s="1" t="str">
        <f t="shared" si="123"/>
        <v>20220904</v>
      </c>
      <c r="M623" s="1" t="str">
        <f>"065749"</f>
        <v>065749</v>
      </c>
      <c r="N623" s="1" t="s">
        <v>65</v>
      </c>
      <c r="O623" s="1" t="s">
        <v>52</v>
      </c>
      <c r="P623" s="1" t="s">
        <v>68</v>
      </c>
      <c r="Q623" s="1">
        <v>13</v>
      </c>
      <c r="R623" s="1">
        <v>0</v>
      </c>
      <c r="S623" s="1">
        <v>0</v>
      </c>
      <c r="T623" s="1">
        <v>13</v>
      </c>
      <c r="U623" s="1">
        <v>0</v>
      </c>
      <c r="V623" s="1" t="str">
        <f t="shared" si="120"/>
        <v>里程返程</v>
      </c>
      <c r="W623" s="1" t="str">
        <f>"0020"</f>
        <v>0020</v>
      </c>
      <c r="X623" s="1" t="s">
        <v>29</v>
      </c>
    </row>
    <row r="624" spans="1:24" x14ac:dyDescent="0.3">
      <c r="A624" s="1" t="str">
        <f t="shared" si="124"/>
        <v>59828</v>
      </c>
      <c r="B624" s="1" t="s">
        <v>23</v>
      </c>
      <c r="C624" s="1" t="s">
        <v>24</v>
      </c>
      <c r="D624" s="1" t="str">
        <f t="shared" si="125"/>
        <v>9801</v>
      </c>
      <c r="E624" s="1" t="s">
        <v>25</v>
      </c>
      <c r="F624" s="1" t="str">
        <f>"F282E40195880400C821002000000015"</f>
        <v>F282E40195880400C821002000000015</v>
      </c>
      <c r="G624" s="1" t="s">
        <v>58</v>
      </c>
      <c r="H624" s="1" t="str">
        <f t="shared" si="122"/>
        <v>20220904</v>
      </c>
      <c r="I624" s="1" t="str">
        <f>"072521"</f>
        <v>072521</v>
      </c>
      <c r="J624" s="1" t="s">
        <v>28</v>
      </c>
      <c r="K624" s="1" t="s">
        <v>28</v>
      </c>
      <c r="L624" s="1" t="str">
        <f t="shared" si="123"/>
        <v>20220904</v>
      </c>
      <c r="M624" s="1" t="str">
        <f>"074507"</f>
        <v>074507</v>
      </c>
      <c r="N624" s="1" t="s">
        <v>65</v>
      </c>
      <c r="O624" s="1" t="s">
        <v>52</v>
      </c>
      <c r="P624" s="1" t="s">
        <v>55</v>
      </c>
      <c r="Q624" s="1">
        <v>25</v>
      </c>
      <c r="R624" s="1">
        <v>0</v>
      </c>
      <c r="S624" s="1">
        <v>25</v>
      </c>
      <c r="T624" s="1">
        <v>0</v>
      </c>
      <c r="U624" s="1">
        <v>0</v>
      </c>
      <c r="V624" s="1" t="str">
        <f t="shared" si="120"/>
        <v>里程返程</v>
      </c>
      <c r="W624" s="1" t="str">
        <f>"0620"</f>
        <v>0620</v>
      </c>
      <c r="X624" s="1" t="s">
        <v>29</v>
      </c>
    </row>
    <row r="625" spans="1:24" x14ac:dyDescent="0.3">
      <c r="A625" s="1" t="str">
        <f t="shared" si="124"/>
        <v>59828</v>
      </c>
      <c r="B625" s="1" t="s">
        <v>23</v>
      </c>
      <c r="C625" s="1" t="s">
        <v>24</v>
      </c>
      <c r="D625" s="1" t="str">
        <f t="shared" si="125"/>
        <v>9801</v>
      </c>
      <c r="E625" s="1" t="s">
        <v>25</v>
      </c>
      <c r="F625" s="1" t="str">
        <f>"222FE702E8880400C834002000000015"</f>
        <v>222FE702E8880400C834002000000015</v>
      </c>
      <c r="G625" s="1" t="s">
        <v>74</v>
      </c>
      <c r="H625" s="1" t="str">
        <f t="shared" si="122"/>
        <v>20220904</v>
      </c>
      <c r="I625" s="1" t="str">
        <f>"072533"</f>
        <v>072533</v>
      </c>
      <c r="J625" s="1" t="s">
        <v>28</v>
      </c>
      <c r="K625" s="1" t="s">
        <v>28</v>
      </c>
      <c r="L625" s="1" t="str">
        <f t="shared" si="123"/>
        <v>20220904</v>
      </c>
      <c r="M625" s="1" t="str">
        <f>"075024"</f>
        <v>075024</v>
      </c>
      <c r="N625" s="1" t="s">
        <v>60</v>
      </c>
      <c r="O625" s="1" t="s">
        <v>52</v>
      </c>
      <c r="P625" s="1" t="s">
        <v>68</v>
      </c>
      <c r="Q625" s="1">
        <v>13</v>
      </c>
      <c r="R625" s="1">
        <v>0</v>
      </c>
      <c r="S625" s="1">
        <v>0</v>
      </c>
      <c r="T625" s="1">
        <v>13</v>
      </c>
      <c r="U625" s="1">
        <v>0</v>
      </c>
      <c r="V625" s="1" t="str">
        <f t="shared" si="120"/>
        <v>里程返程</v>
      </c>
      <c r="W625" s="1" t="str">
        <f>"0020"</f>
        <v>0020</v>
      </c>
      <c r="X625" s="1" t="s">
        <v>29</v>
      </c>
    </row>
    <row r="626" spans="1:24" x14ac:dyDescent="0.3">
      <c r="A626" s="1" t="str">
        <f t="shared" si="124"/>
        <v>59828</v>
      </c>
      <c r="B626" s="1" t="s">
        <v>23</v>
      </c>
      <c r="C626" s="1" t="s">
        <v>24</v>
      </c>
      <c r="D626" s="1" t="str">
        <f t="shared" si="125"/>
        <v>9801</v>
      </c>
      <c r="E626" s="1" t="s">
        <v>25</v>
      </c>
      <c r="F626" s="1" t="str">
        <f>"02A2BB0219880400C834002000000015"</f>
        <v>02A2BB0219880400C834002000000015</v>
      </c>
      <c r="G626" s="1" t="s">
        <v>26</v>
      </c>
      <c r="H626" s="1" t="str">
        <f t="shared" si="122"/>
        <v>20220904</v>
      </c>
      <c r="I626" s="1" t="str">
        <f>"074610"</f>
        <v>074610</v>
      </c>
      <c r="J626" s="1" t="s">
        <v>72</v>
      </c>
      <c r="K626" s="1" t="s">
        <v>52</v>
      </c>
      <c r="L626" s="1" t="str">
        <f t="shared" si="123"/>
        <v>20220904</v>
      </c>
      <c r="M626" s="1" t="str">
        <f>"075354"</f>
        <v>075354</v>
      </c>
      <c r="N626" s="1" t="s">
        <v>52</v>
      </c>
      <c r="O626" s="1" t="s">
        <v>52</v>
      </c>
      <c r="P626" s="1" t="s">
        <v>68</v>
      </c>
      <c r="Q626" s="1">
        <v>13</v>
      </c>
      <c r="R626" s="1">
        <v>0</v>
      </c>
      <c r="S626" s="1">
        <v>0</v>
      </c>
      <c r="T626" s="1">
        <v>13</v>
      </c>
      <c r="U626" s="1">
        <v>0</v>
      </c>
      <c r="V626" s="1" t="str">
        <f t="shared" si="120"/>
        <v>里程返程</v>
      </c>
      <c r="W626" s="1" t="str">
        <f>"0020"</f>
        <v>0020</v>
      </c>
      <c r="X626" s="1" t="s">
        <v>29</v>
      </c>
    </row>
    <row r="627" spans="1:24" x14ac:dyDescent="0.3">
      <c r="A627" s="1" t="str">
        <f t="shared" si="124"/>
        <v>59828</v>
      </c>
      <c r="B627" s="1" t="s">
        <v>23</v>
      </c>
      <c r="C627" s="1" t="s">
        <v>24</v>
      </c>
      <c r="D627" s="1" t="str">
        <f t="shared" si="125"/>
        <v>9801</v>
      </c>
      <c r="E627" s="1" t="s">
        <v>25</v>
      </c>
      <c r="F627" s="1" t="str">
        <f>"02A2BB0219880400C834002000000015"</f>
        <v>02A2BB0219880400C834002000000015</v>
      </c>
      <c r="G627" s="1" t="s">
        <v>26</v>
      </c>
      <c r="H627" s="1" t="str">
        <f t="shared" si="122"/>
        <v>20220904</v>
      </c>
      <c r="I627" s="1" t="str">
        <f>"075435"</f>
        <v>075435</v>
      </c>
      <c r="J627" s="1" t="s">
        <v>52</v>
      </c>
      <c r="K627" s="1" t="s">
        <v>52</v>
      </c>
      <c r="L627" s="1" t="str">
        <f t="shared" si="123"/>
        <v>20220904</v>
      </c>
      <c r="M627" s="1" t="str">
        <f>"085717"</f>
        <v>085717</v>
      </c>
      <c r="N627" s="1" t="s">
        <v>44</v>
      </c>
      <c r="O627" s="1" t="s">
        <v>45</v>
      </c>
      <c r="P627" s="1" t="s">
        <v>68</v>
      </c>
      <c r="Q627" s="1">
        <v>25</v>
      </c>
      <c r="R627" s="1">
        <v>0</v>
      </c>
      <c r="S627" s="1">
        <v>0</v>
      </c>
      <c r="T627" s="1">
        <v>25</v>
      </c>
      <c r="U627" s="1">
        <v>0</v>
      </c>
      <c r="V627" s="1" t="str">
        <f>"里程去程"</f>
        <v>里程去程</v>
      </c>
      <c r="W627" s="1" t="str">
        <f>"0020"</f>
        <v>0020</v>
      </c>
      <c r="X627" s="1" t="s">
        <v>29</v>
      </c>
    </row>
    <row r="628" spans="1:24" x14ac:dyDescent="0.3">
      <c r="A628" s="1" t="str">
        <f t="shared" si="124"/>
        <v>59828</v>
      </c>
      <c r="B628" s="1" t="s">
        <v>23</v>
      </c>
      <c r="C628" s="1" t="s">
        <v>24</v>
      </c>
      <c r="D628" s="1" t="str">
        <f t="shared" si="125"/>
        <v>9801</v>
      </c>
      <c r="E628" s="1" t="s">
        <v>25</v>
      </c>
      <c r="F628" s="1" t="str">
        <f>"1103370693"</f>
        <v>1103370693</v>
      </c>
      <c r="G628" s="1" t="s">
        <v>33</v>
      </c>
      <c r="H628" s="1" t="str">
        <f t="shared" si="122"/>
        <v>20220904</v>
      </c>
      <c r="I628" s="1" t="str">
        <f>"082842"</f>
        <v>082842</v>
      </c>
      <c r="J628" s="1" t="s">
        <v>27</v>
      </c>
      <c r="K628" s="1" t="s">
        <v>28</v>
      </c>
      <c r="L628" s="1" t="str">
        <f t="shared" si="123"/>
        <v>20220904</v>
      </c>
      <c r="M628" s="1" t="str">
        <f>"085728"</f>
        <v>085728</v>
      </c>
      <c r="N628" s="1" t="s">
        <v>44</v>
      </c>
      <c r="O628" s="1" t="s">
        <v>45</v>
      </c>
      <c r="P628" s="1" t="s">
        <v>55</v>
      </c>
      <c r="Q628" s="1">
        <v>25</v>
      </c>
      <c r="R628" s="1">
        <v>0</v>
      </c>
      <c r="S628" s="1">
        <v>25</v>
      </c>
      <c r="T628" s="1">
        <v>0</v>
      </c>
      <c r="U628" s="1">
        <v>0</v>
      </c>
      <c r="V628" s="1" t="str">
        <f>"里程去程"</f>
        <v>里程去程</v>
      </c>
      <c r="W628" s="1" t="str">
        <f>"0820"</f>
        <v>0820</v>
      </c>
      <c r="X628" s="1" t="s">
        <v>35</v>
      </c>
    </row>
    <row r="629" spans="1:24" x14ac:dyDescent="0.3">
      <c r="A629" s="1" t="str">
        <f t="shared" si="124"/>
        <v>59828</v>
      </c>
      <c r="B629" s="1" t="s">
        <v>23</v>
      </c>
      <c r="C629" s="1" t="s">
        <v>24</v>
      </c>
      <c r="D629" s="1" t="str">
        <f t="shared" si="125"/>
        <v>9801</v>
      </c>
      <c r="E629" s="1" t="s">
        <v>25</v>
      </c>
      <c r="F629" s="1" t="str">
        <f>"02A2BB0219880400C834002000000015"</f>
        <v>02A2BB0219880400C834002000000015</v>
      </c>
      <c r="G629" s="1" t="s">
        <v>26</v>
      </c>
      <c r="H629" s="1" t="str">
        <f t="shared" si="122"/>
        <v>20220904</v>
      </c>
      <c r="I629" s="1" t="str">
        <f>"085838"</f>
        <v>085838</v>
      </c>
      <c r="J629" s="1" t="s">
        <v>52</v>
      </c>
      <c r="K629" s="1" t="s">
        <v>52</v>
      </c>
      <c r="L629" s="1" t="str">
        <f t="shared" si="123"/>
        <v>20220904</v>
      </c>
      <c r="M629" s="1" t="str">
        <f>"091036"</f>
        <v>091036</v>
      </c>
      <c r="N629" s="1" t="s">
        <v>71</v>
      </c>
      <c r="O629" s="1" t="s">
        <v>52</v>
      </c>
      <c r="P629" s="1" t="s">
        <v>68</v>
      </c>
      <c r="Q629" s="1">
        <v>13</v>
      </c>
      <c r="R629" s="1">
        <v>0</v>
      </c>
      <c r="S629" s="1">
        <v>0</v>
      </c>
      <c r="T629" s="1">
        <v>13</v>
      </c>
      <c r="U629" s="1">
        <v>0</v>
      </c>
      <c r="V629" s="1" t="str">
        <f>"里程去程"</f>
        <v>里程去程</v>
      </c>
      <c r="W629" s="1" t="str">
        <f>"0020"</f>
        <v>0020</v>
      </c>
      <c r="X629" s="1" t="s">
        <v>29</v>
      </c>
    </row>
    <row r="630" spans="1:24" x14ac:dyDescent="0.3">
      <c r="A630" s="1" t="str">
        <f t="shared" si="124"/>
        <v>59828</v>
      </c>
      <c r="B630" s="1" t="s">
        <v>23</v>
      </c>
      <c r="C630" s="1" t="s">
        <v>24</v>
      </c>
      <c r="D630" s="1" t="str">
        <f t="shared" si="125"/>
        <v>9801</v>
      </c>
      <c r="E630" s="1" t="s">
        <v>25</v>
      </c>
      <c r="F630" s="1" t="str">
        <f>"E287371B49880400C817002000000021"</f>
        <v>E287371B49880400C817002000000021</v>
      </c>
      <c r="G630" s="1" t="s">
        <v>59</v>
      </c>
      <c r="H630" s="1" t="str">
        <f t="shared" si="122"/>
        <v>20220904</v>
      </c>
      <c r="I630" s="1" t="str">
        <f>"093501"</f>
        <v>093501</v>
      </c>
      <c r="J630" s="1" t="s">
        <v>27</v>
      </c>
      <c r="K630" s="1" t="s">
        <v>28</v>
      </c>
      <c r="L630" s="1" t="str">
        <f t="shared" si="123"/>
        <v>20220904</v>
      </c>
      <c r="M630" s="1" t="str">
        <f>"100205"</f>
        <v>100205</v>
      </c>
      <c r="N630" s="1" t="s">
        <v>44</v>
      </c>
      <c r="O630" s="1" t="s">
        <v>45</v>
      </c>
      <c r="P630" s="1" t="s">
        <v>55</v>
      </c>
      <c r="Q630" s="1">
        <v>25</v>
      </c>
      <c r="R630" s="1">
        <v>0</v>
      </c>
      <c r="S630" s="1">
        <v>25</v>
      </c>
      <c r="T630" s="1">
        <v>0</v>
      </c>
      <c r="U630" s="1">
        <v>0</v>
      </c>
      <c r="V630" s="1" t="str">
        <f>"里程去程"</f>
        <v>里程去程</v>
      </c>
      <c r="W630" s="1" t="str">
        <f>"0620"</f>
        <v>0620</v>
      </c>
      <c r="X630" s="1" t="s">
        <v>29</v>
      </c>
    </row>
    <row r="631" spans="1:24" x14ac:dyDescent="0.3">
      <c r="A631" s="1" t="str">
        <f t="shared" si="124"/>
        <v>59828</v>
      </c>
      <c r="B631" s="1" t="s">
        <v>23</v>
      </c>
      <c r="C631" s="1" t="s">
        <v>24</v>
      </c>
      <c r="D631" s="1" t="str">
        <f t="shared" si="125"/>
        <v>9801</v>
      </c>
      <c r="E631" s="1" t="s">
        <v>25</v>
      </c>
      <c r="F631" s="1" t="str">
        <f>"9582CD9E448804004326529300190710"</f>
        <v>9582CD9E448804004326529300190710</v>
      </c>
      <c r="G631" s="1" t="s">
        <v>58</v>
      </c>
      <c r="H631" s="1" t="str">
        <f t="shared" si="122"/>
        <v>20220904</v>
      </c>
      <c r="I631" s="1" t="str">
        <f>"125426"</f>
        <v>125426</v>
      </c>
      <c r="J631" s="1" t="s">
        <v>28</v>
      </c>
      <c r="K631" s="1" t="s">
        <v>28</v>
      </c>
      <c r="L631" s="1" t="str">
        <f t="shared" si="123"/>
        <v>20220904</v>
      </c>
      <c r="M631" s="1" t="str">
        <f>"132705"</f>
        <v>132705</v>
      </c>
      <c r="N631" s="1" t="s">
        <v>52</v>
      </c>
      <c r="O631" s="1" t="s">
        <v>52</v>
      </c>
      <c r="P631" s="1" t="s">
        <v>55</v>
      </c>
      <c r="Q631" s="1">
        <v>25</v>
      </c>
      <c r="R631" s="1">
        <v>0</v>
      </c>
      <c r="S631" s="1">
        <v>25</v>
      </c>
      <c r="T631" s="1">
        <v>0</v>
      </c>
      <c r="U631" s="1">
        <v>0</v>
      </c>
      <c r="V631" s="1" t="str">
        <f t="shared" ref="V631:V656" si="126">"里程返程"</f>
        <v>里程返程</v>
      </c>
      <c r="W631" s="1" t="str">
        <f>"0620"</f>
        <v>0620</v>
      </c>
      <c r="X631" s="1" t="s">
        <v>29</v>
      </c>
    </row>
    <row r="632" spans="1:24" x14ac:dyDescent="0.3">
      <c r="A632" s="1" t="str">
        <f t="shared" si="124"/>
        <v>59828</v>
      </c>
      <c r="B632" s="1" t="s">
        <v>23</v>
      </c>
      <c r="C632" s="1" t="s">
        <v>24</v>
      </c>
      <c r="D632" s="1" t="str">
        <f t="shared" si="125"/>
        <v>9801</v>
      </c>
      <c r="E632" s="1" t="s">
        <v>25</v>
      </c>
      <c r="F632" s="1" t="str">
        <f>"1240779889"</f>
        <v>1240779889</v>
      </c>
      <c r="G632" s="1" t="s">
        <v>33</v>
      </c>
      <c r="H632" s="1" t="str">
        <f t="shared" si="122"/>
        <v>20220904</v>
      </c>
      <c r="I632" s="1" t="str">
        <f>"143220"</f>
        <v>143220</v>
      </c>
      <c r="J632" s="1" t="s">
        <v>44</v>
      </c>
      <c r="K632" s="1" t="s">
        <v>45</v>
      </c>
      <c r="L632" s="1" t="str">
        <f t="shared" si="123"/>
        <v>20220904</v>
      </c>
      <c r="M632" s="1" t="str">
        <f>"145132"</f>
        <v>145132</v>
      </c>
      <c r="N632" s="1" t="s">
        <v>28</v>
      </c>
      <c r="O632" s="1" t="s">
        <v>28</v>
      </c>
      <c r="P632" s="1" t="s">
        <v>55</v>
      </c>
      <c r="Q632" s="1">
        <v>25</v>
      </c>
      <c r="R632" s="1">
        <v>25</v>
      </c>
      <c r="S632" s="1">
        <v>0</v>
      </c>
      <c r="T632" s="1">
        <v>0</v>
      </c>
      <c r="U632" s="1">
        <v>0</v>
      </c>
      <c r="V632" s="1" t="str">
        <f t="shared" si="126"/>
        <v>里程返程</v>
      </c>
      <c r="W632" s="1" t="str">
        <f>"2020"</f>
        <v>2020</v>
      </c>
      <c r="X632" s="1" t="s">
        <v>35</v>
      </c>
    </row>
    <row r="633" spans="1:24" x14ac:dyDescent="0.3">
      <c r="A633" s="1" t="str">
        <f t="shared" si="124"/>
        <v>59828</v>
      </c>
      <c r="B633" s="1" t="s">
        <v>23</v>
      </c>
      <c r="C633" s="1" t="s">
        <v>24</v>
      </c>
      <c r="D633" s="1" t="str">
        <f t="shared" si="125"/>
        <v>9801</v>
      </c>
      <c r="E633" s="1" t="s">
        <v>25</v>
      </c>
      <c r="F633" s="1" t="str">
        <f>"2802894415"</f>
        <v>2802894415</v>
      </c>
      <c r="G633" s="1" t="s">
        <v>33</v>
      </c>
      <c r="H633" s="1" t="str">
        <f t="shared" si="122"/>
        <v>20220904</v>
      </c>
      <c r="I633" s="1" t="str">
        <f>"143223"</f>
        <v>143223</v>
      </c>
      <c r="J633" s="1" t="s">
        <v>44</v>
      </c>
      <c r="K633" s="1" t="s">
        <v>45</v>
      </c>
      <c r="L633" s="1" t="str">
        <f t="shared" si="123"/>
        <v>20220904</v>
      </c>
      <c r="M633" s="1" t="str">
        <f>"145127"</f>
        <v>145127</v>
      </c>
      <c r="N633" s="1" t="s">
        <v>28</v>
      </c>
      <c r="O633" s="1" t="s">
        <v>28</v>
      </c>
      <c r="P633" s="1" t="s">
        <v>55</v>
      </c>
      <c r="Q633" s="1">
        <v>25</v>
      </c>
      <c r="R633" s="1">
        <v>25</v>
      </c>
      <c r="S633" s="1">
        <v>0</v>
      </c>
      <c r="T633" s="1">
        <v>0</v>
      </c>
      <c r="U633" s="1">
        <v>0</v>
      </c>
      <c r="V633" s="1" t="str">
        <f t="shared" si="126"/>
        <v>里程返程</v>
      </c>
      <c r="W633" s="1" t="str">
        <f>"2020"</f>
        <v>2020</v>
      </c>
      <c r="X633" s="1" t="s">
        <v>35</v>
      </c>
    </row>
    <row r="634" spans="1:24" x14ac:dyDescent="0.3">
      <c r="A634" s="1" t="str">
        <f t="shared" si="124"/>
        <v>59828</v>
      </c>
      <c r="B634" s="1" t="s">
        <v>23</v>
      </c>
      <c r="C634" s="1" t="s">
        <v>24</v>
      </c>
      <c r="D634" s="1" t="str">
        <f t="shared" si="125"/>
        <v>9801</v>
      </c>
      <c r="E634" s="1" t="s">
        <v>25</v>
      </c>
      <c r="F634" s="1" t="str">
        <f>"1207803793"</f>
        <v>1207803793</v>
      </c>
      <c r="G634" s="1" t="s">
        <v>33</v>
      </c>
      <c r="H634" s="1" t="str">
        <f t="shared" si="122"/>
        <v>20220904</v>
      </c>
      <c r="I634" s="1" t="str">
        <f>"143225"</f>
        <v>143225</v>
      </c>
      <c r="J634" s="1" t="s">
        <v>44</v>
      </c>
      <c r="K634" s="1" t="s">
        <v>45</v>
      </c>
      <c r="L634" s="1" t="str">
        <f t="shared" si="123"/>
        <v>20220904</v>
      </c>
      <c r="M634" s="1" t="str">
        <f>"145126"</f>
        <v>145126</v>
      </c>
      <c r="N634" s="1" t="s">
        <v>28</v>
      </c>
      <c r="O634" s="1" t="s">
        <v>28</v>
      </c>
      <c r="P634" s="1" t="s">
        <v>55</v>
      </c>
      <c r="Q634" s="1">
        <v>25</v>
      </c>
      <c r="R634" s="1">
        <v>25</v>
      </c>
      <c r="S634" s="1">
        <v>0</v>
      </c>
      <c r="T634" s="1">
        <v>0</v>
      </c>
      <c r="U634" s="1">
        <v>0</v>
      </c>
      <c r="V634" s="1" t="str">
        <f t="shared" si="126"/>
        <v>里程返程</v>
      </c>
      <c r="W634" s="1" t="str">
        <f>"2120"</f>
        <v>2120</v>
      </c>
      <c r="X634" s="1" t="s">
        <v>35</v>
      </c>
    </row>
    <row r="635" spans="1:24" x14ac:dyDescent="0.3">
      <c r="A635" s="1" t="str">
        <f t="shared" si="124"/>
        <v>59828</v>
      </c>
      <c r="B635" s="1" t="s">
        <v>23</v>
      </c>
      <c r="C635" s="1" t="s">
        <v>24</v>
      </c>
      <c r="D635" s="1" t="str">
        <f t="shared" si="125"/>
        <v>9801</v>
      </c>
      <c r="E635" s="1" t="s">
        <v>25</v>
      </c>
      <c r="F635" s="1" t="str">
        <f>"412147137"</f>
        <v>412147137</v>
      </c>
      <c r="G635" s="1" t="s">
        <v>33</v>
      </c>
      <c r="H635" s="1" t="str">
        <f t="shared" si="122"/>
        <v>20220904</v>
      </c>
      <c r="I635" s="1" t="str">
        <f>"144317"</f>
        <v>144317</v>
      </c>
      <c r="J635" s="1" t="s">
        <v>79</v>
      </c>
      <c r="K635" s="1" t="s">
        <v>45</v>
      </c>
      <c r="L635" s="1" t="str">
        <f t="shared" si="123"/>
        <v>20220904</v>
      </c>
      <c r="M635" s="1" t="str">
        <f>"145106"</f>
        <v>145106</v>
      </c>
      <c r="N635" s="1" t="s">
        <v>28</v>
      </c>
      <c r="O635" s="1" t="s">
        <v>28</v>
      </c>
      <c r="P635" s="1" t="s">
        <v>55</v>
      </c>
      <c r="Q635" s="1">
        <v>25</v>
      </c>
      <c r="R635" s="1">
        <v>0</v>
      </c>
      <c r="S635" s="1">
        <v>25</v>
      </c>
      <c r="T635" s="1">
        <v>0</v>
      </c>
      <c r="U635" s="1">
        <v>0</v>
      </c>
      <c r="V635" s="1" t="str">
        <f t="shared" si="126"/>
        <v>里程返程</v>
      </c>
      <c r="W635" s="1" t="str">
        <f>"2020"</f>
        <v>2020</v>
      </c>
      <c r="X635" s="1" t="s">
        <v>35</v>
      </c>
    </row>
    <row r="636" spans="1:24" x14ac:dyDescent="0.3">
      <c r="A636" s="1" t="str">
        <f t="shared" si="124"/>
        <v>59828</v>
      </c>
      <c r="B636" s="1" t="s">
        <v>23</v>
      </c>
      <c r="C636" s="1" t="s">
        <v>24</v>
      </c>
      <c r="D636" s="1" t="str">
        <f t="shared" si="125"/>
        <v>9801</v>
      </c>
      <c r="E636" s="1" t="s">
        <v>25</v>
      </c>
      <c r="F636" s="1" t="str">
        <f>"1658104480"</f>
        <v>1658104480</v>
      </c>
      <c r="G636" s="1" t="s">
        <v>33</v>
      </c>
      <c r="H636" s="1" t="str">
        <f t="shared" si="122"/>
        <v>20220904</v>
      </c>
      <c r="I636" s="1" t="str">
        <f>"152941"</f>
        <v>152941</v>
      </c>
      <c r="J636" s="1" t="s">
        <v>44</v>
      </c>
      <c r="K636" s="1" t="s">
        <v>45</v>
      </c>
      <c r="L636" s="1" t="str">
        <f t="shared" si="123"/>
        <v>20220904</v>
      </c>
      <c r="M636" s="1" t="str">
        <f>"161401"</f>
        <v>161401</v>
      </c>
      <c r="N636" s="1" t="s">
        <v>97</v>
      </c>
      <c r="O636" s="1" t="s">
        <v>52</v>
      </c>
      <c r="P636" s="1" t="s">
        <v>55</v>
      </c>
      <c r="Q636" s="1">
        <v>50</v>
      </c>
      <c r="R636" s="1">
        <v>25</v>
      </c>
      <c r="S636" s="1">
        <v>25</v>
      </c>
      <c r="T636" s="1">
        <v>0</v>
      </c>
      <c r="U636" s="1">
        <v>0</v>
      </c>
      <c r="V636" s="1" t="str">
        <f t="shared" si="126"/>
        <v>里程返程</v>
      </c>
      <c r="W636" s="1" t="str">
        <f>"2120"</f>
        <v>2120</v>
      </c>
      <c r="X636" s="1" t="s">
        <v>35</v>
      </c>
    </row>
    <row r="637" spans="1:24" x14ac:dyDescent="0.3">
      <c r="A637" s="1" t="str">
        <f t="shared" si="124"/>
        <v>59828</v>
      </c>
      <c r="B637" s="1" t="s">
        <v>23</v>
      </c>
      <c r="C637" s="1" t="s">
        <v>24</v>
      </c>
      <c r="D637" s="1" t="str">
        <f t="shared" si="125"/>
        <v>9801</v>
      </c>
      <c r="E637" s="1" t="s">
        <v>25</v>
      </c>
      <c r="F637" s="1" t="str">
        <f>"1106998097"</f>
        <v>1106998097</v>
      </c>
      <c r="G637" s="1" t="s">
        <v>33</v>
      </c>
      <c r="H637" s="1" t="str">
        <f t="shared" si="122"/>
        <v>20220904</v>
      </c>
      <c r="I637" s="1" t="str">
        <f>"153636"</f>
        <v>153636</v>
      </c>
      <c r="J637" s="1" t="s">
        <v>91</v>
      </c>
      <c r="K637" s="1" t="s">
        <v>45</v>
      </c>
      <c r="L637" s="1" t="str">
        <f t="shared" si="123"/>
        <v>20220904</v>
      </c>
      <c r="M637" s="1" t="str">
        <f>"155225"</f>
        <v>155225</v>
      </c>
      <c r="N637" s="1" t="s">
        <v>28</v>
      </c>
      <c r="O637" s="1" t="s">
        <v>28</v>
      </c>
      <c r="P637" s="1" t="s">
        <v>55</v>
      </c>
      <c r="Q637" s="1">
        <v>25</v>
      </c>
      <c r="R637" s="1">
        <v>25</v>
      </c>
      <c r="S637" s="1">
        <v>0</v>
      </c>
      <c r="T637" s="1">
        <v>0</v>
      </c>
      <c r="U637" s="1">
        <v>0</v>
      </c>
      <c r="V637" s="1" t="str">
        <f t="shared" si="126"/>
        <v>里程返程</v>
      </c>
      <c r="W637" s="1" t="str">
        <f>"2120"</f>
        <v>2120</v>
      </c>
      <c r="X637" s="1" t="s">
        <v>35</v>
      </c>
    </row>
    <row r="638" spans="1:24" x14ac:dyDescent="0.3">
      <c r="A638" s="1" t="str">
        <f t="shared" si="124"/>
        <v>59828</v>
      </c>
      <c r="B638" s="1" t="s">
        <v>23</v>
      </c>
      <c r="C638" s="1" t="s">
        <v>24</v>
      </c>
      <c r="D638" s="1" t="str">
        <f t="shared" si="125"/>
        <v>9801</v>
      </c>
      <c r="E638" s="1" t="s">
        <v>25</v>
      </c>
      <c r="F638" s="1" t="str">
        <f>"32780D0344880400C834002000000015"</f>
        <v>32780D0344880400C834002000000015</v>
      </c>
      <c r="G638" s="1" t="s">
        <v>26</v>
      </c>
      <c r="H638" s="1" t="str">
        <f t="shared" si="122"/>
        <v>20220904</v>
      </c>
      <c r="I638" s="1" t="str">
        <f>"154022"</f>
        <v>154022</v>
      </c>
      <c r="J638" s="1" t="s">
        <v>56</v>
      </c>
      <c r="K638" s="1" t="s">
        <v>45</v>
      </c>
      <c r="L638" s="1" t="str">
        <f t="shared" si="123"/>
        <v>20220904</v>
      </c>
      <c r="M638" s="1" t="str">
        <f>"155048"</f>
        <v>155048</v>
      </c>
      <c r="N638" s="1" t="s">
        <v>95</v>
      </c>
      <c r="O638" s="1" t="s">
        <v>28</v>
      </c>
      <c r="P638" s="1" t="s">
        <v>68</v>
      </c>
      <c r="Q638" s="1">
        <v>13</v>
      </c>
      <c r="R638" s="1">
        <v>0</v>
      </c>
      <c r="S638" s="1">
        <v>0</v>
      </c>
      <c r="T638" s="1">
        <v>13</v>
      </c>
      <c r="U638" s="1">
        <v>0</v>
      </c>
      <c r="V638" s="1" t="str">
        <f t="shared" si="126"/>
        <v>里程返程</v>
      </c>
      <c r="W638" s="1" t="str">
        <f>"0020"</f>
        <v>0020</v>
      </c>
      <c r="X638" s="1" t="s">
        <v>29</v>
      </c>
    </row>
    <row r="639" spans="1:24" x14ac:dyDescent="0.3">
      <c r="A639" s="1" t="str">
        <f t="shared" si="124"/>
        <v>59828</v>
      </c>
      <c r="B639" s="1" t="s">
        <v>23</v>
      </c>
      <c r="C639" s="1" t="s">
        <v>24</v>
      </c>
      <c r="D639" s="1" t="str">
        <f t="shared" si="125"/>
        <v>9801</v>
      </c>
      <c r="E639" s="1" t="s">
        <v>25</v>
      </c>
      <c r="F639" s="1" t="str">
        <f>"829986341"</f>
        <v>829986341</v>
      </c>
      <c r="G639" s="1" t="s">
        <v>26</v>
      </c>
      <c r="H639" s="1" t="str">
        <f t="shared" si="122"/>
        <v>20220904</v>
      </c>
      <c r="I639" s="1" t="str">
        <f>"154322"</f>
        <v>154322</v>
      </c>
      <c r="J639" s="1" t="s">
        <v>45</v>
      </c>
      <c r="K639" s="1" t="s">
        <v>45</v>
      </c>
      <c r="L639" s="1" t="str">
        <f t="shared" si="123"/>
        <v>20220904</v>
      </c>
      <c r="M639" s="1" t="str">
        <f>"162556"</f>
        <v>162556</v>
      </c>
      <c r="N639" s="1" t="s">
        <v>52</v>
      </c>
      <c r="O639" s="1" t="s">
        <v>52</v>
      </c>
      <c r="P639" s="1" t="s">
        <v>55</v>
      </c>
      <c r="Q639" s="1">
        <v>25</v>
      </c>
      <c r="R639" s="1">
        <v>12</v>
      </c>
      <c r="S639" s="1">
        <v>13</v>
      </c>
      <c r="T639" s="1">
        <v>0</v>
      </c>
      <c r="U639" s="1">
        <v>0</v>
      </c>
      <c r="V639" s="1" t="str">
        <f t="shared" si="126"/>
        <v>里程返程</v>
      </c>
      <c r="W639" s="1" t="str">
        <f t="shared" ref="W639:W645" si="127">"2020"</f>
        <v>2020</v>
      </c>
      <c r="X639" s="1" t="s">
        <v>35</v>
      </c>
    </row>
    <row r="640" spans="1:24" x14ac:dyDescent="0.3">
      <c r="A640" s="1" t="str">
        <f t="shared" si="124"/>
        <v>59828</v>
      </c>
      <c r="B640" s="1" t="s">
        <v>23</v>
      </c>
      <c r="C640" s="1" t="s">
        <v>24</v>
      </c>
      <c r="D640" s="1" t="str">
        <f t="shared" si="125"/>
        <v>9801</v>
      </c>
      <c r="E640" s="1" t="s">
        <v>25</v>
      </c>
      <c r="F640" s="1" t="str">
        <f>"900722181"</f>
        <v>900722181</v>
      </c>
      <c r="G640" s="1" t="s">
        <v>26</v>
      </c>
      <c r="H640" s="1" t="str">
        <f t="shared" si="122"/>
        <v>20220904</v>
      </c>
      <c r="I640" s="1" t="str">
        <f>"154325"</f>
        <v>154325</v>
      </c>
      <c r="J640" s="1" t="s">
        <v>45</v>
      </c>
      <c r="K640" s="1" t="s">
        <v>45</v>
      </c>
      <c r="L640" s="1" t="str">
        <f t="shared" si="123"/>
        <v>20220904</v>
      </c>
      <c r="M640" s="1" t="str">
        <f>"162614"</f>
        <v>162614</v>
      </c>
      <c r="N640" s="1" t="s">
        <v>52</v>
      </c>
      <c r="O640" s="1" t="s">
        <v>52</v>
      </c>
      <c r="P640" s="1" t="s">
        <v>55</v>
      </c>
      <c r="Q640" s="1">
        <v>25</v>
      </c>
      <c r="R640" s="1">
        <v>12</v>
      </c>
      <c r="S640" s="1">
        <v>13</v>
      </c>
      <c r="T640" s="1">
        <v>0</v>
      </c>
      <c r="U640" s="1">
        <v>0</v>
      </c>
      <c r="V640" s="1" t="str">
        <f t="shared" si="126"/>
        <v>里程返程</v>
      </c>
      <c r="W640" s="1" t="str">
        <f t="shared" si="127"/>
        <v>2020</v>
      </c>
      <c r="X640" s="1" t="s">
        <v>35</v>
      </c>
    </row>
    <row r="641" spans="1:24" x14ac:dyDescent="0.3">
      <c r="A641" s="1" t="str">
        <f t="shared" si="124"/>
        <v>59828</v>
      </c>
      <c r="B641" s="1" t="s">
        <v>23</v>
      </c>
      <c r="C641" s="1" t="s">
        <v>24</v>
      </c>
      <c r="D641" s="1" t="str">
        <f t="shared" si="125"/>
        <v>9801</v>
      </c>
      <c r="E641" s="1" t="s">
        <v>25</v>
      </c>
      <c r="F641" s="1" t="str">
        <f>"1087459877"</f>
        <v>1087459877</v>
      </c>
      <c r="G641" s="1" t="s">
        <v>33</v>
      </c>
      <c r="H641" s="1" t="str">
        <f t="shared" si="122"/>
        <v>20220904</v>
      </c>
      <c r="I641" s="1" t="str">
        <f>"154328"</f>
        <v>154328</v>
      </c>
      <c r="J641" s="1" t="s">
        <v>45</v>
      </c>
      <c r="K641" s="1" t="s">
        <v>45</v>
      </c>
      <c r="L641" s="1" t="str">
        <f t="shared" si="123"/>
        <v>20220904</v>
      </c>
      <c r="M641" s="1" t="str">
        <f>"162604"</f>
        <v>162604</v>
      </c>
      <c r="N641" s="1" t="s">
        <v>52</v>
      </c>
      <c r="O641" s="1" t="s">
        <v>52</v>
      </c>
      <c r="P641" s="1" t="s">
        <v>55</v>
      </c>
      <c r="Q641" s="1">
        <v>50</v>
      </c>
      <c r="R641" s="1">
        <v>25</v>
      </c>
      <c r="S641" s="1">
        <v>25</v>
      </c>
      <c r="T641" s="1">
        <v>0</v>
      </c>
      <c r="U641" s="1">
        <v>0</v>
      </c>
      <c r="V641" s="1" t="str">
        <f t="shared" si="126"/>
        <v>里程返程</v>
      </c>
      <c r="W641" s="1" t="str">
        <f t="shared" si="127"/>
        <v>2020</v>
      </c>
      <c r="X641" s="1" t="s">
        <v>35</v>
      </c>
    </row>
    <row r="642" spans="1:24" x14ac:dyDescent="0.3">
      <c r="A642" s="1" t="str">
        <f t="shared" si="124"/>
        <v>59828</v>
      </c>
      <c r="B642" s="1" t="s">
        <v>23</v>
      </c>
      <c r="C642" s="1" t="s">
        <v>24</v>
      </c>
      <c r="D642" s="1" t="str">
        <f t="shared" si="125"/>
        <v>9801</v>
      </c>
      <c r="E642" s="1" t="s">
        <v>25</v>
      </c>
      <c r="F642" s="1" t="str">
        <f>"1046616245"</f>
        <v>1046616245</v>
      </c>
      <c r="G642" s="1" t="s">
        <v>26</v>
      </c>
      <c r="H642" s="1" t="str">
        <f t="shared" si="122"/>
        <v>20220904</v>
      </c>
      <c r="I642" s="1" t="str">
        <f>"154332"</f>
        <v>154332</v>
      </c>
      <c r="J642" s="1" t="s">
        <v>45</v>
      </c>
      <c r="K642" s="1" t="s">
        <v>45</v>
      </c>
      <c r="L642" s="1" t="str">
        <f t="shared" si="123"/>
        <v>20220904</v>
      </c>
      <c r="M642" s="1" t="str">
        <f>"162611"</f>
        <v>162611</v>
      </c>
      <c r="N642" s="1" t="s">
        <v>52</v>
      </c>
      <c r="O642" s="1" t="s">
        <v>52</v>
      </c>
      <c r="P642" s="1" t="s">
        <v>55</v>
      </c>
      <c r="Q642" s="1">
        <v>25</v>
      </c>
      <c r="R642" s="1">
        <v>12</v>
      </c>
      <c r="S642" s="1">
        <v>13</v>
      </c>
      <c r="T642" s="1">
        <v>0</v>
      </c>
      <c r="U642" s="1">
        <v>0</v>
      </c>
      <c r="V642" s="1" t="str">
        <f t="shared" si="126"/>
        <v>里程返程</v>
      </c>
      <c r="W642" s="1" t="str">
        <f t="shared" si="127"/>
        <v>2020</v>
      </c>
      <c r="X642" s="1" t="s">
        <v>35</v>
      </c>
    </row>
    <row r="643" spans="1:24" x14ac:dyDescent="0.3">
      <c r="A643" s="1" t="str">
        <f t="shared" si="124"/>
        <v>59828</v>
      </c>
      <c r="B643" s="1" t="s">
        <v>23</v>
      </c>
      <c r="C643" s="1" t="s">
        <v>24</v>
      </c>
      <c r="D643" s="1" t="str">
        <f t="shared" si="125"/>
        <v>9801</v>
      </c>
      <c r="E643" s="1" t="s">
        <v>25</v>
      </c>
      <c r="F643" s="1" t="str">
        <f>"255928385"</f>
        <v>255928385</v>
      </c>
      <c r="G643" s="1" t="s">
        <v>96</v>
      </c>
      <c r="H643" s="1" t="str">
        <f t="shared" si="122"/>
        <v>20220904</v>
      </c>
      <c r="I643" s="1" t="str">
        <f>"154335"</f>
        <v>154335</v>
      </c>
      <c r="J643" s="1" t="s">
        <v>45</v>
      </c>
      <c r="K643" s="1" t="s">
        <v>45</v>
      </c>
      <c r="L643" s="1" t="str">
        <f t="shared" si="123"/>
        <v>20220904</v>
      </c>
      <c r="M643" s="1" t="str">
        <f>"162548"</f>
        <v>162548</v>
      </c>
      <c r="N643" s="1" t="s">
        <v>52</v>
      </c>
      <c r="O643" s="1" t="s">
        <v>52</v>
      </c>
      <c r="P643" s="1" t="s">
        <v>55</v>
      </c>
      <c r="Q643" s="1">
        <v>25</v>
      </c>
      <c r="R643" s="1">
        <v>12</v>
      </c>
      <c r="S643" s="1">
        <v>13</v>
      </c>
      <c r="T643" s="1">
        <v>0</v>
      </c>
      <c r="U643" s="1">
        <v>0</v>
      </c>
      <c r="V643" s="1" t="str">
        <f t="shared" si="126"/>
        <v>里程返程</v>
      </c>
      <c r="W643" s="1" t="str">
        <f t="shared" si="127"/>
        <v>2020</v>
      </c>
      <c r="X643" s="1" t="s">
        <v>35</v>
      </c>
    </row>
    <row r="644" spans="1:24" x14ac:dyDescent="0.3">
      <c r="A644" s="1" t="str">
        <f t="shared" si="124"/>
        <v>59828</v>
      </c>
      <c r="B644" s="1" t="s">
        <v>23</v>
      </c>
      <c r="C644" s="1" t="s">
        <v>24</v>
      </c>
      <c r="D644" s="1" t="str">
        <f t="shared" si="125"/>
        <v>9801</v>
      </c>
      <c r="E644" s="1" t="s">
        <v>25</v>
      </c>
      <c r="F644" s="1" t="str">
        <f>"973188021"</f>
        <v>973188021</v>
      </c>
      <c r="G644" s="1" t="s">
        <v>26</v>
      </c>
      <c r="H644" s="1" t="str">
        <f t="shared" si="122"/>
        <v>20220904</v>
      </c>
      <c r="I644" s="1" t="str">
        <f>"154338"</f>
        <v>154338</v>
      </c>
      <c r="J644" s="1" t="s">
        <v>45</v>
      </c>
      <c r="K644" s="1" t="s">
        <v>45</v>
      </c>
      <c r="L644" s="1" t="str">
        <f t="shared" si="123"/>
        <v>20220904</v>
      </c>
      <c r="M644" s="1" t="str">
        <f>"162608"</f>
        <v>162608</v>
      </c>
      <c r="N644" s="1" t="s">
        <v>52</v>
      </c>
      <c r="O644" s="1" t="s">
        <v>52</v>
      </c>
      <c r="P644" s="1" t="s">
        <v>55</v>
      </c>
      <c r="Q644" s="1">
        <v>25</v>
      </c>
      <c r="R644" s="1">
        <v>12</v>
      </c>
      <c r="S644" s="1">
        <v>13</v>
      </c>
      <c r="T644" s="1">
        <v>0</v>
      </c>
      <c r="U644" s="1">
        <v>0</v>
      </c>
      <c r="V644" s="1" t="str">
        <f t="shared" si="126"/>
        <v>里程返程</v>
      </c>
      <c r="W644" s="1" t="str">
        <f t="shared" si="127"/>
        <v>2020</v>
      </c>
      <c r="X644" s="1" t="s">
        <v>35</v>
      </c>
    </row>
    <row r="645" spans="1:24" x14ac:dyDescent="0.3">
      <c r="A645" s="1" t="str">
        <f t="shared" si="124"/>
        <v>59828</v>
      </c>
      <c r="B645" s="1" t="s">
        <v>23</v>
      </c>
      <c r="C645" s="1" t="s">
        <v>24</v>
      </c>
      <c r="D645" s="1" t="str">
        <f t="shared" si="125"/>
        <v>9801</v>
      </c>
      <c r="E645" s="1" t="s">
        <v>25</v>
      </c>
      <c r="F645" s="1" t="str">
        <f>"1744109029"</f>
        <v>1744109029</v>
      </c>
      <c r="G645" s="1" t="s">
        <v>33</v>
      </c>
      <c r="H645" s="1" t="str">
        <f t="shared" si="122"/>
        <v>20220904</v>
      </c>
      <c r="I645" s="1" t="str">
        <f>"154342"</f>
        <v>154342</v>
      </c>
      <c r="J645" s="1" t="s">
        <v>45</v>
      </c>
      <c r="K645" s="1" t="s">
        <v>45</v>
      </c>
      <c r="L645" s="1" t="str">
        <f t="shared" si="123"/>
        <v>20220904</v>
      </c>
      <c r="M645" s="1" t="str">
        <f>"162601"</f>
        <v>162601</v>
      </c>
      <c r="N645" s="1" t="s">
        <v>52</v>
      </c>
      <c r="O645" s="1" t="s">
        <v>52</v>
      </c>
      <c r="P645" s="1" t="s">
        <v>55</v>
      </c>
      <c r="Q645" s="1">
        <v>50</v>
      </c>
      <c r="R645" s="1">
        <v>25</v>
      </c>
      <c r="S645" s="1">
        <v>25</v>
      </c>
      <c r="T645" s="1">
        <v>0</v>
      </c>
      <c r="U645" s="1">
        <v>0</v>
      </c>
      <c r="V645" s="1" t="str">
        <f t="shared" si="126"/>
        <v>里程返程</v>
      </c>
      <c r="W645" s="1" t="str">
        <f t="shared" si="127"/>
        <v>2020</v>
      </c>
      <c r="X645" s="1" t="s">
        <v>35</v>
      </c>
    </row>
    <row r="646" spans="1:24" x14ac:dyDescent="0.3">
      <c r="A646" s="1" t="str">
        <f t="shared" si="124"/>
        <v>59828</v>
      </c>
      <c r="B646" s="1" t="s">
        <v>23</v>
      </c>
      <c r="C646" s="1" t="s">
        <v>24</v>
      </c>
      <c r="D646" s="1" t="str">
        <f t="shared" si="125"/>
        <v>9801</v>
      </c>
      <c r="E646" s="1" t="s">
        <v>25</v>
      </c>
      <c r="F646" s="1" t="str">
        <f>"420B39136328040080CED9985D913018"</f>
        <v>420B39136328040080CED9985D913018</v>
      </c>
      <c r="G646" s="1" t="s">
        <v>58</v>
      </c>
      <c r="H646" s="1" t="str">
        <f t="shared" si="122"/>
        <v>20220904</v>
      </c>
      <c r="I646" s="1" t="str">
        <f>"162745"</f>
        <v>162745</v>
      </c>
      <c r="J646" s="1" t="s">
        <v>44</v>
      </c>
      <c r="K646" s="1" t="s">
        <v>45</v>
      </c>
      <c r="L646" s="1" t="str">
        <f t="shared" si="123"/>
        <v>20220904</v>
      </c>
      <c r="M646" s="1" t="str">
        <f>"164945"</f>
        <v>164945</v>
      </c>
      <c r="N646" s="1" t="s">
        <v>95</v>
      </c>
      <c r="O646" s="1" t="s">
        <v>28</v>
      </c>
      <c r="P646" s="1" t="s">
        <v>55</v>
      </c>
      <c r="Q646" s="1">
        <v>25</v>
      </c>
      <c r="R646" s="1">
        <v>25</v>
      </c>
      <c r="S646" s="1">
        <v>0</v>
      </c>
      <c r="T646" s="1">
        <v>0</v>
      </c>
      <c r="U646" s="1">
        <v>0</v>
      </c>
      <c r="V646" s="1" t="str">
        <f t="shared" si="126"/>
        <v>里程返程</v>
      </c>
      <c r="W646" s="1" t="str">
        <f>"0020"</f>
        <v>0020</v>
      </c>
      <c r="X646" s="1" t="s">
        <v>29</v>
      </c>
    </row>
    <row r="647" spans="1:24" x14ac:dyDescent="0.3">
      <c r="A647" s="1" t="str">
        <f t="shared" si="124"/>
        <v>59828</v>
      </c>
      <c r="B647" s="1" t="s">
        <v>23</v>
      </c>
      <c r="C647" s="1" t="s">
        <v>24</v>
      </c>
      <c r="D647" s="1" t="str">
        <f t="shared" si="125"/>
        <v>9801</v>
      </c>
      <c r="E647" s="1" t="s">
        <v>25</v>
      </c>
      <c r="F647" s="1" t="str">
        <f>"1103653621"</f>
        <v>1103653621</v>
      </c>
      <c r="G647" s="1" t="s">
        <v>38</v>
      </c>
      <c r="H647" s="1" t="str">
        <f t="shared" si="122"/>
        <v>20220904</v>
      </c>
      <c r="I647" s="1" t="str">
        <f>"165122"</f>
        <v>165122</v>
      </c>
      <c r="J647" s="1" t="s">
        <v>28</v>
      </c>
      <c r="K647" s="1" t="s">
        <v>28</v>
      </c>
      <c r="L647" s="1" t="str">
        <f t="shared" si="123"/>
        <v>20220904</v>
      </c>
      <c r="M647" s="1" t="str">
        <f>"171421"</f>
        <v>171421</v>
      </c>
      <c r="N647" s="1" t="s">
        <v>65</v>
      </c>
      <c r="O647" s="1" t="s">
        <v>52</v>
      </c>
      <c r="P647" s="1" t="s">
        <v>55</v>
      </c>
      <c r="Q647" s="1">
        <v>25</v>
      </c>
      <c r="R647" s="1">
        <v>25</v>
      </c>
      <c r="S647" s="1">
        <v>0</v>
      </c>
      <c r="T647" s="1">
        <v>0</v>
      </c>
      <c r="U647" s="1">
        <v>0</v>
      </c>
      <c r="V647" s="1" t="str">
        <f t="shared" si="126"/>
        <v>里程返程</v>
      </c>
      <c r="W647" s="1" t="str">
        <f>"0120"</f>
        <v>0120</v>
      </c>
      <c r="X647" s="1" t="s">
        <v>35</v>
      </c>
    </row>
    <row r="648" spans="1:24" x14ac:dyDescent="0.3">
      <c r="A648" s="1" t="str">
        <f t="shared" si="124"/>
        <v>59828</v>
      </c>
      <c r="B648" s="1" t="s">
        <v>23</v>
      </c>
      <c r="C648" s="1" t="s">
        <v>24</v>
      </c>
      <c r="D648" s="1" t="str">
        <f t="shared" si="125"/>
        <v>9801</v>
      </c>
      <c r="E648" s="1" t="s">
        <v>25</v>
      </c>
      <c r="F648" s="1" t="str">
        <f>"807336885"</f>
        <v>807336885</v>
      </c>
      <c r="G648" s="1" t="s">
        <v>33</v>
      </c>
      <c r="H648" s="1" t="str">
        <f t="shared" si="122"/>
        <v>20220904</v>
      </c>
      <c r="I648" s="1" t="str">
        <f>"165137"</f>
        <v>165137</v>
      </c>
      <c r="J648" s="1" t="s">
        <v>28</v>
      </c>
      <c r="K648" s="1" t="s">
        <v>28</v>
      </c>
      <c r="L648" s="1" t="str">
        <f t="shared" si="123"/>
        <v>20220904</v>
      </c>
      <c r="M648" s="1" t="str">
        <f>"172534"</f>
        <v>172534</v>
      </c>
      <c r="N648" s="1" t="s">
        <v>52</v>
      </c>
      <c r="O648" s="1" t="s">
        <v>52</v>
      </c>
      <c r="P648" s="1" t="s">
        <v>55</v>
      </c>
      <c r="Q648" s="1">
        <v>25</v>
      </c>
      <c r="R648" s="1">
        <v>0</v>
      </c>
      <c r="S648" s="1">
        <v>25</v>
      </c>
      <c r="T648" s="1">
        <v>0</v>
      </c>
      <c r="U648" s="1">
        <v>0</v>
      </c>
      <c r="V648" s="1" t="str">
        <f t="shared" si="126"/>
        <v>里程返程</v>
      </c>
      <c r="W648" s="1" t="str">
        <f>"0820"</f>
        <v>0820</v>
      </c>
      <c r="X648" s="1" t="s">
        <v>35</v>
      </c>
    </row>
    <row r="649" spans="1:24" x14ac:dyDescent="0.3">
      <c r="A649" s="1" t="str">
        <f t="shared" si="124"/>
        <v>59828</v>
      </c>
      <c r="B649" s="1" t="s">
        <v>23</v>
      </c>
      <c r="C649" s="1" t="s">
        <v>24</v>
      </c>
      <c r="D649" s="1" t="str">
        <f t="shared" si="125"/>
        <v>9801</v>
      </c>
      <c r="E649" s="1" t="s">
        <v>25</v>
      </c>
      <c r="F649" s="1" t="str">
        <f>"2648693135"</f>
        <v>2648693135</v>
      </c>
      <c r="G649" s="1" t="s">
        <v>33</v>
      </c>
      <c r="H649" s="1" t="str">
        <f t="shared" ref="H649:H674" si="128">"20220904"</f>
        <v>20220904</v>
      </c>
      <c r="I649" s="1" t="str">
        <f>"165202"</f>
        <v>165202</v>
      </c>
      <c r="J649" s="1" t="s">
        <v>28</v>
      </c>
      <c r="K649" s="1" t="s">
        <v>28</v>
      </c>
      <c r="L649" s="1" t="str">
        <f t="shared" si="123"/>
        <v>20220904</v>
      </c>
      <c r="M649" s="1" t="str">
        <f>"171950"</f>
        <v>171950</v>
      </c>
      <c r="N649" s="1" t="s">
        <v>60</v>
      </c>
      <c r="O649" s="1" t="s">
        <v>52</v>
      </c>
      <c r="P649" s="1" t="s">
        <v>55</v>
      </c>
      <c r="Q649" s="1">
        <v>25</v>
      </c>
      <c r="R649" s="1">
        <v>25</v>
      </c>
      <c r="S649" s="1">
        <v>0</v>
      </c>
      <c r="T649" s="1">
        <v>0</v>
      </c>
      <c r="U649" s="1">
        <v>0</v>
      </c>
      <c r="V649" s="1" t="str">
        <f t="shared" si="126"/>
        <v>里程返程</v>
      </c>
      <c r="W649" s="1" t="str">
        <f>"0120"</f>
        <v>0120</v>
      </c>
      <c r="X649" s="1" t="s">
        <v>35</v>
      </c>
    </row>
    <row r="650" spans="1:24" x14ac:dyDescent="0.3">
      <c r="A650" s="1" t="str">
        <f t="shared" si="124"/>
        <v>59828</v>
      </c>
      <c r="B650" s="1" t="s">
        <v>23</v>
      </c>
      <c r="C650" s="1" t="s">
        <v>24</v>
      </c>
      <c r="D650" s="1" t="str">
        <f t="shared" si="125"/>
        <v>9801</v>
      </c>
      <c r="E650" s="1" t="s">
        <v>25</v>
      </c>
      <c r="F650" s="1" t="str">
        <f>"A145DF152E280400F700000000000000"</f>
        <v>A145DF152E280400F700000000000000</v>
      </c>
      <c r="G650" s="1" t="s">
        <v>58</v>
      </c>
      <c r="H650" s="1" t="str">
        <f t="shared" si="128"/>
        <v>20220904</v>
      </c>
      <c r="I650" s="1" t="str">
        <f>"165207"</f>
        <v>165207</v>
      </c>
      <c r="J650" s="1" t="s">
        <v>28</v>
      </c>
      <c r="K650" s="1" t="s">
        <v>28</v>
      </c>
      <c r="L650" s="1" t="str">
        <f t="shared" si="123"/>
        <v>20220904</v>
      </c>
      <c r="M650" s="1" t="str">
        <f>"171427"</f>
        <v>171427</v>
      </c>
      <c r="N650" s="1" t="s">
        <v>65</v>
      </c>
      <c r="O650" s="1" t="s">
        <v>52</v>
      </c>
      <c r="P650" s="1" t="s">
        <v>55</v>
      </c>
      <c r="Q650" s="1">
        <v>25</v>
      </c>
      <c r="R650" s="1">
        <v>0</v>
      </c>
      <c r="S650" s="1">
        <v>25</v>
      </c>
      <c r="T650" s="1">
        <v>0</v>
      </c>
      <c r="U650" s="1">
        <v>0</v>
      </c>
      <c r="V650" s="1" t="str">
        <f t="shared" si="126"/>
        <v>里程返程</v>
      </c>
      <c r="W650" s="1" t="str">
        <f>"0620"</f>
        <v>0620</v>
      </c>
      <c r="X650" s="1" t="s">
        <v>29</v>
      </c>
    </row>
    <row r="651" spans="1:24" x14ac:dyDescent="0.3">
      <c r="A651" s="1" t="str">
        <f t="shared" si="124"/>
        <v>59828</v>
      </c>
      <c r="B651" s="1" t="s">
        <v>23</v>
      </c>
      <c r="C651" s="1" t="s">
        <v>24</v>
      </c>
      <c r="D651" s="1" t="str">
        <f t="shared" si="125"/>
        <v>9801</v>
      </c>
      <c r="E651" s="1" t="s">
        <v>25</v>
      </c>
      <c r="F651" s="1" t="str">
        <f>"212223297"</f>
        <v>212223297</v>
      </c>
      <c r="G651" s="1" t="s">
        <v>33</v>
      </c>
      <c r="H651" s="1" t="str">
        <f t="shared" si="128"/>
        <v>20220904</v>
      </c>
      <c r="I651" s="1" t="str">
        <f>"165223"</f>
        <v>165223</v>
      </c>
      <c r="J651" s="1" t="s">
        <v>28</v>
      </c>
      <c r="K651" s="1" t="s">
        <v>28</v>
      </c>
      <c r="L651" s="1" t="str">
        <f t="shared" si="123"/>
        <v>20220904</v>
      </c>
      <c r="M651" s="1" t="str">
        <f>"172246"</f>
        <v>172246</v>
      </c>
      <c r="N651" s="1" t="s">
        <v>86</v>
      </c>
      <c r="O651" s="1" t="s">
        <v>52</v>
      </c>
      <c r="P651" s="1" t="s">
        <v>55</v>
      </c>
      <c r="Q651" s="1">
        <v>25</v>
      </c>
      <c r="R651" s="1">
        <v>0</v>
      </c>
      <c r="S651" s="1">
        <v>25</v>
      </c>
      <c r="T651" s="1">
        <v>0</v>
      </c>
      <c r="U651" s="1">
        <v>0</v>
      </c>
      <c r="V651" s="1" t="str">
        <f t="shared" si="126"/>
        <v>里程返程</v>
      </c>
      <c r="W651" s="1" t="str">
        <f>"0820"</f>
        <v>0820</v>
      </c>
      <c r="X651" s="1" t="s">
        <v>35</v>
      </c>
    </row>
    <row r="652" spans="1:24" x14ac:dyDescent="0.3">
      <c r="A652" s="1" t="str">
        <f t="shared" si="124"/>
        <v>59828</v>
      </c>
      <c r="B652" s="1" t="s">
        <v>23</v>
      </c>
      <c r="C652" s="1" t="s">
        <v>24</v>
      </c>
      <c r="D652" s="1" t="str">
        <f t="shared" si="125"/>
        <v>9801</v>
      </c>
      <c r="E652" s="1" t="s">
        <v>25</v>
      </c>
      <c r="F652" s="1" t="str">
        <f>"02A2F00959880400C810002000000016"</f>
        <v>02A2F00959880400C810002000000016</v>
      </c>
      <c r="G652" s="1" t="s">
        <v>59</v>
      </c>
      <c r="H652" s="1" t="str">
        <f t="shared" si="128"/>
        <v>20220904</v>
      </c>
      <c r="I652" s="1" t="str">
        <f>"165237"</f>
        <v>165237</v>
      </c>
      <c r="J652" s="1" t="s">
        <v>28</v>
      </c>
      <c r="K652" s="1" t="s">
        <v>28</v>
      </c>
      <c r="L652" s="1" t="str">
        <f t="shared" si="123"/>
        <v>20220904</v>
      </c>
      <c r="M652" s="1" t="str">
        <f>"172526"</f>
        <v>172526</v>
      </c>
      <c r="N652" s="1" t="s">
        <v>52</v>
      </c>
      <c r="O652" s="1" t="s">
        <v>52</v>
      </c>
      <c r="P652" s="1" t="s">
        <v>55</v>
      </c>
      <c r="Q652" s="1">
        <v>25</v>
      </c>
      <c r="R652" s="1">
        <v>0</v>
      </c>
      <c r="S652" s="1">
        <v>25</v>
      </c>
      <c r="T652" s="1">
        <v>0</v>
      </c>
      <c r="U652" s="1">
        <v>0</v>
      </c>
      <c r="V652" s="1" t="str">
        <f t="shared" si="126"/>
        <v>里程返程</v>
      </c>
      <c r="W652" s="1" t="str">
        <f>"0620"</f>
        <v>0620</v>
      </c>
      <c r="X652" s="1" t="s">
        <v>29</v>
      </c>
    </row>
    <row r="653" spans="1:24" x14ac:dyDescent="0.3">
      <c r="A653" s="1" t="str">
        <f t="shared" si="124"/>
        <v>59828</v>
      </c>
      <c r="B653" s="1" t="s">
        <v>23</v>
      </c>
      <c r="C653" s="1" t="s">
        <v>24</v>
      </c>
      <c r="D653" s="1" t="str">
        <f t="shared" si="125"/>
        <v>9801</v>
      </c>
      <c r="E653" s="1" t="s">
        <v>25</v>
      </c>
      <c r="F653" s="1" t="str">
        <f>"C287F609BA880400C810002000000016"</f>
        <v>C287F609BA880400C810002000000016</v>
      </c>
      <c r="G653" s="1" t="s">
        <v>59</v>
      </c>
      <c r="H653" s="1" t="str">
        <f t="shared" si="128"/>
        <v>20220904</v>
      </c>
      <c r="I653" s="1" t="str">
        <f>"165241"</f>
        <v>165241</v>
      </c>
      <c r="J653" s="1" t="s">
        <v>28</v>
      </c>
      <c r="K653" s="1" t="s">
        <v>28</v>
      </c>
      <c r="L653" s="1" t="str">
        <f t="shared" si="123"/>
        <v>20220904</v>
      </c>
      <c r="M653" s="1" t="str">
        <f>"172529"</f>
        <v>172529</v>
      </c>
      <c r="N653" s="1" t="s">
        <v>52</v>
      </c>
      <c r="O653" s="1" t="s">
        <v>52</v>
      </c>
      <c r="P653" s="1" t="s">
        <v>55</v>
      </c>
      <c r="Q653" s="1">
        <v>25</v>
      </c>
      <c r="R653" s="1">
        <v>0</v>
      </c>
      <c r="S653" s="1">
        <v>25</v>
      </c>
      <c r="T653" s="1">
        <v>0</v>
      </c>
      <c r="U653" s="1">
        <v>0</v>
      </c>
      <c r="V653" s="1" t="str">
        <f t="shared" si="126"/>
        <v>里程返程</v>
      </c>
      <c r="W653" s="1" t="str">
        <f>"0620"</f>
        <v>0620</v>
      </c>
      <c r="X653" s="1" t="s">
        <v>29</v>
      </c>
    </row>
    <row r="654" spans="1:24" x14ac:dyDescent="0.3">
      <c r="A654" s="1" t="str">
        <f t="shared" si="124"/>
        <v>59828</v>
      </c>
      <c r="B654" s="1" t="s">
        <v>23</v>
      </c>
      <c r="C654" s="1" t="s">
        <v>24</v>
      </c>
      <c r="D654" s="1" t="str">
        <f t="shared" si="125"/>
        <v>9801</v>
      </c>
      <c r="E654" s="1" t="s">
        <v>25</v>
      </c>
      <c r="F654" s="1" t="str">
        <f>"1769189713"</f>
        <v>1769189713</v>
      </c>
      <c r="G654" s="1" t="s">
        <v>33</v>
      </c>
      <c r="H654" s="1" t="str">
        <f t="shared" si="128"/>
        <v>20220904</v>
      </c>
      <c r="I654" s="1" t="str">
        <f>"165249"</f>
        <v>165249</v>
      </c>
      <c r="J654" s="1" t="s">
        <v>28</v>
      </c>
      <c r="K654" s="1" t="s">
        <v>28</v>
      </c>
      <c r="L654" s="1" t="str">
        <f t="shared" ref="L654:L674" si="129">"20220904"</f>
        <v>20220904</v>
      </c>
      <c r="M654" s="1" t="str">
        <f>"172520"</f>
        <v>172520</v>
      </c>
      <c r="N654" s="1" t="s">
        <v>52</v>
      </c>
      <c r="O654" s="1" t="s">
        <v>52</v>
      </c>
      <c r="P654" s="1" t="s">
        <v>55</v>
      </c>
      <c r="Q654" s="1">
        <v>25</v>
      </c>
      <c r="R654" s="1">
        <v>25</v>
      </c>
      <c r="S654" s="1">
        <v>0</v>
      </c>
      <c r="T654" s="1">
        <v>0</v>
      </c>
      <c r="U654" s="1">
        <v>0</v>
      </c>
      <c r="V654" s="1" t="str">
        <f t="shared" si="126"/>
        <v>里程返程</v>
      </c>
      <c r="W654" s="1" t="str">
        <f>"0820"</f>
        <v>0820</v>
      </c>
      <c r="X654" s="1" t="s">
        <v>35</v>
      </c>
    </row>
    <row r="655" spans="1:24" x14ac:dyDescent="0.3">
      <c r="A655" s="1" t="str">
        <f t="shared" si="124"/>
        <v>59828</v>
      </c>
      <c r="B655" s="1" t="s">
        <v>23</v>
      </c>
      <c r="C655" s="1" t="s">
        <v>24</v>
      </c>
      <c r="D655" s="1" t="str">
        <f t="shared" si="125"/>
        <v>9801</v>
      </c>
      <c r="E655" s="1" t="s">
        <v>25</v>
      </c>
      <c r="F655" s="1" t="str">
        <f>"1319951505"</f>
        <v>1319951505</v>
      </c>
      <c r="G655" s="1" t="s">
        <v>33</v>
      </c>
      <c r="H655" s="1" t="str">
        <f t="shared" si="128"/>
        <v>20220904</v>
      </c>
      <c r="I655" s="1" t="str">
        <f>"170219"</f>
        <v>170219</v>
      </c>
      <c r="J655" s="1" t="s">
        <v>83</v>
      </c>
      <c r="K655" s="1" t="s">
        <v>52</v>
      </c>
      <c r="L655" s="1" t="str">
        <f t="shared" si="129"/>
        <v>20220904</v>
      </c>
      <c r="M655" s="1" t="str">
        <f>"172243"</f>
        <v>172243</v>
      </c>
      <c r="N655" s="1" t="s">
        <v>86</v>
      </c>
      <c r="O655" s="1" t="s">
        <v>52</v>
      </c>
      <c r="P655" s="1" t="s">
        <v>55</v>
      </c>
      <c r="Q655" s="1">
        <v>25</v>
      </c>
      <c r="R655" s="1">
        <v>25</v>
      </c>
      <c r="S655" s="1">
        <v>0</v>
      </c>
      <c r="T655" s="1">
        <v>0</v>
      </c>
      <c r="U655" s="1">
        <v>0</v>
      </c>
      <c r="V655" s="1" t="str">
        <f t="shared" si="126"/>
        <v>里程返程</v>
      </c>
      <c r="W655" s="1" t="str">
        <f>"1120"</f>
        <v>1120</v>
      </c>
      <c r="X655" s="1" t="s">
        <v>35</v>
      </c>
    </row>
    <row r="656" spans="1:24" x14ac:dyDescent="0.3">
      <c r="A656" s="1" t="str">
        <f t="shared" si="124"/>
        <v>59828</v>
      </c>
      <c r="B656" s="1" t="s">
        <v>23</v>
      </c>
      <c r="C656" s="1" t="s">
        <v>24</v>
      </c>
      <c r="D656" s="1" t="str">
        <f t="shared" si="125"/>
        <v>9801</v>
      </c>
      <c r="E656" s="1" t="s">
        <v>25</v>
      </c>
      <c r="F656" s="1" t="str">
        <f>"E17A0B039388040043252B4B000B050F"</f>
        <v>E17A0B039388040043252B4B000B050F</v>
      </c>
      <c r="G656" s="1" t="s">
        <v>58</v>
      </c>
      <c r="H656" s="1" t="str">
        <f t="shared" si="128"/>
        <v>20220904</v>
      </c>
      <c r="I656" s="1" t="str">
        <f>"170221"</f>
        <v>170221</v>
      </c>
      <c r="J656" s="1" t="s">
        <v>83</v>
      </c>
      <c r="K656" s="1" t="s">
        <v>52</v>
      </c>
      <c r="L656" s="1" t="str">
        <f t="shared" si="129"/>
        <v>20220904</v>
      </c>
      <c r="M656" s="1" t="str">
        <f>"172241"</f>
        <v>172241</v>
      </c>
      <c r="N656" s="1" t="s">
        <v>86</v>
      </c>
      <c r="O656" s="1" t="s">
        <v>52</v>
      </c>
      <c r="P656" s="1" t="s">
        <v>55</v>
      </c>
      <c r="Q656" s="1">
        <v>25</v>
      </c>
      <c r="R656" s="1">
        <v>25</v>
      </c>
      <c r="S656" s="1">
        <v>0</v>
      </c>
      <c r="T656" s="1">
        <v>0</v>
      </c>
      <c r="U656" s="1">
        <v>0</v>
      </c>
      <c r="V656" s="1" t="str">
        <f t="shared" si="126"/>
        <v>里程返程</v>
      </c>
      <c r="W656" s="1" t="str">
        <f>"0020"</f>
        <v>0020</v>
      </c>
      <c r="X656" s="1" t="s">
        <v>29</v>
      </c>
    </row>
    <row r="657" spans="1:24" x14ac:dyDescent="0.3">
      <c r="A657" s="1" t="str">
        <f t="shared" ref="A657:A674" si="130">"59829"</f>
        <v>59829</v>
      </c>
      <c r="B657" s="1" t="s">
        <v>47</v>
      </c>
      <c r="C657" s="1" t="s">
        <v>48</v>
      </c>
      <c r="D657" s="1" t="str">
        <f t="shared" ref="D657:D673" si="131">"9803"</f>
        <v>9803</v>
      </c>
      <c r="E657" s="1" t="s">
        <v>32</v>
      </c>
      <c r="F657" s="1" t="str">
        <f>"974706849"</f>
        <v>974706849</v>
      </c>
      <c r="G657" s="1" t="s">
        <v>33</v>
      </c>
      <c r="H657" s="1" t="str">
        <f t="shared" si="128"/>
        <v>20220904</v>
      </c>
      <c r="I657" s="1" t="str">
        <f>"082748"</f>
        <v>082748</v>
      </c>
      <c r="J657" s="1" t="s">
        <v>28</v>
      </c>
      <c r="K657" s="1" t="s">
        <v>28</v>
      </c>
      <c r="L657" s="1" t="str">
        <f t="shared" si="129"/>
        <v>20220904</v>
      </c>
      <c r="M657" s="1" t="str">
        <f>"084106"</f>
        <v>084106</v>
      </c>
      <c r="N657" s="1" t="s">
        <v>46</v>
      </c>
      <c r="O657" s="1" t="s">
        <v>28</v>
      </c>
      <c r="P657" s="1" t="s">
        <v>55</v>
      </c>
      <c r="Q657" s="1">
        <v>25</v>
      </c>
      <c r="R657" s="1">
        <v>25</v>
      </c>
      <c r="S657" s="1">
        <v>0</v>
      </c>
      <c r="T657" s="1">
        <v>0</v>
      </c>
      <c r="U657" s="1">
        <v>0</v>
      </c>
      <c r="V657" s="1" t="str">
        <f t="shared" ref="V657:V674" si="132">"里程去程"</f>
        <v>里程去程</v>
      </c>
      <c r="W657" s="1" t="str">
        <f>"2120"</f>
        <v>2120</v>
      </c>
      <c r="X657" s="1" t="s">
        <v>35</v>
      </c>
    </row>
    <row r="658" spans="1:24" x14ac:dyDescent="0.3">
      <c r="A658" s="1" t="str">
        <f t="shared" si="130"/>
        <v>59829</v>
      </c>
      <c r="B658" s="1" t="s">
        <v>47</v>
      </c>
      <c r="C658" s="1" t="s">
        <v>48</v>
      </c>
      <c r="D658" s="1" t="str">
        <f t="shared" si="131"/>
        <v>9803</v>
      </c>
      <c r="E658" s="1" t="s">
        <v>32</v>
      </c>
      <c r="F658" s="1" t="str">
        <f>"210413397"</f>
        <v>210413397</v>
      </c>
      <c r="G658" s="1" t="s">
        <v>33</v>
      </c>
      <c r="H658" s="1" t="str">
        <f t="shared" si="128"/>
        <v>20220904</v>
      </c>
      <c r="I658" s="1" t="str">
        <f>"082750"</f>
        <v>082750</v>
      </c>
      <c r="J658" s="1" t="s">
        <v>28</v>
      </c>
      <c r="K658" s="1" t="s">
        <v>28</v>
      </c>
      <c r="L658" s="1" t="str">
        <f t="shared" si="129"/>
        <v>20220904</v>
      </c>
      <c r="M658" s="1" t="str">
        <f>"084104"</f>
        <v>084104</v>
      </c>
      <c r="N658" s="1" t="s">
        <v>46</v>
      </c>
      <c r="O658" s="1" t="s">
        <v>28</v>
      </c>
      <c r="P658" s="1" t="s">
        <v>55</v>
      </c>
      <c r="Q658" s="1">
        <v>25</v>
      </c>
      <c r="R658" s="1">
        <v>25</v>
      </c>
      <c r="S658" s="1">
        <v>0</v>
      </c>
      <c r="T658" s="1">
        <v>0</v>
      </c>
      <c r="U658" s="1">
        <v>0</v>
      </c>
      <c r="V658" s="1" t="str">
        <f t="shared" si="132"/>
        <v>里程去程</v>
      </c>
      <c r="W658" s="1" t="str">
        <f>"2120"</f>
        <v>2120</v>
      </c>
      <c r="X658" s="1" t="s">
        <v>35</v>
      </c>
    </row>
    <row r="659" spans="1:24" x14ac:dyDescent="0.3">
      <c r="A659" s="1" t="str">
        <f t="shared" si="130"/>
        <v>59829</v>
      </c>
      <c r="B659" s="1" t="s">
        <v>47</v>
      </c>
      <c r="C659" s="1" t="s">
        <v>48</v>
      </c>
      <c r="D659" s="1" t="str">
        <f t="shared" si="131"/>
        <v>9803</v>
      </c>
      <c r="E659" s="1" t="s">
        <v>32</v>
      </c>
      <c r="F659" s="1" t="str">
        <f>"978678709"</f>
        <v>978678709</v>
      </c>
      <c r="G659" s="1" t="s">
        <v>33</v>
      </c>
      <c r="H659" s="1" t="str">
        <f t="shared" si="128"/>
        <v>20220904</v>
      </c>
      <c r="I659" s="1" t="str">
        <f>"082754"</f>
        <v>082754</v>
      </c>
      <c r="J659" s="1" t="s">
        <v>28</v>
      </c>
      <c r="K659" s="1" t="s">
        <v>28</v>
      </c>
      <c r="L659" s="1" t="str">
        <f t="shared" si="129"/>
        <v>20220904</v>
      </c>
      <c r="M659" s="1" t="str">
        <f>"084110"</f>
        <v>084110</v>
      </c>
      <c r="N659" s="1" t="s">
        <v>46</v>
      </c>
      <c r="O659" s="1" t="s">
        <v>28</v>
      </c>
      <c r="P659" s="1" t="s">
        <v>55</v>
      </c>
      <c r="Q659" s="1">
        <v>25</v>
      </c>
      <c r="R659" s="1">
        <v>25</v>
      </c>
      <c r="S659" s="1">
        <v>0</v>
      </c>
      <c r="T659" s="1">
        <v>0</v>
      </c>
      <c r="U659" s="1">
        <v>0</v>
      </c>
      <c r="V659" s="1" t="str">
        <f t="shared" si="132"/>
        <v>里程去程</v>
      </c>
      <c r="W659" s="1" t="str">
        <f>"0120"</f>
        <v>0120</v>
      </c>
      <c r="X659" s="1" t="s">
        <v>35</v>
      </c>
    </row>
    <row r="660" spans="1:24" x14ac:dyDescent="0.3">
      <c r="A660" s="1" t="str">
        <f t="shared" si="130"/>
        <v>59829</v>
      </c>
      <c r="B660" s="1" t="s">
        <v>47</v>
      </c>
      <c r="C660" s="1" t="s">
        <v>48</v>
      </c>
      <c r="D660" s="1" t="str">
        <f t="shared" si="131"/>
        <v>9803</v>
      </c>
      <c r="E660" s="1" t="s">
        <v>32</v>
      </c>
      <c r="F660" s="1" t="str">
        <f>"1124386545"</f>
        <v>1124386545</v>
      </c>
      <c r="G660" s="1" t="s">
        <v>33</v>
      </c>
      <c r="H660" s="1" t="str">
        <f t="shared" si="128"/>
        <v>20220904</v>
      </c>
      <c r="I660" s="1" t="str">
        <f>"082758"</f>
        <v>082758</v>
      </c>
      <c r="J660" s="1" t="s">
        <v>28</v>
      </c>
      <c r="K660" s="1" t="s">
        <v>28</v>
      </c>
      <c r="L660" s="1" t="str">
        <f t="shared" si="129"/>
        <v>20220904</v>
      </c>
      <c r="M660" s="1" t="str">
        <f>"084115"</f>
        <v>084115</v>
      </c>
      <c r="N660" s="1" t="s">
        <v>46</v>
      </c>
      <c r="O660" s="1" t="s">
        <v>28</v>
      </c>
      <c r="P660" s="1" t="s">
        <v>55</v>
      </c>
      <c r="Q660" s="1">
        <v>25</v>
      </c>
      <c r="R660" s="1">
        <v>25</v>
      </c>
      <c r="S660" s="1">
        <v>0</v>
      </c>
      <c r="T660" s="1">
        <v>0</v>
      </c>
      <c r="U660" s="1">
        <v>0</v>
      </c>
      <c r="V660" s="1" t="str">
        <f t="shared" si="132"/>
        <v>里程去程</v>
      </c>
      <c r="W660" s="1" t="str">
        <f>"2120"</f>
        <v>2120</v>
      </c>
      <c r="X660" s="1" t="s">
        <v>35</v>
      </c>
    </row>
    <row r="661" spans="1:24" x14ac:dyDescent="0.3">
      <c r="A661" s="1" t="str">
        <f t="shared" si="130"/>
        <v>59829</v>
      </c>
      <c r="B661" s="1" t="s">
        <v>47</v>
      </c>
      <c r="C661" s="1" t="s">
        <v>48</v>
      </c>
      <c r="D661" s="1" t="str">
        <f t="shared" si="131"/>
        <v>9803</v>
      </c>
      <c r="E661" s="1" t="s">
        <v>32</v>
      </c>
      <c r="F661" s="1" t="str">
        <f>"258817967"</f>
        <v>258817967</v>
      </c>
      <c r="G661" s="1" t="s">
        <v>33</v>
      </c>
      <c r="H661" s="1" t="str">
        <f t="shared" si="128"/>
        <v>20220904</v>
      </c>
      <c r="I661" s="1" t="str">
        <f>"082801"</f>
        <v>082801</v>
      </c>
      <c r="J661" s="1" t="s">
        <v>28</v>
      </c>
      <c r="K661" s="1" t="s">
        <v>28</v>
      </c>
      <c r="L661" s="1" t="str">
        <f t="shared" si="129"/>
        <v>20220904</v>
      </c>
      <c r="M661" s="1" t="str">
        <f>"084113"</f>
        <v>084113</v>
      </c>
      <c r="N661" s="1" t="s">
        <v>46</v>
      </c>
      <c r="O661" s="1" t="s">
        <v>28</v>
      </c>
      <c r="P661" s="1" t="s">
        <v>55</v>
      </c>
      <c r="Q661" s="1">
        <v>25</v>
      </c>
      <c r="R661" s="1">
        <v>25</v>
      </c>
      <c r="S661" s="1">
        <v>0</v>
      </c>
      <c r="T661" s="1">
        <v>0</v>
      </c>
      <c r="U661" s="1">
        <v>0</v>
      </c>
      <c r="V661" s="1" t="str">
        <f t="shared" si="132"/>
        <v>里程去程</v>
      </c>
      <c r="W661" s="1" t="str">
        <f>"2120"</f>
        <v>2120</v>
      </c>
      <c r="X661" s="1" t="s">
        <v>35</v>
      </c>
    </row>
    <row r="662" spans="1:24" x14ac:dyDescent="0.3">
      <c r="A662" s="1" t="str">
        <f t="shared" si="130"/>
        <v>59829</v>
      </c>
      <c r="B662" s="1" t="s">
        <v>47</v>
      </c>
      <c r="C662" s="1" t="s">
        <v>48</v>
      </c>
      <c r="D662" s="1" t="str">
        <f t="shared" si="131"/>
        <v>9803</v>
      </c>
      <c r="E662" s="1" t="s">
        <v>32</v>
      </c>
      <c r="F662" s="1" t="str">
        <f>"1683525680"</f>
        <v>1683525680</v>
      </c>
      <c r="G662" s="1" t="s">
        <v>33</v>
      </c>
      <c r="H662" s="1" t="str">
        <f t="shared" si="128"/>
        <v>20220904</v>
      </c>
      <c r="I662" s="1" t="str">
        <f>"103309"</f>
        <v>103309</v>
      </c>
      <c r="J662" s="1" t="s">
        <v>28</v>
      </c>
      <c r="K662" s="1" t="s">
        <v>28</v>
      </c>
      <c r="L662" s="1" t="str">
        <f t="shared" si="129"/>
        <v>20220904</v>
      </c>
      <c r="M662" s="1" t="str">
        <f>"104410"</f>
        <v>104410</v>
      </c>
      <c r="N662" s="1" t="s">
        <v>46</v>
      </c>
      <c r="O662" s="1" t="s">
        <v>28</v>
      </c>
      <c r="P662" s="1" t="s">
        <v>55</v>
      </c>
      <c r="Q662" s="1">
        <v>25</v>
      </c>
      <c r="R662" s="1">
        <v>25</v>
      </c>
      <c r="S662" s="1">
        <v>0</v>
      </c>
      <c r="T662" s="1">
        <v>0</v>
      </c>
      <c r="U662" s="1">
        <v>0</v>
      </c>
      <c r="V662" s="1" t="str">
        <f t="shared" si="132"/>
        <v>里程去程</v>
      </c>
      <c r="W662" s="1" t="str">
        <f>"2020"</f>
        <v>2020</v>
      </c>
      <c r="X662" s="1" t="s">
        <v>35</v>
      </c>
    </row>
    <row r="663" spans="1:24" x14ac:dyDescent="0.3">
      <c r="A663" s="1" t="str">
        <f t="shared" si="130"/>
        <v>59829</v>
      </c>
      <c r="B663" s="1" t="s">
        <v>47</v>
      </c>
      <c r="C663" s="1" t="s">
        <v>48</v>
      </c>
      <c r="D663" s="1" t="str">
        <f t="shared" si="131"/>
        <v>9803</v>
      </c>
      <c r="E663" s="1" t="s">
        <v>32</v>
      </c>
      <c r="F663" s="1" t="str">
        <f>"863691077"</f>
        <v>863691077</v>
      </c>
      <c r="G663" s="1" t="s">
        <v>33</v>
      </c>
      <c r="H663" s="1" t="str">
        <f t="shared" si="128"/>
        <v>20220904</v>
      </c>
      <c r="I663" s="1" t="str">
        <f>"103312"</f>
        <v>103312</v>
      </c>
      <c r="J663" s="1" t="s">
        <v>28</v>
      </c>
      <c r="K663" s="1" t="s">
        <v>28</v>
      </c>
      <c r="L663" s="1" t="str">
        <f t="shared" si="129"/>
        <v>20220904</v>
      </c>
      <c r="M663" s="1" t="str">
        <f>"104408"</f>
        <v>104408</v>
      </c>
      <c r="N663" s="1" t="s">
        <v>46</v>
      </c>
      <c r="O663" s="1" t="s">
        <v>28</v>
      </c>
      <c r="P663" s="1" t="s">
        <v>55</v>
      </c>
      <c r="Q663" s="1">
        <v>25</v>
      </c>
      <c r="R663" s="1">
        <v>25</v>
      </c>
      <c r="S663" s="1">
        <v>0</v>
      </c>
      <c r="T663" s="1">
        <v>0</v>
      </c>
      <c r="U663" s="1">
        <v>0</v>
      </c>
      <c r="V663" s="1" t="str">
        <f t="shared" si="132"/>
        <v>里程去程</v>
      </c>
      <c r="W663" s="1" t="str">
        <f>"2020"</f>
        <v>2020</v>
      </c>
      <c r="X663" s="1" t="s">
        <v>35</v>
      </c>
    </row>
    <row r="664" spans="1:24" x14ac:dyDescent="0.3">
      <c r="A664" s="1" t="str">
        <f t="shared" si="130"/>
        <v>59829</v>
      </c>
      <c r="B664" s="1" t="s">
        <v>47</v>
      </c>
      <c r="C664" s="1" t="s">
        <v>48</v>
      </c>
      <c r="D664" s="1" t="str">
        <f t="shared" si="131"/>
        <v>9803</v>
      </c>
      <c r="E664" s="1" t="s">
        <v>32</v>
      </c>
      <c r="F664" s="1" t="str">
        <f>"929767121"</f>
        <v>929767121</v>
      </c>
      <c r="G664" s="1" t="s">
        <v>33</v>
      </c>
      <c r="H664" s="1" t="str">
        <f t="shared" si="128"/>
        <v>20220904</v>
      </c>
      <c r="I664" s="1" t="str">
        <f>"112438"</f>
        <v>112438</v>
      </c>
      <c r="J664" s="1" t="s">
        <v>28</v>
      </c>
      <c r="K664" s="1" t="s">
        <v>28</v>
      </c>
      <c r="L664" s="1" t="str">
        <f t="shared" si="129"/>
        <v>20220904</v>
      </c>
      <c r="M664" s="1" t="str">
        <f>"113944"</f>
        <v>113944</v>
      </c>
      <c r="N664" s="1" t="s">
        <v>46</v>
      </c>
      <c r="O664" s="1" t="s">
        <v>28</v>
      </c>
      <c r="P664" s="1" t="s">
        <v>55</v>
      </c>
      <c r="Q664" s="1">
        <v>25</v>
      </c>
      <c r="R664" s="1">
        <v>0</v>
      </c>
      <c r="S664" s="1">
        <v>25</v>
      </c>
      <c r="T664" s="1">
        <v>0</v>
      </c>
      <c r="U664" s="1">
        <v>0</v>
      </c>
      <c r="V664" s="1" t="str">
        <f t="shared" si="132"/>
        <v>里程去程</v>
      </c>
      <c r="W664" s="1" t="str">
        <f>"0820"</f>
        <v>0820</v>
      </c>
      <c r="X664" s="1" t="s">
        <v>35</v>
      </c>
    </row>
    <row r="665" spans="1:24" x14ac:dyDescent="0.3">
      <c r="A665" s="1" t="str">
        <f t="shared" si="130"/>
        <v>59829</v>
      </c>
      <c r="B665" s="1" t="s">
        <v>47</v>
      </c>
      <c r="C665" s="1" t="s">
        <v>48</v>
      </c>
      <c r="D665" s="1" t="str">
        <f t="shared" si="131"/>
        <v>9803</v>
      </c>
      <c r="E665" s="1" t="s">
        <v>32</v>
      </c>
      <c r="F665" s="1" t="str">
        <f>"1045570453"</f>
        <v>1045570453</v>
      </c>
      <c r="G665" s="1" t="s">
        <v>26</v>
      </c>
      <c r="H665" s="1" t="str">
        <f t="shared" si="128"/>
        <v>20220904</v>
      </c>
      <c r="I665" s="1" t="str">
        <f>"112439"</f>
        <v>112439</v>
      </c>
      <c r="J665" s="1" t="s">
        <v>28</v>
      </c>
      <c r="K665" s="1" t="s">
        <v>28</v>
      </c>
      <c r="L665" s="1" t="str">
        <f t="shared" si="129"/>
        <v>20220904</v>
      </c>
      <c r="M665" s="1" t="str">
        <f>"113942"</f>
        <v>113942</v>
      </c>
      <c r="N665" s="1" t="s">
        <v>46</v>
      </c>
      <c r="O665" s="1" t="s">
        <v>28</v>
      </c>
      <c r="P665" s="1" t="s">
        <v>55</v>
      </c>
      <c r="Q665" s="1">
        <v>13</v>
      </c>
      <c r="R665" s="1">
        <v>13</v>
      </c>
      <c r="S665" s="1">
        <v>0</v>
      </c>
      <c r="T665" s="1">
        <v>0</v>
      </c>
      <c r="U665" s="1">
        <v>0</v>
      </c>
      <c r="V665" s="1" t="str">
        <f t="shared" si="132"/>
        <v>里程去程</v>
      </c>
      <c r="W665" s="1" t="str">
        <f>"0120"</f>
        <v>0120</v>
      </c>
      <c r="X665" s="1" t="s">
        <v>35</v>
      </c>
    </row>
    <row r="666" spans="1:24" x14ac:dyDescent="0.3">
      <c r="A666" s="1" t="str">
        <f t="shared" si="130"/>
        <v>59829</v>
      </c>
      <c r="B666" s="1" t="s">
        <v>47</v>
      </c>
      <c r="C666" s="1" t="s">
        <v>48</v>
      </c>
      <c r="D666" s="1" t="str">
        <f t="shared" si="131"/>
        <v>9803</v>
      </c>
      <c r="E666" s="1" t="s">
        <v>32</v>
      </c>
      <c r="F666" s="1" t="str">
        <f>"1219803313"</f>
        <v>1219803313</v>
      </c>
      <c r="G666" s="1" t="s">
        <v>33</v>
      </c>
      <c r="H666" s="1" t="str">
        <f t="shared" si="128"/>
        <v>20220904</v>
      </c>
      <c r="I666" s="1" t="str">
        <f>"112448"</f>
        <v>112448</v>
      </c>
      <c r="J666" s="1" t="s">
        <v>28</v>
      </c>
      <c r="K666" s="1" t="s">
        <v>28</v>
      </c>
      <c r="L666" s="1" t="str">
        <f t="shared" si="129"/>
        <v>20220904</v>
      </c>
      <c r="M666" s="1" t="str">
        <f>"113937"</f>
        <v>113937</v>
      </c>
      <c r="N666" s="1" t="s">
        <v>46</v>
      </c>
      <c r="O666" s="1" t="s">
        <v>28</v>
      </c>
      <c r="P666" s="1" t="s">
        <v>55</v>
      </c>
      <c r="Q666" s="1">
        <v>25</v>
      </c>
      <c r="R666" s="1">
        <v>0</v>
      </c>
      <c r="S666" s="1">
        <v>25</v>
      </c>
      <c r="T666" s="1">
        <v>0</v>
      </c>
      <c r="U666" s="1">
        <v>0</v>
      </c>
      <c r="V666" s="1" t="str">
        <f t="shared" si="132"/>
        <v>里程去程</v>
      </c>
      <c r="W666" s="1" t="str">
        <f>"0820"</f>
        <v>0820</v>
      </c>
      <c r="X666" s="1" t="s">
        <v>35</v>
      </c>
    </row>
    <row r="667" spans="1:24" x14ac:dyDescent="0.3">
      <c r="A667" s="1" t="str">
        <f t="shared" si="130"/>
        <v>59829</v>
      </c>
      <c r="B667" s="1" t="s">
        <v>47</v>
      </c>
      <c r="C667" s="1" t="s">
        <v>48</v>
      </c>
      <c r="D667" s="1" t="str">
        <f t="shared" si="131"/>
        <v>9803</v>
      </c>
      <c r="E667" s="1" t="s">
        <v>32</v>
      </c>
      <c r="F667" s="1" t="str">
        <f>"795893829"</f>
        <v>795893829</v>
      </c>
      <c r="G667" s="1" t="s">
        <v>26</v>
      </c>
      <c r="H667" s="1" t="str">
        <f t="shared" si="128"/>
        <v>20220904</v>
      </c>
      <c r="I667" s="1" t="str">
        <f>"112452"</f>
        <v>112452</v>
      </c>
      <c r="J667" s="1" t="s">
        <v>28</v>
      </c>
      <c r="K667" s="1" t="s">
        <v>28</v>
      </c>
      <c r="L667" s="1" t="str">
        <f t="shared" si="129"/>
        <v>20220904</v>
      </c>
      <c r="M667" s="1" t="str">
        <f>"113933"</f>
        <v>113933</v>
      </c>
      <c r="N667" s="1" t="s">
        <v>46</v>
      </c>
      <c r="O667" s="1" t="s">
        <v>28</v>
      </c>
      <c r="P667" s="1" t="s">
        <v>55</v>
      </c>
      <c r="Q667" s="1">
        <v>13</v>
      </c>
      <c r="R667" s="1">
        <v>13</v>
      </c>
      <c r="S667" s="1">
        <v>0</v>
      </c>
      <c r="T667" s="1">
        <v>0</v>
      </c>
      <c r="U667" s="1">
        <v>0</v>
      </c>
      <c r="V667" s="1" t="str">
        <f t="shared" si="132"/>
        <v>里程去程</v>
      </c>
      <c r="W667" s="1" t="str">
        <f>"0120"</f>
        <v>0120</v>
      </c>
      <c r="X667" s="1" t="s">
        <v>35</v>
      </c>
    </row>
    <row r="668" spans="1:24" x14ac:dyDescent="0.3">
      <c r="A668" s="1" t="str">
        <f t="shared" si="130"/>
        <v>59829</v>
      </c>
      <c r="B668" s="1" t="s">
        <v>47</v>
      </c>
      <c r="C668" s="1" t="s">
        <v>48</v>
      </c>
      <c r="D668" s="1" t="str">
        <f t="shared" si="131"/>
        <v>9803</v>
      </c>
      <c r="E668" s="1" t="s">
        <v>32</v>
      </c>
      <c r="F668" s="1" t="str">
        <f>"E1525436D12804001C00000000000000"</f>
        <v>E1525436D12804001C00000000000000</v>
      </c>
      <c r="G668" s="1" t="s">
        <v>58</v>
      </c>
      <c r="H668" s="1" t="str">
        <f t="shared" si="128"/>
        <v>20220904</v>
      </c>
      <c r="I668" s="1" t="str">
        <f>"112458"</f>
        <v>112458</v>
      </c>
      <c r="J668" s="1" t="s">
        <v>28</v>
      </c>
      <c r="K668" s="1" t="s">
        <v>28</v>
      </c>
      <c r="L668" s="1" t="str">
        <f t="shared" si="129"/>
        <v>20220904</v>
      </c>
      <c r="M668" s="1" t="str">
        <f>"113940"</f>
        <v>113940</v>
      </c>
      <c r="N668" s="1" t="s">
        <v>46</v>
      </c>
      <c r="O668" s="1" t="s">
        <v>28</v>
      </c>
      <c r="P668" s="1" t="s">
        <v>55</v>
      </c>
      <c r="Q668" s="1">
        <v>25</v>
      </c>
      <c r="R668" s="1">
        <v>0</v>
      </c>
      <c r="S668" s="1">
        <v>25</v>
      </c>
      <c r="T668" s="1">
        <v>0</v>
      </c>
      <c r="U668" s="1">
        <v>0</v>
      </c>
      <c r="V668" s="1" t="str">
        <f t="shared" si="132"/>
        <v>里程去程</v>
      </c>
      <c r="W668" s="1" t="str">
        <f>"0620"</f>
        <v>0620</v>
      </c>
      <c r="X668" s="1" t="s">
        <v>29</v>
      </c>
    </row>
    <row r="669" spans="1:24" x14ac:dyDescent="0.3">
      <c r="A669" s="1" t="str">
        <f t="shared" si="130"/>
        <v>59829</v>
      </c>
      <c r="B669" s="1" t="s">
        <v>47</v>
      </c>
      <c r="C669" s="1" t="s">
        <v>48</v>
      </c>
      <c r="D669" s="1" t="str">
        <f t="shared" si="131"/>
        <v>9803</v>
      </c>
      <c r="E669" s="1" t="s">
        <v>32</v>
      </c>
      <c r="F669" s="1" t="str">
        <f>"242987777"</f>
        <v>242987777</v>
      </c>
      <c r="G669" s="1" t="s">
        <v>33</v>
      </c>
      <c r="H669" s="1" t="str">
        <f t="shared" si="128"/>
        <v>20220904</v>
      </c>
      <c r="I669" s="1" t="str">
        <f>"153813"</f>
        <v>153813</v>
      </c>
      <c r="J669" s="1" t="s">
        <v>28</v>
      </c>
      <c r="K669" s="1" t="s">
        <v>28</v>
      </c>
      <c r="L669" s="1" t="str">
        <f t="shared" si="129"/>
        <v>20220904</v>
      </c>
      <c r="M669" s="1" t="str">
        <f>"155750"</f>
        <v>155750</v>
      </c>
      <c r="N669" s="1" t="s">
        <v>89</v>
      </c>
      <c r="O669" s="1" t="s">
        <v>28</v>
      </c>
      <c r="P669" s="1" t="s">
        <v>55</v>
      </c>
      <c r="Q669" s="1">
        <v>25</v>
      </c>
      <c r="R669" s="1">
        <v>25</v>
      </c>
      <c r="S669" s="1">
        <v>0</v>
      </c>
      <c r="T669" s="1">
        <v>0</v>
      </c>
      <c r="U669" s="1">
        <v>0</v>
      </c>
      <c r="V669" s="1" t="str">
        <f t="shared" si="132"/>
        <v>里程去程</v>
      </c>
      <c r="W669" s="1" t="str">
        <f>"0120"</f>
        <v>0120</v>
      </c>
      <c r="X669" s="1" t="s">
        <v>35</v>
      </c>
    </row>
    <row r="670" spans="1:24" x14ac:dyDescent="0.3">
      <c r="A670" s="1" t="str">
        <f t="shared" si="130"/>
        <v>59829</v>
      </c>
      <c r="B670" s="1" t="s">
        <v>47</v>
      </c>
      <c r="C670" s="1" t="s">
        <v>48</v>
      </c>
      <c r="D670" s="1" t="str">
        <f t="shared" si="131"/>
        <v>9803</v>
      </c>
      <c r="E670" s="1" t="s">
        <v>32</v>
      </c>
      <c r="F670" s="1" t="str">
        <f>"1479922945"</f>
        <v>1479922945</v>
      </c>
      <c r="G670" s="1" t="s">
        <v>33</v>
      </c>
      <c r="H670" s="1" t="str">
        <f t="shared" si="128"/>
        <v>20220904</v>
      </c>
      <c r="I670" s="1" t="str">
        <f>"153903"</f>
        <v>153903</v>
      </c>
      <c r="J670" s="1" t="s">
        <v>28</v>
      </c>
      <c r="K670" s="1" t="s">
        <v>28</v>
      </c>
      <c r="L670" s="1" t="str">
        <f t="shared" si="129"/>
        <v>20220904</v>
      </c>
      <c r="M670" s="1" t="str">
        <f>"155758"</f>
        <v>155758</v>
      </c>
      <c r="N670" s="1" t="s">
        <v>89</v>
      </c>
      <c r="O670" s="1" t="s">
        <v>28</v>
      </c>
      <c r="P670" s="1" t="s">
        <v>55</v>
      </c>
      <c r="Q670" s="1">
        <v>25</v>
      </c>
      <c r="R670" s="1">
        <v>25</v>
      </c>
      <c r="S670" s="1">
        <v>0</v>
      </c>
      <c r="T670" s="1">
        <v>0</v>
      </c>
      <c r="U670" s="1">
        <v>0</v>
      </c>
      <c r="V670" s="1" t="str">
        <f t="shared" si="132"/>
        <v>里程去程</v>
      </c>
      <c r="W670" s="1" t="str">
        <f>"0120"</f>
        <v>0120</v>
      </c>
      <c r="X670" s="1" t="s">
        <v>35</v>
      </c>
    </row>
    <row r="671" spans="1:24" x14ac:dyDescent="0.3">
      <c r="A671" s="1" t="str">
        <f t="shared" si="130"/>
        <v>59829</v>
      </c>
      <c r="B671" s="1" t="s">
        <v>47</v>
      </c>
      <c r="C671" s="1" t="s">
        <v>48</v>
      </c>
      <c r="D671" s="1" t="str">
        <f t="shared" si="131"/>
        <v>9803</v>
      </c>
      <c r="E671" s="1" t="s">
        <v>32</v>
      </c>
      <c r="F671" s="1" t="str">
        <f>"9517172004420234"</f>
        <v>9517172004420234</v>
      </c>
      <c r="G671" s="1" t="s">
        <v>33</v>
      </c>
      <c r="H671" s="1" t="str">
        <f t="shared" si="128"/>
        <v>20220904</v>
      </c>
      <c r="I671" s="1" t="str">
        <f>"164037"</f>
        <v>164037</v>
      </c>
      <c r="J671" s="1" t="s">
        <v>28</v>
      </c>
      <c r="K671" s="1" t="s">
        <v>28</v>
      </c>
      <c r="L671" s="1" t="str">
        <f t="shared" si="129"/>
        <v>20220904</v>
      </c>
      <c r="M671" s="1" t="str">
        <f>"165916"</f>
        <v>165916</v>
      </c>
      <c r="N671" s="1" t="s">
        <v>34</v>
      </c>
      <c r="O671" s="1" t="s">
        <v>34</v>
      </c>
      <c r="P671" s="1" t="s">
        <v>55</v>
      </c>
      <c r="Q671" s="1">
        <v>25</v>
      </c>
      <c r="R671" s="1">
        <v>25</v>
      </c>
      <c r="S671" s="1">
        <v>0</v>
      </c>
      <c r="T671" s="1">
        <v>0</v>
      </c>
      <c r="U671" s="1">
        <v>0</v>
      </c>
      <c r="V671" s="1" t="str">
        <f t="shared" si="132"/>
        <v>里程去程</v>
      </c>
      <c r="W671" s="1" t="str">
        <f>"023B"</f>
        <v>023B</v>
      </c>
      <c r="X671" s="1" t="s">
        <v>109</v>
      </c>
    </row>
    <row r="672" spans="1:24" x14ac:dyDescent="0.3">
      <c r="A672" s="1" t="str">
        <f t="shared" si="130"/>
        <v>59829</v>
      </c>
      <c r="B672" s="1" t="s">
        <v>47</v>
      </c>
      <c r="C672" s="1" t="s">
        <v>48</v>
      </c>
      <c r="D672" s="1" t="str">
        <f t="shared" si="131"/>
        <v>9803</v>
      </c>
      <c r="E672" s="1" t="s">
        <v>32</v>
      </c>
      <c r="F672" s="1" t="str">
        <f>"1099095077"</f>
        <v>1099095077</v>
      </c>
      <c r="G672" s="1" t="s">
        <v>38</v>
      </c>
      <c r="H672" s="1" t="str">
        <f t="shared" si="128"/>
        <v>20220904</v>
      </c>
      <c r="I672" s="1" t="str">
        <f>"164047"</f>
        <v>164047</v>
      </c>
      <c r="J672" s="1" t="s">
        <v>28</v>
      </c>
      <c r="K672" s="1" t="s">
        <v>28</v>
      </c>
      <c r="L672" s="1" t="str">
        <f t="shared" si="129"/>
        <v>20220904</v>
      </c>
      <c r="M672" s="1" t="str">
        <f>"165927"</f>
        <v>165927</v>
      </c>
      <c r="N672" s="1" t="s">
        <v>34</v>
      </c>
      <c r="O672" s="1" t="s">
        <v>34</v>
      </c>
      <c r="P672" s="1" t="s">
        <v>55</v>
      </c>
      <c r="Q672" s="1">
        <v>25</v>
      </c>
      <c r="R672" s="1">
        <v>25</v>
      </c>
      <c r="S672" s="1">
        <v>0</v>
      </c>
      <c r="T672" s="1">
        <v>0</v>
      </c>
      <c r="U672" s="1">
        <v>0</v>
      </c>
      <c r="V672" s="1" t="str">
        <f t="shared" si="132"/>
        <v>里程去程</v>
      </c>
      <c r="W672" s="1" t="str">
        <f>"1c20"</f>
        <v>1c20</v>
      </c>
      <c r="X672" s="1" t="s">
        <v>35</v>
      </c>
    </row>
    <row r="673" spans="1:24" x14ac:dyDescent="0.3">
      <c r="A673" s="1" t="str">
        <f t="shared" si="130"/>
        <v>59829</v>
      </c>
      <c r="B673" s="1" t="s">
        <v>47</v>
      </c>
      <c r="C673" s="1" t="s">
        <v>48</v>
      </c>
      <c r="D673" s="1" t="str">
        <f t="shared" si="131"/>
        <v>9803</v>
      </c>
      <c r="E673" s="1" t="s">
        <v>32</v>
      </c>
      <c r="F673" s="1" t="str">
        <f>"1410811905"</f>
        <v>1410811905</v>
      </c>
      <c r="G673" s="1" t="s">
        <v>74</v>
      </c>
      <c r="H673" s="1" t="str">
        <f t="shared" si="128"/>
        <v>20220904</v>
      </c>
      <c r="I673" s="1" t="str">
        <f>"164048"</f>
        <v>164048</v>
      </c>
      <c r="J673" s="1" t="s">
        <v>28</v>
      </c>
      <c r="K673" s="1" t="s">
        <v>28</v>
      </c>
      <c r="L673" s="1" t="str">
        <f t="shared" si="129"/>
        <v>20220904</v>
      </c>
      <c r="M673" s="1" t="str">
        <f>"165925"</f>
        <v>165925</v>
      </c>
      <c r="N673" s="1" t="s">
        <v>34</v>
      </c>
      <c r="O673" s="1" t="s">
        <v>34</v>
      </c>
      <c r="P673" s="1" t="s">
        <v>55</v>
      </c>
      <c r="Q673" s="1">
        <v>13</v>
      </c>
      <c r="R673" s="1">
        <v>13</v>
      </c>
      <c r="S673" s="1">
        <v>0</v>
      </c>
      <c r="T673" s="1">
        <v>0</v>
      </c>
      <c r="U673" s="1">
        <v>0</v>
      </c>
      <c r="V673" s="1" t="str">
        <f t="shared" si="132"/>
        <v>里程去程</v>
      </c>
      <c r="W673" s="1" t="str">
        <f>"0120"</f>
        <v>0120</v>
      </c>
      <c r="X673" s="1" t="s">
        <v>35</v>
      </c>
    </row>
    <row r="674" spans="1:24" x14ac:dyDescent="0.3">
      <c r="A674" s="1" t="str">
        <f t="shared" si="130"/>
        <v>59829</v>
      </c>
      <c r="B674" s="1" t="s">
        <v>47</v>
      </c>
      <c r="C674" s="1" t="s">
        <v>48</v>
      </c>
      <c r="D674" s="1" t="str">
        <f>"9805"</f>
        <v>9805</v>
      </c>
      <c r="E674" s="1" t="s">
        <v>57</v>
      </c>
      <c r="F674" s="1" t="str">
        <f>"994049557"</f>
        <v>994049557</v>
      </c>
      <c r="G674" s="1" t="s">
        <v>33</v>
      </c>
      <c r="H674" s="1" t="str">
        <f t="shared" si="128"/>
        <v>20220904</v>
      </c>
      <c r="I674" s="1" t="str">
        <f>"175549"</f>
        <v>175549</v>
      </c>
      <c r="J674" s="1" t="s">
        <v>28</v>
      </c>
      <c r="K674" s="1" t="s">
        <v>28</v>
      </c>
      <c r="L674" s="1" t="str">
        <f t="shared" si="129"/>
        <v>20220904</v>
      </c>
      <c r="M674" s="1" t="str">
        <f>"181721"</f>
        <v>181721</v>
      </c>
      <c r="N674" s="1" t="s">
        <v>62</v>
      </c>
      <c r="O674" s="1" t="s">
        <v>28</v>
      </c>
      <c r="P674" s="1" t="s">
        <v>55</v>
      </c>
      <c r="Q674" s="1">
        <v>25</v>
      </c>
      <c r="R674" s="1">
        <v>0</v>
      </c>
      <c r="S674" s="1">
        <v>25</v>
      </c>
      <c r="T674" s="1">
        <v>0</v>
      </c>
      <c r="U674" s="1">
        <v>0</v>
      </c>
      <c r="V674" s="1" t="str">
        <f t="shared" si="132"/>
        <v>里程去程</v>
      </c>
      <c r="W674" s="1" t="str">
        <f>"0820"</f>
        <v>0820</v>
      </c>
      <c r="X674" s="1" t="s">
        <v>35</v>
      </c>
    </row>
    <row r="675" spans="1:24" x14ac:dyDescent="0.3">
      <c r="A675" s="1" t="str">
        <f t="shared" ref="A675:A706" si="133">"59820"</f>
        <v>59820</v>
      </c>
      <c r="B675" s="1" t="s">
        <v>53</v>
      </c>
      <c r="C675" s="1" t="s">
        <v>31</v>
      </c>
      <c r="D675" s="1" t="str">
        <f t="shared" ref="D675:D691" si="134">"9801"</f>
        <v>9801</v>
      </c>
      <c r="E675" s="1" t="s">
        <v>25</v>
      </c>
      <c r="F675" s="1" t="str">
        <f>"F29BD102BA880400C834002000000015"</f>
        <v>F29BD102BA880400C834002000000015</v>
      </c>
      <c r="G675" s="1" t="s">
        <v>26</v>
      </c>
      <c r="H675" s="1" t="str">
        <f t="shared" ref="H675:H738" si="135">"20220905"</f>
        <v>20220905</v>
      </c>
      <c r="I675" s="1" t="str">
        <f>"083350"</f>
        <v>083350</v>
      </c>
      <c r="J675" s="1" t="s">
        <v>44</v>
      </c>
      <c r="K675" s="1" t="s">
        <v>45</v>
      </c>
      <c r="L675" s="1" t="str">
        <f t="shared" ref="L675:L706" si="136">"20220905"</f>
        <v>20220905</v>
      </c>
      <c r="M675" s="1" t="str">
        <f>"085033"</f>
        <v>085033</v>
      </c>
      <c r="N675" s="1" t="s">
        <v>95</v>
      </c>
      <c r="O675" s="1" t="s">
        <v>28</v>
      </c>
      <c r="P675" s="1" t="s">
        <v>68</v>
      </c>
      <c r="Q675" s="1">
        <v>13</v>
      </c>
      <c r="R675" s="1">
        <v>0</v>
      </c>
      <c r="S675" s="1">
        <v>0</v>
      </c>
      <c r="T675" s="1">
        <v>13</v>
      </c>
      <c r="U675" s="1">
        <v>0</v>
      </c>
      <c r="V675" s="1" t="str">
        <f t="shared" ref="V675:V691" si="137">"里程返程"</f>
        <v>里程返程</v>
      </c>
      <c r="W675" s="1" t="str">
        <f>"0020"</f>
        <v>0020</v>
      </c>
      <c r="X675" s="1" t="s">
        <v>29</v>
      </c>
    </row>
    <row r="676" spans="1:24" x14ac:dyDescent="0.3">
      <c r="A676" s="1" t="str">
        <f t="shared" si="133"/>
        <v>59820</v>
      </c>
      <c r="B676" s="1" t="s">
        <v>53</v>
      </c>
      <c r="C676" s="1" t="s">
        <v>31</v>
      </c>
      <c r="D676" s="1" t="str">
        <f t="shared" si="134"/>
        <v>9801</v>
      </c>
      <c r="E676" s="1" t="s">
        <v>25</v>
      </c>
      <c r="F676" s="1" t="str">
        <f>"03A6A9454988040048B994D749703809"</f>
        <v>03A6A9454988040048B994D749703809</v>
      </c>
      <c r="G676" s="1" t="s">
        <v>64</v>
      </c>
      <c r="H676" s="1" t="str">
        <f t="shared" si="135"/>
        <v>20220905</v>
      </c>
      <c r="I676" s="1" t="str">
        <f>"085110"</f>
        <v>085110</v>
      </c>
      <c r="J676" s="1" t="s">
        <v>28</v>
      </c>
      <c r="K676" s="1" t="s">
        <v>28</v>
      </c>
      <c r="L676" s="1" t="str">
        <f t="shared" si="136"/>
        <v>20220905</v>
      </c>
      <c r="M676" s="1" t="str">
        <f>"090532"</f>
        <v>090532</v>
      </c>
      <c r="N676" s="1" t="s">
        <v>78</v>
      </c>
      <c r="O676" s="1" t="s">
        <v>52</v>
      </c>
      <c r="P676" s="1" t="s">
        <v>55</v>
      </c>
      <c r="Q676" s="1">
        <v>13</v>
      </c>
      <c r="R676" s="1">
        <v>13</v>
      </c>
      <c r="S676" s="1">
        <v>0</v>
      </c>
      <c r="T676" s="1">
        <v>0</v>
      </c>
      <c r="U676" s="1">
        <v>0</v>
      </c>
      <c r="V676" s="1" t="str">
        <f t="shared" si="137"/>
        <v>里程返程</v>
      </c>
      <c r="W676" s="1" t="str">
        <f>"0020"</f>
        <v>0020</v>
      </c>
      <c r="X676" s="1" t="s">
        <v>29</v>
      </c>
    </row>
    <row r="677" spans="1:24" x14ac:dyDescent="0.3">
      <c r="A677" s="1" t="str">
        <f t="shared" si="133"/>
        <v>59820</v>
      </c>
      <c r="B677" s="1" t="s">
        <v>53</v>
      </c>
      <c r="C677" s="1" t="s">
        <v>31</v>
      </c>
      <c r="D677" s="1" t="str">
        <f t="shared" si="134"/>
        <v>9801</v>
      </c>
      <c r="E677" s="1" t="s">
        <v>25</v>
      </c>
      <c r="F677" s="1" t="str">
        <f>"835995889"</f>
        <v>835995889</v>
      </c>
      <c r="G677" s="1" t="s">
        <v>33</v>
      </c>
      <c r="H677" s="1" t="str">
        <f t="shared" si="135"/>
        <v>20220905</v>
      </c>
      <c r="I677" s="1" t="str">
        <f>"093808"</f>
        <v>093808</v>
      </c>
      <c r="J677" s="1" t="s">
        <v>75</v>
      </c>
      <c r="K677" s="1" t="s">
        <v>45</v>
      </c>
      <c r="L677" s="1" t="str">
        <f t="shared" si="136"/>
        <v>20220905</v>
      </c>
      <c r="M677" s="1" t="str">
        <f>"095055"</f>
        <v>095055</v>
      </c>
      <c r="N677" s="1" t="s">
        <v>28</v>
      </c>
      <c r="O677" s="1" t="s">
        <v>28</v>
      </c>
      <c r="P677" s="1" t="s">
        <v>55</v>
      </c>
      <c r="Q677" s="1">
        <v>25</v>
      </c>
      <c r="R677" s="1">
        <v>25</v>
      </c>
      <c r="S677" s="1">
        <v>0</v>
      </c>
      <c r="T677" s="1">
        <v>0</v>
      </c>
      <c r="U677" s="1">
        <v>0</v>
      </c>
      <c r="V677" s="1" t="str">
        <f t="shared" si="137"/>
        <v>里程返程</v>
      </c>
      <c r="W677" s="1" t="str">
        <f>"2120"</f>
        <v>2120</v>
      </c>
      <c r="X677" s="1" t="s">
        <v>35</v>
      </c>
    </row>
    <row r="678" spans="1:24" x14ac:dyDescent="0.3">
      <c r="A678" s="1" t="str">
        <f t="shared" si="133"/>
        <v>59820</v>
      </c>
      <c r="B678" s="1" t="s">
        <v>53</v>
      </c>
      <c r="C678" s="1" t="s">
        <v>31</v>
      </c>
      <c r="D678" s="1" t="str">
        <f t="shared" si="134"/>
        <v>9801</v>
      </c>
      <c r="E678" s="1" t="s">
        <v>25</v>
      </c>
      <c r="F678" s="1" t="str">
        <f>"42ECA11916880400C824002000000020"</f>
        <v>42ECA11916880400C824002000000020</v>
      </c>
      <c r="G678" s="1" t="s">
        <v>64</v>
      </c>
      <c r="H678" s="1" t="str">
        <f t="shared" si="135"/>
        <v>20220905</v>
      </c>
      <c r="I678" s="1" t="str">
        <f>"093956"</f>
        <v>093956</v>
      </c>
      <c r="J678" s="1" t="s">
        <v>56</v>
      </c>
      <c r="K678" s="1" t="s">
        <v>45</v>
      </c>
      <c r="L678" s="1" t="str">
        <f t="shared" si="136"/>
        <v>20220905</v>
      </c>
      <c r="M678" s="1" t="str">
        <f>"095052"</f>
        <v>095052</v>
      </c>
      <c r="N678" s="1" t="s">
        <v>28</v>
      </c>
      <c r="O678" s="1" t="s">
        <v>28</v>
      </c>
      <c r="P678" s="1" t="s">
        <v>55</v>
      </c>
      <c r="Q678" s="1">
        <v>13</v>
      </c>
      <c r="R678" s="1">
        <v>13</v>
      </c>
      <c r="S678" s="1">
        <v>0</v>
      </c>
      <c r="T678" s="1">
        <v>0</v>
      </c>
      <c r="U678" s="1">
        <v>0</v>
      </c>
      <c r="V678" s="1" t="str">
        <f t="shared" si="137"/>
        <v>里程返程</v>
      </c>
      <c r="W678" s="1" t="str">
        <f>"0020"</f>
        <v>0020</v>
      </c>
      <c r="X678" s="1" t="s">
        <v>29</v>
      </c>
    </row>
    <row r="679" spans="1:24" x14ac:dyDescent="0.3">
      <c r="A679" s="1" t="str">
        <f t="shared" si="133"/>
        <v>59820</v>
      </c>
      <c r="B679" s="1" t="s">
        <v>53</v>
      </c>
      <c r="C679" s="1" t="s">
        <v>31</v>
      </c>
      <c r="D679" s="1" t="str">
        <f t="shared" si="134"/>
        <v>9801</v>
      </c>
      <c r="E679" s="1" t="s">
        <v>25</v>
      </c>
      <c r="F679" s="1" t="str">
        <f>"5AD59E8190880400C185149965804512"</f>
        <v>5AD59E8190880400C185149965804512</v>
      </c>
      <c r="G679" s="1" t="s">
        <v>58</v>
      </c>
      <c r="H679" s="1" t="str">
        <f t="shared" si="135"/>
        <v>20220905</v>
      </c>
      <c r="I679" s="1" t="str">
        <f>"095109"</f>
        <v>095109</v>
      </c>
      <c r="J679" s="1" t="s">
        <v>28</v>
      </c>
      <c r="K679" s="1" t="s">
        <v>28</v>
      </c>
      <c r="L679" s="1" t="str">
        <f t="shared" si="136"/>
        <v>20220905</v>
      </c>
      <c r="M679" s="1" t="str">
        <f>"101407"</f>
        <v>101407</v>
      </c>
      <c r="N679" s="1" t="s">
        <v>65</v>
      </c>
      <c r="O679" s="1" t="s">
        <v>52</v>
      </c>
      <c r="P679" s="1" t="s">
        <v>55</v>
      </c>
      <c r="Q679" s="1">
        <v>25</v>
      </c>
      <c r="R679" s="1">
        <v>25</v>
      </c>
      <c r="S679" s="1">
        <v>0</v>
      </c>
      <c r="T679" s="1">
        <v>0</v>
      </c>
      <c r="U679" s="1">
        <v>0</v>
      </c>
      <c r="V679" s="1" t="str">
        <f t="shared" si="137"/>
        <v>里程返程</v>
      </c>
      <c r="W679" s="1" t="str">
        <f>"0020"</f>
        <v>0020</v>
      </c>
      <c r="X679" s="1" t="s">
        <v>29</v>
      </c>
    </row>
    <row r="680" spans="1:24" x14ac:dyDescent="0.3">
      <c r="A680" s="1" t="str">
        <f t="shared" si="133"/>
        <v>59820</v>
      </c>
      <c r="B680" s="1" t="s">
        <v>53</v>
      </c>
      <c r="C680" s="1" t="s">
        <v>31</v>
      </c>
      <c r="D680" s="1" t="str">
        <f t="shared" si="134"/>
        <v>9801</v>
      </c>
      <c r="E680" s="1" t="s">
        <v>25</v>
      </c>
      <c r="F680" s="1" t="str">
        <f>"285817872"</f>
        <v>285817872</v>
      </c>
      <c r="G680" s="1" t="s">
        <v>33</v>
      </c>
      <c r="H680" s="1" t="str">
        <f t="shared" si="135"/>
        <v>20220905</v>
      </c>
      <c r="I680" s="1" t="str">
        <f>"095129"</f>
        <v>095129</v>
      </c>
      <c r="J680" s="1" t="s">
        <v>28</v>
      </c>
      <c r="K680" s="1" t="s">
        <v>28</v>
      </c>
      <c r="L680" s="1" t="str">
        <f t="shared" si="136"/>
        <v>20220905</v>
      </c>
      <c r="M680" s="1" t="str">
        <f>"101844"</f>
        <v>101844</v>
      </c>
      <c r="N680" s="1" t="s">
        <v>60</v>
      </c>
      <c r="O680" s="1" t="s">
        <v>52</v>
      </c>
      <c r="P680" s="1" t="s">
        <v>55</v>
      </c>
      <c r="Q680" s="1">
        <v>25</v>
      </c>
      <c r="R680" s="1">
        <v>0</v>
      </c>
      <c r="S680" s="1">
        <v>25</v>
      </c>
      <c r="T680" s="1">
        <v>0</v>
      </c>
      <c r="U680" s="1">
        <v>0</v>
      </c>
      <c r="V680" s="1" t="str">
        <f t="shared" si="137"/>
        <v>里程返程</v>
      </c>
      <c r="W680" s="1" t="str">
        <f>"0820"</f>
        <v>0820</v>
      </c>
      <c r="X680" s="1" t="s">
        <v>35</v>
      </c>
    </row>
    <row r="681" spans="1:24" x14ac:dyDescent="0.3">
      <c r="A681" s="1" t="str">
        <f t="shared" si="133"/>
        <v>59820</v>
      </c>
      <c r="B681" s="1" t="s">
        <v>53</v>
      </c>
      <c r="C681" s="1" t="s">
        <v>31</v>
      </c>
      <c r="D681" s="1" t="str">
        <f t="shared" si="134"/>
        <v>9801</v>
      </c>
      <c r="E681" s="1" t="s">
        <v>25</v>
      </c>
      <c r="F681" s="1" t="str">
        <f>"4251460257880400C821002000000015"</f>
        <v>4251460257880400C821002000000015</v>
      </c>
      <c r="G681" s="1" t="s">
        <v>26</v>
      </c>
      <c r="H681" s="1" t="str">
        <f t="shared" si="135"/>
        <v>20220905</v>
      </c>
      <c r="I681" s="1" t="str">
        <f>"100615"</f>
        <v>100615</v>
      </c>
      <c r="J681" s="1" t="s">
        <v>69</v>
      </c>
      <c r="K681" s="1" t="s">
        <v>52</v>
      </c>
      <c r="L681" s="1" t="str">
        <f t="shared" si="136"/>
        <v>20220905</v>
      </c>
      <c r="M681" s="1" t="str">
        <f>"101039"</f>
        <v>101039</v>
      </c>
      <c r="N681" s="1" t="s">
        <v>80</v>
      </c>
      <c r="O681" s="1" t="s">
        <v>52</v>
      </c>
      <c r="P681" s="1" t="s">
        <v>68</v>
      </c>
      <c r="Q681" s="1">
        <v>13</v>
      </c>
      <c r="R681" s="1">
        <v>0</v>
      </c>
      <c r="S681" s="1">
        <v>0</v>
      </c>
      <c r="T681" s="1">
        <v>13</v>
      </c>
      <c r="U681" s="1">
        <v>0</v>
      </c>
      <c r="V681" s="1" t="str">
        <f t="shared" si="137"/>
        <v>里程返程</v>
      </c>
      <c r="W681" s="1" t="str">
        <f t="shared" ref="W681:W687" si="138">"0020"</f>
        <v>0020</v>
      </c>
      <c r="X681" s="1" t="s">
        <v>29</v>
      </c>
    </row>
    <row r="682" spans="1:24" x14ac:dyDescent="0.3">
      <c r="A682" s="1" t="str">
        <f t="shared" si="133"/>
        <v>59820</v>
      </c>
      <c r="B682" s="1" t="s">
        <v>53</v>
      </c>
      <c r="C682" s="1" t="s">
        <v>31</v>
      </c>
      <c r="D682" s="1" t="str">
        <f t="shared" si="134"/>
        <v>9801</v>
      </c>
      <c r="E682" s="1" t="s">
        <v>25</v>
      </c>
      <c r="F682" s="1" t="str">
        <f>"32780D0344880400C834002000000015"</f>
        <v>32780D0344880400C834002000000015</v>
      </c>
      <c r="G682" s="1" t="s">
        <v>26</v>
      </c>
      <c r="H682" s="1" t="str">
        <f t="shared" si="135"/>
        <v>20220905</v>
      </c>
      <c r="I682" s="1" t="str">
        <f>"102422"</f>
        <v>102422</v>
      </c>
      <c r="J682" s="1" t="s">
        <v>44</v>
      </c>
      <c r="K682" s="1" t="s">
        <v>45</v>
      </c>
      <c r="L682" s="1" t="str">
        <f t="shared" si="136"/>
        <v>20220905</v>
      </c>
      <c r="M682" s="1" t="str">
        <f>"105006"</f>
        <v>105006</v>
      </c>
      <c r="N682" s="1" t="s">
        <v>95</v>
      </c>
      <c r="O682" s="1" t="s">
        <v>28</v>
      </c>
      <c r="P682" s="1" t="s">
        <v>68</v>
      </c>
      <c r="Q682" s="1">
        <v>13</v>
      </c>
      <c r="R682" s="1">
        <v>0</v>
      </c>
      <c r="S682" s="1">
        <v>0</v>
      </c>
      <c r="T682" s="1">
        <v>13</v>
      </c>
      <c r="U682" s="1">
        <v>0</v>
      </c>
      <c r="V682" s="1" t="str">
        <f t="shared" si="137"/>
        <v>里程返程</v>
      </c>
      <c r="W682" s="1" t="str">
        <f t="shared" si="138"/>
        <v>0020</v>
      </c>
      <c r="X682" s="1" t="s">
        <v>29</v>
      </c>
    </row>
    <row r="683" spans="1:24" x14ac:dyDescent="0.3">
      <c r="A683" s="1" t="str">
        <f t="shared" si="133"/>
        <v>59820</v>
      </c>
      <c r="B683" s="1" t="s">
        <v>53</v>
      </c>
      <c r="C683" s="1" t="s">
        <v>31</v>
      </c>
      <c r="D683" s="1" t="str">
        <f t="shared" si="134"/>
        <v>9801</v>
      </c>
      <c r="E683" s="1" t="s">
        <v>25</v>
      </c>
      <c r="F683" s="1" t="str">
        <f>"8DF6A3AB73880400488514574D503810"</f>
        <v>8DF6A3AB73880400488514574D503810</v>
      </c>
      <c r="G683" s="1" t="s">
        <v>82</v>
      </c>
      <c r="H683" s="1" t="str">
        <f t="shared" si="135"/>
        <v>20220905</v>
      </c>
      <c r="I683" s="1" t="str">
        <f>"103814"</f>
        <v>103814</v>
      </c>
      <c r="J683" s="1" t="s">
        <v>75</v>
      </c>
      <c r="K683" s="1" t="s">
        <v>45</v>
      </c>
      <c r="L683" s="1" t="str">
        <f t="shared" si="136"/>
        <v>20220905</v>
      </c>
      <c r="M683" s="1" t="str">
        <f>"105124"</f>
        <v>105124</v>
      </c>
      <c r="N683" s="1" t="s">
        <v>28</v>
      </c>
      <c r="O683" s="1" t="s">
        <v>28</v>
      </c>
      <c r="P683" s="1" t="s">
        <v>55</v>
      </c>
      <c r="Q683" s="1">
        <v>13</v>
      </c>
      <c r="R683" s="1">
        <v>13</v>
      </c>
      <c r="S683" s="1">
        <v>0</v>
      </c>
      <c r="T683" s="1">
        <v>0</v>
      </c>
      <c r="U683" s="1">
        <v>0</v>
      </c>
      <c r="V683" s="1" t="str">
        <f t="shared" si="137"/>
        <v>里程返程</v>
      </c>
      <c r="W683" s="1" t="str">
        <f t="shared" si="138"/>
        <v>0020</v>
      </c>
      <c r="X683" s="1" t="s">
        <v>29</v>
      </c>
    </row>
    <row r="684" spans="1:24" x14ac:dyDescent="0.3">
      <c r="A684" s="1" t="str">
        <f t="shared" si="133"/>
        <v>59820</v>
      </c>
      <c r="B684" s="1" t="s">
        <v>53</v>
      </c>
      <c r="C684" s="1" t="s">
        <v>31</v>
      </c>
      <c r="D684" s="1" t="str">
        <f t="shared" si="134"/>
        <v>9801</v>
      </c>
      <c r="E684" s="1" t="s">
        <v>25</v>
      </c>
      <c r="F684" s="1" t="str">
        <f>"2D6AC2880D8804004885145845003810"</f>
        <v>2D6AC2880D8804004885145845003810</v>
      </c>
      <c r="G684" s="1" t="s">
        <v>66</v>
      </c>
      <c r="H684" s="1" t="str">
        <f t="shared" si="135"/>
        <v>20220905</v>
      </c>
      <c r="I684" s="1" t="str">
        <f>"103816"</f>
        <v>103816</v>
      </c>
      <c r="J684" s="1" t="s">
        <v>75</v>
      </c>
      <c r="K684" s="1" t="s">
        <v>45</v>
      </c>
      <c r="L684" s="1" t="str">
        <f t="shared" si="136"/>
        <v>20220905</v>
      </c>
      <c r="M684" s="1" t="str">
        <f>"105127"</f>
        <v>105127</v>
      </c>
      <c r="N684" s="1" t="s">
        <v>28</v>
      </c>
      <c r="O684" s="1" t="s">
        <v>28</v>
      </c>
      <c r="P684" s="1" t="s">
        <v>55</v>
      </c>
      <c r="Q684" s="1">
        <v>13</v>
      </c>
      <c r="R684" s="1">
        <v>13</v>
      </c>
      <c r="S684" s="1">
        <v>0</v>
      </c>
      <c r="T684" s="1">
        <v>0</v>
      </c>
      <c r="U684" s="1">
        <v>0</v>
      </c>
      <c r="V684" s="1" t="str">
        <f t="shared" si="137"/>
        <v>里程返程</v>
      </c>
      <c r="W684" s="1" t="str">
        <f t="shared" si="138"/>
        <v>0020</v>
      </c>
      <c r="X684" s="1" t="s">
        <v>29</v>
      </c>
    </row>
    <row r="685" spans="1:24" x14ac:dyDescent="0.3">
      <c r="A685" s="1" t="str">
        <f t="shared" si="133"/>
        <v>59820</v>
      </c>
      <c r="B685" s="1" t="s">
        <v>53</v>
      </c>
      <c r="C685" s="1" t="s">
        <v>31</v>
      </c>
      <c r="D685" s="1" t="str">
        <f t="shared" si="134"/>
        <v>9801</v>
      </c>
      <c r="E685" s="1" t="s">
        <v>25</v>
      </c>
      <c r="F685" s="1" t="str">
        <f>"61025B231B8804004328148200100112"</f>
        <v>61025B231B8804004328148200100112</v>
      </c>
      <c r="G685" s="1" t="s">
        <v>64</v>
      </c>
      <c r="H685" s="1" t="str">
        <f t="shared" si="135"/>
        <v>20220905</v>
      </c>
      <c r="I685" s="1" t="str">
        <f>"103820"</f>
        <v>103820</v>
      </c>
      <c r="J685" s="1" t="s">
        <v>75</v>
      </c>
      <c r="K685" s="1" t="s">
        <v>45</v>
      </c>
      <c r="L685" s="1" t="str">
        <f t="shared" si="136"/>
        <v>20220905</v>
      </c>
      <c r="M685" s="1" t="str">
        <f>"105121"</f>
        <v>105121</v>
      </c>
      <c r="N685" s="1" t="s">
        <v>28</v>
      </c>
      <c r="O685" s="1" t="s">
        <v>28</v>
      </c>
      <c r="P685" s="1" t="s">
        <v>55</v>
      </c>
      <c r="Q685" s="1">
        <v>13</v>
      </c>
      <c r="R685" s="1">
        <v>13</v>
      </c>
      <c r="S685" s="1">
        <v>0</v>
      </c>
      <c r="T685" s="1">
        <v>0</v>
      </c>
      <c r="U685" s="1">
        <v>0</v>
      </c>
      <c r="V685" s="1" t="str">
        <f t="shared" si="137"/>
        <v>里程返程</v>
      </c>
      <c r="W685" s="1" t="str">
        <f t="shared" si="138"/>
        <v>0020</v>
      </c>
      <c r="X685" s="1" t="s">
        <v>29</v>
      </c>
    </row>
    <row r="686" spans="1:24" x14ac:dyDescent="0.3">
      <c r="A686" s="1" t="str">
        <f t="shared" si="133"/>
        <v>59820</v>
      </c>
      <c r="B686" s="1" t="s">
        <v>53</v>
      </c>
      <c r="C686" s="1" t="s">
        <v>31</v>
      </c>
      <c r="D686" s="1" t="str">
        <f t="shared" si="134"/>
        <v>9801</v>
      </c>
      <c r="E686" s="1" t="s">
        <v>25</v>
      </c>
      <c r="F686" s="1" t="str">
        <f>"32631C034E880400C834002000000015"</f>
        <v>32631C034E880400C834002000000015</v>
      </c>
      <c r="G686" s="1" t="s">
        <v>26</v>
      </c>
      <c r="H686" s="1" t="str">
        <f t="shared" si="135"/>
        <v>20220905</v>
      </c>
      <c r="I686" s="1" t="str">
        <f>"112041"</f>
        <v>112041</v>
      </c>
      <c r="J686" s="1" t="s">
        <v>60</v>
      </c>
      <c r="K686" s="1" t="s">
        <v>52</v>
      </c>
      <c r="L686" s="1" t="str">
        <f t="shared" si="136"/>
        <v>20220905</v>
      </c>
      <c r="M686" s="1" t="str">
        <f>"112421"</f>
        <v>112421</v>
      </c>
      <c r="N686" s="1" t="s">
        <v>52</v>
      </c>
      <c r="O686" s="1" t="s">
        <v>52</v>
      </c>
      <c r="P686" s="1" t="s">
        <v>68</v>
      </c>
      <c r="Q686" s="1">
        <v>13</v>
      </c>
      <c r="R686" s="1">
        <v>0</v>
      </c>
      <c r="S686" s="1">
        <v>0</v>
      </c>
      <c r="T686" s="1">
        <v>13</v>
      </c>
      <c r="U686" s="1">
        <v>0</v>
      </c>
      <c r="V686" s="1" t="str">
        <f t="shared" si="137"/>
        <v>里程返程</v>
      </c>
      <c r="W686" s="1" t="str">
        <f t="shared" si="138"/>
        <v>0020</v>
      </c>
      <c r="X686" s="1" t="s">
        <v>29</v>
      </c>
    </row>
    <row r="687" spans="1:24" x14ac:dyDescent="0.3">
      <c r="A687" s="1" t="str">
        <f t="shared" si="133"/>
        <v>59820</v>
      </c>
      <c r="B687" s="1" t="s">
        <v>53</v>
      </c>
      <c r="C687" s="1" t="s">
        <v>31</v>
      </c>
      <c r="D687" s="1" t="str">
        <f t="shared" si="134"/>
        <v>9801</v>
      </c>
      <c r="E687" s="1" t="s">
        <v>25</v>
      </c>
      <c r="F687" s="1" t="str">
        <f>"025E1C0343880400C834002000000015"</f>
        <v>025E1C0343880400C834002000000015</v>
      </c>
      <c r="G687" s="1" t="s">
        <v>26</v>
      </c>
      <c r="H687" s="1" t="str">
        <f t="shared" si="135"/>
        <v>20220905</v>
      </c>
      <c r="I687" s="1" t="str">
        <f>"112044"</f>
        <v>112044</v>
      </c>
      <c r="J687" s="1" t="s">
        <v>60</v>
      </c>
      <c r="K687" s="1" t="s">
        <v>52</v>
      </c>
      <c r="L687" s="1" t="str">
        <f t="shared" si="136"/>
        <v>20220905</v>
      </c>
      <c r="M687" s="1" t="str">
        <f>"112424"</f>
        <v>112424</v>
      </c>
      <c r="N687" s="1" t="s">
        <v>52</v>
      </c>
      <c r="O687" s="1" t="s">
        <v>52</v>
      </c>
      <c r="P687" s="1" t="s">
        <v>68</v>
      </c>
      <c r="Q687" s="1">
        <v>13</v>
      </c>
      <c r="R687" s="1">
        <v>0</v>
      </c>
      <c r="S687" s="1">
        <v>0</v>
      </c>
      <c r="T687" s="1">
        <v>13</v>
      </c>
      <c r="U687" s="1">
        <v>0</v>
      </c>
      <c r="V687" s="1" t="str">
        <f t="shared" si="137"/>
        <v>里程返程</v>
      </c>
      <c r="W687" s="1" t="str">
        <f t="shared" si="138"/>
        <v>0020</v>
      </c>
      <c r="X687" s="1" t="s">
        <v>29</v>
      </c>
    </row>
    <row r="688" spans="1:24" x14ac:dyDescent="0.3">
      <c r="A688" s="1" t="str">
        <f t="shared" si="133"/>
        <v>59820</v>
      </c>
      <c r="B688" s="1" t="s">
        <v>53</v>
      </c>
      <c r="C688" s="1" t="s">
        <v>31</v>
      </c>
      <c r="D688" s="1" t="str">
        <f t="shared" si="134"/>
        <v>9801</v>
      </c>
      <c r="E688" s="1" t="s">
        <v>25</v>
      </c>
      <c r="F688" s="1" t="str">
        <f>"991209989"</f>
        <v>991209989</v>
      </c>
      <c r="G688" s="1" t="s">
        <v>33</v>
      </c>
      <c r="H688" s="1" t="str">
        <f t="shared" si="135"/>
        <v>20220905</v>
      </c>
      <c r="I688" s="1" t="str">
        <f>"113854"</f>
        <v>113854</v>
      </c>
      <c r="J688" s="1" t="s">
        <v>75</v>
      </c>
      <c r="K688" s="1" t="s">
        <v>45</v>
      </c>
      <c r="L688" s="1" t="str">
        <f t="shared" si="136"/>
        <v>20220905</v>
      </c>
      <c r="M688" s="1" t="str">
        <f>"115205"</f>
        <v>115205</v>
      </c>
      <c r="N688" s="1" t="s">
        <v>28</v>
      </c>
      <c r="O688" s="1" t="s">
        <v>28</v>
      </c>
      <c r="P688" s="1" t="s">
        <v>55</v>
      </c>
      <c r="Q688" s="1">
        <v>25</v>
      </c>
      <c r="R688" s="1">
        <v>25</v>
      </c>
      <c r="S688" s="1">
        <v>0</v>
      </c>
      <c r="T688" s="1">
        <v>0</v>
      </c>
      <c r="U688" s="1">
        <v>0</v>
      </c>
      <c r="V688" s="1" t="str">
        <f t="shared" si="137"/>
        <v>里程返程</v>
      </c>
      <c r="W688" s="1" t="str">
        <f>"2120"</f>
        <v>2120</v>
      </c>
      <c r="X688" s="1" t="s">
        <v>35</v>
      </c>
    </row>
    <row r="689" spans="1:24" x14ac:dyDescent="0.3">
      <c r="A689" s="1" t="str">
        <f t="shared" si="133"/>
        <v>59820</v>
      </c>
      <c r="B689" s="1" t="s">
        <v>53</v>
      </c>
      <c r="C689" s="1" t="s">
        <v>31</v>
      </c>
      <c r="D689" s="1" t="str">
        <f t="shared" si="134"/>
        <v>9801</v>
      </c>
      <c r="E689" s="1" t="s">
        <v>25</v>
      </c>
      <c r="F689" s="1" t="str">
        <f>"E22D4A199C880400C821002000000019"</f>
        <v>E22D4A199C880400C821002000000019</v>
      </c>
      <c r="G689" s="1" t="s">
        <v>64</v>
      </c>
      <c r="H689" s="1" t="str">
        <f t="shared" si="135"/>
        <v>20220905</v>
      </c>
      <c r="I689" s="1" t="str">
        <f>"115216"</f>
        <v>115216</v>
      </c>
      <c r="J689" s="1" t="s">
        <v>28</v>
      </c>
      <c r="K689" s="1" t="s">
        <v>28</v>
      </c>
      <c r="L689" s="1" t="str">
        <f t="shared" si="136"/>
        <v>20220905</v>
      </c>
      <c r="M689" s="1" t="str">
        <f>"122522"</f>
        <v>122522</v>
      </c>
      <c r="N689" s="1" t="s">
        <v>52</v>
      </c>
      <c r="O689" s="1" t="s">
        <v>52</v>
      </c>
      <c r="P689" s="1" t="s">
        <v>55</v>
      </c>
      <c r="Q689" s="1">
        <v>13</v>
      </c>
      <c r="R689" s="1">
        <v>0</v>
      </c>
      <c r="S689" s="1">
        <v>13</v>
      </c>
      <c r="T689" s="1">
        <v>0</v>
      </c>
      <c r="U689" s="1">
        <v>0</v>
      </c>
      <c r="V689" s="1" t="str">
        <f t="shared" si="137"/>
        <v>里程返程</v>
      </c>
      <c r="W689" s="1" t="str">
        <f>"0620"</f>
        <v>0620</v>
      </c>
      <c r="X689" s="1" t="s">
        <v>29</v>
      </c>
    </row>
    <row r="690" spans="1:24" x14ac:dyDescent="0.3">
      <c r="A690" s="1" t="str">
        <f t="shared" si="133"/>
        <v>59820</v>
      </c>
      <c r="B690" s="1" t="s">
        <v>53</v>
      </c>
      <c r="C690" s="1" t="s">
        <v>31</v>
      </c>
      <c r="D690" s="1" t="str">
        <f t="shared" si="134"/>
        <v>9801</v>
      </c>
      <c r="E690" s="1" t="s">
        <v>25</v>
      </c>
      <c r="F690" s="1" t="str">
        <f>"1612397969"</f>
        <v>1612397969</v>
      </c>
      <c r="G690" s="1" t="s">
        <v>33</v>
      </c>
      <c r="H690" s="1" t="str">
        <f t="shared" si="135"/>
        <v>20220905</v>
      </c>
      <c r="I690" s="1" t="str">
        <f>"115235"</f>
        <v>115235</v>
      </c>
      <c r="J690" s="1" t="s">
        <v>28</v>
      </c>
      <c r="K690" s="1" t="s">
        <v>28</v>
      </c>
      <c r="L690" s="1" t="str">
        <f t="shared" si="136"/>
        <v>20220905</v>
      </c>
      <c r="M690" s="1" t="str">
        <f>"122525"</f>
        <v>122525</v>
      </c>
      <c r="N690" s="1" t="s">
        <v>52</v>
      </c>
      <c r="O690" s="1" t="s">
        <v>52</v>
      </c>
      <c r="P690" s="1" t="s">
        <v>55</v>
      </c>
      <c r="Q690" s="1">
        <v>25</v>
      </c>
      <c r="R690" s="1">
        <v>0</v>
      </c>
      <c r="S690" s="1">
        <v>25</v>
      </c>
      <c r="T690" s="1">
        <v>0</v>
      </c>
      <c r="U690" s="1">
        <v>0</v>
      </c>
      <c r="V690" s="1" t="str">
        <f t="shared" si="137"/>
        <v>里程返程</v>
      </c>
      <c r="W690" s="1" t="str">
        <f>"0820"</f>
        <v>0820</v>
      </c>
      <c r="X690" s="1" t="s">
        <v>35</v>
      </c>
    </row>
    <row r="691" spans="1:24" x14ac:dyDescent="0.3">
      <c r="A691" s="1" t="str">
        <f t="shared" si="133"/>
        <v>59820</v>
      </c>
      <c r="B691" s="1" t="s">
        <v>53</v>
      </c>
      <c r="C691" s="1" t="s">
        <v>31</v>
      </c>
      <c r="D691" s="1" t="str">
        <f t="shared" si="134"/>
        <v>9801</v>
      </c>
      <c r="E691" s="1" t="s">
        <v>25</v>
      </c>
      <c r="F691" s="1" t="str">
        <f>"12672A1946880400C821002000000019"</f>
        <v>12672A1946880400C821002000000019</v>
      </c>
      <c r="G691" s="1" t="s">
        <v>64</v>
      </c>
      <c r="H691" s="1" t="str">
        <f t="shared" si="135"/>
        <v>20220905</v>
      </c>
      <c r="I691" s="1" t="str">
        <f>"115403"</f>
        <v>115403</v>
      </c>
      <c r="J691" s="1" t="s">
        <v>28</v>
      </c>
      <c r="K691" s="1" t="s">
        <v>28</v>
      </c>
      <c r="L691" s="1" t="str">
        <f t="shared" si="136"/>
        <v>20220905</v>
      </c>
      <c r="M691" s="1" t="str">
        <f>"121517"</f>
        <v>121517</v>
      </c>
      <c r="N691" s="1" t="s">
        <v>65</v>
      </c>
      <c r="O691" s="1" t="s">
        <v>52</v>
      </c>
      <c r="P691" s="1" t="s">
        <v>55</v>
      </c>
      <c r="Q691" s="1">
        <v>13</v>
      </c>
      <c r="R691" s="1">
        <v>0</v>
      </c>
      <c r="S691" s="1">
        <v>13</v>
      </c>
      <c r="T691" s="1">
        <v>0</v>
      </c>
      <c r="U691" s="1">
        <v>0</v>
      </c>
      <c r="V691" s="1" t="str">
        <f t="shared" si="137"/>
        <v>里程返程</v>
      </c>
      <c r="W691" s="1" t="str">
        <f>"0620"</f>
        <v>0620</v>
      </c>
      <c r="X691" s="1" t="s">
        <v>29</v>
      </c>
    </row>
    <row r="692" spans="1:24" x14ac:dyDescent="0.3">
      <c r="A692" s="1" t="str">
        <f t="shared" si="133"/>
        <v>59820</v>
      </c>
      <c r="B692" s="1" t="s">
        <v>53</v>
      </c>
      <c r="C692" s="1" t="s">
        <v>31</v>
      </c>
      <c r="D692" s="1" t="str">
        <f t="shared" ref="D692:D698" si="139">"9805"</f>
        <v>9805</v>
      </c>
      <c r="E692" s="1" t="s">
        <v>57</v>
      </c>
      <c r="F692" s="1" t="str">
        <f>"32780D0344880400C834002000000015"</f>
        <v>32780D0344880400C834002000000015</v>
      </c>
      <c r="G692" s="1" t="s">
        <v>26</v>
      </c>
      <c r="H692" s="1" t="str">
        <f t="shared" si="135"/>
        <v>20220905</v>
      </c>
      <c r="I692" s="1" t="str">
        <f>"143216"</f>
        <v>143216</v>
      </c>
      <c r="J692" s="1" t="s">
        <v>28</v>
      </c>
      <c r="K692" s="1" t="s">
        <v>28</v>
      </c>
      <c r="L692" s="1" t="str">
        <f t="shared" si="136"/>
        <v>20220905</v>
      </c>
      <c r="M692" s="1" t="str">
        <f>"144251"</f>
        <v>144251</v>
      </c>
      <c r="N692" s="1" t="s">
        <v>56</v>
      </c>
      <c r="O692" s="1" t="s">
        <v>28</v>
      </c>
      <c r="P692" s="1" t="s">
        <v>68</v>
      </c>
      <c r="Q692" s="1">
        <v>13</v>
      </c>
      <c r="R692" s="1">
        <v>0</v>
      </c>
      <c r="S692" s="1">
        <v>0</v>
      </c>
      <c r="T692" s="1">
        <v>13</v>
      </c>
      <c r="U692" s="1">
        <v>0</v>
      </c>
      <c r="V692" s="1" t="str">
        <f>"里程去程"</f>
        <v>里程去程</v>
      </c>
      <c r="W692" s="1" t="str">
        <f>"0020"</f>
        <v>0020</v>
      </c>
      <c r="X692" s="1" t="s">
        <v>29</v>
      </c>
    </row>
    <row r="693" spans="1:24" x14ac:dyDescent="0.3">
      <c r="A693" s="1" t="str">
        <f t="shared" si="133"/>
        <v>59820</v>
      </c>
      <c r="B693" s="1" t="s">
        <v>53</v>
      </c>
      <c r="C693" s="1" t="s">
        <v>31</v>
      </c>
      <c r="D693" s="1" t="str">
        <f t="shared" si="139"/>
        <v>9805</v>
      </c>
      <c r="E693" s="1" t="s">
        <v>57</v>
      </c>
      <c r="F693" s="1" t="str">
        <f>"62063C164E880400C814002000000019"</f>
        <v>62063C164E880400C814002000000019</v>
      </c>
      <c r="G693" s="1" t="s">
        <v>64</v>
      </c>
      <c r="H693" s="1" t="str">
        <f t="shared" si="135"/>
        <v>20220905</v>
      </c>
      <c r="I693" s="1" t="str">
        <f>"144010"</f>
        <v>144010</v>
      </c>
      <c r="J693" s="1" t="s">
        <v>46</v>
      </c>
      <c r="K693" s="1" t="s">
        <v>28</v>
      </c>
      <c r="L693" s="1" t="str">
        <f t="shared" si="136"/>
        <v>20220905</v>
      </c>
      <c r="M693" s="1" t="str">
        <f>"144628"</f>
        <v>144628</v>
      </c>
      <c r="N693" s="1" t="s">
        <v>52</v>
      </c>
      <c r="O693" s="1" t="s">
        <v>52</v>
      </c>
      <c r="P693" s="1" t="s">
        <v>55</v>
      </c>
      <c r="Q693" s="1">
        <v>13</v>
      </c>
      <c r="R693" s="1">
        <v>0</v>
      </c>
      <c r="S693" s="1">
        <v>13</v>
      </c>
      <c r="T693" s="1">
        <v>0</v>
      </c>
      <c r="U693" s="1">
        <v>0</v>
      </c>
      <c r="V693" s="1" t="str">
        <f>"里程去程"</f>
        <v>里程去程</v>
      </c>
      <c r="W693" s="1" t="str">
        <f>"2020"</f>
        <v>2020</v>
      </c>
      <c r="X693" s="1" t="s">
        <v>29</v>
      </c>
    </row>
    <row r="694" spans="1:24" x14ac:dyDescent="0.3">
      <c r="A694" s="1" t="str">
        <f t="shared" si="133"/>
        <v>59820</v>
      </c>
      <c r="B694" s="1" t="s">
        <v>53</v>
      </c>
      <c r="C694" s="1" t="s">
        <v>31</v>
      </c>
      <c r="D694" s="1" t="str">
        <f t="shared" si="139"/>
        <v>9805</v>
      </c>
      <c r="E694" s="1" t="s">
        <v>57</v>
      </c>
      <c r="F694" s="1" t="str">
        <f>"1040977013"</f>
        <v>1040977013</v>
      </c>
      <c r="G694" s="1" t="s">
        <v>33</v>
      </c>
      <c r="H694" s="1" t="str">
        <f t="shared" si="135"/>
        <v>20220905</v>
      </c>
      <c r="I694" s="1" t="str">
        <f>"144015"</f>
        <v>144015</v>
      </c>
      <c r="J694" s="1" t="s">
        <v>46</v>
      </c>
      <c r="K694" s="1" t="s">
        <v>28</v>
      </c>
      <c r="L694" s="1" t="str">
        <f t="shared" si="136"/>
        <v>20220905</v>
      </c>
      <c r="M694" s="1" t="str">
        <f>"144623"</f>
        <v>144623</v>
      </c>
      <c r="N694" s="1" t="s">
        <v>52</v>
      </c>
      <c r="O694" s="1" t="s">
        <v>52</v>
      </c>
      <c r="P694" s="1" t="s">
        <v>55</v>
      </c>
      <c r="Q694" s="1">
        <v>25</v>
      </c>
      <c r="R694" s="1">
        <v>0</v>
      </c>
      <c r="S694" s="1">
        <v>25</v>
      </c>
      <c r="T694" s="1">
        <v>0</v>
      </c>
      <c r="U694" s="1">
        <v>0</v>
      </c>
      <c r="V694" s="1" t="str">
        <f>"里程去程"</f>
        <v>里程去程</v>
      </c>
      <c r="W694" s="1" t="str">
        <f>"2020"</f>
        <v>2020</v>
      </c>
      <c r="X694" s="1" t="s">
        <v>35</v>
      </c>
    </row>
    <row r="695" spans="1:24" x14ac:dyDescent="0.3">
      <c r="A695" s="1" t="str">
        <f t="shared" si="133"/>
        <v>59820</v>
      </c>
      <c r="B695" s="1" t="s">
        <v>53</v>
      </c>
      <c r="C695" s="1" t="s">
        <v>31</v>
      </c>
      <c r="D695" s="1" t="str">
        <f t="shared" si="139"/>
        <v>9805</v>
      </c>
      <c r="E695" s="1" t="s">
        <v>57</v>
      </c>
      <c r="F695" s="1" t="str">
        <f>"BA0D0A2895880400C08E1E5661204012"</f>
        <v>BA0D0A2895880400C08E1E5661204012</v>
      </c>
      <c r="G695" s="1" t="s">
        <v>58</v>
      </c>
      <c r="H695" s="1" t="str">
        <f t="shared" si="135"/>
        <v>20220905</v>
      </c>
      <c r="I695" s="1" t="str">
        <f>"144728"</f>
        <v>144728</v>
      </c>
      <c r="J695" s="1" t="s">
        <v>52</v>
      </c>
      <c r="K695" s="1" t="s">
        <v>52</v>
      </c>
      <c r="L695" s="1" t="str">
        <f t="shared" si="136"/>
        <v>20220905</v>
      </c>
      <c r="M695" s="1" t="str">
        <f>"150758"</f>
        <v>150758</v>
      </c>
      <c r="N695" s="1" t="s">
        <v>28</v>
      </c>
      <c r="O695" s="1" t="s">
        <v>28</v>
      </c>
      <c r="P695" s="1" t="s">
        <v>55</v>
      </c>
      <c r="Q695" s="1">
        <v>25</v>
      </c>
      <c r="R695" s="1">
        <v>0</v>
      </c>
      <c r="S695" s="1">
        <v>25</v>
      </c>
      <c r="T695" s="1">
        <v>0</v>
      </c>
      <c r="U695" s="1">
        <v>0</v>
      </c>
      <c r="V695" s="1" t="str">
        <f>"里程返程"</f>
        <v>里程返程</v>
      </c>
      <c r="W695" s="1" t="str">
        <f>"2020"</f>
        <v>2020</v>
      </c>
      <c r="X695" s="1" t="s">
        <v>29</v>
      </c>
    </row>
    <row r="696" spans="1:24" x14ac:dyDescent="0.3">
      <c r="A696" s="1" t="str">
        <f t="shared" si="133"/>
        <v>59820</v>
      </c>
      <c r="B696" s="1" t="s">
        <v>53</v>
      </c>
      <c r="C696" s="1" t="s">
        <v>31</v>
      </c>
      <c r="D696" s="1" t="str">
        <f t="shared" si="139"/>
        <v>9805</v>
      </c>
      <c r="E696" s="1" t="s">
        <v>57</v>
      </c>
      <c r="F696" s="1" t="str">
        <f>"781992725"</f>
        <v>781992725</v>
      </c>
      <c r="G696" s="1" t="s">
        <v>33</v>
      </c>
      <c r="H696" s="1" t="str">
        <f t="shared" si="135"/>
        <v>20220905</v>
      </c>
      <c r="I696" s="1" t="str">
        <f>"144731"</f>
        <v>144731</v>
      </c>
      <c r="J696" s="1" t="s">
        <v>52</v>
      </c>
      <c r="K696" s="1" t="s">
        <v>52</v>
      </c>
      <c r="L696" s="1" t="str">
        <f t="shared" si="136"/>
        <v>20220905</v>
      </c>
      <c r="M696" s="1" t="str">
        <f>"150755"</f>
        <v>150755</v>
      </c>
      <c r="N696" s="1" t="s">
        <v>28</v>
      </c>
      <c r="O696" s="1" t="s">
        <v>28</v>
      </c>
      <c r="P696" s="1" t="s">
        <v>55</v>
      </c>
      <c r="Q696" s="1">
        <v>25</v>
      </c>
      <c r="R696" s="1">
        <v>0</v>
      </c>
      <c r="S696" s="1">
        <v>25</v>
      </c>
      <c r="T696" s="1">
        <v>0</v>
      </c>
      <c r="U696" s="1">
        <v>0</v>
      </c>
      <c r="V696" s="1" t="str">
        <f>"里程返程"</f>
        <v>里程返程</v>
      </c>
      <c r="W696" s="1" t="str">
        <f>"2020"</f>
        <v>2020</v>
      </c>
      <c r="X696" s="1" t="s">
        <v>35</v>
      </c>
    </row>
    <row r="697" spans="1:24" x14ac:dyDescent="0.3">
      <c r="A697" s="1" t="str">
        <f t="shared" si="133"/>
        <v>59820</v>
      </c>
      <c r="B697" s="1" t="s">
        <v>53</v>
      </c>
      <c r="C697" s="1" t="s">
        <v>31</v>
      </c>
      <c r="D697" s="1" t="str">
        <f t="shared" si="139"/>
        <v>9805</v>
      </c>
      <c r="E697" s="1" t="s">
        <v>57</v>
      </c>
      <c r="F697" s="1" t="str">
        <f>"89FEB31FDB8804004326A82E00010211"</f>
        <v>89FEB31FDB8804004326A82E00010211</v>
      </c>
      <c r="G697" s="1" t="s">
        <v>58</v>
      </c>
      <c r="H697" s="1" t="str">
        <f t="shared" si="135"/>
        <v>20220905</v>
      </c>
      <c r="I697" s="1" t="str">
        <f>"144739"</f>
        <v>144739</v>
      </c>
      <c r="J697" s="1" t="s">
        <v>52</v>
      </c>
      <c r="K697" s="1" t="s">
        <v>52</v>
      </c>
      <c r="L697" s="1" t="str">
        <f t="shared" si="136"/>
        <v>20220905</v>
      </c>
      <c r="M697" s="1" t="str">
        <f>"150742"</f>
        <v>150742</v>
      </c>
      <c r="N697" s="1" t="s">
        <v>28</v>
      </c>
      <c r="O697" s="1" t="s">
        <v>28</v>
      </c>
      <c r="P697" s="1" t="s">
        <v>55</v>
      </c>
      <c r="Q697" s="1">
        <v>25</v>
      </c>
      <c r="R697" s="1">
        <v>0</v>
      </c>
      <c r="S697" s="1">
        <v>25</v>
      </c>
      <c r="T697" s="1">
        <v>0</v>
      </c>
      <c r="U697" s="1">
        <v>0</v>
      </c>
      <c r="V697" s="1" t="str">
        <f>"里程返程"</f>
        <v>里程返程</v>
      </c>
      <c r="W697" s="1" t="str">
        <f>"1120"</f>
        <v>1120</v>
      </c>
      <c r="X697" s="1" t="s">
        <v>29</v>
      </c>
    </row>
    <row r="698" spans="1:24" x14ac:dyDescent="0.3">
      <c r="A698" s="1" t="str">
        <f t="shared" si="133"/>
        <v>59820</v>
      </c>
      <c r="B698" s="1" t="s">
        <v>53</v>
      </c>
      <c r="C698" s="1" t="s">
        <v>31</v>
      </c>
      <c r="D698" s="1" t="str">
        <f t="shared" si="139"/>
        <v>9805</v>
      </c>
      <c r="E698" s="1" t="s">
        <v>57</v>
      </c>
      <c r="F698" s="1" t="str">
        <f>"C125415DF88804004325C3F9000D0C0F"</f>
        <v>C125415DF88804004325C3F9000D0C0F</v>
      </c>
      <c r="G698" s="1" t="s">
        <v>58</v>
      </c>
      <c r="H698" s="1" t="str">
        <f t="shared" si="135"/>
        <v>20220905</v>
      </c>
      <c r="I698" s="1" t="str">
        <f>"144742"</f>
        <v>144742</v>
      </c>
      <c r="J698" s="1" t="s">
        <v>52</v>
      </c>
      <c r="K698" s="1" t="s">
        <v>52</v>
      </c>
      <c r="L698" s="1" t="str">
        <f t="shared" si="136"/>
        <v>20220905</v>
      </c>
      <c r="M698" s="1" t="str">
        <f>"150747"</f>
        <v>150747</v>
      </c>
      <c r="N698" s="1" t="s">
        <v>28</v>
      </c>
      <c r="O698" s="1" t="s">
        <v>28</v>
      </c>
      <c r="P698" s="1" t="s">
        <v>55</v>
      </c>
      <c r="Q698" s="1">
        <v>25</v>
      </c>
      <c r="R698" s="1">
        <v>0</v>
      </c>
      <c r="S698" s="1">
        <v>25</v>
      </c>
      <c r="T698" s="1">
        <v>0</v>
      </c>
      <c r="U698" s="1">
        <v>0</v>
      </c>
      <c r="V698" s="1" t="str">
        <f>"里程返程"</f>
        <v>里程返程</v>
      </c>
      <c r="W698" s="1" t="str">
        <f>"1120"</f>
        <v>1120</v>
      </c>
      <c r="X698" s="1" t="s">
        <v>29</v>
      </c>
    </row>
    <row r="699" spans="1:24" x14ac:dyDescent="0.3">
      <c r="A699" s="1" t="str">
        <f t="shared" si="133"/>
        <v>59820</v>
      </c>
      <c r="B699" s="1" t="s">
        <v>53</v>
      </c>
      <c r="C699" s="1" t="s">
        <v>31</v>
      </c>
      <c r="D699" s="1" t="str">
        <f>"9803"</f>
        <v>9803</v>
      </c>
      <c r="E699" s="1" t="s">
        <v>32</v>
      </c>
      <c r="F699" s="1" t="str">
        <f>"932517157"</f>
        <v>932517157</v>
      </c>
      <c r="G699" s="1" t="s">
        <v>38</v>
      </c>
      <c r="H699" s="1" t="str">
        <f t="shared" si="135"/>
        <v>20220905</v>
      </c>
      <c r="I699" s="1" t="str">
        <f>"153844"</f>
        <v>153844</v>
      </c>
      <c r="J699" s="1" t="s">
        <v>34</v>
      </c>
      <c r="K699" s="1" t="s">
        <v>34</v>
      </c>
      <c r="L699" s="1" t="str">
        <f t="shared" si="136"/>
        <v>20220905</v>
      </c>
      <c r="M699" s="1" t="str">
        <f>"160837"</f>
        <v>160837</v>
      </c>
      <c r="N699" s="1" t="s">
        <v>28</v>
      </c>
      <c r="O699" s="1" t="s">
        <v>28</v>
      </c>
      <c r="P699" s="1" t="s">
        <v>55</v>
      </c>
      <c r="Q699" s="1">
        <v>25</v>
      </c>
      <c r="R699" s="1">
        <v>25</v>
      </c>
      <c r="S699" s="1">
        <v>0</v>
      </c>
      <c r="T699" s="1">
        <v>0</v>
      </c>
      <c r="U699" s="1">
        <v>0</v>
      </c>
      <c r="V699" s="1" t="str">
        <f>"里程返程"</f>
        <v>里程返程</v>
      </c>
      <c r="W699" s="1" t="str">
        <f>"2020"</f>
        <v>2020</v>
      </c>
      <c r="X699" s="1" t="s">
        <v>35</v>
      </c>
    </row>
    <row r="700" spans="1:24" x14ac:dyDescent="0.3">
      <c r="A700" s="1" t="str">
        <f t="shared" si="133"/>
        <v>59820</v>
      </c>
      <c r="B700" s="1" t="s">
        <v>53</v>
      </c>
      <c r="C700" s="1" t="s">
        <v>31</v>
      </c>
      <c r="D700" s="1" t="str">
        <f t="shared" ref="D700:D705" si="140">"9806"</f>
        <v>9806</v>
      </c>
      <c r="E700" s="1" t="s">
        <v>49</v>
      </c>
      <c r="F700" s="1" t="str">
        <f>"12BE3C1B8B880400C817002000000021"</f>
        <v>12BE3C1B8B880400C817002000000021</v>
      </c>
      <c r="G700" s="1" t="s">
        <v>59</v>
      </c>
      <c r="H700" s="1" t="str">
        <f t="shared" si="135"/>
        <v>20220905</v>
      </c>
      <c r="I700" s="1" t="str">
        <f>"163340"</f>
        <v>163340</v>
      </c>
      <c r="J700" s="1" t="s">
        <v>76</v>
      </c>
      <c r="K700" s="1" t="s">
        <v>28</v>
      </c>
      <c r="L700" s="1" t="str">
        <f t="shared" si="136"/>
        <v>20220905</v>
      </c>
      <c r="M700" s="1" t="str">
        <f>"165004"</f>
        <v>165004</v>
      </c>
      <c r="N700" s="1" t="s">
        <v>28</v>
      </c>
      <c r="O700" s="1" t="s">
        <v>28</v>
      </c>
      <c r="P700" s="1" t="s">
        <v>55</v>
      </c>
      <c r="Q700" s="1">
        <v>25</v>
      </c>
      <c r="R700" s="1">
        <v>25</v>
      </c>
      <c r="S700" s="1">
        <v>0</v>
      </c>
      <c r="T700" s="1">
        <v>0</v>
      </c>
      <c r="U700" s="1">
        <v>0</v>
      </c>
      <c r="V700" s="1" t="str">
        <f t="shared" ref="V700:V707" si="141">"里程去程"</f>
        <v>里程去程</v>
      </c>
      <c r="W700" s="1" t="str">
        <f>"0020"</f>
        <v>0020</v>
      </c>
      <c r="X700" s="1" t="s">
        <v>29</v>
      </c>
    </row>
    <row r="701" spans="1:24" x14ac:dyDescent="0.3">
      <c r="A701" s="1" t="str">
        <f t="shared" si="133"/>
        <v>59820</v>
      </c>
      <c r="B701" s="1" t="s">
        <v>53</v>
      </c>
      <c r="C701" s="1" t="s">
        <v>31</v>
      </c>
      <c r="D701" s="1" t="str">
        <f t="shared" si="140"/>
        <v>9806</v>
      </c>
      <c r="E701" s="1" t="s">
        <v>49</v>
      </c>
      <c r="F701" s="1" t="str">
        <f>"1695105317"</f>
        <v>1695105317</v>
      </c>
      <c r="G701" s="1" t="s">
        <v>33</v>
      </c>
      <c r="H701" s="1" t="str">
        <f t="shared" si="135"/>
        <v>20220905</v>
      </c>
      <c r="I701" s="1" t="str">
        <f>"163502"</f>
        <v>163502</v>
      </c>
      <c r="J701" s="1" t="s">
        <v>76</v>
      </c>
      <c r="K701" s="1" t="s">
        <v>28</v>
      </c>
      <c r="L701" s="1" t="str">
        <f t="shared" si="136"/>
        <v>20220905</v>
      </c>
      <c r="M701" s="1" t="str">
        <f>"164955"</f>
        <v>164955</v>
      </c>
      <c r="N701" s="1" t="s">
        <v>28</v>
      </c>
      <c r="O701" s="1" t="s">
        <v>28</v>
      </c>
      <c r="P701" s="1" t="s">
        <v>55</v>
      </c>
      <c r="Q701" s="1">
        <v>25</v>
      </c>
      <c r="R701" s="1">
        <v>25</v>
      </c>
      <c r="S701" s="1">
        <v>0</v>
      </c>
      <c r="T701" s="1">
        <v>0</v>
      </c>
      <c r="U701" s="1">
        <v>0</v>
      </c>
      <c r="V701" s="1" t="str">
        <f t="shared" si="141"/>
        <v>里程去程</v>
      </c>
      <c r="W701" s="1" t="str">
        <f>"2020"</f>
        <v>2020</v>
      </c>
      <c r="X701" s="1" t="s">
        <v>35</v>
      </c>
    </row>
    <row r="702" spans="1:24" x14ac:dyDescent="0.3">
      <c r="A702" s="1" t="str">
        <f t="shared" si="133"/>
        <v>59820</v>
      </c>
      <c r="B702" s="1" t="s">
        <v>53</v>
      </c>
      <c r="C702" s="1" t="s">
        <v>31</v>
      </c>
      <c r="D702" s="1" t="str">
        <f t="shared" si="140"/>
        <v>9806</v>
      </c>
      <c r="E702" s="1" t="s">
        <v>49</v>
      </c>
      <c r="F702" s="1" t="str">
        <f>"22C8DE1B2F880400C822002000000021"</f>
        <v>22C8DE1B2F880400C822002000000021</v>
      </c>
      <c r="G702" s="1" t="s">
        <v>58</v>
      </c>
      <c r="H702" s="1" t="str">
        <f t="shared" si="135"/>
        <v>20220905</v>
      </c>
      <c r="I702" s="1" t="str">
        <f>"163505"</f>
        <v>163505</v>
      </c>
      <c r="J702" s="1" t="s">
        <v>76</v>
      </c>
      <c r="K702" s="1" t="s">
        <v>28</v>
      </c>
      <c r="L702" s="1" t="str">
        <f t="shared" si="136"/>
        <v>20220905</v>
      </c>
      <c r="M702" s="1" t="str">
        <f>"164958"</f>
        <v>164958</v>
      </c>
      <c r="N702" s="1" t="s">
        <v>28</v>
      </c>
      <c r="O702" s="1" t="s">
        <v>28</v>
      </c>
      <c r="P702" s="1" t="s">
        <v>55</v>
      </c>
      <c r="Q702" s="1">
        <v>25</v>
      </c>
      <c r="R702" s="1">
        <v>25</v>
      </c>
      <c r="S702" s="1">
        <v>0</v>
      </c>
      <c r="T702" s="1">
        <v>0</v>
      </c>
      <c r="U702" s="1">
        <v>0</v>
      </c>
      <c r="V702" s="1" t="str">
        <f t="shared" si="141"/>
        <v>里程去程</v>
      </c>
      <c r="W702" s="1" t="str">
        <f>"0020"</f>
        <v>0020</v>
      </c>
      <c r="X702" s="1" t="s">
        <v>29</v>
      </c>
    </row>
    <row r="703" spans="1:24" x14ac:dyDescent="0.3">
      <c r="A703" s="1" t="str">
        <f t="shared" si="133"/>
        <v>59820</v>
      </c>
      <c r="B703" s="1" t="s">
        <v>53</v>
      </c>
      <c r="C703" s="1" t="s">
        <v>31</v>
      </c>
      <c r="D703" s="1" t="str">
        <f t="shared" si="140"/>
        <v>9806</v>
      </c>
      <c r="E703" s="1" t="s">
        <v>49</v>
      </c>
      <c r="F703" s="1" t="str">
        <f>"B211E70246880400C834002000000015"</f>
        <v>B211E70246880400C834002000000015</v>
      </c>
      <c r="G703" s="1" t="s">
        <v>74</v>
      </c>
      <c r="H703" s="1" t="str">
        <f t="shared" si="135"/>
        <v>20220905</v>
      </c>
      <c r="I703" s="1" t="str">
        <f>"163512"</f>
        <v>163512</v>
      </c>
      <c r="J703" s="1" t="s">
        <v>76</v>
      </c>
      <c r="K703" s="1" t="s">
        <v>28</v>
      </c>
      <c r="L703" s="1" t="str">
        <f t="shared" si="136"/>
        <v>20220905</v>
      </c>
      <c r="M703" s="1" t="str">
        <f>"164640"</f>
        <v>164640</v>
      </c>
      <c r="N703" s="1" t="s">
        <v>84</v>
      </c>
      <c r="O703" s="1" t="s">
        <v>28</v>
      </c>
      <c r="P703" s="1" t="s">
        <v>68</v>
      </c>
      <c r="Q703" s="1">
        <v>13</v>
      </c>
      <c r="R703" s="1">
        <v>0</v>
      </c>
      <c r="S703" s="1">
        <v>0</v>
      </c>
      <c r="T703" s="1">
        <v>13</v>
      </c>
      <c r="U703" s="1">
        <v>0</v>
      </c>
      <c r="V703" s="1" t="str">
        <f t="shared" si="141"/>
        <v>里程去程</v>
      </c>
      <c r="W703" s="1" t="str">
        <f>"0020"</f>
        <v>0020</v>
      </c>
      <c r="X703" s="1" t="s">
        <v>29</v>
      </c>
    </row>
    <row r="704" spans="1:24" x14ac:dyDescent="0.3">
      <c r="A704" s="1" t="str">
        <f t="shared" si="133"/>
        <v>59820</v>
      </c>
      <c r="B704" s="1" t="s">
        <v>53</v>
      </c>
      <c r="C704" s="1" t="s">
        <v>31</v>
      </c>
      <c r="D704" s="1" t="str">
        <f t="shared" si="140"/>
        <v>9806</v>
      </c>
      <c r="E704" s="1" t="s">
        <v>49</v>
      </c>
      <c r="F704" s="1" t="str">
        <f>"B205E70252880400C834002000000015"</f>
        <v>B205E70252880400C834002000000015</v>
      </c>
      <c r="G704" s="1" t="s">
        <v>74</v>
      </c>
      <c r="H704" s="1" t="str">
        <f t="shared" si="135"/>
        <v>20220905</v>
      </c>
      <c r="I704" s="1" t="str">
        <f>"163518"</f>
        <v>163518</v>
      </c>
      <c r="J704" s="1" t="s">
        <v>76</v>
      </c>
      <c r="K704" s="1" t="s">
        <v>28</v>
      </c>
      <c r="L704" s="1" t="str">
        <f t="shared" si="136"/>
        <v>20220905</v>
      </c>
      <c r="M704" s="1" t="str">
        <f>"164645"</f>
        <v>164645</v>
      </c>
      <c r="N704" s="1" t="s">
        <v>84</v>
      </c>
      <c r="O704" s="1" t="s">
        <v>28</v>
      </c>
      <c r="P704" s="1" t="s">
        <v>68</v>
      </c>
      <c r="Q704" s="1">
        <v>13</v>
      </c>
      <c r="R704" s="1">
        <v>0</v>
      </c>
      <c r="S704" s="1">
        <v>0</v>
      </c>
      <c r="T704" s="1">
        <v>13</v>
      </c>
      <c r="U704" s="1">
        <v>0</v>
      </c>
      <c r="V704" s="1" t="str">
        <f t="shared" si="141"/>
        <v>里程去程</v>
      </c>
      <c r="W704" s="1" t="str">
        <f>"0020"</f>
        <v>0020</v>
      </c>
      <c r="X704" s="1" t="s">
        <v>29</v>
      </c>
    </row>
    <row r="705" spans="1:24" x14ac:dyDescent="0.3">
      <c r="A705" s="1" t="str">
        <f t="shared" si="133"/>
        <v>59820</v>
      </c>
      <c r="B705" s="1" t="s">
        <v>53</v>
      </c>
      <c r="C705" s="1" t="s">
        <v>31</v>
      </c>
      <c r="D705" s="1" t="str">
        <f t="shared" si="140"/>
        <v>9806</v>
      </c>
      <c r="E705" s="1" t="s">
        <v>49</v>
      </c>
      <c r="F705" s="1" t="str">
        <f>"1202E702F5880400C834002000000015"</f>
        <v>1202E702F5880400C834002000000015</v>
      </c>
      <c r="G705" s="1" t="s">
        <v>74</v>
      </c>
      <c r="H705" s="1" t="str">
        <f t="shared" si="135"/>
        <v>20220905</v>
      </c>
      <c r="I705" s="1" t="str">
        <f>"163519"</f>
        <v>163519</v>
      </c>
      <c r="J705" s="1" t="s">
        <v>76</v>
      </c>
      <c r="K705" s="1" t="s">
        <v>28</v>
      </c>
      <c r="L705" s="1" t="str">
        <f t="shared" si="136"/>
        <v>20220905</v>
      </c>
      <c r="M705" s="1" t="str">
        <f>"164643"</f>
        <v>164643</v>
      </c>
      <c r="N705" s="1" t="s">
        <v>84</v>
      </c>
      <c r="O705" s="1" t="s">
        <v>28</v>
      </c>
      <c r="P705" s="1" t="s">
        <v>68</v>
      </c>
      <c r="Q705" s="1">
        <v>13</v>
      </c>
      <c r="R705" s="1">
        <v>0</v>
      </c>
      <c r="S705" s="1">
        <v>0</v>
      </c>
      <c r="T705" s="1">
        <v>13</v>
      </c>
      <c r="U705" s="1">
        <v>0</v>
      </c>
      <c r="V705" s="1" t="str">
        <f t="shared" si="141"/>
        <v>里程去程</v>
      </c>
      <c r="W705" s="1" t="str">
        <f>"0020"</f>
        <v>0020</v>
      </c>
      <c r="X705" s="1" t="s">
        <v>29</v>
      </c>
    </row>
    <row r="706" spans="1:24" x14ac:dyDescent="0.3">
      <c r="A706" s="1" t="str">
        <f t="shared" si="133"/>
        <v>59820</v>
      </c>
      <c r="B706" s="1" t="s">
        <v>53</v>
      </c>
      <c r="C706" s="1" t="s">
        <v>31</v>
      </c>
      <c r="D706" s="1" t="str">
        <f>"9805"</f>
        <v>9805</v>
      </c>
      <c r="E706" s="1" t="s">
        <v>57</v>
      </c>
      <c r="F706" s="1" t="str">
        <f>"776560917"</f>
        <v>776560917</v>
      </c>
      <c r="G706" s="1" t="s">
        <v>33</v>
      </c>
      <c r="H706" s="1" t="str">
        <f t="shared" si="135"/>
        <v>20220905</v>
      </c>
      <c r="I706" s="1" t="str">
        <f>"165101"</f>
        <v>165101</v>
      </c>
      <c r="J706" s="1" t="s">
        <v>28</v>
      </c>
      <c r="K706" s="1" t="s">
        <v>28</v>
      </c>
      <c r="L706" s="1" t="str">
        <f t="shared" si="136"/>
        <v>20220905</v>
      </c>
      <c r="M706" s="1" t="str">
        <f>"170354"</f>
        <v>170354</v>
      </c>
      <c r="N706" s="1" t="s">
        <v>62</v>
      </c>
      <c r="O706" s="1" t="s">
        <v>28</v>
      </c>
      <c r="P706" s="1" t="s">
        <v>55</v>
      </c>
      <c r="Q706" s="1">
        <v>25</v>
      </c>
      <c r="R706" s="1">
        <v>0</v>
      </c>
      <c r="S706" s="1">
        <v>25</v>
      </c>
      <c r="T706" s="1">
        <v>0</v>
      </c>
      <c r="U706" s="1">
        <v>0</v>
      </c>
      <c r="V706" s="1" t="str">
        <f t="shared" si="141"/>
        <v>里程去程</v>
      </c>
      <c r="W706" s="1" t="str">
        <f>"2020"</f>
        <v>2020</v>
      </c>
      <c r="X706" s="1" t="s">
        <v>35</v>
      </c>
    </row>
    <row r="707" spans="1:24" x14ac:dyDescent="0.3">
      <c r="A707" s="1" t="str">
        <f t="shared" ref="A707:A725" si="142">"59820"</f>
        <v>59820</v>
      </c>
      <c r="B707" s="1" t="s">
        <v>53</v>
      </c>
      <c r="C707" s="1" t="s">
        <v>31</v>
      </c>
      <c r="D707" s="1" t="str">
        <f>"9805"</f>
        <v>9805</v>
      </c>
      <c r="E707" s="1" t="s">
        <v>57</v>
      </c>
      <c r="F707" s="1" t="str">
        <f>"423225169"</f>
        <v>423225169</v>
      </c>
      <c r="G707" s="1" t="s">
        <v>33</v>
      </c>
      <c r="H707" s="1" t="str">
        <f t="shared" si="135"/>
        <v>20220905</v>
      </c>
      <c r="I707" s="1" t="str">
        <f>"165111"</f>
        <v>165111</v>
      </c>
      <c r="J707" s="1" t="s">
        <v>28</v>
      </c>
      <c r="K707" s="1" t="s">
        <v>28</v>
      </c>
      <c r="L707" s="1" t="str">
        <f t="shared" ref="L707:L738" si="143">"20220905"</f>
        <v>20220905</v>
      </c>
      <c r="M707" s="1" t="str">
        <f>"170359"</f>
        <v>170359</v>
      </c>
      <c r="N707" s="1" t="s">
        <v>62</v>
      </c>
      <c r="O707" s="1" t="s">
        <v>28</v>
      </c>
      <c r="P707" s="1" t="s">
        <v>55</v>
      </c>
      <c r="Q707" s="1">
        <v>25</v>
      </c>
      <c r="R707" s="1">
        <v>0</v>
      </c>
      <c r="S707" s="1">
        <v>25</v>
      </c>
      <c r="T707" s="1">
        <v>0</v>
      </c>
      <c r="U707" s="1">
        <v>0</v>
      </c>
      <c r="V707" s="1" t="str">
        <f t="shared" si="141"/>
        <v>里程去程</v>
      </c>
      <c r="W707" s="1" t="str">
        <f>"2020"</f>
        <v>2020</v>
      </c>
      <c r="X707" s="1" t="s">
        <v>35</v>
      </c>
    </row>
    <row r="708" spans="1:24" x14ac:dyDescent="0.3">
      <c r="A708" s="1" t="str">
        <f t="shared" si="142"/>
        <v>59820</v>
      </c>
      <c r="B708" s="1" t="s">
        <v>53</v>
      </c>
      <c r="C708" s="1" t="s">
        <v>31</v>
      </c>
      <c r="D708" s="1" t="str">
        <f>"9801"</f>
        <v>9801</v>
      </c>
      <c r="E708" s="1" t="s">
        <v>25</v>
      </c>
      <c r="F708" s="1" t="str">
        <f>"1807383873"</f>
        <v>1807383873</v>
      </c>
      <c r="G708" s="1" t="s">
        <v>33</v>
      </c>
      <c r="H708" s="1" t="str">
        <f t="shared" si="135"/>
        <v>20220905</v>
      </c>
      <c r="I708" s="1" t="str">
        <f>"185236"</f>
        <v>185236</v>
      </c>
      <c r="J708" s="1" t="s">
        <v>44</v>
      </c>
      <c r="K708" s="1" t="s">
        <v>45</v>
      </c>
      <c r="L708" s="1" t="str">
        <f t="shared" si="143"/>
        <v>20220905</v>
      </c>
      <c r="M708" s="1" t="str">
        <f>"192136"</f>
        <v>192136</v>
      </c>
      <c r="N708" s="1" t="s">
        <v>28</v>
      </c>
      <c r="O708" s="1" t="s">
        <v>28</v>
      </c>
      <c r="P708" s="1" t="s">
        <v>55</v>
      </c>
      <c r="Q708" s="1">
        <v>25</v>
      </c>
      <c r="R708" s="1">
        <v>25</v>
      </c>
      <c r="S708" s="1">
        <v>0</v>
      </c>
      <c r="T708" s="1">
        <v>0</v>
      </c>
      <c r="U708" s="1">
        <v>0</v>
      </c>
      <c r="V708" s="1" t="str">
        <f t="shared" ref="V708:V725" si="144">"里程返程"</f>
        <v>里程返程</v>
      </c>
      <c r="W708" s="1" t="str">
        <f>"2020"</f>
        <v>2020</v>
      </c>
      <c r="X708" s="1" t="s">
        <v>35</v>
      </c>
    </row>
    <row r="709" spans="1:24" x14ac:dyDescent="0.3">
      <c r="A709" s="1" t="str">
        <f t="shared" si="142"/>
        <v>59820</v>
      </c>
      <c r="B709" s="1" t="s">
        <v>53</v>
      </c>
      <c r="C709" s="1" t="s">
        <v>31</v>
      </c>
      <c r="D709" s="1" t="str">
        <f>"9801"</f>
        <v>9801</v>
      </c>
      <c r="E709" s="1" t="s">
        <v>25</v>
      </c>
      <c r="F709" s="1" t="str">
        <f>"901915489"</f>
        <v>901915489</v>
      </c>
      <c r="G709" s="1" t="s">
        <v>33</v>
      </c>
      <c r="H709" s="1" t="str">
        <f t="shared" si="135"/>
        <v>20220905</v>
      </c>
      <c r="I709" s="1" t="str">
        <f>"185240"</f>
        <v>185240</v>
      </c>
      <c r="J709" s="1" t="s">
        <v>44</v>
      </c>
      <c r="K709" s="1" t="s">
        <v>45</v>
      </c>
      <c r="L709" s="1" t="str">
        <f t="shared" si="143"/>
        <v>20220905</v>
      </c>
      <c r="M709" s="1" t="str">
        <f>"192140"</f>
        <v>192140</v>
      </c>
      <c r="N709" s="1" t="s">
        <v>28</v>
      </c>
      <c r="O709" s="1" t="s">
        <v>28</v>
      </c>
      <c r="P709" s="1" t="s">
        <v>55</v>
      </c>
      <c r="Q709" s="1">
        <v>25</v>
      </c>
      <c r="R709" s="1">
        <v>25</v>
      </c>
      <c r="S709" s="1">
        <v>0</v>
      </c>
      <c r="T709" s="1">
        <v>0</v>
      </c>
      <c r="U709" s="1">
        <v>0</v>
      </c>
      <c r="V709" s="1" t="str">
        <f t="shared" si="144"/>
        <v>里程返程</v>
      </c>
      <c r="W709" s="1" t="str">
        <f>"2020"</f>
        <v>2020</v>
      </c>
      <c r="X709" s="1" t="s">
        <v>35</v>
      </c>
    </row>
    <row r="710" spans="1:24" x14ac:dyDescent="0.3">
      <c r="A710" s="1" t="str">
        <f t="shared" si="142"/>
        <v>59820</v>
      </c>
      <c r="B710" s="1" t="s">
        <v>53</v>
      </c>
      <c r="C710" s="1" t="s">
        <v>31</v>
      </c>
      <c r="D710" s="1" t="str">
        <f>"9801"</f>
        <v>9801</v>
      </c>
      <c r="E710" s="1" t="s">
        <v>25</v>
      </c>
      <c r="F710" s="1" t="str">
        <f>"3491078967"</f>
        <v>3491078967</v>
      </c>
      <c r="G710" s="1" t="s">
        <v>33</v>
      </c>
      <c r="H710" s="1" t="str">
        <f t="shared" si="135"/>
        <v>20220905</v>
      </c>
      <c r="I710" s="1" t="str">
        <f>"192204"</f>
        <v>192204</v>
      </c>
      <c r="J710" s="1" t="s">
        <v>28</v>
      </c>
      <c r="K710" s="1" t="s">
        <v>28</v>
      </c>
      <c r="L710" s="1" t="str">
        <f t="shared" si="143"/>
        <v>20220905</v>
      </c>
      <c r="M710" s="1" t="str">
        <f>"195301"</f>
        <v>195301</v>
      </c>
      <c r="N710" s="1" t="s">
        <v>52</v>
      </c>
      <c r="O710" s="1" t="s">
        <v>52</v>
      </c>
      <c r="P710" s="1" t="s">
        <v>55</v>
      </c>
      <c r="Q710" s="1">
        <v>25</v>
      </c>
      <c r="R710" s="1">
        <v>25</v>
      </c>
      <c r="S710" s="1">
        <v>0</v>
      </c>
      <c r="T710" s="1">
        <v>0</v>
      </c>
      <c r="U710" s="1">
        <v>0</v>
      </c>
      <c r="V710" s="1" t="str">
        <f t="shared" si="144"/>
        <v>里程返程</v>
      </c>
      <c r="W710" s="1" t="str">
        <f>"0e20"</f>
        <v>0e20</v>
      </c>
      <c r="X710" s="1" t="s">
        <v>35</v>
      </c>
    </row>
    <row r="711" spans="1:24" x14ac:dyDescent="0.3">
      <c r="A711" s="1" t="str">
        <f t="shared" si="142"/>
        <v>59820</v>
      </c>
      <c r="B711" s="1" t="s">
        <v>53</v>
      </c>
      <c r="C711" s="1" t="s">
        <v>31</v>
      </c>
      <c r="D711" s="1" t="str">
        <f>"9801"</f>
        <v>9801</v>
      </c>
      <c r="E711" s="1" t="s">
        <v>25</v>
      </c>
      <c r="F711" s="1" t="str">
        <f>"B53C950E12180200D200000C22400417"</f>
        <v>B53C950E12180200D200000C22400417</v>
      </c>
      <c r="G711" s="1" t="s">
        <v>58</v>
      </c>
      <c r="H711" s="1" t="str">
        <f t="shared" si="135"/>
        <v>20220905</v>
      </c>
      <c r="I711" s="1" t="str">
        <f>"192216"</f>
        <v>192216</v>
      </c>
      <c r="J711" s="1" t="s">
        <v>28</v>
      </c>
      <c r="K711" s="1" t="s">
        <v>28</v>
      </c>
      <c r="L711" s="1" t="str">
        <f t="shared" si="143"/>
        <v>20220905</v>
      </c>
      <c r="M711" s="1" t="str">
        <f>"195250"</f>
        <v>195250</v>
      </c>
      <c r="N711" s="1" t="s">
        <v>52</v>
      </c>
      <c r="O711" s="1" t="s">
        <v>52</v>
      </c>
      <c r="P711" s="1" t="s">
        <v>55</v>
      </c>
      <c r="Q711" s="1">
        <v>25</v>
      </c>
      <c r="R711" s="1">
        <v>25</v>
      </c>
      <c r="S711" s="1">
        <v>0</v>
      </c>
      <c r="T711" s="1">
        <v>0</v>
      </c>
      <c r="U711" s="1">
        <v>0</v>
      </c>
      <c r="V711" s="1" t="str">
        <f t="shared" si="144"/>
        <v>里程返程</v>
      </c>
      <c r="W711" s="1" t="str">
        <f>"0020"</f>
        <v>0020</v>
      </c>
      <c r="X711" s="1" t="s">
        <v>29</v>
      </c>
    </row>
    <row r="712" spans="1:24" x14ac:dyDescent="0.3">
      <c r="A712" s="1" t="str">
        <f t="shared" si="142"/>
        <v>59820</v>
      </c>
      <c r="B712" s="1" t="s">
        <v>53</v>
      </c>
      <c r="C712" s="1" t="s">
        <v>31</v>
      </c>
      <c r="D712" s="1" t="str">
        <f>"9801"</f>
        <v>9801</v>
      </c>
      <c r="E712" s="1" t="s">
        <v>25</v>
      </c>
      <c r="F712" s="1" t="str">
        <f>"0245BD02F8880400C834002000000015"</f>
        <v>0245BD02F8880400C834002000000015</v>
      </c>
      <c r="G712" s="1" t="s">
        <v>26</v>
      </c>
      <c r="H712" s="1" t="str">
        <f t="shared" si="135"/>
        <v>20220905</v>
      </c>
      <c r="I712" s="1" t="str">
        <f>"192341"</f>
        <v>192341</v>
      </c>
      <c r="J712" s="1" t="s">
        <v>28</v>
      </c>
      <c r="K712" s="1" t="s">
        <v>28</v>
      </c>
      <c r="L712" s="1" t="str">
        <f t="shared" si="143"/>
        <v>20220905</v>
      </c>
      <c r="M712" s="1" t="str">
        <f>"195305"</f>
        <v>195305</v>
      </c>
      <c r="N712" s="1" t="s">
        <v>52</v>
      </c>
      <c r="O712" s="1" t="s">
        <v>52</v>
      </c>
      <c r="P712" s="1" t="s">
        <v>68</v>
      </c>
      <c r="Q712" s="1">
        <v>13</v>
      </c>
      <c r="R712" s="1">
        <v>0</v>
      </c>
      <c r="S712" s="1">
        <v>0</v>
      </c>
      <c r="T712" s="1">
        <v>13</v>
      </c>
      <c r="U712" s="1">
        <v>0</v>
      </c>
      <c r="V712" s="1" t="str">
        <f t="shared" si="144"/>
        <v>里程返程</v>
      </c>
      <c r="W712" s="1" t="str">
        <f>"0020"</f>
        <v>0020</v>
      </c>
      <c r="X712" s="1" t="s">
        <v>29</v>
      </c>
    </row>
    <row r="713" spans="1:24" x14ac:dyDescent="0.3">
      <c r="A713" s="1" t="str">
        <f t="shared" si="142"/>
        <v>59820</v>
      </c>
      <c r="B713" s="1" t="s">
        <v>53</v>
      </c>
      <c r="C713" s="1" t="s">
        <v>31</v>
      </c>
      <c r="D713" s="1" t="str">
        <f t="shared" ref="D713:D726" si="145">"9805"</f>
        <v>9805</v>
      </c>
      <c r="E713" s="1" t="s">
        <v>57</v>
      </c>
      <c r="F713" s="1" t="str">
        <f>"829986341"</f>
        <v>829986341</v>
      </c>
      <c r="G713" s="1" t="s">
        <v>26</v>
      </c>
      <c r="H713" s="1" t="str">
        <f t="shared" si="135"/>
        <v>20220905</v>
      </c>
      <c r="I713" s="1" t="str">
        <f>"195343"</f>
        <v>195343</v>
      </c>
      <c r="J713" s="1" t="s">
        <v>52</v>
      </c>
      <c r="K713" s="1" t="s">
        <v>52</v>
      </c>
      <c r="L713" s="1" t="str">
        <f t="shared" si="143"/>
        <v>20220905</v>
      </c>
      <c r="M713" s="1" t="str">
        <f>"201828"</f>
        <v>201828</v>
      </c>
      <c r="N713" s="1" t="s">
        <v>28</v>
      </c>
      <c r="O713" s="1" t="s">
        <v>28</v>
      </c>
      <c r="P713" s="1" t="s">
        <v>55</v>
      </c>
      <c r="Q713" s="1">
        <v>13</v>
      </c>
      <c r="R713" s="1">
        <v>0</v>
      </c>
      <c r="S713" s="1">
        <v>13</v>
      </c>
      <c r="T713" s="1">
        <v>0</v>
      </c>
      <c r="U713" s="1">
        <v>0</v>
      </c>
      <c r="V713" s="1" t="str">
        <f t="shared" si="144"/>
        <v>里程返程</v>
      </c>
      <c r="W713" s="1" t="str">
        <f t="shared" ref="W713:W718" si="146">"2120"</f>
        <v>2120</v>
      </c>
      <c r="X713" s="1" t="s">
        <v>35</v>
      </c>
    </row>
    <row r="714" spans="1:24" x14ac:dyDescent="0.3">
      <c r="A714" s="1" t="str">
        <f t="shared" si="142"/>
        <v>59820</v>
      </c>
      <c r="B714" s="1" t="s">
        <v>53</v>
      </c>
      <c r="C714" s="1" t="s">
        <v>31</v>
      </c>
      <c r="D714" s="1" t="str">
        <f t="shared" si="145"/>
        <v>9805</v>
      </c>
      <c r="E714" s="1" t="s">
        <v>57</v>
      </c>
      <c r="F714" s="1" t="str">
        <f>"1744109029"</f>
        <v>1744109029</v>
      </c>
      <c r="G714" s="1" t="s">
        <v>33</v>
      </c>
      <c r="H714" s="1" t="str">
        <f t="shared" si="135"/>
        <v>20220905</v>
      </c>
      <c r="I714" s="1" t="str">
        <f>"195346"</f>
        <v>195346</v>
      </c>
      <c r="J714" s="1" t="s">
        <v>52</v>
      </c>
      <c r="K714" s="1" t="s">
        <v>52</v>
      </c>
      <c r="L714" s="1" t="str">
        <f t="shared" si="143"/>
        <v>20220905</v>
      </c>
      <c r="M714" s="1" t="str">
        <f>"201825"</f>
        <v>201825</v>
      </c>
      <c r="N714" s="1" t="s">
        <v>28</v>
      </c>
      <c r="O714" s="1" t="s">
        <v>28</v>
      </c>
      <c r="P714" s="1" t="s">
        <v>55</v>
      </c>
      <c r="Q714" s="1">
        <v>25</v>
      </c>
      <c r="R714" s="1">
        <v>0</v>
      </c>
      <c r="S714" s="1">
        <v>25</v>
      </c>
      <c r="T714" s="1">
        <v>0</v>
      </c>
      <c r="U714" s="1">
        <v>0</v>
      </c>
      <c r="V714" s="1" t="str">
        <f t="shared" si="144"/>
        <v>里程返程</v>
      </c>
      <c r="W714" s="1" t="str">
        <f t="shared" si="146"/>
        <v>2120</v>
      </c>
      <c r="X714" s="1" t="s">
        <v>35</v>
      </c>
    </row>
    <row r="715" spans="1:24" x14ac:dyDescent="0.3">
      <c r="A715" s="1" t="str">
        <f t="shared" si="142"/>
        <v>59820</v>
      </c>
      <c r="B715" s="1" t="s">
        <v>53</v>
      </c>
      <c r="C715" s="1" t="s">
        <v>31</v>
      </c>
      <c r="D715" s="1" t="str">
        <f t="shared" si="145"/>
        <v>9805</v>
      </c>
      <c r="E715" s="1" t="s">
        <v>57</v>
      </c>
      <c r="F715" s="1" t="str">
        <f>"1087459877"</f>
        <v>1087459877</v>
      </c>
      <c r="G715" s="1" t="s">
        <v>33</v>
      </c>
      <c r="H715" s="1" t="str">
        <f t="shared" si="135"/>
        <v>20220905</v>
      </c>
      <c r="I715" s="1" t="str">
        <f>"195350"</f>
        <v>195350</v>
      </c>
      <c r="J715" s="1" t="s">
        <v>52</v>
      </c>
      <c r="K715" s="1" t="s">
        <v>52</v>
      </c>
      <c r="L715" s="1" t="str">
        <f t="shared" si="143"/>
        <v>20220905</v>
      </c>
      <c r="M715" s="1" t="str">
        <f>"201835"</f>
        <v>201835</v>
      </c>
      <c r="N715" s="1" t="s">
        <v>28</v>
      </c>
      <c r="O715" s="1" t="s">
        <v>28</v>
      </c>
      <c r="P715" s="1" t="s">
        <v>55</v>
      </c>
      <c r="Q715" s="1">
        <v>25</v>
      </c>
      <c r="R715" s="1">
        <v>25</v>
      </c>
      <c r="S715" s="1">
        <v>0</v>
      </c>
      <c r="T715" s="1">
        <v>0</v>
      </c>
      <c r="U715" s="1">
        <v>0</v>
      </c>
      <c r="V715" s="1" t="str">
        <f t="shared" si="144"/>
        <v>里程返程</v>
      </c>
      <c r="W715" s="1" t="str">
        <f t="shared" si="146"/>
        <v>2120</v>
      </c>
      <c r="X715" s="1" t="s">
        <v>35</v>
      </c>
    </row>
    <row r="716" spans="1:24" x14ac:dyDescent="0.3">
      <c r="A716" s="1" t="str">
        <f t="shared" si="142"/>
        <v>59820</v>
      </c>
      <c r="B716" s="1" t="s">
        <v>53</v>
      </c>
      <c r="C716" s="1" t="s">
        <v>31</v>
      </c>
      <c r="D716" s="1" t="str">
        <f t="shared" si="145"/>
        <v>9805</v>
      </c>
      <c r="E716" s="1" t="s">
        <v>57</v>
      </c>
      <c r="F716" s="1" t="str">
        <f>"1046616245"</f>
        <v>1046616245</v>
      </c>
      <c r="G716" s="1" t="s">
        <v>26</v>
      </c>
      <c r="H716" s="1" t="str">
        <f t="shared" si="135"/>
        <v>20220905</v>
      </c>
      <c r="I716" s="1" t="str">
        <f>"195353"</f>
        <v>195353</v>
      </c>
      <c r="J716" s="1" t="s">
        <v>52</v>
      </c>
      <c r="K716" s="1" t="s">
        <v>52</v>
      </c>
      <c r="L716" s="1" t="str">
        <f t="shared" si="143"/>
        <v>20220905</v>
      </c>
      <c r="M716" s="1" t="str">
        <f>"201838"</f>
        <v>201838</v>
      </c>
      <c r="N716" s="1" t="s">
        <v>28</v>
      </c>
      <c r="O716" s="1" t="s">
        <v>28</v>
      </c>
      <c r="P716" s="1" t="s">
        <v>55</v>
      </c>
      <c r="Q716" s="1">
        <v>13</v>
      </c>
      <c r="R716" s="1">
        <v>0</v>
      </c>
      <c r="S716" s="1">
        <v>13</v>
      </c>
      <c r="T716" s="1">
        <v>0</v>
      </c>
      <c r="U716" s="1">
        <v>0</v>
      </c>
      <c r="V716" s="1" t="str">
        <f t="shared" si="144"/>
        <v>里程返程</v>
      </c>
      <c r="W716" s="1" t="str">
        <f t="shared" si="146"/>
        <v>2120</v>
      </c>
      <c r="X716" s="1" t="s">
        <v>35</v>
      </c>
    </row>
    <row r="717" spans="1:24" x14ac:dyDescent="0.3">
      <c r="A717" s="1" t="str">
        <f t="shared" si="142"/>
        <v>59820</v>
      </c>
      <c r="B717" s="1" t="s">
        <v>53</v>
      </c>
      <c r="C717" s="1" t="s">
        <v>31</v>
      </c>
      <c r="D717" s="1" t="str">
        <f t="shared" si="145"/>
        <v>9805</v>
      </c>
      <c r="E717" s="1" t="s">
        <v>57</v>
      </c>
      <c r="F717" s="1" t="str">
        <f>"973188021"</f>
        <v>973188021</v>
      </c>
      <c r="G717" s="1" t="s">
        <v>26</v>
      </c>
      <c r="H717" s="1" t="str">
        <f t="shared" si="135"/>
        <v>20220905</v>
      </c>
      <c r="I717" s="1" t="str">
        <f>"195356"</f>
        <v>195356</v>
      </c>
      <c r="J717" s="1" t="s">
        <v>52</v>
      </c>
      <c r="K717" s="1" t="s">
        <v>52</v>
      </c>
      <c r="L717" s="1" t="str">
        <f t="shared" si="143"/>
        <v>20220905</v>
      </c>
      <c r="M717" s="1" t="str">
        <f>"201842"</f>
        <v>201842</v>
      </c>
      <c r="N717" s="1" t="s">
        <v>28</v>
      </c>
      <c r="O717" s="1" t="s">
        <v>28</v>
      </c>
      <c r="P717" s="1" t="s">
        <v>55</v>
      </c>
      <c r="Q717" s="1">
        <v>13</v>
      </c>
      <c r="R717" s="1">
        <v>0</v>
      </c>
      <c r="S717" s="1">
        <v>13</v>
      </c>
      <c r="T717" s="1">
        <v>0</v>
      </c>
      <c r="U717" s="1">
        <v>0</v>
      </c>
      <c r="V717" s="1" t="str">
        <f t="shared" si="144"/>
        <v>里程返程</v>
      </c>
      <c r="W717" s="1" t="str">
        <f t="shared" si="146"/>
        <v>2120</v>
      </c>
      <c r="X717" s="1" t="s">
        <v>35</v>
      </c>
    </row>
    <row r="718" spans="1:24" x14ac:dyDescent="0.3">
      <c r="A718" s="1" t="str">
        <f t="shared" si="142"/>
        <v>59820</v>
      </c>
      <c r="B718" s="1" t="s">
        <v>53</v>
      </c>
      <c r="C718" s="1" t="s">
        <v>31</v>
      </c>
      <c r="D718" s="1" t="str">
        <f t="shared" si="145"/>
        <v>9805</v>
      </c>
      <c r="E718" s="1" t="s">
        <v>57</v>
      </c>
      <c r="F718" s="1" t="str">
        <f>"900722181"</f>
        <v>900722181</v>
      </c>
      <c r="G718" s="1" t="s">
        <v>26</v>
      </c>
      <c r="H718" s="1" t="str">
        <f t="shared" si="135"/>
        <v>20220905</v>
      </c>
      <c r="I718" s="1" t="str">
        <f>"195401"</f>
        <v>195401</v>
      </c>
      <c r="J718" s="1" t="s">
        <v>52</v>
      </c>
      <c r="K718" s="1" t="s">
        <v>52</v>
      </c>
      <c r="L718" s="1" t="str">
        <f t="shared" si="143"/>
        <v>20220905</v>
      </c>
      <c r="M718" s="1" t="str">
        <f>"201822"</f>
        <v>201822</v>
      </c>
      <c r="N718" s="1" t="s">
        <v>28</v>
      </c>
      <c r="O718" s="1" t="s">
        <v>28</v>
      </c>
      <c r="P718" s="1" t="s">
        <v>55</v>
      </c>
      <c r="Q718" s="1">
        <v>13</v>
      </c>
      <c r="R718" s="1">
        <v>0</v>
      </c>
      <c r="S718" s="1">
        <v>13</v>
      </c>
      <c r="T718" s="1">
        <v>0</v>
      </c>
      <c r="U718" s="1">
        <v>0</v>
      </c>
      <c r="V718" s="1" t="str">
        <f t="shared" si="144"/>
        <v>里程返程</v>
      </c>
      <c r="W718" s="1" t="str">
        <f t="shared" si="146"/>
        <v>2120</v>
      </c>
      <c r="X718" s="1" t="s">
        <v>35</v>
      </c>
    </row>
    <row r="719" spans="1:24" x14ac:dyDescent="0.3">
      <c r="A719" s="1" t="str">
        <f t="shared" si="142"/>
        <v>59820</v>
      </c>
      <c r="B719" s="1" t="s">
        <v>53</v>
      </c>
      <c r="C719" s="1" t="s">
        <v>31</v>
      </c>
      <c r="D719" s="1" t="str">
        <f t="shared" si="145"/>
        <v>9805</v>
      </c>
      <c r="E719" s="1" t="s">
        <v>57</v>
      </c>
      <c r="F719" s="1" t="str">
        <f>"93410801"</f>
        <v>93410801</v>
      </c>
      <c r="G719" s="1" t="s">
        <v>33</v>
      </c>
      <c r="H719" s="1" t="str">
        <f t="shared" si="135"/>
        <v>20220905</v>
      </c>
      <c r="I719" s="1" t="str">
        <f>"195408"</f>
        <v>195408</v>
      </c>
      <c r="J719" s="1" t="s">
        <v>52</v>
      </c>
      <c r="K719" s="1" t="s">
        <v>52</v>
      </c>
      <c r="L719" s="1" t="str">
        <f t="shared" si="143"/>
        <v>20220905</v>
      </c>
      <c r="M719" s="1" t="str">
        <f>"201819"</f>
        <v>201819</v>
      </c>
      <c r="N719" s="1" t="s">
        <v>28</v>
      </c>
      <c r="O719" s="1" t="s">
        <v>28</v>
      </c>
      <c r="P719" s="1" t="s">
        <v>55</v>
      </c>
      <c r="Q719" s="1">
        <v>25</v>
      </c>
      <c r="R719" s="1">
        <v>25</v>
      </c>
      <c r="S719" s="1">
        <v>0</v>
      </c>
      <c r="T719" s="1">
        <v>0</v>
      </c>
      <c r="U719" s="1">
        <v>0</v>
      </c>
      <c r="V719" s="1" t="str">
        <f t="shared" si="144"/>
        <v>里程返程</v>
      </c>
      <c r="W719" s="1" t="str">
        <f>"2020"</f>
        <v>2020</v>
      </c>
      <c r="X719" s="1" t="s">
        <v>35</v>
      </c>
    </row>
    <row r="720" spans="1:24" x14ac:dyDescent="0.3">
      <c r="A720" s="1" t="str">
        <f t="shared" si="142"/>
        <v>59820</v>
      </c>
      <c r="B720" s="1" t="s">
        <v>53</v>
      </c>
      <c r="C720" s="1" t="s">
        <v>31</v>
      </c>
      <c r="D720" s="1" t="str">
        <f t="shared" si="145"/>
        <v>9805</v>
      </c>
      <c r="E720" s="1" t="s">
        <v>57</v>
      </c>
      <c r="F720" s="1" t="str">
        <f>"895907685"</f>
        <v>895907685</v>
      </c>
      <c r="G720" s="1" t="s">
        <v>33</v>
      </c>
      <c r="H720" s="1" t="str">
        <f t="shared" si="135"/>
        <v>20220905</v>
      </c>
      <c r="I720" s="1" t="str">
        <f>"195410"</f>
        <v>195410</v>
      </c>
      <c r="J720" s="1" t="s">
        <v>52</v>
      </c>
      <c r="K720" s="1" t="s">
        <v>52</v>
      </c>
      <c r="L720" s="1" t="str">
        <f t="shared" si="143"/>
        <v>20220905</v>
      </c>
      <c r="M720" s="1" t="str">
        <f>"201812"</f>
        <v>201812</v>
      </c>
      <c r="N720" s="1" t="s">
        <v>28</v>
      </c>
      <c r="O720" s="1" t="s">
        <v>28</v>
      </c>
      <c r="P720" s="1" t="s">
        <v>55</v>
      </c>
      <c r="Q720" s="1">
        <v>25</v>
      </c>
      <c r="R720" s="1">
        <v>25</v>
      </c>
      <c r="S720" s="1">
        <v>0</v>
      </c>
      <c r="T720" s="1">
        <v>0</v>
      </c>
      <c r="U720" s="1">
        <v>0</v>
      </c>
      <c r="V720" s="1" t="str">
        <f t="shared" si="144"/>
        <v>里程返程</v>
      </c>
      <c r="W720" s="1" t="str">
        <f>"2020"</f>
        <v>2020</v>
      </c>
      <c r="X720" s="1" t="s">
        <v>35</v>
      </c>
    </row>
    <row r="721" spans="1:24" x14ac:dyDescent="0.3">
      <c r="A721" s="1" t="str">
        <f t="shared" si="142"/>
        <v>59820</v>
      </c>
      <c r="B721" s="1" t="s">
        <v>53</v>
      </c>
      <c r="C721" s="1" t="s">
        <v>31</v>
      </c>
      <c r="D721" s="1" t="str">
        <f t="shared" si="145"/>
        <v>9805</v>
      </c>
      <c r="E721" s="1" t="s">
        <v>57</v>
      </c>
      <c r="F721" s="1" t="str">
        <f>"279089174"</f>
        <v>279089174</v>
      </c>
      <c r="G721" s="1" t="s">
        <v>33</v>
      </c>
      <c r="H721" s="1" t="str">
        <f t="shared" si="135"/>
        <v>20220905</v>
      </c>
      <c r="I721" s="1" t="str">
        <f>"195414"</f>
        <v>195414</v>
      </c>
      <c r="J721" s="1" t="s">
        <v>52</v>
      </c>
      <c r="K721" s="1" t="s">
        <v>52</v>
      </c>
      <c r="L721" s="1" t="str">
        <f t="shared" si="143"/>
        <v>20220905</v>
      </c>
      <c r="M721" s="1" t="str">
        <f>"201852"</f>
        <v>201852</v>
      </c>
      <c r="N721" s="1" t="s">
        <v>28</v>
      </c>
      <c r="O721" s="1" t="s">
        <v>28</v>
      </c>
      <c r="P721" s="1" t="s">
        <v>55</v>
      </c>
      <c r="Q721" s="1">
        <v>25</v>
      </c>
      <c r="R721" s="1">
        <v>0</v>
      </c>
      <c r="S721" s="1">
        <v>25</v>
      </c>
      <c r="T721" s="1">
        <v>0</v>
      </c>
      <c r="U721" s="1">
        <v>0</v>
      </c>
      <c r="V721" s="1" t="str">
        <f t="shared" si="144"/>
        <v>里程返程</v>
      </c>
      <c r="W721" s="1" t="str">
        <f>"2120"</f>
        <v>2120</v>
      </c>
      <c r="X721" s="1" t="s">
        <v>35</v>
      </c>
    </row>
    <row r="722" spans="1:24" x14ac:dyDescent="0.3">
      <c r="A722" s="1" t="str">
        <f t="shared" si="142"/>
        <v>59820</v>
      </c>
      <c r="B722" s="1" t="s">
        <v>53</v>
      </c>
      <c r="C722" s="1" t="s">
        <v>31</v>
      </c>
      <c r="D722" s="1" t="str">
        <f t="shared" si="145"/>
        <v>9805</v>
      </c>
      <c r="E722" s="1" t="s">
        <v>57</v>
      </c>
      <c r="F722" s="1" t="str">
        <f>"216443681"</f>
        <v>216443681</v>
      </c>
      <c r="G722" s="1" t="s">
        <v>33</v>
      </c>
      <c r="H722" s="1" t="str">
        <f t="shared" si="135"/>
        <v>20220905</v>
      </c>
      <c r="I722" s="1" t="str">
        <f>"195421"</f>
        <v>195421</v>
      </c>
      <c r="J722" s="1" t="s">
        <v>52</v>
      </c>
      <c r="K722" s="1" t="s">
        <v>52</v>
      </c>
      <c r="L722" s="1" t="str">
        <f t="shared" si="143"/>
        <v>20220905</v>
      </c>
      <c r="M722" s="1" t="str">
        <f>"201856"</f>
        <v>201856</v>
      </c>
      <c r="N722" s="1" t="s">
        <v>28</v>
      </c>
      <c r="O722" s="1" t="s">
        <v>28</v>
      </c>
      <c r="P722" s="1" t="s">
        <v>55</v>
      </c>
      <c r="Q722" s="1">
        <v>25</v>
      </c>
      <c r="R722" s="1">
        <v>0</v>
      </c>
      <c r="S722" s="1">
        <v>25</v>
      </c>
      <c r="T722" s="1">
        <v>0</v>
      </c>
      <c r="U722" s="1">
        <v>0</v>
      </c>
      <c r="V722" s="1" t="str">
        <f t="shared" si="144"/>
        <v>里程返程</v>
      </c>
      <c r="W722" s="1" t="str">
        <f>"2120"</f>
        <v>2120</v>
      </c>
      <c r="X722" s="1" t="s">
        <v>35</v>
      </c>
    </row>
    <row r="723" spans="1:24" x14ac:dyDescent="0.3">
      <c r="A723" s="1" t="str">
        <f t="shared" si="142"/>
        <v>59820</v>
      </c>
      <c r="B723" s="1" t="s">
        <v>53</v>
      </c>
      <c r="C723" s="1" t="s">
        <v>31</v>
      </c>
      <c r="D723" s="1" t="str">
        <f t="shared" si="145"/>
        <v>9805</v>
      </c>
      <c r="E723" s="1" t="s">
        <v>57</v>
      </c>
      <c r="F723" s="1" t="str">
        <f>"816BA2327A280400F700000000000000"</f>
        <v>816BA2327A280400F700000000000000</v>
      </c>
      <c r="G723" s="1" t="s">
        <v>58</v>
      </c>
      <c r="H723" s="1" t="str">
        <f t="shared" si="135"/>
        <v>20220905</v>
      </c>
      <c r="I723" s="1" t="str">
        <f>"195426"</f>
        <v>195426</v>
      </c>
      <c r="J723" s="1" t="s">
        <v>52</v>
      </c>
      <c r="K723" s="1" t="s">
        <v>52</v>
      </c>
      <c r="L723" s="1" t="str">
        <f t="shared" si="143"/>
        <v>20220905</v>
      </c>
      <c r="M723" s="1" t="str">
        <f>"201845"</f>
        <v>201845</v>
      </c>
      <c r="N723" s="1" t="s">
        <v>28</v>
      </c>
      <c r="O723" s="1" t="s">
        <v>28</v>
      </c>
      <c r="P723" s="1" t="s">
        <v>55</v>
      </c>
      <c r="Q723" s="1">
        <v>25</v>
      </c>
      <c r="R723" s="1">
        <v>0</v>
      </c>
      <c r="S723" s="1">
        <v>25</v>
      </c>
      <c r="T723" s="1">
        <v>0</v>
      </c>
      <c r="U723" s="1">
        <v>0</v>
      </c>
      <c r="V723" s="1" t="str">
        <f t="shared" si="144"/>
        <v>里程返程</v>
      </c>
      <c r="W723" s="1" t="str">
        <f>"1120"</f>
        <v>1120</v>
      </c>
      <c r="X723" s="1" t="s">
        <v>29</v>
      </c>
    </row>
    <row r="724" spans="1:24" x14ac:dyDescent="0.3">
      <c r="A724" s="1" t="str">
        <f t="shared" si="142"/>
        <v>59820</v>
      </c>
      <c r="B724" s="1" t="s">
        <v>53</v>
      </c>
      <c r="C724" s="1" t="s">
        <v>31</v>
      </c>
      <c r="D724" s="1" t="str">
        <f t="shared" si="145"/>
        <v>9805</v>
      </c>
      <c r="E724" s="1" t="s">
        <v>57</v>
      </c>
      <c r="F724" s="1" t="str">
        <f>"F155A43232280400F700000000000000"</f>
        <v>F155A43232280400F700000000000000</v>
      </c>
      <c r="G724" s="1" t="s">
        <v>58</v>
      </c>
      <c r="H724" s="1" t="str">
        <f t="shared" si="135"/>
        <v>20220905</v>
      </c>
      <c r="I724" s="1" t="str">
        <f>"195437"</f>
        <v>195437</v>
      </c>
      <c r="J724" s="1" t="s">
        <v>52</v>
      </c>
      <c r="K724" s="1" t="s">
        <v>52</v>
      </c>
      <c r="L724" s="1" t="str">
        <f t="shared" si="143"/>
        <v>20220905</v>
      </c>
      <c r="M724" s="1" t="str">
        <f>"201815"</f>
        <v>201815</v>
      </c>
      <c r="N724" s="1" t="s">
        <v>28</v>
      </c>
      <c r="O724" s="1" t="s">
        <v>28</v>
      </c>
      <c r="P724" s="1" t="s">
        <v>55</v>
      </c>
      <c r="Q724" s="1">
        <v>25</v>
      </c>
      <c r="R724" s="1">
        <v>0</v>
      </c>
      <c r="S724" s="1">
        <v>25</v>
      </c>
      <c r="T724" s="1">
        <v>0</v>
      </c>
      <c r="U724" s="1">
        <v>0</v>
      </c>
      <c r="V724" s="1" t="str">
        <f t="shared" si="144"/>
        <v>里程返程</v>
      </c>
      <c r="W724" s="1" t="str">
        <f>"1120"</f>
        <v>1120</v>
      </c>
      <c r="X724" s="1" t="s">
        <v>29</v>
      </c>
    </row>
    <row r="725" spans="1:24" x14ac:dyDescent="0.3">
      <c r="A725" s="1" t="str">
        <f t="shared" si="142"/>
        <v>59820</v>
      </c>
      <c r="B725" s="1" t="s">
        <v>53</v>
      </c>
      <c r="C725" s="1" t="s">
        <v>31</v>
      </c>
      <c r="D725" s="1" t="str">
        <f t="shared" si="145"/>
        <v>9805</v>
      </c>
      <c r="E725" s="1" t="s">
        <v>57</v>
      </c>
      <c r="F725" s="1" t="str">
        <f>"731139861"</f>
        <v>731139861</v>
      </c>
      <c r="G725" s="1" t="s">
        <v>26</v>
      </c>
      <c r="H725" s="1" t="str">
        <f t="shared" si="135"/>
        <v>20220905</v>
      </c>
      <c r="I725" s="1" t="str">
        <f>"195456"</f>
        <v>195456</v>
      </c>
      <c r="J725" s="1" t="s">
        <v>52</v>
      </c>
      <c r="K725" s="1" t="s">
        <v>52</v>
      </c>
      <c r="L725" s="1" t="str">
        <f t="shared" si="143"/>
        <v>20220905</v>
      </c>
      <c r="M725" s="1" t="str">
        <f>"201832"</f>
        <v>201832</v>
      </c>
      <c r="N725" s="1" t="s">
        <v>28</v>
      </c>
      <c r="O725" s="1" t="s">
        <v>28</v>
      </c>
      <c r="P725" s="1" t="s">
        <v>55</v>
      </c>
      <c r="Q725" s="1">
        <v>13</v>
      </c>
      <c r="R725" s="1">
        <v>0</v>
      </c>
      <c r="S725" s="1">
        <v>13</v>
      </c>
      <c r="T725" s="1">
        <v>0</v>
      </c>
      <c r="U725" s="1">
        <v>0</v>
      </c>
      <c r="V725" s="1" t="str">
        <f t="shared" si="144"/>
        <v>里程返程</v>
      </c>
      <c r="W725" s="1" t="str">
        <f>"2120"</f>
        <v>2120</v>
      </c>
      <c r="X725" s="1" t="s">
        <v>35</v>
      </c>
    </row>
    <row r="726" spans="1:24" x14ac:dyDescent="0.3">
      <c r="A726" s="1" t="str">
        <f t="shared" ref="A726:A757" si="147">"59822"</f>
        <v>59822</v>
      </c>
      <c r="B726" s="1" t="s">
        <v>39</v>
      </c>
      <c r="C726" s="1" t="s">
        <v>40</v>
      </c>
      <c r="D726" s="1" t="str">
        <f t="shared" si="145"/>
        <v>9805</v>
      </c>
      <c r="E726" s="1" t="s">
        <v>57</v>
      </c>
      <c r="F726" s="1" t="str">
        <f>"F29BD102BA880400C834002000000015"</f>
        <v>F29BD102BA880400C834002000000015</v>
      </c>
      <c r="G726" s="1" t="s">
        <v>26</v>
      </c>
      <c r="H726" s="1" t="str">
        <f t="shared" si="135"/>
        <v>20220905</v>
      </c>
      <c r="I726" s="1" t="str">
        <f>"105349"</f>
        <v>105349</v>
      </c>
      <c r="J726" s="1" t="s">
        <v>56</v>
      </c>
      <c r="K726" s="1" t="s">
        <v>28</v>
      </c>
      <c r="L726" s="1" t="str">
        <f t="shared" si="143"/>
        <v>20220905</v>
      </c>
      <c r="M726" s="1" t="str">
        <f>"105413"</f>
        <v>105413</v>
      </c>
      <c r="N726" s="1" t="s">
        <v>52</v>
      </c>
      <c r="O726" s="1" t="s">
        <v>52</v>
      </c>
      <c r="P726" s="1" t="s">
        <v>68</v>
      </c>
      <c r="Q726" s="1">
        <v>13</v>
      </c>
      <c r="R726" s="1">
        <v>0</v>
      </c>
      <c r="S726" s="1">
        <v>0</v>
      </c>
      <c r="T726" s="1">
        <v>13</v>
      </c>
      <c r="U726" s="1">
        <v>0</v>
      </c>
      <c r="V726" s="1" t="str">
        <f t="shared" ref="V726:V768" si="148">"里程去程"</f>
        <v>里程去程</v>
      </c>
      <c r="W726" s="1" t="str">
        <f>"0020"</f>
        <v>0020</v>
      </c>
      <c r="X726" s="1" t="s">
        <v>29</v>
      </c>
    </row>
    <row r="727" spans="1:24" x14ac:dyDescent="0.3">
      <c r="A727" s="1" t="str">
        <f t="shared" si="147"/>
        <v>59822</v>
      </c>
      <c r="B727" s="1" t="s">
        <v>39</v>
      </c>
      <c r="C727" s="1" t="s">
        <v>40</v>
      </c>
      <c r="D727" s="1" t="str">
        <f t="shared" ref="D727:D758" si="149">"9801"</f>
        <v>9801</v>
      </c>
      <c r="E727" s="1" t="s">
        <v>25</v>
      </c>
      <c r="F727" s="1" t="str">
        <f>"1002568081"</f>
        <v>1002568081</v>
      </c>
      <c r="G727" s="1" t="s">
        <v>33</v>
      </c>
      <c r="H727" s="1" t="str">
        <f t="shared" si="135"/>
        <v>20220905</v>
      </c>
      <c r="I727" s="1" t="str">
        <f>"112729"</f>
        <v>112729</v>
      </c>
      <c r="J727" s="1" t="s">
        <v>67</v>
      </c>
      <c r="K727" s="1" t="s">
        <v>52</v>
      </c>
      <c r="L727" s="1" t="str">
        <f t="shared" si="143"/>
        <v>20220905</v>
      </c>
      <c r="M727" s="1" t="str">
        <f>"113523"</f>
        <v>113523</v>
      </c>
      <c r="N727" s="1" t="s">
        <v>70</v>
      </c>
      <c r="O727" s="1" t="s">
        <v>28</v>
      </c>
      <c r="P727" s="1" t="s">
        <v>55</v>
      </c>
      <c r="Q727" s="1">
        <v>25</v>
      </c>
      <c r="R727" s="1">
        <v>25</v>
      </c>
      <c r="S727" s="1">
        <v>0</v>
      </c>
      <c r="T727" s="1">
        <v>0</v>
      </c>
      <c r="U727" s="1">
        <v>0</v>
      </c>
      <c r="V727" s="1" t="str">
        <f t="shared" si="148"/>
        <v>里程去程</v>
      </c>
      <c r="W727" s="1" t="str">
        <f>"2120"</f>
        <v>2120</v>
      </c>
      <c r="X727" s="1" t="s">
        <v>35</v>
      </c>
    </row>
    <row r="728" spans="1:24" x14ac:dyDescent="0.3">
      <c r="A728" s="1" t="str">
        <f t="shared" si="147"/>
        <v>59822</v>
      </c>
      <c r="B728" s="1" t="s">
        <v>39</v>
      </c>
      <c r="C728" s="1" t="s">
        <v>40</v>
      </c>
      <c r="D728" s="1" t="str">
        <f t="shared" si="149"/>
        <v>9801</v>
      </c>
      <c r="E728" s="1" t="s">
        <v>25</v>
      </c>
      <c r="F728" s="1" t="str">
        <f>"1104159237"</f>
        <v>1104159237</v>
      </c>
      <c r="G728" s="1" t="s">
        <v>33</v>
      </c>
      <c r="H728" s="1" t="str">
        <f t="shared" si="135"/>
        <v>20220905</v>
      </c>
      <c r="I728" s="1" t="str">
        <f>"112734"</f>
        <v>112734</v>
      </c>
      <c r="J728" s="1" t="s">
        <v>67</v>
      </c>
      <c r="K728" s="1" t="s">
        <v>52</v>
      </c>
      <c r="L728" s="1" t="str">
        <f t="shared" si="143"/>
        <v>20220905</v>
      </c>
      <c r="M728" s="1" t="str">
        <f>"113528"</f>
        <v>113528</v>
      </c>
      <c r="N728" s="1" t="s">
        <v>70</v>
      </c>
      <c r="O728" s="1" t="s">
        <v>28</v>
      </c>
      <c r="P728" s="1" t="s">
        <v>55</v>
      </c>
      <c r="Q728" s="1">
        <v>25</v>
      </c>
      <c r="R728" s="1">
        <v>25</v>
      </c>
      <c r="S728" s="1">
        <v>0</v>
      </c>
      <c r="T728" s="1">
        <v>0</v>
      </c>
      <c r="U728" s="1">
        <v>0</v>
      </c>
      <c r="V728" s="1" t="str">
        <f t="shared" si="148"/>
        <v>里程去程</v>
      </c>
      <c r="W728" s="1" t="str">
        <f>"2120"</f>
        <v>2120</v>
      </c>
      <c r="X728" s="1" t="s">
        <v>35</v>
      </c>
    </row>
    <row r="729" spans="1:24" x14ac:dyDescent="0.3">
      <c r="A729" s="1" t="str">
        <f t="shared" si="147"/>
        <v>59822</v>
      </c>
      <c r="B729" s="1" t="s">
        <v>39</v>
      </c>
      <c r="C729" s="1" t="s">
        <v>40</v>
      </c>
      <c r="D729" s="1" t="str">
        <f t="shared" si="149"/>
        <v>9801</v>
      </c>
      <c r="E729" s="1" t="s">
        <v>25</v>
      </c>
      <c r="F729" s="1" t="str">
        <f>"1017042881"</f>
        <v>1017042881</v>
      </c>
      <c r="G729" s="1" t="s">
        <v>33</v>
      </c>
      <c r="H729" s="1" t="str">
        <f t="shared" si="135"/>
        <v>20220905</v>
      </c>
      <c r="I729" s="1" t="str">
        <f>"112736"</f>
        <v>112736</v>
      </c>
      <c r="J729" s="1" t="s">
        <v>67</v>
      </c>
      <c r="K729" s="1" t="s">
        <v>52</v>
      </c>
      <c r="L729" s="1" t="str">
        <f t="shared" si="143"/>
        <v>20220905</v>
      </c>
      <c r="M729" s="1" t="str">
        <f>"113531"</f>
        <v>113531</v>
      </c>
      <c r="N729" s="1" t="s">
        <v>70</v>
      </c>
      <c r="O729" s="1" t="s">
        <v>28</v>
      </c>
      <c r="P729" s="1" t="s">
        <v>55</v>
      </c>
      <c r="Q729" s="1">
        <v>25</v>
      </c>
      <c r="R729" s="1">
        <v>25</v>
      </c>
      <c r="S729" s="1">
        <v>0</v>
      </c>
      <c r="T729" s="1">
        <v>0</v>
      </c>
      <c r="U729" s="1">
        <v>0</v>
      </c>
      <c r="V729" s="1" t="str">
        <f t="shared" si="148"/>
        <v>里程去程</v>
      </c>
      <c r="W729" s="1" t="str">
        <f>"2120"</f>
        <v>2120</v>
      </c>
      <c r="X729" s="1" t="s">
        <v>35</v>
      </c>
    </row>
    <row r="730" spans="1:24" x14ac:dyDescent="0.3">
      <c r="A730" s="1" t="str">
        <f t="shared" si="147"/>
        <v>59822</v>
      </c>
      <c r="B730" s="1" t="s">
        <v>39</v>
      </c>
      <c r="C730" s="1" t="s">
        <v>40</v>
      </c>
      <c r="D730" s="1" t="str">
        <f t="shared" si="149"/>
        <v>9801</v>
      </c>
      <c r="E730" s="1" t="s">
        <v>25</v>
      </c>
      <c r="F730" s="1" t="str">
        <f>"1943605736"</f>
        <v>1943605736</v>
      </c>
      <c r="G730" s="1" t="s">
        <v>33</v>
      </c>
      <c r="H730" s="1" t="str">
        <f t="shared" si="135"/>
        <v>20220905</v>
      </c>
      <c r="I730" s="1" t="str">
        <f>"112740"</f>
        <v>112740</v>
      </c>
      <c r="J730" s="1" t="s">
        <v>67</v>
      </c>
      <c r="K730" s="1" t="s">
        <v>52</v>
      </c>
      <c r="L730" s="1" t="str">
        <f t="shared" si="143"/>
        <v>20220905</v>
      </c>
      <c r="M730" s="1" t="str">
        <f>"113526"</f>
        <v>113526</v>
      </c>
      <c r="N730" s="1" t="s">
        <v>70</v>
      </c>
      <c r="O730" s="1" t="s">
        <v>28</v>
      </c>
      <c r="P730" s="1" t="s">
        <v>55</v>
      </c>
      <c r="Q730" s="1">
        <v>25</v>
      </c>
      <c r="R730" s="1">
        <v>25</v>
      </c>
      <c r="S730" s="1">
        <v>0</v>
      </c>
      <c r="T730" s="1">
        <v>0</v>
      </c>
      <c r="U730" s="1">
        <v>0</v>
      </c>
      <c r="V730" s="1" t="str">
        <f t="shared" si="148"/>
        <v>里程去程</v>
      </c>
      <c r="W730" s="1" t="str">
        <f>"2120"</f>
        <v>2120</v>
      </c>
      <c r="X730" s="1" t="s">
        <v>35</v>
      </c>
    </row>
    <row r="731" spans="1:24" x14ac:dyDescent="0.3">
      <c r="A731" s="1" t="str">
        <f t="shared" si="147"/>
        <v>59822</v>
      </c>
      <c r="B731" s="1" t="s">
        <v>39</v>
      </c>
      <c r="C731" s="1" t="s">
        <v>40</v>
      </c>
      <c r="D731" s="1" t="str">
        <f t="shared" si="149"/>
        <v>9801</v>
      </c>
      <c r="E731" s="1" t="s">
        <v>25</v>
      </c>
      <c r="F731" s="1" t="str">
        <f>"1734483201"</f>
        <v>1734483201</v>
      </c>
      <c r="G731" s="1" t="s">
        <v>26</v>
      </c>
      <c r="H731" s="1" t="str">
        <f t="shared" si="135"/>
        <v>20220905</v>
      </c>
      <c r="I731" s="1" t="str">
        <f>"113537"</f>
        <v>113537</v>
      </c>
      <c r="J731" s="1" t="s">
        <v>27</v>
      </c>
      <c r="K731" s="1" t="s">
        <v>28</v>
      </c>
      <c r="L731" s="1" t="str">
        <f t="shared" si="143"/>
        <v>20220905</v>
      </c>
      <c r="M731" s="1" t="str">
        <f>"114708"</f>
        <v>114708</v>
      </c>
      <c r="N731" s="1" t="s">
        <v>61</v>
      </c>
      <c r="O731" s="1" t="s">
        <v>45</v>
      </c>
      <c r="P731" s="1" t="s">
        <v>55</v>
      </c>
      <c r="Q731" s="1">
        <v>13</v>
      </c>
      <c r="R731" s="1">
        <v>0</v>
      </c>
      <c r="S731" s="1">
        <v>13</v>
      </c>
      <c r="T731" s="1">
        <v>0</v>
      </c>
      <c r="U731" s="1">
        <v>0</v>
      </c>
      <c r="V731" s="1" t="str">
        <f t="shared" si="148"/>
        <v>里程去程</v>
      </c>
      <c r="W731" s="1" t="str">
        <f>"0820"</f>
        <v>0820</v>
      </c>
      <c r="X731" s="1" t="s">
        <v>35</v>
      </c>
    </row>
    <row r="732" spans="1:24" x14ac:dyDescent="0.3">
      <c r="A732" s="1" t="str">
        <f t="shared" si="147"/>
        <v>59822</v>
      </c>
      <c r="B732" s="1" t="s">
        <v>39</v>
      </c>
      <c r="C732" s="1" t="s">
        <v>40</v>
      </c>
      <c r="D732" s="1" t="str">
        <f t="shared" si="149"/>
        <v>9801</v>
      </c>
      <c r="E732" s="1" t="s">
        <v>25</v>
      </c>
      <c r="F732" s="1" t="str">
        <f>"73164913"</f>
        <v>73164913</v>
      </c>
      <c r="G732" s="1" t="s">
        <v>33</v>
      </c>
      <c r="H732" s="1" t="str">
        <f t="shared" si="135"/>
        <v>20220905</v>
      </c>
      <c r="I732" s="1" t="str">
        <f>"113539"</f>
        <v>113539</v>
      </c>
      <c r="J732" s="1" t="s">
        <v>27</v>
      </c>
      <c r="K732" s="1" t="s">
        <v>28</v>
      </c>
      <c r="L732" s="1" t="str">
        <f t="shared" si="143"/>
        <v>20220905</v>
      </c>
      <c r="M732" s="1" t="str">
        <f>"115244"</f>
        <v>115244</v>
      </c>
      <c r="N732" s="1" t="s">
        <v>91</v>
      </c>
      <c r="O732" s="1" t="s">
        <v>45</v>
      </c>
      <c r="P732" s="1" t="s">
        <v>55</v>
      </c>
      <c r="Q732" s="1">
        <v>25</v>
      </c>
      <c r="R732" s="1">
        <v>25</v>
      </c>
      <c r="S732" s="1">
        <v>0</v>
      </c>
      <c r="T732" s="1">
        <v>0</v>
      </c>
      <c r="U732" s="1">
        <v>0</v>
      </c>
      <c r="V732" s="1" t="str">
        <f t="shared" si="148"/>
        <v>里程去程</v>
      </c>
      <c r="W732" s="1" t="str">
        <f>"0120"</f>
        <v>0120</v>
      </c>
      <c r="X732" s="1" t="s">
        <v>35</v>
      </c>
    </row>
    <row r="733" spans="1:24" x14ac:dyDescent="0.3">
      <c r="A733" s="1" t="str">
        <f t="shared" si="147"/>
        <v>59822</v>
      </c>
      <c r="B733" s="1" t="s">
        <v>39</v>
      </c>
      <c r="C733" s="1" t="s">
        <v>40</v>
      </c>
      <c r="D733" s="1" t="str">
        <f t="shared" si="149"/>
        <v>9801</v>
      </c>
      <c r="E733" s="1" t="s">
        <v>25</v>
      </c>
      <c r="F733" s="1" t="str">
        <f>"7311170036009956"</f>
        <v>7311170036009956</v>
      </c>
      <c r="G733" s="1" t="s">
        <v>33</v>
      </c>
      <c r="H733" s="1" t="str">
        <f t="shared" si="135"/>
        <v>20220905</v>
      </c>
      <c r="I733" s="1" t="str">
        <f>"113541"</f>
        <v>113541</v>
      </c>
      <c r="J733" s="1" t="s">
        <v>27</v>
      </c>
      <c r="K733" s="1" t="s">
        <v>28</v>
      </c>
      <c r="L733" s="1" t="str">
        <f t="shared" si="143"/>
        <v>20220905</v>
      </c>
      <c r="M733" s="1" t="str">
        <f>"115241"</f>
        <v>115241</v>
      </c>
      <c r="N733" s="1" t="s">
        <v>91</v>
      </c>
      <c r="O733" s="1" t="s">
        <v>45</v>
      </c>
      <c r="P733" s="1" t="s">
        <v>55</v>
      </c>
      <c r="Q733" s="1">
        <v>25</v>
      </c>
      <c r="R733" s="1">
        <v>25</v>
      </c>
      <c r="S733" s="1">
        <v>0</v>
      </c>
      <c r="T733" s="1">
        <v>0</v>
      </c>
      <c r="U733" s="1">
        <v>0</v>
      </c>
      <c r="V733" s="1" t="str">
        <f t="shared" si="148"/>
        <v>里程去程</v>
      </c>
      <c r="W733" s="1" t="str">
        <f>"023B"</f>
        <v>023B</v>
      </c>
      <c r="X733" s="1" t="s">
        <v>109</v>
      </c>
    </row>
    <row r="734" spans="1:24" x14ac:dyDescent="0.3">
      <c r="A734" s="1" t="str">
        <f t="shared" si="147"/>
        <v>59822</v>
      </c>
      <c r="B734" s="1" t="s">
        <v>39</v>
      </c>
      <c r="C734" s="1" t="s">
        <v>40</v>
      </c>
      <c r="D734" s="1" t="str">
        <f t="shared" si="149"/>
        <v>9801</v>
      </c>
      <c r="E734" s="1" t="s">
        <v>25</v>
      </c>
      <c r="F734" s="1" t="str">
        <f>"5213450206880400C821002000000015"</f>
        <v>5213450206880400C821002000000015</v>
      </c>
      <c r="G734" s="1" t="s">
        <v>26</v>
      </c>
      <c r="H734" s="1" t="str">
        <f t="shared" si="135"/>
        <v>20220905</v>
      </c>
      <c r="I734" s="1" t="str">
        <f>"113545"</f>
        <v>113545</v>
      </c>
      <c r="J734" s="1" t="s">
        <v>27</v>
      </c>
      <c r="K734" s="1" t="s">
        <v>28</v>
      </c>
      <c r="L734" s="1" t="str">
        <f t="shared" si="143"/>
        <v>20220905</v>
      </c>
      <c r="M734" s="1" t="str">
        <f>"114819"</f>
        <v>114819</v>
      </c>
      <c r="N734" s="1" t="s">
        <v>56</v>
      </c>
      <c r="O734" s="1" t="s">
        <v>45</v>
      </c>
      <c r="P734" s="1" t="s">
        <v>68</v>
      </c>
      <c r="Q734" s="1">
        <v>13</v>
      </c>
      <c r="R734" s="1">
        <v>0</v>
      </c>
      <c r="S734" s="1">
        <v>0</v>
      </c>
      <c r="T734" s="1">
        <v>13</v>
      </c>
      <c r="U734" s="1">
        <v>0</v>
      </c>
      <c r="V734" s="1" t="str">
        <f t="shared" si="148"/>
        <v>里程去程</v>
      </c>
      <c r="W734" s="1" t="str">
        <f>"0020"</f>
        <v>0020</v>
      </c>
      <c r="X734" s="1" t="s">
        <v>29</v>
      </c>
    </row>
    <row r="735" spans="1:24" x14ac:dyDescent="0.3">
      <c r="A735" s="1" t="str">
        <f t="shared" si="147"/>
        <v>59822</v>
      </c>
      <c r="B735" s="1" t="s">
        <v>39</v>
      </c>
      <c r="C735" s="1" t="s">
        <v>40</v>
      </c>
      <c r="D735" s="1" t="str">
        <f t="shared" si="149"/>
        <v>9801</v>
      </c>
      <c r="E735" s="1" t="s">
        <v>25</v>
      </c>
      <c r="F735" s="1" t="str">
        <f>"197605365"</f>
        <v>197605365</v>
      </c>
      <c r="G735" s="1" t="s">
        <v>33</v>
      </c>
      <c r="H735" s="1" t="str">
        <f t="shared" si="135"/>
        <v>20220905</v>
      </c>
      <c r="I735" s="1" t="str">
        <f>"113550"</f>
        <v>113550</v>
      </c>
      <c r="J735" s="1" t="s">
        <v>27</v>
      </c>
      <c r="K735" s="1" t="s">
        <v>28</v>
      </c>
      <c r="L735" s="1" t="str">
        <f t="shared" si="143"/>
        <v>20220905</v>
      </c>
      <c r="M735" s="1" t="str">
        <f>"114823"</f>
        <v>114823</v>
      </c>
      <c r="N735" s="1" t="s">
        <v>56</v>
      </c>
      <c r="O735" s="1" t="s">
        <v>45</v>
      </c>
      <c r="P735" s="1" t="s">
        <v>55</v>
      </c>
      <c r="Q735" s="1">
        <v>25</v>
      </c>
      <c r="R735" s="1">
        <v>0</v>
      </c>
      <c r="S735" s="1">
        <v>25</v>
      </c>
      <c r="T735" s="1">
        <v>0</v>
      </c>
      <c r="U735" s="1">
        <v>0</v>
      </c>
      <c r="V735" s="1" t="str">
        <f t="shared" si="148"/>
        <v>里程去程</v>
      </c>
      <c r="W735" s="1" t="str">
        <f>"0820"</f>
        <v>0820</v>
      </c>
      <c r="X735" s="1" t="s">
        <v>35</v>
      </c>
    </row>
    <row r="736" spans="1:24" x14ac:dyDescent="0.3">
      <c r="A736" s="1" t="str">
        <f t="shared" si="147"/>
        <v>59822</v>
      </c>
      <c r="B736" s="1" t="s">
        <v>39</v>
      </c>
      <c r="C736" s="1" t="s">
        <v>40</v>
      </c>
      <c r="D736" s="1" t="str">
        <f t="shared" si="149"/>
        <v>9801</v>
      </c>
      <c r="E736" s="1" t="s">
        <v>25</v>
      </c>
      <c r="F736" s="1" t="str">
        <f>"883692469"</f>
        <v>883692469</v>
      </c>
      <c r="G736" s="1" t="s">
        <v>26</v>
      </c>
      <c r="H736" s="1" t="str">
        <f t="shared" si="135"/>
        <v>20220905</v>
      </c>
      <c r="I736" s="1" t="str">
        <f>"115825"</f>
        <v>115825</v>
      </c>
      <c r="J736" s="1" t="s">
        <v>52</v>
      </c>
      <c r="K736" s="1" t="s">
        <v>52</v>
      </c>
      <c r="L736" s="1" t="str">
        <f t="shared" si="143"/>
        <v>20220905</v>
      </c>
      <c r="M736" s="1" t="str">
        <f>"123039"</f>
        <v>123039</v>
      </c>
      <c r="N736" s="1" t="s">
        <v>70</v>
      </c>
      <c r="O736" s="1" t="s">
        <v>28</v>
      </c>
      <c r="P736" s="1" t="s">
        <v>55</v>
      </c>
      <c r="Q736" s="1">
        <v>13</v>
      </c>
      <c r="R736" s="1">
        <v>13</v>
      </c>
      <c r="S736" s="1">
        <v>0</v>
      </c>
      <c r="T736" s="1">
        <v>0</v>
      </c>
      <c r="U736" s="1">
        <v>0</v>
      </c>
      <c r="V736" s="1" t="str">
        <f t="shared" si="148"/>
        <v>里程去程</v>
      </c>
      <c r="W736" s="1" t="str">
        <f>"2120"</f>
        <v>2120</v>
      </c>
      <c r="X736" s="1" t="s">
        <v>35</v>
      </c>
    </row>
    <row r="737" spans="1:24" x14ac:dyDescent="0.3">
      <c r="A737" s="1" t="str">
        <f t="shared" si="147"/>
        <v>59822</v>
      </c>
      <c r="B737" s="1" t="s">
        <v>39</v>
      </c>
      <c r="C737" s="1" t="s">
        <v>40</v>
      </c>
      <c r="D737" s="1" t="str">
        <f t="shared" si="149"/>
        <v>9801</v>
      </c>
      <c r="E737" s="1" t="s">
        <v>25</v>
      </c>
      <c r="F737" s="1" t="str">
        <f>"2699356783"</f>
        <v>2699356783</v>
      </c>
      <c r="G737" s="1" t="s">
        <v>26</v>
      </c>
      <c r="H737" s="1" t="str">
        <f t="shared" si="135"/>
        <v>20220905</v>
      </c>
      <c r="I737" s="1" t="str">
        <f>"115832"</f>
        <v>115832</v>
      </c>
      <c r="J737" s="1" t="s">
        <v>52</v>
      </c>
      <c r="K737" s="1" t="s">
        <v>52</v>
      </c>
      <c r="L737" s="1" t="str">
        <f t="shared" si="143"/>
        <v>20220905</v>
      </c>
      <c r="M737" s="1" t="str">
        <f>"123032"</f>
        <v>123032</v>
      </c>
      <c r="N737" s="1" t="s">
        <v>70</v>
      </c>
      <c r="O737" s="1" t="s">
        <v>28</v>
      </c>
      <c r="P737" s="1" t="s">
        <v>55</v>
      </c>
      <c r="Q737" s="1">
        <v>13</v>
      </c>
      <c r="R737" s="1">
        <v>13</v>
      </c>
      <c r="S737" s="1">
        <v>0</v>
      </c>
      <c r="T737" s="1">
        <v>0</v>
      </c>
      <c r="U737" s="1">
        <v>0</v>
      </c>
      <c r="V737" s="1" t="str">
        <f t="shared" si="148"/>
        <v>里程去程</v>
      </c>
      <c r="W737" s="1" t="str">
        <f>"2120"</f>
        <v>2120</v>
      </c>
      <c r="X737" s="1" t="s">
        <v>35</v>
      </c>
    </row>
    <row r="738" spans="1:24" x14ac:dyDescent="0.3">
      <c r="A738" s="1" t="str">
        <f t="shared" si="147"/>
        <v>59822</v>
      </c>
      <c r="B738" s="1" t="s">
        <v>39</v>
      </c>
      <c r="C738" s="1" t="s">
        <v>40</v>
      </c>
      <c r="D738" s="1" t="str">
        <f t="shared" si="149"/>
        <v>9801</v>
      </c>
      <c r="E738" s="1" t="s">
        <v>25</v>
      </c>
      <c r="F738" s="1" t="str">
        <f>"1502929265"</f>
        <v>1502929265</v>
      </c>
      <c r="G738" s="1" t="s">
        <v>33</v>
      </c>
      <c r="H738" s="1" t="str">
        <f t="shared" si="135"/>
        <v>20220905</v>
      </c>
      <c r="I738" s="1" t="str">
        <f>"120014"</f>
        <v>120014</v>
      </c>
      <c r="J738" s="1" t="s">
        <v>52</v>
      </c>
      <c r="K738" s="1" t="s">
        <v>52</v>
      </c>
      <c r="L738" s="1" t="str">
        <f t="shared" si="143"/>
        <v>20220905</v>
      </c>
      <c r="M738" s="1" t="str">
        <f>"123021"</f>
        <v>123021</v>
      </c>
      <c r="N738" s="1" t="s">
        <v>70</v>
      </c>
      <c r="O738" s="1" t="s">
        <v>28</v>
      </c>
      <c r="P738" s="1" t="s">
        <v>55</v>
      </c>
      <c r="Q738" s="1">
        <v>25</v>
      </c>
      <c r="R738" s="1">
        <v>25</v>
      </c>
      <c r="S738" s="1">
        <v>0</v>
      </c>
      <c r="T738" s="1">
        <v>0</v>
      </c>
      <c r="U738" s="1">
        <v>0</v>
      </c>
      <c r="V738" s="1" t="str">
        <f t="shared" si="148"/>
        <v>里程去程</v>
      </c>
      <c r="W738" s="1" t="str">
        <f>"1120"</f>
        <v>1120</v>
      </c>
      <c r="X738" s="1" t="s">
        <v>35</v>
      </c>
    </row>
    <row r="739" spans="1:24" x14ac:dyDescent="0.3">
      <c r="A739" s="1" t="str">
        <f t="shared" si="147"/>
        <v>59822</v>
      </c>
      <c r="B739" s="1" t="s">
        <v>39</v>
      </c>
      <c r="C739" s="1" t="s">
        <v>40</v>
      </c>
      <c r="D739" s="1" t="str">
        <f t="shared" si="149"/>
        <v>9801</v>
      </c>
      <c r="E739" s="1" t="s">
        <v>25</v>
      </c>
      <c r="F739" s="1" t="str">
        <f>"1279584657"</f>
        <v>1279584657</v>
      </c>
      <c r="G739" s="1" t="s">
        <v>33</v>
      </c>
      <c r="H739" s="1" t="str">
        <f t="shared" ref="H739:H802" si="150">"20220905"</f>
        <v>20220905</v>
      </c>
      <c r="I739" s="1" t="str">
        <f>"121359"</f>
        <v>121359</v>
      </c>
      <c r="J739" s="1" t="s">
        <v>80</v>
      </c>
      <c r="K739" s="1" t="s">
        <v>52</v>
      </c>
      <c r="L739" s="1" t="str">
        <f t="shared" ref="L739:L770" si="151">"20220905"</f>
        <v>20220905</v>
      </c>
      <c r="M739" s="1" t="str">
        <f>"123012"</f>
        <v>123012</v>
      </c>
      <c r="N739" s="1" t="s">
        <v>70</v>
      </c>
      <c r="O739" s="1" t="s">
        <v>28</v>
      </c>
      <c r="P739" s="1" t="s">
        <v>55</v>
      </c>
      <c r="Q739" s="1">
        <v>25</v>
      </c>
      <c r="R739" s="1">
        <v>0</v>
      </c>
      <c r="S739" s="1">
        <v>25</v>
      </c>
      <c r="T739" s="1">
        <v>0</v>
      </c>
      <c r="U739" s="1">
        <v>0</v>
      </c>
      <c r="V739" s="1" t="str">
        <f t="shared" si="148"/>
        <v>里程去程</v>
      </c>
      <c r="W739" s="1" t="str">
        <f>"2120"</f>
        <v>2120</v>
      </c>
      <c r="X739" s="1" t="s">
        <v>35</v>
      </c>
    </row>
    <row r="740" spans="1:24" x14ac:dyDescent="0.3">
      <c r="A740" s="1" t="str">
        <f t="shared" si="147"/>
        <v>59822</v>
      </c>
      <c r="B740" s="1" t="s">
        <v>39</v>
      </c>
      <c r="C740" s="1" t="s">
        <v>40</v>
      </c>
      <c r="D740" s="1" t="str">
        <f t="shared" si="149"/>
        <v>9801</v>
      </c>
      <c r="E740" s="1" t="s">
        <v>25</v>
      </c>
      <c r="F740" s="1" t="str">
        <f>"4251460257880400C821002000000015"</f>
        <v>4251460257880400C821002000000015</v>
      </c>
      <c r="G740" s="1" t="s">
        <v>26</v>
      </c>
      <c r="H740" s="1" t="str">
        <f t="shared" si="150"/>
        <v>20220905</v>
      </c>
      <c r="I740" s="1" t="str">
        <f>"121402"</f>
        <v>121402</v>
      </c>
      <c r="J740" s="1" t="s">
        <v>80</v>
      </c>
      <c r="K740" s="1" t="s">
        <v>52</v>
      </c>
      <c r="L740" s="1" t="str">
        <f t="shared" si="151"/>
        <v>20220905</v>
      </c>
      <c r="M740" s="1" t="str">
        <f>"121846"</f>
        <v>121846</v>
      </c>
      <c r="N740" s="1" t="s">
        <v>69</v>
      </c>
      <c r="O740" s="1" t="s">
        <v>52</v>
      </c>
      <c r="P740" s="1" t="s">
        <v>68</v>
      </c>
      <c r="Q740" s="1">
        <v>13</v>
      </c>
      <c r="R740" s="1">
        <v>0</v>
      </c>
      <c r="S740" s="1">
        <v>0</v>
      </c>
      <c r="T740" s="1">
        <v>13</v>
      </c>
      <c r="U740" s="1">
        <v>0</v>
      </c>
      <c r="V740" s="1" t="str">
        <f t="shared" si="148"/>
        <v>里程去程</v>
      </c>
      <c r="W740" s="1" t="str">
        <f>"0020"</f>
        <v>0020</v>
      </c>
      <c r="X740" s="1" t="s">
        <v>29</v>
      </c>
    </row>
    <row r="741" spans="1:24" x14ac:dyDescent="0.3">
      <c r="A741" s="1" t="str">
        <f t="shared" si="147"/>
        <v>59822</v>
      </c>
      <c r="B741" s="1" t="s">
        <v>39</v>
      </c>
      <c r="C741" s="1" t="s">
        <v>40</v>
      </c>
      <c r="D741" s="1" t="str">
        <f t="shared" si="149"/>
        <v>9801</v>
      </c>
      <c r="E741" s="1" t="s">
        <v>25</v>
      </c>
      <c r="F741" s="1" t="str">
        <f>"8227D00277880400C834002000000015"</f>
        <v>8227D00277880400C834002000000015</v>
      </c>
      <c r="G741" s="1" t="s">
        <v>26</v>
      </c>
      <c r="H741" s="1" t="str">
        <f t="shared" si="150"/>
        <v>20220905</v>
      </c>
      <c r="I741" s="1" t="str">
        <f>"122126"</f>
        <v>122126</v>
      </c>
      <c r="J741" s="1" t="s">
        <v>78</v>
      </c>
      <c r="K741" s="1" t="s">
        <v>52</v>
      </c>
      <c r="L741" s="1" t="str">
        <f t="shared" si="151"/>
        <v>20220905</v>
      </c>
      <c r="M741" s="1" t="str">
        <f>"123009"</f>
        <v>123009</v>
      </c>
      <c r="N741" s="1" t="s">
        <v>70</v>
      </c>
      <c r="O741" s="1" t="s">
        <v>28</v>
      </c>
      <c r="P741" s="1" t="s">
        <v>68</v>
      </c>
      <c r="Q741" s="1">
        <v>13</v>
      </c>
      <c r="R741" s="1">
        <v>0</v>
      </c>
      <c r="S741" s="1">
        <v>0</v>
      </c>
      <c r="T741" s="1">
        <v>13</v>
      </c>
      <c r="U741" s="1">
        <v>0</v>
      </c>
      <c r="V741" s="1" t="str">
        <f t="shared" si="148"/>
        <v>里程去程</v>
      </c>
      <c r="W741" s="1" t="str">
        <f>"0020"</f>
        <v>0020</v>
      </c>
      <c r="X741" s="1" t="s">
        <v>29</v>
      </c>
    </row>
    <row r="742" spans="1:24" x14ac:dyDescent="0.3">
      <c r="A742" s="1" t="str">
        <f t="shared" si="147"/>
        <v>59822</v>
      </c>
      <c r="B742" s="1" t="s">
        <v>39</v>
      </c>
      <c r="C742" s="1" t="s">
        <v>40</v>
      </c>
      <c r="D742" s="1" t="str">
        <f t="shared" si="149"/>
        <v>9801</v>
      </c>
      <c r="E742" s="1" t="s">
        <v>25</v>
      </c>
      <c r="F742" s="1" t="str">
        <f>"21D9F539342804001C00000000000000"</f>
        <v>21D9F539342804001C00000000000000</v>
      </c>
      <c r="G742" s="1" t="s">
        <v>58</v>
      </c>
      <c r="H742" s="1" t="str">
        <f t="shared" si="150"/>
        <v>20220905</v>
      </c>
      <c r="I742" s="1" t="str">
        <f>"123058"</f>
        <v>123058</v>
      </c>
      <c r="J742" s="1" t="s">
        <v>27</v>
      </c>
      <c r="K742" s="1" t="s">
        <v>28</v>
      </c>
      <c r="L742" s="1" t="str">
        <f t="shared" si="151"/>
        <v>20220905</v>
      </c>
      <c r="M742" s="1" t="str">
        <f>"124822"</f>
        <v>124822</v>
      </c>
      <c r="N742" s="1" t="s">
        <v>56</v>
      </c>
      <c r="O742" s="1" t="s">
        <v>45</v>
      </c>
      <c r="P742" s="1" t="s">
        <v>55</v>
      </c>
      <c r="Q742" s="1">
        <v>25</v>
      </c>
      <c r="R742" s="1">
        <v>25</v>
      </c>
      <c r="S742" s="1">
        <v>0</v>
      </c>
      <c r="T742" s="1">
        <v>0</v>
      </c>
      <c r="U742" s="1">
        <v>0</v>
      </c>
      <c r="V742" s="1" t="str">
        <f t="shared" si="148"/>
        <v>里程去程</v>
      </c>
      <c r="W742" s="1" t="str">
        <f>"0020"</f>
        <v>0020</v>
      </c>
      <c r="X742" s="1" t="s">
        <v>29</v>
      </c>
    </row>
    <row r="743" spans="1:24" x14ac:dyDescent="0.3">
      <c r="A743" s="1" t="str">
        <f t="shared" si="147"/>
        <v>59822</v>
      </c>
      <c r="B743" s="1" t="s">
        <v>39</v>
      </c>
      <c r="C743" s="1" t="s">
        <v>40</v>
      </c>
      <c r="D743" s="1" t="str">
        <f t="shared" si="149"/>
        <v>9801</v>
      </c>
      <c r="E743" s="1" t="s">
        <v>25</v>
      </c>
      <c r="F743" s="1" t="str">
        <f>"1552799217"</f>
        <v>1552799217</v>
      </c>
      <c r="G743" s="1" t="s">
        <v>33</v>
      </c>
      <c r="H743" s="1" t="str">
        <f t="shared" si="150"/>
        <v>20220905</v>
      </c>
      <c r="I743" s="1" t="str">
        <f>"123105"</f>
        <v>123105</v>
      </c>
      <c r="J743" s="1" t="s">
        <v>27</v>
      </c>
      <c r="K743" s="1" t="s">
        <v>28</v>
      </c>
      <c r="L743" s="1" t="str">
        <f t="shared" si="151"/>
        <v>20220905</v>
      </c>
      <c r="M743" s="1" t="str">
        <f>"125904"</f>
        <v>125904</v>
      </c>
      <c r="N743" s="1" t="s">
        <v>44</v>
      </c>
      <c r="O743" s="1" t="s">
        <v>45</v>
      </c>
      <c r="P743" s="1" t="s">
        <v>55</v>
      </c>
      <c r="Q743" s="1">
        <v>25</v>
      </c>
      <c r="R743" s="1">
        <v>25</v>
      </c>
      <c r="S743" s="1">
        <v>0</v>
      </c>
      <c r="T743" s="1">
        <v>0</v>
      </c>
      <c r="U743" s="1">
        <v>0</v>
      </c>
      <c r="V743" s="1" t="str">
        <f t="shared" si="148"/>
        <v>里程去程</v>
      </c>
      <c r="W743" s="1" t="str">
        <f>"1420"</f>
        <v>1420</v>
      </c>
      <c r="X743" s="1" t="s">
        <v>35</v>
      </c>
    </row>
    <row r="744" spans="1:24" x14ac:dyDescent="0.3">
      <c r="A744" s="1" t="str">
        <f t="shared" si="147"/>
        <v>59822</v>
      </c>
      <c r="B744" s="1" t="s">
        <v>39</v>
      </c>
      <c r="C744" s="1" t="s">
        <v>40</v>
      </c>
      <c r="D744" s="1" t="str">
        <f t="shared" si="149"/>
        <v>9801</v>
      </c>
      <c r="E744" s="1" t="s">
        <v>25</v>
      </c>
      <c r="F744" s="1" t="str">
        <f>"848333137"</f>
        <v>848333137</v>
      </c>
      <c r="G744" s="1" t="s">
        <v>33</v>
      </c>
      <c r="H744" s="1" t="str">
        <f t="shared" si="150"/>
        <v>20220905</v>
      </c>
      <c r="I744" s="1" t="str">
        <f>"123108"</f>
        <v>123108</v>
      </c>
      <c r="J744" s="1" t="s">
        <v>27</v>
      </c>
      <c r="K744" s="1" t="s">
        <v>28</v>
      </c>
      <c r="L744" s="1" t="str">
        <f t="shared" si="151"/>
        <v>20220905</v>
      </c>
      <c r="M744" s="1" t="str">
        <f>"124811"</f>
        <v>124811</v>
      </c>
      <c r="N744" s="1" t="s">
        <v>56</v>
      </c>
      <c r="O744" s="1" t="s">
        <v>45</v>
      </c>
      <c r="P744" s="1" t="s">
        <v>55</v>
      </c>
      <c r="Q744" s="1">
        <v>25</v>
      </c>
      <c r="R744" s="1">
        <v>25</v>
      </c>
      <c r="S744" s="1">
        <v>0</v>
      </c>
      <c r="T744" s="1">
        <v>0</v>
      </c>
      <c r="U744" s="1">
        <v>0</v>
      </c>
      <c r="V744" s="1" t="str">
        <f t="shared" si="148"/>
        <v>里程去程</v>
      </c>
      <c r="W744" s="1" t="str">
        <f>"1920"</f>
        <v>1920</v>
      </c>
      <c r="X744" s="1" t="s">
        <v>35</v>
      </c>
    </row>
    <row r="745" spans="1:24" x14ac:dyDescent="0.3">
      <c r="A745" s="1" t="str">
        <f t="shared" si="147"/>
        <v>59822</v>
      </c>
      <c r="B745" s="1" t="s">
        <v>39</v>
      </c>
      <c r="C745" s="1" t="s">
        <v>40</v>
      </c>
      <c r="D745" s="1" t="str">
        <f t="shared" si="149"/>
        <v>9801</v>
      </c>
      <c r="E745" s="1" t="s">
        <v>25</v>
      </c>
      <c r="F745" s="1" t="str">
        <f>"423225169"</f>
        <v>423225169</v>
      </c>
      <c r="G745" s="1" t="s">
        <v>33</v>
      </c>
      <c r="H745" s="1" t="str">
        <f t="shared" si="150"/>
        <v>20220905</v>
      </c>
      <c r="I745" s="1" t="str">
        <f>"123543"</f>
        <v>123543</v>
      </c>
      <c r="J745" s="1" t="s">
        <v>27</v>
      </c>
      <c r="K745" s="1" t="s">
        <v>28</v>
      </c>
      <c r="L745" s="1" t="str">
        <f t="shared" si="151"/>
        <v>20220905</v>
      </c>
      <c r="M745" s="1" t="str">
        <f>"124818"</f>
        <v>124818</v>
      </c>
      <c r="N745" s="1" t="s">
        <v>56</v>
      </c>
      <c r="O745" s="1" t="s">
        <v>45</v>
      </c>
      <c r="P745" s="1" t="s">
        <v>55</v>
      </c>
      <c r="Q745" s="1">
        <v>25</v>
      </c>
      <c r="R745" s="1">
        <v>25</v>
      </c>
      <c r="S745" s="1">
        <v>0</v>
      </c>
      <c r="T745" s="1">
        <v>0</v>
      </c>
      <c r="U745" s="1">
        <v>0</v>
      </c>
      <c r="V745" s="1" t="str">
        <f t="shared" si="148"/>
        <v>里程去程</v>
      </c>
      <c r="W745" s="1" t="str">
        <f>"0320"</f>
        <v>0320</v>
      </c>
      <c r="X745" s="1" t="s">
        <v>35</v>
      </c>
    </row>
    <row r="746" spans="1:24" x14ac:dyDescent="0.3">
      <c r="A746" s="1" t="str">
        <f t="shared" si="147"/>
        <v>59822</v>
      </c>
      <c r="B746" s="1" t="s">
        <v>39</v>
      </c>
      <c r="C746" s="1" t="s">
        <v>40</v>
      </c>
      <c r="D746" s="1" t="str">
        <f t="shared" si="149"/>
        <v>9801</v>
      </c>
      <c r="E746" s="1" t="s">
        <v>25</v>
      </c>
      <c r="F746" s="1" t="str">
        <f>"776560917"</f>
        <v>776560917</v>
      </c>
      <c r="G746" s="1" t="s">
        <v>33</v>
      </c>
      <c r="H746" s="1" t="str">
        <f t="shared" si="150"/>
        <v>20220905</v>
      </c>
      <c r="I746" s="1" t="str">
        <f>"123547"</f>
        <v>123547</v>
      </c>
      <c r="J746" s="1" t="s">
        <v>27</v>
      </c>
      <c r="K746" s="1" t="s">
        <v>28</v>
      </c>
      <c r="L746" s="1" t="str">
        <f t="shared" si="151"/>
        <v>20220905</v>
      </c>
      <c r="M746" s="1" t="str">
        <f>"124815"</f>
        <v>124815</v>
      </c>
      <c r="N746" s="1" t="s">
        <v>56</v>
      </c>
      <c r="O746" s="1" t="s">
        <v>45</v>
      </c>
      <c r="P746" s="1" t="s">
        <v>55</v>
      </c>
      <c r="Q746" s="1">
        <v>25</v>
      </c>
      <c r="R746" s="1">
        <v>25</v>
      </c>
      <c r="S746" s="1">
        <v>0</v>
      </c>
      <c r="T746" s="1">
        <v>0</v>
      </c>
      <c r="U746" s="1">
        <v>0</v>
      </c>
      <c r="V746" s="1" t="str">
        <f t="shared" si="148"/>
        <v>里程去程</v>
      </c>
      <c r="W746" s="1" t="str">
        <f>"0320"</f>
        <v>0320</v>
      </c>
      <c r="X746" s="1" t="s">
        <v>35</v>
      </c>
    </row>
    <row r="747" spans="1:24" x14ac:dyDescent="0.3">
      <c r="A747" s="1" t="str">
        <f t="shared" si="147"/>
        <v>59822</v>
      </c>
      <c r="B747" s="1" t="s">
        <v>39</v>
      </c>
      <c r="C747" s="1" t="s">
        <v>40</v>
      </c>
      <c r="D747" s="1" t="str">
        <f t="shared" si="149"/>
        <v>9801</v>
      </c>
      <c r="E747" s="1" t="s">
        <v>25</v>
      </c>
      <c r="F747" s="1" t="str">
        <f>"BA0D0A2895880400C08E1E5661204012"</f>
        <v>BA0D0A2895880400C08E1E5661204012</v>
      </c>
      <c r="G747" s="1" t="s">
        <v>58</v>
      </c>
      <c r="H747" s="1" t="str">
        <f t="shared" si="150"/>
        <v>20220905</v>
      </c>
      <c r="I747" s="1" t="str">
        <f>"123554"</f>
        <v>123554</v>
      </c>
      <c r="J747" s="1" t="s">
        <v>27</v>
      </c>
      <c r="K747" s="1" t="s">
        <v>28</v>
      </c>
      <c r="L747" s="1" t="str">
        <f t="shared" si="151"/>
        <v>20220905</v>
      </c>
      <c r="M747" s="1" t="str">
        <f>"125927"</f>
        <v>125927</v>
      </c>
      <c r="N747" s="1" t="s">
        <v>44</v>
      </c>
      <c r="O747" s="1" t="s">
        <v>45</v>
      </c>
      <c r="P747" s="1" t="s">
        <v>55</v>
      </c>
      <c r="Q747" s="1">
        <v>25</v>
      </c>
      <c r="R747" s="1">
        <v>25</v>
      </c>
      <c r="S747" s="1">
        <v>0</v>
      </c>
      <c r="T747" s="1">
        <v>0</v>
      </c>
      <c r="U747" s="1">
        <v>0</v>
      </c>
      <c r="V747" s="1" t="str">
        <f t="shared" si="148"/>
        <v>里程去程</v>
      </c>
      <c r="W747" s="1" t="str">
        <f>"0020"</f>
        <v>0020</v>
      </c>
      <c r="X747" s="1" t="s">
        <v>29</v>
      </c>
    </row>
    <row r="748" spans="1:24" x14ac:dyDescent="0.3">
      <c r="A748" s="1" t="str">
        <f t="shared" si="147"/>
        <v>59822</v>
      </c>
      <c r="B748" s="1" t="s">
        <v>39</v>
      </c>
      <c r="C748" s="1" t="s">
        <v>40</v>
      </c>
      <c r="D748" s="1" t="str">
        <f t="shared" si="149"/>
        <v>9801</v>
      </c>
      <c r="E748" s="1" t="s">
        <v>25</v>
      </c>
      <c r="F748" s="1" t="str">
        <f>"781992725"</f>
        <v>781992725</v>
      </c>
      <c r="G748" s="1" t="s">
        <v>33</v>
      </c>
      <c r="H748" s="1" t="str">
        <f t="shared" si="150"/>
        <v>20220905</v>
      </c>
      <c r="I748" s="1" t="str">
        <f>"123557"</f>
        <v>123557</v>
      </c>
      <c r="J748" s="1" t="s">
        <v>27</v>
      </c>
      <c r="K748" s="1" t="s">
        <v>28</v>
      </c>
      <c r="L748" s="1" t="str">
        <f t="shared" si="151"/>
        <v>20220905</v>
      </c>
      <c r="M748" s="1" t="str">
        <f>"125931"</f>
        <v>125931</v>
      </c>
      <c r="N748" s="1" t="s">
        <v>44</v>
      </c>
      <c r="O748" s="1" t="s">
        <v>45</v>
      </c>
      <c r="P748" s="1" t="s">
        <v>55</v>
      </c>
      <c r="Q748" s="1">
        <v>25</v>
      </c>
      <c r="R748" s="1">
        <v>25</v>
      </c>
      <c r="S748" s="1">
        <v>0</v>
      </c>
      <c r="T748" s="1">
        <v>0</v>
      </c>
      <c r="U748" s="1">
        <v>0</v>
      </c>
      <c r="V748" s="1" t="str">
        <f t="shared" si="148"/>
        <v>里程去程</v>
      </c>
      <c r="W748" s="1" t="str">
        <f>"0820"</f>
        <v>0820</v>
      </c>
      <c r="X748" s="1" t="s">
        <v>35</v>
      </c>
    </row>
    <row r="749" spans="1:24" x14ac:dyDescent="0.3">
      <c r="A749" s="1" t="str">
        <f t="shared" si="147"/>
        <v>59822</v>
      </c>
      <c r="B749" s="1" t="s">
        <v>39</v>
      </c>
      <c r="C749" s="1" t="s">
        <v>40</v>
      </c>
      <c r="D749" s="1" t="str">
        <f t="shared" si="149"/>
        <v>9801</v>
      </c>
      <c r="E749" s="1" t="s">
        <v>25</v>
      </c>
      <c r="F749" s="1" t="str">
        <f>"1192035509"</f>
        <v>1192035509</v>
      </c>
      <c r="G749" s="1" t="s">
        <v>33</v>
      </c>
      <c r="H749" s="1" t="str">
        <f t="shared" si="150"/>
        <v>20220905</v>
      </c>
      <c r="I749" s="1" t="str">
        <f>"124605"</f>
        <v>124605</v>
      </c>
      <c r="J749" s="1" t="s">
        <v>45</v>
      </c>
      <c r="K749" s="1" t="s">
        <v>45</v>
      </c>
      <c r="L749" s="1" t="str">
        <f t="shared" si="151"/>
        <v>20220905</v>
      </c>
      <c r="M749" s="1" t="str">
        <f>"125138"</f>
        <v>125138</v>
      </c>
      <c r="N749" s="1" t="s">
        <v>91</v>
      </c>
      <c r="O749" s="1" t="s">
        <v>45</v>
      </c>
      <c r="P749" s="1" t="s">
        <v>55</v>
      </c>
      <c r="Q749" s="1">
        <v>25</v>
      </c>
      <c r="R749" s="1">
        <v>0</v>
      </c>
      <c r="S749" s="1">
        <v>25</v>
      </c>
      <c r="T749" s="1">
        <v>0</v>
      </c>
      <c r="U749" s="1">
        <v>0</v>
      </c>
      <c r="V749" s="1" t="str">
        <f t="shared" si="148"/>
        <v>里程去程</v>
      </c>
      <c r="W749" s="1" t="str">
        <f>"2020"</f>
        <v>2020</v>
      </c>
      <c r="X749" s="1" t="s">
        <v>35</v>
      </c>
    </row>
    <row r="750" spans="1:24" x14ac:dyDescent="0.3">
      <c r="A750" s="1" t="str">
        <f t="shared" si="147"/>
        <v>59822</v>
      </c>
      <c r="B750" s="1" t="s">
        <v>39</v>
      </c>
      <c r="C750" s="1" t="s">
        <v>40</v>
      </c>
      <c r="D750" s="1" t="str">
        <f t="shared" si="149"/>
        <v>9801</v>
      </c>
      <c r="E750" s="1" t="s">
        <v>25</v>
      </c>
      <c r="F750" s="1" t="str">
        <f>"1552799217"</f>
        <v>1552799217</v>
      </c>
      <c r="G750" s="1" t="s">
        <v>33</v>
      </c>
      <c r="H750" s="1" t="str">
        <f t="shared" si="150"/>
        <v>20220905</v>
      </c>
      <c r="I750" s="1" t="str">
        <f>"130009"</f>
        <v>130009</v>
      </c>
      <c r="J750" s="1" t="s">
        <v>52</v>
      </c>
      <c r="K750" s="1" t="s">
        <v>52</v>
      </c>
      <c r="L750" s="1" t="str">
        <f t="shared" si="151"/>
        <v>20220905</v>
      </c>
      <c r="M750" s="1" t="str">
        <f>"130545"</f>
        <v>130545</v>
      </c>
      <c r="N750" s="1" t="s">
        <v>60</v>
      </c>
      <c r="O750" s="1" t="s">
        <v>52</v>
      </c>
      <c r="P750" s="1" t="s">
        <v>55</v>
      </c>
      <c r="Q750" s="1">
        <v>25</v>
      </c>
      <c r="R750" s="1">
        <v>25</v>
      </c>
      <c r="S750" s="1">
        <v>0</v>
      </c>
      <c r="T750" s="1">
        <v>0</v>
      </c>
      <c r="U750" s="1">
        <v>0</v>
      </c>
      <c r="V750" s="1" t="str">
        <f t="shared" si="148"/>
        <v>里程去程</v>
      </c>
      <c r="W750" s="1" t="str">
        <f>"2020"</f>
        <v>2020</v>
      </c>
      <c r="X750" s="1" t="s">
        <v>35</v>
      </c>
    </row>
    <row r="751" spans="1:24" x14ac:dyDescent="0.3">
      <c r="A751" s="1" t="str">
        <f t="shared" si="147"/>
        <v>59822</v>
      </c>
      <c r="B751" s="1" t="s">
        <v>39</v>
      </c>
      <c r="C751" s="1" t="s">
        <v>40</v>
      </c>
      <c r="D751" s="1" t="str">
        <f t="shared" si="149"/>
        <v>9801</v>
      </c>
      <c r="E751" s="1" t="s">
        <v>25</v>
      </c>
      <c r="F751" s="1" t="str">
        <f>"73164913"</f>
        <v>73164913</v>
      </c>
      <c r="G751" s="1" t="s">
        <v>33</v>
      </c>
      <c r="H751" s="1" t="str">
        <f t="shared" si="150"/>
        <v>20220905</v>
      </c>
      <c r="I751" s="1" t="str">
        <f>"130012"</f>
        <v>130012</v>
      </c>
      <c r="J751" s="1" t="s">
        <v>52</v>
      </c>
      <c r="K751" s="1" t="s">
        <v>52</v>
      </c>
      <c r="L751" s="1" t="str">
        <f t="shared" si="151"/>
        <v>20220905</v>
      </c>
      <c r="M751" s="1" t="str">
        <f>"132741"</f>
        <v>132741</v>
      </c>
      <c r="N751" s="1" t="s">
        <v>85</v>
      </c>
      <c r="O751" s="1" t="s">
        <v>28</v>
      </c>
      <c r="P751" s="1" t="s">
        <v>55</v>
      </c>
      <c r="Q751" s="1">
        <v>25</v>
      </c>
      <c r="R751" s="1">
        <v>25</v>
      </c>
      <c r="S751" s="1">
        <v>0</v>
      </c>
      <c r="T751" s="1">
        <v>0</v>
      </c>
      <c r="U751" s="1">
        <v>0</v>
      </c>
      <c r="V751" s="1" t="str">
        <f t="shared" si="148"/>
        <v>里程去程</v>
      </c>
      <c r="W751" s="1" t="str">
        <f>"2020"</f>
        <v>2020</v>
      </c>
      <c r="X751" s="1" t="s">
        <v>35</v>
      </c>
    </row>
    <row r="752" spans="1:24" x14ac:dyDescent="0.3">
      <c r="A752" s="1" t="str">
        <f t="shared" si="147"/>
        <v>59822</v>
      </c>
      <c r="B752" s="1" t="s">
        <v>39</v>
      </c>
      <c r="C752" s="1" t="s">
        <v>40</v>
      </c>
      <c r="D752" s="1" t="str">
        <f t="shared" si="149"/>
        <v>9801</v>
      </c>
      <c r="E752" s="1" t="s">
        <v>25</v>
      </c>
      <c r="F752" s="1" t="str">
        <f>"7311170036009956"</f>
        <v>7311170036009956</v>
      </c>
      <c r="G752" s="1" t="s">
        <v>33</v>
      </c>
      <c r="H752" s="1" t="str">
        <f t="shared" si="150"/>
        <v>20220905</v>
      </c>
      <c r="I752" s="1" t="str">
        <f>"130015"</f>
        <v>130015</v>
      </c>
      <c r="J752" s="1" t="s">
        <v>52</v>
      </c>
      <c r="K752" s="1" t="s">
        <v>52</v>
      </c>
      <c r="L752" s="1" t="str">
        <f t="shared" si="151"/>
        <v>20220905</v>
      </c>
      <c r="M752" s="1" t="str">
        <f>"132745"</f>
        <v>132745</v>
      </c>
      <c r="N752" s="1" t="s">
        <v>85</v>
      </c>
      <c r="O752" s="1" t="s">
        <v>28</v>
      </c>
      <c r="P752" s="1" t="s">
        <v>55</v>
      </c>
      <c r="Q752" s="1">
        <v>25</v>
      </c>
      <c r="R752" s="1">
        <v>25</v>
      </c>
      <c r="S752" s="1">
        <v>0</v>
      </c>
      <c r="T752" s="1">
        <v>0</v>
      </c>
      <c r="U752" s="1">
        <v>0</v>
      </c>
      <c r="V752" s="1" t="str">
        <f t="shared" si="148"/>
        <v>里程去程</v>
      </c>
      <c r="W752" s="1" t="str">
        <f>"3B8B"</f>
        <v>3B8B</v>
      </c>
      <c r="X752" s="1" t="s">
        <v>109</v>
      </c>
    </row>
    <row r="753" spans="1:24" x14ac:dyDescent="0.3">
      <c r="A753" s="1" t="str">
        <f t="shared" si="147"/>
        <v>59822</v>
      </c>
      <c r="B753" s="1" t="s">
        <v>39</v>
      </c>
      <c r="C753" s="1" t="s">
        <v>40</v>
      </c>
      <c r="D753" s="1" t="str">
        <f t="shared" si="149"/>
        <v>9801</v>
      </c>
      <c r="E753" s="1" t="s">
        <v>25</v>
      </c>
      <c r="F753" s="1" t="str">
        <f>"629413266"</f>
        <v>629413266</v>
      </c>
      <c r="G753" s="1" t="s">
        <v>33</v>
      </c>
      <c r="H753" s="1" t="str">
        <f t="shared" si="150"/>
        <v>20220905</v>
      </c>
      <c r="I753" s="1" t="str">
        <f>"132315"</f>
        <v>132315</v>
      </c>
      <c r="J753" s="1" t="s">
        <v>83</v>
      </c>
      <c r="K753" s="1" t="s">
        <v>52</v>
      </c>
      <c r="L753" s="1" t="str">
        <f t="shared" si="151"/>
        <v>20220905</v>
      </c>
      <c r="M753" s="1" t="str">
        <f>"132928"</f>
        <v>132928</v>
      </c>
      <c r="N753" s="1" t="s">
        <v>27</v>
      </c>
      <c r="O753" s="1" t="s">
        <v>28</v>
      </c>
      <c r="P753" s="1" t="s">
        <v>55</v>
      </c>
      <c r="Q753" s="1">
        <v>25</v>
      </c>
      <c r="R753" s="1">
        <v>25</v>
      </c>
      <c r="S753" s="1">
        <v>0</v>
      </c>
      <c r="T753" s="1">
        <v>0</v>
      </c>
      <c r="U753" s="1">
        <v>0</v>
      </c>
      <c r="V753" s="1" t="str">
        <f t="shared" si="148"/>
        <v>里程去程</v>
      </c>
      <c r="W753" s="1" t="str">
        <f>"0820"</f>
        <v>0820</v>
      </c>
      <c r="X753" s="1" t="s">
        <v>35</v>
      </c>
    </row>
    <row r="754" spans="1:24" x14ac:dyDescent="0.3">
      <c r="A754" s="1" t="str">
        <f t="shared" si="147"/>
        <v>59822</v>
      </c>
      <c r="B754" s="1" t="s">
        <v>39</v>
      </c>
      <c r="C754" s="1" t="s">
        <v>40</v>
      </c>
      <c r="D754" s="1" t="str">
        <f t="shared" si="149"/>
        <v>9801</v>
      </c>
      <c r="E754" s="1" t="s">
        <v>25</v>
      </c>
      <c r="F754" s="1" t="str">
        <f>"F27CE6026A880400C834002000000015"</f>
        <v>F27CE6026A880400C834002000000015</v>
      </c>
      <c r="G754" s="1" t="s">
        <v>74</v>
      </c>
      <c r="H754" s="1" t="str">
        <f t="shared" si="150"/>
        <v>20220905</v>
      </c>
      <c r="I754" s="1" t="str">
        <f>"145853"</f>
        <v>145853</v>
      </c>
      <c r="J754" s="1" t="s">
        <v>52</v>
      </c>
      <c r="K754" s="1" t="s">
        <v>52</v>
      </c>
      <c r="L754" s="1" t="str">
        <f t="shared" si="151"/>
        <v>20220905</v>
      </c>
      <c r="M754" s="1" t="str">
        <f>"150536"</f>
        <v>150536</v>
      </c>
      <c r="N754" s="1" t="s">
        <v>60</v>
      </c>
      <c r="O754" s="1" t="s">
        <v>52</v>
      </c>
      <c r="P754" s="1" t="s">
        <v>68</v>
      </c>
      <c r="Q754" s="1">
        <v>13</v>
      </c>
      <c r="R754" s="1">
        <v>0</v>
      </c>
      <c r="S754" s="1">
        <v>0</v>
      </c>
      <c r="T754" s="1">
        <v>13</v>
      </c>
      <c r="U754" s="1">
        <v>0</v>
      </c>
      <c r="V754" s="1" t="str">
        <f t="shared" si="148"/>
        <v>里程去程</v>
      </c>
      <c r="W754" s="1" t="str">
        <f>"0020"</f>
        <v>0020</v>
      </c>
      <c r="X754" s="1" t="s">
        <v>29</v>
      </c>
    </row>
    <row r="755" spans="1:24" x14ac:dyDescent="0.3">
      <c r="A755" s="1" t="str">
        <f t="shared" si="147"/>
        <v>59822</v>
      </c>
      <c r="B755" s="1" t="s">
        <v>39</v>
      </c>
      <c r="C755" s="1" t="s">
        <v>40</v>
      </c>
      <c r="D755" s="1" t="str">
        <f t="shared" si="149"/>
        <v>9801</v>
      </c>
      <c r="E755" s="1" t="s">
        <v>25</v>
      </c>
      <c r="F755" s="1" t="str">
        <f>"82D5FB02AE880400C834002000000015"</f>
        <v>82D5FB02AE880400C834002000000015</v>
      </c>
      <c r="G755" s="1" t="s">
        <v>26</v>
      </c>
      <c r="H755" s="1" t="str">
        <f t="shared" si="150"/>
        <v>20220905</v>
      </c>
      <c r="I755" s="1" t="str">
        <f>"150805"</f>
        <v>150805</v>
      </c>
      <c r="J755" s="1" t="s">
        <v>51</v>
      </c>
      <c r="K755" s="1" t="s">
        <v>52</v>
      </c>
      <c r="L755" s="1" t="str">
        <f t="shared" si="151"/>
        <v>20220905</v>
      </c>
      <c r="M755" s="1" t="str">
        <f>"151456"</f>
        <v>151456</v>
      </c>
      <c r="N755" s="1" t="s">
        <v>80</v>
      </c>
      <c r="O755" s="1" t="s">
        <v>52</v>
      </c>
      <c r="P755" s="1" t="s">
        <v>68</v>
      </c>
      <c r="Q755" s="1">
        <v>13</v>
      </c>
      <c r="R755" s="1">
        <v>0</v>
      </c>
      <c r="S755" s="1">
        <v>0</v>
      </c>
      <c r="T755" s="1">
        <v>13</v>
      </c>
      <c r="U755" s="1">
        <v>0</v>
      </c>
      <c r="V755" s="1" t="str">
        <f t="shared" si="148"/>
        <v>里程去程</v>
      </c>
      <c r="W755" s="1" t="str">
        <f>"0020"</f>
        <v>0020</v>
      </c>
      <c r="X755" s="1" t="s">
        <v>29</v>
      </c>
    </row>
    <row r="756" spans="1:24" x14ac:dyDescent="0.3">
      <c r="A756" s="1" t="str">
        <f t="shared" si="147"/>
        <v>59822</v>
      </c>
      <c r="B756" s="1" t="s">
        <v>39</v>
      </c>
      <c r="C756" s="1" t="s">
        <v>40</v>
      </c>
      <c r="D756" s="1" t="str">
        <f t="shared" si="149"/>
        <v>9801</v>
      </c>
      <c r="E756" s="1" t="s">
        <v>25</v>
      </c>
      <c r="F756" s="1" t="str">
        <f>"1147048485"</f>
        <v>1147048485</v>
      </c>
      <c r="G756" s="1" t="s">
        <v>26</v>
      </c>
      <c r="H756" s="1" t="str">
        <f t="shared" si="150"/>
        <v>20220905</v>
      </c>
      <c r="I756" s="1" t="str">
        <f>"153407"</f>
        <v>153407</v>
      </c>
      <c r="J756" s="1" t="s">
        <v>27</v>
      </c>
      <c r="K756" s="1" t="s">
        <v>28</v>
      </c>
      <c r="L756" s="1" t="str">
        <f t="shared" si="151"/>
        <v>20220905</v>
      </c>
      <c r="M756" s="1" t="str">
        <f>"155550"</f>
        <v>155550</v>
      </c>
      <c r="N756" s="1" t="s">
        <v>44</v>
      </c>
      <c r="O756" s="1" t="s">
        <v>45</v>
      </c>
      <c r="P756" s="1" t="s">
        <v>55</v>
      </c>
      <c r="Q756" s="1">
        <v>13</v>
      </c>
      <c r="R756" s="1">
        <v>0</v>
      </c>
      <c r="S756" s="1">
        <v>13</v>
      </c>
      <c r="T756" s="1">
        <v>0</v>
      </c>
      <c r="U756" s="1">
        <v>0</v>
      </c>
      <c r="V756" s="1" t="str">
        <f t="shared" si="148"/>
        <v>里程去程</v>
      </c>
      <c r="W756" s="1" t="str">
        <f>"0820"</f>
        <v>0820</v>
      </c>
      <c r="X756" s="1" t="s">
        <v>35</v>
      </c>
    </row>
    <row r="757" spans="1:24" x14ac:dyDescent="0.3">
      <c r="A757" s="1" t="str">
        <f t="shared" si="147"/>
        <v>59822</v>
      </c>
      <c r="B757" s="1" t="s">
        <v>39</v>
      </c>
      <c r="C757" s="1" t="s">
        <v>40</v>
      </c>
      <c r="D757" s="1" t="str">
        <f t="shared" si="149"/>
        <v>9801</v>
      </c>
      <c r="E757" s="1" t="s">
        <v>25</v>
      </c>
      <c r="F757" s="1" t="str">
        <f>"1145704501"</f>
        <v>1145704501</v>
      </c>
      <c r="G757" s="1" t="s">
        <v>26</v>
      </c>
      <c r="H757" s="1" t="str">
        <f t="shared" si="150"/>
        <v>20220905</v>
      </c>
      <c r="I757" s="1" t="str">
        <f>"153410"</f>
        <v>153410</v>
      </c>
      <c r="J757" s="1" t="s">
        <v>27</v>
      </c>
      <c r="K757" s="1" t="s">
        <v>28</v>
      </c>
      <c r="L757" s="1" t="str">
        <f t="shared" si="151"/>
        <v>20220905</v>
      </c>
      <c r="M757" s="1" t="str">
        <f>"155547"</f>
        <v>155547</v>
      </c>
      <c r="N757" s="1" t="s">
        <v>44</v>
      </c>
      <c r="O757" s="1" t="s">
        <v>45</v>
      </c>
      <c r="P757" s="1" t="s">
        <v>55</v>
      </c>
      <c r="Q757" s="1">
        <v>13</v>
      </c>
      <c r="R757" s="1">
        <v>0</v>
      </c>
      <c r="S757" s="1">
        <v>13</v>
      </c>
      <c r="T757" s="1">
        <v>0</v>
      </c>
      <c r="U757" s="1">
        <v>0</v>
      </c>
      <c r="V757" s="1" t="str">
        <f t="shared" si="148"/>
        <v>里程去程</v>
      </c>
      <c r="W757" s="1" t="str">
        <f>"0820"</f>
        <v>0820</v>
      </c>
      <c r="X757" s="1" t="s">
        <v>35</v>
      </c>
    </row>
    <row r="758" spans="1:24" x14ac:dyDescent="0.3">
      <c r="A758" s="1" t="str">
        <f t="shared" ref="A758:A785" si="152">"59822"</f>
        <v>59822</v>
      </c>
      <c r="B758" s="1" t="s">
        <v>39</v>
      </c>
      <c r="C758" s="1" t="s">
        <v>40</v>
      </c>
      <c r="D758" s="1" t="str">
        <f t="shared" si="149"/>
        <v>9801</v>
      </c>
      <c r="E758" s="1" t="s">
        <v>25</v>
      </c>
      <c r="F758" s="1" t="str">
        <f>"D2D38A1992880400C824002000000020"</f>
        <v>D2D38A1992880400C824002000000020</v>
      </c>
      <c r="G758" s="1" t="s">
        <v>59</v>
      </c>
      <c r="H758" s="1" t="str">
        <f t="shared" si="150"/>
        <v>20220905</v>
      </c>
      <c r="I758" s="1" t="str">
        <f>"155641"</f>
        <v>155641</v>
      </c>
      <c r="J758" s="1" t="s">
        <v>52</v>
      </c>
      <c r="K758" s="1" t="s">
        <v>52</v>
      </c>
      <c r="L758" s="1" t="str">
        <f t="shared" si="151"/>
        <v>20220905</v>
      </c>
      <c r="M758" s="1" t="str">
        <f>"162729"</f>
        <v>162729</v>
      </c>
      <c r="N758" s="1" t="s">
        <v>78</v>
      </c>
      <c r="O758" s="1" t="s">
        <v>52</v>
      </c>
      <c r="P758" s="1" t="s">
        <v>55</v>
      </c>
      <c r="Q758" s="1">
        <v>25</v>
      </c>
      <c r="R758" s="1">
        <v>0</v>
      </c>
      <c r="S758" s="1">
        <v>25</v>
      </c>
      <c r="T758" s="1">
        <v>0</v>
      </c>
      <c r="U758" s="1">
        <v>0</v>
      </c>
      <c r="V758" s="1" t="str">
        <f t="shared" si="148"/>
        <v>里程去程</v>
      </c>
      <c r="W758" s="1" t="str">
        <f>"1120"</f>
        <v>1120</v>
      </c>
      <c r="X758" s="1" t="s">
        <v>29</v>
      </c>
    </row>
    <row r="759" spans="1:24" x14ac:dyDescent="0.3">
      <c r="A759" s="1" t="str">
        <f t="shared" si="152"/>
        <v>59822</v>
      </c>
      <c r="B759" s="1" t="s">
        <v>39</v>
      </c>
      <c r="C759" s="1" t="s">
        <v>40</v>
      </c>
      <c r="D759" s="1" t="str">
        <f t="shared" ref="D759:D785" si="153">"9801"</f>
        <v>9801</v>
      </c>
      <c r="E759" s="1" t="s">
        <v>25</v>
      </c>
      <c r="F759" s="1" t="str">
        <f>"C2C219031A880400C834002000000015"</f>
        <v>C2C219031A880400C834002000000015</v>
      </c>
      <c r="G759" s="1" t="s">
        <v>74</v>
      </c>
      <c r="H759" s="1" t="str">
        <f t="shared" si="150"/>
        <v>20220905</v>
      </c>
      <c r="I759" s="1" t="str">
        <f>"160730"</f>
        <v>160730</v>
      </c>
      <c r="J759" s="1" t="s">
        <v>60</v>
      </c>
      <c r="K759" s="1" t="s">
        <v>52</v>
      </c>
      <c r="L759" s="1" t="str">
        <f t="shared" si="151"/>
        <v>20220905</v>
      </c>
      <c r="M759" s="1" t="str">
        <f>"161943"</f>
        <v>161943</v>
      </c>
      <c r="N759" s="1" t="s">
        <v>80</v>
      </c>
      <c r="O759" s="1" t="s">
        <v>52</v>
      </c>
      <c r="P759" s="1" t="s">
        <v>68</v>
      </c>
      <c r="Q759" s="1">
        <v>13</v>
      </c>
      <c r="R759" s="1">
        <v>0</v>
      </c>
      <c r="S759" s="1">
        <v>0</v>
      </c>
      <c r="T759" s="1">
        <v>13</v>
      </c>
      <c r="U759" s="1">
        <v>0</v>
      </c>
      <c r="V759" s="1" t="str">
        <f t="shared" si="148"/>
        <v>里程去程</v>
      </c>
      <c r="W759" s="1" t="str">
        <f>"0020"</f>
        <v>0020</v>
      </c>
      <c r="X759" s="1" t="s">
        <v>29</v>
      </c>
    </row>
    <row r="760" spans="1:24" x14ac:dyDescent="0.3">
      <c r="A760" s="1" t="str">
        <f t="shared" si="152"/>
        <v>59822</v>
      </c>
      <c r="B760" s="1" t="s">
        <v>39</v>
      </c>
      <c r="C760" s="1" t="s">
        <v>40</v>
      </c>
      <c r="D760" s="1" t="str">
        <f t="shared" si="153"/>
        <v>9801</v>
      </c>
      <c r="E760" s="1" t="s">
        <v>25</v>
      </c>
      <c r="F760" s="1" t="str">
        <f>"796883057"</f>
        <v>796883057</v>
      </c>
      <c r="G760" s="1" t="s">
        <v>33</v>
      </c>
      <c r="H760" s="1" t="str">
        <f t="shared" si="150"/>
        <v>20220905</v>
      </c>
      <c r="I760" s="1" t="str">
        <f>"162830"</f>
        <v>162830</v>
      </c>
      <c r="J760" s="1" t="s">
        <v>67</v>
      </c>
      <c r="K760" s="1" t="s">
        <v>52</v>
      </c>
      <c r="L760" s="1" t="str">
        <f t="shared" si="151"/>
        <v>20220905</v>
      </c>
      <c r="M760" s="1" t="str">
        <f>"163804"</f>
        <v>163804</v>
      </c>
      <c r="N760" s="1" t="s">
        <v>70</v>
      </c>
      <c r="O760" s="1" t="s">
        <v>28</v>
      </c>
      <c r="P760" s="1" t="s">
        <v>55</v>
      </c>
      <c r="Q760" s="1">
        <v>25</v>
      </c>
      <c r="R760" s="1">
        <v>25</v>
      </c>
      <c r="S760" s="1">
        <v>0</v>
      </c>
      <c r="T760" s="1">
        <v>0</v>
      </c>
      <c r="U760" s="1">
        <v>0</v>
      </c>
      <c r="V760" s="1" t="str">
        <f t="shared" si="148"/>
        <v>里程去程</v>
      </c>
      <c r="W760" s="1" t="str">
        <f>"0e20"</f>
        <v>0e20</v>
      </c>
      <c r="X760" s="1" t="s">
        <v>35</v>
      </c>
    </row>
    <row r="761" spans="1:24" x14ac:dyDescent="0.3">
      <c r="A761" s="1" t="str">
        <f t="shared" si="152"/>
        <v>59822</v>
      </c>
      <c r="B761" s="1" t="s">
        <v>39</v>
      </c>
      <c r="C761" s="1" t="s">
        <v>40</v>
      </c>
      <c r="D761" s="1" t="str">
        <f t="shared" si="153"/>
        <v>9801</v>
      </c>
      <c r="E761" s="1" t="s">
        <v>25</v>
      </c>
      <c r="F761" s="1" t="str">
        <f>"901915489"</f>
        <v>901915489</v>
      </c>
      <c r="G761" s="1" t="s">
        <v>33</v>
      </c>
      <c r="H761" s="1" t="str">
        <f t="shared" si="150"/>
        <v>20220905</v>
      </c>
      <c r="I761" s="1" t="str">
        <f>"163812"</f>
        <v>163812</v>
      </c>
      <c r="J761" s="1" t="s">
        <v>27</v>
      </c>
      <c r="K761" s="1" t="s">
        <v>28</v>
      </c>
      <c r="L761" s="1" t="str">
        <f t="shared" si="151"/>
        <v>20220905</v>
      </c>
      <c r="M761" s="1" t="str">
        <f>"165524"</f>
        <v>165524</v>
      </c>
      <c r="N761" s="1" t="s">
        <v>91</v>
      </c>
      <c r="O761" s="1" t="s">
        <v>45</v>
      </c>
      <c r="P761" s="1" t="s">
        <v>55</v>
      </c>
      <c r="Q761" s="1">
        <v>25</v>
      </c>
      <c r="R761" s="1">
        <v>25</v>
      </c>
      <c r="S761" s="1">
        <v>0</v>
      </c>
      <c r="T761" s="1">
        <v>0</v>
      </c>
      <c r="U761" s="1">
        <v>0</v>
      </c>
      <c r="V761" s="1" t="str">
        <f t="shared" si="148"/>
        <v>里程去程</v>
      </c>
      <c r="W761" s="1" t="str">
        <f>"0120"</f>
        <v>0120</v>
      </c>
      <c r="X761" s="1" t="s">
        <v>35</v>
      </c>
    </row>
    <row r="762" spans="1:24" x14ac:dyDescent="0.3">
      <c r="A762" s="1" t="str">
        <f t="shared" si="152"/>
        <v>59822</v>
      </c>
      <c r="B762" s="1" t="s">
        <v>39</v>
      </c>
      <c r="C762" s="1" t="s">
        <v>40</v>
      </c>
      <c r="D762" s="1" t="str">
        <f t="shared" si="153"/>
        <v>9801</v>
      </c>
      <c r="E762" s="1" t="s">
        <v>25</v>
      </c>
      <c r="F762" s="1" t="str">
        <f>"1231206277"</f>
        <v>1231206277</v>
      </c>
      <c r="G762" s="1" t="s">
        <v>33</v>
      </c>
      <c r="H762" s="1" t="str">
        <f t="shared" si="150"/>
        <v>20220905</v>
      </c>
      <c r="I762" s="1" t="str">
        <f>"163823"</f>
        <v>163823</v>
      </c>
      <c r="J762" s="1" t="s">
        <v>27</v>
      </c>
      <c r="K762" s="1" t="s">
        <v>28</v>
      </c>
      <c r="L762" s="1" t="str">
        <f t="shared" si="151"/>
        <v>20220905</v>
      </c>
      <c r="M762" s="1" t="str">
        <f>"170121"</f>
        <v>170121</v>
      </c>
      <c r="N762" s="1" t="s">
        <v>44</v>
      </c>
      <c r="O762" s="1" t="s">
        <v>45</v>
      </c>
      <c r="P762" s="1" t="s">
        <v>55</v>
      </c>
      <c r="Q762" s="1">
        <v>25</v>
      </c>
      <c r="R762" s="1">
        <v>25</v>
      </c>
      <c r="S762" s="1">
        <v>0</v>
      </c>
      <c r="T762" s="1">
        <v>0</v>
      </c>
      <c r="U762" s="1">
        <v>0</v>
      </c>
      <c r="V762" s="1" t="str">
        <f t="shared" si="148"/>
        <v>里程去程</v>
      </c>
      <c r="W762" s="1" t="str">
        <f>"0120"</f>
        <v>0120</v>
      </c>
      <c r="X762" s="1" t="s">
        <v>35</v>
      </c>
    </row>
    <row r="763" spans="1:24" x14ac:dyDescent="0.3">
      <c r="A763" s="1" t="str">
        <f t="shared" si="152"/>
        <v>59822</v>
      </c>
      <c r="B763" s="1" t="s">
        <v>39</v>
      </c>
      <c r="C763" s="1" t="s">
        <v>40</v>
      </c>
      <c r="D763" s="1" t="str">
        <f t="shared" si="153"/>
        <v>9801</v>
      </c>
      <c r="E763" s="1" t="s">
        <v>25</v>
      </c>
      <c r="F763" s="1" t="str">
        <f>"3922955454"</f>
        <v>3922955454</v>
      </c>
      <c r="G763" s="1" t="s">
        <v>33</v>
      </c>
      <c r="H763" s="1" t="str">
        <f t="shared" si="150"/>
        <v>20220905</v>
      </c>
      <c r="I763" s="1" t="str">
        <f>"163834"</f>
        <v>163834</v>
      </c>
      <c r="J763" s="1" t="s">
        <v>27</v>
      </c>
      <c r="K763" s="1" t="s">
        <v>28</v>
      </c>
      <c r="L763" s="1" t="str">
        <f t="shared" si="151"/>
        <v>20220905</v>
      </c>
      <c r="M763" s="1" t="str">
        <f>"165744"</f>
        <v>165744</v>
      </c>
      <c r="N763" s="1" t="s">
        <v>44</v>
      </c>
      <c r="O763" s="1" t="s">
        <v>45</v>
      </c>
      <c r="P763" s="1" t="s">
        <v>55</v>
      </c>
      <c r="Q763" s="1">
        <v>25</v>
      </c>
      <c r="R763" s="1">
        <v>25</v>
      </c>
      <c r="S763" s="1">
        <v>0</v>
      </c>
      <c r="T763" s="1">
        <v>0</v>
      </c>
      <c r="U763" s="1">
        <v>0</v>
      </c>
      <c r="V763" s="1" t="str">
        <f t="shared" si="148"/>
        <v>里程去程</v>
      </c>
      <c r="W763" s="1" t="str">
        <f>"1420"</f>
        <v>1420</v>
      </c>
      <c r="X763" s="1" t="s">
        <v>35</v>
      </c>
    </row>
    <row r="764" spans="1:24" x14ac:dyDescent="0.3">
      <c r="A764" s="1" t="str">
        <f t="shared" si="152"/>
        <v>59822</v>
      </c>
      <c r="B764" s="1" t="s">
        <v>39</v>
      </c>
      <c r="C764" s="1" t="s">
        <v>40</v>
      </c>
      <c r="D764" s="1" t="str">
        <f t="shared" si="153"/>
        <v>9801</v>
      </c>
      <c r="E764" s="1" t="s">
        <v>25</v>
      </c>
      <c r="F764" s="1" t="str">
        <f>"5A87B3E789880400475975915D101608"</f>
        <v>5A87B3E789880400475975915D101608</v>
      </c>
      <c r="G764" s="1" t="s">
        <v>64</v>
      </c>
      <c r="H764" s="1" t="str">
        <f t="shared" si="150"/>
        <v>20220905</v>
      </c>
      <c r="I764" s="1" t="str">
        <f>"163837"</f>
        <v>163837</v>
      </c>
      <c r="J764" s="1" t="s">
        <v>27</v>
      </c>
      <c r="K764" s="1" t="s">
        <v>28</v>
      </c>
      <c r="L764" s="1" t="str">
        <f t="shared" si="151"/>
        <v>20220905</v>
      </c>
      <c r="M764" s="1" t="str">
        <f>"165756"</f>
        <v>165756</v>
      </c>
      <c r="N764" s="1" t="s">
        <v>44</v>
      </c>
      <c r="O764" s="1" t="s">
        <v>45</v>
      </c>
      <c r="P764" s="1" t="s">
        <v>55</v>
      </c>
      <c r="Q764" s="1">
        <v>13</v>
      </c>
      <c r="R764" s="1">
        <v>13</v>
      </c>
      <c r="S764" s="1">
        <v>0</v>
      </c>
      <c r="T764" s="1">
        <v>0</v>
      </c>
      <c r="U764" s="1">
        <v>0</v>
      </c>
      <c r="V764" s="1" t="str">
        <f t="shared" si="148"/>
        <v>里程去程</v>
      </c>
      <c r="W764" s="1" t="str">
        <f>"0020"</f>
        <v>0020</v>
      </c>
      <c r="X764" s="1" t="s">
        <v>29</v>
      </c>
    </row>
    <row r="765" spans="1:24" x14ac:dyDescent="0.3">
      <c r="A765" s="1" t="str">
        <f t="shared" si="152"/>
        <v>59822</v>
      </c>
      <c r="B765" s="1" t="s">
        <v>39</v>
      </c>
      <c r="C765" s="1" t="s">
        <v>40</v>
      </c>
      <c r="D765" s="1" t="str">
        <f t="shared" si="153"/>
        <v>9801</v>
      </c>
      <c r="E765" s="1" t="s">
        <v>25</v>
      </c>
      <c r="F765" s="1" t="str">
        <f>"1807383873"</f>
        <v>1807383873</v>
      </c>
      <c r="G765" s="1" t="s">
        <v>33</v>
      </c>
      <c r="H765" s="1" t="str">
        <f t="shared" si="150"/>
        <v>20220905</v>
      </c>
      <c r="I765" s="1" t="str">
        <f>"163841"</f>
        <v>163841</v>
      </c>
      <c r="J765" s="1" t="s">
        <v>27</v>
      </c>
      <c r="K765" s="1" t="s">
        <v>28</v>
      </c>
      <c r="L765" s="1" t="str">
        <f t="shared" si="151"/>
        <v>20220905</v>
      </c>
      <c r="M765" s="1" t="str">
        <f>"165503"</f>
        <v>165503</v>
      </c>
      <c r="N765" s="1" t="s">
        <v>91</v>
      </c>
      <c r="O765" s="1" t="s">
        <v>45</v>
      </c>
      <c r="P765" s="1" t="s">
        <v>55</v>
      </c>
      <c r="Q765" s="1">
        <v>25</v>
      </c>
      <c r="R765" s="1">
        <v>25</v>
      </c>
      <c r="S765" s="1">
        <v>0</v>
      </c>
      <c r="T765" s="1">
        <v>0</v>
      </c>
      <c r="U765" s="1">
        <v>0</v>
      </c>
      <c r="V765" s="1" t="str">
        <f t="shared" si="148"/>
        <v>里程去程</v>
      </c>
      <c r="W765" s="1" t="str">
        <f>"0120"</f>
        <v>0120</v>
      </c>
      <c r="X765" s="1" t="s">
        <v>35</v>
      </c>
    </row>
    <row r="766" spans="1:24" x14ac:dyDescent="0.3">
      <c r="A766" s="1" t="str">
        <f t="shared" si="152"/>
        <v>59822</v>
      </c>
      <c r="B766" s="1" t="s">
        <v>39</v>
      </c>
      <c r="C766" s="1" t="s">
        <v>40</v>
      </c>
      <c r="D766" s="1" t="str">
        <f t="shared" si="153"/>
        <v>9801</v>
      </c>
      <c r="E766" s="1" t="s">
        <v>25</v>
      </c>
      <c r="F766" s="1" t="str">
        <f>"1241978085"</f>
        <v>1241978085</v>
      </c>
      <c r="G766" s="1" t="s">
        <v>38</v>
      </c>
      <c r="H766" s="1" t="str">
        <f t="shared" si="150"/>
        <v>20220905</v>
      </c>
      <c r="I766" s="1" t="str">
        <f>"163842"</f>
        <v>163842</v>
      </c>
      <c r="J766" s="1" t="s">
        <v>27</v>
      </c>
      <c r="K766" s="1" t="s">
        <v>28</v>
      </c>
      <c r="L766" s="1" t="str">
        <f t="shared" si="151"/>
        <v>20220905</v>
      </c>
      <c r="M766" s="1" t="str">
        <f>"165530"</f>
        <v>165530</v>
      </c>
      <c r="N766" s="1" t="s">
        <v>91</v>
      </c>
      <c r="O766" s="1" t="s">
        <v>45</v>
      </c>
      <c r="P766" s="1" t="s">
        <v>55</v>
      </c>
      <c r="Q766" s="1">
        <v>25</v>
      </c>
      <c r="R766" s="1">
        <v>25</v>
      </c>
      <c r="S766" s="1">
        <v>0</v>
      </c>
      <c r="T766" s="1">
        <v>0</v>
      </c>
      <c r="U766" s="1">
        <v>0</v>
      </c>
      <c r="V766" s="1" t="str">
        <f t="shared" si="148"/>
        <v>里程去程</v>
      </c>
      <c r="W766" s="1" t="str">
        <f>"0920"</f>
        <v>0920</v>
      </c>
      <c r="X766" s="1" t="s">
        <v>35</v>
      </c>
    </row>
    <row r="767" spans="1:24" x14ac:dyDescent="0.3">
      <c r="A767" s="1" t="str">
        <f t="shared" si="152"/>
        <v>59822</v>
      </c>
      <c r="B767" s="1" t="s">
        <v>39</v>
      </c>
      <c r="C767" s="1" t="s">
        <v>40</v>
      </c>
      <c r="D767" s="1" t="str">
        <f t="shared" si="153"/>
        <v>9801</v>
      </c>
      <c r="E767" s="1" t="s">
        <v>25</v>
      </c>
      <c r="F767" s="1" t="str">
        <f>"1230232645"</f>
        <v>1230232645</v>
      </c>
      <c r="G767" s="1" t="s">
        <v>38</v>
      </c>
      <c r="H767" s="1" t="str">
        <f t="shared" si="150"/>
        <v>20220905</v>
      </c>
      <c r="I767" s="1" t="str">
        <f>"163848"</f>
        <v>163848</v>
      </c>
      <c r="J767" s="1" t="s">
        <v>27</v>
      </c>
      <c r="K767" s="1" t="s">
        <v>28</v>
      </c>
      <c r="L767" s="1" t="str">
        <f t="shared" si="151"/>
        <v>20220905</v>
      </c>
      <c r="M767" s="1" t="str">
        <f>"165532"</f>
        <v>165532</v>
      </c>
      <c r="N767" s="1" t="s">
        <v>91</v>
      </c>
      <c r="O767" s="1" t="s">
        <v>45</v>
      </c>
      <c r="P767" s="1" t="s">
        <v>55</v>
      </c>
      <c r="Q767" s="1">
        <v>25</v>
      </c>
      <c r="R767" s="1">
        <v>25</v>
      </c>
      <c r="S767" s="1">
        <v>0</v>
      </c>
      <c r="T767" s="1">
        <v>0</v>
      </c>
      <c r="U767" s="1">
        <v>0</v>
      </c>
      <c r="V767" s="1" t="str">
        <f t="shared" si="148"/>
        <v>里程去程</v>
      </c>
      <c r="W767" s="1" t="str">
        <f>"0920"</f>
        <v>0920</v>
      </c>
      <c r="X767" s="1" t="s">
        <v>35</v>
      </c>
    </row>
    <row r="768" spans="1:24" x14ac:dyDescent="0.3">
      <c r="A768" s="1" t="str">
        <f t="shared" si="152"/>
        <v>59822</v>
      </c>
      <c r="B768" s="1" t="s">
        <v>39</v>
      </c>
      <c r="C768" s="1" t="s">
        <v>40</v>
      </c>
      <c r="D768" s="1" t="str">
        <f t="shared" si="153"/>
        <v>9801</v>
      </c>
      <c r="E768" s="1" t="s">
        <v>25</v>
      </c>
      <c r="F768" s="1" t="str">
        <f>"1242005525"</f>
        <v>1242005525</v>
      </c>
      <c r="G768" s="1" t="s">
        <v>38</v>
      </c>
      <c r="H768" s="1" t="str">
        <f t="shared" si="150"/>
        <v>20220905</v>
      </c>
      <c r="I768" s="1" t="str">
        <f>"163851"</f>
        <v>163851</v>
      </c>
      <c r="J768" s="1" t="s">
        <v>27</v>
      </c>
      <c r="K768" s="1" t="s">
        <v>28</v>
      </c>
      <c r="L768" s="1" t="str">
        <f t="shared" si="151"/>
        <v>20220905</v>
      </c>
      <c r="M768" s="1" t="str">
        <f>"165528"</f>
        <v>165528</v>
      </c>
      <c r="N768" s="1" t="s">
        <v>91</v>
      </c>
      <c r="O768" s="1" t="s">
        <v>45</v>
      </c>
      <c r="P768" s="1" t="s">
        <v>55</v>
      </c>
      <c r="Q768" s="1">
        <v>25</v>
      </c>
      <c r="R768" s="1">
        <v>25</v>
      </c>
      <c r="S768" s="1">
        <v>0</v>
      </c>
      <c r="T768" s="1">
        <v>0</v>
      </c>
      <c r="U768" s="1">
        <v>0</v>
      </c>
      <c r="V768" s="1" t="str">
        <f t="shared" si="148"/>
        <v>里程去程</v>
      </c>
      <c r="W768" s="1" t="str">
        <f>"0920"</f>
        <v>0920</v>
      </c>
      <c r="X768" s="1" t="s">
        <v>35</v>
      </c>
    </row>
    <row r="769" spans="1:24" x14ac:dyDescent="0.3">
      <c r="A769" s="1" t="str">
        <f t="shared" si="152"/>
        <v>59822</v>
      </c>
      <c r="B769" s="1" t="s">
        <v>39</v>
      </c>
      <c r="C769" s="1" t="s">
        <v>40</v>
      </c>
      <c r="D769" s="1" t="str">
        <f t="shared" si="153"/>
        <v>9801</v>
      </c>
      <c r="E769" s="1" t="s">
        <v>25</v>
      </c>
      <c r="F769" s="1" t="str">
        <f>"1112715573"</f>
        <v>1112715573</v>
      </c>
      <c r="G769" s="1" t="s">
        <v>38</v>
      </c>
      <c r="H769" s="1" t="str">
        <f t="shared" si="150"/>
        <v>20220905</v>
      </c>
      <c r="I769" s="1" t="str">
        <f>"172524"</f>
        <v>172524</v>
      </c>
      <c r="J769" s="1" t="s">
        <v>44</v>
      </c>
      <c r="K769" s="1" t="s">
        <v>45</v>
      </c>
      <c r="L769" s="1" t="str">
        <f t="shared" si="151"/>
        <v>20220905</v>
      </c>
      <c r="M769" s="1" t="str">
        <f>"180436"</f>
        <v>180436</v>
      </c>
      <c r="N769" s="1" t="s">
        <v>67</v>
      </c>
      <c r="O769" s="1" t="s">
        <v>52</v>
      </c>
      <c r="P769" s="1" t="s">
        <v>55</v>
      </c>
      <c r="Q769" s="1">
        <v>50</v>
      </c>
      <c r="R769" s="1">
        <v>50</v>
      </c>
      <c r="S769" s="1">
        <v>0</v>
      </c>
      <c r="T769" s="1">
        <v>0</v>
      </c>
      <c r="U769" s="1">
        <v>0</v>
      </c>
      <c r="V769" s="1" t="str">
        <f t="shared" ref="V769:V786" si="154">"里程返程"</f>
        <v>里程返程</v>
      </c>
      <c r="W769" s="1" t="str">
        <f>"2120"</f>
        <v>2120</v>
      </c>
      <c r="X769" s="1" t="s">
        <v>35</v>
      </c>
    </row>
    <row r="770" spans="1:24" x14ac:dyDescent="0.3">
      <c r="A770" s="1" t="str">
        <f t="shared" si="152"/>
        <v>59822</v>
      </c>
      <c r="B770" s="1" t="s">
        <v>39</v>
      </c>
      <c r="C770" s="1" t="s">
        <v>40</v>
      </c>
      <c r="D770" s="1" t="str">
        <f t="shared" si="153"/>
        <v>9801</v>
      </c>
      <c r="E770" s="1" t="s">
        <v>25</v>
      </c>
      <c r="F770" s="1" t="str">
        <f>"026A101860880400C814002000000019"</f>
        <v>026A101860880400C814002000000019</v>
      </c>
      <c r="G770" s="1" t="s">
        <v>59</v>
      </c>
      <c r="H770" s="1" t="str">
        <f t="shared" si="150"/>
        <v>20220905</v>
      </c>
      <c r="I770" s="1" t="str">
        <f>"172542"</f>
        <v>172542</v>
      </c>
      <c r="J770" s="1" t="s">
        <v>44</v>
      </c>
      <c r="K770" s="1" t="s">
        <v>45</v>
      </c>
      <c r="L770" s="1" t="str">
        <f t="shared" si="151"/>
        <v>20220905</v>
      </c>
      <c r="M770" s="1" t="str">
        <f>"175401"</f>
        <v>175401</v>
      </c>
      <c r="N770" s="1" t="s">
        <v>28</v>
      </c>
      <c r="O770" s="1" t="s">
        <v>28</v>
      </c>
      <c r="P770" s="1" t="s">
        <v>55</v>
      </c>
      <c r="Q770" s="1">
        <v>25</v>
      </c>
      <c r="R770" s="1">
        <v>25</v>
      </c>
      <c r="S770" s="1">
        <v>0</v>
      </c>
      <c r="T770" s="1">
        <v>0</v>
      </c>
      <c r="U770" s="1">
        <v>0</v>
      </c>
      <c r="V770" s="1" t="str">
        <f t="shared" si="154"/>
        <v>里程返程</v>
      </c>
      <c r="W770" s="1" t="str">
        <f>"0020"</f>
        <v>0020</v>
      </c>
      <c r="X770" s="1" t="s">
        <v>29</v>
      </c>
    </row>
    <row r="771" spans="1:24" x14ac:dyDescent="0.3">
      <c r="A771" s="1" t="str">
        <f t="shared" si="152"/>
        <v>59822</v>
      </c>
      <c r="B771" s="1" t="s">
        <v>39</v>
      </c>
      <c r="C771" s="1" t="s">
        <v>40</v>
      </c>
      <c r="D771" s="1" t="str">
        <f t="shared" si="153"/>
        <v>9801</v>
      </c>
      <c r="E771" s="1" t="s">
        <v>25</v>
      </c>
      <c r="F771" s="1" t="str">
        <f>"5A87B3E789880400475975915D101608"</f>
        <v>5A87B3E789880400475975915D101608</v>
      </c>
      <c r="G771" s="1" t="s">
        <v>64</v>
      </c>
      <c r="H771" s="1" t="str">
        <f t="shared" si="150"/>
        <v>20220905</v>
      </c>
      <c r="I771" s="1" t="str">
        <f>"183419"</f>
        <v>183419</v>
      </c>
      <c r="J771" s="1" t="s">
        <v>44</v>
      </c>
      <c r="K771" s="1" t="s">
        <v>45</v>
      </c>
      <c r="L771" s="1" t="str">
        <f t="shared" ref="L771:L802" si="155">"20220905"</f>
        <v>20220905</v>
      </c>
      <c r="M771" s="1" t="str">
        <f>"185453"</f>
        <v>185453</v>
      </c>
      <c r="N771" s="1" t="s">
        <v>28</v>
      </c>
      <c r="O771" s="1" t="s">
        <v>28</v>
      </c>
      <c r="P771" s="1" t="s">
        <v>55</v>
      </c>
      <c r="Q771" s="1">
        <v>13</v>
      </c>
      <c r="R771" s="1">
        <v>13</v>
      </c>
      <c r="S771" s="1">
        <v>0</v>
      </c>
      <c r="T771" s="1">
        <v>0</v>
      </c>
      <c r="U771" s="1">
        <v>0</v>
      </c>
      <c r="V771" s="1" t="str">
        <f t="shared" si="154"/>
        <v>里程返程</v>
      </c>
      <c r="W771" s="1" t="str">
        <f>"0020"</f>
        <v>0020</v>
      </c>
      <c r="X771" s="1" t="s">
        <v>29</v>
      </c>
    </row>
    <row r="772" spans="1:24" x14ac:dyDescent="0.3">
      <c r="A772" s="1" t="str">
        <f t="shared" si="152"/>
        <v>59822</v>
      </c>
      <c r="B772" s="1" t="s">
        <v>39</v>
      </c>
      <c r="C772" s="1" t="s">
        <v>40</v>
      </c>
      <c r="D772" s="1" t="str">
        <f t="shared" si="153"/>
        <v>9801</v>
      </c>
      <c r="E772" s="1" t="s">
        <v>25</v>
      </c>
      <c r="F772" s="1" t="str">
        <f>"3922955454"</f>
        <v>3922955454</v>
      </c>
      <c r="G772" s="1" t="s">
        <v>33</v>
      </c>
      <c r="H772" s="1" t="str">
        <f t="shared" si="150"/>
        <v>20220905</v>
      </c>
      <c r="I772" s="1" t="str">
        <f>"183421"</f>
        <v>183421</v>
      </c>
      <c r="J772" s="1" t="s">
        <v>44</v>
      </c>
      <c r="K772" s="1" t="s">
        <v>45</v>
      </c>
      <c r="L772" s="1" t="str">
        <f t="shared" si="155"/>
        <v>20220905</v>
      </c>
      <c r="M772" s="1" t="str">
        <f>"185451"</f>
        <v>185451</v>
      </c>
      <c r="N772" s="1" t="s">
        <v>28</v>
      </c>
      <c r="O772" s="1" t="s">
        <v>28</v>
      </c>
      <c r="P772" s="1" t="s">
        <v>55</v>
      </c>
      <c r="Q772" s="1">
        <v>25</v>
      </c>
      <c r="R772" s="1">
        <v>25</v>
      </c>
      <c r="S772" s="1">
        <v>0</v>
      </c>
      <c r="T772" s="1">
        <v>0</v>
      </c>
      <c r="U772" s="1">
        <v>0</v>
      </c>
      <c r="V772" s="1" t="str">
        <f t="shared" si="154"/>
        <v>里程返程</v>
      </c>
      <c r="W772" s="1" t="str">
        <f>"2020"</f>
        <v>2020</v>
      </c>
      <c r="X772" s="1" t="s">
        <v>35</v>
      </c>
    </row>
    <row r="773" spans="1:24" x14ac:dyDescent="0.3">
      <c r="A773" s="1" t="str">
        <f t="shared" si="152"/>
        <v>59822</v>
      </c>
      <c r="B773" s="1" t="s">
        <v>39</v>
      </c>
      <c r="C773" s="1" t="s">
        <v>40</v>
      </c>
      <c r="D773" s="1" t="str">
        <f t="shared" si="153"/>
        <v>9801</v>
      </c>
      <c r="E773" s="1" t="s">
        <v>25</v>
      </c>
      <c r="F773" s="1" t="str">
        <f>"1242005525"</f>
        <v>1242005525</v>
      </c>
      <c r="G773" s="1" t="s">
        <v>38</v>
      </c>
      <c r="H773" s="1" t="str">
        <f t="shared" si="150"/>
        <v>20220905</v>
      </c>
      <c r="I773" s="1" t="str">
        <f>"183822"</f>
        <v>183822</v>
      </c>
      <c r="J773" s="1" t="s">
        <v>91</v>
      </c>
      <c r="K773" s="1" t="s">
        <v>45</v>
      </c>
      <c r="L773" s="1" t="str">
        <f t="shared" si="155"/>
        <v>20220905</v>
      </c>
      <c r="M773" s="1" t="str">
        <f>"185500"</f>
        <v>185500</v>
      </c>
      <c r="N773" s="1" t="s">
        <v>28</v>
      </c>
      <c r="O773" s="1" t="s">
        <v>28</v>
      </c>
      <c r="P773" s="1" t="s">
        <v>55</v>
      </c>
      <c r="Q773" s="1">
        <v>25</v>
      </c>
      <c r="R773" s="1">
        <v>25</v>
      </c>
      <c r="S773" s="1">
        <v>0</v>
      </c>
      <c r="T773" s="1">
        <v>0</v>
      </c>
      <c r="U773" s="1">
        <v>0</v>
      </c>
      <c r="V773" s="1" t="str">
        <f t="shared" si="154"/>
        <v>里程返程</v>
      </c>
      <c r="W773" s="1" t="str">
        <f>"2020"</f>
        <v>2020</v>
      </c>
      <c r="X773" s="1" t="s">
        <v>35</v>
      </c>
    </row>
    <row r="774" spans="1:24" x14ac:dyDescent="0.3">
      <c r="A774" s="1" t="str">
        <f t="shared" si="152"/>
        <v>59822</v>
      </c>
      <c r="B774" s="1" t="s">
        <v>39</v>
      </c>
      <c r="C774" s="1" t="s">
        <v>40</v>
      </c>
      <c r="D774" s="1" t="str">
        <f t="shared" si="153"/>
        <v>9801</v>
      </c>
      <c r="E774" s="1" t="s">
        <v>25</v>
      </c>
      <c r="F774" s="1" t="str">
        <f>"1241978085"</f>
        <v>1241978085</v>
      </c>
      <c r="G774" s="1" t="s">
        <v>38</v>
      </c>
      <c r="H774" s="1" t="str">
        <f t="shared" si="150"/>
        <v>20220905</v>
      </c>
      <c r="I774" s="1" t="str">
        <f>"183823"</f>
        <v>183823</v>
      </c>
      <c r="J774" s="1" t="s">
        <v>91</v>
      </c>
      <c r="K774" s="1" t="s">
        <v>45</v>
      </c>
      <c r="L774" s="1" t="str">
        <f t="shared" si="155"/>
        <v>20220905</v>
      </c>
      <c r="M774" s="1" t="str">
        <f>"185506"</f>
        <v>185506</v>
      </c>
      <c r="N774" s="1" t="s">
        <v>28</v>
      </c>
      <c r="O774" s="1" t="s">
        <v>28</v>
      </c>
      <c r="P774" s="1" t="s">
        <v>55</v>
      </c>
      <c r="Q774" s="1">
        <v>25</v>
      </c>
      <c r="R774" s="1">
        <v>25</v>
      </c>
      <c r="S774" s="1">
        <v>0</v>
      </c>
      <c r="T774" s="1">
        <v>0</v>
      </c>
      <c r="U774" s="1">
        <v>0</v>
      </c>
      <c r="V774" s="1" t="str">
        <f t="shared" si="154"/>
        <v>里程返程</v>
      </c>
      <c r="W774" s="1" t="str">
        <f>"2020"</f>
        <v>2020</v>
      </c>
      <c r="X774" s="1" t="s">
        <v>35</v>
      </c>
    </row>
    <row r="775" spans="1:24" x14ac:dyDescent="0.3">
      <c r="A775" s="1" t="str">
        <f t="shared" si="152"/>
        <v>59822</v>
      </c>
      <c r="B775" s="1" t="s">
        <v>39</v>
      </c>
      <c r="C775" s="1" t="s">
        <v>40</v>
      </c>
      <c r="D775" s="1" t="str">
        <f t="shared" si="153"/>
        <v>9801</v>
      </c>
      <c r="E775" s="1" t="s">
        <v>25</v>
      </c>
      <c r="F775" s="1" t="str">
        <f>"1230232645"</f>
        <v>1230232645</v>
      </c>
      <c r="G775" s="1" t="s">
        <v>38</v>
      </c>
      <c r="H775" s="1" t="str">
        <f t="shared" si="150"/>
        <v>20220905</v>
      </c>
      <c r="I775" s="1" t="str">
        <f>"183826"</f>
        <v>183826</v>
      </c>
      <c r="J775" s="1" t="s">
        <v>91</v>
      </c>
      <c r="K775" s="1" t="s">
        <v>45</v>
      </c>
      <c r="L775" s="1" t="str">
        <f t="shared" si="155"/>
        <v>20220905</v>
      </c>
      <c r="M775" s="1" t="str">
        <f>"185504"</f>
        <v>185504</v>
      </c>
      <c r="N775" s="1" t="s">
        <v>28</v>
      </c>
      <c r="O775" s="1" t="s">
        <v>28</v>
      </c>
      <c r="P775" s="1" t="s">
        <v>55</v>
      </c>
      <c r="Q775" s="1">
        <v>25</v>
      </c>
      <c r="R775" s="1">
        <v>25</v>
      </c>
      <c r="S775" s="1">
        <v>0</v>
      </c>
      <c r="T775" s="1">
        <v>0</v>
      </c>
      <c r="U775" s="1">
        <v>0</v>
      </c>
      <c r="V775" s="1" t="str">
        <f t="shared" si="154"/>
        <v>里程返程</v>
      </c>
      <c r="W775" s="1" t="str">
        <f>"2020"</f>
        <v>2020</v>
      </c>
      <c r="X775" s="1" t="s">
        <v>35</v>
      </c>
    </row>
    <row r="776" spans="1:24" x14ac:dyDescent="0.3">
      <c r="A776" s="1" t="str">
        <f t="shared" si="152"/>
        <v>59822</v>
      </c>
      <c r="B776" s="1" t="s">
        <v>39</v>
      </c>
      <c r="C776" s="1" t="s">
        <v>40</v>
      </c>
      <c r="D776" s="1" t="str">
        <f t="shared" si="153"/>
        <v>9801</v>
      </c>
      <c r="E776" s="1" t="s">
        <v>25</v>
      </c>
      <c r="F776" s="1" t="str">
        <f>"E1D5760A48280400F700000000000000"</f>
        <v>E1D5760A48280400F700000000000000</v>
      </c>
      <c r="G776" s="1" t="s">
        <v>58</v>
      </c>
      <c r="H776" s="1" t="str">
        <f t="shared" si="150"/>
        <v>20220905</v>
      </c>
      <c r="I776" s="1" t="str">
        <f>"183829"</f>
        <v>183829</v>
      </c>
      <c r="J776" s="1" t="s">
        <v>91</v>
      </c>
      <c r="K776" s="1" t="s">
        <v>45</v>
      </c>
      <c r="L776" s="1" t="str">
        <f t="shared" si="155"/>
        <v>20220905</v>
      </c>
      <c r="M776" s="1" t="str">
        <f>"185449"</f>
        <v>185449</v>
      </c>
      <c r="N776" s="1" t="s">
        <v>28</v>
      </c>
      <c r="O776" s="1" t="s">
        <v>28</v>
      </c>
      <c r="P776" s="1" t="s">
        <v>55</v>
      </c>
      <c r="Q776" s="1">
        <v>25</v>
      </c>
      <c r="R776" s="1">
        <v>0</v>
      </c>
      <c r="S776" s="1">
        <v>25</v>
      </c>
      <c r="T776" s="1">
        <v>0</v>
      </c>
      <c r="U776" s="1">
        <v>0</v>
      </c>
      <c r="V776" s="1" t="str">
        <f t="shared" si="154"/>
        <v>里程返程</v>
      </c>
      <c r="W776" s="1" t="str">
        <f>"1120"</f>
        <v>1120</v>
      </c>
      <c r="X776" s="1" t="s">
        <v>29</v>
      </c>
    </row>
    <row r="777" spans="1:24" x14ac:dyDescent="0.3">
      <c r="A777" s="1" t="str">
        <f t="shared" si="152"/>
        <v>59822</v>
      </c>
      <c r="B777" s="1" t="s">
        <v>39</v>
      </c>
      <c r="C777" s="1" t="s">
        <v>40</v>
      </c>
      <c r="D777" s="1" t="str">
        <f t="shared" si="153"/>
        <v>9801</v>
      </c>
      <c r="E777" s="1" t="s">
        <v>25</v>
      </c>
      <c r="F777" s="1" t="str">
        <f>"61F60455C62804001C00000000000000"</f>
        <v>61F60455C62804001C00000000000000</v>
      </c>
      <c r="G777" s="1" t="s">
        <v>58</v>
      </c>
      <c r="H777" s="1" t="str">
        <f t="shared" si="150"/>
        <v>20220905</v>
      </c>
      <c r="I777" s="1" t="str">
        <f>"183831"</f>
        <v>183831</v>
      </c>
      <c r="J777" s="1" t="s">
        <v>91</v>
      </c>
      <c r="K777" s="1" t="s">
        <v>45</v>
      </c>
      <c r="L777" s="1" t="str">
        <f t="shared" si="155"/>
        <v>20220905</v>
      </c>
      <c r="M777" s="1" t="str">
        <f>"185446"</f>
        <v>185446</v>
      </c>
      <c r="N777" s="1" t="s">
        <v>28</v>
      </c>
      <c r="O777" s="1" t="s">
        <v>28</v>
      </c>
      <c r="P777" s="1" t="s">
        <v>55</v>
      </c>
      <c r="Q777" s="1">
        <v>25</v>
      </c>
      <c r="R777" s="1">
        <v>0</v>
      </c>
      <c r="S777" s="1">
        <v>25</v>
      </c>
      <c r="T777" s="1">
        <v>0</v>
      </c>
      <c r="U777" s="1">
        <v>0</v>
      </c>
      <c r="V777" s="1" t="str">
        <f t="shared" si="154"/>
        <v>里程返程</v>
      </c>
      <c r="W777" s="1" t="str">
        <f>"1120"</f>
        <v>1120</v>
      </c>
      <c r="X777" s="1" t="s">
        <v>29</v>
      </c>
    </row>
    <row r="778" spans="1:24" x14ac:dyDescent="0.3">
      <c r="A778" s="1" t="str">
        <f t="shared" si="152"/>
        <v>59822</v>
      </c>
      <c r="B778" s="1" t="s">
        <v>39</v>
      </c>
      <c r="C778" s="1" t="s">
        <v>40</v>
      </c>
      <c r="D778" s="1" t="str">
        <f t="shared" si="153"/>
        <v>9801</v>
      </c>
      <c r="E778" s="1" t="s">
        <v>25</v>
      </c>
      <c r="F778" s="1" t="str">
        <f>"232582417"</f>
        <v>232582417</v>
      </c>
      <c r="G778" s="1" t="s">
        <v>33</v>
      </c>
      <c r="H778" s="1" t="str">
        <f t="shared" si="150"/>
        <v>20220905</v>
      </c>
      <c r="I778" s="1" t="str">
        <f>"185511"</f>
        <v>185511</v>
      </c>
      <c r="J778" s="1" t="s">
        <v>28</v>
      </c>
      <c r="K778" s="1" t="s">
        <v>28</v>
      </c>
      <c r="L778" s="1" t="str">
        <f t="shared" si="155"/>
        <v>20220905</v>
      </c>
      <c r="M778" s="1" t="str">
        <f>"192146"</f>
        <v>192146</v>
      </c>
      <c r="N778" s="1" t="s">
        <v>60</v>
      </c>
      <c r="O778" s="1" t="s">
        <v>52</v>
      </c>
      <c r="P778" s="1" t="s">
        <v>55</v>
      </c>
      <c r="Q778" s="1">
        <v>25</v>
      </c>
      <c r="R778" s="1">
        <v>0</v>
      </c>
      <c r="S778" s="1">
        <v>25</v>
      </c>
      <c r="T778" s="1">
        <v>0</v>
      </c>
      <c r="U778" s="1">
        <v>0</v>
      </c>
      <c r="V778" s="1" t="str">
        <f t="shared" si="154"/>
        <v>里程返程</v>
      </c>
      <c r="W778" s="1" t="str">
        <f>"0820"</f>
        <v>0820</v>
      </c>
      <c r="X778" s="1" t="s">
        <v>35</v>
      </c>
    </row>
    <row r="779" spans="1:24" x14ac:dyDescent="0.3">
      <c r="A779" s="1" t="str">
        <f t="shared" si="152"/>
        <v>59822</v>
      </c>
      <c r="B779" s="1" t="s">
        <v>39</v>
      </c>
      <c r="C779" s="1" t="s">
        <v>40</v>
      </c>
      <c r="D779" s="1" t="str">
        <f t="shared" si="153"/>
        <v>9801</v>
      </c>
      <c r="E779" s="1" t="s">
        <v>25</v>
      </c>
      <c r="F779" s="1" t="str">
        <f>"394183313"</f>
        <v>394183313</v>
      </c>
      <c r="G779" s="1" t="s">
        <v>33</v>
      </c>
      <c r="H779" s="1" t="str">
        <f t="shared" si="150"/>
        <v>20220905</v>
      </c>
      <c r="I779" s="1" t="str">
        <f>"185514"</f>
        <v>185514</v>
      </c>
      <c r="J779" s="1" t="s">
        <v>28</v>
      </c>
      <c r="K779" s="1" t="s">
        <v>28</v>
      </c>
      <c r="L779" s="1" t="str">
        <f t="shared" si="155"/>
        <v>20220905</v>
      </c>
      <c r="M779" s="1" t="str">
        <f>"192616"</f>
        <v>192616</v>
      </c>
      <c r="N779" s="1" t="s">
        <v>52</v>
      </c>
      <c r="O779" s="1" t="s">
        <v>52</v>
      </c>
      <c r="P779" s="1" t="s">
        <v>55</v>
      </c>
      <c r="Q779" s="1">
        <v>25</v>
      </c>
      <c r="R779" s="1">
        <v>25</v>
      </c>
      <c r="S779" s="1">
        <v>0</v>
      </c>
      <c r="T779" s="1">
        <v>0</v>
      </c>
      <c r="U779" s="1">
        <v>0</v>
      </c>
      <c r="V779" s="1" t="str">
        <f t="shared" si="154"/>
        <v>里程返程</v>
      </c>
      <c r="W779" s="1" t="str">
        <f>"0820"</f>
        <v>0820</v>
      </c>
      <c r="X779" s="1" t="s">
        <v>35</v>
      </c>
    </row>
    <row r="780" spans="1:24" x14ac:dyDescent="0.3">
      <c r="A780" s="1" t="str">
        <f t="shared" si="152"/>
        <v>59822</v>
      </c>
      <c r="B780" s="1" t="s">
        <v>39</v>
      </c>
      <c r="C780" s="1" t="s">
        <v>40</v>
      </c>
      <c r="D780" s="1" t="str">
        <f t="shared" si="153"/>
        <v>9801</v>
      </c>
      <c r="E780" s="1" t="s">
        <v>25</v>
      </c>
      <c r="F780" s="1" t="str">
        <f>"640757845"</f>
        <v>640757845</v>
      </c>
      <c r="G780" s="1" t="s">
        <v>38</v>
      </c>
      <c r="H780" s="1" t="str">
        <f t="shared" si="150"/>
        <v>20220905</v>
      </c>
      <c r="I780" s="1" t="str">
        <f>"185517"</f>
        <v>185517</v>
      </c>
      <c r="J780" s="1" t="s">
        <v>28</v>
      </c>
      <c r="K780" s="1" t="s">
        <v>28</v>
      </c>
      <c r="L780" s="1" t="str">
        <f t="shared" si="155"/>
        <v>20220905</v>
      </c>
      <c r="M780" s="1" t="str">
        <f>"192613"</f>
        <v>192613</v>
      </c>
      <c r="N780" s="1" t="s">
        <v>52</v>
      </c>
      <c r="O780" s="1" t="s">
        <v>52</v>
      </c>
      <c r="P780" s="1" t="s">
        <v>55</v>
      </c>
      <c r="Q780" s="1">
        <v>25</v>
      </c>
      <c r="R780" s="1">
        <v>0</v>
      </c>
      <c r="S780" s="1">
        <v>25</v>
      </c>
      <c r="T780" s="1">
        <v>0</v>
      </c>
      <c r="U780" s="1">
        <v>0</v>
      </c>
      <c r="V780" s="1" t="str">
        <f t="shared" si="154"/>
        <v>里程返程</v>
      </c>
      <c r="W780" s="1" t="str">
        <f>"2120"</f>
        <v>2120</v>
      </c>
      <c r="X780" s="1" t="s">
        <v>35</v>
      </c>
    </row>
    <row r="781" spans="1:24" x14ac:dyDescent="0.3">
      <c r="A781" s="1" t="str">
        <f t="shared" si="152"/>
        <v>59822</v>
      </c>
      <c r="B781" s="1" t="s">
        <v>39</v>
      </c>
      <c r="C781" s="1" t="s">
        <v>40</v>
      </c>
      <c r="D781" s="1" t="str">
        <f t="shared" si="153"/>
        <v>9801</v>
      </c>
      <c r="E781" s="1" t="s">
        <v>25</v>
      </c>
      <c r="F781" s="1" t="str">
        <f>"629413266"</f>
        <v>629413266</v>
      </c>
      <c r="G781" s="1" t="s">
        <v>33</v>
      </c>
      <c r="H781" s="1" t="str">
        <f t="shared" si="150"/>
        <v>20220905</v>
      </c>
      <c r="I781" s="1" t="str">
        <f>"185522"</f>
        <v>185522</v>
      </c>
      <c r="J781" s="1" t="s">
        <v>28</v>
      </c>
      <c r="K781" s="1" t="s">
        <v>28</v>
      </c>
      <c r="L781" s="1" t="str">
        <f t="shared" si="155"/>
        <v>20220905</v>
      </c>
      <c r="M781" s="1" t="str">
        <f>"190358"</f>
        <v>190358</v>
      </c>
      <c r="N781" s="1" t="s">
        <v>83</v>
      </c>
      <c r="O781" s="1" t="s">
        <v>52</v>
      </c>
      <c r="P781" s="1" t="s">
        <v>55</v>
      </c>
      <c r="Q781" s="1">
        <v>25</v>
      </c>
      <c r="R781" s="1">
        <v>0</v>
      </c>
      <c r="S781" s="1">
        <v>25</v>
      </c>
      <c r="T781" s="1">
        <v>0</v>
      </c>
      <c r="U781" s="1">
        <v>0</v>
      </c>
      <c r="V781" s="1" t="str">
        <f t="shared" si="154"/>
        <v>里程返程</v>
      </c>
      <c r="W781" s="1" t="str">
        <f>"0820"</f>
        <v>0820</v>
      </c>
      <c r="X781" s="1" t="s">
        <v>35</v>
      </c>
    </row>
    <row r="782" spans="1:24" x14ac:dyDescent="0.3">
      <c r="A782" s="1" t="str">
        <f t="shared" si="152"/>
        <v>59822</v>
      </c>
      <c r="B782" s="1" t="s">
        <v>39</v>
      </c>
      <c r="C782" s="1" t="s">
        <v>40</v>
      </c>
      <c r="D782" s="1" t="str">
        <f t="shared" si="153"/>
        <v>9801</v>
      </c>
      <c r="E782" s="1" t="s">
        <v>25</v>
      </c>
      <c r="F782" s="1" t="str">
        <f>"752197777"</f>
        <v>752197777</v>
      </c>
      <c r="G782" s="1" t="s">
        <v>33</v>
      </c>
      <c r="H782" s="1" t="str">
        <f t="shared" si="150"/>
        <v>20220905</v>
      </c>
      <c r="I782" s="1" t="str">
        <f>"185525"</f>
        <v>185525</v>
      </c>
      <c r="J782" s="1" t="s">
        <v>28</v>
      </c>
      <c r="K782" s="1" t="s">
        <v>28</v>
      </c>
      <c r="L782" s="1" t="str">
        <f t="shared" si="155"/>
        <v>20220905</v>
      </c>
      <c r="M782" s="1" t="str">
        <f>"191217"</f>
        <v>191217</v>
      </c>
      <c r="N782" s="1" t="s">
        <v>77</v>
      </c>
      <c r="O782" s="1" t="s">
        <v>52</v>
      </c>
      <c r="P782" s="1" t="s">
        <v>55</v>
      </c>
      <c r="Q782" s="1">
        <v>25</v>
      </c>
      <c r="R782" s="1">
        <v>25</v>
      </c>
      <c r="S782" s="1">
        <v>0</v>
      </c>
      <c r="T782" s="1">
        <v>0</v>
      </c>
      <c r="U782" s="1">
        <v>0</v>
      </c>
      <c r="V782" s="1" t="str">
        <f t="shared" si="154"/>
        <v>里程返程</v>
      </c>
      <c r="W782" s="1" t="str">
        <f>"0320"</f>
        <v>0320</v>
      </c>
      <c r="X782" s="1" t="s">
        <v>35</v>
      </c>
    </row>
    <row r="783" spans="1:24" x14ac:dyDescent="0.3">
      <c r="A783" s="1" t="str">
        <f t="shared" si="152"/>
        <v>59822</v>
      </c>
      <c r="B783" s="1" t="s">
        <v>39</v>
      </c>
      <c r="C783" s="1" t="s">
        <v>40</v>
      </c>
      <c r="D783" s="1" t="str">
        <f t="shared" si="153"/>
        <v>9801</v>
      </c>
      <c r="E783" s="1" t="s">
        <v>25</v>
      </c>
      <c r="F783" s="1" t="str">
        <f>"590022737"</f>
        <v>590022737</v>
      </c>
      <c r="G783" s="1" t="s">
        <v>33</v>
      </c>
      <c r="H783" s="1" t="str">
        <f t="shared" si="150"/>
        <v>20220905</v>
      </c>
      <c r="I783" s="1" t="str">
        <f>"185530"</f>
        <v>185530</v>
      </c>
      <c r="J783" s="1" t="s">
        <v>28</v>
      </c>
      <c r="K783" s="1" t="s">
        <v>28</v>
      </c>
      <c r="L783" s="1" t="str">
        <f t="shared" si="155"/>
        <v>20220905</v>
      </c>
      <c r="M783" s="1" t="str">
        <f>"192608"</f>
        <v>192608</v>
      </c>
      <c r="N783" s="1" t="s">
        <v>52</v>
      </c>
      <c r="O783" s="1" t="s">
        <v>52</v>
      </c>
      <c r="P783" s="1" t="s">
        <v>55</v>
      </c>
      <c r="Q783" s="1">
        <v>25</v>
      </c>
      <c r="R783" s="1">
        <v>25</v>
      </c>
      <c r="S783" s="1">
        <v>0</v>
      </c>
      <c r="T783" s="1">
        <v>0</v>
      </c>
      <c r="U783" s="1">
        <v>0</v>
      </c>
      <c r="V783" s="1" t="str">
        <f t="shared" si="154"/>
        <v>里程返程</v>
      </c>
      <c r="W783" s="1" t="str">
        <f>"0220"</f>
        <v>0220</v>
      </c>
      <c r="X783" s="1" t="s">
        <v>35</v>
      </c>
    </row>
    <row r="784" spans="1:24" x14ac:dyDescent="0.3">
      <c r="A784" s="1" t="str">
        <f t="shared" si="152"/>
        <v>59822</v>
      </c>
      <c r="B784" s="1" t="s">
        <v>39</v>
      </c>
      <c r="C784" s="1" t="s">
        <v>40</v>
      </c>
      <c r="D784" s="1" t="str">
        <f t="shared" si="153"/>
        <v>9801</v>
      </c>
      <c r="E784" s="1" t="s">
        <v>25</v>
      </c>
      <c r="F784" s="1" t="str">
        <f>"627069839"</f>
        <v>627069839</v>
      </c>
      <c r="G784" s="1" t="s">
        <v>33</v>
      </c>
      <c r="H784" s="1" t="str">
        <f t="shared" si="150"/>
        <v>20220905</v>
      </c>
      <c r="I784" s="1" t="str">
        <f>"185534"</f>
        <v>185534</v>
      </c>
      <c r="J784" s="1" t="s">
        <v>28</v>
      </c>
      <c r="K784" s="1" t="s">
        <v>28</v>
      </c>
      <c r="L784" s="1" t="str">
        <f t="shared" si="155"/>
        <v>20220905</v>
      </c>
      <c r="M784" s="1" t="str">
        <f>"192610"</f>
        <v>192610</v>
      </c>
      <c r="N784" s="1" t="s">
        <v>52</v>
      </c>
      <c r="O784" s="1" t="s">
        <v>52</v>
      </c>
      <c r="P784" s="1" t="s">
        <v>55</v>
      </c>
      <c r="Q784" s="1">
        <v>25</v>
      </c>
      <c r="R784" s="1">
        <v>25</v>
      </c>
      <c r="S784" s="1">
        <v>0</v>
      </c>
      <c r="T784" s="1">
        <v>0</v>
      </c>
      <c r="U784" s="1">
        <v>0</v>
      </c>
      <c r="V784" s="1" t="str">
        <f t="shared" si="154"/>
        <v>里程返程</v>
      </c>
      <c r="W784" s="1" t="str">
        <f>"0920"</f>
        <v>0920</v>
      </c>
      <c r="X784" s="1" t="s">
        <v>35</v>
      </c>
    </row>
    <row r="785" spans="1:24" x14ac:dyDescent="0.3">
      <c r="A785" s="1" t="str">
        <f t="shared" si="152"/>
        <v>59822</v>
      </c>
      <c r="B785" s="1" t="s">
        <v>39</v>
      </c>
      <c r="C785" s="1" t="s">
        <v>40</v>
      </c>
      <c r="D785" s="1" t="str">
        <f t="shared" si="153"/>
        <v>9801</v>
      </c>
      <c r="E785" s="1" t="s">
        <v>25</v>
      </c>
      <c r="F785" s="1" t="str">
        <f>"1430746513"</f>
        <v>1430746513</v>
      </c>
      <c r="G785" s="1" t="s">
        <v>33</v>
      </c>
      <c r="H785" s="1" t="str">
        <f t="shared" si="150"/>
        <v>20220905</v>
      </c>
      <c r="I785" s="1" t="str">
        <f>"185539"</f>
        <v>185539</v>
      </c>
      <c r="J785" s="1" t="s">
        <v>28</v>
      </c>
      <c r="K785" s="1" t="s">
        <v>28</v>
      </c>
      <c r="L785" s="1" t="str">
        <f t="shared" si="155"/>
        <v>20220905</v>
      </c>
      <c r="M785" s="1" t="str">
        <f>"192603"</f>
        <v>192603</v>
      </c>
      <c r="N785" s="1" t="s">
        <v>52</v>
      </c>
      <c r="O785" s="1" t="s">
        <v>52</v>
      </c>
      <c r="P785" s="1" t="s">
        <v>55</v>
      </c>
      <c r="Q785" s="1">
        <v>25</v>
      </c>
      <c r="R785" s="1">
        <v>25</v>
      </c>
      <c r="S785" s="1">
        <v>0</v>
      </c>
      <c r="T785" s="1">
        <v>0</v>
      </c>
      <c r="U785" s="1">
        <v>0</v>
      </c>
      <c r="V785" s="1" t="str">
        <f t="shared" si="154"/>
        <v>里程返程</v>
      </c>
      <c r="W785" s="1" t="str">
        <f>"0820"</f>
        <v>0820</v>
      </c>
      <c r="X785" s="1" t="s">
        <v>35</v>
      </c>
    </row>
    <row r="786" spans="1:24" x14ac:dyDescent="0.3">
      <c r="A786" s="1" t="str">
        <f t="shared" ref="A786:A817" si="156">"59823"</f>
        <v>59823</v>
      </c>
      <c r="B786" s="1" t="s">
        <v>36</v>
      </c>
      <c r="C786" s="1" t="s">
        <v>37</v>
      </c>
      <c r="D786" s="1" t="str">
        <f>"9806"</f>
        <v>9806</v>
      </c>
      <c r="E786" s="1" t="s">
        <v>49</v>
      </c>
      <c r="F786" s="1" t="str">
        <f>"1695105317"</f>
        <v>1695105317</v>
      </c>
      <c r="G786" s="1" t="s">
        <v>33</v>
      </c>
      <c r="H786" s="1" t="str">
        <f t="shared" si="150"/>
        <v>20220905</v>
      </c>
      <c r="I786" s="1" t="str">
        <f>"065013"</f>
        <v>065013</v>
      </c>
      <c r="J786" s="1" t="s">
        <v>28</v>
      </c>
      <c r="K786" s="1" t="s">
        <v>28</v>
      </c>
      <c r="L786" s="1" t="str">
        <f t="shared" si="155"/>
        <v>20220905</v>
      </c>
      <c r="M786" s="1" t="str">
        <f>"070724"</f>
        <v>070724</v>
      </c>
      <c r="N786" s="1" t="s">
        <v>99</v>
      </c>
      <c r="O786" s="1" t="s">
        <v>28</v>
      </c>
      <c r="P786" s="1" t="s">
        <v>55</v>
      </c>
      <c r="Q786" s="1">
        <v>25</v>
      </c>
      <c r="R786" s="1">
        <v>0</v>
      </c>
      <c r="S786" s="1">
        <v>25</v>
      </c>
      <c r="T786" s="1">
        <v>0</v>
      </c>
      <c r="U786" s="1">
        <v>0</v>
      </c>
      <c r="V786" s="1" t="str">
        <f t="shared" si="154"/>
        <v>里程返程</v>
      </c>
      <c r="W786" s="1" t="str">
        <f>"0820"</f>
        <v>0820</v>
      </c>
      <c r="X786" s="1" t="s">
        <v>35</v>
      </c>
    </row>
    <row r="787" spans="1:24" x14ac:dyDescent="0.3">
      <c r="A787" s="1" t="str">
        <f t="shared" si="156"/>
        <v>59823</v>
      </c>
      <c r="B787" s="1" t="s">
        <v>36</v>
      </c>
      <c r="C787" s="1" t="s">
        <v>37</v>
      </c>
      <c r="D787" s="1" t="str">
        <f t="shared" ref="D787:D818" si="157">"9803"</f>
        <v>9803</v>
      </c>
      <c r="E787" s="1" t="s">
        <v>32</v>
      </c>
      <c r="F787" s="1" t="str">
        <f>"12179C0099880400C801002000000015"</f>
        <v>12179C0099880400C801002000000015</v>
      </c>
      <c r="G787" s="1" t="s">
        <v>58</v>
      </c>
      <c r="H787" s="1" t="str">
        <f t="shared" si="150"/>
        <v>20220905</v>
      </c>
      <c r="I787" s="1" t="str">
        <f>"083009"</f>
        <v>083009</v>
      </c>
      <c r="J787" s="1" t="s">
        <v>28</v>
      </c>
      <c r="K787" s="1" t="s">
        <v>28</v>
      </c>
      <c r="L787" s="1" t="str">
        <f t="shared" si="155"/>
        <v>20220905</v>
      </c>
      <c r="M787" s="1" t="str">
        <f>"084941"</f>
        <v>084941</v>
      </c>
      <c r="N787" s="1" t="s">
        <v>34</v>
      </c>
      <c r="O787" s="1" t="s">
        <v>34</v>
      </c>
      <c r="P787" s="1" t="s">
        <v>55</v>
      </c>
      <c r="Q787" s="1">
        <v>25</v>
      </c>
      <c r="R787" s="1">
        <v>0</v>
      </c>
      <c r="S787" s="1">
        <v>25</v>
      </c>
      <c r="T787" s="1">
        <v>0</v>
      </c>
      <c r="U787" s="1">
        <v>0</v>
      </c>
      <c r="V787" s="1" t="str">
        <f>"里程去程"</f>
        <v>里程去程</v>
      </c>
      <c r="W787" s="1" t="str">
        <f>"0620"</f>
        <v>0620</v>
      </c>
      <c r="X787" s="1" t="s">
        <v>29</v>
      </c>
    </row>
    <row r="788" spans="1:24" x14ac:dyDescent="0.3">
      <c r="A788" s="1" t="str">
        <f t="shared" si="156"/>
        <v>59823</v>
      </c>
      <c r="B788" s="1" t="s">
        <v>36</v>
      </c>
      <c r="C788" s="1" t="s">
        <v>37</v>
      </c>
      <c r="D788" s="1" t="str">
        <f t="shared" si="157"/>
        <v>9803</v>
      </c>
      <c r="E788" s="1" t="s">
        <v>32</v>
      </c>
      <c r="F788" s="1" t="str">
        <f>"637464209"</f>
        <v>637464209</v>
      </c>
      <c r="G788" s="1" t="s">
        <v>33</v>
      </c>
      <c r="H788" s="1" t="str">
        <f t="shared" si="150"/>
        <v>20220905</v>
      </c>
      <c r="I788" s="1" t="str">
        <f>"083020"</f>
        <v>083020</v>
      </c>
      <c r="J788" s="1" t="s">
        <v>28</v>
      </c>
      <c r="K788" s="1" t="s">
        <v>28</v>
      </c>
      <c r="L788" s="1" t="str">
        <f t="shared" si="155"/>
        <v>20220905</v>
      </c>
      <c r="M788" s="1" t="str">
        <f>"085023"</f>
        <v>085023</v>
      </c>
      <c r="N788" s="1" t="s">
        <v>34</v>
      </c>
      <c r="O788" s="1" t="s">
        <v>34</v>
      </c>
      <c r="P788" s="1" t="s">
        <v>55</v>
      </c>
      <c r="Q788" s="1">
        <v>25</v>
      </c>
      <c r="R788" s="1">
        <v>25</v>
      </c>
      <c r="S788" s="1">
        <v>0</v>
      </c>
      <c r="T788" s="1">
        <v>0</v>
      </c>
      <c r="U788" s="1">
        <v>0</v>
      </c>
      <c r="V788" s="1" t="str">
        <f>"里程去程"</f>
        <v>里程去程</v>
      </c>
      <c r="W788" s="1" t="str">
        <f>"0120"</f>
        <v>0120</v>
      </c>
      <c r="X788" s="1" t="s">
        <v>35</v>
      </c>
    </row>
    <row r="789" spans="1:24" x14ac:dyDescent="0.3">
      <c r="A789" s="1" t="str">
        <f t="shared" si="156"/>
        <v>59823</v>
      </c>
      <c r="B789" s="1" t="s">
        <v>36</v>
      </c>
      <c r="C789" s="1" t="s">
        <v>37</v>
      </c>
      <c r="D789" s="1" t="str">
        <f t="shared" si="157"/>
        <v>9803</v>
      </c>
      <c r="E789" s="1" t="s">
        <v>32</v>
      </c>
      <c r="F789" s="1" t="str">
        <f>"1450182785"</f>
        <v>1450182785</v>
      </c>
      <c r="G789" s="1" t="s">
        <v>33</v>
      </c>
      <c r="H789" s="1" t="str">
        <f t="shared" si="150"/>
        <v>20220905</v>
      </c>
      <c r="I789" s="1" t="str">
        <f>"083035"</f>
        <v>083035</v>
      </c>
      <c r="J789" s="1" t="s">
        <v>28</v>
      </c>
      <c r="K789" s="1" t="s">
        <v>28</v>
      </c>
      <c r="L789" s="1" t="str">
        <f t="shared" si="155"/>
        <v>20220905</v>
      </c>
      <c r="M789" s="1" t="str">
        <f>"085018"</f>
        <v>085018</v>
      </c>
      <c r="N789" s="1" t="s">
        <v>34</v>
      </c>
      <c r="O789" s="1" t="s">
        <v>34</v>
      </c>
      <c r="P789" s="1" t="s">
        <v>55</v>
      </c>
      <c r="Q789" s="1">
        <v>25</v>
      </c>
      <c r="R789" s="1">
        <v>25</v>
      </c>
      <c r="S789" s="1">
        <v>0</v>
      </c>
      <c r="T789" s="1">
        <v>0</v>
      </c>
      <c r="U789" s="1">
        <v>0</v>
      </c>
      <c r="V789" s="1" t="str">
        <f>"里程去程"</f>
        <v>里程去程</v>
      </c>
      <c r="W789" s="1" t="str">
        <f>"0120"</f>
        <v>0120</v>
      </c>
      <c r="X789" s="1" t="s">
        <v>35</v>
      </c>
    </row>
    <row r="790" spans="1:24" x14ac:dyDescent="0.3">
      <c r="A790" s="1" t="str">
        <f t="shared" si="156"/>
        <v>59823</v>
      </c>
      <c r="B790" s="1" t="s">
        <v>36</v>
      </c>
      <c r="C790" s="1" t="s">
        <v>37</v>
      </c>
      <c r="D790" s="1" t="str">
        <f t="shared" si="157"/>
        <v>9803</v>
      </c>
      <c r="E790" s="1" t="s">
        <v>32</v>
      </c>
      <c r="F790" s="1" t="str">
        <f>"70967A78E4880400468F755365703011"</f>
        <v>70967A78E4880400468F755365703011</v>
      </c>
      <c r="G790" s="1" t="s">
        <v>59</v>
      </c>
      <c r="H790" s="1" t="str">
        <f t="shared" si="150"/>
        <v>20220905</v>
      </c>
      <c r="I790" s="1" t="str">
        <f>"085933"</f>
        <v>085933</v>
      </c>
      <c r="J790" s="1" t="s">
        <v>34</v>
      </c>
      <c r="K790" s="1" t="s">
        <v>34</v>
      </c>
      <c r="L790" s="1" t="str">
        <f t="shared" si="155"/>
        <v>20220905</v>
      </c>
      <c r="M790" s="1" t="str">
        <f>"093020"</f>
        <v>093020</v>
      </c>
      <c r="N790" s="1" t="s">
        <v>28</v>
      </c>
      <c r="O790" s="1" t="s">
        <v>28</v>
      </c>
      <c r="P790" s="1" t="s">
        <v>55</v>
      </c>
      <c r="Q790" s="1">
        <v>25</v>
      </c>
      <c r="R790" s="1">
        <v>25</v>
      </c>
      <c r="S790" s="1">
        <v>0</v>
      </c>
      <c r="T790" s="1">
        <v>0</v>
      </c>
      <c r="U790" s="1">
        <v>0</v>
      </c>
      <c r="V790" s="1" t="str">
        <f>"里程返程"</f>
        <v>里程返程</v>
      </c>
      <c r="W790" s="1" t="str">
        <f>"0020"</f>
        <v>0020</v>
      </c>
      <c r="X790" s="1" t="s">
        <v>29</v>
      </c>
    </row>
    <row r="791" spans="1:24" x14ac:dyDescent="0.3">
      <c r="A791" s="1" t="str">
        <f t="shared" si="156"/>
        <v>59823</v>
      </c>
      <c r="B791" s="1" t="s">
        <v>36</v>
      </c>
      <c r="C791" s="1" t="s">
        <v>37</v>
      </c>
      <c r="D791" s="1" t="str">
        <f t="shared" si="157"/>
        <v>9803</v>
      </c>
      <c r="E791" s="1" t="s">
        <v>32</v>
      </c>
      <c r="F791" s="1" t="str">
        <f>"265005402"</f>
        <v>265005402</v>
      </c>
      <c r="G791" s="1" t="s">
        <v>33</v>
      </c>
      <c r="H791" s="1" t="str">
        <f t="shared" si="150"/>
        <v>20220905</v>
      </c>
      <c r="I791" s="1" t="str">
        <f>"104701"</f>
        <v>104701</v>
      </c>
      <c r="J791" s="1" t="s">
        <v>28</v>
      </c>
      <c r="K791" s="1" t="s">
        <v>28</v>
      </c>
      <c r="L791" s="1" t="str">
        <f t="shared" si="155"/>
        <v>20220905</v>
      </c>
      <c r="M791" s="1" t="str">
        <f>"110745"</f>
        <v>110745</v>
      </c>
      <c r="N791" s="1" t="s">
        <v>34</v>
      </c>
      <c r="O791" s="1" t="s">
        <v>34</v>
      </c>
      <c r="P791" s="1" t="s">
        <v>55</v>
      </c>
      <c r="Q791" s="1">
        <v>25</v>
      </c>
      <c r="R791" s="1">
        <v>25</v>
      </c>
      <c r="S791" s="1">
        <v>0</v>
      </c>
      <c r="T791" s="1">
        <v>0</v>
      </c>
      <c r="U791" s="1">
        <v>0</v>
      </c>
      <c r="V791" s="1" t="str">
        <f t="shared" ref="V791:V821" si="158">"里程去程"</f>
        <v>里程去程</v>
      </c>
      <c r="W791" s="1" t="str">
        <f>"2520"</f>
        <v>2520</v>
      </c>
      <c r="X791" s="1" t="s">
        <v>35</v>
      </c>
    </row>
    <row r="792" spans="1:24" x14ac:dyDescent="0.3">
      <c r="A792" s="1" t="str">
        <f t="shared" si="156"/>
        <v>59823</v>
      </c>
      <c r="B792" s="1" t="s">
        <v>36</v>
      </c>
      <c r="C792" s="1" t="s">
        <v>37</v>
      </c>
      <c r="D792" s="1" t="str">
        <f t="shared" si="157"/>
        <v>9803</v>
      </c>
      <c r="E792" s="1" t="s">
        <v>32</v>
      </c>
      <c r="F792" s="1" t="str">
        <f>"657220869"</f>
        <v>657220869</v>
      </c>
      <c r="G792" s="1" t="s">
        <v>33</v>
      </c>
      <c r="H792" s="1" t="str">
        <f t="shared" si="150"/>
        <v>20220905</v>
      </c>
      <c r="I792" s="1" t="str">
        <f>"104706"</f>
        <v>104706</v>
      </c>
      <c r="J792" s="1" t="s">
        <v>28</v>
      </c>
      <c r="K792" s="1" t="s">
        <v>28</v>
      </c>
      <c r="L792" s="1" t="str">
        <f t="shared" si="155"/>
        <v>20220905</v>
      </c>
      <c r="M792" s="1" t="str">
        <f>"110738"</f>
        <v>110738</v>
      </c>
      <c r="N792" s="1" t="s">
        <v>34</v>
      </c>
      <c r="O792" s="1" t="s">
        <v>34</v>
      </c>
      <c r="P792" s="1" t="s">
        <v>55</v>
      </c>
      <c r="Q792" s="1">
        <v>25</v>
      </c>
      <c r="R792" s="1">
        <v>25</v>
      </c>
      <c r="S792" s="1">
        <v>0</v>
      </c>
      <c r="T792" s="1">
        <v>0</v>
      </c>
      <c r="U792" s="1">
        <v>0</v>
      </c>
      <c r="V792" s="1" t="str">
        <f t="shared" si="158"/>
        <v>里程去程</v>
      </c>
      <c r="W792" s="1" t="str">
        <f>"0820"</f>
        <v>0820</v>
      </c>
      <c r="X792" s="1" t="s">
        <v>35</v>
      </c>
    </row>
    <row r="793" spans="1:24" x14ac:dyDescent="0.3">
      <c r="A793" s="1" t="str">
        <f t="shared" si="156"/>
        <v>59823</v>
      </c>
      <c r="B793" s="1" t="s">
        <v>36</v>
      </c>
      <c r="C793" s="1" t="s">
        <v>37</v>
      </c>
      <c r="D793" s="1" t="str">
        <f t="shared" si="157"/>
        <v>9803</v>
      </c>
      <c r="E793" s="1" t="s">
        <v>32</v>
      </c>
      <c r="F793" s="1" t="str">
        <f>"642609941"</f>
        <v>642609941</v>
      </c>
      <c r="G793" s="1" t="s">
        <v>33</v>
      </c>
      <c r="H793" s="1" t="str">
        <f t="shared" si="150"/>
        <v>20220905</v>
      </c>
      <c r="I793" s="1" t="str">
        <f>"104712"</f>
        <v>104712</v>
      </c>
      <c r="J793" s="1" t="s">
        <v>28</v>
      </c>
      <c r="K793" s="1" t="s">
        <v>28</v>
      </c>
      <c r="L793" s="1" t="str">
        <f t="shared" si="155"/>
        <v>20220905</v>
      </c>
      <c r="M793" s="1" t="str">
        <f>"110750"</f>
        <v>110750</v>
      </c>
      <c r="N793" s="1" t="s">
        <v>34</v>
      </c>
      <c r="O793" s="1" t="s">
        <v>34</v>
      </c>
      <c r="P793" s="1" t="s">
        <v>55</v>
      </c>
      <c r="Q793" s="1">
        <v>25</v>
      </c>
      <c r="R793" s="1">
        <v>25</v>
      </c>
      <c r="S793" s="1">
        <v>0</v>
      </c>
      <c r="T793" s="1">
        <v>0</v>
      </c>
      <c r="U793" s="1">
        <v>0</v>
      </c>
      <c r="V793" s="1" t="str">
        <f t="shared" si="158"/>
        <v>里程去程</v>
      </c>
      <c r="W793" s="1" t="str">
        <f>"0e20"</f>
        <v>0e20</v>
      </c>
      <c r="X793" s="1" t="s">
        <v>35</v>
      </c>
    </row>
    <row r="794" spans="1:24" x14ac:dyDescent="0.3">
      <c r="A794" s="1" t="str">
        <f t="shared" si="156"/>
        <v>59823</v>
      </c>
      <c r="B794" s="1" t="s">
        <v>36</v>
      </c>
      <c r="C794" s="1" t="s">
        <v>37</v>
      </c>
      <c r="D794" s="1" t="str">
        <f t="shared" si="157"/>
        <v>9803</v>
      </c>
      <c r="E794" s="1" t="s">
        <v>32</v>
      </c>
      <c r="F794" s="1" t="str">
        <f>"258961333"</f>
        <v>258961333</v>
      </c>
      <c r="G794" s="1" t="s">
        <v>33</v>
      </c>
      <c r="H794" s="1" t="str">
        <f t="shared" si="150"/>
        <v>20220905</v>
      </c>
      <c r="I794" s="1" t="str">
        <f>"104717"</f>
        <v>104717</v>
      </c>
      <c r="J794" s="1" t="s">
        <v>28</v>
      </c>
      <c r="K794" s="1" t="s">
        <v>28</v>
      </c>
      <c r="L794" s="1" t="str">
        <f t="shared" si="155"/>
        <v>20220905</v>
      </c>
      <c r="M794" s="1" t="str">
        <f>"110710"</f>
        <v>110710</v>
      </c>
      <c r="N794" s="1" t="s">
        <v>89</v>
      </c>
      <c r="O794" s="1" t="s">
        <v>28</v>
      </c>
      <c r="P794" s="1" t="s">
        <v>55</v>
      </c>
      <c r="Q794" s="1">
        <v>25</v>
      </c>
      <c r="R794" s="1">
        <v>25</v>
      </c>
      <c r="S794" s="1">
        <v>0</v>
      </c>
      <c r="T794" s="1">
        <v>0</v>
      </c>
      <c r="U794" s="1">
        <v>0</v>
      </c>
      <c r="V794" s="1" t="str">
        <f t="shared" si="158"/>
        <v>里程去程</v>
      </c>
      <c r="W794" s="1" t="str">
        <f>"0620"</f>
        <v>0620</v>
      </c>
      <c r="X794" s="1" t="s">
        <v>35</v>
      </c>
    </row>
    <row r="795" spans="1:24" x14ac:dyDescent="0.3">
      <c r="A795" s="1" t="str">
        <f t="shared" si="156"/>
        <v>59823</v>
      </c>
      <c r="B795" s="1" t="s">
        <v>36</v>
      </c>
      <c r="C795" s="1" t="s">
        <v>37</v>
      </c>
      <c r="D795" s="1" t="str">
        <f t="shared" si="157"/>
        <v>9803</v>
      </c>
      <c r="E795" s="1" t="s">
        <v>32</v>
      </c>
      <c r="F795" s="1" t="str">
        <f>"1275044469"</f>
        <v>1275044469</v>
      </c>
      <c r="G795" s="1" t="s">
        <v>33</v>
      </c>
      <c r="H795" s="1" t="str">
        <f t="shared" si="150"/>
        <v>20220905</v>
      </c>
      <c r="I795" s="1" t="str">
        <f>"104722"</f>
        <v>104722</v>
      </c>
      <c r="J795" s="1" t="s">
        <v>28</v>
      </c>
      <c r="K795" s="1" t="s">
        <v>28</v>
      </c>
      <c r="L795" s="1" t="str">
        <f t="shared" si="155"/>
        <v>20220905</v>
      </c>
      <c r="M795" s="1" t="str">
        <f>"110758"</f>
        <v>110758</v>
      </c>
      <c r="N795" s="1" t="s">
        <v>34</v>
      </c>
      <c r="O795" s="1" t="s">
        <v>34</v>
      </c>
      <c r="P795" s="1" t="s">
        <v>55</v>
      </c>
      <c r="Q795" s="1">
        <v>25</v>
      </c>
      <c r="R795" s="1">
        <v>25</v>
      </c>
      <c r="S795" s="1">
        <v>0</v>
      </c>
      <c r="T795" s="1">
        <v>0</v>
      </c>
      <c r="U795" s="1">
        <v>0</v>
      </c>
      <c r="V795" s="1" t="str">
        <f t="shared" si="158"/>
        <v>里程去程</v>
      </c>
      <c r="W795" s="1" t="str">
        <f>"0120"</f>
        <v>0120</v>
      </c>
      <c r="X795" s="1" t="s">
        <v>35</v>
      </c>
    </row>
    <row r="796" spans="1:24" x14ac:dyDescent="0.3">
      <c r="A796" s="1" t="str">
        <f t="shared" si="156"/>
        <v>59823</v>
      </c>
      <c r="B796" s="1" t="s">
        <v>36</v>
      </c>
      <c r="C796" s="1" t="s">
        <v>37</v>
      </c>
      <c r="D796" s="1" t="str">
        <f t="shared" si="157"/>
        <v>9803</v>
      </c>
      <c r="E796" s="1" t="s">
        <v>32</v>
      </c>
      <c r="F796" s="1" t="str">
        <f>"745620081"</f>
        <v>745620081</v>
      </c>
      <c r="G796" s="1" t="s">
        <v>33</v>
      </c>
      <c r="H796" s="1" t="str">
        <f t="shared" si="150"/>
        <v>20220905</v>
      </c>
      <c r="I796" s="1" t="str">
        <f>"104730"</f>
        <v>104730</v>
      </c>
      <c r="J796" s="1" t="s">
        <v>28</v>
      </c>
      <c r="K796" s="1" t="s">
        <v>28</v>
      </c>
      <c r="L796" s="1" t="str">
        <f t="shared" si="155"/>
        <v>20220905</v>
      </c>
      <c r="M796" s="1" t="str">
        <f>"110733"</f>
        <v>110733</v>
      </c>
      <c r="N796" s="1" t="s">
        <v>34</v>
      </c>
      <c r="O796" s="1" t="s">
        <v>34</v>
      </c>
      <c r="P796" s="1" t="s">
        <v>55</v>
      </c>
      <c r="Q796" s="1">
        <v>25</v>
      </c>
      <c r="R796" s="1">
        <v>25</v>
      </c>
      <c r="S796" s="1">
        <v>0</v>
      </c>
      <c r="T796" s="1">
        <v>0</v>
      </c>
      <c r="U796" s="1">
        <v>0</v>
      </c>
      <c r="V796" s="1" t="str">
        <f t="shared" si="158"/>
        <v>里程去程</v>
      </c>
      <c r="W796" s="1" t="str">
        <f>"0120"</f>
        <v>0120</v>
      </c>
      <c r="X796" s="1" t="s">
        <v>35</v>
      </c>
    </row>
    <row r="797" spans="1:24" x14ac:dyDescent="0.3">
      <c r="A797" s="1" t="str">
        <f t="shared" si="156"/>
        <v>59823</v>
      </c>
      <c r="B797" s="1" t="s">
        <v>36</v>
      </c>
      <c r="C797" s="1" t="s">
        <v>37</v>
      </c>
      <c r="D797" s="1" t="str">
        <f t="shared" si="157"/>
        <v>9803</v>
      </c>
      <c r="E797" s="1" t="s">
        <v>32</v>
      </c>
      <c r="F797" s="1" t="str">
        <f>"184597457"</f>
        <v>184597457</v>
      </c>
      <c r="G797" s="1" t="s">
        <v>26</v>
      </c>
      <c r="H797" s="1" t="str">
        <f t="shared" si="150"/>
        <v>20220905</v>
      </c>
      <c r="I797" s="1" t="str">
        <f>"104745"</f>
        <v>104745</v>
      </c>
      <c r="J797" s="1" t="s">
        <v>28</v>
      </c>
      <c r="K797" s="1" t="s">
        <v>28</v>
      </c>
      <c r="L797" s="1" t="str">
        <f t="shared" si="155"/>
        <v>20220905</v>
      </c>
      <c r="M797" s="1" t="str">
        <f>"110803"</f>
        <v>110803</v>
      </c>
      <c r="N797" s="1" t="s">
        <v>34</v>
      </c>
      <c r="O797" s="1" t="s">
        <v>34</v>
      </c>
      <c r="P797" s="1" t="s">
        <v>55</v>
      </c>
      <c r="Q797" s="1">
        <v>13</v>
      </c>
      <c r="R797" s="1">
        <v>13</v>
      </c>
      <c r="S797" s="1">
        <v>0</v>
      </c>
      <c r="T797" s="1">
        <v>0</v>
      </c>
      <c r="U797" s="1">
        <v>0</v>
      </c>
      <c r="V797" s="1" t="str">
        <f t="shared" si="158"/>
        <v>里程去程</v>
      </c>
      <c r="W797" s="1" t="str">
        <f>"1c20"</f>
        <v>1c20</v>
      </c>
      <c r="X797" s="1" t="s">
        <v>35</v>
      </c>
    </row>
    <row r="798" spans="1:24" x14ac:dyDescent="0.3">
      <c r="A798" s="1" t="str">
        <f t="shared" si="156"/>
        <v>59823</v>
      </c>
      <c r="B798" s="1" t="s">
        <v>36</v>
      </c>
      <c r="C798" s="1" t="s">
        <v>37</v>
      </c>
      <c r="D798" s="1" t="str">
        <f t="shared" si="157"/>
        <v>9803</v>
      </c>
      <c r="E798" s="1" t="s">
        <v>32</v>
      </c>
      <c r="F798" s="1" t="str">
        <f>"1406997873"</f>
        <v>1406997873</v>
      </c>
      <c r="G798" s="1" t="s">
        <v>26</v>
      </c>
      <c r="H798" s="1" t="str">
        <f t="shared" si="150"/>
        <v>20220905</v>
      </c>
      <c r="I798" s="1" t="str">
        <f>"104752"</f>
        <v>104752</v>
      </c>
      <c r="J798" s="1" t="s">
        <v>28</v>
      </c>
      <c r="K798" s="1" t="s">
        <v>28</v>
      </c>
      <c r="L798" s="1" t="str">
        <f t="shared" si="155"/>
        <v>20220905</v>
      </c>
      <c r="M798" s="1" t="str">
        <f>"110741"</f>
        <v>110741</v>
      </c>
      <c r="N798" s="1" t="s">
        <v>34</v>
      </c>
      <c r="O798" s="1" t="s">
        <v>34</v>
      </c>
      <c r="P798" s="1" t="s">
        <v>55</v>
      </c>
      <c r="Q798" s="1">
        <v>13</v>
      </c>
      <c r="R798" s="1">
        <v>13</v>
      </c>
      <c r="S798" s="1">
        <v>0</v>
      </c>
      <c r="T798" s="1">
        <v>0</v>
      </c>
      <c r="U798" s="1">
        <v>0</v>
      </c>
      <c r="V798" s="1" t="str">
        <f t="shared" si="158"/>
        <v>里程去程</v>
      </c>
      <c r="W798" s="1" t="str">
        <f>"0320"</f>
        <v>0320</v>
      </c>
      <c r="X798" s="1" t="s">
        <v>35</v>
      </c>
    </row>
    <row r="799" spans="1:24" x14ac:dyDescent="0.3">
      <c r="A799" s="1" t="str">
        <f t="shared" si="156"/>
        <v>59823</v>
      </c>
      <c r="B799" s="1" t="s">
        <v>36</v>
      </c>
      <c r="C799" s="1" t="s">
        <v>37</v>
      </c>
      <c r="D799" s="1" t="str">
        <f t="shared" si="157"/>
        <v>9803</v>
      </c>
      <c r="E799" s="1" t="s">
        <v>32</v>
      </c>
      <c r="F799" s="1" t="str">
        <f>"C26DF5055F880400C838002000000015"</f>
        <v>C26DF5055F880400C838002000000015</v>
      </c>
      <c r="G799" s="1" t="s">
        <v>26</v>
      </c>
      <c r="H799" s="1" t="str">
        <f t="shared" si="150"/>
        <v>20220905</v>
      </c>
      <c r="I799" s="1" t="str">
        <f>"112932"</f>
        <v>112932</v>
      </c>
      <c r="J799" s="1" t="s">
        <v>28</v>
      </c>
      <c r="K799" s="1" t="s">
        <v>28</v>
      </c>
      <c r="L799" s="1" t="str">
        <f t="shared" si="155"/>
        <v>20220905</v>
      </c>
      <c r="M799" s="1" t="str">
        <f>"115350"</f>
        <v>115350</v>
      </c>
      <c r="N799" s="1" t="s">
        <v>34</v>
      </c>
      <c r="O799" s="1" t="s">
        <v>34</v>
      </c>
      <c r="P799" s="1" t="s">
        <v>68</v>
      </c>
      <c r="Q799" s="1">
        <v>13</v>
      </c>
      <c r="R799" s="1">
        <v>0</v>
      </c>
      <c r="S799" s="1">
        <v>0</v>
      </c>
      <c r="T799" s="1">
        <v>13</v>
      </c>
      <c r="U799" s="1">
        <v>0</v>
      </c>
      <c r="V799" s="1" t="str">
        <f t="shared" si="158"/>
        <v>里程去程</v>
      </c>
      <c r="W799" s="1" t="str">
        <f>"0020"</f>
        <v>0020</v>
      </c>
      <c r="X799" s="1" t="s">
        <v>29</v>
      </c>
    </row>
    <row r="800" spans="1:24" x14ac:dyDescent="0.3">
      <c r="A800" s="1" t="str">
        <f t="shared" si="156"/>
        <v>59823</v>
      </c>
      <c r="B800" s="1" t="s">
        <v>36</v>
      </c>
      <c r="C800" s="1" t="s">
        <v>37</v>
      </c>
      <c r="D800" s="1" t="str">
        <f t="shared" si="157"/>
        <v>9803</v>
      </c>
      <c r="E800" s="1" t="s">
        <v>32</v>
      </c>
      <c r="F800" s="1" t="str">
        <f>"832145157"</f>
        <v>832145157</v>
      </c>
      <c r="G800" s="1" t="s">
        <v>33</v>
      </c>
      <c r="H800" s="1" t="str">
        <f t="shared" si="150"/>
        <v>20220905</v>
      </c>
      <c r="I800" s="1" t="str">
        <f>"112941"</f>
        <v>112941</v>
      </c>
      <c r="J800" s="1" t="s">
        <v>28</v>
      </c>
      <c r="K800" s="1" t="s">
        <v>28</v>
      </c>
      <c r="L800" s="1" t="str">
        <f t="shared" si="155"/>
        <v>20220905</v>
      </c>
      <c r="M800" s="1" t="str">
        <f>"115329"</f>
        <v>115329</v>
      </c>
      <c r="N800" s="1" t="s">
        <v>34</v>
      </c>
      <c r="O800" s="1" t="s">
        <v>34</v>
      </c>
      <c r="P800" s="1" t="s">
        <v>55</v>
      </c>
      <c r="Q800" s="1">
        <v>25</v>
      </c>
      <c r="R800" s="1">
        <v>0</v>
      </c>
      <c r="S800" s="1">
        <v>25</v>
      </c>
      <c r="T800" s="1">
        <v>0</v>
      </c>
      <c r="U800" s="1">
        <v>0</v>
      </c>
      <c r="V800" s="1" t="str">
        <f t="shared" si="158"/>
        <v>里程去程</v>
      </c>
      <c r="W800" s="1" t="str">
        <f>"1f20"</f>
        <v>1f20</v>
      </c>
      <c r="X800" s="1" t="s">
        <v>35</v>
      </c>
    </row>
    <row r="801" spans="1:24" x14ac:dyDescent="0.3">
      <c r="A801" s="1" t="str">
        <f t="shared" si="156"/>
        <v>59823</v>
      </c>
      <c r="B801" s="1" t="s">
        <v>36</v>
      </c>
      <c r="C801" s="1" t="s">
        <v>37</v>
      </c>
      <c r="D801" s="1" t="str">
        <f t="shared" si="157"/>
        <v>9803</v>
      </c>
      <c r="E801" s="1" t="s">
        <v>32</v>
      </c>
      <c r="F801" s="1" t="str">
        <f>"2170777370"</f>
        <v>2170777370</v>
      </c>
      <c r="G801" s="1" t="s">
        <v>33</v>
      </c>
      <c r="H801" s="1" t="str">
        <f t="shared" si="150"/>
        <v>20220905</v>
      </c>
      <c r="I801" s="1" t="str">
        <f>"112957"</f>
        <v>112957</v>
      </c>
      <c r="J801" s="1" t="s">
        <v>28</v>
      </c>
      <c r="K801" s="1" t="s">
        <v>28</v>
      </c>
      <c r="L801" s="1" t="str">
        <f t="shared" si="155"/>
        <v>20220905</v>
      </c>
      <c r="M801" s="1" t="str">
        <f>"115506"</f>
        <v>115506</v>
      </c>
      <c r="N801" s="1" t="s">
        <v>34</v>
      </c>
      <c r="O801" s="1" t="s">
        <v>34</v>
      </c>
      <c r="P801" s="1" t="s">
        <v>55</v>
      </c>
      <c r="Q801" s="1">
        <v>25</v>
      </c>
      <c r="R801" s="1">
        <v>25</v>
      </c>
      <c r="S801" s="1">
        <v>0</v>
      </c>
      <c r="T801" s="1">
        <v>0</v>
      </c>
      <c r="U801" s="1">
        <v>0</v>
      </c>
      <c r="V801" s="1" t="str">
        <f t="shared" si="158"/>
        <v>里程去程</v>
      </c>
      <c r="W801" s="1" t="str">
        <f>"0e20"</f>
        <v>0e20</v>
      </c>
      <c r="X801" s="1" t="s">
        <v>35</v>
      </c>
    </row>
    <row r="802" spans="1:24" x14ac:dyDescent="0.3">
      <c r="A802" s="1" t="str">
        <f t="shared" si="156"/>
        <v>59823</v>
      </c>
      <c r="B802" s="1" t="s">
        <v>36</v>
      </c>
      <c r="C802" s="1" t="s">
        <v>37</v>
      </c>
      <c r="D802" s="1" t="str">
        <f t="shared" si="157"/>
        <v>9803</v>
      </c>
      <c r="E802" s="1" t="s">
        <v>32</v>
      </c>
      <c r="F802" s="1" t="str">
        <f>"A41140A85D280400D200000100000000"</f>
        <v>A41140A85D280400D200000100000000</v>
      </c>
      <c r="G802" s="1" t="s">
        <v>58</v>
      </c>
      <c r="H802" s="1" t="str">
        <f t="shared" si="150"/>
        <v>20220905</v>
      </c>
      <c r="I802" s="1" t="str">
        <f>"113003"</f>
        <v>113003</v>
      </c>
      <c r="J802" s="1" t="s">
        <v>28</v>
      </c>
      <c r="K802" s="1" t="s">
        <v>28</v>
      </c>
      <c r="L802" s="1" t="str">
        <f t="shared" si="155"/>
        <v>20220905</v>
      </c>
      <c r="M802" s="1" t="str">
        <f>"115501"</f>
        <v>115501</v>
      </c>
      <c r="N802" s="1" t="s">
        <v>34</v>
      </c>
      <c r="O802" s="1" t="s">
        <v>34</v>
      </c>
      <c r="P802" s="1" t="s">
        <v>55</v>
      </c>
      <c r="Q802" s="1">
        <v>25</v>
      </c>
      <c r="R802" s="1">
        <v>25</v>
      </c>
      <c r="S802" s="1">
        <v>0</v>
      </c>
      <c r="T802" s="1">
        <v>0</v>
      </c>
      <c r="U802" s="1">
        <v>0</v>
      </c>
      <c r="V802" s="1" t="str">
        <f t="shared" si="158"/>
        <v>里程去程</v>
      </c>
      <c r="W802" s="1" t="str">
        <f>"0020"</f>
        <v>0020</v>
      </c>
      <c r="X802" s="1" t="s">
        <v>29</v>
      </c>
    </row>
    <row r="803" spans="1:24" x14ac:dyDescent="0.3">
      <c r="A803" s="1" t="str">
        <f t="shared" si="156"/>
        <v>59823</v>
      </c>
      <c r="B803" s="1" t="s">
        <v>36</v>
      </c>
      <c r="C803" s="1" t="s">
        <v>37</v>
      </c>
      <c r="D803" s="1" t="str">
        <f t="shared" si="157"/>
        <v>9803</v>
      </c>
      <c r="E803" s="1" t="s">
        <v>32</v>
      </c>
      <c r="F803" s="1" t="str">
        <f>"2595324943"</f>
        <v>2595324943</v>
      </c>
      <c r="G803" s="1" t="s">
        <v>33</v>
      </c>
      <c r="H803" s="1" t="str">
        <f t="shared" ref="H803:H866" si="159">"20220905"</f>
        <v>20220905</v>
      </c>
      <c r="I803" s="1" t="str">
        <f>"113014"</f>
        <v>113014</v>
      </c>
      <c r="J803" s="1" t="s">
        <v>28</v>
      </c>
      <c r="K803" s="1" t="s">
        <v>28</v>
      </c>
      <c r="L803" s="1" t="str">
        <f t="shared" ref="L803:L826" si="160">"20220905"</f>
        <v>20220905</v>
      </c>
      <c r="M803" s="1" t="str">
        <f>"115509"</f>
        <v>115509</v>
      </c>
      <c r="N803" s="1" t="s">
        <v>34</v>
      </c>
      <c r="O803" s="1" t="s">
        <v>34</v>
      </c>
      <c r="P803" s="1" t="s">
        <v>55</v>
      </c>
      <c r="Q803" s="1">
        <v>25</v>
      </c>
      <c r="R803" s="1">
        <v>25</v>
      </c>
      <c r="S803" s="1">
        <v>0</v>
      </c>
      <c r="T803" s="1">
        <v>0</v>
      </c>
      <c r="U803" s="1">
        <v>0</v>
      </c>
      <c r="V803" s="1" t="str">
        <f t="shared" si="158"/>
        <v>里程去程</v>
      </c>
      <c r="W803" s="1" t="str">
        <f>"0820"</f>
        <v>0820</v>
      </c>
      <c r="X803" s="1" t="s">
        <v>35</v>
      </c>
    </row>
    <row r="804" spans="1:24" x14ac:dyDescent="0.3">
      <c r="A804" s="1" t="str">
        <f t="shared" si="156"/>
        <v>59823</v>
      </c>
      <c r="B804" s="1" t="s">
        <v>36</v>
      </c>
      <c r="C804" s="1" t="s">
        <v>37</v>
      </c>
      <c r="D804" s="1" t="str">
        <f t="shared" si="157"/>
        <v>9803</v>
      </c>
      <c r="E804" s="1" t="s">
        <v>32</v>
      </c>
      <c r="F804" s="1" t="str">
        <f>"802723205"</f>
        <v>802723205</v>
      </c>
      <c r="G804" s="1" t="s">
        <v>33</v>
      </c>
      <c r="H804" s="1" t="str">
        <f t="shared" si="159"/>
        <v>20220905</v>
      </c>
      <c r="I804" s="1" t="str">
        <f>"113021"</f>
        <v>113021</v>
      </c>
      <c r="J804" s="1" t="s">
        <v>28</v>
      </c>
      <c r="K804" s="1" t="s">
        <v>28</v>
      </c>
      <c r="L804" s="1" t="str">
        <f t="shared" si="160"/>
        <v>20220905</v>
      </c>
      <c r="M804" s="1" t="str">
        <f>"115432"</f>
        <v>115432</v>
      </c>
      <c r="N804" s="1" t="s">
        <v>34</v>
      </c>
      <c r="O804" s="1" t="s">
        <v>34</v>
      </c>
      <c r="P804" s="1" t="s">
        <v>55</v>
      </c>
      <c r="Q804" s="1">
        <v>25</v>
      </c>
      <c r="R804" s="1">
        <v>25</v>
      </c>
      <c r="S804" s="1">
        <v>0</v>
      </c>
      <c r="T804" s="1">
        <v>0</v>
      </c>
      <c r="U804" s="1">
        <v>0</v>
      </c>
      <c r="V804" s="1" t="str">
        <f t="shared" si="158"/>
        <v>里程去程</v>
      </c>
      <c r="W804" s="1" t="str">
        <f>"1320"</f>
        <v>1320</v>
      </c>
      <c r="X804" s="1" t="s">
        <v>35</v>
      </c>
    </row>
    <row r="805" spans="1:24" x14ac:dyDescent="0.3">
      <c r="A805" s="1" t="str">
        <f t="shared" si="156"/>
        <v>59823</v>
      </c>
      <c r="B805" s="1" t="s">
        <v>36</v>
      </c>
      <c r="C805" s="1" t="s">
        <v>37</v>
      </c>
      <c r="D805" s="1" t="str">
        <f t="shared" si="157"/>
        <v>9803</v>
      </c>
      <c r="E805" s="1" t="s">
        <v>32</v>
      </c>
      <c r="F805" s="1" t="str">
        <f>"866586997"</f>
        <v>866586997</v>
      </c>
      <c r="G805" s="1" t="s">
        <v>33</v>
      </c>
      <c r="H805" s="1" t="str">
        <f t="shared" si="159"/>
        <v>20220905</v>
      </c>
      <c r="I805" s="1" t="str">
        <f>"113032"</f>
        <v>113032</v>
      </c>
      <c r="J805" s="1" t="s">
        <v>28</v>
      </c>
      <c r="K805" s="1" t="s">
        <v>28</v>
      </c>
      <c r="L805" s="1" t="str">
        <f t="shared" si="160"/>
        <v>20220905</v>
      </c>
      <c r="M805" s="1" t="str">
        <f>"115428"</f>
        <v>115428</v>
      </c>
      <c r="N805" s="1" t="s">
        <v>34</v>
      </c>
      <c r="O805" s="1" t="s">
        <v>34</v>
      </c>
      <c r="P805" s="1" t="s">
        <v>55</v>
      </c>
      <c r="Q805" s="1">
        <v>25</v>
      </c>
      <c r="R805" s="1">
        <v>0</v>
      </c>
      <c r="S805" s="1">
        <v>25</v>
      </c>
      <c r="T805" s="1">
        <v>0</v>
      </c>
      <c r="U805" s="1">
        <v>0</v>
      </c>
      <c r="V805" s="1" t="str">
        <f t="shared" si="158"/>
        <v>里程去程</v>
      </c>
      <c r="W805" s="1" t="str">
        <f>"0820"</f>
        <v>0820</v>
      </c>
      <c r="X805" s="1" t="s">
        <v>35</v>
      </c>
    </row>
    <row r="806" spans="1:24" x14ac:dyDescent="0.3">
      <c r="A806" s="1" t="str">
        <f t="shared" si="156"/>
        <v>59823</v>
      </c>
      <c r="B806" s="1" t="s">
        <v>36</v>
      </c>
      <c r="C806" s="1" t="s">
        <v>37</v>
      </c>
      <c r="D806" s="1" t="str">
        <f t="shared" si="157"/>
        <v>9803</v>
      </c>
      <c r="E806" s="1" t="s">
        <v>32</v>
      </c>
      <c r="F806" s="1" t="str">
        <f>"1646611313"</f>
        <v>1646611313</v>
      </c>
      <c r="G806" s="1" t="s">
        <v>33</v>
      </c>
      <c r="H806" s="1" t="str">
        <f t="shared" si="159"/>
        <v>20220905</v>
      </c>
      <c r="I806" s="1" t="str">
        <f>"113037"</f>
        <v>113037</v>
      </c>
      <c r="J806" s="1" t="s">
        <v>28</v>
      </c>
      <c r="K806" s="1" t="s">
        <v>28</v>
      </c>
      <c r="L806" s="1" t="str">
        <f t="shared" si="160"/>
        <v>20220905</v>
      </c>
      <c r="M806" s="1" t="str">
        <f>"115453"</f>
        <v>115453</v>
      </c>
      <c r="N806" s="1" t="s">
        <v>34</v>
      </c>
      <c r="O806" s="1" t="s">
        <v>34</v>
      </c>
      <c r="P806" s="1" t="s">
        <v>55</v>
      </c>
      <c r="Q806" s="1">
        <v>25</v>
      </c>
      <c r="R806" s="1">
        <v>25</v>
      </c>
      <c r="S806" s="1">
        <v>0</v>
      </c>
      <c r="T806" s="1">
        <v>0</v>
      </c>
      <c r="U806" s="1">
        <v>0</v>
      </c>
      <c r="V806" s="1" t="str">
        <f t="shared" si="158"/>
        <v>里程去程</v>
      </c>
      <c r="W806" s="1" t="str">
        <f>"0b20"</f>
        <v>0b20</v>
      </c>
      <c r="X806" s="1" t="s">
        <v>35</v>
      </c>
    </row>
    <row r="807" spans="1:24" x14ac:dyDescent="0.3">
      <c r="A807" s="1" t="str">
        <f t="shared" si="156"/>
        <v>59823</v>
      </c>
      <c r="B807" s="1" t="s">
        <v>36</v>
      </c>
      <c r="C807" s="1" t="s">
        <v>37</v>
      </c>
      <c r="D807" s="1" t="str">
        <f t="shared" si="157"/>
        <v>9803</v>
      </c>
      <c r="E807" s="1" t="s">
        <v>32</v>
      </c>
      <c r="F807" s="1" t="str">
        <f>"1121712085"</f>
        <v>1121712085</v>
      </c>
      <c r="G807" s="1" t="s">
        <v>33</v>
      </c>
      <c r="H807" s="1" t="str">
        <f t="shared" si="159"/>
        <v>20220905</v>
      </c>
      <c r="I807" s="1" t="str">
        <f>"113048"</f>
        <v>113048</v>
      </c>
      <c r="J807" s="1" t="s">
        <v>28</v>
      </c>
      <c r="K807" s="1" t="s">
        <v>28</v>
      </c>
      <c r="L807" s="1" t="str">
        <f t="shared" si="160"/>
        <v>20220905</v>
      </c>
      <c r="M807" s="1" t="str">
        <f>"115450"</f>
        <v>115450</v>
      </c>
      <c r="N807" s="1" t="s">
        <v>34</v>
      </c>
      <c r="O807" s="1" t="s">
        <v>34</v>
      </c>
      <c r="P807" s="1" t="s">
        <v>55</v>
      </c>
      <c r="Q807" s="1">
        <v>25</v>
      </c>
      <c r="R807" s="1">
        <v>25</v>
      </c>
      <c r="S807" s="1">
        <v>0</v>
      </c>
      <c r="T807" s="1">
        <v>0</v>
      </c>
      <c r="U807" s="1">
        <v>0</v>
      </c>
      <c r="V807" s="1" t="str">
        <f t="shared" si="158"/>
        <v>里程去程</v>
      </c>
      <c r="W807" s="1" t="str">
        <f>"0220"</f>
        <v>0220</v>
      </c>
      <c r="X807" s="1" t="s">
        <v>35</v>
      </c>
    </row>
    <row r="808" spans="1:24" x14ac:dyDescent="0.3">
      <c r="A808" s="1" t="str">
        <f t="shared" si="156"/>
        <v>59823</v>
      </c>
      <c r="B808" s="1" t="s">
        <v>36</v>
      </c>
      <c r="C808" s="1" t="s">
        <v>37</v>
      </c>
      <c r="D808" s="1" t="str">
        <f t="shared" si="157"/>
        <v>9803</v>
      </c>
      <c r="E808" s="1" t="s">
        <v>32</v>
      </c>
      <c r="F808" s="1" t="str">
        <f>"337080657"</f>
        <v>337080657</v>
      </c>
      <c r="G808" s="1" t="s">
        <v>33</v>
      </c>
      <c r="H808" s="1" t="str">
        <f t="shared" si="159"/>
        <v>20220905</v>
      </c>
      <c r="I808" s="1" t="str">
        <f>"113057"</f>
        <v>113057</v>
      </c>
      <c r="J808" s="1" t="s">
        <v>28</v>
      </c>
      <c r="K808" s="1" t="s">
        <v>28</v>
      </c>
      <c r="L808" s="1" t="str">
        <f t="shared" si="160"/>
        <v>20220905</v>
      </c>
      <c r="M808" s="1" t="str">
        <f>"115443"</f>
        <v>115443</v>
      </c>
      <c r="N808" s="1" t="s">
        <v>34</v>
      </c>
      <c r="O808" s="1" t="s">
        <v>34</v>
      </c>
      <c r="P808" s="1" t="s">
        <v>55</v>
      </c>
      <c r="Q808" s="1">
        <v>25</v>
      </c>
      <c r="R808" s="1">
        <v>25</v>
      </c>
      <c r="S808" s="1">
        <v>0</v>
      </c>
      <c r="T808" s="1">
        <v>0</v>
      </c>
      <c r="U808" s="1">
        <v>0</v>
      </c>
      <c r="V808" s="1" t="str">
        <f t="shared" si="158"/>
        <v>里程去程</v>
      </c>
      <c r="W808" s="1" t="str">
        <f>"0120"</f>
        <v>0120</v>
      </c>
      <c r="X808" s="1" t="s">
        <v>35</v>
      </c>
    </row>
    <row r="809" spans="1:24" x14ac:dyDescent="0.3">
      <c r="A809" s="1" t="str">
        <f t="shared" si="156"/>
        <v>59823</v>
      </c>
      <c r="B809" s="1" t="s">
        <v>36</v>
      </c>
      <c r="C809" s="1" t="s">
        <v>37</v>
      </c>
      <c r="D809" s="1" t="str">
        <f t="shared" si="157"/>
        <v>9803</v>
      </c>
      <c r="E809" s="1" t="s">
        <v>32</v>
      </c>
      <c r="F809" s="1" t="str">
        <f>"1723297733"</f>
        <v>1723297733</v>
      </c>
      <c r="G809" s="1" t="s">
        <v>33</v>
      </c>
      <c r="H809" s="1" t="str">
        <f t="shared" si="159"/>
        <v>20220905</v>
      </c>
      <c r="I809" s="1" t="str">
        <f>"113102"</f>
        <v>113102</v>
      </c>
      <c r="J809" s="1" t="s">
        <v>28</v>
      </c>
      <c r="K809" s="1" t="s">
        <v>28</v>
      </c>
      <c r="L809" s="1" t="str">
        <f t="shared" si="160"/>
        <v>20220905</v>
      </c>
      <c r="M809" s="1" t="str">
        <f>"115440"</f>
        <v>115440</v>
      </c>
      <c r="N809" s="1" t="s">
        <v>34</v>
      </c>
      <c r="O809" s="1" t="s">
        <v>34</v>
      </c>
      <c r="P809" s="1" t="s">
        <v>55</v>
      </c>
      <c r="Q809" s="1">
        <v>25</v>
      </c>
      <c r="R809" s="1">
        <v>25</v>
      </c>
      <c r="S809" s="1">
        <v>0</v>
      </c>
      <c r="T809" s="1">
        <v>0</v>
      </c>
      <c r="U809" s="1">
        <v>0</v>
      </c>
      <c r="V809" s="1" t="str">
        <f t="shared" si="158"/>
        <v>里程去程</v>
      </c>
      <c r="W809" s="1" t="str">
        <f>"0220"</f>
        <v>0220</v>
      </c>
      <c r="X809" s="1" t="s">
        <v>35</v>
      </c>
    </row>
    <row r="810" spans="1:24" x14ac:dyDescent="0.3">
      <c r="A810" s="1" t="str">
        <f t="shared" si="156"/>
        <v>59823</v>
      </c>
      <c r="B810" s="1" t="s">
        <v>36</v>
      </c>
      <c r="C810" s="1" t="s">
        <v>37</v>
      </c>
      <c r="D810" s="1" t="str">
        <f t="shared" si="157"/>
        <v>9803</v>
      </c>
      <c r="E810" s="1" t="s">
        <v>32</v>
      </c>
      <c r="F810" s="1" t="str">
        <f>"1237466321"</f>
        <v>1237466321</v>
      </c>
      <c r="G810" s="1" t="s">
        <v>33</v>
      </c>
      <c r="H810" s="1" t="str">
        <f t="shared" si="159"/>
        <v>20220905</v>
      </c>
      <c r="I810" s="1" t="str">
        <f>"113107"</f>
        <v>113107</v>
      </c>
      <c r="J810" s="1" t="s">
        <v>28</v>
      </c>
      <c r="K810" s="1" t="s">
        <v>28</v>
      </c>
      <c r="L810" s="1" t="str">
        <f t="shared" si="160"/>
        <v>20220905</v>
      </c>
      <c r="M810" s="1" t="str">
        <f>"115320"</f>
        <v>115320</v>
      </c>
      <c r="N810" s="1" t="s">
        <v>34</v>
      </c>
      <c r="O810" s="1" t="s">
        <v>34</v>
      </c>
      <c r="P810" s="1" t="s">
        <v>55</v>
      </c>
      <c r="Q810" s="1">
        <v>25</v>
      </c>
      <c r="R810" s="1">
        <v>25</v>
      </c>
      <c r="S810" s="1">
        <v>0</v>
      </c>
      <c r="T810" s="1">
        <v>0</v>
      </c>
      <c r="U810" s="1">
        <v>0</v>
      </c>
      <c r="V810" s="1" t="str">
        <f t="shared" si="158"/>
        <v>里程去程</v>
      </c>
      <c r="W810" s="1" t="str">
        <f>"0120"</f>
        <v>0120</v>
      </c>
      <c r="X810" s="1" t="s">
        <v>35</v>
      </c>
    </row>
    <row r="811" spans="1:24" x14ac:dyDescent="0.3">
      <c r="A811" s="1" t="str">
        <f t="shared" si="156"/>
        <v>59823</v>
      </c>
      <c r="B811" s="1" t="s">
        <v>36</v>
      </c>
      <c r="C811" s="1" t="s">
        <v>37</v>
      </c>
      <c r="D811" s="1" t="str">
        <f t="shared" si="157"/>
        <v>9803</v>
      </c>
      <c r="E811" s="1" t="s">
        <v>32</v>
      </c>
      <c r="F811" s="1" t="str">
        <f>"3818428366"</f>
        <v>3818428366</v>
      </c>
      <c r="G811" s="1" t="s">
        <v>33</v>
      </c>
      <c r="H811" s="1" t="str">
        <f t="shared" si="159"/>
        <v>20220905</v>
      </c>
      <c r="I811" s="1" t="str">
        <f>"113115"</f>
        <v>113115</v>
      </c>
      <c r="J811" s="1" t="s">
        <v>28</v>
      </c>
      <c r="K811" s="1" t="s">
        <v>28</v>
      </c>
      <c r="L811" s="1" t="str">
        <f t="shared" si="160"/>
        <v>20220905</v>
      </c>
      <c r="M811" s="1" t="str">
        <f>"115405"</f>
        <v>115405</v>
      </c>
      <c r="N811" s="1" t="s">
        <v>34</v>
      </c>
      <c r="O811" s="1" t="s">
        <v>34</v>
      </c>
      <c r="P811" s="1" t="s">
        <v>55</v>
      </c>
      <c r="Q811" s="1">
        <v>25</v>
      </c>
      <c r="R811" s="1">
        <v>25</v>
      </c>
      <c r="S811" s="1">
        <v>0</v>
      </c>
      <c r="T811" s="1">
        <v>0</v>
      </c>
      <c r="U811" s="1">
        <v>0</v>
      </c>
      <c r="V811" s="1" t="str">
        <f t="shared" si="158"/>
        <v>里程去程</v>
      </c>
      <c r="W811" s="1" t="str">
        <f>"0120"</f>
        <v>0120</v>
      </c>
      <c r="X811" s="1" t="s">
        <v>35</v>
      </c>
    </row>
    <row r="812" spans="1:24" x14ac:dyDescent="0.3">
      <c r="A812" s="1" t="str">
        <f t="shared" si="156"/>
        <v>59823</v>
      </c>
      <c r="B812" s="1" t="s">
        <v>36</v>
      </c>
      <c r="C812" s="1" t="s">
        <v>37</v>
      </c>
      <c r="D812" s="1" t="str">
        <f t="shared" si="157"/>
        <v>9803</v>
      </c>
      <c r="E812" s="1" t="s">
        <v>32</v>
      </c>
      <c r="F812" s="1" t="str">
        <f>"A1D7B3599C2804001C00000000000000"</f>
        <v>A1D7B3599C2804001C00000000000000</v>
      </c>
      <c r="G812" s="1" t="s">
        <v>58</v>
      </c>
      <c r="H812" s="1" t="str">
        <f t="shared" si="159"/>
        <v>20220905</v>
      </c>
      <c r="I812" s="1" t="str">
        <f>"113119"</f>
        <v>113119</v>
      </c>
      <c r="J812" s="1" t="s">
        <v>28</v>
      </c>
      <c r="K812" s="1" t="s">
        <v>28</v>
      </c>
      <c r="L812" s="1" t="str">
        <f t="shared" si="160"/>
        <v>20220905</v>
      </c>
      <c r="M812" s="1" t="str">
        <f>"115436"</f>
        <v>115436</v>
      </c>
      <c r="N812" s="1" t="s">
        <v>34</v>
      </c>
      <c r="O812" s="1" t="s">
        <v>34</v>
      </c>
      <c r="P812" s="1" t="s">
        <v>55</v>
      </c>
      <c r="Q812" s="1">
        <v>25</v>
      </c>
      <c r="R812" s="1">
        <v>0</v>
      </c>
      <c r="S812" s="1">
        <v>25</v>
      </c>
      <c r="T812" s="1">
        <v>0</v>
      </c>
      <c r="U812" s="1">
        <v>0</v>
      </c>
      <c r="V812" s="1" t="str">
        <f t="shared" si="158"/>
        <v>里程去程</v>
      </c>
      <c r="W812" s="1" t="str">
        <f>"0620"</f>
        <v>0620</v>
      </c>
      <c r="X812" s="1" t="s">
        <v>29</v>
      </c>
    </row>
    <row r="813" spans="1:24" x14ac:dyDescent="0.3">
      <c r="A813" s="1" t="str">
        <f t="shared" si="156"/>
        <v>59823</v>
      </c>
      <c r="B813" s="1" t="s">
        <v>36</v>
      </c>
      <c r="C813" s="1" t="s">
        <v>37</v>
      </c>
      <c r="D813" s="1" t="str">
        <f t="shared" si="157"/>
        <v>9803</v>
      </c>
      <c r="E813" s="1" t="s">
        <v>32</v>
      </c>
      <c r="F813" s="1" t="str">
        <f>"1249173505"</f>
        <v>1249173505</v>
      </c>
      <c r="G813" s="1" t="s">
        <v>33</v>
      </c>
      <c r="H813" s="1" t="str">
        <f t="shared" si="159"/>
        <v>20220905</v>
      </c>
      <c r="I813" s="1" t="str">
        <f>"113127"</f>
        <v>113127</v>
      </c>
      <c r="J813" s="1" t="s">
        <v>28</v>
      </c>
      <c r="K813" s="1" t="s">
        <v>28</v>
      </c>
      <c r="L813" s="1" t="str">
        <f t="shared" si="160"/>
        <v>20220905</v>
      </c>
      <c r="M813" s="1" t="str">
        <f>"115419"</f>
        <v>115419</v>
      </c>
      <c r="N813" s="1" t="s">
        <v>34</v>
      </c>
      <c r="O813" s="1" t="s">
        <v>34</v>
      </c>
      <c r="P813" s="1" t="s">
        <v>55</v>
      </c>
      <c r="Q813" s="1">
        <v>25</v>
      </c>
      <c r="R813" s="1">
        <v>25</v>
      </c>
      <c r="S813" s="1">
        <v>0</v>
      </c>
      <c r="T813" s="1">
        <v>0</v>
      </c>
      <c r="U813" s="1">
        <v>0</v>
      </c>
      <c r="V813" s="1" t="str">
        <f t="shared" si="158"/>
        <v>里程去程</v>
      </c>
      <c r="W813" s="1" t="str">
        <f>"0220"</f>
        <v>0220</v>
      </c>
      <c r="X813" s="1" t="s">
        <v>35</v>
      </c>
    </row>
    <row r="814" spans="1:24" x14ac:dyDescent="0.3">
      <c r="A814" s="1" t="str">
        <f t="shared" si="156"/>
        <v>59823</v>
      </c>
      <c r="B814" s="1" t="s">
        <v>36</v>
      </c>
      <c r="C814" s="1" t="s">
        <v>37</v>
      </c>
      <c r="D814" s="1" t="str">
        <f t="shared" si="157"/>
        <v>9803</v>
      </c>
      <c r="E814" s="1" t="s">
        <v>32</v>
      </c>
      <c r="F814" s="1" t="str">
        <f>"993930129"</f>
        <v>993930129</v>
      </c>
      <c r="G814" s="1" t="s">
        <v>33</v>
      </c>
      <c r="H814" s="1" t="str">
        <f t="shared" si="159"/>
        <v>20220905</v>
      </c>
      <c r="I814" s="1" t="str">
        <f>"113138"</f>
        <v>113138</v>
      </c>
      <c r="J814" s="1" t="s">
        <v>28</v>
      </c>
      <c r="K814" s="1" t="s">
        <v>28</v>
      </c>
      <c r="L814" s="1" t="str">
        <f t="shared" si="160"/>
        <v>20220905</v>
      </c>
      <c r="M814" s="1" t="str">
        <f>"115410"</f>
        <v>115410</v>
      </c>
      <c r="N814" s="1" t="s">
        <v>34</v>
      </c>
      <c r="O814" s="1" t="s">
        <v>34</v>
      </c>
      <c r="P814" s="1" t="s">
        <v>55</v>
      </c>
      <c r="Q814" s="1">
        <v>25</v>
      </c>
      <c r="R814" s="1">
        <v>25</v>
      </c>
      <c r="S814" s="1">
        <v>0</v>
      </c>
      <c r="T814" s="1">
        <v>0</v>
      </c>
      <c r="U814" s="1">
        <v>0</v>
      </c>
      <c r="V814" s="1" t="str">
        <f t="shared" si="158"/>
        <v>里程去程</v>
      </c>
      <c r="W814" s="1" t="str">
        <f>"0120"</f>
        <v>0120</v>
      </c>
      <c r="X814" s="1" t="s">
        <v>35</v>
      </c>
    </row>
    <row r="815" spans="1:24" x14ac:dyDescent="0.3">
      <c r="A815" s="1" t="str">
        <f t="shared" si="156"/>
        <v>59823</v>
      </c>
      <c r="B815" s="1" t="s">
        <v>36</v>
      </c>
      <c r="C815" s="1" t="s">
        <v>37</v>
      </c>
      <c r="D815" s="1" t="str">
        <f t="shared" si="157"/>
        <v>9803</v>
      </c>
      <c r="E815" s="1" t="s">
        <v>32</v>
      </c>
      <c r="F815" s="1" t="str">
        <f>"860523089"</f>
        <v>860523089</v>
      </c>
      <c r="G815" s="1" t="s">
        <v>33</v>
      </c>
      <c r="H815" s="1" t="str">
        <f t="shared" si="159"/>
        <v>20220905</v>
      </c>
      <c r="I815" s="1" t="str">
        <f>"113146"</f>
        <v>113146</v>
      </c>
      <c r="J815" s="1" t="s">
        <v>28</v>
      </c>
      <c r="K815" s="1" t="s">
        <v>28</v>
      </c>
      <c r="L815" s="1" t="str">
        <f t="shared" si="160"/>
        <v>20220905</v>
      </c>
      <c r="M815" s="1" t="str">
        <f>"115408"</f>
        <v>115408</v>
      </c>
      <c r="N815" s="1" t="s">
        <v>34</v>
      </c>
      <c r="O815" s="1" t="s">
        <v>34</v>
      </c>
      <c r="P815" s="1" t="s">
        <v>55</v>
      </c>
      <c r="Q815" s="1">
        <v>25</v>
      </c>
      <c r="R815" s="1">
        <v>25</v>
      </c>
      <c r="S815" s="1">
        <v>0</v>
      </c>
      <c r="T815" s="1">
        <v>0</v>
      </c>
      <c r="U815" s="1">
        <v>0</v>
      </c>
      <c r="V815" s="1" t="str">
        <f t="shared" si="158"/>
        <v>里程去程</v>
      </c>
      <c r="W815" s="1" t="str">
        <f>"0120"</f>
        <v>0120</v>
      </c>
      <c r="X815" s="1" t="s">
        <v>35</v>
      </c>
    </row>
    <row r="816" spans="1:24" x14ac:dyDescent="0.3">
      <c r="A816" s="1" t="str">
        <f t="shared" si="156"/>
        <v>59823</v>
      </c>
      <c r="B816" s="1" t="s">
        <v>36</v>
      </c>
      <c r="C816" s="1" t="s">
        <v>37</v>
      </c>
      <c r="D816" s="1" t="str">
        <f t="shared" si="157"/>
        <v>9803</v>
      </c>
      <c r="E816" s="1" t="s">
        <v>32</v>
      </c>
      <c r="F816" s="1" t="str">
        <f>"1147493781"</f>
        <v>1147493781</v>
      </c>
      <c r="G816" s="1" t="s">
        <v>38</v>
      </c>
      <c r="H816" s="1" t="str">
        <f t="shared" si="159"/>
        <v>20220905</v>
      </c>
      <c r="I816" s="1" t="str">
        <f>"113157"</f>
        <v>113157</v>
      </c>
      <c r="J816" s="1" t="s">
        <v>28</v>
      </c>
      <c r="K816" s="1" t="s">
        <v>28</v>
      </c>
      <c r="L816" s="1" t="str">
        <f t="shared" si="160"/>
        <v>20220905</v>
      </c>
      <c r="M816" s="1" t="str">
        <f>"115355"</f>
        <v>115355</v>
      </c>
      <c r="N816" s="1" t="s">
        <v>34</v>
      </c>
      <c r="O816" s="1" t="s">
        <v>34</v>
      </c>
      <c r="P816" s="1" t="s">
        <v>55</v>
      </c>
      <c r="Q816" s="1">
        <v>25</v>
      </c>
      <c r="R816" s="1">
        <v>25</v>
      </c>
      <c r="S816" s="1">
        <v>0</v>
      </c>
      <c r="T816" s="1">
        <v>0</v>
      </c>
      <c r="U816" s="1">
        <v>0</v>
      </c>
      <c r="V816" s="1" t="str">
        <f t="shared" si="158"/>
        <v>里程去程</v>
      </c>
      <c r="W816" s="1" t="str">
        <f>"0620"</f>
        <v>0620</v>
      </c>
      <c r="X816" s="1" t="s">
        <v>35</v>
      </c>
    </row>
    <row r="817" spans="1:24" x14ac:dyDescent="0.3">
      <c r="A817" s="1" t="str">
        <f t="shared" si="156"/>
        <v>59823</v>
      </c>
      <c r="B817" s="1" t="s">
        <v>36</v>
      </c>
      <c r="C817" s="1" t="s">
        <v>37</v>
      </c>
      <c r="D817" s="1" t="str">
        <f t="shared" si="157"/>
        <v>9803</v>
      </c>
      <c r="E817" s="1" t="s">
        <v>32</v>
      </c>
      <c r="F817" s="1" t="str">
        <f>"1130847173"</f>
        <v>1130847173</v>
      </c>
      <c r="G817" s="1" t="s">
        <v>38</v>
      </c>
      <c r="H817" s="1" t="str">
        <f t="shared" si="159"/>
        <v>20220905</v>
      </c>
      <c r="I817" s="1" t="str">
        <f>"113203"</f>
        <v>113203</v>
      </c>
      <c r="J817" s="1" t="s">
        <v>28</v>
      </c>
      <c r="K817" s="1" t="s">
        <v>28</v>
      </c>
      <c r="L817" s="1" t="str">
        <f t="shared" si="160"/>
        <v>20220905</v>
      </c>
      <c r="M817" s="1" t="str">
        <f>"115356"</f>
        <v>115356</v>
      </c>
      <c r="N817" s="1" t="s">
        <v>34</v>
      </c>
      <c r="O817" s="1" t="s">
        <v>34</v>
      </c>
      <c r="P817" s="1" t="s">
        <v>55</v>
      </c>
      <c r="Q817" s="1">
        <v>25</v>
      </c>
      <c r="R817" s="1">
        <v>25</v>
      </c>
      <c r="S817" s="1">
        <v>0</v>
      </c>
      <c r="T817" s="1">
        <v>0</v>
      </c>
      <c r="U817" s="1">
        <v>0</v>
      </c>
      <c r="V817" s="1" t="str">
        <f t="shared" si="158"/>
        <v>里程去程</v>
      </c>
      <c r="W817" s="1" t="str">
        <f>"0e20"</f>
        <v>0e20</v>
      </c>
      <c r="X817" s="1" t="s">
        <v>35</v>
      </c>
    </row>
    <row r="818" spans="1:24" x14ac:dyDescent="0.3">
      <c r="A818" s="1" t="str">
        <f t="shared" ref="A818:A849" si="161">"59823"</f>
        <v>59823</v>
      </c>
      <c r="B818" s="1" t="s">
        <v>36</v>
      </c>
      <c r="C818" s="1" t="s">
        <v>37</v>
      </c>
      <c r="D818" s="1" t="str">
        <f t="shared" si="157"/>
        <v>9803</v>
      </c>
      <c r="E818" s="1" t="s">
        <v>32</v>
      </c>
      <c r="F818" s="1" t="str">
        <f>"3493021511"</f>
        <v>3493021511</v>
      </c>
      <c r="G818" s="1" t="s">
        <v>33</v>
      </c>
      <c r="H818" s="1" t="str">
        <f t="shared" si="159"/>
        <v>20220905</v>
      </c>
      <c r="I818" s="1" t="str">
        <f>"113254"</f>
        <v>113254</v>
      </c>
      <c r="J818" s="1" t="s">
        <v>28</v>
      </c>
      <c r="K818" s="1" t="s">
        <v>28</v>
      </c>
      <c r="L818" s="1" t="str">
        <f t="shared" si="160"/>
        <v>20220905</v>
      </c>
      <c r="M818" s="1" t="str">
        <f>"115343"</f>
        <v>115343</v>
      </c>
      <c r="N818" s="1" t="s">
        <v>34</v>
      </c>
      <c r="O818" s="1" t="s">
        <v>34</v>
      </c>
      <c r="P818" s="1" t="s">
        <v>55</v>
      </c>
      <c r="Q818" s="1">
        <v>25</v>
      </c>
      <c r="R818" s="1">
        <v>25</v>
      </c>
      <c r="S818" s="1">
        <v>0</v>
      </c>
      <c r="T818" s="1">
        <v>0</v>
      </c>
      <c r="U818" s="1">
        <v>0</v>
      </c>
      <c r="V818" s="1" t="str">
        <f t="shared" si="158"/>
        <v>里程去程</v>
      </c>
      <c r="W818" s="1" t="str">
        <f>"0020"</f>
        <v>0020</v>
      </c>
      <c r="X818" s="1" t="s">
        <v>35</v>
      </c>
    </row>
    <row r="819" spans="1:24" x14ac:dyDescent="0.3">
      <c r="A819" s="1" t="str">
        <f t="shared" si="161"/>
        <v>59823</v>
      </c>
      <c r="B819" s="1" t="s">
        <v>36</v>
      </c>
      <c r="C819" s="1" t="s">
        <v>37</v>
      </c>
      <c r="D819" s="1" t="str">
        <f t="shared" ref="D819:D850" si="162">"9803"</f>
        <v>9803</v>
      </c>
      <c r="E819" s="1" t="s">
        <v>32</v>
      </c>
      <c r="F819" s="1" t="str">
        <f>"1239379909"</f>
        <v>1239379909</v>
      </c>
      <c r="G819" s="1" t="s">
        <v>33</v>
      </c>
      <c r="H819" s="1" t="str">
        <f t="shared" si="159"/>
        <v>20220905</v>
      </c>
      <c r="I819" s="1" t="str">
        <f>"113354"</f>
        <v>113354</v>
      </c>
      <c r="J819" s="1" t="s">
        <v>28</v>
      </c>
      <c r="K819" s="1" t="s">
        <v>28</v>
      </c>
      <c r="L819" s="1" t="str">
        <f t="shared" si="160"/>
        <v>20220905</v>
      </c>
      <c r="M819" s="1" t="str">
        <f>"115223"</f>
        <v>115223</v>
      </c>
      <c r="N819" s="1" t="s">
        <v>89</v>
      </c>
      <c r="O819" s="1" t="s">
        <v>28</v>
      </c>
      <c r="P819" s="1" t="s">
        <v>55</v>
      </c>
      <c r="Q819" s="1">
        <v>25</v>
      </c>
      <c r="R819" s="1">
        <v>25</v>
      </c>
      <c r="S819" s="1">
        <v>0</v>
      </c>
      <c r="T819" s="1">
        <v>0</v>
      </c>
      <c r="U819" s="1">
        <v>0</v>
      </c>
      <c r="V819" s="1" t="str">
        <f t="shared" si="158"/>
        <v>里程去程</v>
      </c>
      <c r="W819" s="1" t="str">
        <f>"0120"</f>
        <v>0120</v>
      </c>
      <c r="X819" s="1" t="s">
        <v>35</v>
      </c>
    </row>
    <row r="820" spans="1:24" x14ac:dyDescent="0.3">
      <c r="A820" s="1" t="str">
        <f t="shared" si="161"/>
        <v>59823</v>
      </c>
      <c r="B820" s="1" t="s">
        <v>36</v>
      </c>
      <c r="C820" s="1" t="s">
        <v>37</v>
      </c>
      <c r="D820" s="1" t="str">
        <f t="shared" si="162"/>
        <v>9803</v>
      </c>
      <c r="E820" s="1" t="s">
        <v>32</v>
      </c>
      <c r="F820" s="1" t="str">
        <f>"822538145"</f>
        <v>822538145</v>
      </c>
      <c r="G820" s="1" t="s">
        <v>33</v>
      </c>
      <c r="H820" s="1" t="str">
        <f t="shared" si="159"/>
        <v>20220905</v>
      </c>
      <c r="I820" s="1" t="str">
        <f>"113401"</f>
        <v>113401</v>
      </c>
      <c r="J820" s="1" t="s">
        <v>28</v>
      </c>
      <c r="K820" s="1" t="s">
        <v>28</v>
      </c>
      <c r="L820" s="1" t="str">
        <f t="shared" si="160"/>
        <v>20220905</v>
      </c>
      <c r="M820" s="1" t="str">
        <f>"115317"</f>
        <v>115317</v>
      </c>
      <c r="N820" s="1" t="s">
        <v>34</v>
      </c>
      <c r="O820" s="1" t="s">
        <v>34</v>
      </c>
      <c r="P820" s="1" t="s">
        <v>55</v>
      </c>
      <c r="Q820" s="1">
        <v>25</v>
      </c>
      <c r="R820" s="1">
        <v>25</v>
      </c>
      <c r="S820" s="1">
        <v>0</v>
      </c>
      <c r="T820" s="1">
        <v>0</v>
      </c>
      <c r="U820" s="1">
        <v>0</v>
      </c>
      <c r="V820" s="1" t="str">
        <f t="shared" si="158"/>
        <v>里程去程</v>
      </c>
      <c r="W820" s="1" t="str">
        <f>"0220"</f>
        <v>0220</v>
      </c>
      <c r="X820" s="1" t="s">
        <v>35</v>
      </c>
    </row>
    <row r="821" spans="1:24" x14ac:dyDescent="0.3">
      <c r="A821" s="1" t="str">
        <f t="shared" si="161"/>
        <v>59823</v>
      </c>
      <c r="B821" s="1" t="s">
        <v>36</v>
      </c>
      <c r="C821" s="1" t="s">
        <v>37</v>
      </c>
      <c r="D821" s="1" t="str">
        <f t="shared" si="162"/>
        <v>9803</v>
      </c>
      <c r="E821" s="1" t="s">
        <v>32</v>
      </c>
      <c r="F821" s="1" t="str">
        <f>"611742401"</f>
        <v>611742401</v>
      </c>
      <c r="G821" s="1" t="s">
        <v>33</v>
      </c>
      <c r="H821" s="1" t="str">
        <f t="shared" si="159"/>
        <v>20220905</v>
      </c>
      <c r="I821" s="1" t="str">
        <f>"114203"</f>
        <v>114203</v>
      </c>
      <c r="J821" s="1" t="s">
        <v>79</v>
      </c>
      <c r="K821" s="1" t="s">
        <v>28</v>
      </c>
      <c r="L821" s="1" t="str">
        <f t="shared" si="160"/>
        <v>20220905</v>
      </c>
      <c r="M821" s="1" t="str">
        <f>"115216"</f>
        <v>115216</v>
      </c>
      <c r="N821" s="1" t="s">
        <v>89</v>
      </c>
      <c r="O821" s="1" t="s">
        <v>28</v>
      </c>
      <c r="P821" s="1" t="s">
        <v>55</v>
      </c>
      <c r="Q821" s="1">
        <v>25</v>
      </c>
      <c r="R821" s="1">
        <v>25</v>
      </c>
      <c r="S821" s="1">
        <v>0</v>
      </c>
      <c r="T821" s="1">
        <v>0</v>
      </c>
      <c r="U821" s="1">
        <v>0</v>
      </c>
      <c r="V821" s="1" t="str">
        <f t="shared" si="158"/>
        <v>里程去程</v>
      </c>
      <c r="W821" s="1" t="str">
        <f>"2020"</f>
        <v>2020</v>
      </c>
      <c r="X821" s="1" t="s">
        <v>35</v>
      </c>
    </row>
    <row r="822" spans="1:24" x14ac:dyDescent="0.3">
      <c r="A822" s="1" t="str">
        <f t="shared" si="161"/>
        <v>59823</v>
      </c>
      <c r="B822" s="1" t="s">
        <v>36</v>
      </c>
      <c r="C822" s="1" t="s">
        <v>37</v>
      </c>
      <c r="D822" s="1" t="str">
        <f t="shared" si="162"/>
        <v>9803</v>
      </c>
      <c r="E822" s="1" t="s">
        <v>32</v>
      </c>
      <c r="F822" s="1" t="str">
        <f>"1046262421"</f>
        <v>1046262421</v>
      </c>
      <c r="G822" s="1" t="s">
        <v>26</v>
      </c>
      <c r="H822" s="1" t="str">
        <f t="shared" si="159"/>
        <v>20220905</v>
      </c>
      <c r="I822" s="1" t="str">
        <f>"120050"</f>
        <v>120050</v>
      </c>
      <c r="J822" s="1" t="s">
        <v>34</v>
      </c>
      <c r="K822" s="1" t="s">
        <v>34</v>
      </c>
      <c r="L822" s="1" t="str">
        <f t="shared" si="160"/>
        <v>20220905</v>
      </c>
      <c r="M822" s="1" t="str">
        <f>"122726"</f>
        <v>122726</v>
      </c>
      <c r="N822" s="1" t="s">
        <v>28</v>
      </c>
      <c r="O822" s="1" t="s">
        <v>28</v>
      </c>
      <c r="P822" s="1" t="s">
        <v>55</v>
      </c>
      <c r="Q822" s="1">
        <v>13</v>
      </c>
      <c r="R822" s="1">
        <v>13</v>
      </c>
      <c r="S822" s="1">
        <v>0</v>
      </c>
      <c r="T822" s="1">
        <v>0</v>
      </c>
      <c r="U822" s="1">
        <v>0</v>
      </c>
      <c r="V822" s="1" t="str">
        <f>"里程返程"</f>
        <v>里程返程</v>
      </c>
      <c r="W822" s="1" t="str">
        <f>"2020"</f>
        <v>2020</v>
      </c>
      <c r="X822" s="1" t="s">
        <v>35</v>
      </c>
    </row>
    <row r="823" spans="1:24" x14ac:dyDescent="0.3">
      <c r="A823" s="1" t="str">
        <f t="shared" si="161"/>
        <v>59823</v>
      </c>
      <c r="B823" s="1" t="s">
        <v>36</v>
      </c>
      <c r="C823" s="1" t="s">
        <v>37</v>
      </c>
      <c r="D823" s="1" t="str">
        <f t="shared" si="162"/>
        <v>9803</v>
      </c>
      <c r="E823" s="1" t="s">
        <v>32</v>
      </c>
      <c r="F823" s="1" t="str">
        <f>"637464209"</f>
        <v>637464209</v>
      </c>
      <c r="G823" s="1" t="s">
        <v>33</v>
      </c>
      <c r="H823" s="1" t="str">
        <f t="shared" si="159"/>
        <v>20220905</v>
      </c>
      <c r="I823" s="1" t="str">
        <f>"121605"</f>
        <v>121605</v>
      </c>
      <c r="J823" s="1" t="s">
        <v>46</v>
      </c>
      <c r="K823" s="1" t="s">
        <v>28</v>
      </c>
      <c r="L823" s="1" t="str">
        <f t="shared" si="160"/>
        <v>20220905</v>
      </c>
      <c r="M823" s="1" t="str">
        <f>"122731"</f>
        <v>122731</v>
      </c>
      <c r="N823" s="1" t="s">
        <v>28</v>
      </c>
      <c r="O823" s="1" t="s">
        <v>28</v>
      </c>
      <c r="P823" s="1" t="s">
        <v>55</v>
      </c>
      <c r="Q823" s="1">
        <v>25</v>
      </c>
      <c r="R823" s="1">
        <v>25</v>
      </c>
      <c r="S823" s="1">
        <v>0</v>
      </c>
      <c r="T823" s="1">
        <v>0</v>
      </c>
      <c r="U823" s="1">
        <v>0</v>
      </c>
      <c r="V823" s="1" t="str">
        <f>"里程返程"</f>
        <v>里程返程</v>
      </c>
      <c r="W823" s="1" t="str">
        <f>"2020"</f>
        <v>2020</v>
      </c>
      <c r="X823" s="1" t="s">
        <v>35</v>
      </c>
    </row>
    <row r="824" spans="1:24" x14ac:dyDescent="0.3">
      <c r="A824" s="1" t="str">
        <f t="shared" si="161"/>
        <v>59823</v>
      </c>
      <c r="B824" s="1" t="s">
        <v>36</v>
      </c>
      <c r="C824" s="1" t="s">
        <v>37</v>
      </c>
      <c r="D824" s="1" t="str">
        <f t="shared" si="162"/>
        <v>9803</v>
      </c>
      <c r="E824" s="1" t="s">
        <v>32</v>
      </c>
      <c r="F824" s="1" t="str">
        <f>"1450182785"</f>
        <v>1450182785</v>
      </c>
      <c r="G824" s="1" t="s">
        <v>33</v>
      </c>
      <c r="H824" s="1" t="str">
        <f t="shared" si="159"/>
        <v>20220905</v>
      </c>
      <c r="I824" s="1" t="str">
        <f>"121606"</f>
        <v>121606</v>
      </c>
      <c r="J824" s="1" t="s">
        <v>46</v>
      </c>
      <c r="K824" s="1" t="s">
        <v>28</v>
      </c>
      <c r="L824" s="1" t="str">
        <f t="shared" si="160"/>
        <v>20220905</v>
      </c>
      <c r="M824" s="1" t="str">
        <f>"122729"</f>
        <v>122729</v>
      </c>
      <c r="N824" s="1" t="s">
        <v>28</v>
      </c>
      <c r="O824" s="1" t="s">
        <v>28</v>
      </c>
      <c r="P824" s="1" t="s">
        <v>55</v>
      </c>
      <c r="Q824" s="1">
        <v>25</v>
      </c>
      <c r="R824" s="1">
        <v>25</v>
      </c>
      <c r="S824" s="1">
        <v>0</v>
      </c>
      <c r="T824" s="1">
        <v>0</v>
      </c>
      <c r="U824" s="1">
        <v>0</v>
      </c>
      <c r="V824" s="1" t="str">
        <f>"里程返程"</f>
        <v>里程返程</v>
      </c>
      <c r="W824" s="1" t="str">
        <f>"2020"</f>
        <v>2020</v>
      </c>
      <c r="X824" s="1" t="s">
        <v>35</v>
      </c>
    </row>
    <row r="825" spans="1:24" x14ac:dyDescent="0.3">
      <c r="A825" s="1" t="str">
        <f t="shared" si="161"/>
        <v>59823</v>
      </c>
      <c r="B825" s="1" t="s">
        <v>36</v>
      </c>
      <c r="C825" s="1" t="s">
        <v>37</v>
      </c>
      <c r="D825" s="1" t="str">
        <f t="shared" si="162"/>
        <v>9803</v>
      </c>
      <c r="E825" s="1" t="s">
        <v>32</v>
      </c>
      <c r="F825" s="1" t="str">
        <f>"7294EA121E28040080CEBCD765412818"</f>
        <v>7294EA121E28040080CEBCD765412818</v>
      </c>
      <c r="G825" s="1" t="s">
        <v>58</v>
      </c>
      <c r="H825" s="1" t="str">
        <f t="shared" si="159"/>
        <v>20220905</v>
      </c>
      <c r="I825" s="1" t="str">
        <f>"122757"</f>
        <v>122757</v>
      </c>
      <c r="J825" s="1" t="s">
        <v>28</v>
      </c>
      <c r="K825" s="1" t="s">
        <v>28</v>
      </c>
      <c r="L825" s="1" t="str">
        <f t="shared" si="160"/>
        <v>20220905</v>
      </c>
      <c r="M825" s="1" t="str">
        <f>"125110"</f>
        <v>125110</v>
      </c>
      <c r="N825" s="1" t="s">
        <v>34</v>
      </c>
      <c r="O825" s="1" t="s">
        <v>34</v>
      </c>
      <c r="P825" s="1" t="s">
        <v>55</v>
      </c>
      <c r="Q825" s="1">
        <v>25</v>
      </c>
      <c r="R825" s="1">
        <v>0</v>
      </c>
      <c r="S825" s="1">
        <v>25</v>
      </c>
      <c r="T825" s="1">
        <v>0</v>
      </c>
      <c r="U825" s="1">
        <v>0</v>
      </c>
      <c r="V825" s="1" t="str">
        <f t="shared" ref="V825:V854" si="163">"里程去程"</f>
        <v>里程去程</v>
      </c>
      <c r="W825" s="1" t="str">
        <f>"0620"</f>
        <v>0620</v>
      </c>
      <c r="X825" s="1" t="s">
        <v>29</v>
      </c>
    </row>
    <row r="826" spans="1:24" x14ac:dyDescent="0.3">
      <c r="A826" s="1" t="str">
        <f t="shared" si="161"/>
        <v>59823</v>
      </c>
      <c r="B826" s="1" t="s">
        <v>36</v>
      </c>
      <c r="C826" s="1" t="s">
        <v>37</v>
      </c>
      <c r="D826" s="1" t="str">
        <f t="shared" si="162"/>
        <v>9803</v>
      </c>
      <c r="E826" s="1" t="s">
        <v>32</v>
      </c>
      <c r="F826" s="1" t="str">
        <f>"914A7C3E99280400F700000000000000"</f>
        <v>914A7C3E99280400F700000000000000</v>
      </c>
      <c r="G826" s="1" t="s">
        <v>58</v>
      </c>
      <c r="H826" s="1" t="str">
        <f t="shared" si="159"/>
        <v>20220905</v>
      </c>
      <c r="I826" s="1" t="str">
        <f>"122806"</f>
        <v>122806</v>
      </c>
      <c r="J826" s="1" t="s">
        <v>28</v>
      </c>
      <c r="K826" s="1" t="s">
        <v>28</v>
      </c>
      <c r="L826" s="1" t="str">
        <f t="shared" si="160"/>
        <v>20220905</v>
      </c>
      <c r="M826" s="1" t="str">
        <f>"125044"</f>
        <v>125044</v>
      </c>
      <c r="N826" s="1" t="s">
        <v>34</v>
      </c>
      <c r="O826" s="1" t="s">
        <v>34</v>
      </c>
      <c r="P826" s="1" t="s">
        <v>55</v>
      </c>
      <c r="Q826" s="1">
        <v>25</v>
      </c>
      <c r="R826" s="1">
        <v>25</v>
      </c>
      <c r="S826" s="1">
        <v>0</v>
      </c>
      <c r="T826" s="1">
        <v>0</v>
      </c>
      <c r="U826" s="1">
        <v>0</v>
      </c>
      <c r="V826" s="1" t="str">
        <f t="shared" si="163"/>
        <v>里程去程</v>
      </c>
      <c r="W826" s="1" t="str">
        <f>"0020"</f>
        <v>0020</v>
      </c>
      <c r="X826" s="1" t="s">
        <v>29</v>
      </c>
    </row>
    <row r="827" spans="1:24" x14ac:dyDescent="0.3">
      <c r="A827" s="1" t="str">
        <f t="shared" si="161"/>
        <v>59823</v>
      </c>
      <c r="B827" s="1" t="s">
        <v>36</v>
      </c>
      <c r="C827" s="1" t="s">
        <v>37</v>
      </c>
      <c r="D827" s="1" t="str">
        <f t="shared" si="162"/>
        <v>9803</v>
      </c>
      <c r="E827" s="1" t="s">
        <v>32</v>
      </c>
      <c r="F827" s="1" t="str">
        <f>"453629185"</f>
        <v>453629185</v>
      </c>
      <c r="G827" s="1" t="s">
        <v>33</v>
      </c>
      <c r="H827" s="1" t="str">
        <f t="shared" si="159"/>
        <v>20220905</v>
      </c>
      <c r="I827" s="1" t="str">
        <f>"122821"</f>
        <v>122821</v>
      </c>
      <c r="J827" s="1" t="s">
        <v>28</v>
      </c>
      <c r="K827" s="1" t="s">
        <v>28</v>
      </c>
      <c r="L827" s="1" t="str">
        <f>""</f>
        <v/>
      </c>
      <c r="M827" s="1" t="str">
        <f>""</f>
        <v/>
      </c>
      <c r="P827" s="1" t="s">
        <v>88</v>
      </c>
      <c r="Q827" s="1">
        <v>25</v>
      </c>
      <c r="R827" s="1">
        <v>25</v>
      </c>
      <c r="S827" s="1">
        <v>0</v>
      </c>
      <c r="T827" s="1">
        <v>0</v>
      </c>
      <c r="U827" s="1">
        <v>0</v>
      </c>
      <c r="V827" s="1" t="str">
        <f t="shared" si="163"/>
        <v>里程去程</v>
      </c>
      <c r="W827" s="1" t="str">
        <f>"0e20"</f>
        <v>0e20</v>
      </c>
      <c r="X827" s="1" t="s">
        <v>35</v>
      </c>
    </row>
    <row r="828" spans="1:24" x14ac:dyDescent="0.3">
      <c r="A828" s="1" t="str">
        <f t="shared" si="161"/>
        <v>59823</v>
      </c>
      <c r="B828" s="1" t="s">
        <v>36</v>
      </c>
      <c r="C828" s="1" t="s">
        <v>37</v>
      </c>
      <c r="D828" s="1" t="str">
        <f t="shared" si="162"/>
        <v>9803</v>
      </c>
      <c r="E828" s="1" t="s">
        <v>32</v>
      </c>
      <c r="F828" s="1" t="str">
        <f>"1693531361"</f>
        <v>1693531361</v>
      </c>
      <c r="G828" s="1" t="s">
        <v>33</v>
      </c>
      <c r="H828" s="1" t="str">
        <f t="shared" si="159"/>
        <v>20220905</v>
      </c>
      <c r="I828" s="1" t="str">
        <f>"122827"</f>
        <v>122827</v>
      </c>
      <c r="J828" s="1" t="s">
        <v>28</v>
      </c>
      <c r="K828" s="1" t="s">
        <v>28</v>
      </c>
      <c r="L828" s="1" t="str">
        <f t="shared" ref="L828:L859" si="164">"20220905"</f>
        <v>20220905</v>
      </c>
      <c r="M828" s="1" t="str">
        <f>"125125"</f>
        <v>125125</v>
      </c>
      <c r="N828" s="1" t="s">
        <v>34</v>
      </c>
      <c r="O828" s="1" t="s">
        <v>34</v>
      </c>
      <c r="P828" s="1" t="s">
        <v>55</v>
      </c>
      <c r="Q828" s="1">
        <v>25</v>
      </c>
      <c r="R828" s="1">
        <v>25</v>
      </c>
      <c r="S828" s="1">
        <v>0</v>
      </c>
      <c r="T828" s="1">
        <v>0</v>
      </c>
      <c r="U828" s="1">
        <v>0</v>
      </c>
      <c r="V828" s="1" t="str">
        <f t="shared" si="163"/>
        <v>里程去程</v>
      </c>
      <c r="W828" s="1" t="str">
        <f>"0020"</f>
        <v>0020</v>
      </c>
      <c r="X828" s="1" t="s">
        <v>35</v>
      </c>
    </row>
    <row r="829" spans="1:24" x14ac:dyDescent="0.3">
      <c r="A829" s="1" t="str">
        <f t="shared" si="161"/>
        <v>59823</v>
      </c>
      <c r="B829" s="1" t="s">
        <v>36</v>
      </c>
      <c r="C829" s="1" t="s">
        <v>37</v>
      </c>
      <c r="D829" s="1" t="str">
        <f t="shared" si="162"/>
        <v>9803</v>
      </c>
      <c r="E829" s="1" t="s">
        <v>32</v>
      </c>
      <c r="F829" s="1" t="str">
        <f>"1707200389"</f>
        <v>1707200389</v>
      </c>
      <c r="G829" s="1" t="s">
        <v>33</v>
      </c>
      <c r="H829" s="1" t="str">
        <f t="shared" si="159"/>
        <v>20220905</v>
      </c>
      <c r="I829" s="1" t="str">
        <f>"122830"</f>
        <v>122830</v>
      </c>
      <c r="J829" s="1" t="s">
        <v>28</v>
      </c>
      <c r="K829" s="1" t="s">
        <v>28</v>
      </c>
      <c r="L829" s="1" t="str">
        <f t="shared" si="164"/>
        <v>20220905</v>
      </c>
      <c r="M829" s="1" t="str">
        <f>"125128"</f>
        <v>125128</v>
      </c>
      <c r="N829" s="1" t="s">
        <v>34</v>
      </c>
      <c r="O829" s="1" t="s">
        <v>34</v>
      </c>
      <c r="P829" s="1" t="s">
        <v>55</v>
      </c>
      <c r="Q829" s="1">
        <v>25</v>
      </c>
      <c r="R829" s="1">
        <v>25</v>
      </c>
      <c r="S829" s="1">
        <v>0</v>
      </c>
      <c r="T829" s="1">
        <v>0</v>
      </c>
      <c r="U829" s="1">
        <v>0</v>
      </c>
      <c r="V829" s="1" t="str">
        <f t="shared" si="163"/>
        <v>里程去程</v>
      </c>
      <c r="W829" s="1" t="str">
        <f>"1120"</f>
        <v>1120</v>
      </c>
      <c r="X829" s="1" t="s">
        <v>35</v>
      </c>
    </row>
    <row r="830" spans="1:24" x14ac:dyDescent="0.3">
      <c r="A830" s="1" t="str">
        <f t="shared" si="161"/>
        <v>59823</v>
      </c>
      <c r="B830" s="1" t="s">
        <v>36</v>
      </c>
      <c r="C830" s="1" t="s">
        <v>37</v>
      </c>
      <c r="D830" s="1" t="str">
        <f t="shared" si="162"/>
        <v>9803</v>
      </c>
      <c r="E830" s="1" t="s">
        <v>32</v>
      </c>
      <c r="F830" s="1" t="str">
        <f>"1261366181"</f>
        <v>1261366181</v>
      </c>
      <c r="G830" s="1" t="s">
        <v>38</v>
      </c>
      <c r="H830" s="1" t="str">
        <f t="shared" si="159"/>
        <v>20220905</v>
      </c>
      <c r="I830" s="1" t="str">
        <f>"122835"</f>
        <v>122835</v>
      </c>
      <c r="J830" s="1" t="s">
        <v>28</v>
      </c>
      <c r="K830" s="1" t="s">
        <v>28</v>
      </c>
      <c r="L830" s="1" t="str">
        <f t="shared" si="164"/>
        <v>20220905</v>
      </c>
      <c r="M830" s="1" t="str">
        <f>"125141"</f>
        <v>125141</v>
      </c>
      <c r="N830" s="1" t="s">
        <v>34</v>
      </c>
      <c r="O830" s="1" t="s">
        <v>34</v>
      </c>
      <c r="P830" s="1" t="s">
        <v>55</v>
      </c>
      <c r="Q830" s="1">
        <v>25</v>
      </c>
      <c r="R830" s="1">
        <v>0</v>
      </c>
      <c r="S830" s="1">
        <v>25</v>
      </c>
      <c r="T830" s="1">
        <v>0</v>
      </c>
      <c r="U830" s="1">
        <v>0</v>
      </c>
      <c r="V830" s="1" t="str">
        <f t="shared" si="163"/>
        <v>里程去程</v>
      </c>
      <c r="W830" s="1" t="str">
        <f>"0820"</f>
        <v>0820</v>
      </c>
      <c r="X830" s="1" t="s">
        <v>35</v>
      </c>
    </row>
    <row r="831" spans="1:24" x14ac:dyDescent="0.3">
      <c r="A831" s="1" t="str">
        <f t="shared" si="161"/>
        <v>59823</v>
      </c>
      <c r="B831" s="1" t="s">
        <v>36</v>
      </c>
      <c r="C831" s="1" t="s">
        <v>37</v>
      </c>
      <c r="D831" s="1" t="str">
        <f t="shared" si="162"/>
        <v>9803</v>
      </c>
      <c r="E831" s="1" t="s">
        <v>32</v>
      </c>
      <c r="F831" s="1" t="str">
        <f>"673998261"</f>
        <v>673998261</v>
      </c>
      <c r="G831" s="1" t="s">
        <v>33</v>
      </c>
      <c r="H831" s="1" t="str">
        <f t="shared" si="159"/>
        <v>20220905</v>
      </c>
      <c r="I831" s="1" t="str">
        <f>"122839"</f>
        <v>122839</v>
      </c>
      <c r="J831" s="1" t="s">
        <v>28</v>
      </c>
      <c r="K831" s="1" t="s">
        <v>28</v>
      </c>
      <c r="L831" s="1" t="str">
        <f t="shared" si="164"/>
        <v>20220905</v>
      </c>
      <c r="M831" s="1" t="str">
        <f>"125143"</f>
        <v>125143</v>
      </c>
      <c r="N831" s="1" t="s">
        <v>34</v>
      </c>
      <c r="O831" s="1" t="s">
        <v>34</v>
      </c>
      <c r="P831" s="1" t="s">
        <v>55</v>
      </c>
      <c r="Q831" s="1">
        <v>25</v>
      </c>
      <c r="R831" s="1">
        <v>25</v>
      </c>
      <c r="S831" s="1">
        <v>0</v>
      </c>
      <c r="T831" s="1">
        <v>0</v>
      </c>
      <c r="U831" s="1">
        <v>0</v>
      </c>
      <c r="V831" s="1" t="str">
        <f t="shared" si="163"/>
        <v>里程去程</v>
      </c>
      <c r="W831" s="1" t="str">
        <f>"1120"</f>
        <v>1120</v>
      </c>
      <c r="X831" s="1" t="s">
        <v>35</v>
      </c>
    </row>
    <row r="832" spans="1:24" x14ac:dyDescent="0.3">
      <c r="A832" s="1" t="str">
        <f t="shared" si="161"/>
        <v>59823</v>
      </c>
      <c r="B832" s="1" t="s">
        <v>36</v>
      </c>
      <c r="C832" s="1" t="s">
        <v>37</v>
      </c>
      <c r="D832" s="1" t="str">
        <f t="shared" si="162"/>
        <v>9803</v>
      </c>
      <c r="E832" s="1" t="s">
        <v>32</v>
      </c>
      <c r="F832" s="1" t="str">
        <f>"1110941477"</f>
        <v>1110941477</v>
      </c>
      <c r="G832" s="1" t="s">
        <v>38</v>
      </c>
      <c r="H832" s="1" t="str">
        <f t="shared" si="159"/>
        <v>20220905</v>
      </c>
      <c r="I832" s="1" t="str">
        <f>"122843"</f>
        <v>122843</v>
      </c>
      <c r="J832" s="1" t="s">
        <v>28</v>
      </c>
      <c r="K832" s="1" t="s">
        <v>28</v>
      </c>
      <c r="L832" s="1" t="str">
        <f t="shared" si="164"/>
        <v>20220905</v>
      </c>
      <c r="M832" s="1" t="str">
        <f>"125150"</f>
        <v>125150</v>
      </c>
      <c r="N832" s="1" t="s">
        <v>34</v>
      </c>
      <c r="O832" s="1" t="s">
        <v>34</v>
      </c>
      <c r="P832" s="1" t="s">
        <v>55</v>
      </c>
      <c r="Q832" s="1">
        <v>25</v>
      </c>
      <c r="R832" s="1">
        <v>25</v>
      </c>
      <c r="S832" s="1">
        <v>0</v>
      </c>
      <c r="T832" s="1">
        <v>0</v>
      </c>
      <c r="U832" s="1">
        <v>0</v>
      </c>
      <c r="V832" s="1" t="str">
        <f t="shared" si="163"/>
        <v>里程去程</v>
      </c>
      <c r="W832" s="1" t="str">
        <f>"0920"</f>
        <v>0920</v>
      </c>
      <c r="X832" s="1" t="s">
        <v>35</v>
      </c>
    </row>
    <row r="833" spans="1:24" x14ac:dyDescent="0.3">
      <c r="A833" s="1" t="str">
        <f t="shared" si="161"/>
        <v>59823</v>
      </c>
      <c r="B833" s="1" t="s">
        <v>36</v>
      </c>
      <c r="C833" s="1" t="s">
        <v>37</v>
      </c>
      <c r="D833" s="1" t="str">
        <f t="shared" si="162"/>
        <v>9803</v>
      </c>
      <c r="E833" s="1" t="s">
        <v>32</v>
      </c>
      <c r="F833" s="1" t="str">
        <f>"1110547429"</f>
        <v>1110547429</v>
      </c>
      <c r="G833" s="1" t="s">
        <v>38</v>
      </c>
      <c r="H833" s="1" t="str">
        <f t="shared" si="159"/>
        <v>20220905</v>
      </c>
      <c r="I833" s="1" t="str">
        <f>"122847"</f>
        <v>122847</v>
      </c>
      <c r="J833" s="1" t="s">
        <v>28</v>
      </c>
      <c r="K833" s="1" t="s">
        <v>28</v>
      </c>
      <c r="L833" s="1" t="str">
        <f t="shared" si="164"/>
        <v>20220905</v>
      </c>
      <c r="M833" s="1" t="str">
        <f>"125146"</f>
        <v>125146</v>
      </c>
      <c r="N833" s="1" t="s">
        <v>34</v>
      </c>
      <c r="O833" s="1" t="s">
        <v>34</v>
      </c>
      <c r="P833" s="1" t="s">
        <v>55</v>
      </c>
      <c r="Q833" s="1">
        <v>25</v>
      </c>
      <c r="R833" s="1">
        <v>0</v>
      </c>
      <c r="S833" s="1">
        <v>25</v>
      </c>
      <c r="T833" s="1">
        <v>0</v>
      </c>
      <c r="U833" s="1">
        <v>0</v>
      </c>
      <c r="V833" s="1" t="str">
        <f t="shared" si="163"/>
        <v>里程去程</v>
      </c>
      <c r="W833" s="1" t="str">
        <f>"0820"</f>
        <v>0820</v>
      </c>
      <c r="X833" s="1" t="s">
        <v>35</v>
      </c>
    </row>
    <row r="834" spans="1:24" x14ac:dyDescent="0.3">
      <c r="A834" s="1" t="str">
        <f t="shared" si="161"/>
        <v>59823</v>
      </c>
      <c r="B834" s="1" t="s">
        <v>36</v>
      </c>
      <c r="C834" s="1" t="s">
        <v>37</v>
      </c>
      <c r="D834" s="1" t="str">
        <f t="shared" si="162"/>
        <v>9803</v>
      </c>
      <c r="E834" s="1" t="s">
        <v>32</v>
      </c>
      <c r="F834" s="1" t="str">
        <f>"1711690405"</f>
        <v>1711690405</v>
      </c>
      <c r="G834" s="1" t="s">
        <v>33</v>
      </c>
      <c r="H834" s="1" t="str">
        <f t="shared" si="159"/>
        <v>20220905</v>
      </c>
      <c r="I834" s="1" t="str">
        <f>"122852"</f>
        <v>122852</v>
      </c>
      <c r="J834" s="1" t="s">
        <v>28</v>
      </c>
      <c r="K834" s="1" t="s">
        <v>28</v>
      </c>
      <c r="L834" s="1" t="str">
        <f t="shared" si="164"/>
        <v>20220905</v>
      </c>
      <c r="M834" s="1" t="str">
        <f>"125124"</f>
        <v>125124</v>
      </c>
      <c r="N834" s="1" t="s">
        <v>34</v>
      </c>
      <c r="O834" s="1" t="s">
        <v>34</v>
      </c>
      <c r="P834" s="1" t="s">
        <v>55</v>
      </c>
      <c r="Q834" s="1">
        <v>25</v>
      </c>
      <c r="R834" s="1">
        <v>0</v>
      </c>
      <c r="S834" s="1">
        <v>25</v>
      </c>
      <c r="T834" s="1">
        <v>0</v>
      </c>
      <c r="U834" s="1">
        <v>0</v>
      </c>
      <c r="V834" s="1" t="str">
        <f t="shared" si="163"/>
        <v>里程去程</v>
      </c>
      <c r="W834" s="1" t="str">
        <f>"0820"</f>
        <v>0820</v>
      </c>
      <c r="X834" s="1" t="s">
        <v>35</v>
      </c>
    </row>
    <row r="835" spans="1:24" x14ac:dyDescent="0.3">
      <c r="A835" s="1" t="str">
        <f t="shared" si="161"/>
        <v>59823</v>
      </c>
      <c r="B835" s="1" t="s">
        <v>36</v>
      </c>
      <c r="C835" s="1" t="s">
        <v>37</v>
      </c>
      <c r="D835" s="1" t="str">
        <f t="shared" si="162"/>
        <v>9803</v>
      </c>
      <c r="E835" s="1" t="s">
        <v>32</v>
      </c>
      <c r="F835" s="1" t="str">
        <f>"595948609"</f>
        <v>595948609</v>
      </c>
      <c r="G835" s="1" t="s">
        <v>33</v>
      </c>
      <c r="H835" s="1" t="str">
        <f t="shared" si="159"/>
        <v>20220905</v>
      </c>
      <c r="I835" s="1" t="str">
        <f>"122856"</f>
        <v>122856</v>
      </c>
      <c r="J835" s="1" t="s">
        <v>28</v>
      </c>
      <c r="K835" s="1" t="s">
        <v>28</v>
      </c>
      <c r="L835" s="1" t="str">
        <f t="shared" si="164"/>
        <v>20220905</v>
      </c>
      <c r="M835" s="1" t="str">
        <f>"125154"</f>
        <v>125154</v>
      </c>
      <c r="N835" s="1" t="s">
        <v>34</v>
      </c>
      <c r="O835" s="1" t="s">
        <v>34</v>
      </c>
      <c r="P835" s="1" t="s">
        <v>55</v>
      </c>
      <c r="Q835" s="1">
        <v>25</v>
      </c>
      <c r="R835" s="1">
        <v>25</v>
      </c>
      <c r="S835" s="1">
        <v>0</v>
      </c>
      <c r="T835" s="1">
        <v>0</v>
      </c>
      <c r="U835" s="1">
        <v>0</v>
      </c>
      <c r="V835" s="1" t="str">
        <f t="shared" si="163"/>
        <v>里程去程</v>
      </c>
      <c r="W835" s="1" t="str">
        <f>"0120"</f>
        <v>0120</v>
      </c>
      <c r="X835" s="1" t="s">
        <v>35</v>
      </c>
    </row>
    <row r="836" spans="1:24" x14ac:dyDescent="0.3">
      <c r="A836" s="1" t="str">
        <f t="shared" si="161"/>
        <v>59823</v>
      </c>
      <c r="B836" s="1" t="s">
        <v>36</v>
      </c>
      <c r="C836" s="1" t="s">
        <v>37</v>
      </c>
      <c r="D836" s="1" t="str">
        <f t="shared" si="162"/>
        <v>9803</v>
      </c>
      <c r="E836" s="1" t="s">
        <v>32</v>
      </c>
      <c r="F836" s="1" t="str">
        <f>"7311190259003868"</f>
        <v>7311190259003868</v>
      </c>
      <c r="G836" s="1" t="s">
        <v>33</v>
      </c>
      <c r="H836" s="1" t="str">
        <f t="shared" si="159"/>
        <v>20220905</v>
      </c>
      <c r="I836" s="1" t="str">
        <f>"122901"</f>
        <v>122901</v>
      </c>
      <c r="J836" s="1" t="s">
        <v>28</v>
      </c>
      <c r="K836" s="1" t="s">
        <v>28</v>
      </c>
      <c r="L836" s="1" t="str">
        <f t="shared" si="164"/>
        <v>20220905</v>
      </c>
      <c r="M836" s="1" t="str">
        <f>"125138"</f>
        <v>125138</v>
      </c>
      <c r="N836" s="1" t="s">
        <v>34</v>
      </c>
      <c r="O836" s="1" t="s">
        <v>34</v>
      </c>
      <c r="P836" s="1" t="s">
        <v>55</v>
      </c>
      <c r="Q836" s="1">
        <v>25</v>
      </c>
      <c r="R836" s="1">
        <v>25</v>
      </c>
      <c r="S836" s="1">
        <v>0</v>
      </c>
      <c r="T836" s="1">
        <v>0</v>
      </c>
      <c r="U836" s="1">
        <v>0</v>
      </c>
      <c r="V836" s="1" t="str">
        <f t="shared" si="163"/>
        <v>里程去程</v>
      </c>
      <c r="W836" s="1" t="str">
        <f>"093B"</f>
        <v>093B</v>
      </c>
      <c r="X836" s="1" t="s">
        <v>109</v>
      </c>
    </row>
    <row r="837" spans="1:24" x14ac:dyDescent="0.3">
      <c r="A837" s="1" t="str">
        <f t="shared" si="161"/>
        <v>59823</v>
      </c>
      <c r="B837" s="1" t="s">
        <v>36</v>
      </c>
      <c r="C837" s="1" t="s">
        <v>37</v>
      </c>
      <c r="D837" s="1" t="str">
        <f t="shared" si="162"/>
        <v>9803</v>
      </c>
      <c r="E837" s="1" t="s">
        <v>32</v>
      </c>
      <c r="F837" s="1" t="str">
        <f>"1112569621"</f>
        <v>1112569621</v>
      </c>
      <c r="G837" s="1" t="s">
        <v>38</v>
      </c>
      <c r="H837" s="1" t="str">
        <f t="shared" si="159"/>
        <v>20220905</v>
      </c>
      <c r="I837" s="1" t="str">
        <f>"122912"</f>
        <v>122912</v>
      </c>
      <c r="J837" s="1" t="s">
        <v>28</v>
      </c>
      <c r="K837" s="1" t="s">
        <v>28</v>
      </c>
      <c r="L837" s="1" t="str">
        <f t="shared" si="164"/>
        <v>20220905</v>
      </c>
      <c r="M837" s="1" t="str">
        <f>"125152"</f>
        <v>125152</v>
      </c>
      <c r="N837" s="1" t="s">
        <v>34</v>
      </c>
      <c r="O837" s="1" t="s">
        <v>34</v>
      </c>
      <c r="P837" s="1" t="s">
        <v>55</v>
      </c>
      <c r="Q837" s="1">
        <v>25</v>
      </c>
      <c r="R837" s="1">
        <v>25</v>
      </c>
      <c r="S837" s="1">
        <v>0</v>
      </c>
      <c r="T837" s="1">
        <v>0</v>
      </c>
      <c r="U837" s="1">
        <v>0</v>
      </c>
      <c r="V837" s="1" t="str">
        <f t="shared" si="163"/>
        <v>里程去程</v>
      </c>
      <c r="W837" s="1" t="str">
        <f>"2320"</f>
        <v>2320</v>
      </c>
      <c r="X837" s="1" t="s">
        <v>35</v>
      </c>
    </row>
    <row r="838" spans="1:24" x14ac:dyDescent="0.3">
      <c r="A838" s="1" t="str">
        <f t="shared" si="161"/>
        <v>59823</v>
      </c>
      <c r="B838" s="1" t="s">
        <v>36</v>
      </c>
      <c r="C838" s="1" t="s">
        <v>37</v>
      </c>
      <c r="D838" s="1" t="str">
        <f t="shared" si="162"/>
        <v>9803</v>
      </c>
      <c r="E838" s="1" t="s">
        <v>32</v>
      </c>
      <c r="F838" s="1" t="str">
        <f>"C2D1B811BA28040080CEBCD141912418"</f>
        <v>C2D1B811BA28040080CEBCD141912418</v>
      </c>
      <c r="G838" s="1" t="s">
        <v>59</v>
      </c>
      <c r="H838" s="1" t="str">
        <f t="shared" si="159"/>
        <v>20220905</v>
      </c>
      <c r="I838" s="1" t="str">
        <f>"122921"</f>
        <v>122921</v>
      </c>
      <c r="J838" s="1" t="s">
        <v>28</v>
      </c>
      <c r="K838" s="1" t="s">
        <v>28</v>
      </c>
      <c r="L838" s="1" t="str">
        <f t="shared" si="164"/>
        <v>20220905</v>
      </c>
      <c r="M838" s="1" t="str">
        <f>"125117"</f>
        <v>125117</v>
      </c>
      <c r="N838" s="1" t="s">
        <v>34</v>
      </c>
      <c r="O838" s="1" t="s">
        <v>34</v>
      </c>
      <c r="P838" s="1" t="s">
        <v>55</v>
      </c>
      <c r="Q838" s="1">
        <v>25</v>
      </c>
      <c r="R838" s="1">
        <v>25</v>
      </c>
      <c r="S838" s="1">
        <v>0</v>
      </c>
      <c r="T838" s="1">
        <v>0</v>
      </c>
      <c r="U838" s="1">
        <v>0</v>
      </c>
      <c r="V838" s="1" t="str">
        <f t="shared" si="163"/>
        <v>里程去程</v>
      </c>
      <c r="W838" s="1" t="str">
        <f>"0020"</f>
        <v>0020</v>
      </c>
      <c r="X838" s="1" t="s">
        <v>29</v>
      </c>
    </row>
    <row r="839" spans="1:24" x14ac:dyDescent="0.3">
      <c r="A839" s="1" t="str">
        <f t="shared" si="161"/>
        <v>59823</v>
      </c>
      <c r="B839" s="1" t="s">
        <v>36</v>
      </c>
      <c r="C839" s="1" t="s">
        <v>37</v>
      </c>
      <c r="D839" s="1" t="str">
        <f t="shared" si="162"/>
        <v>9803</v>
      </c>
      <c r="E839" s="1" t="s">
        <v>32</v>
      </c>
      <c r="F839" s="1" t="str">
        <f>"B10553E4038804004323C40E00190B0D"</f>
        <v>B10553E4038804004323C40E00190B0D</v>
      </c>
      <c r="G839" s="1" t="s">
        <v>58</v>
      </c>
      <c r="H839" s="1" t="str">
        <f t="shared" si="159"/>
        <v>20220905</v>
      </c>
      <c r="I839" s="1" t="str">
        <f>"122939"</f>
        <v>122939</v>
      </c>
      <c r="J839" s="1" t="s">
        <v>28</v>
      </c>
      <c r="K839" s="1" t="s">
        <v>28</v>
      </c>
      <c r="L839" s="1" t="str">
        <f t="shared" si="164"/>
        <v>20220905</v>
      </c>
      <c r="M839" s="1" t="str">
        <f>"125106"</f>
        <v>125106</v>
      </c>
      <c r="N839" s="1" t="s">
        <v>34</v>
      </c>
      <c r="O839" s="1" t="s">
        <v>34</v>
      </c>
      <c r="P839" s="1" t="s">
        <v>55</v>
      </c>
      <c r="Q839" s="1">
        <v>25</v>
      </c>
      <c r="R839" s="1">
        <v>25</v>
      </c>
      <c r="S839" s="1">
        <v>0</v>
      </c>
      <c r="T839" s="1">
        <v>0</v>
      </c>
      <c r="U839" s="1">
        <v>0</v>
      </c>
      <c r="V839" s="1" t="str">
        <f t="shared" si="163"/>
        <v>里程去程</v>
      </c>
      <c r="W839" s="1" t="str">
        <f>"0020"</f>
        <v>0020</v>
      </c>
      <c r="X839" s="1" t="s">
        <v>29</v>
      </c>
    </row>
    <row r="840" spans="1:24" x14ac:dyDescent="0.3">
      <c r="A840" s="1" t="str">
        <f t="shared" si="161"/>
        <v>59823</v>
      </c>
      <c r="B840" s="1" t="s">
        <v>36</v>
      </c>
      <c r="C840" s="1" t="s">
        <v>37</v>
      </c>
      <c r="D840" s="1" t="str">
        <f t="shared" si="162"/>
        <v>9803</v>
      </c>
      <c r="E840" s="1" t="s">
        <v>32</v>
      </c>
      <c r="F840" s="1" t="str">
        <f>"612707375"</f>
        <v>612707375</v>
      </c>
      <c r="G840" s="1" t="s">
        <v>33</v>
      </c>
      <c r="H840" s="1" t="str">
        <f t="shared" si="159"/>
        <v>20220905</v>
      </c>
      <c r="I840" s="1" t="str">
        <f>"122941"</f>
        <v>122941</v>
      </c>
      <c r="J840" s="1" t="s">
        <v>28</v>
      </c>
      <c r="K840" s="1" t="s">
        <v>28</v>
      </c>
      <c r="L840" s="1" t="str">
        <f t="shared" si="164"/>
        <v>20220905</v>
      </c>
      <c r="M840" s="1" t="str">
        <f>"125054"</f>
        <v>125054</v>
      </c>
      <c r="N840" s="1" t="s">
        <v>34</v>
      </c>
      <c r="O840" s="1" t="s">
        <v>34</v>
      </c>
      <c r="P840" s="1" t="s">
        <v>55</v>
      </c>
      <c r="Q840" s="1">
        <v>25</v>
      </c>
      <c r="R840" s="1">
        <v>25</v>
      </c>
      <c r="S840" s="1">
        <v>0</v>
      </c>
      <c r="T840" s="1">
        <v>0</v>
      </c>
      <c r="U840" s="1">
        <v>0</v>
      </c>
      <c r="V840" s="1" t="str">
        <f t="shared" si="163"/>
        <v>里程去程</v>
      </c>
      <c r="W840" s="1" t="str">
        <f>"0820"</f>
        <v>0820</v>
      </c>
      <c r="X840" s="1" t="s">
        <v>35</v>
      </c>
    </row>
    <row r="841" spans="1:24" x14ac:dyDescent="0.3">
      <c r="A841" s="1" t="str">
        <f t="shared" si="161"/>
        <v>59823</v>
      </c>
      <c r="B841" s="1" t="s">
        <v>36</v>
      </c>
      <c r="C841" s="1" t="s">
        <v>37</v>
      </c>
      <c r="D841" s="1" t="str">
        <f t="shared" si="162"/>
        <v>9803</v>
      </c>
      <c r="E841" s="1" t="s">
        <v>32</v>
      </c>
      <c r="F841" s="1" t="str">
        <f>"1231214229"</f>
        <v>1231214229</v>
      </c>
      <c r="G841" s="1" t="s">
        <v>33</v>
      </c>
      <c r="H841" s="1" t="str">
        <f t="shared" si="159"/>
        <v>20220905</v>
      </c>
      <c r="I841" s="1" t="str">
        <f>"122948"</f>
        <v>122948</v>
      </c>
      <c r="J841" s="1" t="s">
        <v>28</v>
      </c>
      <c r="K841" s="1" t="s">
        <v>28</v>
      </c>
      <c r="L841" s="1" t="str">
        <f t="shared" si="164"/>
        <v>20220905</v>
      </c>
      <c r="M841" s="1" t="str">
        <f>"125103"</f>
        <v>125103</v>
      </c>
      <c r="N841" s="1" t="s">
        <v>34</v>
      </c>
      <c r="O841" s="1" t="s">
        <v>34</v>
      </c>
      <c r="P841" s="1" t="s">
        <v>55</v>
      </c>
      <c r="Q841" s="1">
        <v>25</v>
      </c>
      <c r="R841" s="1">
        <v>25</v>
      </c>
      <c r="S841" s="1">
        <v>0</v>
      </c>
      <c r="T841" s="1">
        <v>0</v>
      </c>
      <c r="U841" s="1">
        <v>0</v>
      </c>
      <c r="V841" s="1" t="str">
        <f t="shared" si="163"/>
        <v>里程去程</v>
      </c>
      <c r="W841" s="1" t="str">
        <f>"0820"</f>
        <v>0820</v>
      </c>
      <c r="X841" s="1" t="s">
        <v>35</v>
      </c>
    </row>
    <row r="842" spans="1:24" x14ac:dyDescent="0.3">
      <c r="A842" s="1" t="str">
        <f t="shared" si="161"/>
        <v>59823</v>
      </c>
      <c r="B842" s="1" t="s">
        <v>36</v>
      </c>
      <c r="C842" s="1" t="s">
        <v>37</v>
      </c>
      <c r="D842" s="1" t="str">
        <f t="shared" si="162"/>
        <v>9803</v>
      </c>
      <c r="E842" s="1" t="s">
        <v>32</v>
      </c>
      <c r="F842" s="1" t="str">
        <f>"1729327041"</f>
        <v>1729327041</v>
      </c>
      <c r="G842" s="1" t="s">
        <v>38</v>
      </c>
      <c r="H842" s="1" t="str">
        <f t="shared" si="159"/>
        <v>20220905</v>
      </c>
      <c r="I842" s="1" t="str">
        <f>"122950"</f>
        <v>122950</v>
      </c>
      <c r="J842" s="1" t="s">
        <v>28</v>
      </c>
      <c r="K842" s="1" t="s">
        <v>28</v>
      </c>
      <c r="L842" s="1" t="str">
        <f t="shared" si="164"/>
        <v>20220905</v>
      </c>
      <c r="M842" s="1" t="str">
        <f>"125100"</f>
        <v>125100</v>
      </c>
      <c r="N842" s="1" t="s">
        <v>34</v>
      </c>
      <c r="O842" s="1" t="s">
        <v>34</v>
      </c>
      <c r="P842" s="1" t="s">
        <v>55</v>
      </c>
      <c r="Q842" s="1">
        <v>25</v>
      </c>
      <c r="R842" s="1">
        <v>25</v>
      </c>
      <c r="S842" s="1">
        <v>0</v>
      </c>
      <c r="T842" s="1">
        <v>0</v>
      </c>
      <c r="U842" s="1">
        <v>0</v>
      </c>
      <c r="V842" s="1" t="str">
        <f t="shared" si="163"/>
        <v>里程去程</v>
      </c>
      <c r="W842" s="1" t="str">
        <f>"0820"</f>
        <v>0820</v>
      </c>
      <c r="X842" s="1" t="s">
        <v>35</v>
      </c>
    </row>
    <row r="843" spans="1:24" x14ac:dyDescent="0.3">
      <c r="A843" s="1" t="str">
        <f t="shared" si="161"/>
        <v>59823</v>
      </c>
      <c r="B843" s="1" t="s">
        <v>36</v>
      </c>
      <c r="C843" s="1" t="s">
        <v>37</v>
      </c>
      <c r="D843" s="1" t="str">
        <f t="shared" si="162"/>
        <v>9803</v>
      </c>
      <c r="E843" s="1" t="s">
        <v>32</v>
      </c>
      <c r="F843" s="1" t="str">
        <f>"857486677"</f>
        <v>857486677</v>
      </c>
      <c r="G843" s="1" t="s">
        <v>33</v>
      </c>
      <c r="H843" s="1" t="str">
        <f t="shared" si="159"/>
        <v>20220905</v>
      </c>
      <c r="I843" s="1" t="str">
        <f>"122957"</f>
        <v>122957</v>
      </c>
      <c r="J843" s="1" t="s">
        <v>28</v>
      </c>
      <c r="K843" s="1" t="s">
        <v>28</v>
      </c>
      <c r="L843" s="1" t="str">
        <f t="shared" si="164"/>
        <v>20220905</v>
      </c>
      <c r="M843" s="1" t="str">
        <f>"125041"</f>
        <v>125041</v>
      </c>
      <c r="N843" s="1" t="s">
        <v>34</v>
      </c>
      <c r="O843" s="1" t="s">
        <v>34</v>
      </c>
      <c r="P843" s="1" t="s">
        <v>55</v>
      </c>
      <c r="Q843" s="1">
        <v>25</v>
      </c>
      <c r="R843" s="1">
        <v>25</v>
      </c>
      <c r="S843" s="1">
        <v>0</v>
      </c>
      <c r="T843" s="1">
        <v>0</v>
      </c>
      <c r="U843" s="1">
        <v>0</v>
      </c>
      <c r="V843" s="1" t="str">
        <f t="shared" si="163"/>
        <v>里程去程</v>
      </c>
      <c r="W843" s="1" t="str">
        <f>"0120"</f>
        <v>0120</v>
      </c>
      <c r="X843" s="1" t="s">
        <v>35</v>
      </c>
    </row>
    <row r="844" spans="1:24" x14ac:dyDescent="0.3">
      <c r="A844" s="1" t="str">
        <f t="shared" si="161"/>
        <v>59823</v>
      </c>
      <c r="B844" s="1" t="s">
        <v>36</v>
      </c>
      <c r="C844" s="1" t="s">
        <v>37</v>
      </c>
      <c r="D844" s="1" t="str">
        <f t="shared" si="162"/>
        <v>9803</v>
      </c>
      <c r="E844" s="1" t="s">
        <v>32</v>
      </c>
      <c r="F844" s="1" t="str">
        <f>"1056100325"</f>
        <v>1056100325</v>
      </c>
      <c r="G844" s="1" t="s">
        <v>33</v>
      </c>
      <c r="H844" s="1" t="str">
        <f t="shared" si="159"/>
        <v>20220905</v>
      </c>
      <c r="I844" s="1" t="str">
        <f>"123011"</f>
        <v>123011</v>
      </c>
      <c r="J844" s="1" t="s">
        <v>28</v>
      </c>
      <c r="K844" s="1" t="s">
        <v>28</v>
      </c>
      <c r="L844" s="1" t="str">
        <f t="shared" si="164"/>
        <v>20220905</v>
      </c>
      <c r="M844" s="1" t="str">
        <f>"125049"</f>
        <v>125049</v>
      </c>
      <c r="N844" s="1" t="s">
        <v>34</v>
      </c>
      <c r="O844" s="1" t="s">
        <v>34</v>
      </c>
      <c r="P844" s="1" t="s">
        <v>55</v>
      </c>
      <c r="Q844" s="1">
        <v>25</v>
      </c>
      <c r="R844" s="1">
        <v>25</v>
      </c>
      <c r="S844" s="1">
        <v>0</v>
      </c>
      <c r="T844" s="1">
        <v>0</v>
      </c>
      <c r="U844" s="1">
        <v>0</v>
      </c>
      <c r="V844" s="1" t="str">
        <f t="shared" si="163"/>
        <v>里程去程</v>
      </c>
      <c r="W844" s="1" t="str">
        <f>"0e20"</f>
        <v>0e20</v>
      </c>
      <c r="X844" s="1" t="s">
        <v>35</v>
      </c>
    </row>
    <row r="845" spans="1:24" x14ac:dyDescent="0.3">
      <c r="A845" s="1" t="str">
        <f t="shared" si="161"/>
        <v>59823</v>
      </c>
      <c r="B845" s="1" t="s">
        <v>36</v>
      </c>
      <c r="C845" s="1" t="s">
        <v>37</v>
      </c>
      <c r="D845" s="1" t="str">
        <f t="shared" si="162"/>
        <v>9803</v>
      </c>
      <c r="E845" s="1" t="s">
        <v>32</v>
      </c>
      <c r="F845" s="1" t="str">
        <f>"01C51E18C2280400F700000000000000"</f>
        <v>01C51E18C2280400F700000000000000</v>
      </c>
      <c r="G845" s="1" t="s">
        <v>58</v>
      </c>
      <c r="H845" s="1" t="str">
        <f t="shared" si="159"/>
        <v>20220905</v>
      </c>
      <c r="I845" s="1" t="str">
        <f>"123018"</f>
        <v>123018</v>
      </c>
      <c r="J845" s="1" t="s">
        <v>28</v>
      </c>
      <c r="K845" s="1" t="s">
        <v>28</v>
      </c>
      <c r="L845" s="1" t="str">
        <f t="shared" si="164"/>
        <v>20220905</v>
      </c>
      <c r="M845" s="1" t="str">
        <f>"125038"</f>
        <v>125038</v>
      </c>
      <c r="N845" s="1" t="s">
        <v>34</v>
      </c>
      <c r="O845" s="1" t="s">
        <v>34</v>
      </c>
      <c r="P845" s="1" t="s">
        <v>55</v>
      </c>
      <c r="Q845" s="1">
        <v>25</v>
      </c>
      <c r="R845" s="1">
        <v>0</v>
      </c>
      <c r="S845" s="1">
        <v>25</v>
      </c>
      <c r="T845" s="1">
        <v>0</v>
      </c>
      <c r="U845" s="1">
        <v>0</v>
      </c>
      <c r="V845" s="1" t="str">
        <f t="shared" si="163"/>
        <v>里程去程</v>
      </c>
      <c r="W845" s="1" t="str">
        <f>"0620"</f>
        <v>0620</v>
      </c>
      <c r="X845" s="1" t="s">
        <v>29</v>
      </c>
    </row>
    <row r="846" spans="1:24" x14ac:dyDescent="0.3">
      <c r="A846" s="1" t="str">
        <f t="shared" si="161"/>
        <v>59823</v>
      </c>
      <c r="B846" s="1" t="s">
        <v>36</v>
      </c>
      <c r="C846" s="1" t="s">
        <v>37</v>
      </c>
      <c r="D846" s="1" t="str">
        <f t="shared" si="162"/>
        <v>9803</v>
      </c>
      <c r="E846" s="1" t="s">
        <v>32</v>
      </c>
      <c r="F846" s="1" t="str">
        <f>"1230289381"</f>
        <v>1230289381</v>
      </c>
      <c r="G846" s="1" t="s">
        <v>38</v>
      </c>
      <c r="H846" s="1" t="str">
        <f t="shared" si="159"/>
        <v>20220905</v>
      </c>
      <c r="I846" s="1" t="str">
        <f>"123026"</f>
        <v>123026</v>
      </c>
      <c r="J846" s="1" t="s">
        <v>28</v>
      </c>
      <c r="K846" s="1" t="s">
        <v>28</v>
      </c>
      <c r="L846" s="1" t="str">
        <f t="shared" si="164"/>
        <v>20220905</v>
      </c>
      <c r="M846" s="1" t="str">
        <f>"125033"</f>
        <v>125033</v>
      </c>
      <c r="N846" s="1" t="s">
        <v>34</v>
      </c>
      <c r="O846" s="1" t="s">
        <v>34</v>
      </c>
      <c r="P846" s="1" t="s">
        <v>55</v>
      </c>
      <c r="Q846" s="1">
        <v>25</v>
      </c>
      <c r="R846" s="1">
        <v>0</v>
      </c>
      <c r="S846" s="1">
        <v>25</v>
      </c>
      <c r="T846" s="1">
        <v>0</v>
      </c>
      <c r="U846" s="1">
        <v>0</v>
      </c>
      <c r="V846" s="1" t="str">
        <f t="shared" si="163"/>
        <v>里程去程</v>
      </c>
      <c r="W846" s="1" t="str">
        <f>"0820"</f>
        <v>0820</v>
      </c>
      <c r="X846" s="1" t="s">
        <v>35</v>
      </c>
    </row>
    <row r="847" spans="1:24" x14ac:dyDescent="0.3">
      <c r="A847" s="1" t="str">
        <f t="shared" si="161"/>
        <v>59823</v>
      </c>
      <c r="B847" s="1" t="s">
        <v>36</v>
      </c>
      <c r="C847" s="1" t="s">
        <v>37</v>
      </c>
      <c r="D847" s="1" t="str">
        <f t="shared" si="162"/>
        <v>9803</v>
      </c>
      <c r="E847" s="1" t="s">
        <v>32</v>
      </c>
      <c r="F847" s="1" t="str">
        <f>"1761452085"</f>
        <v>1761452085</v>
      </c>
      <c r="G847" s="1" t="s">
        <v>33</v>
      </c>
      <c r="H847" s="1" t="str">
        <f t="shared" si="159"/>
        <v>20220905</v>
      </c>
      <c r="I847" s="1" t="str">
        <f>"123029"</f>
        <v>123029</v>
      </c>
      <c r="J847" s="1" t="s">
        <v>28</v>
      </c>
      <c r="K847" s="1" t="s">
        <v>28</v>
      </c>
      <c r="L847" s="1" t="str">
        <f t="shared" si="164"/>
        <v>20220905</v>
      </c>
      <c r="M847" s="1" t="str">
        <f>"125028"</f>
        <v>125028</v>
      </c>
      <c r="N847" s="1" t="s">
        <v>34</v>
      </c>
      <c r="O847" s="1" t="s">
        <v>34</v>
      </c>
      <c r="P847" s="1" t="s">
        <v>55</v>
      </c>
      <c r="Q847" s="1">
        <v>25</v>
      </c>
      <c r="R847" s="1">
        <v>0</v>
      </c>
      <c r="S847" s="1">
        <v>25</v>
      </c>
      <c r="T847" s="1">
        <v>0</v>
      </c>
      <c r="U847" s="1">
        <v>0</v>
      </c>
      <c r="V847" s="1" t="str">
        <f t="shared" si="163"/>
        <v>里程去程</v>
      </c>
      <c r="W847" s="1" t="str">
        <f>"0820"</f>
        <v>0820</v>
      </c>
      <c r="X847" s="1" t="s">
        <v>35</v>
      </c>
    </row>
    <row r="848" spans="1:24" x14ac:dyDescent="0.3">
      <c r="A848" s="1" t="str">
        <f t="shared" si="161"/>
        <v>59823</v>
      </c>
      <c r="B848" s="1" t="s">
        <v>36</v>
      </c>
      <c r="C848" s="1" t="s">
        <v>37</v>
      </c>
      <c r="D848" s="1" t="str">
        <f t="shared" si="162"/>
        <v>9803</v>
      </c>
      <c r="E848" s="1" t="s">
        <v>32</v>
      </c>
      <c r="F848" s="1" t="str">
        <f>"1259919989"</f>
        <v>1259919989</v>
      </c>
      <c r="G848" s="1" t="s">
        <v>38</v>
      </c>
      <c r="H848" s="1" t="str">
        <f t="shared" si="159"/>
        <v>20220905</v>
      </c>
      <c r="I848" s="1" t="str">
        <f>"123038"</f>
        <v>123038</v>
      </c>
      <c r="J848" s="1" t="s">
        <v>28</v>
      </c>
      <c r="K848" s="1" t="s">
        <v>28</v>
      </c>
      <c r="L848" s="1" t="str">
        <f t="shared" si="164"/>
        <v>20220905</v>
      </c>
      <c r="M848" s="1" t="str">
        <f>"125031"</f>
        <v>125031</v>
      </c>
      <c r="N848" s="1" t="s">
        <v>34</v>
      </c>
      <c r="O848" s="1" t="s">
        <v>34</v>
      </c>
      <c r="P848" s="1" t="s">
        <v>55</v>
      </c>
      <c r="Q848" s="1">
        <v>25</v>
      </c>
      <c r="R848" s="1">
        <v>0</v>
      </c>
      <c r="S848" s="1">
        <v>25</v>
      </c>
      <c r="T848" s="1">
        <v>0</v>
      </c>
      <c r="U848" s="1">
        <v>0</v>
      </c>
      <c r="V848" s="1" t="str">
        <f t="shared" si="163"/>
        <v>里程去程</v>
      </c>
      <c r="W848" s="1" t="str">
        <f>"0820"</f>
        <v>0820</v>
      </c>
      <c r="X848" s="1" t="s">
        <v>35</v>
      </c>
    </row>
    <row r="849" spans="1:24" x14ac:dyDescent="0.3">
      <c r="A849" s="1" t="str">
        <f t="shared" si="161"/>
        <v>59823</v>
      </c>
      <c r="B849" s="1" t="s">
        <v>36</v>
      </c>
      <c r="C849" s="1" t="s">
        <v>37</v>
      </c>
      <c r="D849" s="1" t="str">
        <f t="shared" si="162"/>
        <v>9803</v>
      </c>
      <c r="E849" s="1" t="s">
        <v>32</v>
      </c>
      <c r="F849" s="1" t="str">
        <f>"1260142357"</f>
        <v>1260142357</v>
      </c>
      <c r="G849" s="1" t="s">
        <v>38</v>
      </c>
      <c r="H849" s="1" t="str">
        <f t="shared" si="159"/>
        <v>20220905</v>
      </c>
      <c r="I849" s="1" t="str">
        <f>"123042"</f>
        <v>123042</v>
      </c>
      <c r="J849" s="1" t="s">
        <v>28</v>
      </c>
      <c r="K849" s="1" t="s">
        <v>28</v>
      </c>
      <c r="L849" s="1" t="str">
        <f t="shared" si="164"/>
        <v>20220905</v>
      </c>
      <c r="M849" s="1" t="str">
        <f>"125025"</f>
        <v>125025</v>
      </c>
      <c r="N849" s="1" t="s">
        <v>34</v>
      </c>
      <c r="O849" s="1" t="s">
        <v>34</v>
      </c>
      <c r="P849" s="1" t="s">
        <v>55</v>
      </c>
      <c r="Q849" s="1">
        <v>25</v>
      </c>
      <c r="R849" s="1">
        <v>25</v>
      </c>
      <c r="S849" s="1">
        <v>0</v>
      </c>
      <c r="T849" s="1">
        <v>0</v>
      </c>
      <c r="U849" s="1">
        <v>0</v>
      </c>
      <c r="V849" s="1" t="str">
        <f t="shared" si="163"/>
        <v>里程去程</v>
      </c>
      <c r="W849" s="1" t="str">
        <f>"0e20"</f>
        <v>0e20</v>
      </c>
      <c r="X849" s="1" t="s">
        <v>35</v>
      </c>
    </row>
    <row r="850" spans="1:24" x14ac:dyDescent="0.3">
      <c r="A850" s="1" t="str">
        <f t="shared" ref="A850:A868" si="165">"59823"</f>
        <v>59823</v>
      </c>
      <c r="B850" s="1" t="s">
        <v>36</v>
      </c>
      <c r="C850" s="1" t="s">
        <v>37</v>
      </c>
      <c r="D850" s="1" t="str">
        <f t="shared" si="162"/>
        <v>9803</v>
      </c>
      <c r="E850" s="1" t="s">
        <v>32</v>
      </c>
      <c r="F850" s="1" t="str">
        <f>"1986C11F418804004326A82E00030211"</f>
        <v>1986C11F418804004326A82E00030211</v>
      </c>
      <c r="G850" s="1" t="s">
        <v>58</v>
      </c>
      <c r="H850" s="1" t="str">
        <f t="shared" si="159"/>
        <v>20220905</v>
      </c>
      <c r="I850" s="1" t="str">
        <f>"123049"</f>
        <v>123049</v>
      </c>
      <c r="J850" s="1" t="s">
        <v>28</v>
      </c>
      <c r="K850" s="1" t="s">
        <v>28</v>
      </c>
      <c r="L850" s="1" t="str">
        <f t="shared" si="164"/>
        <v>20220905</v>
      </c>
      <c r="M850" s="1" t="str">
        <f>"125023"</f>
        <v>125023</v>
      </c>
      <c r="N850" s="1" t="s">
        <v>34</v>
      </c>
      <c r="O850" s="1" t="s">
        <v>34</v>
      </c>
      <c r="P850" s="1" t="s">
        <v>55</v>
      </c>
      <c r="Q850" s="1">
        <v>25</v>
      </c>
      <c r="R850" s="1">
        <v>25</v>
      </c>
      <c r="S850" s="1">
        <v>0</v>
      </c>
      <c r="T850" s="1">
        <v>0</v>
      </c>
      <c r="U850" s="1">
        <v>0</v>
      </c>
      <c r="V850" s="1" t="str">
        <f t="shared" si="163"/>
        <v>里程去程</v>
      </c>
      <c r="W850" s="1" t="str">
        <f>"0020"</f>
        <v>0020</v>
      </c>
      <c r="X850" s="1" t="s">
        <v>29</v>
      </c>
    </row>
    <row r="851" spans="1:24" x14ac:dyDescent="0.3">
      <c r="A851" s="1" t="str">
        <f t="shared" si="165"/>
        <v>59823</v>
      </c>
      <c r="B851" s="1" t="s">
        <v>36</v>
      </c>
      <c r="C851" s="1" t="s">
        <v>37</v>
      </c>
      <c r="D851" s="1" t="str">
        <f t="shared" ref="D851:D861" si="166">"9803"</f>
        <v>9803</v>
      </c>
      <c r="E851" s="1" t="s">
        <v>32</v>
      </c>
      <c r="F851" s="1" t="str">
        <f>"1260493381"</f>
        <v>1260493381</v>
      </c>
      <c r="G851" s="1" t="s">
        <v>38</v>
      </c>
      <c r="H851" s="1" t="str">
        <f t="shared" si="159"/>
        <v>20220905</v>
      </c>
      <c r="I851" s="1" t="str">
        <f>"123058"</f>
        <v>123058</v>
      </c>
      <c r="J851" s="1" t="s">
        <v>28</v>
      </c>
      <c r="K851" s="1" t="s">
        <v>28</v>
      </c>
      <c r="L851" s="1" t="str">
        <f t="shared" si="164"/>
        <v>20220905</v>
      </c>
      <c r="M851" s="1" t="str">
        <f>"125020"</f>
        <v>125020</v>
      </c>
      <c r="N851" s="1" t="s">
        <v>34</v>
      </c>
      <c r="O851" s="1" t="s">
        <v>34</v>
      </c>
      <c r="P851" s="1" t="s">
        <v>55</v>
      </c>
      <c r="Q851" s="1">
        <v>25</v>
      </c>
      <c r="R851" s="1">
        <v>0</v>
      </c>
      <c r="S851" s="1">
        <v>25</v>
      </c>
      <c r="T851" s="1">
        <v>0</v>
      </c>
      <c r="U851" s="1">
        <v>0</v>
      </c>
      <c r="V851" s="1" t="str">
        <f t="shared" si="163"/>
        <v>里程去程</v>
      </c>
      <c r="W851" s="1" t="str">
        <f>"0820"</f>
        <v>0820</v>
      </c>
      <c r="X851" s="1" t="s">
        <v>35</v>
      </c>
    </row>
    <row r="852" spans="1:24" x14ac:dyDescent="0.3">
      <c r="A852" s="1" t="str">
        <f t="shared" si="165"/>
        <v>59823</v>
      </c>
      <c r="B852" s="1" t="s">
        <v>36</v>
      </c>
      <c r="C852" s="1" t="s">
        <v>37</v>
      </c>
      <c r="D852" s="1" t="str">
        <f t="shared" si="166"/>
        <v>9803</v>
      </c>
      <c r="E852" s="1" t="s">
        <v>32</v>
      </c>
      <c r="F852" s="1" t="str">
        <f>"1264177061"</f>
        <v>1264177061</v>
      </c>
      <c r="G852" s="1" t="s">
        <v>38</v>
      </c>
      <c r="H852" s="1" t="str">
        <f t="shared" si="159"/>
        <v>20220905</v>
      </c>
      <c r="I852" s="1" t="str">
        <f>"123104"</f>
        <v>123104</v>
      </c>
      <c r="J852" s="1" t="s">
        <v>28</v>
      </c>
      <c r="K852" s="1" t="s">
        <v>28</v>
      </c>
      <c r="L852" s="1" t="str">
        <f t="shared" si="164"/>
        <v>20220905</v>
      </c>
      <c r="M852" s="1" t="str">
        <f>"125018"</f>
        <v>125018</v>
      </c>
      <c r="N852" s="1" t="s">
        <v>34</v>
      </c>
      <c r="O852" s="1" t="s">
        <v>34</v>
      </c>
      <c r="P852" s="1" t="s">
        <v>55</v>
      </c>
      <c r="Q852" s="1">
        <v>25</v>
      </c>
      <c r="R852" s="1">
        <v>0</v>
      </c>
      <c r="S852" s="1">
        <v>25</v>
      </c>
      <c r="T852" s="1">
        <v>0</v>
      </c>
      <c r="U852" s="1">
        <v>0</v>
      </c>
      <c r="V852" s="1" t="str">
        <f t="shared" si="163"/>
        <v>里程去程</v>
      </c>
      <c r="W852" s="1" t="str">
        <f>"0820"</f>
        <v>0820</v>
      </c>
      <c r="X852" s="1" t="s">
        <v>35</v>
      </c>
    </row>
    <row r="853" spans="1:24" x14ac:dyDescent="0.3">
      <c r="A853" s="1" t="str">
        <f t="shared" si="165"/>
        <v>59823</v>
      </c>
      <c r="B853" s="1" t="s">
        <v>36</v>
      </c>
      <c r="C853" s="1" t="s">
        <v>37</v>
      </c>
      <c r="D853" s="1" t="str">
        <f t="shared" si="166"/>
        <v>9803</v>
      </c>
      <c r="E853" s="1" t="s">
        <v>32</v>
      </c>
      <c r="F853" s="1" t="str">
        <f>"1257978165"</f>
        <v>1257978165</v>
      </c>
      <c r="G853" s="1" t="s">
        <v>38</v>
      </c>
      <c r="H853" s="1" t="str">
        <f t="shared" si="159"/>
        <v>20220905</v>
      </c>
      <c r="I853" s="1" t="str">
        <f>"123117"</f>
        <v>123117</v>
      </c>
      <c r="J853" s="1" t="s">
        <v>28</v>
      </c>
      <c r="K853" s="1" t="s">
        <v>28</v>
      </c>
      <c r="L853" s="1" t="str">
        <f t="shared" si="164"/>
        <v>20220905</v>
      </c>
      <c r="M853" s="1" t="str">
        <f>"124939"</f>
        <v>124939</v>
      </c>
      <c r="N853" s="1" t="s">
        <v>34</v>
      </c>
      <c r="O853" s="1" t="s">
        <v>34</v>
      </c>
      <c r="P853" s="1" t="s">
        <v>55</v>
      </c>
      <c r="Q853" s="1">
        <v>25</v>
      </c>
      <c r="R853" s="1">
        <v>25</v>
      </c>
      <c r="S853" s="1">
        <v>0</v>
      </c>
      <c r="T853" s="1">
        <v>0</v>
      </c>
      <c r="U853" s="1">
        <v>0</v>
      </c>
      <c r="V853" s="1" t="str">
        <f t="shared" si="163"/>
        <v>里程去程</v>
      </c>
      <c r="W853" s="1" t="str">
        <f>"0320"</f>
        <v>0320</v>
      </c>
      <c r="X853" s="1" t="s">
        <v>35</v>
      </c>
    </row>
    <row r="854" spans="1:24" x14ac:dyDescent="0.3">
      <c r="A854" s="1" t="str">
        <f t="shared" si="165"/>
        <v>59823</v>
      </c>
      <c r="B854" s="1" t="s">
        <v>36</v>
      </c>
      <c r="C854" s="1" t="s">
        <v>37</v>
      </c>
      <c r="D854" s="1" t="str">
        <f t="shared" si="166"/>
        <v>9803</v>
      </c>
      <c r="E854" s="1" t="s">
        <v>32</v>
      </c>
      <c r="F854" s="1" t="str">
        <f>"AAF63C5939880400C18514D049704512"</f>
        <v>AAF63C5939880400C18514D049704512</v>
      </c>
      <c r="G854" s="1" t="s">
        <v>58</v>
      </c>
      <c r="H854" s="1" t="str">
        <f t="shared" si="159"/>
        <v>20220905</v>
      </c>
      <c r="I854" s="1" t="str">
        <f>"123221"</f>
        <v>123221</v>
      </c>
      <c r="J854" s="1" t="s">
        <v>28</v>
      </c>
      <c r="K854" s="1" t="s">
        <v>28</v>
      </c>
      <c r="L854" s="1" t="str">
        <f t="shared" si="164"/>
        <v>20220905</v>
      </c>
      <c r="M854" s="1" t="str">
        <f>"124935"</f>
        <v>124935</v>
      </c>
      <c r="N854" s="1" t="s">
        <v>34</v>
      </c>
      <c r="O854" s="1" t="s">
        <v>34</v>
      </c>
      <c r="P854" s="1" t="s">
        <v>55</v>
      </c>
      <c r="Q854" s="1">
        <v>25</v>
      </c>
      <c r="R854" s="1">
        <v>25</v>
      </c>
      <c r="S854" s="1">
        <v>0</v>
      </c>
      <c r="T854" s="1">
        <v>0</v>
      </c>
      <c r="U854" s="1">
        <v>0</v>
      </c>
      <c r="V854" s="1" t="str">
        <f t="shared" si="163"/>
        <v>里程去程</v>
      </c>
      <c r="W854" s="1" t="str">
        <f>"0020"</f>
        <v>0020</v>
      </c>
      <c r="X854" s="1" t="s">
        <v>29</v>
      </c>
    </row>
    <row r="855" spans="1:24" x14ac:dyDescent="0.3">
      <c r="A855" s="1" t="str">
        <f t="shared" si="165"/>
        <v>59823</v>
      </c>
      <c r="B855" s="1" t="s">
        <v>36</v>
      </c>
      <c r="C855" s="1" t="s">
        <v>37</v>
      </c>
      <c r="D855" s="1" t="str">
        <f t="shared" si="166"/>
        <v>9803</v>
      </c>
      <c r="E855" s="1" t="s">
        <v>32</v>
      </c>
      <c r="F855" s="1" t="str">
        <f>"1253386325"</f>
        <v>1253386325</v>
      </c>
      <c r="G855" s="1" t="s">
        <v>38</v>
      </c>
      <c r="H855" s="1" t="str">
        <f t="shared" si="159"/>
        <v>20220905</v>
      </c>
      <c r="I855" s="1" t="str">
        <f>"130008"</f>
        <v>130008</v>
      </c>
      <c r="J855" s="1" t="s">
        <v>34</v>
      </c>
      <c r="K855" s="1" t="s">
        <v>34</v>
      </c>
      <c r="L855" s="1" t="str">
        <f t="shared" si="164"/>
        <v>20220905</v>
      </c>
      <c r="M855" s="1" t="str">
        <f>"132120"</f>
        <v>132120</v>
      </c>
      <c r="N855" s="1" t="s">
        <v>28</v>
      </c>
      <c r="O855" s="1" t="s">
        <v>28</v>
      </c>
      <c r="P855" s="1" t="s">
        <v>55</v>
      </c>
      <c r="Q855" s="1">
        <v>25</v>
      </c>
      <c r="R855" s="1">
        <v>25</v>
      </c>
      <c r="S855" s="1">
        <v>0</v>
      </c>
      <c r="T855" s="1">
        <v>0</v>
      </c>
      <c r="U855" s="1">
        <v>0</v>
      </c>
      <c r="V855" s="1" t="str">
        <f>"里程返程"</f>
        <v>里程返程</v>
      </c>
      <c r="W855" s="1" t="str">
        <f>"0820"</f>
        <v>0820</v>
      </c>
      <c r="X855" s="1" t="s">
        <v>35</v>
      </c>
    </row>
    <row r="856" spans="1:24" x14ac:dyDescent="0.3">
      <c r="A856" s="1" t="str">
        <f t="shared" si="165"/>
        <v>59823</v>
      </c>
      <c r="B856" s="1" t="s">
        <v>36</v>
      </c>
      <c r="C856" s="1" t="s">
        <v>37</v>
      </c>
      <c r="D856" s="1" t="str">
        <f t="shared" si="166"/>
        <v>9803</v>
      </c>
      <c r="E856" s="1" t="s">
        <v>32</v>
      </c>
      <c r="F856" s="1" t="str">
        <f>"780662465"</f>
        <v>780662465</v>
      </c>
      <c r="G856" s="1" t="s">
        <v>38</v>
      </c>
      <c r="H856" s="1" t="str">
        <f t="shared" si="159"/>
        <v>20220905</v>
      </c>
      <c r="I856" s="1" t="str">
        <f>"130014"</f>
        <v>130014</v>
      </c>
      <c r="J856" s="1" t="s">
        <v>34</v>
      </c>
      <c r="K856" s="1" t="s">
        <v>34</v>
      </c>
      <c r="L856" s="1" t="str">
        <f t="shared" si="164"/>
        <v>20220905</v>
      </c>
      <c r="M856" s="1" t="str">
        <f>"132126"</f>
        <v>132126</v>
      </c>
      <c r="N856" s="1" t="s">
        <v>28</v>
      </c>
      <c r="O856" s="1" t="s">
        <v>28</v>
      </c>
      <c r="P856" s="1" t="s">
        <v>55</v>
      </c>
      <c r="Q856" s="1">
        <v>25</v>
      </c>
      <c r="R856" s="1">
        <v>25</v>
      </c>
      <c r="S856" s="1">
        <v>0</v>
      </c>
      <c r="T856" s="1">
        <v>0</v>
      </c>
      <c r="U856" s="1">
        <v>0</v>
      </c>
      <c r="V856" s="1" t="str">
        <f>"里程返程"</f>
        <v>里程返程</v>
      </c>
      <c r="W856" s="1" t="str">
        <f>"0920"</f>
        <v>0920</v>
      </c>
      <c r="X856" s="1" t="s">
        <v>35</v>
      </c>
    </row>
    <row r="857" spans="1:24" x14ac:dyDescent="0.3">
      <c r="A857" s="1" t="str">
        <f t="shared" si="165"/>
        <v>59823</v>
      </c>
      <c r="B857" s="1" t="s">
        <v>36</v>
      </c>
      <c r="C857" s="1" t="s">
        <v>37</v>
      </c>
      <c r="D857" s="1" t="str">
        <f t="shared" si="166"/>
        <v>9803</v>
      </c>
      <c r="E857" s="1" t="s">
        <v>32</v>
      </c>
      <c r="F857" s="1" t="str">
        <f>"1610921365"</f>
        <v>1610921365</v>
      </c>
      <c r="G857" s="1" t="s">
        <v>33</v>
      </c>
      <c r="H857" s="1" t="str">
        <f t="shared" si="159"/>
        <v>20220905</v>
      </c>
      <c r="I857" s="1" t="str">
        <f>"161115"</f>
        <v>161115</v>
      </c>
      <c r="J857" s="1" t="s">
        <v>34</v>
      </c>
      <c r="K857" s="1" t="s">
        <v>34</v>
      </c>
      <c r="L857" s="1" t="str">
        <f t="shared" si="164"/>
        <v>20220905</v>
      </c>
      <c r="M857" s="1" t="str">
        <f>"163952"</f>
        <v>163952</v>
      </c>
      <c r="N857" s="1" t="s">
        <v>28</v>
      </c>
      <c r="O857" s="1" t="s">
        <v>28</v>
      </c>
      <c r="P857" s="1" t="s">
        <v>55</v>
      </c>
      <c r="Q857" s="1">
        <v>25</v>
      </c>
      <c r="R857" s="1">
        <v>25</v>
      </c>
      <c r="S857" s="1">
        <v>0</v>
      </c>
      <c r="T857" s="1">
        <v>0</v>
      </c>
      <c r="U857" s="1">
        <v>0</v>
      </c>
      <c r="V857" s="1" t="str">
        <f>"里程返程"</f>
        <v>里程返程</v>
      </c>
      <c r="W857" s="1" t="str">
        <f>"0120"</f>
        <v>0120</v>
      </c>
      <c r="X857" s="1" t="s">
        <v>35</v>
      </c>
    </row>
    <row r="858" spans="1:24" x14ac:dyDescent="0.3">
      <c r="A858" s="1" t="str">
        <f t="shared" si="165"/>
        <v>59823</v>
      </c>
      <c r="B858" s="1" t="s">
        <v>36</v>
      </c>
      <c r="C858" s="1" t="s">
        <v>37</v>
      </c>
      <c r="D858" s="1" t="str">
        <f t="shared" si="166"/>
        <v>9803</v>
      </c>
      <c r="E858" s="1" t="s">
        <v>32</v>
      </c>
      <c r="F858" s="1" t="str">
        <f>"307740840"</f>
        <v>307740840</v>
      </c>
      <c r="G858" s="1" t="s">
        <v>26</v>
      </c>
      <c r="H858" s="1" t="str">
        <f t="shared" si="159"/>
        <v>20220905</v>
      </c>
      <c r="I858" s="1" t="str">
        <f>"163410"</f>
        <v>163410</v>
      </c>
      <c r="J858" s="1" t="s">
        <v>81</v>
      </c>
      <c r="K858" s="1" t="s">
        <v>28</v>
      </c>
      <c r="L858" s="1" t="str">
        <f t="shared" si="164"/>
        <v>20220905</v>
      </c>
      <c r="M858" s="1" t="str">
        <f>"163945"</f>
        <v>163945</v>
      </c>
      <c r="N858" s="1" t="s">
        <v>28</v>
      </c>
      <c r="O858" s="1" t="s">
        <v>28</v>
      </c>
      <c r="P858" s="1" t="s">
        <v>55</v>
      </c>
      <c r="Q858" s="1">
        <v>13</v>
      </c>
      <c r="R858" s="1">
        <v>13</v>
      </c>
      <c r="S858" s="1">
        <v>0</v>
      </c>
      <c r="T858" s="1">
        <v>0</v>
      </c>
      <c r="U858" s="1">
        <v>0</v>
      </c>
      <c r="V858" s="1" t="str">
        <f>"里程返程"</f>
        <v>里程返程</v>
      </c>
      <c r="W858" s="1" t="str">
        <f>"2020"</f>
        <v>2020</v>
      </c>
      <c r="X858" s="1" t="s">
        <v>35</v>
      </c>
    </row>
    <row r="859" spans="1:24" x14ac:dyDescent="0.3">
      <c r="A859" s="1" t="str">
        <f t="shared" si="165"/>
        <v>59823</v>
      </c>
      <c r="B859" s="1" t="s">
        <v>36</v>
      </c>
      <c r="C859" s="1" t="s">
        <v>37</v>
      </c>
      <c r="D859" s="1" t="str">
        <f t="shared" si="166"/>
        <v>9803</v>
      </c>
      <c r="E859" s="1" t="s">
        <v>32</v>
      </c>
      <c r="F859" s="1" t="str">
        <f>"1711419269"</f>
        <v>1711419269</v>
      </c>
      <c r="G859" s="1" t="s">
        <v>33</v>
      </c>
      <c r="H859" s="1" t="str">
        <f t="shared" si="159"/>
        <v>20220905</v>
      </c>
      <c r="I859" s="1" t="str">
        <f>"164016"</f>
        <v>164016</v>
      </c>
      <c r="J859" s="1" t="s">
        <v>28</v>
      </c>
      <c r="K859" s="1" t="s">
        <v>28</v>
      </c>
      <c r="L859" s="1" t="str">
        <f t="shared" si="164"/>
        <v>20220905</v>
      </c>
      <c r="M859" s="1" t="str">
        <f>"165930"</f>
        <v>165930</v>
      </c>
      <c r="N859" s="1" t="s">
        <v>89</v>
      </c>
      <c r="O859" s="1" t="s">
        <v>28</v>
      </c>
      <c r="P859" s="1" t="s">
        <v>55</v>
      </c>
      <c r="Q859" s="1">
        <v>25</v>
      </c>
      <c r="R859" s="1">
        <v>25</v>
      </c>
      <c r="S859" s="1">
        <v>0</v>
      </c>
      <c r="T859" s="1">
        <v>0</v>
      </c>
      <c r="U859" s="1">
        <v>0</v>
      </c>
      <c r="V859" s="1" t="str">
        <f>"里程去程"</f>
        <v>里程去程</v>
      </c>
      <c r="W859" s="1" t="str">
        <f>"0220"</f>
        <v>0220</v>
      </c>
      <c r="X859" s="1" t="s">
        <v>35</v>
      </c>
    </row>
    <row r="860" spans="1:24" x14ac:dyDescent="0.3">
      <c r="A860" s="1" t="str">
        <f t="shared" si="165"/>
        <v>59823</v>
      </c>
      <c r="B860" s="1" t="s">
        <v>36</v>
      </c>
      <c r="C860" s="1" t="s">
        <v>37</v>
      </c>
      <c r="D860" s="1" t="str">
        <f t="shared" si="166"/>
        <v>9803</v>
      </c>
      <c r="E860" s="1" t="s">
        <v>32</v>
      </c>
      <c r="F860" s="1" t="str">
        <f>"922E0C15A528040080CEDA1449914018"</f>
        <v>922E0C15A528040080CEDA1449914018</v>
      </c>
      <c r="G860" s="1" t="s">
        <v>58</v>
      </c>
      <c r="H860" s="1" t="str">
        <f t="shared" si="159"/>
        <v>20220905</v>
      </c>
      <c r="I860" s="1" t="str">
        <f>"174840"</f>
        <v>174840</v>
      </c>
      <c r="J860" s="1" t="s">
        <v>46</v>
      </c>
      <c r="K860" s="1" t="s">
        <v>28</v>
      </c>
      <c r="L860" s="1" t="str">
        <f t="shared" ref="L860:L891" si="167">"20220905"</f>
        <v>20220905</v>
      </c>
      <c r="M860" s="1" t="str">
        <f>"175842"</f>
        <v>175842</v>
      </c>
      <c r="N860" s="1" t="s">
        <v>28</v>
      </c>
      <c r="O860" s="1" t="s">
        <v>28</v>
      </c>
      <c r="P860" s="1" t="s">
        <v>55</v>
      </c>
      <c r="Q860" s="1">
        <v>25</v>
      </c>
      <c r="R860" s="1">
        <v>0</v>
      </c>
      <c r="S860" s="1">
        <v>25</v>
      </c>
      <c r="T860" s="1">
        <v>0</v>
      </c>
      <c r="U860" s="1">
        <v>0</v>
      </c>
      <c r="V860" s="1" t="str">
        <f>"里程返程"</f>
        <v>里程返程</v>
      </c>
      <c r="W860" s="1" t="str">
        <f>"2020"</f>
        <v>2020</v>
      </c>
      <c r="X860" s="1" t="s">
        <v>29</v>
      </c>
    </row>
    <row r="861" spans="1:24" x14ac:dyDescent="0.3">
      <c r="A861" s="1" t="str">
        <f t="shared" si="165"/>
        <v>59823</v>
      </c>
      <c r="B861" s="1" t="s">
        <v>36</v>
      </c>
      <c r="C861" s="1" t="s">
        <v>37</v>
      </c>
      <c r="D861" s="1" t="str">
        <f t="shared" si="166"/>
        <v>9803</v>
      </c>
      <c r="E861" s="1" t="s">
        <v>32</v>
      </c>
      <c r="F861" s="1" t="str">
        <f>"41489F33A5280400F700000000000000"</f>
        <v>41489F33A5280400F700000000000000</v>
      </c>
      <c r="G861" s="1" t="s">
        <v>58</v>
      </c>
      <c r="H861" s="1" t="str">
        <f t="shared" si="159"/>
        <v>20220905</v>
      </c>
      <c r="I861" s="1" t="str">
        <f>"174850"</f>
        <v>174850</v>
      </c>
      <c r="J861" s="1" t="s">
        <v>46</v>
      </c>
      <c r="K861" s="1" t="s">
        <v>28</v>
      </c>
      <c r="L861" s="1" t="str">
        <f t="shared" si="167"/>
        <v>20220905</v>
      </c>
      <c r="M861" s="1" t="str">
        <f>"175831"</f>
        <v>175831</v>
      </c>
      <c r="N861" s="1" t="s">
        <v>28</v>
      </c>
      <c r="O861" s="1" t="s">
        <v>28</v>
      </c>
      <c r="P861" s="1" t="s">
        <v>55</v>
      </c>
      <c r="Q861" s="1">
        <v>25</v>
      </c>
      <c r="R861" s="1">
        <v>0</v>
      </c>
      <c r="S861" s="1">
        <v>25</v>
      </c>
      <c r="T861" s="1">
        <v>0</v>
      </c>
      <c r="U861" s="1">
        <v>0</v>
      </c>
      <c r="V861" s="1" t="str">
        <f>"里程返程"</f>
        <v>里程返程</v>
      </c>
      <c r="W861" s="1" t="str">
        <f>"2020"</f>
        <v>2020</v>
      </c>
      <c r="X861" s="1" t="s">
        <v>29</v>
      </c>
    </row>
    <row r="862" spans="1:24" x14ac:dyDescent="0.3">
      <c r="A862" s="1" t="str">
        <f t="shared" si="165"/>
        <v>59823</v>
      </c>
      <c r="B862" s="1" t="s">
        <v>36</v>
      </c>
      <c r="C862" s="1" t="s">
        <v>37</v>
      </c>
      <c r="D862" s="1" t="str">
        <f t="shared" ref="D862:D868" si="168">"9805"</f>
        <v>9805</v>
      </c>
      <c r="E862" s="1" t="s">
        <v>57</v>
      </c>
      <c r="F862" s="1" t="str">
        <f>"011C61235F8804004328148200110112"</f>
        <v>011C61235F8804004328148200110112</v>
      </c>
      <c r="G862" s="1" t="s">
        <v>58</v>
      </c>
      <c r="H862" s="1" t="str">
        <f t="shared" si="159"/>
        <v>20220905</v>
      </c>
      <c r="I862" s="1" t="str">
        <f>"175938"</f>
        <v>175938</v>
      </c>
      <c r="J862" s="1" t="s">
        <v>28</v>
      </c>
      <c r="K862" s="1" t="s">
        <v>28</v>
      </c>
      <c r="L862" s="1" t="str">
        <f t="shared" si="167"/>
        <v>20220905</v>
      </c>
      <c r="M862" s="1" t="str">
        <f>"181408"</f>
        <v>181408</v>
      </c>
      <c r="N862" s="1" t="s">
        <v>62</v>
      </c>
      <c r="O862" s="1" t="s">
        <v>28</v>
      </c>
      <c r="P862" s="1" t="s">
        <v>55</v>
      </c>
      <c r="Q862" s="1">
        <v>25</v>
      </c>
      <c r="R862" s="1">
        <v>25</v>
      </c>
      <c r="S862" s="1">
        <v>0</v>
      </c>
      <c r="T862" s="1">
        <v>0</v>
      </c>
      <c r="U862" s="1">
        <v>0</v>
      </c>
      <c r="V862" s="1" t="str">
        <f>"里程去程"</f>
        <v>里程去程</v>
      </c>
      <c r="W862" s="1" t="str">
        <f>"0020"</f>
        <v>0020</v>
      </c>
      <c r="X862" s="1" t="s">
        <v>29</v>
      </c>
    </row>
    <row r="863" spans="1:24" x14ac:dyDescent="0.3">
      <c r="A863" s="1" t="str">
        <f t="shared" si="165"/>
        <v>59823</v>
      </c>
      <c r="B863" s="1" t="s">
        <v>36</v>
      </c>
      <c r="C863" s="1" t="s">
        <v>37</v>
      </c>
      <c r="D863" s="1" t="str">
        <f t="shared" si="168"/>
        <v>9805</v>
      </c>
      <c r="E863" s="1" t="s">
        <v>57</v>
      </c>
      <c r="F863" s="1" t="str">
        <f>"1508107505"</f>
        <v>1508107505</v>
      </c>
      <c r="G863" s="1" t="s">
        <v>33</v>
      </c>
      <c r="H863" s="1" t="str">
        <f t="shared" si="159"/>
        <v>20220905</v>
      </c>
      <c r="I863" s="1" t="str">
        <f>"175943"</f>
        <v>175943</v>
      </c>
      <c r="J863" s="1" t="s">
        <v>28</v>
      </c>
      <c r="K863" s="1" t="s">
        <v>28</v>
      </c>
      <c r="L863" s="1" t="str">
        <f t="shared" si="167"/>
        <v>20220905</v>
      </c>
      <c r="M863" s="1" t="str">
        <f>"181416"</f>
        <v>181416</v>
      </c>
      <c r="N863" s="1" t="s">
        <v>62</v>
      </c>
      <c r="O863" s="1" t="s">
        <v>28</v>
      </c>
      <c r="P863" s="1" t="s">
        <v>55</v>
      </c>
      <c r="Q863" s="1">
        <v>25</v>
      </c>
      <c r="R863" s="1">
        <v>0</v>
      </c>
      <c r="S863" s="1">
        <v>25</v>
      </c>
      <c r="T863" s="1">
        <v>0</v>
      </c>
      <c r="U863" s="1">
        <v>0</v>
      </c>
      <c r="V863" s="1" t="str">
        <f>"里程去程"</f>
        <v>里程去程</v>
      </c>
      <c r="W863" s="1" t="str">
        <f>"0820"</f>
        <v>0820</v>
      </c>
      <c r="X863" s="1" t="s">
        <v>35</v>
      </c>
    </row>
    <row r="864" spans="1:24" x14ac:dyDescent="0.3">
      <c r="A864" s="1" t="str">
        <f t="shared" si="165"/>
        <v>59823</v>
      </c>
      <c r="B864" s="1" t="s">
        <v>36</v>
      </c>
      <c r="C864" s="1" t="s">
        <v>37</v>
      </c>
      <c r="D864" s="1" t="str">
        <f t="shared" si="168"/>
        <v>9805</v>
      </c>
      <c r="E864" s="1" t="s">
        <v>57</v>
      </c>
      <c r="F864" s="1" t="str">
        <f>"1192035509"</f>
        <v>1192035509</v>
      </c>
      <c r="G864" s="1" t="s">
        <v>33</v>
      </c>
      <c r="H864" s="1" t="str">
        <f t="shared" si="159"/>
        <v>20220905</v>
      </c>
      <c r="I864" s="1" t="str">
        <f>"181758"</f>
        <v>181758</v>
      </c>
      <c r="J864" s="1" t="s">
        <v>52</v>
      </c>
      <c r="K864" s="1" t="s">
        <v>52</v>
      </c>
      <c r="L864" s="1" t="str">
        <f t="shared" si="167"/>
        <v>20220905</v>
      </c>
      <c r="M864" s="1" t="str">
        <f>"183821"</f>
        <v>183821</v>
      </c>
      <c r="N864" s="1" t="s">
        <v>28</v>
      </c>
      <c r="O864" s="1" t="s">
        <v>28</v>
      </c>
      <c r="P864" s="1" t="s">
        <v>55</v>
      </c>
      <c r="Q864" s="1">
        <v>25</v>
      </c>
      <c r="R864" s="1">
        <v>0</v>
      </c>
      <c r="S864" s="1">
        <v>25</v>
      </c>
      <c r="T864" s="1">
        <v>0</v>
      </c>
      <c r="U864" s="1">
        <v>0</v>
      </c>
      <c r="V864" s="1" t="str">
        <f t="shared" ref="V864:V884" si="169">"里程返程"</f>
        <v>里程返程</v>
      </c>
      <c r="W864" s="1" t="str">
        <f>"2020"</f>
        <v>2020</v>
      </c>
      <c r="X864" s="1" t="s">
        <v>35</v>
      </c>
    </row>
    <row r="865" spans="1:24" x14ac:dyDescent="0.3">
      <c r="A865" s="1" t="str">
        <f t="shared" si="165"/>
        <v>59823</v>
      </c>
      <c r="B865" s="1" t="s">
        <v>36</v>
      </c>
      <c r="C865" s="1" t="s">
        <v>37</v>
      </c>
      <c r="D865" s="1" t="str">
        <f t="shared" si="168"/>
        <v>9805</v>
      </c>
      <c r="E865" s="1" t="s">
        <v>57</v>
      </c>
      <c r="F865" s="1" t="str">
        <f>"510D35721B2804001C00000000000000"</f>
        <v>510D35721B2804001C00000000000000</v>
      </c>
      <c r="G865" s="1" t="s">
        <v>58</v>
      </c>
      <c r="H865" s="1" t="str">
        <f t="shared" si="159"/>
        <v>20220905</v>
      </c>
      <c r="I865" s="1" t="str">
        <f>"181800"</f>
        <v>181800</v>
      </c>
      <c r="J865" s="1" t="s">
        <v>52</v>
      </c>
      <c r="K865" s="1" t="s">
        <v>52</v>
      </c>
      <c r="L865" s="1" t="str">
        <f t="shared" si="167"/>
        <v>20220905</v>
      </c>
      <c r="M865" s="1" t="str">
        <f>"183824"</f>
        <v>183824</v>
      </c>
      <c r="N865" s="1" t="s">
        <v>28</v>
      </c>
      <c r="O865" s="1" t="s">
        <v>28</v>
      </c>
      <c r="P865" s="1" t="s">
        <v>55</v>
      </c>
      <c r="Q865" s="1">
        <v>25</v>
      </c>
      <c r="R865" s="1">
        <v>25</v>
      </c>
      <c r="S865" s="1">
        <v>0</v>
      </c>
      <c r="T865" s="1">
        <v>0</v>
      </c>
      <c r="U865" s="1">
        <v>0</v>
      </c>
      <c r="V865" s="1" t="str">
        <f t="shared" si="169"/>
        <v>里程返程</v>
      </c>
      <c r="W865" s="1" t="str">
        <f>"0020"</f>
        <v>0020</v>
      </c>
      <c r="X865" s="1" t="s">
        <v>29</v>
      </c>
    </row>
    <row r="866" spans="1:24" x14ac:dyDescent="0.3">
      <c r="A866" s="1" t="str">
        <f t="shared" si="165"/>
        <v>59823</v>
      </c>
      <c r="B866" s="1" t="s">
        <v>36</v>
      </c>
      <c r="C866" s="1" t="s">
        <v>37</v>
      </c>
      <c r="D866" s="1" t="str">
        <f t="shared" si="168"/>
        <v>9805</v>
      </c>
      <c r="E866" s="1" t="s">
        <v>57</v>
      </c>
      <c r="F866" s="1" t="str">
        <f>"71E6EF027A88040043252B4B0006050F"</f>
        <v>71E6EF027A88040043252B4B0006050F</v>
      </c>
      <c r="G866" s="1" t="s">
        <v>58</v>
      </c>
      <c r="H866" s="1" t="str">
        <f t="shared" si="159"/>
        <v>20220905</v>
      </c>
      <c r="I866" s="1" t="str">
        <f>"181804"</f>
        <v>181804</v>
      </c>
      <c r="J866" s="1" t="s">
        <v>52</v>
      </c>
      <c r="K866" s="1" t="s">
        <v>52</v>
      </c>
      <c r="L866" s="1" t="str">
        <f t="shared" si="167"/>
        <v>20220905</v>
      </c>
      <c r="M866" s="1" t="str">
        <f>"183827"</f>
        <v>183827</v>
      </c>
      <c r="N866" s="1" t="s">
        <v>28</v>
      </c>
      <c r="O866" s="1" t="s">
        <v>28</v>
      </c>
      <c r="P866" s="1" t="s">
        <v>55</v>
      </c>
      <c r="Q866" s="1">
        <v>25</v>
      </c>
      <c r="R866" s="1">
        <v>25</v>
      </c>
      <c r="S866" s="1">
        <v>0</v>
      </c>
      <c r="T866" s="1">
        <v>0</v>
      </c>
      <c r="U866" s="1">
        <v>0</v>
      </c>
      <c r="V866" s="1" t="str">
        <f t="shared" si="169"/>
        <v>里程返程</v>
      </c>
      <c r="W866" s="1" t="str">
        <f>"0020"</f>
        <v>0020</v>
      </c>
      <c r="X866" s="1" t="s">
        <v>29</v>
      </c>
    </row>
    <row r="867" spans="1:24" x14ac:dyDescent="0.3">
      <c r="A867" s="1" t="str">
        <f t="shared" si="165"/>
        <v>59823</v>
      </c>
      <c r="B867" s="1" t="s">
        <v>36</v>
      </c>
      <c r="C867" s="1" t="s">
        <v>37</v>
      </c>
      <c r="D867" s="1" t="str">
        <f t="shared" si="168"/>
        <v>9805</v>
      </c>
      <c r="E867" s="1" t="s">
        <v>57</v>
      </c>
      <c r="F867" s="1" t="str">
        <f>"423225169"</f>
        <v>423225169</v>
      </c>
      <c r="G867" s="1" t="s">
        <v>33</v>
      </c>
      <c r="H867" s="1" t="str">
        <f t="shared" ref="H867:H930" si="170">"20220905"</f>
        <v>20220905</v>
      </c>
      <c r="I867" s="1" t="str">
        <f>"182550"</f>
        <v>182550</v>
      </c>
      <c r="J867" s="1" t="s">
        <v>62</v>
      </c>
      <c r="K867" s="1" t="s">
        <v>28</v>
      </c>
      <c r="L867" s="1" t="str">
        <f t="shared" si="167"/>
        <v>20220905</v>
      </c>
      <c r="M867" s="1" t="str">
        <f>"183814"</f>
        <v>183814</v>
      </c>
      <c r="N867" s="1" t="s">
        <v>28</v>
      </c>
      <c r="O867" s="1" t="s">
        <v>28</v>
      </c>
      <c r="P867" s="1" t="s">
        <v>55</v>
      </c>
      <c r="Q867" s="1">
        <v>25</v>
      </c>
      <c r="R867" s="1">
        <v>25</v>
      </c>
      <c r="S867" s="1">
        <v>0</v>
      </c>
      <c r="T867" s="1">
        <v>0</v>
      </c>
      <c r="U867" s="1">
        <v>0</v>
      </c>
      <c r="V867" s="1" t="str">
        <f t="shared" si="169"/>
        <v>里程返程</v>
      </c>
      <c r="W867" s="1" t="str">
        <f>"2020"</f>
        <v>2020</v>
      </c>
      <c r="X867" s="1" t="s">
        <v>35</v>
      </c>
    </row>
    <row r="868" spans="1:24" x14ac:dyDescent="0.3">
      <c r="A868" s="1" t="str">
        <f t="shared" si="165"/>
        <v>59823</v>
      </c>
      <c r="B868" s="1" t="s">
        <v>36</v>
      </c>
      <c r="C868" s="1" t="s">
        <v>37</v>
      </c>
      <c r="D868" s="1" t="str">
        <f t="shared" si="168"/>
        <v>9805</v>
      </c>
      <c r="E868" s="1" t="s">
        <v>57</v>
      </c>
      <c r="F868" s="1" t="str">
        <f>"776560917"</f>
        <v>776560917</v>
      </c>
      <c r="G868" s="1" t="s">
        <v>33</v>
      </c>
      <c r="H868" s="1" t="str">
        <f t="shared" si="170"/>
        <v>20220905</v>
      </c>
      <c r="I868" s="1" t="str">
        <f>"182553"</f>
        <v>182553</v>
      </c>
      <c r="J868" s="1" t="s">
        <v>62</v>
      </c>
      <c r="K868" s="1" t="s">
        <v>28</v>
      </c>
      <c r="L868" s="1" t="str">
        <f t="shared" si="167"/>
        <v>20220905</v>
      </c>
      <c r="M868" s="1" t="str">
        <f>"183811"</f>
        <v>183811</v>
      </c>
      <c r="N868" s="1" t="s">
        <v>28</v>
      </c>
      <c r="O868" s="1" t="s">
        <v>28</v>
      </c>
      <c r="P868" s="1" t="s">
        <v>55</v>
      </c>
      <c r="Q868" s="1">
        <v>25</v>
      </c>
      <c r="R868" s="1">
        <v>25</v>
      </c>
      <c r="S868" s="1">
        <v>0</v>
      </c>
      <c r="T868" s="1">
        <v>0</v>
      </c>
      <c r="U868" s="1">
        <v>0</v>
      </c>
      <c r="V868" s="1" t="str">
        <f t="shared" si="169"/>
        <v>里程返程</v>
      </c>
      <c r="W868" s="1" t="str">
        <f>"2020"</f>
        <v>2020</v>
      </c>
      <c r="X868" s="1" t="s">
        <v>35</v>
      </c>
    </row>
    <row r="869" spans="1:24" x14ac:dyDescent="0.3">
      <c r="A869" s="1" t="str">
        <f t="shared" ref="A869:A906" si="171">"59828"</f>
        <v>59828</v>
      </c>
      <c r="B869" s="1" t="s">
        <v>23</v>
      </c>
      <c r="C869" s="1" t="s">
        <v>24</v>
      </c>
      <c r="D869" s="1" t="str">
        <f t="shared" ref="D869:D906" si="172">"9801"</f>
        <v>9801</v>
      </c>
      <c r="E869" s="1" t="s">
        <v>25</v>
      </c>
      <c r="F869" s="1" t="str">
        <f>"41E6A74444280400F700000000000000"</f>
        <v>41E6A74444280400F700000000000000</v>
      </c>
      <c r="G869" s="1" t="s">
        <v>58</v>
      </c>
      <c r="H869" s="1" t="str">
        <f t="shared" si="170"/>
        <v>20220905</v>
      </c>
      <c r="I869" s="1" t="str">
        <f>"060932"</f>
        <v>060932</v>
      </c>
      <c r="J869" s="1" t="s">
        <v>75</v>
      </c>
      <c r="K869" s="1" t="s">
        <v>45</v>
      </c>
      <c r="L869" s="1" t="str">
        <f t="shared" si="167"/>
        <v>20220905</v>
      </c>
      <c r="M869" s="1" t="str">
        <f>"062103"</f>
        <v>062103</v>
      </c>
      <c r="N869" s="1" t="s">
        <v>28</v>
      </c>
      <c r="O869" s="1" t="s">
        <v>28</v>
      </c>
      <c r="P869" s="1" t="s">
        <v>55</v>
      </c>
      <c r="Q869" s="1">
        <v>25</v>
      </c>
      <c r="R869" s="1">
        <v>25</v>
      </c>
      <c r="S869" s="1">
        <v>0</v>
      </c>
      <c r="T869" s="1">
        <v>0</v>
      </c>
      <c r="U869" s="1">
        <v>0</v>
      </c>
      <c r="V869" s="1" t="str">
        <f t="shared" si="169"/>
        <v>里程返程</v>
      </c>
      <c r="W869" s="1" t="str">
        <f>"0020"</f>
        <v>0020</v>
      </c>
      <c r="X869" s="1" t="s">
        <v>29</v>
      </c>
    </row>
    <row r="870" spans="1:24" x14ac:dyDescent="0.3">
      <c r="A870" s="1" t="str">
        <f t="shared" si="171"/>
        <v>59828</v>
      </c>
      <c r="B870" s="1" t="s">
        <v>23</v>
      </c>
      <c r="C870" s="1" t="s">
        <v>24</v>
      </c>
      <c r="D870" s="1" t="str">
        <f t="shared" si="172"/>
        <v>9801</v>
      </c>
      <c r="E870" s="1" t="s">
        <v>25</v>
      </c>
      <c r="F870" s="1" t="str">
        <f>"3578288275"</f>
        <v>3578288275</v>
      </c>
      <c r="G870" s="1" t="s">
        <v>33</v>
      </c>
      <c r="H870" s="1" t="str">
        <f t="shared" si="170"/>
        <v>20220905</v>
      </c>
      <c r="I870" s="1" t="str">
        <f>"060936"</f>
        <v>060936</v>
      </c>
      <c r="J870" s="1" t="s">
        <v>75</v>
      </c>
      <c r="K870" s="1" t="s">
        <v>45</v>
      </c>
      <c r="L870" s="1" t="str">
        <f t="shared" si="167"/>
        <v>20220905</v>
      </c>
      <c r="M870" s="1" t="str">
        <f>"062100"</f>
        <v>062100</v>
      </c>
      <c r="N870" s="1" t="s">
        <v>28</v>
      </c>
      <c r="O870" s="1" t="s">
        <v>28</v>
      </c>
      <c r="P870" s="1" t="s">
        <v>55</v>
      </c>
      <c r="Q870" s="1">
        <v>25</v>
      </c>
      <c r="R870" s="1">
        <v>25</v>
      </c>
      <c r="S870" s="1">
        <v>0</v>
      </c>
      <c r="T870" s="1">
        <v>0</v>
      </c>
      <c r="U870" s="1">
        <v>0</v>
      </c>
      <c r="V870" s="1" t="str">
        <f t="shared" si="169"/>
        <v>里程返程</v>
      </c>
      <c r="W870" s="1" t="str">
        <f>"0920"</f>
        <v>0920</v>
      </c>
      <c r="X870" s="1" t="s">
        <v>35</v>
      </c>
    </row>
    <row r="871" spans="1:24" x14ac:dyDescent="0.3">
      <c r="A871" s="1" t="str">
        <f t="shared" si="171"/>
        <v>59828</v>
      </c>
      <c r="B871" s="1" t="s">
        <v>23</v>
      </c>
      <c r="C871" s="1" t="s">
        <v>24</v>
      </c>
      <c r="D871" s="1" t="str">
        <f t="shared" si="172"/>
        <v>9801</v>
      </c>
      <c r="E871" s="1" t="s">
        <v>25</v>
      </c>
      <c r="F871" s="1" t="str">
        <f>"1752749445"</f>
        <v>1752749445</v>
      </c>
      <c r="G871" s="1" t="s">
        <v>33</v>
      </c>
      <c r="H871" s="1" t="str">
        <f t="shared" si="170"/>
        <v>20220905</v>
      </c>
      <c r="I871" s="1" t="str">
        <f>"063237"</f>
        <v>063237</v>
      </c>
      <c r="J871" s="1" t="s">
        <v>28</v>
      </c>
      <c r="K871" s="1" t="s">
        <v>28</v>
      </c>
      <c r="L871" s="1" t="str">
        <f t="shared" si="167"/>
        <v>20220905</v>
      </c>
      <c r="M871" s="1" t="str">
        <f>"065246"</f>
        <v>065246</v>
      </c>
      <c r="N871" s="1" t="s">
        <v>72</v>
      </c>
      <c r="O871" s="1" t="s">
        <v>52</v>
      </c>
      <c r="P871" s="1" t="s">
        <v>55</v>
      </c>
      <c r="Q871" s="1">
        <v>25</v>
      </c>
      <c r="R871" s="1">
        <v>0</v>
      </c>
      <c r="S871" s="1">
        <v>25</v>
      </c>
      <c r="T871" s="1">
        <v>0</v>
      </c>
      <c r="U871" s="1">
        <v>0</v>
      </c>
      <c r="V871" s="1" t="str">
        <f t="shared" si="169"/>
        <v>里程返程</v>
      </c>
      <c r="W871" s="1" t="str">
        <f>"0820"</f>
        <v>0820</v>
      </c>
      <c r="X871" s="1" t="s">
        <v>35</v>
      </c>
    </row>
    <row r="872" spans="1:24" x14ac:dyDescent="0.3">
      <c r="A872" s="1" t="str">
        <f t="shared" si="171"/>
        <v>59828</v>
      </c>
      <c r="B872" s="1" t="s">
        <v>23</v>
      </c>
      <c r="C872" s="1" t="s">
        <v>24</v>
      </c>
      <c r="D872" s="1" t="str">
        <f t="shared" si="172"/>
        <v>9801</v>
      </c>
      <c r="E872" s="1" t="s">
        <v>25</v>
      </c>
      <c r="F872" s="1" t="str">
        <f>"619F1761882804001C00000000000000"</f>
        <v>619F1761882804001C00000000000000</v>
      </c>
      <c r="G872" s="1" t="s">
        <v>58</v>
      </c>
      <c r="H872" s="1" t="str">
        <f t="shared" si="170"/>
        <v>20220905</v>
      </c>
      <c r="I872" s="1" t="str">
        <f>"063246"</f>
        <v>063246</v>
      </c>
      <c r="J872" s="1" t="s">
        <v>28</v>
      </c>
      <c r="K872" s="1" t="s">
        <v>28</v>
      </c>
      <c r="L872" s="1" t="str">
        <f t="shared" si="167"/>
        <v>20220905</v>
      </c>
      <c r="M872" s="1" t="str">
        <f>"065242"</f>
        <v>065242</v>
      </c>
      <c r="N872" s="1" t="s">
        <v>72</v>
      </c>
      <c r="O872" s="1" t="s">
        <v>52</v>
      </c>
      <c r="P872" s="1" t="s">
        <v>55</v>
      </c>
      <c r="Q872" s="1">
        <v>25</v>
      </c>
      <c r="R872" s="1">
        <v>0</v>
      </c>
      <c r="S872" s="1">
        <v>25</v>
      </c>
      <c r="T872" s="1">
        <v>0</v>
      </c>
      <c r="U872" s="1">
        <v>0</v>
      </c>
      <c r="V872" s="1" t="str">
        <f t="shared" si="169"/>
        <v>里程返程</v>
      </c>
      <c r="W872" s="1" t="str">
        <f>"0620"</f>
        <v>0620</v>
      </c>
      <c r="X872" s="1" t="s">
        <v>29</v>
      </c>
    </row>
    <row r="873" spans="1:24" x14ac:dyDescent="0.3">
      <c r="A873" s="1" t="str">
        <f t="shared" si="171"/>
        <v>59828</v>
      </c>
      <c r="B873" s="1" t="s">
        <v>23</v>
      </c>
      <c r="C873" s="1" t="s">
        <v>24</v>
      </c>
      <c r="D873" s="1" t="str">
        <f t="shared" si="172"/>
        <v>9801</v>
      </c>
      <c r="E873" s="1" t="s">
        <v>25</v>
      </c>
      <c r="F873" s="1" t="str">
        <f>"D2EDC500FA880400C801002000000015"</f>
        <v>D2EDC500FA880400C801002000000015</v>
      </c>
      <c r="G873" s="1" t="s">
        <v>58</v>
      </c>
      <c r="H873" s="1" t="str">
        <f t="shared" si="170"/>
        <v>20220905</v>
      </c>
      <c r="I873" s="1" t="str">
        <f>"063254"</f>
        <v>063254</v>
      </c>
      <c r="J873" s="1" t="s">
        <v>28</v>
      </c>
      <c r="K873" s="1" t="s">
        <v>28</v>
      </c>
      <c r="L873" s="1" t="str">
        <f t="shared" si="167"/>
        <v>20220905</v>
      </c>
      <c r="M873" s="1" t="str">
        <f>"070019"</f>
        <v>070019</v>
      </c>
      <c r="N873" s="1" t="s">
        <v>52</v>
      </c>
      <c r="O873" s="1" t="s">
        <v>52</v>
      </c>
      <c r="P873" s="1" t="s">
        <v>55</v>
      </c>
      <c r="Q873" s="1">
        <v>25</v>
      </c>
      <c r="R873" s="1">
        <v>25</v>
      </c>
      <c r="S873" s="1">
        <v>0</v>
      </c>
      <c r="T873" s="1">
        <v>0</v>
      </c>
      <c r="U873" s="1">
        <v>0</v>
      </c>
      <c r="V873" s="1" t="str">
        <f t="shared" si="169"/>
        <v>里程返程</v>
      </c>
      <c r="W873" s="1" t="str">
        <f>"0020"</f>
        <v>0020</v>
      </c>
      <c r="X873" s="1" t="s">
        <v>29</v>
      </c>
    </row>
    <row r="874" spans="1:24" x14ac:dyDescent="0.3">
      <c r="A874" s="1" t="str">
        <f t="shared" si="171"/>
        <v>59828</v>
      </c>
      <c r="B874" s="1" t="s">
        <v>23</v>
      </c>
      <c r="C874" s="1" t="s">
        <v>24</v>
      </c>
      <c r="D874" s="1" t="str">
        <f t="shared" si="172"/>
        <v>9801</v>
      </c>
      <c r="E874" s="1" t="s">
        <v>25</v>
      </c>
      <c r="F874" s="1" t="str">
        <f>"32780D0344880400C834002000000015"</f>
        <v>32780D0344880400C834002000000015</v>
      </c>
      <c r="G874" s="1" t="s">
        <v>26</v>
      </c>
      <c r="H874" s="1" t="str">
        <f t="shared" si="170"/>
        <v>20220905</v>
      </c>
      <c r="I874" s="1" t="str">
        <f>"063621"</f>
        <v>063621</v>
      </c>
      <c r="J874" s="1" t="s">
        <v>41</v>
      </c>
      <c r="K874" s="1" t="s">
        <v>28</v>
      </c>
      <c r="L874" s="1" t="str">
        <f t="shared" si="167"/>
        <v>20220905</v>
      </c>
      <c r="M874" s="1" t="str">
        <f>"065228"</f>
        <v>065228</v>
      </c>
      <c r="N874" s="1" t="s">
        <v>65</v>
      </c>
      <c r="O874" s="1" t="s">
        <v>52</v>
      </c>
      <c r="P874" s="1" t="s">
        <v>68</v>
      </c>
      <c r="Q874" s="1">
        <v>13</v>
      </c>
      <c r="R874" s="1">
        <v>0</v>
      </c>
      <c r="S874" s="1">
        <v>0</v>
      </c>
      <c r="T874" s="1">
        <v>13</v>
      </c>
      <c r="U874" s="1">
        <v>0</v>
      </c>
      <c r="V874" s="1" t="str">
        <f t="shared" si="169"/>
        <v>里程返程</v>
      </c>
      <c r="W874" s="1" t="str">
        <f>"0020"</f>
        <v>0020</v>
      </c>
      <c r="X874" s="1" t="s">
        <v>29</v>
      </c>
    </row>
    <row r="875" spans="1:24" x14ac:dyDescent="0.3">
      <c r="A875" s="1" t="str">
        <f t="shared" si="171"/>
        <v>59828</v>
      </c>
      <c r="B875" s="1" t="s">
        <v>23</v>
      </c>
      <c r="C875" s="1" t="s">
        <v>24</v>
      </c>
      <c r="D875" s="1" t="str">
        <f t="shared" si="172"/>
        <v>9801</v>
      </c>
      <c r="E875" s="1" t="s">
        <v>25</v>
      </c>
      <c r="F875" s="1" t="str">
        <f>"994049557"</f>
        <v>994049557</v>
      </c>
      <c r="G875" s="1" t="s">
        <v>33</v>
      </c>
      <c r="H875" s="1" t="str">
        <f t="shared" si="170"/>
        <v>20220905</v>
      </c>
      <c r="I875" s="1" t="str">
        <f>"070056"</f>
        <v>070056</v>
      </c>
      <c r="J875" s="1" t="s">
        <v>44</v>
      </c>
      <c r="K875" s="1" t="s">
        <v>45</v>
      </c>
      <c r="L875" s="1" t="str">
        <f t="shared" si="167"/>
        <v>20220905</v>
      </c>
      <c r="M875" s="1" t="str">
        <f>"071155"</f>
        <v>071155</v>
      </c>
      <c r="N875" s="1" t="s">
        <v>61</v>
      </c>
      <c r="O875" s="1" t="s">
        <v>45</v>
      </c>
      <c r="P875" s="1" t="s">
        <v>55</v>
      </c>
      <c r="Q875" s="1">
        <v>25</v>
      </c>
      <c r="R875" s="1">
        <v>25</v>
      </c>
      <c r="S875" s="1">
        <v>0</v>
      </c>
      <c r="T875" s="1">
        <v>0</v>
      </c>
      <c r="U875" s="1">
        <v>0</v>
      </c>
      <c r="V875" s="1" t="str">
        <f t="shared" si="169"/>
        <v>里程返程</v>
      </c>
      <c r="W875" s="1" t="str">
        <f>"2020"</f>
        <v>2020</v>
      </c>
      <c r="X875" s="1" t="s">
        <v>35</v>
      </c>
    </row>
    <row r="876" spans="1:24" x14ac:dyDescent="0.3">
      <c r="A876" s="1" t="str">
        <f t="shared" si="171"/>
        <v>59828</v>
      </c>
      <c r="B876" s="1" t="s">
        <v>23</v>
      </c>
      <c r="C876" s="1" t="s">
        <v>24</v>
      </c>
      <c r="D876" s="1" t="str">
        <f t="shared" si="172"/>
        <v>9801</v>
      </c>
      <c r="E876" s="1" t="s">
        <v>25</v>
      </c>
      <c r="F876" s="1" t="str">
        <f>"FE4816369688040047C13517C9002508"</f>
        <v>FE4816369688040047C13517C9002508</v>
      </c>
      <c r="G876" s="1" t="s">
        <v>58</v>
      </c>
      <c r="H876" s="1" t="str">
        <f t="shared" si="170"/>
        <v>20220905</v>
      </c>
      <c r="I876" s="1" t="str">
        <f>"070102"</f>
        <v>070102</v>
      </c>
      <c r="J876" s="1" t="s">
        <v>44</v>
      </c>
      <c r="K876" s="1" t="s">
        <v>45</v>
      </c>
      <c r="L876" s="1" t="str">
        <f t="shared" si="167"/>
        <v>20220905</v>
      </c>
      <c r="M876" s="1" t="str">
        <f>"072321"</f>
        <v>072321</v>
      </c>
      <c r="N876" s="1" t="s">
        <v>28</v>
      </c>
      <c r="O876" s="1" t="s">
        <v>28</v>
      </c>
      <c r="P876" s="1" t="s">
        <v>55</v>
      </c>
      <c r="Q876" s="1">
        <v>25</v>
      </c>
      <c r="R876" s="1">
        <v>25</v>
      </c>
      <c r="S876" s="1">
        <v>0</v>
      </c>
      <c r="T876" s="1">
        <v>0</v>
      </c>
      <c r="U876" s="1">
        <v>0</v>
      </c>
      <c r="V876" s="1" t="str">
        <f t="shared" si="169"/>
        <v>里程返程</v>
      </c>
      <c r="W876" s="1" t="str">
        <f>"0020"</f>
        <v>0020</v>
      </c>
      <c r="X876" s="1" t="s">
        <v>29</v>
      </c>
    </row>
    <row r="877" spans="1:24" x14ac:dyDescent="0.3">
      <c r="A877" s="1" t="str">
        <f t="shared" si="171"/>
        <v>59828</v>
      </c>
      <c r="B877" s="1" t="s">
        <v>23</v>
      </c>
      <c r="C877" s="1" t="s">
        <v>24</v>
      </c>
      <c r="D877" s="1" t="str">
        <f t="shared" si="172"/>
        <v>9801</v>
      </c>
      <c r="E877" s="1" t="s">
        <v>25</v>
      </c>
      <c r="F877" s="1" t="str">
        <f>"72BFE5022A880400C834002000000015"</f>
        <v>72BFE5022A880400C834002000000015</v>
      </c>
      <c r="G877" s="1" t="s">
        <v>26</v>
      </c>
      <c r="H877" s="1" t="str">
        <f t="shared" si="170"/>
        <v>20220905</v>
      </c>
      <c r="I877" s="1" t="str">
        <f>"071048"</f>
        <v>071048</v>
      </c>
      <c r="J877" s="1" t="s">
        <v>56</v>
      </c>
      <c r="K877" s="1" t="s">
        <v>45</v>
      </c>
      <c r="L877" s="1" t="str">
        <f t="shared" si="167"/>
        <v>20220905</v>
      </c>
      <c r="M877" s="1" t="str">
        <f>"072316"</f>
        <v>072316</v>
      </c>
      <c r="N877" s="1" t="s">
        <v>28</v>
      </c>
      <c r="O877" s="1" t="s">
        <v>28</v>
      </c>
      <c r="P877" s="1" t="s">
        <v>68</v>
      </c>
      <c r="Q877" s="1">
        <v>13</v>
      </c>
      <c r="R877" s="1">
        <v>0</v>
      </c>
      <c r="S877" s="1">
        <v>0</v>
      </c>
      <c r="T877" s="1">
        <v>13</v>
      </c>
      <c r="U877" s="1">
        <v>0</v>
      </c>
      <c r="V877" s="1" t="str">
        <f t="shared" si="169"/>
        <v>里程返程</v>
      </c>
      <c r="W877" s="1" t="str">
        <f>"0020"</f>
        <v>0020</v>
      </c>
      <c r="X877" s="1" t="s">
        <v>29</v>
      </c>
    </row>
    <row r="878" spans="1:24" x14ac:dyDescent="0.3">
      <c r="A878" s="1" t="str">
        <f t="shared" si="171"/>
        <v>59828</v>
      </c>
      <c r="B878" s="1" t="s">
        <v>23</v>
      </c>
      <c r="C878" s="1" t="s">
        <v>24</v>
      </c>
      <c r="D878" s="1" t="str">
        <f t="shared" si="172"/>
        <v>9801</v>
      </c>
      <c r="E878" s="1" t="s">
        <v>25</v>
      </c>
      <c r="F878" s="1" t="str">
        <f>"D257BD023A880400C834002000000015"</f>
        <v>D257BD023A880400C834002000000015</v>
      </c>
      <c r="G878" s="1" t="s">
        <v>74</v>
      </c>
      <c r="H878" s="1" t="str">
        <f t="shared" si="170"/>
        <v>20220905</v>
      </c>
      <c r="I878" s="1" t="str">
        <f>"072330"</f>
        <v>072330</v>
      </c>
      <c r="J878" s="1" t="s">
        <v>28</v>
      </c>
      <c r="K878" s="1" t="s">
        <v>28</v>
      </c>
      <c r="L878" s="1" t="str">
        <f t="shared" si="167"/>
        <v>20220905</v>
      </c>
      <c r="M878" s="1" t="str">
        <f>"073201"</f>
        <v>073201</v>
      </c>
      <c r="N878" s="1" t="s">
        <v>67</v>
      </c>
      <c r="O878" s="1" t="s">
        <v>52</v>
      </c>
      <c r="P878" s="1" t="s">
        <v>68</v>
      </c>
      <c r="Q878" s="1">
        <v>13</v>
      </c>
      <c r="R878" s="1">
        <v>0</v>
      </c>
      <c r="S878" s="1">
        <v>0</v>
      </c>
      <c r="T878" s="1">
        <v>13</v>
      </c>
      <c r="U878" s="1">
        <v>0</v>
      </c>
      <c r="V878" s="1" t="str">
        <f t="shared" si="169"/>
        <v>里程返程</v>
      </c>
      <c r="W878" s="1" t="str">
        <f>"0020"</f>
        <v>0020</v>
      </c>
      <c r="X878" s="1" t="s">
        <v>29</v>
      </c>
    </row>
    <row r="879" spans="1:24" x14ac:dyDescent="0.3">
      <c r="A879" s="1" t="str">
        <f t="shared" si="171"/>
        <v>59828</v>
      </c>
      <c r="B879" s="1" t="s">
        <v>23</v>
      </c>
      <c r="C879" s="1" t="s">
        <v>24</v>
      </c>
      <c r="D879" s="1" t="str">
        <f t="shared" si="172"/>
        <v>9801</v>
      </c>
      <c r="E879" s="1" t="s">
        <v>25</v>
      </c>
      <c r="F879" s="1" t="str">
        <f>"1636928213"</f>
        <v>1636928213</v>
      </c>
      <c r="G879" s="1" t="s">
        <v>33</v>
      </c>
      <c r="H879" s="1" t="str">
        <f t="shared" si="170"/>
        <v>20220905</v>
      </c>
      <c r="I879" s="1" t="str">
        <f>"072351"</f>
        <v>072351</v>
      </c>
      <c r="J879" s="1" t="s">
        <v>28</v>
      </c>
      <c r="K879" s="1" t="s">
        <v>28</v>
      </c>
      <c r="L879" s="1" t="str">
        <f t="shared" si="167"/>
        <v>20220905</v>
      </c>
      <c r="M879" s="1" t="str">
        <f>"073537"</f>
        <v>073537</v>
      </c>
      <c r="N879" s="1" t="s">
        <v>69</v>
      </c>
      <c r="O879" s="1" t="s">
        <v>52</v>
      </c>
      <c r="P879" s="1" t="s">
        <v>55</v>
      </c>
      <c r="Q879" s="1">
        <v>25</v>
      </c>
      <c r="R879" s="1">
        <v>0</v>
      </c>
      <c r="S879" s="1">
        <v>25</v>
      </c>
      <c r="T879" s="1">
        <v>0</v>
      </c>
      <c r="U879" s="1">
        <v>0</v>
      </c>
      <c r="V879" s="1" t="str">
        <f t="shared" si="169"/>
        <v>里程返程</v>
      </c>
      <c r="W879" s="1" t="str">
        <f>"0820"</f>
        <v>0820</v>
      </c>
      <c r="X879" s="1" t="s">
        <v>35</v>
      </c>
    </row>
    <row r="880" spans="1:24" x14ac:dyDescent="0.3">
      <c r="A880" s="1" t="str">
        <f t="shared" si="171"/>
        <v>59828</v>
      </c>
      <c r="B880" s="1" t="s">
        <v>23</v>
      </c>
      <c r="C880" s="1" t="s">
        <v>24</v>
      </c>
      <c r="D880" s="1" t="str">
        <f t="shared" si="172"/>
        <v>9801</v>
      </c>
      <c r="E880" s="1" t="s">
        <v>25</v>
      </c>
      <c r="F880" s="1" t="str">
        <f>"82730F18E6880400C814002000000019"</f>
        <v>82730F18E6880400C814002000000019</v>
      </c>
      <c r="G880" s="1" t="s">
        <v>59</v>
      </c>
      <c r="H880" s="1" t="str">
        <f t="shared" si="170"/>
        <v>20220905</v>
      </c>
      <c r="I880" s="1" t="str">
        <f>"072353"</f>
        <v>072353</v>
      </c>
      <c r="J880" s="1" t="s">
        <v>28</v>
      </c>
      <c r="K880" s="1" t="s">
        <v>28</v>
      </c>
      <c r="L880" s="1" t="str">
        <f t="shared" si="167"/>
        <v>20220905</v>
      </c>
      <c r="M880" s="1" t="str">
        <f>"074731"</f>
        <v>074731</v>
      </c>
      <c r="N880" s="1" t="s">
        <v>72</v>
      </c>
      <c r="O880" s="1" t="s">
        <v>52</v>
      </c>
      <c r="P880" s="1" t="s">
        <v>55</v>
      </c>
      <c r="Q880" s="1">
        <v>25</v>
      </c>
      <c r="R880" s="1">
        <v>0</v>
      </c>
      <c r="S880" s="1">
        <v>25</v>
      </c>
      <c r="T880" s="1">
        <v>0</v>
      </c>
      <c r="U880" s="1">
        <v>0</v>
      </c>
      <c r="V880" s="1" t="str">
        <f t="shared" si="169"/>
        <v>里程返程</v>
      </c>
      <c r="W880" s="1" t="str">
        <f>"0620"</f>
        <v>0620</v>
      </c>
      <c r="X880" s="1" t="s">
        <v>29</v>
      </c>
    </row>
    <row r="881" spans="1:24" x14ac:dyDescent="0.3">
      <c r="A881" s="1" t="str">
        <f t="shared" si="171"/>
        <v>59828</v>
      </c>
      <c r="B881" s="1" t="s">
        <v>23</v>
      </c>
      <c r="C881" s="1" t="s">
        <v>24</v>
      </c>
      <c r="D881" s="1" t="str">
        <f t="shared" si="172"/>
        <v>9801</v>
      </c>
      <c r="E881" s="1" t="s">
        <v>25</v>
      </c>
      <c r="F881" s="1" t="str">
        <f>"62F00B1881880400C814002000000019"</f>
        <v>62F00B1881880400C814002000000019</v>
      </c>
      <c r="G881" s="1" t="s">
        <v>59</v>
      </c>
      <c r="H881" s="1" t="str">
        <f t="shared" si="170"/>
        <v>20220905</v>
      </c>
      <c r="I881" s="1" t="str">
        <f>"072356"</f>
        <v>072356</v>
      </c>
      <c r="J881" s="1" t="s">
        <v>28</v>
      </c>
      <c r="K881" s="1" t="s">
        <v>28</v>
      </c>
      <c r="L881" s="1" t="str">
        <f t="shared" si="167"/>
        <v>20220905</v>
      </c>
      <c r="M881" s="1" t="str">
        <f>"074733"</f>
        <v>074733</v>
      </c>
      <c r="N881" s="1" t="s">
        <v>72</v>
      </c>
      <c r="O881" s="1" t="s">
        <v>52</v>
      </c>
      <c r="P881" s="1" t="s">
        <v>55</v>
      </c>
      <c r="Q881" s="1">
        <v>25</v>
      </c>
      <c r="R881" s="1">
        <v>0</v>
      </c>
      <c r="S881" s="1">
        <v>25</v>
      </c>
      <c r="T881" s="1">
        <v>0</v>
      </c>
      <c r="U881" s="1">
        <v>0</v>
      </c>
      <c r="V881" s="1" t="str">
        <f t="shared" si="169"/>
        <v>里程返程</v>
      </c>
      <c r="W881" s="1" t="str">
        <f>"0620"</f>
        <v>0620</v>
      </c>
      <c r="X881" s="1" t="s">
        <v>29</v>
      </c>
    </row>
    <row r="882" spans="1:24" x14ac:dyDescent="0.3">
      <c r="A882" s="1" t="str">
        <f t="shared" si="171"/>
        <v>59828</v>
      </c>
      <c r="B882" s="1" t="s">
        <v>23</v>
      </c>
      <c r="C882" s="1" t="s">
        <v>24</v>
      </c>
      <c r="D882" s="1" t="str">
        <f t="shared" si="172"/>
        <v>9801</v>
      </c>
      <c r="E882" s="1" t="s">
        <v>25</v>
      </c>
      <c r="F882" s="1" t="str">
        <f>"762922005"</f>
        <v>762922005</v>
      </c>
      <c r="G882" s="1" t="s">
        <v>33</v>
      </c>
      <c r="H882" s="1" t="str">
        <f t="shared" si="170"/>
        <v>20220905</v>
      </c>
      <c r="I882" s="1" t="str">
        <f>"072400"</f>
        <v>072400</v>
      </c>
      <c r="J882" s="1" t="s">
        <v>28</v>
      </c>
      <c r="K882" s="1" t="s">
        <v>28</v>
      </c>
      <c r="L882" s="1" t="str">
        <f t="shared" si="167"/>
        <v>20220905</v>
      </c>
      <c r="M882" s="1" t="str">
        <f>"074740"</f>
        <v>074740</v>
      </c>
      <c r="N882" s="1" t="s">
        <v>72</v>
      </c>
      <c r="O882" s="1" t="s">
        <v>52</v>
      </c>
      <c r="P882" s="1" t="s">
        <v>55</v>
      </c>
      <c r="Q882" s="1">
        <v>25</v>
      </c>
      <c r="R882" s="1">
        <v>25</v>
      </c>
      <c r="S882" s="1">
        <v>0</v>
      </c>
      <c r="T882" s="1">
        <v>0</v>
      </c>
      <c r="U882" s="1">
        <v>0</v>
      </c>
      <c r="V882" s="1" t="str">
        <f t="shared" si="169"/>
        <v>里程返程</v>
      </c>
      <c r="W882" s="1" t="str">
        <f>"2020"</f>
        <v>2020</v>
      </c>
      <c r="X882" s="1" t="s">
        <v>35</v>
      </c>
    </row>
    <row r="883" spans="1:24" x14ac:dyDescent="0.3">
      <c r="A883" s="1" t="str">
        <f t="shared" si="171"/>
        <v>59828</v>
      </c>
      <c r="B883" s="1" t="s">
        <v>23</v>
      </c>
      <c r="C883" s="1" t="s">
        <v>24</v>
      </c>
      <c r="D883" s="1" t="str">
        <f t="shared" si="172"/>
        <v>9801</v>
      </c>
      <c r="E883" s="1" t="s">
        <v>25</v>
      </c>
      <c r="F883" s="1" t="str">
        <f>"924942453"</f>
        <v>924942453</v>
      </c>
      <c r="G883" s="1" t="s">
        <v>38</v>
      </c>
      <c r="H883" s="1" t="str">
        <f t="shared" si="170"/>
        <v>20220905</v>
      </c>
      <c r="I883" s="1" t="str">
        <f>"072404"</f>
        <v>072404</v>
      </c>
      <c r="J883" s="1" t="s">
        <v>28</v>
      </c>
      <c r="K883" s="1" t="s">
        <v>28</v>
      </c>
      <c r="L883" s="1" t="str">
        <f t="shared" si="167"/>
        <v>20220905</v>
      </c>
      <c r="M883" s="1" t="str">
        <f>"074735"</f>
        <v>074735</v>
      </c>
      <c r="N883" s="1" t="s">
        <v>72</v>
      </c>
      <c r="O883" s="1" t="s">
        <v>52</v>
      </c>
      <c r="P883" s="1" t="s">
        <v>55</v>
      </c>
      <c r="Q883" s="1">
        <v>25</v>
      </c>
      <c r="R883" s="1">
        <v>0</v>
      </c>
      <c r="S883" s="1">
        <v>25</v>
      </c>
      <c r="T883" s="1">
        <v>0</v>
      </c>
      <c r="U883" s="1">
        <v>0</v>
      </c>
      <c r="V883" s="1" t="str">
        <f t="shared" si="169"/>
        <v>里程返程</v>
      </c>
      <c r="W883" s="1" t="str">
        <f>"0820"</f>
        <v>0820</v>
      </c>
      <c r="X883" s="1" t="s">
        <v>35</v>
      </c>
    </row>
    <row r="884" spans="1:24" x14ac:dyDescent="0.3">
      <c r="A884" s="1" t="str">
        <f t="shared" si="171"/>
        <v>59828</v>
      </c>
      <c r="B884" s="1" t="s">
        <v>23</v>
      </c>
      <c r="C884" s="1" t="s">
        <v>24</v>
      </c>
      <c r="D884" s="1" t="str">
        <f t="shared" si="172"/>
        <v>9801</v>
      </c>
      <c r="E884" s="1" t="s">
        <v>25</v>
      </c>
      <c r="F884" s="1" t="str">
        <f>"1759959808"</f>
        <v>1759959808</v>
      </c>
      <c r="G884" s="1" t="s">
        <v>33</v>
      </c>
      <c r="H884" s="1" t="str">
        <f t="shared" si="170"/>
        <v>20220905</v>
      </c>
      <c r="I884" s="1" t="str">
        <f>"074331"</f>
        <v>074331</v>
      </c>
      <c r="J884" s="1" t="s">
        <v>80</v>
      </c>
      <c r="K884" s="1" t="s">
        <v>52</v>
      </c>
      <c r="L884" s="1" t="str">
        <f t="shared" si="167"/>
        <v>20220905</v>
      </c>
      <c r="M884" s="1" t="str">
        <f>"075226"</f>
        <v>075226</v>
      </c>
      <c r="N884" s="1" t="s">
        <v>60</v>
      </c>
      <c r="O884" s="1" t="s">
        <v>52</v>
      </c>
      <c r="P884" s="1" t="s">
        <v>55</v>
      </c>
      <c r="Q884" s="1">
        <v>25</v>
      </c>
      <c r="R884" s="1">
        <v>25</v>
      </c>
      <c r="S884" s="1">
        <v>0</v>
      </c>
      <c r="T884" s="1">
        <v>0</v>
      </c>
      <c r="U884" s="1">
        <v>0</v>
      </c>
      <c r="V884" s="1" t="str">
        <f t="shared" si="169"/>
        <v>里程返程</v>
      </c>
      <c r="W884" s="1" t="str">
        <f>"2020"</f>
        <v>2020</v>
      </c>
      <c r="X884" s="1" t="s">
        <v>35</v>
      </c>
    </row>
    <row r="885" spans="1:24" x14ac:dyDescent="0.3">
      <c r="A885" s="1" t="str">
        <f t="shared" si="171"/>
        <v>59828</v>
      </c>
      <c r="B885" s="1" t="s">
        <v>23</v>
      </c>
      <c r="C885" s="1" t="s">
        <v>24</v>
      </c>
      <c r="D885" s="1" t="str">
        <f t="shared" si="172"/>
        <v>9801</v>
      </c>
      <c r="E885" s="1" t="s">
        <v>25</v>
      </c>
      <c r="F885" s="1" t="str">
        <f>"7227E702B0880400C834002000000015"</f>
        <v>7227E702B0880400C834002000000015</v>
      </c>
      <c r="G885" s="1" t="s">
        <v>74</v>
      </c>
      <c r="H885" s="1" t="str">
        <f t="shared" si="170"/>
        <v>20220905</v>
      </c>
      <c r="I885" s="1" t="str">
        <f>"075743"</f>
        <v>075743</v>
      </c>
      <c r="J885" s="1" t="s">
        <v>52</v>
      </c>
      <c r="K885" s="1" t="s">
        <v>52</v>
      </c>
      <c r="L885" s="1" t="str">
        <f t="shared" si="167"/>
        <v>20220905</v>
      </c>
      <c r="M885" s="1" t="str">
        <f>"081608"</f>
        <v>081608</v>
      </c>
      <c r="N885" s="1" t="s">
        <v>80</v>
      </c>
      <c r="O885" s="1" t="s">
        <v>52</v>
      </c>
      <c r="P885" s="1" t="s">
        <v>68</v>
      </c>
      <c r="Q885" s="1">
        <v>13</v>
      </c>
      <c r="R885" s="1">
        <v>0</v>
      </c>
      <c r="S885" s="1">
        <v>0</v>
      </c>
      <c r="T885" s="1">
        <v>13</v>
      </c>
      <c r="U885" s="1">
        <v>0</v>
      </c>
      <c r="V885" s="1" t="str">
        <f>"里程去程"</f>
        <v>里程去程</v>
      </c>
      <c r="W885" s="1" t="str">
        <f>"0020"</f>
        <v>0020</v>
      </c>
      <c r="X885" s="1" t="s">
        <v>29</v>
      </c>
    </row>
    <row r="886" spans="1:24" x14ac:dyDescent="0.3">
      <c r="A886" s="1" t="str">
        <f t="shared" si="171"/>
        <v>59828</v>
      </c>
      <c r="B886" s="1" t="s">
        <v>23</v>
      </c>
      <c r="C886" s="1" t="s">
        <v>24</v>
      </c>
      <c r="D886" s="1" t="str">
        <f t="shared" si="172"/>
        <v>9801</v>
      </c>
      <c r="E886" s="1" t="s">
        <v>25</v>
      </c>
      <c r="F886" s="1" t="str">
        <f>"2604765327"</f>
        <v>2604765327</v>
      </c>
      <c r="G886" s="1" t="s">
        <v>33</v>
      </c>
      <c r="H886" s="1" t="str">
        <f t="shared" si="170"/>
        <v>20220905</v>
      </c>
      <c r="I886" s="1" t="str">
        <f>"123235"</f>
        <v>123235</v>
      </c>
      <c r="J886" s="1" t="s">
        <v>44</v>
      </c>
      <c r="K886" s="1" t="s">
        <v>45</v>
      </c>
      <c r="L886" s="1" t="str">
        <f t="shared" si="167"/>
        <v>20220905</v>
      </c>
      <c r="M886" s="1" t="str">
        <f>"125018"</f>
        <v>125018</v>
      </c>
      <c r="N886" s="1" t="s">
        <v>28</v>
      </c>
      <c r="O886" s="1" t="s">
        <v>28</v>
      </c>
      <c r="P886" s="1" t="s">
        <v>55</v>
      </c>
      <c r="Q886" s="1">
        <v>25</v>
      </c>
      <c r="R886" s="1">
        <v>25</v>
      </c>
      <c r="S886" s="1">
        <v>0</v>
      </c>
      <c r="T886" s="1">
        <v>0</v>
      </c>
      <c r="U886" s="1">
        <v>0</v>
      </c>
      <c r="V886" s="1" t="str">
        <f t="shared" ref="V886:V906" si="173">"里程返程"</f>
        <v>里程返程</v>
      </c>
      <c r="W886" s="1" t="str">
        <f>"0120"</f>
        <v>0120</v>
      </c>
      <c r="X886" s="1" t="s">
        <v>35</v>
      </c>
    </row>
    <row r="887" spans="1:24" x14ac:dyDescent="0.3">
      <c r="A887" s="1" t="str">
        <f t="shared" si="171"/>
        <v>59828</v>
      </c>
      <c r="B887" s="1" t="s">
        <v>23</v>
      </c>
      <c r="C887" s="1" t="s">
        <v>24</v>
      </c>
      <c r="D887" s="1" t="str">
        <f t="shared" si="172"/>
        <v>9801</v>
      </c>
      <c r="E887" s="1" t="s">
        <v>25</v>
      </c>
      <c r="F887" s="1" t="str">
        <f>"1222134209"</f>
        <v>1222134209</v>
      </c>
      <c r="G887" s="1" t="s">
        <v>33</v>
      </c>
      <c r="H887" s="1" t="str">
        <f t="shared" si="170"/>
        <v>20220905</v>
      </c>
      <c r="I887" s="1" t="str">
        <f>"123239"</f>
        <v>123239</v>
      </c>
      <c r="J887" s="1" t="s">
        <v>44</v>
      </c>
      <c r="K887" s="1" t="s">
        <v>45</v>
      </c>
      <c r="L887" s="1" t="str">
        <f t="shared" si="167"/>
        <v>20220905</v>
      </c>
      <c r="M887" s="1" t="str">
        <f>"125013"</f>
        <v>125013</v>
      </c>
      <c r="N887" s="1" t="s">
        <v>28</v>
      </c>
      <c r="O887" s="1" t="s">
        <v>28</v>
      </c>
      <c r="P887" s="1" t="s">
        <v>55</v>
      </c>
      <c r="Q887" s="1">
        <v>25</v>
      </c>
      <c r="R887" s="1">
        <v>25</v>
      </c>
      <c r="S887" s="1">
        <v>0</v>
      </c>
      <c r="T887" s="1">
        <v>0</v>
      </c>
      <c r="U887" s="1">
        <v>0</v>
      </c>
      <c r="V887" s="1" t="str">
        <f t="shared" si="173"/>
        <v>里程返程</v>
      </c>
      <c r="W887" s="1" t="str">
        <f>"0820"</f>
        <v>0820</v>
      </c>
      <c r="X887" s="1" t="s">
        <v>35</v>
      </c>
    </row>
    <row r="888" spans="1:24" x14ac:dyDescent="0.3">
      <c r="A888" s="1" t="str">
        <f t="shared" si="171"/>
        <v>59828</v>
      </c>
      <c r="B888" s="1" t="s">
        <v>23</v>
      </c>
      <c r="C888" s="1" t="s">
        <v>24</v>
      </c>
      <c r="D888" s="1" t="str">
        <f t="shared" si="172"/>
        <v>9801</v>
      </c>
      <c r="E888" s="1" t="s">
        <v>25</v>
      </c>
      <c r="F888" s="1" t="str">
        <f>"1734483201"</f>
        <v>1734483201</v>
      </c>
      <c r="G888" s="1" t="s">
        <v>26</v>
      </c>
      <c r="H888" s="1" t="str">
        <f t="shared" si="170"/>
        <v>20220905</v>
      </c>
      <c r="I888" s="1" t="str">
        <f>"124003"</f>
        <v>124003</v>
      </c>
      <c r="J888" s="1" t="s">
        <v>56</v>
      </c>
      <c r="K888" s="1" t="s">
        <v>45</v>
      </c>
      <c r="L888" s="1" t="str">
        <f t="shared" si="167"/>
        <v>20220905</v>
      </c>
      <c r="M888" s="1" t="str">
        <f>"125023"</f>
        <v>125023</v>
      </c>
      <c r="N888" s="1" t="s">
        <v>28</v>
      </c>
      <c r="O888" s="1" t="s">
        <v>28</v>
      </c>
      <c r="P888" s="1" t="s">
        <v>55</v>
      </c>
      <c r="Q888" s="1">
        <v>13</v>
      </c>
      <c r="R888" s="1">
        <v>0</v>
      </c>
      <c r="S888" s="1">
        <v>13</v>
      </c>
      <c r="T888" s="1">
        <v>0</v>
      </c>
      <c r="U888" s="1">
        <v>0</v>
      </c>
      <c r="V888" s="1" t="str">
        <f t="shared" si="173"/>
        <v>里程返程</v>
      </c>
      <c r="W888" s="1" t="str">
        <f>"2020"</f>
        <v>2020</v>
      </c>
      <c r="X888" s="1" t="s">
        <v>35</v>
      </c>
    </row>
    <row r="889" spans="1:24" x14ac:dyDescent="0.3">
      <c r="A889" s="1" t="str">
        <f t="shared" si="171"/>
        <v>59828</v>
      </c>
      <c r="B889" s="1" t="s">
        <v>23</v>
      </c>
      <c r="C889" s="1" t="s">
        <v>24</v>
      </c>
      <c r="D889" s="1" t="str">
        <f t="shared" si="172"/>
        <v>9801</v>
      </c>
      <c r="E889" s="1" t="s">
        <v>25</v>
      </c>
      <c r="F889" s="1" t="str">
        <f>"200114070"</f>
        <v>200114070</v>
      </c>
      <c r="G889" s="1" t="s">
        <v>33</v>
      </c>
      <c r="H889" s="1" t="str">
        <f t="shared" si="170"/>
        <v>20220905</v>
      </c>
      <c r="I889" s="1" t="str">
        <f>"125030"</f>
        <v>125030</v>
      </c>
      <c r="J889" s="1" t="s">
        <v>28</v>
      </c>
      <c r="K889" s="1" t="s">
        <v>28</v>
      </c>
      <c r="L889" s="1" t="str">
        <f t="shared" si="167"/>
        <v>20220905</v>
      </c>
      <c r="M889" s="1" t="str">
        <f>"130445"</f>
        <v>130445</v>
      </c>
      <c r="N889" s="1" t="s">
        <v>83</v>
      </c>
      <c r="O889" s="1" t="s">
        <v>52</v>
      </c>
      <c r="P889" s="1" t="s">
        <v>55</v>
      </c>
      <c r="Q889" s="1">
        <v>25</v>
      </c>
      <c r="R889" s="1">
        <v>25</v>
      </c>
      <c r="S889" s="1">
        <v>0</v>
      </c>
      <c r="T889" s="1">
        <v>0</v>
      </c>
      <c r="U889" s="1">
        <v>0</v>
      </c>
      <c r="V889" s="1" t="str">
        <f t="shared" si="173"/>
        <v>里程返程</v>
      </c>
      <c r="W889" s="1" t="str">
        <f>"1120"</f>
        <v>1120</v>
      </c>
      <c r="X889" s="1" t="s">
        <v>35</v>
      </c>
    </row>
    <row r="890" spans="1:24" x14ac:dyDescent="0.3">
      <c r="A890" s="1" t="str">
        <f t="shared" si="171"/>
        <v>59828</v>
      </c>
      <c r="B890" s="1" t="s">
        <v>23</v>
      </c>
      <c r="C890" s="1" t="s">
        <v>24</v>
      </c>
      <c r="D890" s="1" t="str">
        <f t="shared" si="172"/>
        <v>9801</v>
      </c>
      <c r="E890" s="1" t="s">
        <v>25</v>
      </c>
      <c r="F890" s="1" t="str">
        <f>"41489F33A5280400F700000000000000"</f>
        <v>41489F33A5280400F700000000000000</v>
      </c>
      <c r="G890" s="1" t="s">
        <v>58</v>
      </c>
      <c r="H890" s="1" t="str">
        <f t="shared" si="170"/>
        <v>20220905</v>
      </c>
      <c r="I890" s="1" t="str">
        <f>"125037"</f>
        <v>125037</v>
      </c>
      <c r="J890" s="1" t="s">
        <v>28</v>
      </c>
      <c r="K890" s="1" t="s">
        <v>28</v>
      </c>
      <c r="L890" s="1" t="str">
        <f t="shared" si="167"/>
        <v>20220905</v>
      </c>
      <c r="M890" s="1" t="str">
        <f>"132527"</f>
        <v>132527</v>
      </c>
      <c r="N890" s="1" t="s">
        <v>52</v>
      </c>
      <c r="O890" s="1" t="s">
        <v>52</v>
      </c>
      <c r="P890" s="1" t="s">
        <v>55</v>
      </c>
      <c r="Q890" s="1">
        <v>25</v>
      </c>
      <c r="R890" s="1">
        <v>25</v>
      </c>
      <c r="S890" s="1">
        <v>0</v>
      </c>
      <c r="T890" s="1">
        <v>0</v>
      </c>
      <c r="U890" s="1">
        <v>0</v>
      </c>
      <c r="V890" s="1" t="str">
        <f t="shared" si="173"/>
        <v>里程返程</v>
      </c>
      <c r="W890" s="1" t="str">
        <f>"0020"</f>
        <v>0020</v>
      </c>
      <c r="X890" s="1" t="s">
        <v>29</v>
      </c>
    </row>
    <row r="891" spans="1:24" x14ac:dyDescent="0.3">
      <c r="A891" s="1" t="str">
        <f t="shared" si="171"/>
        <v>59828</v>
      </c>
      <c r="B891" s="1" t="s">
        <v>23</v>
      </c>
      <c r="C891" s="1" t="s">
        <v>24</v>
      </c>
      <c r="D891" s="1" t="str">
        <f t="shared" si="172"/>
        <v>9801</v>
      </c>
      <c r="E891" s="1" t="s">
        <v>25</v>
      </c>
      <c r="F891" s="1" t="str">
        <f>"922E0C15A528040080CEDA1449914018"</f>
        <v>922E0C15A528040080CEDA1449914018</v>
      </c>
      <c r="G891" s="1" t="s">
        <v>58</v>
      </c>
      <c r="H891" s="1" t="str">
        <f t="shared" si="170"/>
        <v>20220905</v>
      </c>
      <c r="I891" s="1" t="str">
        <f>"125041"</f>
        <v>125041</v>
      </c>
      <c r="J891" s="1" t="s">
        <v>28</v>
      </c>
      <c r="K891" s="1" t="s">
        <v>28</v>
      </c>
      <c r="L891" s="1" t="str">
        <f t="shared" si="167"/>
        <v>20220905</v>
      </c>
      <c r="M891" s="1" t="str">
        <f>"132524"</f>
        <v>132524</v>
      </c>
      <c r="N891" s="1" t="s">
        <v>52</v>
      </c>
      <c r="O891" s="1" t="s">
        <v>52</v>
      </c>
      <c r="P891" s="1" t="s">
        <v>55</v>
      </c>
      <c r="Q891" s="1">
        <v>25</v>
      </c>
      <c r="R891" s="1">
        <v>25</v>
      </c>
      <c r="S891" s="1">
        <v>0</v>
      </c>
      <c r="T891" s="1">
        <v>0</v>
      </c>
      <c r="U891" s="1">
        <v>0</v>
      </c>
      <c r="V891" s="1" t="str">
        <f t="shared" si="173"/>
        <v>里程返程</v>
      </c>
      <c r="W891" s="1" t="str">
        <f>"0020"</f>
        <v>0020</v>
      </c>
      <c r="X891" s="1" t="s">
        <v>29</v>
      </c>
    </row>
    <row r="892" spans="1:24" x14ac:dyDescent="0.3">
      <c r="A892" s="1" t="str">
        <f t="shared" si="171"/>
        <v>59828</v>
      </c>
      <c r="B892" s="1" t="s">
        <v>23</v>
      </c>
      <c r="C892" s="1" t="s">
        <v>24</v>
      </c>
      <c r="D892" s="1" t="str">
        <f t="shared" si="172"/>
        <v>9801</v>
      </c>
      <c r="E892" s="1" t="s">
        <v>25</v>
      </c>
      <c r="F892" s="1" t="str">
        <f>"A21E29198C880400C821002000000019"</f>
        <v>A21E29198C880400C821002000000019</v>
      </c>
      <c r="G892" s="1" t="s">
        <v>64</v>
      </c>
      <c r="H892" s="1" t="str">
        <f t="shared" si="170"/>
        <v>20220905</v>
      </c>
      <c r="I892" s="1" t="str">
        <f>"125300"</f>
        <v>125300</v>
      </c>
      <c r="J892" s="1" t="s">
        <v>28</v>
      </c>
      <c r="K892" s="1" t="s">
        <v>28</v>
      </c>
      <c r="L892" s="1" t="str">
        <f t="shared" ref="L892:L923" si="174">"20220905"</f>
        <v>20220905</v>
      </c>
      <c r="M892" s="1" t="str">
        <f>"131904"</f>
        <v>131904</v>
      </c>
      <c r="N892" s="1" t="s">
        <v>51</v>
      </c>
      <c r="O892" s="1" t="s">
        <v>52</v>
      </c>
      <c r="P892" s="1" t="s">
        <v>55</v>
      </c>
      <c r="Q892" s="1">
        <v>13</v>
      </c>
      <c r="R892" s="1">
        <v>13</v>
      </c>
      <c r="S892" s="1">
        <v>0</v>
      </c>
      <c r="T892" s="1">
        <v>0</v>
      </c>
      <c r="U892" s="1">
        <v>0</v>
      </c>
      <c r="V892" s="1" t="str">
        <f t="shared" si="173"/>
        <v>里程返程</v>
      </c>
      <c r="W892" s="1" t="str">
        <f>"0020"</f>
        <v>0020</v>
      </c>
      <c r="X892" s="1" t="s">
        <v>29</v>
      </c>
    </row>
    <row r="893" spans="1:24" x14ac:dyDescent="0.3">
      <c r="A893" s="1" t="str">
        <f t="shared" si="171"/>
        <v>59828</v>
      </c>
      <c r="B893" s="1" t="s">
        <v>23</v>
      </c>
      <c r="C893" s="1" t="s">
        <v>24</v>
      </c>
      <c r="D893" s="1" t="str">
        <f t="shared" si="172"/>
        <v>9801</v>
      </c>
      <c r="E893" s="1" t="s">
        <v>25</v>
      </c>
      <c r="F893" s="1" t="str">
        <f>"B1588800618804004324714D0015080E"</f>
        <v>B1588800618804004324714D0015080E</v>
      </c>
      <c r="G893" s="1" t="s">
        <v>58</v>
      </c>
      <c r="H893" s="1" t="str">
        <f t="shared" si="170"/>
        <v>20220905</v>
      </c>
      <c r="I893" s="1" t="str">
        <f>"125317"</f>
        <v>125317</v>
      </c>
      <c r="J893" s="1" t="s">
        <v>28</v>
      </c>
      <c r="K893" s="1" t="s">
        <v>28</v>
      </c>
      <c r="L893" s="1" t="str">
        <f t="shared" si="174"/>
        <v>20220905</v>
      </c>
      <c r="M893" s="1" t="str">
        <f>"130220"</f>
        <v>130220</v>
      </c>
      <c r="N893" s="1" t="s">
        <v>84</v>
      </c>
      <c r="O893" s="1" t="s">
        <v>28</v>
      </c>
      <c r="P893" s="1" t="s">
        <v>55</v>
      </c>
      <c r="Q893" s="1">
        <v>25</v>
      </c>
      <c r="R893" s="1">
        <v>25</v>
      </c>
      <c r="S893" s="1">
        <v>0</v>
      </c>
      <c r="T893" s="1">
        <v>0</v>
      </c>
      <c r="U893" s="1">
        <v>0</v>
      </c>
      <c r="V893" s="1" t="str">
        <f t="shared" si="173"/>
        <v>里程返程</v>
      </c>
      <c r="W893" s="1" t="str">
        <f>"0020"</f>
        <v>0020</v>
      </c>
      <c r="X893" s="1" t="s">
        <v>29</v>
      </c>
    </row>
    <row r="894" spans="1:24" x14ac:dyDescent="0.3">
      <c r="A894" s="1" t="str">
        <f t="shared" si="171"/>
        <v>59828</v>
      </c>
      <c r="B894" s="1" t="s">
        <v>23</v>
      </c>
      <c r="C894" s="1" t="s">
        <v>24</v>
      </c>
      <c r="D894" s="1" t="str">
        <f t="shared" si="172"/>
        <v>9801</v>
      </c>
      <c r="E894" s="1" t="s">
        <v>25</v>
      </c>
      <c r="F894" s="1" t="str">
        <f>"E220D10211880400C834002000000015"</f>
        <v>E220D10211880400C834002000000015</v>
      </c>
      <c r="G894" s="1" t="s">
        <v>74</v>
      </c>
      <c r="H894" s="1" t="str">
        <f t="shared" si="170"/>
        <v>20220905</v>
      </c>
      <c r="I894" s="1" t="str">
        <f>"131407"</f>
        <v>131407</v>
      </c>
      <c r="J894" s="1" t="s">
        <v>97</v>
      </c>
      <c r="K894" s="1" t="s">
        <v>52</v>
      </c>
      <c r="L894" s="1" t="str">
        <f t="shared" si="174"/>
        <v>20220905</v>
      </c>
      <c r="M894" s="1" t="str">
        <f>"131526"</f>
        <v>131526</v>
      </c>
      <c r="N894" s="1" t="s">
        <v>65</v>
      </c>
      <c r="O894" s="1" t="s">
        <v>52</v>
      </c>
      <c r="P894" s="1" t="s">
        <v>68</v>
      </c>
      <c r="Q894" s="1">
        <v>13</v>
      </c>
      <c r="R894" s="1">
        <v>0</v>
      </c>
      <c r="S894" s="1">
        <v>0</v>
      </c>
      <c r="T894" s="1">
        <v>13</v>
      </c>
      <c r="U894" s="1">
        <v>0</v>
      </c>
      <c r="V894" s="1" t="str">
        <f t="shared" si="173"/>
        <v>里程返程</v>
      </c>
      <c r="W894" s="1" t="str">
        <f>"0020"</f>
        <v>0020</v>
      </c>
      <c r="X894" s="1" t="s">
        <v>29</v>
      </c>
    </row>
    <row r="895" spans="1:24" x14ac:dyDescent="0.3">
      <c r="A895" s="1" t="str">
        <f t="shared" si="171"/>
        <v>59828</v>
      </c>
      <c r="B895" s="1" t="s">
        <v>23</v>
      </c>
      <c r="C895" s="1" t="s">
        <v>24</v>
      </c>
      <c r="D895" s="1" t="str">
        <f t="shared" si="172"/>
        <v>9801</v>
      </c>
      <c r="E895" s="1" t="s">
        <v>25</v>
      </c>
      <c r="F895" s="1" t="str">
        <f>"776560917"</f>
        <v>776560917</v>
      </c>
      <c r="G895" s="1" t="s">
        <v>33</v>
      </c>
      <c r="H895" s="1" t="str">
        <f t="shared" si="170"/>
        <v>20220905</v>
      </c>
      <c r="I895" s="1" t="str">
        <f>"143521"</f>
        <v>143521</v>
      </c>
      <c r="J895" s="1" t="s">
        <v>44</v>
      </c>
      <c r="K895" s="1" t="s">
        <v>45</v>
      </c>
      <c r="L895" s="1" t="str">
        <f t="shared" si="174"/>
        <v>20220905</v>
      </c>
      <c r="M895" s="1" t="str">
        <f>"145310"</f>
        <v>145310</v>
      </c>
      <c r="N895" s="1" t="s">
        <v>28</v>
      </c>
      <c r="O895" s="1" t="s">
        <v>28</v>
      </c>
      <c r="P895" s="1" t="s">
        <v>55</v>
      </c>
      <c r="Q895" s="1">
        <v>25</v>
      </c>
      <c r="R895" s="1">
        <v>25</v>
      </c>
      <c r="S895" s="1">
        <v>0</v>
      </c>
      <c r="T895" s="1">
        <v>0</v>
      </c>
      <c r="U895" s="1">
        <v>0</v>
      </c>
      <c r="V895" s="1" t="str">
        <f t="shared" si="173"/>
        <v>里程返程</v>
      </c>
      <c r="W895" s="1" t="str">
        <f>"2020"</f>
        <v>2020</v>
      </c>
      <c r="X895" s="1" t="s">
        <v>35</v>
      </c>
    </row>
    <row r="896" spans="1:24" x14ac:dyDescent="0.3">
      <c r="A896" s="1" t="str">
        <f t="shared" si="171"/>
        <v>59828</v>
      </c>
      <c r="B896" s="1" t="s">
        <v>23</v>
      </c>
      <c r="C896" s="1" t="s">
        <v>24</v>
      </c>
      <c r="D896" s="1" t="str">
        <f t="shared" si="172"/>
        <v>9801</v>
      </c>
      <c r="E896" s="1" t="s">
        <v>25</v>
      </c>
      <c r="F896" s="1" t="str">
        <f>"423225169"</f>
        <v>423225169</v>
      </c>
      <c r="G896" s="1" t="s">
        <v>33</v>
      </c>
      <c r="H896" s="1" t="str">
        <f t="shared" si="170"/>
        <v>20220905</v>
      </c>
      <c r="I896" s="1" t="str">
        <f>"143523"</f>
        <v>143523</v>
      </c>
      <c r="J896" s="1" t="s">
        <v>44</v>
      </c>
      <c r="K896" s="1" t="s">
        <v>45</v>
      </c>
      <c r="L896" s="1" t="str">
        <f t="shared" si="174"/>
        <v>20220905</v>
      </c>
      <c r="M896" s="1" t="str">
        <f>"145306"</f>
        <v>145306</v>
      </c>
      <c r="N896" s="1" t="s">
        <v>28</v>
      </c>
      <c r="O896" s="1" t="s">
        <v>28</v>
      </c>
      <c r="P896" s="1" t="s">
        <v>55</v>
      </c>
      <c r="Q896" s="1">
        <v>25</v>
      </c>
      <c r="R896" s="1">
        <v>25</v>
      </c>
      <c r="S896" s="1">
        <v>0</v>
      </c>
      <c r="T896" s="1">
        <v>0</v>
      </c>
      <c r="U896" s="1">
        <v>0</v>
      </c>
      <c r="V896" s="1" t="str">
        <f t="shared" si="173"/>
        <v>里程返程</v>
      </c>
      <c r="W896" s="1" t="str">
        <f>"2020"</f>
        <v>2020</v>
      </c>
      <c r="X896" s="1" t="s">
        <v>35</v>
      </c>
    </row>
    <row r="897" spans="1:24" x14ac:dyDescent="0.3">
      <c r="A897" s="1" t="str">
        <f t="shared" si="171"/>
        <v>59828</v>
      </c>
      <c r="B897" s="1" t="s">
        <v>23</v>
      </c>
      <c r="C897" s="1" t="s">
        <v>24</v>
      </c>
      <c r="D897" s="1" t="str">
        <f t="shared" si="172"/>
        <v>9801</v>
      </c>
      <c r="E897" s="1" t="s">
        <v>25</v>
      </c>
      <c r="F897" s="1" t="str">
        <f>"1118558389"</f>
        <v>1118558389</v>
      </c>
      <c r="G897" s="1" t="s">
        <v>26</v>
      </c>
      <c r="H897" s="1" t="str">
        <f t="shared" si="170"/>
        <v>20220905</v>
      </c>
      <c r="I897" s="1" t="str">
        <f>"145513"</f>
        <v>145513</v>
      </c>
      <c r="J897" s="1" t="s">
        <v>28</v>
      </c>
      <c r="K897" s="1" t="s">
        <v>28</v>
      </c>
      <c r="L897" s="1" t="str">
        <f t="shared" si="174"/>
        <v>20220905</v>
      </c>
      <c r="M897" s="1" t="str">
        <f>"151203"</f>
        <v>151203</v>
      </c>
      <c r="N897" s="1" t="s">
        <v>97</v>
      </c>
      <c r="O897" s="1" t="s">
        <v>52</v>
      </c>
      <c r="P897" s="1" t="s">
        <v>55</v>
      </c>
      <c r="Q897" s="1">
        <v>13</v>
      </c>
      <c r="R897" s="1">
        <v>13</v>
      </c>
      <c r="S897" s="1">
        <v>0</v>
      </c>
      <c r="T897" s="1">
        <v>0</v>
      </c>
      <c r="U897" s="1">
        <v>0</v>
      </c>
      <c r="V897" s="1" t="str">
        <f t="shared" si="173"/>
        <v>里程返程</v>
      </c>
      <c r="W897" s="1" t="str">
        <f>"0320"</f>
        <v>0320</v>
      </c>
      <c r="X897" s="1" t="s">
        <v>35</v>
      </c>
    </row>
    <row r="898" spans="1:24" x14ac:dyDescent="0.3">
      <c r="A898" s="1" t="str">
        <f t="shared" si="171"/>
        <v>59828</v>
      </c>
      <c r="B898" s="1" t="s">
        <v>23</v>
      </c>
      <c r="C898" s="1" t="s">
        <v>24</v>
      </c>
      <c r="D898" s="1" t="str">
        <f t="shared" si="172"/>
        <v>9801</v>
      </c>
      <c r="E898" s="1" t="s">
        <v>25</v>
      </c>
      <c r="F898" s="1" t="str">
        <f>"147475633"</f>
        <v>147475633</v>
      </c>
      <c r="G898" s="1" t="s">
        <v>33</v>
      </c>
      <c r="H898" s="1" t="str">
        <f t="shared" si="170"/>
        <v>20220905</v>
      </c>
      <c r="I898" s="1" t="str">
        <f>"152010"</f>
        <v>152010</v>
      </c>
      <c r="J898" s="1" t="s">
        <v>60</v>
      </c>
      <c r="K898" s="1" t="s">
        <v>52</v>
      </c>
      <c r="L898" s="1" t="str">
        <f t="shared" si="174"/>
        <v>20220905</v>
      </c>
      <c r="M898" s="1" t="str">
        <f>"152354"</f>
        <v>152354</v>
      </c>
      <c r="N898" s="1" t="s">
        <v>52</v>
      </c>
      <c r="O898" s="1" t="s">
        <v>52</v>
      </c>
      <c r="P898" s="1" t="s">
        <v>55</v>
      </c>
      <c r="Q898" s="1">
        <v>25</v>
      </c>
      <c r="R898" s="1">
        <v>25</v>
      </c>
      <c r="S898" s="1">
        <v>0</v>
      </c>
      <c r="T898" s="1">
        <v>0</v>
      </c>
      <c r="U898" s="1">
        <v>0</v>
      </c>
      <c r="V898" s="1" t="str">
        <f t="shared" si="173"/>
        <v>里程返程</v>
      </c>
      <c r="W898" s="1" t="str">
        <f>"0120"</f>
        <v>0120</v>
      </c>
      <c r="X898" s="1" t="s">
        <v>35</v>
      </c>
    </row>
    <row r="899" spans="1:24" x14ac:dyDescent="0.3">
      <c r="A899" s="1" t="str">
        <f t="shared" si="171"/>
        <v>59828</v>
      </c>
      <c r="B899" s="1" t="s">
        <v>23</v>
      </c>
      <c r="C899" s="1" t="s">
        <v>24</v>
      </c>
      <c r="D899" s="1" t="str">
        <f t="shared" si="172"/>
        <v>9801</v>
      </c>
      <c r="E899" s="1" t="s">
        <v>25</v>
      </c>
      <c r="F899" s="1" t="str">
        <f>"1612083749"</f>
        <v>1612083749</v>
      </c>
      <c r="G899" s="1" t="s">
        <v>33</v>
      </c>
      <c r="H899" s="1" t="str">
        <f t="shared" si="170"/>
        <v>20220905</v>
      </c>
      <c r="I899" s="1" t="str">
        <f>"155057"</f>
        <v>155057</v>
      </c>
      <c r="J899" s="1" t="s">
        <v>28</v>
      </c>
      <c r="K899" s="1" t="s">
        <v>28</v>
      </c>
      <c r="L899" s="1" t="str">
        <f t="shared" si="174"/>
        <v>20220905</v>
      </c>
      <c r="M899" s="1" t="str">
        <f>"160527"</f>
        <v>160527</v>
      </c>
      <c r="N899" s="1" t="s">
        <v>78</v>
      </c>
      <c r="O899" s="1" t="s">
        <v>52</v>
      </c>
      <c r="P899" s="1" t="s">
        <v>55</v>
      </c>
      <c r="Q899" s="1">
        <v>25</v>
      </c>
      <c r="R899" s="1">
        <v>25</v>
      </c>
      <c r="S899" s="1">
        <v>0</v>
      </c>
      <c r="T899" s="1">
        <v>0</v>
      </c>
      <c r="U899" s="1">
        <v>0</v>
      </c>
      <c r="V899" s="1" t="str">
        <f t="shared" si="173"/>
        <v>里程返程</v>
      </c>
      <c r="W899" s="1" t="str">
        <f>"0820"</f>
        <v>0820</v>
      </c>
      <c r="X899" s="1" t="s">
        <v>35</v>
      </c>
    </row>
    <row r="900" spans="1:24" x14ac:dyDescent="0.3">
      <c r="A900" s="1" t="str">
        <f t="shared" si="171"/>
        <v>59828</v>
      </c>
      <c r="B900" s="1" t="s">
        <v>23</v>
      </c>
      <c r="C900" s="1" t="s">
        <v>24</v>
      </c>
      <c r="D900" s="1" t="str">
        <f t="shared" si="172"/>
        <v>9801</v>
      </c>
      <c r="E900" s="1" t="s">
        <v>25</v>
      </c>
      <c r="F900" s="1" t="str">
        <f>"42AFE60209880400C834002000000015"</f>
        <v>42AFE60209880400C834002000000015</v>
      </c>
      <c r="G900" s="1" t="s">
        <v>74</v>
      </c>
      <c r="H900" s="1" t="str">
        <f t="shared" si="170"/>
        <v>20220905</v>
      </c>
      <c r="I900" s="1" t="str">
        <f>"161320"</f>
        <v>161320</v>
      </c>
      <c r="J900" s="1" t="s">
        <v>80</v>
      </c>
      <c r="K900" s="1" t="s">
        <v>52</v>
      </c>
      <c r="L900" s="1" t="str">
        <f t="shared" si="174"/>
        <v>20220905</v>
      </c>
      <c r="M900" s="1" t="str">
        <f>"162706"</f>
        <v>162706</v>
      </c>
      <c r="N900" s="1" t="s">
        <v>52</v>
      </c>
      <c r="O900" s="1" t="s">
        <v>52</v>
      </c>
      <c r="P900" s="1" t="s">
        <v>68</v>
      </c>
      <c r="Q900" s="1">
        <v>13</v>
      </c>
      <c r="R900" s="1">
        <v>0</v>
      </c>
      <c r="S900" s="1">
        <v>0</v>
      </c>
      <c r="T900" s="1">
        <v>13</v>
      </c>
      <c r="U900" s="1">
        <v>0</v>
      </c>
      <c r="V900" s="1" t="str">
        <f t="shared" si="173"/>
        <v>里程返程</v>
      </c>
      <c r="W900" s="1" t="str">
        <f>"0020"</f>
        <v>0020</v>
      </c>
      <c r="X900" s="1" t="s">
        <v>29</v>
      </c>
    </row>
    <row r="901" spans="1:24" x14ac:dyDescent="0.3">
      <c r="A901" s="1" t="str">
        <f t="shared" si="171"/>
        <v>59828</v>
      </c>
      <c r="B901" s="1" t="s">
        <v>23</v>
      </c>
      <c r="C901" s="1" t="s">
        <v>24</v>
      </c>
      <c r="D901" s="1" t="str">
        <f t="shared" si="172"/>
        <v>9801</v>
      </c>
      <c r="E901" s="1" t="s">
        <v>25</v>
      </c>
      <c r="F901" s="1" t="str">
        <f>"82D5FB02AE880400C834002000000015"</f>
        <v>82D5FB02AE880400C834002000000015</v>
      </c>
      <c r="G901" s="1" t="s">
        <v>26</v>
      </c>
      <c r="H901" s="1" t="str">
        <f t="shared" si="170"/>
        <v>20220905</v>
      </c>
      <c r="I901" s="1" t="str">
        <f>"161325"</f>
        <v>161325</v>
      </c>
      <c r="J901" s="1" t="s">
        <v>80</v>
      </c>
      <c r="K901" s="1" t="s">
        <v>52</v>
      </c>
      <c r="L901" s="1" t="str">
        <f t="shared" si="174"/>
        <v>20220905</v>
      </c>
      <c r="M901" s="1" t="str">
        <f>"162056"</f>
        <v>162056</v>
      </c>
      <c r="N901" s="1" t="s">
        <v>51</v>
      </c>
      <c r="O901" s="1" t="s">
        <v>52</v>
      </c>
      <c r="P901" s="1" t="s">
        <v>68</v>
      </c>
      <c r="Q901" s="1">
        <v>13</v>
      </c>
      <c r="R901" s="1">
        <v>0</v>
      </c>
      <c r="S901" s="1">
        <v>0</v>
      </c>
      <c r="T901" s="1">
        <v>13</v>
      </c>
      <c r="U901" s="1">
        <v>0</v>
      </c>
      <c r="V901" s="1" t="str">
        <f t="shared" si="173"/>
        <v>里程返程</v>
      </c>
      <c r="W901" s="1" t="str">
        <f>"0020"</f>
        <v>0020</v>
      </c>
      <c r="X901" s="1" t="s">
        <v>29</v>
      </c>
    </row>
    <row r="902" spans="1:24" x14ac:dyDescent="0.3">
      <c r="A902" s="1" t="str">
        <f t="shared" si="171"/>
        <v>59828</v>
      </c>
      <c r="B902" s="1" t="s">
        <v>23</v>
      </c>
      <c r="C902" s="1" t="s">
        <v>24</v>
      </c>
      <c r="D902" s="1" t="str">
        <f t="shared" si="172"/>
        <v>9801</v>
      </c>
      <c r="E902" s="1" t="s">
        <v>25</v>
      </c>
      <c r="F902" s="1" t="str">
        <f>"197605365"</f>
        <v>197605365</v>
      </c>
      <c r="G902" s="1" t="s">
        <v>33</v>
      </c>
      <c r="H902" s="1" t="str">
        <f t="shared" si="170"/>
        <v>20220905</v>
      </c>
      <c r="I902" s="1" t="str">
        <f>"164202"</f>
        <v>164202</v>
      </c>
      <c r="J902" s="1" t="s">
        <v>56</v>
      </c>
      <c r="K902" s="1" t="s">
        <v>45</v>
      </c>
      <c r="L902" s="1" t="str">
        <f t="shared" si="174"/>
        <v>20220905</v>
      </c>
      <c r="M902" s="1" t="str">
        <f>"165413"</f>
        <v>165413</v>
      </c>
      <c r="N902" s="1" t="s">
        <v>28</v>
      </c>
      <c r="O902" s="1" t="s">
        <v>28</v>
      </c>
      <c r="P902" s="1" t="s">
        <v>55</v>
      </c>
      <c r="Q902" s="1">
        <v>25</v>
      </c>
      <c r="R902" s="1">
        <v>25</v>
      </c>
      <c r="S902" s="1">
        <v>0</v>
      </c>
      <c r="T902" s="1">
        <v>0</v>
      </c>
      <c r="U902" s="1">
        <v>0</v>
      </c>
      <c r="V902" s="1" t="str">
        <f t="shared" si="173"/>
        <v>里程返程</v>
      </c>
      <c r="W902" s="1" t="str">
        <f>"2020"</f>
        <v>2020</v>
      </c>
      <c r="X902" s="1" t="s">
        <v>35</v>
      </c>
    </row>
    <row r="903" spans="1:24" x14ac:dyDescent="0.3">
      <c r="A903" s="1" t="str">
        <f t="shared" si="171"/>
        <v>59828</v>
      </c>
      <c r="B903" s="1" t="s">
        <v>23</v>
      </c>
      <c r="C903" s="1" t="s">
        <v>24</v>
      </c>
      <c r="D903" s="1" t="str">
        <f t="shared" si="172"/>
        <v>9801</v>
      </c>
      <c r="E903" s="1" t="s">
        <v>25</v>
      </c>
      <c r="F903" s="1" t="str">
        <f>"42FC4602FA880400C821002000000015"</f>
        <v>42FC4602FA880400C821002000000015</v>
      </c>
      <c r="G903" s="1" t="s">
        <v>26</v>
      </c>
      <c r="H903" s="1" t="str">
        <f t="shared" si="170"/>
        <v>20220905</v>
      </c>
      <c r="I903" s="1" t="str">
        <f>"164219"</f>
        <v>164219</v>
      </c>
      <c r="J903" s="1" t="s">
        <v>56</v>
      </c>
      <c r="K903" s="1" t="s">
        <v>45</v>
      </c>
      <c r="L903" s="1" t="str">
        <f t="shared" si="174"/>
        <v>20220905</v>
      </c>
      <c r="M903" s="1" t="str">
        <f>"165416"</f>
        <v>165416</v>
      </c>
      <c r="N903" s="1" t="s">
        <v>28</v>
      </c>
      <c r="O903" s="1" t="s">
        <v>28</v>
      </c>
      <c r="P903" s="1" t="s">
        <v>68</v>
      </c>
      <c r="Q903" s="1">
        <v>13</v>
      </c>
      <c r="R903" s="1">
        <v>0</v>
      </c>
      <c r="S903" s="1">
        <v>0</v>
      </c>
      <c r="T903" s="1">
        <v>13</v>
      </c>
      <c r="U903" s="1">
        <v>0</v>
      </c>
      <c r="V903" s="1" t="str">
        <f t="shared" si="173"/>
        <v>里程返程</v>
      </c>
      <c r="W903" s="1" t="str">
        <f>"0020"</f>
        <v>0020</v>
      </c>
      <c r="X903" s="1" t="s">
        <v>29</v>
      </c>
    </row>
    <row r="904" spans="1:24" x14ac:dyDescent="0.3">
      <c r="A904" s="1" t="str">
        <f t="shared" si="171"/>
        <v>59828</v>
      </c>
      <c r="B904" s="1" t="s">
        <v>23</v>
      </c>
      <c r="C904" s="1" t="s">
        <v>24</v>
      </c>
      <c r="D904" s="1" t="str">
        <f t="shared" si="172"/>
        <v>9801</v>
      </c>
      <c r="E904" s="1" t="s">
        <v>25</v>
      </c>
      <c r="F904" s="1" t="str">
        <f>"8201E70266880400C834002000000015"</f>
        <v>8201E70266880400C834002000000015</v>
      </c>
      <c r="G904" s="1" t="s">
        <v>74</v>
      </c>
      <c r="H904" s="1" t="str">
        <f t="shared" si="170"/>
        <v>20220905</v>
      </c>
      <c r="I904" s="1" t="str">
        <f>"165430"</f>
        <v>165430</v>
      </c>
      <c r="J904" s="1" t="s">
        <v>28</v>
      </c>
      <c r="K904" s="1" t="s">
        <v>28</v>
      </c>
      <c r="L904" s="1" t="str">
        <f t="shared" si="174"/>
        <v>20220905</v>
      </c>
      <c r="M904" s="1" t="str">
        <f>"173441"</f>
        <v>173441</v>
      </c>
      <c r="N904" s="1" t="s">
        <v>51</v>
      </c>
      <c r="O904" s="1" t="s">
        <v>52</v>
      </c>
      <c r="P904" s="1" t="s">
        <v>68</v>
      </c>
      <c r="Q904" s="1">
        <v>13</v>
      </c>
      <c r="R904" s="1">
        <v>0</v>
      </c>
      <c r="S904" s="1">
        <v>0</v>
      </c>
      <c r="T904" s="1">
        <v>13</v>
      </c>
      <c r="U904" s="1">
        <v>0</v>
      </c>
      <c r="V904" s="1" t="str">
        <f t="shared" si="173"/>
        <v>里程返程</v>
      </c>
      <c r="W904" s="1" t="str">
        <f>"0020"</f>
        <v>0020</v>
      </c>
      <c r="X904" s="1" t="s">
        <v>29</v>
      </c>
    </row>
    <row r="905" spans="1:24" x14ac:dyDescent="0.3">
      <c r="A905" s="1" t="str">
        <f t="shared" si="171"/>
        <v>59828</v>
      </c>
      <c r="B905" s="1" t="s">
        <v>23</v>
      </c>
      <c r="C905" s="1" t="s">
        <v>24</v>
      </c>
      <c r="D905" s="1" t="str">
        <f t="shared" si="172"/>
        <v>9801</v>
      </c>
      <c r="E905" s="1" t="s">
        <v>25</v>
      </c>
      <c r="F905" s="1" t="str">
        <f>"1112548581"</f>
        <v>1112548581</v>
      </c>
      <c r="G905" s="1" t="s">
        <v>38</v>
      </c>
      <c r="H905" s="1" t="str">
        <f t="shared" si="170"/>
        <v>20220905</v>
      </c>
      <c r="I905" s="1" t="str">
        <f>"165433"</f>
        <v>165433</v>
      </c>
      <c r="J905" s="1" t="s">
        <v>28</v>
      </c>
      <c r="K905" s="1" t="s">
        <v>28</v>
      </c>
      <c r="L905" s="1" t="str">
        <f t="shared" si="174"/>
        <v>20220905</v>
      </c>
      <c r="M905" s="1" t="str">
        <f>"173024"</f>
        <v>173024</v>
      </c>
      <c r="N905" s="1" t="s">
        <v>71</v>
      </c>
      <c r="O905" s="1" t="s">
        <v>52</v>
      </c>
      <c r="P905" s="1" t="s">
        <v>55</v>
      </c>
      <c r="Q905" s="1">
        <v>25</v>
      </c>
      <c r="R905" s="1">
        <v>0</v>
      </c>
      <c r="S905" s="1">
        <v>25</v>
      </c>
      <c r="T905" s="1">
        <v>0</v>
      </c>
      <c r="U905" s="1">
        <v>0</v>
      </c>
      <c r="V905" s="1" t="str">
        <f t="shared" si="173"/>
        <v>里程返程</v>
      </c>
      <c r="W905" s="1" t="str">
        <f>"0820"</f>
        <v>0820</v>
      </c>
      <c r="X905" s="1" t="s">
        <v>35</v>
      </c>
    </row>
    <row r="906" spans="1:24" x14ac:dyDescent="0.3">
      <c r="A906" s="1" t="str">
        <f t="shared" si="171"/>
        <v>59828</v>
      </c>
      <c r="B906" s="1" t="s">
        <v>23</v>
      </c>
      <c r="C906" s="1" t="s">
        <v>24</v>
      </c>
      <c r="D906" s="1" t="str">
        <f t="shared" si="172"/>
        <v>9801</v>
      </c>
      <c r="E906" s="1" t="s">
        <v>25</v>
      </c>
      <c r="F906" s="1" t="str">
        <f>"796883057"</f>
        <v>796883057</v>
      </c>
      <c r="G906" s="1" t="s">
        <v>33</v>
      </c>
      <c r="H906" s="1" t="str">
        <f t="shared" si="170"/>
        <v>20220905</v>
      </c>
      <c r="I906" s="1" t="str">
        <f>"165436"</f>
        <v>165436</v>
      </c>
      <c r="J906" s="1" t="s">
        <v>28</v>
      </c>
      <c r="K906" s="1" t="s">
        <v>28</v>
      </c>
      <c r="L906" s="1" t="str">
        <f t="shared" si="174"/>
        <v>20220905</v>
      </c>
      <c r="M906" s="1" t="str">
        <f>"170423"</f>
        <v>170423</v>
      </c>
      <c r="N906" s="1" t="s">
        <v>67</v>
      </c>
      <c r="O906" s="1" t="s">
        <v>52</v>
      </c>
      <c r="P906" s="1" t="s">
        <v>55</v>
      </c>
      <c r="Q906" s="1">
        <v>25</v>
      </c>
      <c r="R906" s="1">
        <v>25</v>
      </c>
      <c r="S906" s="1">
        <v>0</v>
      </c>
      <c r="T906" s="1">
        <v>0</v>
      </c>
      <c r="U906" s="1">
        <v>0</v>
      </c>
      <c r="V906" s="1" t="str">
        <f t="shared" si="173"/>
        <v>里程返程</v>
      </c>
      <c r="W906" s="1" t="str">
        <f>"2020"</f>
        <v>2020</v>
      </c>
      <c r="X906" s="1" t="s">
        <v>35</v>
      </c>
    </row>
    <row r="907" spans="1:24" x14ac:dyDescent="0.3">
      <c r="A907" s="1" t="str">
        <f t="shared" ref="A907:A938" si="175">"59829"</f>
        <v>59829</v>
      </c>
      <c r="B907" s="1" t="s">
        <v>47</v>
      </c>
      <c r="C907" s="1" t="s">
        <v>48</v>
      </c>
      <c r="D907" s="1" t="str">
        <f>"9803"</f>
        <v>9803</v>
      </c>
      <c r="E907" s="1" t="s">
        <v>32</v>
      </c>
      <c r="F907" s="1" t="str">
        <f>"669733429"</f>
        <v>669733429</v>
      </c>
      <c r="G907" s="1" t="s">
        <v>33</v>
      </c>
      <c r="H907" s="1" t="str">
        <f t="shared" si="170"/>
        <v>20220905</v>
      </c>
      <c r="I907" s="1" t="str">
        <f>"062531"</f>
        <v>062531</v>
      </c>
      <c r="J907" s="1" t="s">
        <v>90</v>
      </c>
      <c r="K907" s="1" t="s">
        <v>28</v>
      </c>
      <c r="L907" s="1" t="str">
        <f t="shared" si="174"/>
        <v>20220905</v>
      </c>
      <c r="M907" s="1" t="str">
        <f>"064154"</f>
        <v>064154</v>
      </c>
      <c r="N907" s="1" t="s">
        <v>34</v>
      </c>
      <c r="O907" s="1" t="s">
        <v>34</v>
      </c>
      <c r="P907" s="1" t="s">
        <v>55</v>
      </c>
      <c r="Q907" s="1">
        <v>25</v>
      </c>
      <c r="R907" s="1">
        <v>25</v>
      </c>
      <c r="S907" s="1">
        <v>0</v>
      </c>
      <c r="T907" s="1">
        <v>0</v>
      </c>
      <c r="U907" s="1">
        <v>0</v>
      </c>
      <c r="V907" s="1" t="str">
        <f>"里程去程"</f>
        <v>里程去程</v>
      </c>
      <c r="W907" s="1" t="str">
        <f>"2020"</f>
        <v>2020</v>
      </c>
      <c r="X907" s="1" t="s">
        <v>35</v>
      </c>
    </row>
    <row r="908" spans="1:24" x14ac:dyDescent="0.3">
      <c r="A908" s="1" t="str">
        <f t="shared" si="175"/>
        <v>59829</v>
      </c>
      <c r="B908" s="1" t="s">
        <v>47</v>
      </c>
      <c r="C908" s="1" t="s">
        <v>48</v>
      </c>
      <c r="D908" s="1" t="str">
        <f>"9803"</f>
        <v>9803</v>
      </c>
      <c r="E908" s="1" t="s">
        <v>32</v>
      </c>
      <c r="F908" s="1" t="str">
        <f>"1102348005"</f>
        <v>1102348005</v>
      </c>
      <c r="G908" s="1" t="s">
        <v>38</v>
      </c>
      <c r="H908" s="1" t="str">
        <f t="shared" si="170"/>
        <v>20220905</v>
      </c>
      <c r="I908" s="1" t="str">
        <f>"062540"</f>
        <v>062540</v>
      </c>
      <c r="J908" s="1" t="s">
        <v>90</v>
      </c>
      <c r="K908" s="1" t="s">
        <v>28</v>
      </c>
      <c r="L908" s="1" t="str">
        <f t="shared" si="174"/>
        <v>20220905</v>
      </c>
      <c r="M908" s="1" t="str">
        <f>"063216"</f>
        <v>063216</v>
      </c>
      <c r="N908" s="1" t="s">
        <v>46</v>
      </c>
      <c r="O908" s="1" t="s">
        <v>28</v>
      </c>
      <c r="P908" s="1" t="s">
        <v>55</v>
      </c>
      <c r="Q908" s="1">
        <v>25</v>
      </c>
      <c r="R908" s="1">
        <v>25</v>
      </c>
      <c r="S908" s="1">
        <v>0</v>
      </c>
      <c r="T908" s="1">
        <v>0</v>
      </c>
      <c r="U908" s="1">
        <v>0</v>
      </c>
      <c r="V908" s="1" t="str">
        <f>"里程去程"</f>
        <v>里程去程</v>
      </c>
      <c r="W908" s="1" t="str">
        <f>"2020"</f>
        <v>2020</v>
      </c>
      <c r="X908" s="1" t="s">
        <v>35</v>
      </c>
    </row>
    <row r="909" spans="1:24" x14ac:dyDescent="0.3">
      <c r="A909" s="1" t="str">
        <f t="shared" si="175"/>
        <v>59829</v>
      </c>
      <c r="B909" s="1" t="s">
        <v>47</v>
      </c>
      <c r="C909" s="1" t="s">
        <v>48</v>
      </c>
      <c r="D909" s="1" t="str">
        <f>"9803"</f>
        <v>9803</v>
      </c>
      <c r="E909" s="1" t="s">
        <v>32</v>
      </c>
      <c r="F909" s="1" t="str">
        <f>"1210616885"</f>
        <v>1210616885</v>
      </c>
      <c r="G909" s="1" t="s">
        <v>38</v>
      </c>
      <c r="H909" s="1" t="str">
        <f t="shared" si="170"/>
        <v>20220905</v>
      </c>
      <c r="I909" s="1" t="str">
        <f>"062543"</f>
        <v>062543</v>
      </c>
      <c r="J909" s="1" t="s">
        <v>90</v>
      </c>
      <c r="K909" s="1" t="s">
        <v>28</v>
      </c>
      <c r="L909" s="1" t="str">
        <f t="shared" si="174"/>
        <v>20220905</v>
      </c>
      <c r="M909" s="1" t="str">
        <f>"063213"</f>
        <v>063213</v>
      </c>
      <c r="N909" s="1" t="s">
        <v>46</v>
      </c>
      <c r="O909" s="1" t="s">
        <v>28</v>
      </c>
      <c r="P909" s="1" t="s">
        <v>55</v>
      </c>
      <c r="Q909" s="1">
        <v>25</v>
      </c>
      <c r="R909" s="1">
        <v>25</v>
      </c>
      <c r="S909" s="1">
        <v>0</v>
      </c>
      <c r="T909" s="1">
        <v>0</v>
      </c>
      <c r="U909" s="1">
        <v>0</v>
      </c>
      <c r="V909" s="1" t="str">
        <f>"里程去程"</f>
        <v>里程去程</v>
      </c>
      <c r="W909" s="1" t="str">
        <f>"2020"</f>
        <v>2020</v>
      </c>
      <c r="X909" s="1" t="s">
        <v>35</v>
      </c>
    </row>
    <row r="910" spans="1:24" x14ac:dyDescent="0.3">
      <c r="A910" s="1" t="str">
        <f t="shared" si="175"/>
        <v>59829</v>
      </c>
      <c r="B910" s="1" t="s">
        <v>47</v>
      </c>
      <c r="C910" s="1" t="s">
        <v>48</v>
      </c>
      <c r="D910" s="1" t="str">
        <f>"9803"</f>
        <v>9803</v>
      </c>
      <c r="E910" s="1" t="s">
        <v>32</v>
      </c>
      <c r="F910" s="1" t="str">
        <f>"3203F816DF880400C814002000000019"</f>
        <v>3203F816DF880400C814002000000019</v>
      </c>
      <c r="G910" s="1" t="s">
        <v>59</v>
      </c>
      <c r="H910" s="1" t="str">
        <f t="shared" si="170"/>
        <v>20220905</v>
      </c>
      <c r="I910" s="1" t="str">
        <f>"062549"</f>
        <v>062549</v>
      </c>
      <c r="J910" s="1" t="s">
        <v>90</v>
      </c>
      <c r="K910" s="1" t="s">
        <v>28</v>
      </c>
      <c r="L910" s="1" t="str">
        <f t="shared" si="174"/>
        <v>20220905</v>
      </c>
      <c r="M910" s="1" t="str">
        <f>"063209"</f>
        <v>063209</v>
      </c>
      <c r="N910" s="1" t="s">
        <v>46</v>
      </c>
      <c r="O910" s="1" t="s">
        <v>28</v>
      </c>
      <c r="P910" s="1" t="s">
        <v>55</v>
      </c>
      <c r="Q910" s="1">
        <v>25</v>
      </c>
      <c r="R910" s="1">
        <v>25</v>
      </c>
      <c r="S910" s="1">
        <v>0</v>
      </c>
      <c r="T910" s="1">
        <v>0</v>
      </c>
      <c r="U910" s="1">
        <v>0</v>
      </c>
      <c r="V910" s="1" t="str">
        <f>"里程去程"</f>
        <v>里程去程</v>
      </c>
      <c r="W910" s="1" t="str">
        <f>"0020"</f>
        <v>0020</v>
      </c>
      <c r="X910" s="1" t="s">
        <v>29</v>
      </c>
    </row>
    <row r="911" spans="1:24" x14ac:dyDescent="0.3">
      <c r="A911" s="1" t="str">
        <f t="shared" si="175"/>
        <v>59829</v>
      </c>
      <c r="B911" s="1" t="s">
        <v>47</v>
      </c>
      <c r="C911" s="1" t="s">
        <v>48</v>
      </c>
      <c r="D911" s="1" t="str">
        <f t="shared" ref="D911:D925" si="176">"9806"</f>
        <v>9806</v>
      </c>
      <c r="E911" s="1" t="s">
        <v>49</v>
      </c>
      <c r="F911" s="1" t="str">
        <f>"1175266597"</f>
        <v>1175266597</v>
      </c>
      <c r="G911" s="1" t="s">
        <v>33</v>
      </c>
      <c r="H911" s="1" t="str">
        <f t="shared" si="170"/>
        <v>20220905</v>
      </c>
      <c r="I911" s="1" t="str">
        <f>"072402"</f>
        <v>072402</v>
      </c>
      <c r="J911" s="1" t="s">
        <v>28</v>
      </c>
      <c r="K911" s="1" t="s">
        <v>28</v>
      </c>
      <c r="L911" s="1" t="str">
        <f t="shared" si="174"/>
        <v>20220905</v>
      </c>
      <c r="M911" s="1" t="str">
        <f>"075236"</f>
        <v>075236</v>
      </c>
      <c r="N911" s="1" t="s">
        <v>50</v>
      </c>
      <c r="O911" s="1" t="s">
        <v>50</v>
      </c>
      <c r="P911" s="1" t="s">
        <v>55</v>
      </c>
      <c r="Q911" s="1">
        <v>25</v>
      </c>
      <c r="R911" s="1">
        <v>25</v>
      </c>
      <c r="S911" s="1">
        <v>0</v>
      </c>
      <c r="T911" s="1">
        <v>0</v>
      </c>
      <c r="U911" s="1">
        <v>0</v>
      </c>
      <c r="V911" s="1" t="str">
        <f t="shared" ref="V911:V925" si="177">"里程返程"</f>
        <v>里程返程</v>
      </c>
      <c r="W911" s="1" t="str">
        <f>"0c20"</f>
        <v>0c20</v>
      </c>
      <c r="X911" s="1" t="s">
        <v>35</v>
      </c>
    </row>
    <row r="912" spans="1:24" x14ac:dyDescent="0.3">
      <c r="A912" s="1" t="str">
        <f t="shared" si="175"/>
        <v>59829</v>
      </c>
      <c r="B912" s="1" t="s">
        <v>47</v>
      </c>
      <c r="C912" s="1" t="s">
        <v>48</v>
      </c>
      <c r="D912" s="1" t="str">
        <f t="shared" si="176"/>
        <v>9806</v>
      </c>
      <c r="E912" s="1" t="s">
        <v>49</v>
      </c>
      <c r="F912" s="1" t="str">
        <f>"7111180627000603"</f>
        <v>7111180627000603</v>
      </c>
      <c r="G912" s="1" t="s">
        <v>33</v>
      </c>
      <c r="H912" s="1" t="str">
        <f t="shared" si="170"/>
        <v>20220905</v>
      </c>
      <c r="I912" s="1" t="str">
        <f>"072409"</f>
        <v>072409</v>
      </c>
      <c r="J912" s="1" t="s">
        <v>28</v>
      </c>
      <c r="K912" s="1" t="s">
        <v>28</v>
      </c>
      <c r="L912" s="1" t="str">
        <f t="shared" si="174"/>
        <v>20220905</v>
      </c>
      <c r="M912" s="1" t="str">
        <f>"074000"</f>
        <v>074000</v>
      </c>
      <c r="N912" s="1" t="s">
        <v>63</v>
      </c>
      <c r="O912" s="1" t="s">
        <v>28</v>
      </c>
      <c r="P912" s="1" t="s">
        <v>55</v>
      </c>
      <c r="Q912" s="1">
        <v>25</v>
      </c>
      <c r="R912" s="1">
        <v>25</v>
      </c>
      <c r="S912" s="1">
        <v>0</v>
      </c>
      <c r="T912" s="1">
        <v>0</v>
      </c>
      <c r="U912" s="1">
        <v>0</v>
      </c>
      <c r="V912" s="1" t="str">
        <f t="shared" si="177"/>
        <v>里程返程</v>
      </c>
      <c r="W912" s="1" t="str">
        <f>"083B"</f>
        <v>083B</v>
      </c>
      <c r="X912" s="1" t="s">
        <v>109</v>
      </c>
    </row>
    <row r="913" spans="1:24" x14ac:dyDescent="0.3">
      <c r="A913" s="1" t="str">
        <f t="shared" si="175"/>
        <v>59829</v>
      </c>
      <c r="B913" s="1" t="s">
        <v>47</v>
      </c>
      <c r="C913" s="1" t="s">
        <v>48</v>
      </c>
      <c r="D913" s="1" t="str">
        <f t="shared" si="176"/>
        <v>9806</v>
      </c>
      <c r="E913" s="1" t="s">
        <v>49</v>
      </c>
      <c r="F913" s="1" t="str">
        <f>"927551509"</f>
        <v>927551509</v>
      </c>
      <c r="G913" s="1" t="s">
        <v>38</v>
      </c>
      <c r="H913" s="1" t="str">
        <f t="shared" si="170"/>
        <v>20220905</v>
      </c>
      <c r="I913" s="1" t="str">
        <f>"072428"</f>
        <v>072428</v>
      </c>
      <c r="J913" s="1" t="s">
        <v>28</v>
      </c>
      <c r="K913" s="1" t="s">
        <v>28</v>
      </c>
      <c r="L913" s="1" t="str">
        <f t="shared" si="174"/>
        <v>20220905</v>
      </c>
      <c r="M913" s="1" t="str">
        <f>"074011"</f>
        <v>074011</v>
      </c>
      <c r="N913" s="1" t="s">
        <v>63</v>
      </c>
      <c r="O913" s="1" t="s">
        <v>28</v>
      </c>
      <c r="P913" s="1" t="s">
        <v>55</v>
      </c>
      <c r="Q913" s="1">
        <v>25</v>
      </c>
      <c r="R913" s="1">
        <v>0</v>
      </c>
      <c r="S913" s="1">
        <v>25</v>
      </c>
      <c r="T913" s="1">
        <v>0</v>
      </c>
      <c r="U913" s="1">
        <v>0</v>
      </c>
      <c r="V913" s="1" t="str">
        <f t="shared" si="177"/>
        <v>里程返程</v>
      </c>
      <c r="W913" s="1" t="str">
        <f>"0820"</f>
        <v>0820</v>
      </c>
      <c r="X913" s="1" t="s">
        <v>35</v>
      </c>
    </row>
    <row r="914" spans="1:24" x14ac:dyDescent="0.3">
      <c r="A914" s="1" t="str">
        <f t="shared" si="175"/>
        <v>59829</v>
      </c>
      <c r="B914" s="1" t="s">
        <v>47</v>
      </c>
      <c r="C914" s="1" t="s">
        <v>48</v>
      </c>
      <c r="D914" s="1" t="str">
        <f t="shared" si="176"/>
        <v>9806</v>
      </c>
      <c r="E914" s="1" t="s">
        <v>49</v>
      </c>
      <c r="F914" s="1" t="str">
        <f>"7540743D7C880400C850002000000018"</f>
        <v>7540743D7C880400C850002000000018</v>
      </c>
      <c r="G914" s="1" t="s">
        <v>58</v>
      </c>
      <c r="H914" s="1" t="str">
        <f t="shared" si="170"/>
        <v>20220905</v>
      </c>
      <c r="I914" s="1" t="str">
        <f>"072430"</f>
        <v>072430</v>
      </c>
      <c r="J914" s="1" t="s">
        <v>28</v>
      </c>
      <c r="K914" s="1" t="s">
        <v>28</v>
      </c>
      <c r="L914" s="1" t="str">
        <f t="shared" si="174"/>
        <v>20220905</v>
      </c>
      <c r="M914" s="1" t="str">
        <f>"074004"</f>
        <v>074004</v>
      </c>
      <c r="N914" s="1" t="s">
        <v>63</v>
      </c>
      <c r="O914" s="1" t="s">
        <v>28</v>
      </c>
      <c r="P914" s="1" t="s">
        <v>55</v>
      </c>
      <c r="Q914" s="1">
        <v>25</v>
      </c>
      <c r="R914" s="1">
        <v>0</v>
      </c>
      <c r="S914" s="1">
        <v>25</v>
      </c>
      <c r="T914" s="1">
        <v>0</v>
      </c>
      <c r="U914" s="1">
        <v>0</v>
      </c>
      <c r="V914" s="1" t="str">
        <f t="shared" si="177"/>
        <v>里程返程</v>
      </c>
      <c r="W914" s="1" t="str">
        <f>"0620"</f>
        <v>0620</v>
      </c>
      <c r="X914" s="1" t="s">
        <v>29</v>
      </c>
    </row>
    <row r="915" spans="1:24" x14ac:dyDescent="0.3">
      <c r="A915" s="1" t="str">
        <f t="shared" si="175"/>
        <v>59829</v>
      </c>
      <c r="B915" s="1" t="s">
        <v>47</v>
      </c>
      <c r="C915" s="1" t="s">
        <v>48</v>
      </c>
      <c r="D915" s="1" t="str">
        <f t="shared" si="176"/>
        <v>9806</v>
      </c>
      <c r="E915" s="1" t="s">
        <v>49</v>
      </c>
      <c r="F915" s="1" t="str">
        <f>"12BE3C1B8B880400C817002000000021"</f>
        <v>12BE3C1B8B880400C817002000000021</v>
      </c>
      <c r="G915" s="1" t="s">
        <v>59</v>
      </c>
      <c r="H915" s="1" t="str">
        <f t="shared" si="170"/>
        <v>20220905</v>
      </c>
      <c r="I915" s="1" t="str">
        <f>"072440"</f>
        <v>072440</v>
      </c>
      <c r="J915" s="1" t="s">
        <v>28</v>
      </c>
      <c r="K915" s="1" t="s">
        <v>28</v>
      </c>
      <c r="L915" s="1" t="str">
        <f t="shared" si="174"/>
        <v>20220905</v>
      </c>
      <c r="M915" s="1" t="str">
        <f>"074730"</f>
        <v>074730</v>
      </c>
      <c r="N915" s="1" t="s">
        <v>99</v>
      </c>
      <c r="O915" s="1" t="s">
        <v>28</v>
      </c>
      <c r="P915" s="1" t="s">
        <v>55</v>
      </c>
      <c r="Q915" s="1">
        <v>25</v>
      </c>
      <c r="R915" s="1">
        <v>0</v>
      </c>
      <c r="S915" s="1">
        <v>25</v>
      </c>
      <c r="T915" s="1">
        <v>0</v>
      </c>
      <c r="U915" s="1">
        <v>0</v>
      </c>
      <c r="V915" s="1" t="str">
        <f t="shared" si="177"/>
        <v>里程返程</v>
      </c>
      <c r="W915" s="1" t="str">
        <f>"0620"</f>
        <v>0620</v>
      </c>
      <c r="X915" s="1" t="s">
        <v>29</v>
      </c>
    </row>
    <row r="916" spans="1:24" x14ac:dyDescent="0.3">
      <c r="A916" s="1" t="str">
        <f t="shared" si="175"/>
        <v>59829</v>
      </c>
      <c r="B916" s="1" t="s">
        <v>47</v>
      </c>
      <c r="C916" s="1" t="s">
        <v>48</v>
      </c>
      <c r="D916" s="1" t="str">
        <f t="shared" si="176"/>
        <v>9806</v>
      </c>
      <c r="E916" s="1" t="s">
        <v>49</v>
      </c>
      <c r="F916" s="1" t="str">
        <f>"22861B13AC28040080CED9985D913018"</f>
        <v>22861B13AC28040080CED9985D913018</v>
      </c>
      <c r="G916" s="1" t="s">
        <v>58</v>
      </c>
      <c r="H916" s="1" t="str">
        <f t="shared" si="170"/>
        <v>20220905</v>
      </c>
      <c r="I916" s="1" t="str">
        <f>"072442"</f>
        <v>072442</v>
      </c>
      <c r="J916" s="1" t="s">
        <v>28</v>
      </c>
      <c r="K916" s="1" t="s">
        <v>28</v>
      </c>
      <c r="L916" s="1" t="str">
        <f t="shared" si="174"/>
        <v>20220905</v>
      </c>
      <c r="M916" s="1" t="str">
        <f>"074019"</f>
        <v>074019</v>
      </c>
      <c r="N916" s="1" t="s">
        <v>63</v>
      </c>
      <c r="O916" s="1" t="s">
        <v>28</v>
      </c>
      <c r="P916" s="1" t="s">
        <v>55</v>
      </c>
      <c r="Q916" s="1">
        <v>25</v>
      </c>
      <c r="R916" s="1">
        <v>0</v>
      </c>
      <c r="S916" s="1">
        <v>25</v>
      </c>
      <c r="T916" s="1">
        <v>0</v>
      </c>
      <c r="U916" s="1">
        <v>0</v>
      </c>
      <c r="V916" s="1" t="str">
        <f t="shared" si="177"/>
        <v>里程返程</v>
      </c>
      <c r="W916" s="1" t="str">
        <f>"0620"</f>
        <v>0620</v>
      </c>
      <c r="X916" s="1" t="s">
        <v>29</v>
      </c>
    </row>
    <row r="917" spans="1:24" x14ac:dyDescent="0.3">
      <c r="A917" s="1" t="str">
        <f t="shared" si="175"/>
        <v>59829</v>
      </c>
      <c r="B917" s="1" t="s">
        <v>47</v>
      </c>
      <c r="C917" s="1" t="s">
        <v>48</v>
      </c>
      <c r="D917" s="1" t="str">
        <f t="shared" si="176"/>
        <v>9806</v>
      </c>
      <c r="E917" s="1" t="s">
        <v>49</v>
      </c>
      <c r="F917" s="1" t="str">
        <f>"62C93D1680880400C814002000000019"</f>
        <v>62C93D1680880400C814002000000019</v>
      </c>
      <c r="G917" s="1" t="s">
        <v>59</v>
      </c>
      <c r="H917" s="1" t="str">
        <f t="shared" si="170"/>
        <v>20220905</v>
      </c>
      <c r="I917" s="1" t="str">
        <f>"072445"</f>
        <v>072445</v>
      </c>
      <c r="J917" s="1" t="s">
        <v>28</v>
      </c>
      <c r="K917" s="1" t="s">
        <v>28</v>
      </c>
      <c r="L917" s="1" t="str">
        <f t="shared" si="174"/>
        <v>20220905</v>
      </c>
      <c r="M917" s="1" t="str">
        <f>"074002"</f>
        <v>074002</v>
      </c>
      <c r="N917" s="1" t="s">
        <v>63</v>
      </c>
      <c r="O917" s="1" t="s">
        <v>28</v>
      </c>
      <c r="P917" s="1" t="s">
        <v>55</v>
      </c>
      <c r="Q917" s="1">
        <v>25</v>
      </c>
      <c r="R917" s="1">
        <v>0</v>
      </c>
      <c r="S917" s="1">
        <v>25</v>
      </c>
      <c r="T917" s="1">
        <v>0</v>
      </c>
      <c r="U917" s="1">
        <v>0</v>
      </c>
      <c r="V917" s="1" t="str">
        <f t="shared" si="177"/>
        <v>里程返程</v>
      </c>
      <c r="W917" s="1" t="str">
        <f>"0620"</f>
        <v>0620</v>
      </c>
      <c r="X917" s="1" t="s">
        <v>29</v>
      </c>
    </row>
    <row r="918" spans="1:24" x14ac:dyDescent="0.3">
      <c r="A918" s="1" t="str">
        <f t="shared" si="175"/>
        <v>59829</v>
      </c>
      <c r="B918" s="1" t="s">
        <v>47</v>
      </c>
      <c r="C918" s="1" t="s">
        <v>48</v>
      </c>
      <c r="D918" s="1" t="str">
        <f t="shared" si="176"/>
        <v>9806</v>
      </c>
      <c r="E918" s="1" t="s">
        <v>49</v>
      </c>
      <c r="F918" s="1" t="str">
        <f>"4224561222880400C824002000000018"</f>
        <v>4224561222880400C824002000000018</v>
      </c>
      <c r="G918" s="1" t="s">
        <v>58</v>
      </c>
      <c r="H918" s="1" t="str">
        <f t="shared" si="170"/>
        <v>20220905</v>
      </c>
      <c r="I918" s="1" t="str">
        <f>"072447"</f>
        <v>072447</v>
      </c>
      <c r="J918" s="1" t="s">
        <v>28</v>
      </c>
      <c r="K918" s="1" t="s">
        <v>28</v>
      </c>
      <c r="L918" s="1" t="str">
        <f t="shared" si="174"/>
        <v>20220905</v>
      </c>
      <c r="M918" s="1" t="str">
        <f>"074022"</f>
        <v>074022</v>
      </c>
      <c r="N918" s="1" t="s">
        <v>63</v>
      </c>
      <c r="O918" s="1" t="s">
        <v>28</v>
      </c>
      <c r="P918" s="1" t="s">
        <v>55</v>
      </c>
      <c r="Q918" s="1">
        <v>25</v>
      </c>
      <c r="R918" s="1">
        <v>0</v>
      </c>
      <c r="S918" s="1">
        <v>25</v>
      </c>
      <c r="T918" s="1">
        <v>0</v>
      </c>
      <c r="U918" s="1">
        <v>0</v>
      </c>
      <c r="V918" s="1" t="str">
        <f t="shared" si="177"/>
        <v>里程返程</v>
      </c>
      <c r="W918" s="1" t="str">
        <f>"0620"</f>
        <v>0620</v>
      </c>
      <c r="X918" s="1" t="s">
        <v>29</v>
      </c>
    </row>
    <row r="919" spans="1:24" x14ac:dyDescent="0.3">
      <c r="A919" s="1" t="str">
        <f t="shared" si="175"/>
        <v>59829</v>
      </c>
      <c r="B919" s="1" t="s">
        <v>47</v>
      </c>
      <c r="C919" s="1" t="s">
        <v>48</v>
      </c>
      <c r="D919" s="1" t="str">
        <f t="shared" si="176"/>
        <v>9806</v>
      </c>
      <c r="E919" s="1" t="s">
        <v>49</v>
      </c>
      <c r="F919" s="1" t="str">
        <f>"0141330172880400432494C60018080E"</f>
        <v>0141330172880400432494C60018080E</v>
      </c>
      <c r="G919" s="1" t="s">
        <v>59</v>
      </c>
      <c r="H919" s="1" t="str">
        <f t="shared" si="170"/>
        <v>20220905</v>
      </c>
      <c r="I919" s="1" t="str">
        <f>"072457"</f>
        <v>072457</v>
      </c>
      <c r="J919" s="1" t="s">
        <v>28</v>
      </c>
      <c r="K919" s="1" t="s">
        <v>28</v>
      </c>
      <c r="L919" s="1" t="str">
        <f t="shared" si="174"/>
        <v>20220905</v>
      </c>
      <c r="M919" s="1" t="str">
        <f>"074015"</f>
        <v>074015</v>
      </c>
      <c r="N919" s="1" t="s">
        <v>63</v>
      </c>
      <c r="O919" s="1" t="s">
        <v>28</v>
      </c>
      <c r="P919" s="1" t="s">
        <v>55</v>
      </c>
      <c r="Q919" s="1">
        <v>25</v>
      </c>
      <c r="R919" s="1">
        <v>25</v>
      </c>
      <c r="S919" s="1">
        <v>0</v>
      </c>
      <c r="T919" s="1">
        <v>0</v>
      </c>
      <c r="U919" s="1">
        <v>0</v>
      </c>
      <c r="V919" s="1" t="str">
        <f t="shared" si="177"/>
        <v>里程返程</v>
      </c>
      <c r="W919" s="1" t="str">
        <f>"0020"</f>
        <v>0020</v>
      </c>
      <c r="X919" s="1" t="s">
        <v>29</v>
      </c>
    </row>
    <row r="920" spans="1:24" x14ac:dyDescent="0.3">
      <c r="A920" s="1" t="str">
        <f t="shared" si="175"/>
        <v>59829</v>
      </c>
      <c r="B920" s="1" t="s">
        <v>47</v>
      </c>
      <c r="C920" s="1" t="s">
        <v>48</v>
      </c>
      <c r="D920" s="1" t="str">
        <f t="shared" si="176"/>
        <v>9806</v>
      </c>
      <c r="E920" s="1" t="s">
        <v>49</v>
      </c>
      <c r="F920" s="1" t="str">
        <f>"126D55163C880400C814002000000019"</f>
        <v>126D55163C880400C814002000000019</v>
      </c>
      <c r="G920" s="1" t="s">
        <v>59</v>
      </c>
      <c r="H920" s="1" t="str">
        <f t="shared" si="170"/>
        <v>20220905</v>
      </c>
      <c r="I920" s="1" t="str">
        <f>"072500"</f>
        <v>072500</v>
      </c>
      <c r="J920" s="1" t="s">
        <v>28</v>
      </c>
      <c r="K920" s="1" t="s">
        <v>28</v>
      </c>
      <c r="L920" s="1" t="str">
        <f t="shared" si="174"/>
        <v>20220905</v>
      </c>
      <c r="M920" s="1" t="str">
        <f>"074009"</f>
        <v>074009</v>
      </c>
      <c r="N920" s="1" t="s">
        <v>63</v>
      </c>
      <c r="O920" s="1" t="s">
        <v>28</v>
      </c>
      <c r="P920" s="1" t="s">
        <v>55</v>
      </c>
      <c r="Q920" s="1">
        <v>25</v>
      </c>
      <c r="R920" s="1">
        <v>0</v>
      </c>
      <c r="S920" s="1">
        <v>25</v>
      </c>
      <c r="T920" s="1">
        <v>0</v>
      </c>
      <c r="U920" s="1">
        <v>0</v>
      </c>
      <c r="V920" s="1" t="str">
        <f t="shared" si="177"/>
        <v>里程返程</v>
      </c>
      <c r="W920" s="1" t="str">
        <f>"0620"</f>
        <v>0620</v>
      </c>
      <c r="X920" s="1" t="s">
        <v>29</v>
      </c>
    </row>
    <row r="921" spans="1:24" x14ac:dyDescent="0.3">
      <c r="A921" s="1" t="str">
        <f t="shared" si="175"/>
        <v>59829</v>
      </c>
      <c r="B921" s="1" t="s">
        <v>47</v>
      </c>
      <c r="C921" s="1" t="s">
        <v>48</v>
      </c>
      <c r="D921" s="1" t="str">
        <f t="shared" si="176"/>
        <v>9806</v>
      </c>
      <c r="E921" s="1" t="s">
        <v>49</v>
      </c>
      <c r="F921" s="1" t="str">
        <f>"1697487813"</f>
        <v>1697487813</v>
      </c>
      <c r="G921" s="1" t="s">
        <v>33</v>
      </c>
      <c r="H921" s="1" t="str">
        <f t="shared" si="170"/>
        <v>20220905</v>
      </c>
      <c r="I921" s="1" t="str">
        <f>"073023"</f>
        <v>073023</v>
      </c>
      <c r="J921" s="1" t="s">
        <v>28</v>
      </c>
      <c r="K921" s="1" t="s">
        <v>28</v>
      </c>
      <c r="L921" s="1" t="str">
        <f t="shared" si="174"/>
        <v>20220905</v>
      </c>
      <c r="M921" s="1" t="str">
        <f>"074723"</f>
        <v>074723</v>
      </c>
      <c r="N921" s="1" t="s">
        <v>99</v>
      </c>
      <c r="O921" s="1" t="s">
        <v>28</v>
      </c>
      <c r="P921" s="1" t="s">
        <v>55</v>
      </c>
      <c r="Q921" s="1">
        <v>25</v>
      </c>
      <c r="R921" s="1">
        <v>0</v>
      </c>
      <c r="S921" s="1">
        <v>25</v>
      </c>
      <c r="T921" s="1">
        <v>0</v>
      </c>
      <c r="U921" s="1">
        <v>0</v>
      </c>
      <c r="V921" s="1" t="str">
        <f t="shared" si="177"/>
        <v>里程返程</v>
      </c>
      <c r="W921" s="1" t="str">
        <f>"0820"</f>
        <v>0820</v>
      </c>
      <c r="X921" s="1" t="s">
        <v>35</v>
      </c>
    </row>
    <row r="922" spans="1:24" x14ac:dyDescent="0.3">
      <c r="A922" s="1" t="str">
        <f t="shared" si="175"/>
        <v>59829</v>
      </c>
      <c r="B922" s="1" t="s">
        <v>47</v>
      </c>
      <c r="C922" s="1" t="s">
        <v>48</v>
      </c>
      <c r="D922" s="1" t="str">
        <f t="shared" si="176"/>
        <v>9806</v>
      </c>
      <c r="E922" s="1" t="s">
        <v>49</v>
      </c>
      <c r="F922" s="1" t="str">
        <f>"7511161863006423"</f>
        <v>7511161863006423</v>
      </c>
      <c r="G922" s="1" t="s">
        <v>33</v>
      </c>
      <c r="H922" s="1" t="str">
        <f t="shared" si="170"/>
        <v>20220905</v>
      </c>
      <c r="I922" s="1" t="str">
        <f>"073028"</f>
        <v>073028</v>
      </c>
      <c r="J922" s="1" t="s">
        <v>28</v>
      </c>
      <c r="K922" s="1" t="s">
        <v>28</v>
      </c>
      <c r="L922" s="1" t="str">
        <f t="shared" si="174"/>
        <v>20220905</v>
      </c>
      <c r="M922" s="1" t="str">
        <f>"074725"</f>
        <v>074725</v>
      </c>
      <c r="N922" s="1" t="s">
        <v>99</v>
      </c>
      <c r="O922" s="1" t="s">
        <v>28</v>
      </c>
      <c r="P922" s="1" t="s">
        <v>55</v>
      </c>
      <c r="Q922" s="1">
        <v>25</v>
      </c>
      <c r="R922" s="1">
        <v>25</v>
      </c>
      <c r="S922" s="1">
        <v>0</v>
      </c>
      <c r="T922" s="1">
        <v>0</v>
      </c>
      <c r="U922" s="1">
        <v>0</v>
      </c>
      <c r="V922" s="1" t="str">
        <f t="shared" si="177"/>
        <v>里程返程</v>
      </c>
      <c r="W922" s="1" t="str">
        <f>"088B"</f>
        <v>088B</v>
      </c>
      <c r="X922" s="1" t="s">
        <v>109</v>
      </c>
    </row>
    <row r="923" spans="1:24" x14ac:dyDescent="0.3">
      <c r="A923" s="1" t="str">
        <f t="shared" si="175"/>
        <v>59829</v>
      </c>
      <c r="B923" s="1" t="s">
        <v>47</v>
      </c>
      <c r="C923" s="1" t="s">
        <v>48</v>
      </c>
      <c r="D923" s="1" t="str">
        <f t="shared" si="176"/>
        <v>9806</v>
      </c>
      <c r="E923" s="1" t="s">
        <v>49</v>
      </c>
      <c r="F923" s="1" t="str">
        <f>"B211E70246880400C834002000000015"</f>
        <v>B211E70246880400C834002000000015</v>
      </c>
      <c r="G923" s="1" t="s">
        <v>74</v>
      </c>
      <c r="H923" s="1" t="str">
        <f t="shared" si="170"/>
        <v>20220905</v>
      </c>
      <c r="I923" s="1" t="str">
        <f>"073534"</f>
        <v>073534</v>
      </c>
      <c r="J923" s="1" t="s">
        <v>101</v>
      </c>
      <c r="K923" s="1" t="s">
        <v>28</v>
      </c>
      <c r="L923" s="1" t="str">
        <f t="shared" si="174"/>
        <v>20220905</v>
      </c>
      <c r="M923" s="1" t="str">
        <f>"074721"</f>
        <v>074721</v>
      </c>
      <c r="N923" s="1" t="s">
        <v>99</v>
      </c>
      <c r="O923" s="1" t="s">
        <v>28</v>
      </c>
      <c r="P923" s="1" t="s">
        <v>68</v>
      </c>
      <c r="Q923" s="1">
        <v>13</v>
      </c>
      <c r="R923" s="1">
        <v>0</v>
      </c>
      <c r="S923" s="1">
        <v>0</v>
      </c>
      <c r="T923" s="1">
        <v>13</v>
      </c>
      <c r="U923" s="1">
        <v>0</v>
      </c>
      <c r="V923" s="1" t="str">
        <f t="shared" si="177"/>
        <v>里程返程</v>
      </c>
      <c r="W923" s="1" t="str">
        <f>"0020"</f>
        <v>0020</v>
      </c>
      <c r="X923" s="1" t="s">
        <v>29</v>
      </c>
    </row>
    <row r="924" spans="1:24" x14ac:dyDescent="0.3">
      <c r="A924" s="1" t="str">
        <f t="shared" si="175"/>
        <v>59829</v>
      </c>
      <c r="B924" s="1" t="s">
        <v>47</v>
      </c>
      <c r="C924" s="1" t="s">
        <v>48</v>
      </c>
      <c r="D924" s="1" t="str">
        <f t="shared" si="176"/>
        <v>9806</v>
      </c>
      <c r="E924" s="1" t="s">
        <v>49</v>
      </c>
      <c r="F924" s="1" t="str">
        <f>"B205E70252880400C834002000000015"</f>
        <v>B205E70252880400C834002000000015</v>
      </c>
      <c r="G924" s="1" t="s">
        <v>74</v>
      </c>
      <c r="H924" s="1" t="str">
        <f t="shared" si="170"/>
        <v>20220905</v>
      </c>
      <c r="I924" s="1" t="str">
        <f>"073542"</f>
        <v>073542</v>
      </c>
      <c r="J924" s="1" t="s">
        <v>101</v>
      </c>
      <c r="K924" s="1" t="s">
        <v>28</v>
      </c>
      <c r="L924" s="1" t="str">
        <f t="shared" ref="L924:L955" si="178">"20220905"</f>
        <v>20220905</v>
      </c>
      <c r="M924" s="1" t="str">
        <f>"074718"</f>
        <v>074718</v>
      </c>
      <c r="N924" s="1" t="s">
        <v>99</v>
      </c>
      <c r="O924" s="1" t="s">
        <v>28</v>
      </c>
      <c r="P924" s="1" t="s">
        <v>68</v>
      </c>
      <c r="Q924" s="1">
        <v>13</v>
      </c>
      <c r="R924" s="1">
        <v>0</v>
      </c>
      <c r="S924" s="1">
        <v>0</v>
      </c>
      <c r="T924" s="1">
        <v>13</v>
      </c>
      <c r="U924" s="1">
        <v>0</v>
      </c>
      <c r="V924" s="1" t="str">
        <f t="shared" si="177"/>
        <v>里程返程</v>
      </c>
      <c r="W924" s="1" t="str">
        <f>"0020"</f>
        <v>0020</v>
      </c>
      <c r="X924" s="1" t="s">
        <v>29</v>
      </c>
    </row>
    <row r="925" spans="1:24" x14ac:dyDescent="0.3">
      <c r="A925" s="1" t="str">
        <f t="shared" si="175"/>
        <v>59829</v>
      </c>
      <c r="B925" s="1" t="s">
        <v>47</v>
      </c>
      <c r="C925" s="1" t="s">
        <v>48</v>
      </c>
      <c r="D925" s="1" t="str">
        <f t="shared" si="176"/>
        <v>9806</v>
      </c>
      <c r="E925" s="1" t="s">
        <v>49</v>
      </c>
      <c r="F925" s="1" t="str">
        <f>"1202E702F5880400C834002000000015"</f>
        <v>1202E702F5880400C834002000000015</v>
      </c>
      <c r="G925" s="1" t="s">
        <v>74</v>
      </c>
      <c r="H925" s="1" t="str">
        <f t="shared" si="170"/>
        <v>20220905</v>
      </c>
      <c r="I925" s="1" t="str">
        <f>"073543"</f>
        <v>073543</v>
      </c>
      <c r="J925" s="1" t="s">
        <v>101</v>
      </c>
      <c r="K925" s="1" t="s">
        <v>28</v>
      </c>
      <c r="L925" s="1" t="str">
        <f t="shared" si="178"/>
        <v>20220905</v>
      </c>
      <c r="M925" s="1" t="str">
        <f>"074715"</f>
        <v>074715</v>
      </c>
      <c r="N925" s="1" t="s">
        <v>99</v>
      </c>
      <c r="O925" s="1" t="s">
        <v>28</v>
      </c>
      <c r="P925" s="1" t="s">
        <v>68</v>
      </c>
      <c r="Q925" s="1">
        <v>13</v>
      </c>
      <c r="R925" s="1">
        <v>0</v>
      </c>
      <c r="S925" s="1">
        <v>0</v>
      </c>
      <c r="T925" s="1">
        <v>13</v>
      </c>
      <c r="U925" s="1">
        <v>0</v>
      </c>
      <c r="V925" s="1" t="str">
        <f t="shared" si="177"/>
        <v>里程返程</v>
      </c>
      <c r="W925" s="1" t="str">
        <f>"0020"</f>
        <v>0020</v>
      </c>
      <c r="X925" s="1" t="s">
        <v>29</v>
      </c>
    </row>
    <row r="926" spans="1:24" x14ac:dyDescent="0.3">
      <c r="A926" s="1" t="str">
        <f t="shared" si="175"/>
        <v>59829</v>
      </c>
      <c r="B926" s="1" t="s">
        <v>47</v>
      </c>
      <c r="C926" s="1" t="s">
        <v>48</v>
      </c>
      <c r="D926" s="1" t="str">
        <f t="shared" ref="D926:D944" si="179">"9803"</f>
        <v>9803</v>
      </c>
      <c r="E926" s="1" t="s">
        <v>32</v>
      </c>
      <c r="F926" s="1" t="str">
        <f>"1175266597"</f>
        <v>1175266597</v>
      </c>
      <c r="G926" s="1" t="s">
        <v>33</v>
      </c>
      <c r="H926" s="1" t="str">
        <f t="shared" si="170"/>
        <v>20220905</v>
      </c>
      <c r="I926" s="1" t="str">
        <f>"081059"</f>
        <v>081059</v>
      </c>
      <c r="J926" s="1" t="s">
        <v>28</v>
      </c>
      <c r="K926" s="1" t="s">
        <v>28</v>
      </c>
      <c r="L926" s="1" t="str">
        <f t="shared" si="178"/>
        <v>20220905</v>
      </c>
      <c r="M926" s="1" t="str">
        <f>"083407"</f>
        <v>083407</v>
      </c>
      <c r="N926" s="1" t="s">
        <v>34</v>
      </c>
      <c r="O926" s="1" t="s">
        <v>34</v>
      </c>
      <c r="P926" s="1" t="s">
        <v>55</v>
      </c>
      <c r="Q926" s="1">
        <v>25</v>
      </c>
      <c r="R926" s="1">
        <v>0</v>
      </c>
      <c r="S926" s="1">
        <v>25</v>
      </c>
      <c r="T926" s="1">
        <v>0</v>
      </c>
      <c r="U926" s="1">
        <v>0</v>
      </c>
      <c r="V926" s="1" t="str">
        <f t="shared" ref="V926:V942" si="180">"里程去程"</f>
        <v>里程去程</v>
      </c>
      <c r="W926" s="1" t="str">
        <f>"2020"</f>
        <v>2020</v>
      </c>
      <c r="X926" s="1" t="s">
        <v>35</v>
      </c>
    </row>
    <row r="927" spans="1:24" x14ac:dyDescent="0.3">
      <c r="A927" s="1" t="str">
        <f t="shared" si="175"/>
        <v>59829</v>
      </c>
      <c r="B927" s="1" t="s">
        <v>47</v>
      </c>
      <c r="C927" s="1" t="s">
        <v>48</v>
      </c>
      <c r="D927" s="1" t="str">
        <f t="shared" si="179"/>
        <v>9803</v>
      </c>
      <c r="E927" s="1" t="s">
        <v>32</v>
      </c>
      <c r="F927" s="1" t="str">
        <f>"C1F59065C18804004325CC9400120C0F"</f>
        <v>C1F59065C18804004325CC9400120C0F</v>
      </c>
      <c r="G927" s="1" t="s">
        <v>59</v>
      </c>
      <c r="H927" s="1" t="str">
        <f t="shared" si="170"/>
        <v>20220905</v>
      </c>
      <c r="I927" s="1" t="str">
        <f>"081115"</f>
        <v>081115</v>
      </c>
      <c r="J927" s="1" t="s">
        <v>28</v>
      </c>
      <c r="K927" s="1" t="s">
        <v>28</v>
      </c>
      <c r="L927" s="1" t="str">
        <f t="shared" si="178"/>
        <v>20220905</v>
      </c>
      <c r="M927" s="1" t="str">
        <f>"083429"</f>
        <v>083429</v>
      </c>
      <c r="N927" s="1" t="s">
        <v>34</v>
      </c>
      <c r="O927" s="1" t="s">
        <v>34</v>
      </c>
      <c r="P927" s="1" t="s">
        <v>55</v>
      </c>
      <c r="Q927" s="1">
        <v>25</v>
      </c>
      <c r="R927" s="1">
        <v>0</v>
      </c>
      <c r="S927" s="1">
        <v>25</v>
      </c>
      <c r="T927" s="1">
        <v>0</v>
      </c>
      <c r="U927" s="1">
        <v>0</v>
      </c>
      <c r="V927" s="1" t="str">
        <f t="shared" si="180"/>
        <v>里程去程</v>
      </c>
      <c r="W927" s="1" t="str">
        <f>"0620"</f>
        <v>0620</v>
      </c>
      <c r="X927" s="1" t="s">
        <v>29</v>
      </c>
    </row>
    <row r="928" spans="1:24" x14ac:dyDescent="0.3">
      <c r="A928" s="1" t="str">
        <f t="shared" si="175"/>
        <v>59829</v>
      </c>
      <c r="B928" s="1" t="s">
        <v>47</v>
      </c>
      <c r="C928" s="1" t="s">
        <v>48</v>
      </c>
      <c r="D928" s="1" t="str">
        <f t="shared" si="179"/>
        <v>9803</v>
      </c>
      <c r="E928" s="1" t="s">
        <v>32</v>
      </c>
      <c r="F928" s="1" t="str">
        <f>"0507EE9B778804004327BBD200170B07"</f>
        <v>0507EE9B778804004327BBD200170B07</v>
      </c>
      <c r="G928" s="1" t="s">
        <v>58</v>
      </c>
      <c r="H928" s="1" t="str">
        <f t="shared" si="170"/>
        <v>20220905</v>
      </c>
      <c r="I928" s="1" t="str">
        <f>"081117"</f>
        <v>081117</v>
      </c>
      <c r="J928" s="1" t="s">
        <v>28</v>
      </c>
      <c r="K928" s="1" t="s">
        <v>28</v>
      </c>
      <c r="L928" s="1" t="str">
        <f t="shared" si="178"/>
        <v>20220905</v>
      </c>
      <c r="M928" s="1" t="str">
        <f>"083411"</f>
        <v>083411</v>
      </c>
      <c r="N928" s="1" t="s">
        <v>34</v>
      </c>
      <c r="O928" s="1" t="s">
        <v>34</v>
      </c>
      <c r="P928" s="1" t="s">
        <v>55</v>
      </c>
      <c r="Q928" s="1">
        <v>25</v>
      </c>
      <c r="R928" s="1">
        <v>25</v>
      </c>
      <c r="S928" s="1">
        <v>0</v>
      </c>
      <c r="T928" s="1">
        <v>0</v>
      </c>
      <c r="U928" s="1">
        <v>0</v>
      </c>
      <c r="V928" s="1" t="str">
        <f t="shared" si="180"/>
        <v>里程去程</v>
      </c>
      <c r="W928" s="1" t="str">
        <f>"0020"</f>
        <v>0020</v>
      </c>
      <c r="X928" s="1" t="s">
        <v>29</v>
      </c>
    </row>
    <row r="929" spans="1:24" x14ac:dyDescent="0.3">
      <c r="A929" s="1" t="str">
        <f t="shared" si="175"/>
        <v>59829</v>
      </c>
      <c r="B929" s="1" t="s">
        <v>47</v>
      </c>
      <c r="C929" s="1" t="s">
        <v>48</v>
      </c>
      <c r="D929" s="1" t="str">
        <f t="shared" si="179"/>
        <v>9803</v>
      </c>
      <c r="E929" s="1" t="s">
        <v>32</v>
      </c>
      <c r="F929" s="1" t="str">
        <f>"234685749"</f>
        <v>234685749</v>
      </c>
      <c r="G929" s="1" t="s">
        <v>33</v>
      </c>
      <c r="H929" s="1" t="str">
        <f t="shared" si="170"/>
        <v>20220905</v>
      </c>
      <c r="I929" s="1" t="str">
        <f>"081125"</f>
        <v>081125</v>
      </c>
      <c r="J929" s="1" t="s">
        <v>28</v>
      </c>
      <c r="K929" s="1" t="s">
        <v>28</v>
      </c>
      <c r="L929" s="1" t="str">
        <f t="shared" si="178"/>
        <v>20220905</v>
      </c>
      <c r="M929" s="1" t="str">
        <f>"083427"</f>
        <v>083427</v>
      </c>
      <c r="N929" s="1" t="s">
        <v>34</v>
      </c>
      <c r="O929" s="1" t="s">
        <v>34</v>
      </c>
      <c r="P929" s="1" t="s">
        <v>55</v>
      </c>
      <c r="Q929" s="1">
        <v>25</v>
      </c>
      <c r="R929" s="1">
        <v>25</v>
      </c>
      <c r="S929" s="1">
        <v>0</v>
      </c>
      <c r="T929" s="1">
        <v>0</v>
      </c>
      <c r="U929" s="1">
        <v>0</v>
      </c>
      <c r="V929" s="1" t="str">
        <f t="shared" si="180"/>
        <v>里程去程</v>
      </c>
      <c r="W929" s="1" t="str">
        <f>"0820"</f>
        <v>0820</v>
      </c>
      <c r="X929" s="1" t="s">
        <v>35</v>
      </c>
    </row>
    <row r="930" spans="1:24" x14ac:dyDescent="0.3">
      <c r="A930" s="1" t="str">
        <f t="shared" si="175"/>
        <v>59829</v>
      </c>
      <c r="B930" s="1" t="s">
        <v>47</v>
      </c>
      <c r="C930" s="1" t="s">
        <v>48</v>
      </c>
      <c r="D930" s="1" t="str">
        <f t="shared" si="179"/>
        <v>9803</v>
      </c>
      <c r="E930" s="1" t="s">
        <v>32</v>
      </c>
      <c r="F930" s="1" t="str">
        <f>"C2F7D002E7880400C834002000000015"</f>
        <v>C2F7D002E7880400C834002000000015</v>
      </c>
      <c r="G930" s="1" t="s">
        <v>74</v>
      </c>
      <c r="H930" s="1" t="str">
        <f t="shared" si="170"/>
        <v>20220905</v>
      </c>
      <c r="I930" s="1" t="str">
        <f>"081135"</f>
        <v>081135</v>
      </c>
      <c r="J930" s="1" t="s">
        <v>28</v>
      </c>
      <c r="K930" s="1" t="s">
        <v>28</v>
      </c>
      <c r="L930" s="1" t="str">
        <f t="shared" si="178"/>
        <v>20220905</v>
      </c>
      <c r="M930" s="1" t="str">
        <f>"082210"</f>
        <v>082210</v>
      </c>
      <c r="N930" s="1" t="s">
        <v>79</v>
      </c>
      <c r="O930" s="1" t="s">
        <v>28</v>
      </c>
      <c r="P930" s="1" t="s">
        <v>68</v>
      </c>
      <c r="Q930" s="1">
        <v>13</v>
      </c>
      <c r="R930" s="1">
        <v>0</v>
      </c>
      <c r="S930" s="1">
        <v>0</v>
      </c>
      <c r="T930" s="1">
        <v>13</v>
      </c>
      <c r="U930" s="1">
        <v>0</v>
      </c>
      <c r="V930" s="1" t="str">
        <f t="shared" si="180"/>
        <v>里程去程</v>
      </c>
      <c r="W930" s="1" t="str">
        <f>"0020"</f>
        <v>0020</v>
      </c>
      <c r="X930" s="1" t="s">
        <v>29</v>
      </c>
    </row>
    <row r="931" spans="1:24" x14ac:dyDescent="0.3">
      <c r="A931" s="1" t="str">
        <f t="shared" si="175"/>
        <v>59829</v>
      </c>
      <c r="B931" s="1" t="s">
        <v>47</v>
      </c>
      <c r="C931" s="1" t="s">
        <v>48</v>
      </c>
      <c r="D931" s="1" t="str">
        <f t="shared" si="179"/>
        <v>9803</v>
      </c>
      <c r="E931" s="1" t="s">
        <v>32</v>
      </c>
      <c r="F931" s="1" t="str">
        <f>"112B1C61472804001C00000000000000"</f>
        <v>112B1C61472804001C00000000000000</v>
      </c>
      <c r="G931" s="1" t="s">
        <v>58</v>
      </c>
      <c r="H931" s="1" t="str">
        <f t="shared" ref="H931:H971" si="181">"20220905"</f>
        <v>20220905</v>
      </c>
      <c r="I931" s="1" t="str">
        <f>"081141"</f>
        <v>081141</v>
      </c>
      <c r="J931" s="1" t="s">
        <v>28</v>
      </c>
      <c r="K931" s="1" t="s">
        <v>28</v>
      </c>
      <c r="L931" s="1" t="str">
        <f t="shared" si="178"/>
        <v>20220905</v>
      </c>
      <c r="M931" s="1" t="str">
        <f>"083445"</f>
        <v>083445</v>
      </c>
      <c r="N931" s="1" t="s">
        <v>34</v>
      </c>
      <c r="O931" s="1" t="s">
        <v>34</v>
      </c>
      <c r="P931" s="1" t="s">
        <v>55</v>
      </c>
      <c r="Q931" s="1">
        <v>25</v>
      </c>
      <c r="R931" s="1">
        <v>25</v>
      </c>
      <c r="S931" s="1">
        <v>0</v>
      </c>
      <c r="T931" s="1">
        <v>0</v>
      </c>
      <c r="U931" s="1">
        <v>0</v>
      </c>
      <c r="V931" s="1" t="str">
        <f t="shared" si="180"/>
        <v>里程去程</v>
      </c>
      <c r="W931" s="1" t="str">
        <f>"0020"</f>
        <v>0020</v>
      </c>
      <c r="X931" s="1" t="s">
        <v>29</v>
      </c>
    </row>
    <row r="932" spans="1:24" x14ac:dyDescent="0.3">
      <c r="A932" s="1" t="str">
        <f t="shared" si="175"/>
        <v>59829</v>
      </c>
      <c r="B932" s="1" t="s">
        <v>47</v>
      </c>
      <c r="C932" s="1" t="s">
        <v>48</v>
      </c>
      <c r="D932" s="1" t="str">
        <f t="shared" si="179"/>
        <v>9803</v>
      </c>
      <c r="E932" s="1" t="s">
        <v>32</v>
      </c>
      <c r="F932" s="1" t="str">
        <f>"252110037"</f>
        <v>252110037</v>
      </c>
      <c r="G932" s="1" t="s">
        <v>33</v>
      </c>
      <c r="H932" s="1" t="str">
        <f t="shared" si="181"/>
        <v>20220905</v>
      </c>
      <c r="I932" s="1" t="str">
        <f>"081320"</f>
        <v>081320</v>
      </c>
      <c r="J932" s="1" t="s">
        <v>28</v>
      </c>
      <c r="K932" s="1" t="s">
        <v>28</v>
      </c>
      <c r="L932" s="1" t="str">
        <f t="shared" si="178"/>
        <v>20220905</v>
      </c>
      <c r="M932" s="1" t="str">
        <f>"083352"</f>
        <v>083352</v>
      </c>
      <c r="N932" s="1" t="s">
        <v>34</v>
      </c>
      <c r="O932" s="1" t="s">
        <v>34</v>
      </c>
      <c r="P932" s="1" t="s">
        <v>55</v>
      </c>
      <c r="Q932" s="1">
        <v>25</v>
      </c>
      <c r="R932" s="1">
        <v>25</v>
      </c>
      <c r="S932" s="1">
        <v>0</v>
      </c>
      <c r="T932" s="1">
        <v>0</v>
      </c>
      <c r="U932" s="1">
        <v>0</v>
      </c>
      <c r="V932" s="1" t="str">
        <f t="shared" si="180"/>
        <v>里程去程</v>
      </c>
      <c r="W932" s="1" t="str">
        <f>"0820"</f>
        <v>0820</v>
      </c>
      <c r="X932" s="1" t="s">
        <v>35</v>
      </c>
    </row>
    <row r="933" spans="1:24" x14ac:dyDescent="0.3">
      <c r="A933" s="1" t="str">
        <f t="shared" si="175"/>
        <v>59829</v>
      </c>
      <c r="B933" s="1" t="s">
        <v>47</v>
      </c>
      <c r="C933" s="1" t="s">
        <v>48</v>
      </c>
      <c r="D933" s="1" t="str">
        <f t="shared" si="179"/>
        <v>9803</v>
      </c>
      <c r="E933" s="1" t="s">
        <v>32</v>
      </c>
      <c r="F933" s="1" t="str">
        <f>"422876705"</f>
        <v>422876705</v>
      </c>
      <c r="G933" s="1" t="s">
        <v>33</v>
      </c>
      <c r="H933" s="1" t="str">
        <f t="shared" si="181"/>
        <v>20220905</v>
      </c>
      <c r="I933" s="1" t="str">
        <f>"081337"</f>
        <v>081337</v>
      </c>
      <c r="J933" s="1" t="s">
        <v>28</v>
      </c>
      <c r="K933" s="1" t="s">
        <v>28</v>
      </c>
      <c r="L933" s="1" t="str">
        <f t="shared" si="178"/>
        <v>20220905</v>
      </c>
      <c r="M933" s="1" t="str">
        <f>"083359"</f>
        <v>083359</v>
      </c>
      <c r="N933" s="1" t="s">
        <v>34</v>
      </c>
      <c r="O933" s="1" t="s">
        <v>34</v>
      </c>
      <c r="P933" s="1" t="s">
        <v>55</v>
      </c>
      <c r="Q933" s="1">
        <v>25</v>
      </c>
      <c r="R933" s="1">
        <v>25</v>
      </c>
      <c r="S933" s="1">
        <v>0</v>
      </c>
      <c r="T933" s="1">
        <v>0</v>
      </c>
      <c r="U933" s="1">
        <v>0</v>
      </c>
      <c r="V933" s="1" t="str">
        <f t="shared" si="180"/>
        <v>里程去程</v>
      </c>
      <c r="W933" s="1" t="str">
        <f>"0820"</f>
        <v>0820</v>
      </c>
      <c r="X933" s="1" t="s">
        <v>35</v>
      </c>
    </row>
    <row r="934" spans="1:24" x14ac:dyDescent="0.3">
      <c r="A934" s="1" t="str">
        <f t="shared" si="175"/>
        <v>59829</v>
      </c>
      <c r="B934" s="1" t="s">
        <v>47</v>
      </c>
      <c r="C934" s="1" t="s">
        <v>48</v>
      </c>
      <c r="D934" s="1" t="str">
        <f t="shared" si="179"/>
        <v>9803</v>
      </c>
      <c r="E934" s="1" t="s">
        <v>32</v>
      </c>
      <c r="F934" s="1" t="str">
        <f>"280247983"</f>
        <v>280247983</v>
      </c>
      <c r="G934" s="1" t="s">
        <v>33</v>
      </c>
      <c r="H934" s="1" t="str">
        <f t="shared" si="181"/>
        <v>20220905</v>
      </c>
      <c r="I934" s="1" t="str">
        <f>"081342"</f>
        <v>081342</v>
      </c>
      <c r="J934" s="1" t="s">
        <v>28</v>
      </c>
      <c r="K934" s="1" t="s">
        <v>28</v>
      </c>
      <c r="L934" s="1" t="str">
        <f t="shared" si="178"/>
        <v>20220905</v>
      </c>
      <c r="M934" s="1" t="str">
        <f>"083356"</f>
        <v>083356</v>
      </c>
      <c r="N934" s="1" t="s">
        <v>34</v>
      </c>
      <c r="O934" s="1" t="s">
        <v>34</v>
      </c>
      <c r="P934" s="1" t="s">
        <v>55</v>
      </c>
      <c r="Q934" s="1">
        <v>25</v>
      </c>
      <c r="R934" s="1">
        <v>25</v>
      </c>
      <c r="S934" s="1">
        <v>0</v>
      </c>
      <c r="T934" s="1">
        <v>0</v>
      </c>
      <c r="U934" s="1">
        <v>0</v>
      </c>
      <c r="V934" s="1" t="str">
        <f t="shared" si="180"/>
        <v>里程去程</v>
      </c>
      <c r="W934" s="1" t="str">
        <f>"0820"</f>
        <v>0820</v>
      </c>
      <c r="X934" s="1" t="s">
        <v>35</v>
      </c>
    </row>
    <row r="935" spans="1:24" x14ac:dyDescent="0.3">
      <c r="A935" s="1" t="str">
        <f t="shared" si="175"/>
        <v>59829</v>
      </c>
      <c r="B935" s="1" t="s">
        <v>47</v>
      </c>
      <c r="C935" s="1" t="s">
        <v>48</v>
      </c>
      <c r="D935" s="1" t="str">
        <f t="shared" si="179"/>
        <v>9803</v>
      </c>
      <c r="E935" s="1" t="s">
        <v>32</v>
      </c>
      <c r="F935" s="1" t="str">
        <f>"1045570453"</f>
        <v>1045570453</v>
      </c>
      <c r="G935" s="1" t="s">
        <v>26</v>
      </c>
      <c r="H935" s="1" t="str">
        <f t="shared" si="181"/>
        <v>20220905</v>
      </c>
      <c r="I935" s="1" t="str">
        <f>"082437"</f>
        <v>082437</v>
      </c>
      <c r="J935" s="1" t="s">
        <v>46</v>
      </c>
      <c r="K935" s="1" t="s">
        <v>28</v>
      </c>
      <c r="L935" s="1" t="str">
        <f t="shared" si="178"/>
        <v>20220905</v>
      </c>
      <c r="M935" s="1" t="str">
        <f>"083348"</f>
        <v>083348</v>
      </c>
      <c r="N935" s="1" t="s">
        <v>34</v>
      </c>
      <c r="O935" s="1" t="s">
        <v>34</v>
      </c>
      <c r="P935" s="1" t="s">
        <v>55</v>
      </c>
      <c r="Q935" s="1">
        <v>13</v>
      </c>
      <c r="R935" s="1">
        <v>13</v>
      </c>
      <c r="S935" s="1">
        <v>0</v>
      </c>
      <c r="T935" s="1">
        <v>0</v>
      </c>
      <c r="U935" s="1">
        <v>0</v>
      </c>
      <c r="V935" s="1" t="str">
        <f t="shared" si="180"/>
        <v>里程去程</v>
      </c>
      <c r="W935" s="1" t="str">
        <f>"2020"</f>
        <v>2020</v>
      </c>
      <c r="X935" s="1" t="s">
        <v>35</v>
      </c>
    </row>
    <row r="936" spans="1:24" x14ac:dyDescent="0.3">
      <c r="A936" s="1" t="str">
        <f t="shared" si="175"/>
        <v>59829</v>
      </c>
      <c r="B936" s="1" t="s">
        <v>47</v>
      </c>
      <c r="C936" s="1" t="s">
        <v>48</v>
      </c>
      <c r="D936" s="1" t="str">
        <f t="shared" si="179"/>
        <v>9803</v>
      </c>
      <c r="E936" s="1" t="s">
        <v>32</v>
      </c>
      <c r="F936" s="1" t="str">
        <f>"929767121"</f>
        <v>929767121</v>
      </c>
      <c r="G936" s="1" t="s">
        <v>33</v>
      </c>
      <c r="H936" s="1" t="str">
        <f t="shared" si="181"/>
        <v>20220905</v>
      </c>
      <c r="I936" s="1" t="str">
        <f>"082439"</f>
        <v>082439</v>
      </c>
      <c r="J936" s="1" t="s">
        <v>46</v>
      </c>
      <c r="K936" s="1" t="s">
        <v>28</v>
      </c>
      <c r="L936" s="1" t="str">
        <f t="shared" si="178"/>
        <v>20220905</v>
      </c>
      <c r="M936" s="1" t="str">
        <f>"083346"</f>
        <v>083346</v>
      </c>
      <c r="N936" s="1" t="s">
        <v>34</v>
      </c>
      <c r="O936" s="1" t="s">
        <v>34</v>
      </c>
      <c r="P936" s="1" t="s">
        <v>55</v>
      </c>
      <c r="Q936" s="1">
        <v>25</v>
      </c>
      <c r="R936" s="1">
        <v>25</v>
      </c>
      <c r="S936" s="1">
        <v>0</v>
      </c>
      <c r="T936" s="1">
        <v>0</v>
      </c>
      <c r="U936" s="1">
        <v>0</v>
      </c>
      <c r="V936" s="1" t="str">
        <f t="shared" si="180"/>
        <v>里程去程</v>
      </c>
      <c r="W936" s="1" t="str">
        <f>"2020"</f>
        <v>2020</v>
      </c>
      <c r="X936" s="1" t="s">
        <v>35</v>
      </c>
    </row>
    <row r="937" spans="1:24" x14ac:dyDescent="0.3">
      <c r="A937" s="1" t="str">
        <f t="shared" si="175"/>
        <v>59829</v>
      </c>
      <c r="B937" s="1" t="s">
        <v>47</v>
      </c>
      <c r="C937" s="1" t="s">
        <v>48</v>
      </c>
      <c r="D937" s="1" t="str">
        <f t="shared" si="179"/>
        <v>9803</v>
      </c>
      <c r="E937" s="1" t="s">
        <v>32</v>
      </c>
      <c r="F937" s="1" t="str">
        <f>"E1525436D12804001C00000000000000"</f>
        <v>E1525436D12804001C00000000000000</v>
      </c>
      <c r="G937" s="1" t="s">
        <v>58</v>
      </c>
      <c r="H937" s="1" t="str">
        <f t="shared" si="181"/>
        <v>20220905</v>
      </c>
      <c r="I937" s="1" t="str">
        <f>"082442"</f>
        <v>082442</v>
      </c>
      <c r="J937" s="1" t="s">
        <v>46</v>
      </c>
      <c r="K937" s="1" t="s">
        <v>28</v>
      </c>
      <c r="L937" s="1" t="str">
        <f t="shared" si="178"/>
        <v>20220905</v>
      </c>
      <c r="M937" s="1" t="str">
        <f>"083343"</f>
        <v>083343</v>
      </c>
      <c r="N937" s="1" t="s">
        <v>34</v>
      </c>
      <c r="O937" s="1" t="s">
        <v>34</v>
      </c>
      <c r="P937" s="1" t="s">
        <v>55</v>
      </c>
      <c r="Q937" s="1">
        <v>25</v>
      </c>
      <c r="R937" s="1">
        <v>25</v>
      </c>
      <c r="S937" s="1">
        <v>0</v>
      </c>
      <c r="T937" s="1">
        <v>0</v>
      </c>
      <c r="U937" s="1">
        <v>0</v>
      </c>
      <c r="V937" s="1" t="str">
        <f t="shared" si="180"/>
        <v>里程去程</v>
      </c>
      <c r="W937" s="1" t="str">
        <f>"0020"</f>
        <v>0020</v>
      </c>
      <c r="X937" s="1" t="s">
        <v>29</v>
      </c>
    </row>
    <row r="938" spans="1:24" x14ac:dyDescent="0.3">
      <c r="A938" s="1" t="str">
        <f t="shared" si="175"/>
        <v>59829</v>
      </c>
      <c r="B938" s="1" t="s">
        <v>47</v>
      </c>
      <c r="C938" s="1" t="s">
        <v>48</v>
      </c>
      <c r="D938" s="1" t="str">
        <f t="shared" si="179"/>
        <v>9803</v>
      </c>
      <c r="E938" s="1" t="s">
        <v>32</v>
      </c>
      <c r="F938" s="1" t="str">
        <f>"1219803313"</f>
        <v>1219803313</v>
      </c>
      <c r="G938" s="1" t="s">
        <v>33</v>
      </c>
      <c r="H938" s="1" t="str">
        <f t="shared" si="181"/>
        <v>20220905</v>
      </c>
      <c r="I938" s="1" t="str">
        <f>"082456"</f>
        <v>082456</v>
      </c>
      <c r="J938" s="1" t="s">
        <v>46</v>
      </c>
      <c r="K938" s="1" t="s">
        <v>28</v>
      </c>
      <c r="L938" s="1" t="str">
        <f t="shared" si="178"/>
        <v>20220905</v>
      </c>
      <c r="M938" s="1" t="str">
        <f>"083336"</f>
        <v>083336</v>
      </c>
      <c r="N938" s="1" t="s">
        <v>34</v>
      </c>
      <c r="O938" s="1" t="s">
        <v>34</v>
      </c>
      <c r="P938" s="1" t="s">
        <v>55</v>
      </c>
      <c r="Q938" s="1">
        <v>25</v>
      </c>
      <c r="R938" s="1">
        <v>25</v>
      </c>
      <c r="S938" s="1">
        <v>0</v>
      </c>
      <c r="T938" s="1">
        <v>0</v>
      </c>
      <c r="U938" s="1">
        <v>0</v>
      </c>
      <c r="V938" s="1" t="str">
        <f t="shared" si="180"/>
        <v>里程去程</v>
      </c>
      <c r="W938" s="1" t="str">
        <f>"2020"</f>
        <v>2020</v>
      </c>
      <c r="X938" s="1" t="s">
        <v>35</v>
      </c>
    </row>
    <row r="939" spans="1:24" x14ac:dyDescent="0.3">
      <c r="A939" s="1" t="str">
        <f t="shared" ref="A939:A971" si="182">"59829"</f>
        <v>59829</v>
      </c>
      <c r="B939" s="1" t="s">
        <v>47</v>
      </c>
      <c r="C939" s="1" t="s">
        <v>48</v>
      </c>
      <c r="D939" s="1" t="str">
        <f t="shared" si="179"/>
        <v>9803</v>
      </c>
      <c r="E939" s="1" t="s">
        <v>32</v>
      </c>
      <c r="F939" s="1" t="str">
        <f>"795893829"</f>
        <v>795893829</v>
      </c>
      <c r="G939" s="1" t="s">
        <v>26</v>
      </c>
      <c r="H939" s="1" t="str">
        <f t="shared" si="181"/>
        <v>20220905</v>
      </c>
      <c r="I939" s="1" t="str">
        <f>"082538"</f>
        <v>082538</v>
      </c>
      <c r="J939" s="1" t="s">
        <v>46</v>
      </c>
      <c r="K939" s="1" t="s">
        <v>28</v>
      </c>
      <c r="L939" s="1" t="str">
        <f t="shared" si="178"/>
        <v>20220905</v>
      </c>
      <c r="M939" s="1" t="str">
        <f>"083306"</f>
        <v>083306</v>
      </c>
      <c r="N939" s="1" t="s">
        <v>34</v>
      </c>
      <c r="O939" s="1" t="s">
        <v>34</v>
      </c>
      <c r="P939" s="1" t="s">
        <v>55</v>
      </c>
      <c r="Q939" s="1">
        <v>13</v>
      </c>
      <c r="R939" s="1">
        <v>13</v>
      </c>
      <c r="S939" s="1">
        <v>0</v>
      </c>
      <c r="T939" s="1">
        <v>0</v>
      </c>
      <c r="U939" s="1">
        <v>0</v>
      </c>
      <c r="V939" s="1" t="str">
        <f t="shared" si="180"/>
        <v>里程去程</v>
      </c>
      <c r="W939" s="1" t="str">
        <f>"2020"</f>
        <v>2020</v>
      </c>
      <c r="X939" s="1" t="s">
        <v>35</v>
      </c>
    </row>
    <row r="940" spans="1:24" x14ac:dyDescent="0.3">
      <c r="A940" s="1" t="str">
        <f t="shared" si="182"/>
        <v>59829</v>
      </c>
      <c r="B940" s="1" t="s">
        <v>47</v>
      </c>
      <c r="C940" s="1" t="s">
        <v>48</v>
      </c>
      <c r="D940" s="1" t="str">
        <f t="shared" si="179"/>
        <v>9803</v>
      </c>
      <c r="E940" s="1" t="s">
        <v>32</v>
      </c>
      <c r="F940" s="1" t="str">
        <f>"B2A9AF14A0880400C840002000000018"</f>
        <v>B2A9AF14A0880400C840002000000018</v>
      </c>
      <c r="G940" s="1" t="s">
        <v>59</v>
      </c>
      <c r="H940" s="1" t="str">
        <f t="shared" si="181"/>
        <v>20220905</v>
      </c>
      <c r="I940" s="1" t="str">
        <f>"094617"</f>
        <v>094617</v>
      </c>
      <c r="J940" s="1" t="s">
        <v>28</v>
      </c>
      <c r="K940" s="1" t="s">
        <v>28</v>
      </c>
      <c r="L940" s="1" t="str">
        <f t="shared" si="178"/>
        <v>20220905</v>
      </c>
      <c r="M940" s="1" t="str">
        <f>"100636"</f>
        <v>100636</v>
      </c>
      <c r="N940" s="1" t="s">
        <v>34</v>
      </c>
      <c r="O940" s="1" t="s">
        <v>34</v>
      </c>
      <c r="P940" s="1" t="s">
        <v>55</v>
      </c>
      <c r="Q940" s="1">
        <v>25</v>
      </c>
      <c r="R940" s="1">
        <v>25</v>
      </c>
      <c r="S940" s="1">
        <v>0</v>
      </c>
      <c r="T940" s="1">
        <v>0</v>
      </c>
      <c r="U940" s="1">
        <v>0</v>
      </c>
      <c r="V940" s="1" t="str">
        <f t="shared" si="180"/>
        <v>里程去程</v>
      </c>
      <c r="W940" s="1" t="str">
        <f>"0020"</f>
        <v>0020</v>
      </c>
      <c r="X940" s="1" t="s">
        <v>29</v>
      </c>
    </row>
    <row r="941" spans="1:24" x14ac:dyDescent="0.3">
      <c r="A941" s="1" t="str">
        <f t="shared" si="182"/>
        <v>59829</v>
      </c>
      <c r="B941" s="1" t="s">
        <v>47</v>
      </c>
      <c r="C941" s="1" t="s">
        <v>48</v>
      </c>
      <c r="D941" s="1" t="str">
        <f t="shared" si="179"/>
        <v>9803</v>
      </c>
      <c r="E941" s="1" t="s">
        <v>32</v>
      </c>
      <c r="F941" s="1" t="str">
        <f>"70636337"</f>
        <v>70636337</v>
      </c>
      <c r="G941" s="1" t="s">
        <v>33</v>
      </c>
      <c r="H941" s="1" t="str">
        <f t="shared" si="181"/>
        <v>20220905</v>
      </c>
      <c r="I941" s="1" t="str">
        <f>"095004"</f>
        <v>095004</v>
      </c>
      <c r="J941" s="1" t="s">
        <v>28</v>
      </c>
      <c r="K941" s="1" t="s">
        <v>28</v>
      </c>
      <c r="L941" s="1" t="str">
        <f t="shared" si="178"/>
        <v>20220905</v>
      </c>
      <c r="M941" s="1" t="str">
        <f>"100628"</f>
        <v>100628</v>
      </c>
      <c r="N941" s="1" t="s">
        <v>34</v>
      </c>
      <c r="O941" s="1" t="s">
        <v>34</v>
      </c>
      <c r="P941" s="1" t="s">
        <v>55</v>
      </c>
      <c r="Q941" s="1">
        <v>25</v>
      </c>
      <c r="R941" s="1">
        <v>25</v>
      </c>
      <c r="S941" s="1">
        <v>0</v>
      </c>
      <c r="T941" s="1">
        <v>0</v>
      </c>
      <c r="U941" s="1">
        <v>0</v>
      </c>
      <c r="V941" s="1" t="str">
        <f t="shared" si="180"/>
        <v>里程去程</v>
      </c>
      <c r="W941" s="1" t="str">
        <f>"1420"</f>
        <v>1420</v>
      </c>
      <c r="X941" s="1" t="s">
        <v>35</v>
      </c>
    </row>
    <row r="942" spans="1:24" x14ac:dyDescent="0.3">
      <c r="A942" s="1" t="str">
        <f t="shared" si="182"/>
        <v>59829</v>
      </c>
      <c r="B942" s="1" t="s">
        <v>47</v>
      </c>
      <c r="C942" s="1" t="s">
        <v>48</v>
      </c>
      <c r="D942" s="1" t="str">
        <f t="shared" si="179"/>
        <v>9803</v>
      </c>
      <c r="E942" s="1" t="s">
        <v>32</v>
      </c>
      <c r="F942" s="1" t="str">
        <f>"1018891765"</f>
        <v>1018891765</v>
      </c>
      <c r="G942" s="1" t="s">
        <v>38</v>
      </c>
      <c r="H942" s="1" t="str">
        <f t="shared" si="181"/>
        <v>20220905</v>
      </c>
      <c r="I942" s="1" t="str">
        <f>"095022"</f>
        <v>095022</v>
      </c>
      <c r="J942" s="1" t="s">
        <v>28</v>
      </c>
      <c r="K942" s="1" t="s">
        <v>28</v>
      </c>
      <c r="L942" s="1" t="str">
        <f t="shared" si="178"/>
        <v>20220905</v>
      </c>
      <c r="M942" s="1" t="str">
        <f>"100630"</f>
        <v>100630</v>
      </c>
      <c r="N942" s="1" t="s">
        <v>34</v>
      </c>
      <c r="O942" s="1" t="s">
        <v>34</v>
      </c>
      <c r="P942" s="1" t="s">
        <v>55</v>
      </c>
      <c r="Q942" s="1">
        <v>25</v>
      </c>
      <c r="R942" s="1">
        <v>25</v>
      </c>
      <c r="S942" s="1">
        <v>0</v>
      </c>
      <c r="T942" s="1">
        <v>0</v>
      </c>
      <c r="U942" s="1">
        <v>0</v>
      </c>
      <c r="V942" s="1" t="str">
        <f t="shared" si="180"/>
        <v>里程去程</v>
      </c>
      <c r="W942" s="1" t="str">
        <f>"0120"</f>
        <v>0120</v>
      </c>
      <c r="X942" s="1" t="s">
        <v>35</v>
      </c>
    </row>
    <row r="943" spans="1:24" x14ac:dyDescent="0.3">
      <c r="A943" s="1" t="str">
        <f t="shared" si="182"/>
        <v>59829</v>
      </c>
      <c r="B943" s="1" t="s">
        <v>47</v>
      </c>
      <c r="C943" s="1" t="s">
        <v>48</v>
      </c>
      <c r="D943" s="1" t="str">
        <f t="shared" si="179"/>
        <v>9803</v>
      </c>
      <c r="E943" s="1" t="s">
        <v>32</v>
      </c>
      <c r="F943" s="1" t="str">
        <f>"1450182785"</f>
        <v>1450182785</v>
      </c>
      <c r="G943" s="1" t="s">
        <v>33</v>
      </c>
      <c r="H943" s="1" t="str">
        <f t="shared" si="181"/>
        <v>20220905</v>
      </c>
      <c r="I943" s="1" t="str">
        <f>"104523"</f>
        <v>104523</v>
      </c>
      <c r="J943" s="1" t="s">
        <v>73</v>
      </c>
      <c r="K943" s="1" t="s">
        <v>28</v>
      </c>
      <c r="L943" s="1" t="str">
        <f t="shared" si="178"/>
        <v>20220905</v>
      </c>
      <c r="M943" s="1" t="str">
        <f>"105446"</f>
        <v>105446</v>
      </c>
      <c r="N943" s="1" t="s">
        <v>46</v>
      </c>
      <c r="O943" s="1" t="s">
        <v>28</v>
      </c>
      <c r="P943" s="1" t="s">
        <v>55</v>
      </c>
      <c r="Q943" s="1">
        <v>25</v>
      </c>
      <c r="R943" s="1">
        <v>25</v>
      </c>
      <c r="S943" s="1">
        <v>0</v>
      </c>
      <c r="T943" s="1">
        <v>0</v>
      </c>
      <c r="U943" s="1">
        <v>0</v>
      </c>
      <c r="V943" s="1" t="str">
        <f>"里程返程"</f>
        <v>里程返程</v>
      </c>
      <c r="W943" s="1" t="str">
        <f>"2020"</f>
        <v>2020</v>
      </c>
      <c r="X943" s="1" t="s">
        <v>35</v>
      </c>
    </row>
    <row r="944" spans="1:24" x14ac:dyDescent="0.3">
      <c r="A944" s="1" t="str">
        <f t="shared" si="182"/>
        <v>59829</v>
      </c>
      <c r="B944" s="1" t="s">
        <v>47</v>
      </c>
      <c r="C944" s="1" t="s">
        <v>48</v>
      </c>
      <c r="D944" s="1" t="str">
        <f t="shared" si="179"/>
        <v>9803</v>
      </c>
      <c r="E944" s="1" t="s">
        <v>32</v>
      </c>
      <c r="F944" s="1" t="str">
        <f>"637464209"</f>
        <v>637464209</v>
      </c>
      <c r="G944" s="1" t="s">
        <v>33</v>
      </c>
      <c r="H944" s="1" t="str">
        <f t="shared" si="181"/>
        <v>20220905</v>
      </c>
      <c r="I944" s="1" t="str">
        <f>"104528"</f>
        <v>104528</v>
      </c>
      <c r="J944" s="1" t="s">
        <v>73</v>
      </c>
      <c r="K944" s="1" t="s">
        <v>28</v>
      </c>
      <c r="L944" s="1" t="str">
        <f t="shared" si="178"/>
        <v>20220905</v>
      </c>
      <c r="M944" s="1" t="str">
        <f>"105439"</f>
        <v>105439</v>
      </c>
      <c r="N944" s="1" t="s">
        <v>46</v>
      </c>
      <c r="O944" s="1" t="s">
        <v>28</v>
      </c>
      <c r="P944" s="1" t="s">
        <v>55</v>
      </c>
      <c r="Q944" s="1">
        <v>25</v>
      </c>
      <c r="R944" s="1">
        <v>25</v>
      </c>
      <c r="S944" s="1">
        <v>0</v>
      </c>
      <c r="T944" s="1">
        <v>0</v>
      </c>
      <c r="U944" s="1">
        <v>0</v>
      </c>
      <c r="V944" s="1" t="str">
        <f>"里程返程"</f>
        <v>里程返程</v>
      </c>
      <c r="W944" s="1" t="str">
        <f>"2020"</f>
        <v>2020</v>
      </c>
      <c r="X944" s="1" t="s">
        <v>35</v>
      </c>
    </row>
    <row r="945" spans="1:24" x14ac:dyDescent="0.3">
      <c r="A945" s="1" t="str">
        <f t="shared" si="182"/>
        <v>59829</v>
      </c>
      <c r="B945" s="1" t="s">
        <v>47</v>
      </c>
      <c r="C945" s="1" t="s">
        <v>48</v>
      </c>
      <c r="D945" s="1" t="str">
        <f>"9805"</f>
        <v>9805</v>
      </c>
      <c r="E945" s="1" t="s">
        <v>57</v>
      </c>
      <c r="F945" s="1" t="str">
        <f>"403474049"</f>
        <v>403474049</v>
      </c>
      <c r="G945" s="1" t="s">
        <v>33</v>
      </c>
      <c r="H945" s="1" t="str">
        <f t="shared" si="181"/>
        <v>20220905</v>
      </c>
      <c r="I945" s="1" t="str">
        <f>"120946"</f>
        <v>120946</v>
      </c>
      <c r="J945" s="1" t="s">
        <v>28</v>
      </c>
      <c r="K945" s="1" t="s">
        <v>28</v>
      </c>
      <c r="L945" s="1" t="str">
        <f t="shared" si="178"/>
        <v>20220905</v>
      </c>
      <c r="M945" s="1" t="str">
        <f>"122736"</f>
        <v>122736</v>
      </c>
      <c r="N945" s="1" t="s">
        <v>52</v>
      </c>
      <c r="O945" s="1" t="s">
        <v>52</v>
      </c>
      <c r="P945" s="1" t="s">
        <v>55</v>
      </c>
      <c r="Q945" s="1">
        <v>25</v>
      </c>
      <c r="R945" s="1">
        <v>25</v>
      </c>
      <c r="S945" s="1">
        <v>0</v>
      </c>
      <c r="T945" s="1">
        <v>0</v>
      </c>
      <c r="U945" s="1">
        <v>0</v>
      </c>
      <c r="V945" s="1" t="str">
        <f t="shared" ref="V945:V956" si="183">"里程去程"</f>
        <v>里程去程</v>
      </c>
      <c r="W945" s="1" t="str">
        <f>"0820"</f>
        <v>0820</v>
      </c>
      <c r="X945" s="1" t="s">
        <v>35</v>
      </c>
    </row>
    <row r="946" spans="1:24" x14ac:dyDescent="0.3">
      <c r="A946" s="1" t="str">
        <f t="shared" si="182"/>
        <v>59829</v>
      </c>
      <c r="B946" s="1" t="s">
        <v>47</v>
      </c>
      <c r="C946" s="1" t="s">
        <v>48</v>
      </c>
      <c r="D946" s="1" t="str">
        <f>"9805"</f>
        <v>9805</v>
      </c>
      <c r="E946" s="1" t="s">
        <v>57</v>
      </c>
      <c r="F946" s="1" t="str">
        <f>"1734163957"</f>
        <v>1734163957</v>
      </c>
      <c r="G946" s="1" t="s">
        <v>33</v>
      </c>
      <c r="H946" s="1" t="str">
        <f t="shared" si="181"/>
        <v>20220905</v>
      </c>
      <c r="I946" s="1" t="str">
        <f>"120958"</f>
        <v>120958</v>
      </c>
      <c r="J946" s="1" t="s">
        <v>28</v>
      </c>
      <c r="K946" s="1" t="s">
        <v>28</v>
      </c>
      <c r="L946" s="1" t="str">
        <f t="shared" si="178"/>
        <v>20220905</v>
      </c>
      <c r="M946" s="1" t="str">
        <f>"122613"</f>
        <v>122613</v>
      </c>
      <c r="N946" s="1" t="s">
        <v>62</v>
      </c>
      <c r="O946" s="1" t="s">
        <v>28</v>
      </c>
      <c r="P946" s="1" t="s">
        <v>55</v>
      </c>
      <c r="Q946" s="1">
        <v>25</v>
      </c>
      <c r="R946" s="1">
        <v>0</v>
      </c>
      <c r="S946" s="1">
        <v>25</v>
      </c>
      <c r="T946" s="1">
        <v>0</v>
      </c>
      <c r="U946" s="1">
        <v>0</v>
      </c>
      <c r="V946" s="1" t="str">
        <f t="shared" si="183"/>
        <v>里程去程</v>
      </c>
      <c r="W946" s="1" t="str">
        <f>"0820"</f>
        <v>0820</v>
      </c>
      <c r="X946" s="1" t="s">
        <v>35</v>
      </c>
    </row>
    <row r="947" spans="1:24" x14ac:dyDescent="0.3">
      <c r="A947" s="1" t="str">
        <f t="shared" si="182"/>
        <v>59829</v>
      </c>
      <c r="B947" s="1" t="s">
        <v>47</v>
      </c>
      <c r="C947" s="1" t="s">
        <v>48</v>
      </c>
      <c r="D947" s="1" t="str">
        <f>"9805"</f>
        <v>9805</v>
      </c>
      <c r="E947" s="1" t="s">
        <v>57</v>
      </c>
      <c r="F947" s="1" t="str">
        <f>"1936167484"</f>
        <v>1936167484</v>
      </c>
      <c r="G947" s="1" t="s">
        <v>33</v>
      </c>
      <c r="H947" s="1" t="str">
        <f t="shared" si="181"/>
        <v>20220905</v>
      </c>
      <c r="I947" s="1" t="str">
        <f>"121021"</f>
        <v>121021</v>
      </c>
      <c r="J947" s="1" t="s">
        <v>28</v>
      </c>
      <c r="K947" s="1" t="s">
        <v>28</v>
      </c>
      <c r="L947" s="1" t="str">
        <f t="shared" si="178"/>
        <v>20220905</v>
      </c>
      <c r="M947" s="1" t="str">
        <f>"122625"</f>
        <v>122625</v>
      </c>
      <c r="N947" s="1" t="s">
        <v>62</v>
      </c>
      <c r="O947" s="1" t="s">
        <v>28</v>
      </c>
      <c r="P947" s="1" t="s">
        <v>55</v>
      </c>
      <c r="Q947" s="1">
        <v>25</v>
      </c>
      <c r="R947" s="1">
        <v>25</v>
      </c>
      <c r="S947" s="1">
        <v>0</v>
      </c>
      <c r="T947" s="1">
        <v>0</v>
      </c>
      <c r="U947" s="1">
        <v>0</v>
      </c>
      <c r="V947" s="1" t="str">
        <f t="shared" si="183"/>
        <v>里程去程</v>
      </c>
      <c r="W947" s="1" t="str">
        <f>"0120"</f>
        <v>0120</v>
      </c>
      <c r="X947" s="1" t="s">
        <v>35</v>
      </c>
    </row>
    <row r="948" spans="1:24" x14ac:dyDescent="0.3">
      <c r="A948" s="1" t="str">
        <f t="shared" si="182"/>
        <v>59829</v>
      </c>
      <c r="B948" s="1" t="s">
        <v>47</v>
      </c>
      <c r="C948" s="1" t="s">
        <v>48</v>
      </c>
      <c r="D948" s="1" t="str">
        <f>"9805"</f>
        <v>9805</v>
      </c>
      <c r="E948" s="1" t="s">
        <v>57</v>
      </c>
      <c r="F948" s="1" t="str">
        <f>"1259507621"</f>
        <v>1259507621</v>
      </c>
      <c r="G948" s="1" t="s">
        <v>33</v>
      </c>
      <c r="H948" s="1" t="str">
        <f t="shared" si="181"/>
        <v>20220905</v>
      </c>
      <c r="I948" s="1" t="str">
        <f>"121044"</f>
        <v>121044</v>
      </c>
      <c r="J948" s="1" t="s">
        <v>28</v>
      </c>
      <c r="K948" s="1" t="s">
        <v>28</v>
      </c>
      <c r="L948" s="1" t="str">
        <f t="shared" si="178"/>
        <v>20220905</v>
      </c>
      <c r="M948" s="1" t="str">
        <f>"122925"</f>
        <v>122925</v>
      </c>
      <c r="N948" s="1" t="s">
        <v>52</v>
      </c>
      <c r="O948" s="1" t="s">
        <v>52</v>
      </c>
      <c r="P948" s="1" t="s">
        <v>55</v>
      </c>
      <c r="Q948" s="1">
        <v>25</v>
      </c>
      <c r="R948" s="1">
        <v>25</v>
      </c>
      <c r="S948" s="1">
        <v>0</v>
      </c>
      <c r="T948" s="1">
        <v>0</v>
      </c>
      <c r="U948" s="1">
        <v>0</v>
      </c>
      <c r="V948" s="1" t="str">
        <f t="shared" si="183"/>
        <v>里程去程</v>
      </c>
      <c r="W948" s="1" t="str">
        <f>"0820"</f>
        <v>0820</v>
      </c>
      <c r="X948" s="1" t="s">
        <v>35</v>
      </c>
    </row>
    <row r="949" spans="1:24" x14ac:dyDescent="0.3">
      <c r="A949" s="1" t="str">
        <f t="shared" si="182"/>
        <v>59829</v>
      </c>
      <c r="B949" s="1" t="s">
        <v>47</v>
      </c>
      <c r="C949" s="1" t="s">
        <v>48</v>
      </c>
      <c r="D949" s="1" t="str">
        <f>"9805"</f>
        <v>9805</v>
      </c>
      <c r="E949" s="1" t="s">
        <v>57</v>
      </c>
      <c r="F949" s="1" t="str">
        <f>"1192035509"</f>
        <v>1192035509</v>
      </c>
      <c r="G949" s="1" t="s">
        <v>33</v>
      </c>
      <c r="H949" s="1" t="str">
        <f t="shared" si="181"/>
        <v>20220905</v>
      </c>
      <c r="I949" s="1" t="str">
        <f>"121114"</f>
        <v>121114</v>
      </c>
      <c r="J949" s="1" t="s">
        <v>28</v>
      </c>
      <c r="K949" s="1" t="s">
        <v>28</v>
      </c>
      <c r="L949" s="1" t="str">
        <f t="shared" si="178"/>
        <v>20220905</v>
      </c>
      <c r="M949" s="1" t="str">
        <f>"122131"</f>
        <v>122131</v>
      </c>
      <c r="N949" s="1" t="s">
        <v>46</v>
      </c>
      <c r="O949" s="1" t="s">
        <v>28</v>
      </c>
      <c r="P949" s="1" t="s">
        <v>55</v>
      </c>
      <c r="Q949" s="1">
        <v>25</v>
      </c>
      <c r="R949" s="1">
        <v>0</v>
      </c>
      <c r="S949" s="1">
        <v>25</v>
      </c>
      <c r="T949" s="1">
        <v>0</v>
      </c>
      <c r="U949" s="1">
        <v>0</v>
      </c>
      <c r="V949" s="1" t="str">
        <f t="shared" si="183"/>
        <v>里程去程</v>
      </c>
      <c r="W949" s="1" t="str">
        <f>"1920"</f>
        <v>1920</v>
      </c>
      <c r="X949" s="1" t="s">
        <v>35</v>
      </c>
    </row>
    <row r="950" spans="1:24" x14ac:dyDescent="0.3">
      <c r="A950" s="1" t="str">
        <f t="shared" si="182"/>
        <v>59829</v>
      </c>
      <c r="B950" s="1" t="s">
        <v>47</v>
      </c>
      <c r="C950" s="1" t="s">
        <v>48</v>
      </c>
      <c r="D950" s="1" t="str">
        <f t="shared" ref="D950:D958" si="184">"9803"</f>
        <v>9803</v>
      </c>
      <c r="E950" s="1" t="s">
        <v>32</v>
      </c>
      <c r="F950" s="1" t="str">
        <f>"1746312885"</f>
        <v>1746312885</v>
      </c>
      <c r="G950" s="1" t="s">
        <v>33</v>
      </c>
      <c r="H950" s="1" t="str">
        <f t="shared" si="181"/>
        <v>20220905</v>
      </c>
      <c r="I950" s="1" t="str">
        <f>"132701"</f>
        <v>132701</v>
      </c>
      <c r="J950" s="1" t="s">
        <v>28</v>
      </c>
      <c r="K950" s="1" t="s">
        <v>28</v>
      </c>
      <c r="L950" s="1" t="str">
        <f t="shared" si="178"/>
        <v>20220905</v>
      </c>
      <c r="M950" s="1" t="str">
        <f>"134652"</f>
        <v>134652</v>
      </c>
      <c r="N950" s="1" t="s">
        <v>34</v>
      </c>
      <c r="O950" s="1" t="s">
        <v>34</v>
      </c>
      <c r="P950" s="1" t="s">
        <v>55</v>
      </c>
      <c r="Q950" s="1">
        <v>25</v>
      </c>
      <c r="R950" s="1">
        <v>25</v>
      </c>
      <c r="S950" s="1">
        <v>0</v>
      </c>
      <c r="T950" s="1">
        <v>0</v>
      </c>
      <c r="U950" s="1">
        <v>0</v>
      </c>
      <c r="V950" s="1" t="str">
        <f t="shared" si="183"/>
        <v>里程去程</v>
      </c>
      <c r="W950" s="1" t="str">
        <f>"0120"</f>
        <v>0120</v>
      </c>
      <c r="X950" s="1" t="s">
        <v>35</v>
      </c>
    </row>
    <row r="951" spans="1:24" x14ac:dyDescent="0.3">
      <c r="A951" s="1" t="str">
        <f t="shared" si="182"/>
        <v>59829</v>
      </c>
      <c r="B951" s="1" t="s">
        <v>47</v>
      </c>
      <c r="C951" s="1" t="s">
        <v>48</v>
      </c>
      <c r="D951" s="1" t="str">
        <f t="shared" si="184"/>
        <v>9803</v>
      </c>
      <c r="E951" s="1" t="s">
        <v>32</v>
      </c>
      <c r="F951" s="1" t="str">
        <f>"128845345"</f>
        <v>128845345</v>
      </c>
      <c r="G951" s="1" t="s">
        <v>33</v>
      </c>
      <c r="H951" s="1" t="str">
        <f t="shared" si="181"/>
        <v>20220905</v>
      </c>
      <c r="I951" s="1" t="str">
        <f>"132720"</f>
        <v>132720</v>
      </c>
      <c r="J951" s="1" t="s">
        <v>28</v>
      </c>
      <c r="K951" s="1" t="s">
        <v>28</v>
      </c>
      <c r="L951" s="1" t="str">
        <f t="shared" si="178"/>
        <v>20220905</v>
      </c>
      <c r="M951" s="1" t="str">
        <f>"134655"</f>
        <v>134655</v>
      </c>
      <c r="N951" s="1" t="s">
        <v>34</v>
      </c>
      <c r="O951" s="1" t="s">
        <v>34</v>
      </c>
      <c r="P951" s="1" t="s">
        <v>55</v>
      </c>
      <c r="Q951" s="1">
        <v>25</v>
      </c>
      <c r="R951" s="1">
        <v>25</v>
      </c>
      <c r="S951" s="1">
        <v>0</v>
      </c>
      <c r="T951" s="1">
        <v>0</v>
      </c>
      <c r="U951" s="1">
        <v>0</v>
      </c>
      <c r="V951" s="1" t="str">
        <f t="shared" si="183"/>
        <v>里程去程</v>
      </c>
      <c r="W951" s="1" t="str">
        <f>"1420"</f>
        <v>1420</v>
      </c>
      <c r="X951" s="1" t="s">
        <v>35</v>
      </c>
    </row>
    <row r="952" spans="1:24" x14ac:dyDescent="0.3">
      <c r="A952" s="1" t="str">
        <f t="shared" si="182"/>
        <v>59829</v>
      </c>
      <c r="B952" s="1" t="s">
        <v>47</v>
      </c>
      <c r="C952" s="1" t="s">
        <v>48</v>
      </c>
      <c r="D952" s="1" t="str">
        <f t="shared" si="184"/>
        <v>9803</v>
      </c>
      <c r="E952" s="1" t="s">
        <v>32</v>
      </c>
      <c r="F952" s="1" t="str">
        <f>"226239073"</f>
        <v>226239073</v>
      </c>
      <c r="G952" s="1" t="s">
        <v>33</v>
      </c>
      <c r="H952" s="1" t="str">
        <f t="shared" si="181"/>
        <v>20220905</v>
      </c>
      <c r="I952" s="1" t="str">
        <f>"132724"</f>
        <v>132724</v>
      </c>
      <c r="J952" s="1" t="s">
        <v>28</v>
      </c>
      <c r="K952" s="1" t="s">
        <v>28</v>
      </c>
      <c r="L952" s="1" t="str">
        <f t="shared" si="178"/>
        <v>20220905</v>
      </c>
      <c r="M952" s="1" t="str">
        <f>"134637"</f>
        <v>134637</v>
      </c>
      <c r="N952" s="1" t="s">
        <v>34</v>
      </c>
      <c r="O952" s="1" t="s">
        <v>34</v>
      </c>
      <c r="P952" s="1" t="s">
        <v>55</v>
      </c>
      <c r="Q952" s="1">
        <v>25</v>
      </c>
      <c r="R952" s="1">
        <v>25</v>
      </c>
      <c r="S952" s="1">
        <v>0</v>
      </c>
      <c r="T952" s="1">
        <v>0</v>
      </c>
      <c r="U952" s="1">
        <v>0</v>
      </c>
      <c r="V952" s="1" t="str">
        <f t="shared" si="183"/>
        <v>里程去程</v>
      </c>
      <c r="W952" s="1" t="str">
        <f>"2320"</f>
        <v>2320</v>
      </c>
      <c r="X952" s="1" t="s">
        <v>35</v>
      </c>
    </row>
    <row r="953" spans="1:24" x14ac:dyDescent="0.3">
      <c r="A953" s="1" t="str">
        <f t="shared" si="182"/>
        <v>59829</v>
      </c>
      <c r="B953" s="1" t="s">
        <v>47</v>
      </c>
      <c r="C953" s="1" t="s">
        <v>48</v>
      </c>
      <c r="D953" s="1" t="str">
        <f t="shared" si="184"/>
        <v>9803</v>
      </c>
      <c r="E953" s="1" t="s">
        <v>32</v>
      </c>
      <c r="F953" s="1" t="str">
        <f>"529183985"</f>
        <v>529183985</v>
      </c>
      <c r="G953" s="1" t="s">
        <v>33</v>
      </c>
      <c r="H953" s="1" t="str">
        <f t="shared" si="181"/>
        <v>20220905</v>
      </c>
      <c r="I953" s="1" t="str">
        <f>"132731"</f>
        <v>132731</v>
      </c>
      <c r="J953" s="1" t="s">
        <v>28</v>
      </c>
      <c r="K953" s="1" t="s">
        <v>28</v>
      </c>
      <c r="L953" s="1" t="str">
        <f t="shared" si="178"/>
        <v>20220905</v>
      </c>
      <c r="M953" s="1" t="str">
        <f>"134635"</f>
        <v>134635</v>
      </c>
      <c r="N953" s="1" t="s">
        <v>34</v>
      </c>
      <c r="O953" s="1" t="s">
        <v>34</v>
      </c>
      <c r="P953" s="1" t="s">
        <v>55</v>
      </c>
      <c r="Q953" s="1">
        <v>25</v>
      </c>
      <c r="R953" s="1">
        <v>25</v>
      </c>
      <c r="S953" s="1">
        <v>0</v>
      </c>
      <c r="T953" s="1">
        <v>0</v>
      </c>
      <c r="U953" s="1">
        <v>0</v>
      </c>
      <c r="V953" s="1" t="str">
        <f t="shared" si="183"/>
        <v>里程去程</v>
      </c>
      <c r="W953" s="1" t="str">
        <f>"2320"</f>
        <v>2320</v>
      </c>
      <c r="X953" s="1" t="s">
        <v>35</v>
      </c>
    </row>
    <row r="954" spans="1:24" x14ac:dyDescent="0.3">
      <c r="A954" s="1" t="str">
        <f t="shared" si="182"/>
        <v>59829</v>
      </c>
      <c r="B954" s="1" t="s">
        <v>47</v>
      </c>
      <c r="C954" s="1" t="s">
        <v>48</v>
      </c>
      <c r="D954" s="1" t="str">
        <f t="shared" si="184"/>
        <v>9803</v>
      </c>
      <c r="E954" s="1" t="s">
        <v>32</v>
      </c>
      <c r="F954" s="1" t="str">
        <f>"2713752957"</f>
        <v>2713752957</v>
      </c>
      <c r="G954" s="1" t="s">
        <v>33</v>
      </c>
      <c r="H954" s="1" t="str">
        <f t="shared" si="181"/>
        <v>20220905</v>
      </c>
      <c r="I954" s="1" t="str">
        <f>"132854"</f>
        <v>132854</v>
      </c>
      <c r="J954" s="1" t="s">
        <v>28</v>
      </c>
      <c r="K954" s="1" t="s">
        <v>28</v>
      </c>
      <c r="L954" s="1" t="str">
        <f t="shared" si="178"/>
        <v>20220905</v>
      </c>
      <c r="M954" s="1" t="str">
        <f>"134641"</f>
        <v>134641</v>
      </c>
      <c r="N954" s="1" t="s">
        <v>34</v>
      </c>
      <c r="O954" s="1" t="s">
        <v>34</v>
      </c>
      <c r="P954" s="1" t="s">
        <v>55</v>
      </c>
      <c r="Q954" s="1">
        <v>25</v>
      </c>
      <c r="R954" s="1">
        <v>0</v>
      </c>
      <c r="S954" s="1">
        <v>25</v>
      </c>
      <c r="T954" s="1">
        <v>0</v>
      </c>
      <c r="U954" s="1">
        <v>0</v>
      </c>
      <c r="V954" s="1" t="str">
        <f t="shared" si="183"/>
        <v>里程去程</v>
      </c>
      <c r="W954" s="1" t="str">
        <f>"0820"</f>
        <v>0820</v>
      </c>
      <c r="X954" s="1" t="s">
        <v>35</v>
      </c>
    </row>
    <row r="955" spans="1:24" x14ac:dyDescent="0.3">
      <c r="A955" s="1" t="str">
        <f t="shared" si="182"/>
        <v>59829</v>
      </c>
      <c r="B955" s="1" t="s">
        <v>47</v>
      </c>
      <c r="C955" s="1" t="s">
        <v>48</v>
      </c>
      <c r="D955" s="1" t="str">
        <f t="shared" si="184"/>
        <v>9803</v>
      </c>
      <c r="E955" s="1" t="s">
        <v>32</v>
      </c>
      <c r="F955" s="1" t="str">
        <f>"2621463983"</f>
        <v>2621463983</v>
      </c>
      <c r="G955" s="1" t="s">
        <v>33</v>
      </c>
      <c r="H955" s="1" t="str">
        <f t="shared" si="181"/>
        <v>20220905</v>
      </c>
      <c r="I955" s="1" t="str">
        <f>"132856"</f>
        <v>132856</v>
      </c>
      <c r="J955" s="1" t="s">
        <v>28</v>
      </c>
      <c r="K955" s="1" t="s">
        <v>28</v>
      </c>
      <c r="L955" s="1" t="str">
        <f t="shared" si="178"/>
        <v>20220905</v>
      </c>
      <c r="M955" s="1" t="str">
        <f>"134643"</f>
        <v>134643</v>
      </c>
      <c r="N955" s="1" t="s">
        <v>34</v>
      </c>
      <c r="O955" s="1" t="s">
        <v>34</v>
      </c>
      <c r="P955" s="1" t="s">
        <v>55</v>
      </c>
      <c r="Q955" s="1">
        <v>25</v>
      </c>
      <c r="R955" s="1">
        <v>0</v>
      </c>
      <c r="S955" s="1">
        <v>25</v>
      </c>
      <c r="T955" s="1">
        <v>0</v>
      </c>
      <c r="U955" s="1">
        <v>0</v>
      </c>
      <c r="V955" s="1" t="str">
        <f t="shared" si="183"/>
        <v>里程去程</v>
      </c>
      <c r="W955" s="1" t="str">
        <f>"0820"</f>
        <v>0820</v>
      </c>
      <c r="X955" s="1" t="s">
        <v>35</v>
      </c>
    </row>
    <row r="956" spans="1:24" x14ac:dyDescent="0.3">
      <c r="A956" s="1" t="str">
        <f t="shared" si="182"/>
        <v>59829</v>
      </c>
      <c r="B956" s="1" t="s">
        <v>47</v>
      </c>
      <c r="C956" s="1" t="s">
        <v>48</v>
      </c>
      <c r="D956" s="1" t="str">
        <f t="shared" si="184"/>
        <v>9803</v>
      </c>
      <c r="E956" s="1" t="s">
        <v>32</v>
      </c>
      <c r="F956" s="1" t="str">
        <f>"1709069061"</f>
        <v>1709069061</v>
      </c>
      <c r="G956" s="1" t="s">
        <v>33</v>
      </c>
      <c r="H956" s="1" t="str">
        <f t="shared" si="181"/>
        <v>20220905</v>
      </c>
      <c r="I956" s="1" t="str">
        <f>"133827"</f>
        <v>133827</v>
      </c>
      <c r="J956" s="1" t="s">
        <v>46</v>
      </c>
      <c r="K956" s="1" t="s">
        <v>28</v>
      </c>
      <c r="L956" s="1" t="str">
        <f t="shared" ref="L956:L971" si="185">"20220905"</f>
        <v>20220905</v>
      </c>
      <c r="M956" s="1" t="str">
        <f>"134630"</f>
        <v>134630</v>
      </c>
      <c r="N956" s="1" t="s">
        <v>34</v>
      </c>
      <c r="O956" s="1" t="s">
        <v>34</v>
      </c>
      <c r="P956" s="1" t="s">
        <v>55</v>
      </c>
      <c r="Q956" s="1">
        <v>25</v>
      </c>
      <c r="R956" s="1">
        <v>25</v>
      </c>
      <c r="S956" s="1">
        <v>0</v>
      </c>
      <c r="T956" s="1">
        <v>0</v>
      </c>
      <c r="U956" s="1">
        <v>0</v>
      </c>
      <c r="V956" s="1" t="str">
        <f t="shared" si="183"/>
        <v>里程去程</v>
      </c>
      <c r="W956" s="1" t="str">
        <f>"2020"</f>
        <v>2020</v>
      </c>
      <c r="X956" s="1" t="s">
        <v>35</v>
      </c>
    </row>
    <row r="957" spans="1:24" x14ac:dyDescent="0.3">
      <c r="A957" s="1" t="str">
        <f t="shared" si="182"/>
        <v>59829</v>
      </c>
      <c r="B957" s="1" t="s">
        <v>47</v>
      </c>
      <c r="C957" s="1" t="s">
        <v>48</v>
      </c>
      <c r="D957" s="1" t="str">
        <f t="shared" si="184"/>
        <v>9803</v>
      </c>
      <c r="E957" s="1" t="s">
        <v>32</v>
      </c>
      <c r="F957" s="1" t="str">
        <f>"62063C164E880400C814002000000019"</f>
        <v>62063C164E880400C814002000000019</v>
      </c>
      <c r="G957" s="1" t="s">
        <v>64</v>
      </c>
      <c r="H957" s="1" t="str">
        <f t="shared" si="181"/>
        <v>20220905</v>
      </c>
      <c r="I957" s="1" t="str">
        <f>"140109"</f>
        <v>140109</v>
      </c>
      <c r="J957" s="1" t="s">
        <v>34</v>
      </c>
      <c r="K957" s="1" t="s">
        <v>34</v>
      </c>
      <c r="L957" s="1" t="str">
        <f t="shared" si="185"/>
        <v>20220905</v>
      </c>
      <c r="M957" s="1" t="str">
        <f>"141237"</f>
        <v>141237</v>
      </c>
      <c r="N957" s="1" t="s">
        <v>46</v>
      </c>
      <c r="O957" s="1" t="s">
        <v>28</v>
      </c>
      <c r="P957" s="1" t="s">
        <v>55</v>
      </c>
      <c r="Q957" s="1">
        <v>13</v>
      </c>
      <c r="R957" s="1">
        <v>13</v>
      </c>
      <c r="S957" s="1">
        <v>0</v>
      </c>
      <c r="T957" s="1">
        <v>0</v>
      </c>
      <c r="U957" s="1">
        <v>0</v>
      </c>
      <c r="V957" s="1" t="str">
        <f>"里程返程"</f>
        <v>里程返程</v>
      </c>
      <c r="W957" s="1" t="str">
        <f>"0020"</f>
        <v>0020</v>
      </c>
      <c r="X957" s="1" t="s">
        <v>29</v>
      </c>
    </row>
    <row r="958" spans="1:24" x14ac:dyDescent="0.3">
      <c r="A958" s="1" t="str">
        <f t="shared" si="182"/>
        <v>59829</v>
      </c>
      <c r="B958" s="1" t="s">
        <v>47</v>
      </c>
      <c r="C958" s="1" t="s">
        <v>48</v>
      </c>
      <c r="D958" s="1" t="str">
        <f t="shared" si="184"/>
        <v>9803</v>
      </c>
      <c r="E958" s="1" t="s">
        <v>32</v>
      </c>
      <c r="F958" s="1" t="str">
        <f>"1040977013"</f>
        <v>1040977013</v>
      </c>
      <c r="G958" s="1" t="s">
        <v>33</v>
      </c>
      <c r="H958" s="1" t="str">
        <f t="shared" si="181"/>
        <v>20220905</v>
      </c>
      <c r="I958" s="1" t="str">
        <f>"140114"</f>
        <v>140114</v>
      </c>
      <c r="J958" s="1" t="s">
        <v>34</v>
      </c>
      <c r="K958" s="1" t="s">
        <v>34</v>
      </c>
      <c r="L958" s="1" t="str">
        <f t="shared" si="185"/>
        <v>20220905</v>
      </c>
      <c r="M958" s="1" t="str">
        <f>"141248"</f>
        <v>141248</v>
      </c>
      <c r="N958" s="1" t="s">
        <v>46</v>
      </c>
      <c r="O958" s="1" t="s">
        <v>28</v>
      </c>
      <c r="P958" s="1" t="s">
        <v>55</v>
      </c>
      <c r="Q958" s="1">
        <v>25</v>
      </c>
      <c r="R958" s="1">
        <v>25</v>
      </c>
      <c r="S958" s="1">
        <v>0</v>
      </c>
      <c r="T958" s="1">
        <v>0</v>
      </c>
      <c r="U958" s="1">
        <v>0</v>
      </c>
      <c r="V958" s="1" t="str">
        <f>"里程返程"</f>
        <v>里程返程</v>
      </c>
      <c r="W958" s="1" t="str">
        <f>"1420"</f>
        <v>1420</v>
      </c>
      <c r="X958" s="1" t="s">
        <v>35</v>
      </c>
    </row>
    <row r="959" spans="1:24" x14ac:dyDescent="0.3">
      <c r="A959" s="1" t="str">
        <f t="shared" si="182"/>
        <v>59829</v>
      </c>
      <c r="B959" s="1" t="s">
        <v>47</v>
      </c>
      <c r="C959" s="1" t="s">
        <v>48</v>
      </c>
      <c r="D959" s="1" t="str">
        <f t="shared" ref="D959:D969" si="186">"9805"</f>
        <v>9805</v>
      </c>
      <c r="E959" s="1" t="s">
        <v>57</v>
      </c>
      <c r="F959" s="1" t="str">
        <f>"1476683887"</f>
        <v>1476683887</v>
      </c>
      <c r="G959" s="1" t="s">
        <v>33</v>
      </c>
      <c r="H959" s="1" t="str">
        <f t="shared" si="181"/>
        <v>20220905</v>
      </c>
      <c r="I959" s="1" t="str">
        <f>"151954"</f>
        <v>151954</v>
      </c>
      <c r="J959" s="1" t="s">
        <v>28</v>
      </c>
      <c r="K959" s="1" t="s">
        <v>28</v>
      </c>
      <c r="L959" s="1" t="str">
        <f t="shared" si="185"/>
        <v>20220905</v>
      </c>
      <c r="M959" s="1" t="str">
        <f>"153903"</f>
        <v>153903</v>
      </c>
      <c r="N959" s="1" t="s">
        <v>52</v>
      </c>
      <c r="O959" s="1" t="s">
        <v>52</v>
      </c>
      <c r="P959" s="1" t="s">
        <v>55</v>
      </c>
      <c r="Q959" s="1">
        <v>25</v>
      </c>
      <c r="R959" s="1">
        <v>25</v>
      </c>
      <c r="S959" s="1">
        <v>0</v>
      </c>
      <c r="T959" s="1">
        <v>0</v>
      </c>
      <c r="U959" s="1">
        <v>0</v>
      </c>
      <c r="V959" s="1" t="str">
        <f t="shared" ref="V959:V968" si="187">"里程去程"</f>
        <v>里程去程</v>
      </c>
      <c r="W959" s="1" t="str">
        <f>"2120"</f>
        <v>2120</v>
      </c>
      <c r="X959" s="1" t="s">
        <v>35</v>
      </c>
    </row>
    <row r="960" spans="1:24" x14ac:dyDescent="0.3">
      <c r="A960" s="1" t="str">
        <f t="shared" si="182"/>
        <v>59829</v>
      </c>
      <c r="B960" s="1" t="s">
        <v>47</v>
      </c>
      <c r="C960" s="1" t="s">
        <v>48</v>
      </c>
      <c r="D960" s="1" t="str">
        <f t="shared" si="186"/>
        <v>9805</v>
      </c>
      <c r="E960" s="1" t="s">
        <v>57</v>
      </c>
      <c r="F960" s="1" t="str">
        <f>"93C1CAE97188040047BA141551301010"</f>
        <v>93C1CAE97188040047BA141551301010</v>
      </c>
      <c r="G960" s="1" t="s">
        <v>58</v>
      </c>
      <c r="H960" s="1" t="str">
        <f t="shared" si="181"/>
        <v>20220905</v>
      </c>
      <c r="I960" s="1" t="str">
        <f>"152000"</f>
        <v>152000</v>
      </c>
      <c r="J960" s="1" t="s">
        <v>28</v>
      </c>
      <c r="K960" s="1" t="s">
        <v>28</v>
      </c>
      <c r="L960" s="1" t="str">
        <f t="shared" si="185"/>
        <v>20220905</v>
      </c>
      <c r="M960" s="1" t="str">
        <f>"153356"</f>
        <v>153356</v>
      </c>
      <c r="N960" s="1" t="s">
        <v>46</v>
      </c>
      <c r="O960" s="1" t="s">
        <v>28</v>
      </c>
      <c r="P960" s="1" t="s">
        <v>55</v>
      </c>
      <c r="Q960" s="1">
        <v>25</v>
      </c>
      <c r="R960" s="1">
        <v>25</v>
      </c>
      <c r="S960" s="1">
        <v>0</v>
      </c>
      <c r="T960" s="1">
        <v>0</v>
      </c>
      <c r="U960" s="1">
        <v>0</v>
      </c>
      <c r="V960" s="1" t="str">
        <f t="shared" si="187"/>
        <v>里程去程</v>
      </c>
      <c r="W960" s="1" t="str">
        <f>"0020"</f>
        <v>0020</v>
      </c>
      <c r="X960" s="1" t="s">
        <v>29</v>
      </c>
    </row>
    <row r="961" spans="1:24" x14ac:dyDescent="0.3">
      <c r="A961" s="1" t="str">
        <f t="shared" si="182"/>
        <v>59829</v>
      </c>
      <c r="B961" s="1" t="s">
        <v>47</v>
      </c>
      <c r="C961" s="1" t="s">
        <v>48</v>
      </c>
      <c r="D961" s="1" t="str">
        <f t="shared" si="186"/>
        <v>9805</v>
      </c>
      <c r="E961" s="1" t="s">
        <v>57</v>
      </c>
      <c r="F961" s="1" t="str">
        <f>"1718460197"</f>
        <v>1718460197</v>
      </c>
      <c r="G961" s="1" t="s">
        <v>33</v>
      </c>
      <c r="H961" s="1" t="str">
        <f t="shared" si="181"/>
        <v>20220905</v>
      </c>
      <c r="I961" s="1" t="str">
        <f>"152003"</f>
        <v>152003</v>
      </c>
      <c r="J961" s="1" t="s">
        <v>28</v>
      </c>
      <c r="K961" s="1" t="s">
        <v>28</v>
      </c>
      <c r="L961" s="1" t="str">
        <f t="shared" si="185"/>
        <v>20220905</v>
      </c>
      <c r="M961" s="1" t="str">
        <f>"153358"</f>
        <v>153358</v>
      </c>
      <c r="N961" s="1" t="s">
        <v>46</v>
      </c>
      <c r="O961" s="1" t="s">
        <v>28</v>
      </c>
      <c r="P961" s="1" t="s">
        <v>55</v>
      </c>
      <c r="Q961" s="1">
        <v>25</v>
      </c>
      <c r="R961" s="1">
        <v>25</v>
      </c>
      <c r="S961" s="1">
        <v>0</v>
      </c>
      <c r="T961" s="1">
        <v>0</v>
      </c>
      <c r="U961" s="1">
        <v>0</v>
      </c>
      <c r="V961" s="1" t="str">
        <f t="shared" si="187"/>
        <v>里程去程</v>
      </c>
      <c r="W961" s="1" t="str">
        <f>"0620"</f>
        <v>0620</v>
      </c>
      <c r="X961" s="1" t="s">
        <v>35</v>
      </c>
    </row>
    <row r="962" spans="1:24" x14ac:dyDescent="0.3">
      <c r="A962" s="1" t="str">
        <f t="shared" si="182"/>
        <v>59829</v>
      </c>
      <c r="B962" s="1" t="s">
        <v>47</v>
      </c>
      <c r="C962" s="1" t="s">
        <v>48</v>
      </c>
      <c r="D962" s="1" t="str">
        <f t="shared" si="186"/>
        <v>9805</v>
      </c>
      <c r="E962" s="1" t="s">
        <v>57</v>
      </c>
      <c r="F962" s="1" t="str">
        <f>"112781861"</f>
        <v>112781861</v>
      </c>
      <c r="G962" s="1" t="s">
        <v>33</v>
      </c>
      <c r="H962" s="1" t="str">
        <f t="shared" si="181"/>
        <v>20220905</v>
      </c>
      <c r="I962" s="1" t="str">
        <f>"152018"</f>
        <v>152018</v>
      </c>
      <c r="J962" s="1" t="s">
        <v>28</v>
      </c>
      <c r="K962" s="1" t="s">
        <v>28</v>
      </c>
      <c r="L962" s="1" t="str">
        <f t="shared" si="185"/>
        <v>20220905</v>
      </c>
      <c r="M962" s="1" t="str">
        <f>"153353"</f>
        <v>153353</v>
      </c>
      <c r="N962" s="1" t="s">
        <v>46</v>
      </c>
      <c r="O962" s="1" t="s">
        <v>28</v>
      </c>
      <c r="P962" s="1" t="s">
        <v>55</v>
      </c>
      <c r="Q962" s="1">
        <v>25</v>
      </c>
      <c r="R962" s="1">
        <v>25</v>
      </c>
      <c r="S962" s="1">
        <v>0</v>
      </c>
      <c r="T962" s="1">
        <v>0</v>
      </c>
      <c r="U962" s="1">
        <v>0</v>
      </c>
      <c r="V962" s="1" t="str">
        <f t="shared" si="187"/>
        <v>里程去程</v>
      </c>
      <c r="W962" s="1" t="str">
        <f>"0020"</f>
        <v>0020</v>
      </c>
      <c r="X962" s="1" t="s">
        <v>35</v>
      </c>
    </row>
    <row r="963" spans="1:24" x14ac:dyDescent="0.3">
      <c r="A963" s="1" t="str">
        <f t="shared" si="182"/>
        <v>59829</v>
      </c>
      <c r="B963" s="1" t="s">
        <v>47</v>
      </c>
      <c r="C963" s="1" t="s">
        <v>48</v>
      </c>
      <c r="D963" s="1" t="str">
        <f t="shared" si="186"/>
        <v>9805</v>
      </c>
      <c r="E963" s="1" t="s">
        <v>57</v>
      </c>
      <c r="F963" s="1" t="str">
        <f>"A76E1BBF6D8804004324AD6D0015030F"</f>
        <v>A76E1BBF6D8804004324AD6D0015030F</v>
      </c>
      <c r="G963" s="1" t="s">
        <v>58</v>
      </c>
      <c r="H963" s="1" t="str">
        <f t="shared" si="181"/>
        <v>20220905</v>
      </c>
      <c r="I963" s="1" t="str">
        <f>"152053"</f>
        <v>152053</v>
      </c>
      <c r="J963" s="1" t="s">
        <v>28</v>
      </c>
      <c r="K963" s="1" t="s">
        <v>28</v>
      </c>
      <c r="L963" s="1" t="str">
        <f t="shared" si="185"/>
        <v>20220905</v>
      </c>
      <c r="M963" s="1" t="str">
        <f>"154027"</f>
        <v>154027</v>
      </c>
      <c r="N963" s="1" t="s">
        <v>52</v>
      </c>
      <c r="O963" s="1" t="s">
        <v>52</v>
      </c>
      <c r="P963" s="1" t="s">
        <v>55</v>
      </c>
      <c r="Q963" s="1">
        <v>25</v>
      </c>
      <c r="R963" s="1">
        <v>25</v>
      </c>
      <c r="S963" s="1">
        <v>0</v>
      </c>
      <c r="T963" s="1">
        <v>0</v>
      </c>
      <c r="U963" s="1">
        <v>0</v>
      </c>
      <c r="V963" s="1" t="str">
        <f t="shared" si="187"/>
        <v>里程去程</v>
      </c>
      <c r="W963" s="1" t="str">
        <f>"0020"</f>
        <v>0020</v>
      </c>
      <c r="X963" s="1" t="s">
        <v>29</v>
      </c>
    </row>
    <row r="964" spans="1:24" x14ac:dyDescent="0.3">
      <c r="A964" s="1" t="str">
        <f t="shared" si="182"/>
        <v>59829</v>
      </c>
      <c r="B964" s="1" t="s">
        <v>47</v>
      </c>
      <c r="C964" s="1" t="s">
        <v>48</v>
      </c>
      <c r="D964" s="1" t="str">
        <f t="shared" si="186"/>
        <v>9805</v>
      </c>
      <c r="E964" s="1" t="s">
        <v>57</v>
      </c>
      <c r="F964" s="1" t="str">
        <f>"805805777"</f>
        <v>805805777</v>
      </c>
      <c r="G964" s="1" t="s">
        <v>26</v>
      </c>
      <c r="H964" s="1" t="str">
        <f t="shared" si="181"/>
        <v>20220905</v>
      </c>
      <c r="I964" s="1" t="str">
        <f>"152057"</f>
        <v>152057</v>
      </c>
      <c r="J964" s="1" t="s">
        <v>28</v>
      </c>
      <c r="K964" s="1" t="s">
        <v>28</v>
      </c>
      <c r="L964" s="1" t="str">
        <f t="shared" si="185"/>
        <v>20220905</v>
      </c>
      <c r="M964" s="1" t="str">
        <f>"154020"</f>
        <v>154020</v>
      </c>
      <c r="N964" s="1" t="s">
        <v>52</v>
      </c>
      <c r="O964" s="1" t="s">
        <v>52</v>
      </c>
      <c r="P964" s="1" t="s">
        <v>55</v>
      </c>
      <c r="Q964" s="1">
        <v>13</v>
      </c>
      <c r="R964" s="1">
        <v>13</v>
      </c>
      <c r="S964" s="1">
        <v>0</v>
      </c>
      <c r="T964" s="1">
        <v>0</v>
      </c>
      <c r="U964" s="1">
        <v>0</v>
      </c>
      <c r="V964" s="1" t="str">
        <f t="shared" si="187"/>
        <v>里程去程</v>
      </c>
      <c r="W964" s="1" t="str">
        <f>"0220"</f>
        <v>0220</v>
      </c>
      <c r="X964" s="1" t="s">
        <v>35</v>
      </c>
    </row>
    <row r="965" spans="1:24" x14ac:dyDescent="0.3">
      <c r="A965" s="1" t="str">
        <f t="shared" si="182"/>
        <v>59829</v>
      </c>
      <c r="B965" s="1" t="s">
        <v>47</v>
      </c>
      <c r="C965" s="1" t="s">
        <v>48</v>
      </c>
      <c r="D965" s="1" t="str">
        <f t="shared" si="186"/>
        <v>9805</v>
      </c>
      <c r="E965" s="1" t="s">
        <v>57</v>
      </c>
      <c r="F965" s="1" t="str">
        <f>"629857713"</f>
        <v>629857713</v>
      </c>
      <c r="G965" s="1" t="s">
        <v>26</v>
      </c>
      <c r="H965" s="1" t="str">
        <f t="shared" si="181"/>
        <v>20220905</v>
      </c>
      <c r="I965" s="1" t="str">
        <f>"152109"</f>
        <v>152109</v>
      </c>
      <c r="J965" s="1" t="s">
        <v>28</v>
      </c>
      <c r="K965" s="1" t="s">
        <v>28</v>
      </c>
      <c r="L965" s="1" t="str">
        <f t="shared" si="185"/>
        <v>20220905</v>
      </c>
      <c r="M965" s="1" t="str">
        <f>"154025"</f>
        <v>154025</v>
      </c>
      <c r="N965" s="1" t="s">
        <v>52</v>
      </c>
      <c r="O965" s="1" t="s">
        <v>52</v>
      </c>
      <c r="P965" s="1" t="s">
        <v>55</v>
      </c>
      <c r="Q965" s="1">
        <v>13</v>
      </c>
      <c r="R965" s="1">
        <v>13</v>
      </c>
      <c r="S965" s="1">
        <v>0</v>
      </c>
      <c r="T965" s="1">
        <v>0</v>
      </c>
      <c r="U965" s="1">
        <v>0</v>
      </c>
      <c r="V965" s="1" t="str">
        <f t="shared" si="187"/>
        <v>里程去程</v>
      </c>
      <c r="W965" s="1" t="str">
        <f>"0320"</f>
        <v>0320</v>
      </c>
      <c r="X965" s="1" t="s">
        <v>35</v>
      </c>
    </row>
    <row r="966" spans="1:24" x14ac:dyDescent="0.3">
      <c r="A966" s="1" t="str">
        <f t="shared" si="182"/>
        <v>59829</v>
      </c>
      <c r="B966" s="1" t="s">
        <v>47</v>
      </c>
      <c r="C966" s="1" t="s">
        <v>48</v>
      </c>
      <c r="D966" s="1" t="str">
        <f t="shared" si="186"/>
        <v>9805</v>
      </c>
      <c r="E966" s="1" t="s">
        <v>57</v>
      </c>
      <c r="F966" s="1" t="str">
        <f>"1738966869"</f>
        <v>1738966869</v>
      </c>
      <c r="G966" s="1" t="s">
        <v>33</v>
      </c>
      <c r="H966" s="1" t="str">
        <f t="shared" si="181"/>
        <v>20220905</v>
      </c>
      <c r="I966" s="1" t="str">
        <f>"152120"</f>
        <v>152120</v>
      </c>
      <c r="J966" s="1" t="s">
        <v>28</v>
      </c>
      <c r="K966" s="1" t="s">
        <v>28</v>
      </c>
      <c r="L966" s="1" t="str">
        <f t="shared" si="185"/>
        <v>20220905</v>
      </c>
      <c r="M966" s="1" t="str">
        <f>"154034"</f>
        <v>154034</v>
      </c>
      <c r="N966" s="1" t="s">
        <v>52</v>
      </c>
      <c r="O966" s="1" t="s">
        <v>52</v>
      </c>
      <c r="P966" s="1" t="s">
        <v>55</v>
      </c>
      <c r="Q966" s="1">
        <v>25</v>
      </c>
      <c r="R966" s="1">
        <v>25</v>
      </c>
      <c r="S966" s="1">
        <v>0</v>
      </c>
      <c r="T966" s="1">
        <v>0</v>
      </c>
      <c r="U966" s="1">
        <v>0</v>
      </c>
      <c r="V966" s="1" t="str">
        <f t="shared" si="187"/>
        <v>里程去程</v>
      </c>
      <c r="W966" s="1" t="str">
        <f>"1420"</f>
        <v>1420</v>
      </c>
      <c r="X966" s="1" t="s">
        <v>35</v>
      </c>
    </row>
    <row r="967" spans="1:24" x14ac:dyDescent="0.3">
      <c r="A967" s="1" t="str">
        <f t="shared" si="182"/>
        <v>59829</v>
      </c>
      <c r="B967" s="1" t="s">
        <v>47</v>
      </c>
      <c r="C967" s="1" t="s">
        <v>48</v>
      </c>
      <c r="D967" s="1" t="str">
        <f t="shared" si="186"/>
        <v>9805</v>
      </c>
      <c r="E967" s="1" t="s">
        <v>57</v>
      </c>
      <c r="F967" s="1" t="str">
        <f>"1411502497"</f>
        <v>1411502497</v>
      </c>
      <c r="G967" s="1" t="s">
        <v>33</v>
      </c>
      <c r="H967" s="1" t="str">
        <f t="shared" si="181"/>
        <v>20220905</v>
      </c>
      <c r="I967" s="1" t="str">
        <f>"152143"</f>
        <v>152143</v>
      </c>
      <c r="J967" s="1" t="s">
        <v>28</v>
      </c>
      <c r="K967" s="1" t="s">
        <v>28</v>
      </c>
      <c r="L967" s="1" t="str">
        <f t="shared" si="185"/>
        <v>20220905</v>
      </c>
      <c r="M967" s="1" t="str">
        <f>"154016"</f>
        <v>154016</v>
      </c>
      <c r="N967" s="1" t="s">
        <v>52</v>
      </c>
      <c r="O967" s="1" t="s">
        <v>52</v>
      </c>
      <c r="P967" s="1" t="s">
        <v>55</v>
      </c>
      <c r="Q967" s="1">
        <v>25</v>
      </c>
      <c r="R967" s="1">
        <v>0</v>
      </c>
      <c r="S967" s="1">
        <v>25</v>
      </c>
      <c r="T967" s="1">
        <v>0</v>
      </c>
      <c r="U967" s="1">
        <v>0</v>
      </c>
      <c r="V967" s="1" t="str">
        <f t="shared" si="187"/>
        <v>里程去程</v>
      </c>
      <c r="W967" s="1" t="str">
        <f>"0820"</f>
        <v>0820</v>
      </c>
      <c r="X967" s="1" t="s">
        <v>35</v>
      </c>
    </row>
    <row r="968" spans="1:24" x14ac:dyDescent="0.3">
      <c r="A968" s="1" t="str">
        <f t="shared" si="182"/>
        <v>59829</v>
      </c>
      <c r="B968" s="1" t="s">
        <v>47</v>
      </c>
      <c r="C968" s="1" t="s">
        <v>48</v>
      </c>
      <c r="D968" s="1" t="str">
        <f t="shared" si="186"/>
        <v>9805</v>
      </c>
      <c r="E968" s="1" t="s">
        <v>57</v>
      </c>
      <c r="F968" s="1" t="str">
        <f>"11EB255D828804004325C3F900090C0F"</f>
        <v>11EB255D828804004325C3F900090C0F</v>
      </c>
      <c r="G968" s="1" t="s">
        <v>58</v>
      </c>
      <c r="H968" s="1" t="str">
        <f t="shared" si="181"/>
        <v>20220905</v>
      </c>
      <c r="I968" s="1" t="str">
        <f>"152202"</f>
        <v>152202</v>
      </c>
      <c r="J968" s="1" t="s">
        <v>28</v>
      </c>
      <c r="K968" s="1" t="s">
        <v>28</v>
      </c>
      <c r="L968" s="1" t="str">
        <f t="shared" si="185"/>
        <v>20220905</v>
      </c>
      <c r="M968" s="1" t="str">
        <f>"153819"</f>
        <v>153819</v>
      </c>
      <c r="N968" s="1" t="s">
        <v>52</v>
      </c>
      <c r="O968" s="1" t="s">
        <v>52</v>
      </c>
      <c r="P968" s="1" t="s">
        <v>55</v>
      </c>
      <c r="Q968" s="1">
        <v>25</v>
      </c>
      <c r="R968" s="1">
        <v>25</v>
      </c>
      <c r="S968" s="1">
        <v>0</v>
      </c>
      <c r="T968" s="1">
        <v>0</v>
      </c>
      <c r="U968" s="1">
        <v>0</v>
      </c>
      <c r="V968" s="1" t="str">
        <f t="shared" si="187"/>
        <v>里程去程</v>
      </c>
      <c r="W968" s="1" t="str">
        <f>"0020"</f>
        <v>0020</v>
      </c>
      <c r="X968" s="1" t="s">
        <v>29</v>
      </c>
    </row>
    <row r="969" spans="1:24" x14ac:dyDescent="0.3">
      <c r="A969" s="1" t="str">
        <f t="shared" si="182"/>
        <v>59829</v>
      </c>
      <c r="B969" s="1" t="s">
        <v>47</v>
      </c>
      <c r="C969" s="1" t="s">
        <v>48</v>
      </c>
      <c r="D969" s="1" t="str">
        <f t="shared" si="186"/>
        <v>9805</v>
      </c>
      <c r="E969" s="1" t="s">
        <v>57</v>
      </c>
      <c r="F969" s="1" t="str">
        <f>"32780D0344880400C834002000000015"</f>
        <v>32780D0344880400C834002000000015</v>
      </c>
      <c r="G969" s="1" t="s">
        <v>26</v>
      </c>
      <c r="H969" s="1" t="str">
        <f t="shared" si="181"/>
        <v>20220905</v>
      </c>
      <c r="I969" s="1" t="str">
        <f>"154835"</f>
        <v>154835</v>
      </c>
      <c r="J969" s="1" t="s">
        <v>103</v>
      </c>
      <c r="K969" s="1" t="s">
        <v>28</v>
      </c>
      <c r="L969" s="1" t="str">
        <f t="shared" si="185"/>
        <v>20220905</v>
      </c>
      <c r="M969" s="1" t="str">
        <f>"160042"</f>
        <v>160042</v>
      </c>
      <c r="N969" s="1" t="s">
        <v>95</v>
      </c>
      <c r="O969" s="1" t="s">
        <v>28</v>
      </c>
      <c r="P969" s="1" t="s">
        <v>68</v>
      </c>
      <c r="Q969" s="1">
        <v>13</v>
      </c>
      <c r="R969" s="1">
        <v>0</v>
      </c>
      <c r="S969" s="1">
        <v>0</v>
      </c>
      <c r="T969" s="1">
        <v>13</v>
      </c>
      <c r="U969" s="1">
        <v>0</v>
      </c>
      <c r="V969" s="1" t="str">
        <f t="shared" ref="V969:V984" si="188">"里程返程"</f>
        <v>里程返程</v>
      </c>
      <c r="W969" s="1" t="str">
        <f>"0020"</f>
        <v>0020</v>
      </c>
      <c r="X969" s="1" t="s">
        <v>29</v>
      </c>
    </row>
    <row r="970" spans="1:24" x14ac:dyDescent="0.3">
      <c r="A970" s="1" t="str">
        <f t="shared" si="182"/>
        <v>59829</v>
      </c>
      <c r="B970" s="1" t="s">
        <v>47</v>
      </c>
      <c r="C970" s="1" t="s">
        <v>48</v>
      </c>
      <c r="D970" s="1" t="str">
        <f>"9803"</f>
        <v>9803</v>
      </c>
      <c r="E970" s="1" t="s">
        <v>32</v>
      </c>
      <c r="F970" s="1" t="str">
        <f>"1709069061"</f>
        <v>1709069061</v>
      </c>
      <c r="G970" s="1" t="s">
        <v>33</v>
      </c>
      <c r="H970" s="1" t="str">
        <f t="shared" si="181"/>
        <v>20220905</v>
      </c>
      <c r="I970" s="1" t="str">
        <f>"162557"</f>
        <v>162557</v>
      </c>
      <c r="J970" s="1" t="s">
        <v>34</v>
      </c>
      <c r="K970" s="1" t="s">
        <v>34</v>
      </c>
      <c r="L970" s="1" t="str">
        <f t="shared" si="185"/>
        <v>20220905</v>
      </c>
      <c r="M970" s="1" t="str">
        <f>"164407"</f>
        <v>164407</v>
      </c>
      <c r="N970" s="1" t="s">
        <v>46</v>
      </c>
      <c r="O970" s="1" t="s">
        <v>28</v>
      </c>
      <c r="P970" s="1" t="s">
        <v>55</v>
      </c>
      <c r="Q970" s="1">
        <v>25</v>
      </c>
      <c r="R970" s="1">
        <v>25</v>
      </c>
      <c r="S970" s="1">
        <v>0</v>
      </c>
      <c r="T970" s="1">
        <v>0</v>
      </c>
      <c r="U970" s="1">
        <v>0</v>
      </c>
      <c r="V970" s="1" t="str">
        <f t="shared" si="188"/>
        <v>里程返程</v>
      </c>
      <c r="W970" s="1" t="str">
        <f>"2020"</f>
        <v>2020</v>
      </c>
      <c r="X970" s="1" t="s">
        <v>35</v>
      </c>
    </row>
    <row r="971" spans="1:24" x14ac:dyDescent="0.3">
      <c r="A971" s="1" t="str">
        <f t="shared" si="182"/>
        <v>59829</v>
      </c>
      <c r="B971" s="1" t="s">
        <v>47</v>
      </c>
      <c r="C971" s="1" t="s">
        <v>48</v>
      </c>
      <c r="D971" s="1" t="str">
        <f>"9803"</f>
        <v>9803</v>
      </c>
      <c r="E971" s="1" t="s">
        <v>32</v>
      </c>
      <c r="F971" s="1" t="str">
        <f>"1080477425"</f>
        <v>1080477425</v>
      </c>
      <c r="G971" s="1" t="s">
        <v>33</v>
      </c>
      <c r="H971" s="1" t="str">
        <f t="shared" si="181"/>
        <v>20220905</v>
      </c>
      <c r="I971" s="1" t="str">
        <f>"164420"</f>
        <v>164420</v>
      </c>
      <c r="J971" s="1" t="s">
        <v>46</v>
      </c>
      <c r="K971" s="1" t="s">
        <v>28</v>
      </c>
      <c r="L971" s="1" t="str">
        <f t="shared" si="185"/>
        <v>20220905</v>
      </c>
      <c r="M971" s="1" t="str">
        <f>"165553"</f>
        <v>165553</v>
      </c>
      <c r="N971" s="1" t="s">
        <v>28</v>
      </c>
      <c r="O971" s="1" t="s">
        <v>28</v>
      </c>
      <c r="P971" s="1" t="s">
        <v>55</v>
      </c>
      <c r="Q971" s="1">
        <v>25</v>
      </c>
      <c r="R971" s="1">
        <v>25</v>
      </c>
      <c r="S971" s="1">
        <v>0</v>
      </c>
      <c r="T971" s="1">
        <v>0</v>
      </c>
      <c r="U971" s="1">
        <v>0</v>
      </c>
      <c r="V971" s="1" t="str">
        <f t="shared" si="188"/>
        <v>里程返程</v>
      </c>
      <c r="W971" s="1" t="str">
        <f>"2020"</f>
        <v>2020</v>
      </c>
      <c r="X971" s="1" t="s">
        <v>35</v>
      </c>
    </row>
    <row r="972" spans="1:24" x14ac:dyDescent="0.3">
      <c r="A972" s="1" t="str">
        <f t="shared" ref="A972:A1000" si="189">"59809"</f>
        <v>59809</v>
      </c>
      <c r="B972" s="1" t="s">
        <v>42</v>
      </c>
      <c r="C972" s="1" t="s">
        <v>43</v>
      </c>
      <c r="D972" s="1" t="str">
        <f t="shared" ref="D972:D1003" si="190">"9801"</f>
        <v>9801</v>
      </c>
      <c r="E972" s="1" t="s">
        <v>25</v>
      </c>
      <c r="F972" s="1" t="str">
        <f>"1752749445"</f>
        <v>1752749445</v>
      </c>
      <c r="G972" s="1" t="s">
        <v>33</v>
      </c>
      <c r="H972" s="1" t="str">
        <f t="shared" ref="H972:H1035" si="191">"20220906"</f>
        <v>20220906</v>
      </c>
      <c r="I972" s="1" t="str">
        <f>"062950"</f>
        <v>062950</v>
      </c>
      <c r="J972" s="1" t="s">
        <v>28</v>
      </c>
      <c r="K972" s="1" t="s">
        <v>28</v>
      </c>
      <c r="L972" s="1" t="str">
        <f t="shared" ref="L972:L1035" si="192">"20220906"</f>
        <v>20220906</v>
      </c>
      <c r="M972" s="1" t="str">
        <f>"065243"</f>
        <v>065243</v>
      </c>
      <c r="N972" s="1" t="s">
        <v>72</v>
      </c>
      <c r="O972" s="1" t="s">
        <v>52</v>
      </c>
      <c r="P972" s="1" t="s">
        <v>55</v>
      </c>
      <c r="Q972" s="1">
        <v>25</v>
      </c>
      <c r="R972" s="1">
        <v>0</v>
      </c>
      <c r="S972" s="1">
        <v>25</v>
      </c>
      <c r="T972" s="1">
        <v>0</v>
      </c>
      <c r="U972" s="1">
        <v>0</v>
      </c>
      <c r="V972" s="1" t="str">
        <f t="shared" si="188"/>
        <v>里程返程</v>
      </c>
      <c r="W972" s="1" t="str">
        <f>"0820"</f>
        <v>0820</v>
      </c>
      <c r="X972" s="1" t="s">
        <v>35</v>
      </c>
    </row>
    <row r="973" spans="1:24" x14ac:dyDescent="0.3">
      <c r="A973" s="1" t="str">
        <f t="shared" si="189"/>
        <v>59809</v>
      </c>
      <c r="B973" s="1" t="s">
        <v>42</v>
      </c>
      <c r="C973" s="1" t="s">
        <v>43</v>
      </c>
      <c r="D973" s="1" t="str">
        <f t="shared" si="190"/>
        <v>9801</v>
      </c>
      <c r="E973" s="1" t="s">
        <v>25</v>
      </c>
      <c r="F973" s="1" t="str">
        <f>"026A101860880400C814002000000019"</f>
        <v>026A101860880400C814002000000019</v>
      </c>
      <c r="G973" s="1" t="s">
        <v>59</v>
      </c>
      <c r="H973" s="1" t="str">
        <f t="shared" si="191"/>
        <v>20220906</v>
      </c>
      <c r="I973" s="1" t="str">
        <f>"063036"</f>
        <v>063036</v>
      </c>
      <c r="J973" s="1" t="s">
        <v>28</v>
      </c>
      <c r="K973" s="1" t="s">
        <v>28</v>
      </c>
      <c r="L973" s="1" t="str">
        <f t="shared" si="192"/>
        <v>20220906</v>
      </c>
      <c r="M973" s="1" t="str">
        <f>"065331"</f>
        <v>065331</v>
      </c>
      <c r="N973" s="1" t="s">
        <v>71</v>
      </c>
      <c r="O973" s="1" t="s">
        <v>52</v>
      </c>
      <c r="P973" s="1" t="s">
        <v>55</v>
      </c>
      <c r="Q973" s="1">
        <v>25</v>
      </c>
      <c r="R973" s="1">
        <v>0</v>
      </c>
      <c r="S973" s="1">
        <v>25</v>
      </c>
      <c r="T973" s="1">
        <v>0</v>
      </c>
      <c r="U973" s="1">
        <v>0</v>
      </c>
      <c r="V973" s="1" t="str">
        <f t="shared" si="188"/>
        <v>里程返程</v>
      </c>
      <c r="W973" s="1" t="str">
        <f>"0620"</f>
        <v>0620</v>
      </c>
      <c r="X973" s="1" t="s">
        <v>29</v>
      </c>
    </row>
    <row r="974" spans="1:24" x14ac:dyDescent="0.3">
      <c r="A974" s="1" t="str">
        <f t="shared" si="189"/>
        <v>59809</v>
      </c>
      <c r="B974" s="1" t="s">
        <v>42</v>
      </c>
      <c r="C974" s="1" t="s">
        <v>43</v>
      </c>
      <c r="D974" s="1" t="str">
        <f t="shared" si="190"/>
        <v>9801</v>
      </c>
      <c r="E974" s="1" t="s">
        <v>25</v>
      </c>
      <c r="F974" s="1" t="str">
        <f>"D2EDC500FA880400C801002000000015"</f>
        <v>D2EDC500FA880400C801002000000015</v>
      </c>
      <c r="G974" s="1" t="s">
        <v>58</v>
      </c>
      <c r="H974" s="1" t="str">
        <f t="shared" si="191"/>
        <v>20220906</v>
      </c>
      <c r="I974" s="1" t="str">
        <f>"063516"</f>
        <v>063516</v>
      </c>
      <c r="J974" s="1" t="s">
        <v>28</v>
      </c>
      <c r="K974" s="1" t="s">
        <v>28</v>
      </c>
      <c r="L974" s="1" t="str">
        <f t="shared" si="192"/>
        <v>20220906</v>
      </c>
      <c r="M974" s="1" t="str">
        <f>"070021"</f>
        <v>070021</v>
      </c>
      <c r="N974" s="1" t="s">
        <v>52</v>
      </c>
      <c r="O974" s="1" t="s">
        <v>52</v>
      </c>
      <c r="P974" s="1" t="s">
        <v>55</v>
      </c>
      <c r="Q974" s="1">
        <v>25</v>
      </c>
      <c r="R974" s="1">
        <v>25</v>
      </c>
      <c r="S974" s="1">
        <v>0</v>
      </c>
      <c r="T974" s="1">
        <v>0</v>
      </c>
      <c r="U974" s="1">
        <v>0</v>
      </c>
      <c r="V974" s="1" t="str">
        <f t="shared" si="188"/>
        <v>里程返程</v>
      </c>
      <c r="W974" s="1" t="str">
        <f>"0020"</f>
        <v>0020</v>
      </c>
      <c r="X974" s="1" t="s">
        <v>29</v>
      </c>
    </row>
    <row r="975" spans="1:24" x14ac:dyDescent="0.3">
      <c r="A975" s="1" t="str">
        <f t="shared" si="189"/>
        <v>59809</v>
      </c>
      <c r="B975" s="1" t="s">
        <v>42</v>
      </c>
      <c r="C975" s="1" t="s">
        <v>43</v>
      </c>
      <c r="D975" s="1" t="str">
        <f t="shared" si="190"/>
        <v>9801</v>
      </c>
      <c r="E975" s="1" t="s">
        <v>25</v>
      </c>
      <c r="F975" s="1" t="str">
        <f>"A411A6E3F0280400D200000100000000"</f>
        <v>A411A6E3F0280400D200000100000000</v>
      </c>
      <c r="G975" s="1" t="s">
        <v>58</v>
      </c>
      <c r="H975" s="1" t="str">
        <f t="shared" si="191"/>
        <v>20220906</v>
      </c>
      <c r="I975" s="1" t="str">
        <f>"070059"</f>
        <v>070059</v>
      </c>
      <c r="J975" s="1" t="s">
        <v>44</v>
      </c>
      <c r="K975" s="1" t="s">
        <v>45</v>
      </c>
      <c r="L975" s="1" t="str">
        <f t="shared" si="192"/>
        <v>20220906</v>
      </c>
      <c r="M975" s="1" t="str">
        <f>"072054"</f>
        <v>072054</v>
      </c>
      <c r="N975" s="1" t="s">
        <v>28</v>
      </c>
      <c r="O975" s="1" t="s">
        <v>28</v>
      </c>
      <c r="P975" s="1" t="s">
        <v>55</v>
      </c>
      <c r="Q975" s="1">
        <v>25</v>
      </c>
      <c r="R975" s="1">
        <v>25</v>
      </c>
      <c r="S975" s="1">
        <v>0</v>
      </c>
      <c r="T975" s="1">
        <v>0</v>
      </c>
      <c r="U975" s="1">
        <v>0</v>
      </c>
      <c r="V975" s="1" t="str">
        <f t="shared" si="188"/>
        <v>里程返程</v>
      </c>
      <c r="W975" s="1" t="str">
        <f>"0020"</f>
        <v>0020</v>
      </c>
      <c r="X975" s="1" t="s">
        <v>29</v>
      </c>
    </row>
    <row r="976" spans="1:24" x14ac:dyDescent="0.3">
      <c r="A976" s="1" t="str">
        <f t="shared" si="189"/>
        <v>59809</v>
      </c>
      <c r="B976" s="1" t="s">
        <v>42</v>
      </c>
      <c r="C976" s="1" t="s">
        <v>43</v>
      </c>
      <c r="D976" s="1" t="str">
        <f t="shared" si="190"/>
        <v>9801</v>
      </c>
      <c r="E976" s="1" t="s">
        <v>25</v>
      </c>
      <c r="F976" s="1" t="str">
        <f>"929BE602ED880400C834002000000015"</f>
        <v>929BE602ED880400C834002000000015</v>
      </c>
      <c r="G976" s="1" t="s">
        <v>74</v>
      </c>
      <c r="H976" s="1" t="str">
        <f t="shared" si="191"/>
        <v>20220906</v>
      </c>
      <c r="I976" s="1" t="str">
        <f>"071321"</f>
        <v>071321</v>
      </c>
      <c r="J976" s="1" t="s">
        <v>45</v>
      </c>
      <c r="K976" s="1" t="s">
        <v>45</v>
      </c>
      <c r="L976" s="1" t="str">
        <f t="shared" si="192"/>
        <v>20220906</v>
      </c>
      <c r="M976" s="1" t="str">
        <f>"072057"</f>
        <v>072057</v>
      </c>
      <c r="N976" s="1" t="s">
        <v>28</v>
      </c>
      <c r="O976" s="1" t="s">
        <v>28</v>
      </c>
      <c r="P976" s="1" t="s">
        <v>68</v>
      </c>
      <c r="Q976" s="1">
        <v>13</v>
      </c>
      <c r="R976" s="1">
        <v>0</v>
      </c>
      <c r="S976" s="1">
        <v>0</v>
      </c>
      <c r="T976" s="1">
        <v>13</v>
      </c>
      <c r="U976" s="1">
        <v>0</v>
      </c>
      <c r="V976" s="1" t="str">
        <f t="shared" si="188"/>
        <v>里程返程</v>
      </c>
      <c r="W976" s="1" t="str">
        <f>"0020"</f>
        <v>0020</v>
      </c>
      <c r="X976" s="1" t="s">
        <v>29</v>
      </c>
    </row>
    <row r="977" spans="1:24" x14ac:dyDescent="0.3">
      <c r="A977" s="1" t="str">
        <f t="shared" si="189"/>
        <v>59809</v>
      </c>
      <c r="B977" s="1" t="s">
        <v>42</v>
      </c>
      <c r="C977" s="1" t="s">
        <v>43</v>
      </c>
      <c r="D977" s="1" t="str">
        <f t="shared" si="190"/>
        <v>9801</v>
      </c>
      <c r="E977" s="1" t="s">
        <v>25</v>
      </c>
      <c r="F977" s="1" t="str">
        <f>"D257BD023A880400C834002000000015"</f>
        <v>D257BD023A880400C834002000000015</v>
      </c>
      <c r="G977" s="1" t="s">
        <v>74</v>
      </c>
      <c r="H977" s="1" t="str">
        <f t="shared" si="191"/>
        <v>20220906</v>
      </c>
      <c r="I977" s="1" t="str">
        <f>"072105"</f>
        <v>072105</v>
      </c>
      <c r="J977" s="1" t="s">
        <v>28</v>
      </c>
      <c r="K977" s="1" t="s">
        <v>28</v>
      </c>
      <c r="L977" s="1" t="str">
        <f t="shared" si="192"/>
        <v>20220906</v>
      </c>
      <c r="M977" s="1" t="str">
        <f>"073515"</f>
        <v>073515</v>
      </c>
      <c r="N977" s="1" t="s">
        <v>67</v>
      </c>
      <c r="O977" s="1" t="s">
        <v>52</v>
      </c>
      <c r="P977" s="1" t="s">
        <v>68</v>
      </c>
      <c r="Q977" s="1">
        <v>13</v>
      </c>
      <c r="R977" s="1">
        <v>0</v>
      </c>
      <c r="S977" s="1">
        <v>0</v>
      </c>
      <c r="T977" s="1">
        <v>13</v>
      </c>
      <c r="U977" s="1">
        <v>0</v>
      </c>
      <c r="V977" s="1" t="str">
        <f t="shared" si="188"/>
        <v>里程返程</v>
      </c>
      <c r="W977" s="1" t="str">
        <f>"0020"</f>
        <v>0020</v>
      </c>
      <c r="X977" s="1" t="s">
        <v>29</v>
      </c>
    </row>
    <row r="978" spans="1:24" x14ac:dyDescent="0.3">
      <c r="A978" s="1" t="str">
        <f t="shared" si="189"/>
        <v>59809</v>
      </c>
      <c r="B978" s="1" t="s">
        <v>42</v>
      </c>
      <c r="C978" s="1" t="s">
        <v>43</v>
      </c>
      <c r="D978" s="1" t="str">
        <f t="shared" si="190"/>
        <v>9801</v>
      </c>
      <c r="E978" s="1" t="s">
        <v>25</v>
      </c>
      <c r="F978" s="1" t="str">
        <f>"F282E40195880400C821002000000015"</f>
        <v>F282E40195880400C821002000000015</v>
      </c>
      <c r="G978" s="1" t="s">
        <v>58</v>
      </c>
      <c r="H978" s="1" t="str">
        <f t="shared" si="191"/>
        <v>20220906</v>
      </c>
      <c r="I978" s="1" t="str">
        <f>"072108"</f>
        <v>072108</v>
      </c>
      <c r="J978" s="1" t="s">
        <v>28</v>
      </c>
      <c r="K978" s="1" t="s">
        <v>28</v>
      </c>
      <c r="L978" s="1" t="str">
        <f t="shared" si="192"/>
        <v>20220906</v>
      </c>
      <c r="M978" s="1" t="str">
        <f>"074910"</f>
        <v>074910</v>
      </c>
      <c r="N978" s="1" t="s">
        <v>65</v>
      </c>
      <c r="O978" s="1" t="s">
        <v>52</v>
      </c>
      <c r="P978" s="1" t="s">
        <v>55</v>
      </c>
      <c r="Q978" s="1">
        <v>25</v>
      </c>
      <c r="R978" s="1">
        <v>0</v>
      </c>
      <c r="S978" s="1">
        <v>25</v>
      </c>
      <c r="T978" s="1">
        <v>0</v>
      </c>
      <c r="U978" s="1">
        <v>0</v>
      </c>
      <c r="V978" s="1" t="str">
        <f t="shared" si="188"/>
        <v>里程返程</v>
      </c>
      <c r="W978" s="1" t="str">
        <f>"0620"</f>
        <v>0620</v>
      </c>
      <c r="X978" s="1" t="s">
        <v>29</v>
      </c>
    </row>
    <row r="979" spans="1:24" x14ac:dyDescent="0.3">
      <c r="A979" s="1" t="str">
        <f t="shared" si="189"/>
        <v>59809</v>
      </c>
      <c r="B979" s="1" t="s">
        <v>42</v>
      </c>
      <c r="C979" s="1" t="s">
        <v>43</v>
      </c>
      <c r="D979" s="1" t="str">
        <f t="shared" si="190"/>
        <v>9801</v>
      </c>
      <c r="E979" s="1" t="s">
        <v>25</v>
      </c>
      <c r="F979" s="1" t="str">
        <f>"82730F18E6880400C814002000000019"</f>
        <v>82730F18E6880400C814002000000019</v>
      </c>
      <c r="G979" s="1" t="s">
        <v>59</v>
      </c>
      <c r="H979" s="1" t="str">
        <f t="shared" si="191"/>
        <v>20220906</v>
      </c>
      <c r="I979" s="1" t="str">
        <f>"072116"</f>
        <v>072116</v>
      </c>
      <c r="J979" s="1" t="s">
        <v>28</v>
      </c>
      <c r="K979" s="1" t="s">
        <v>28</v>
      </c>
      <c r="L979" s="1" t="str">
        <f t="shared" si="192"/>
        <v>20220906</v>
      </c>
      <c r="M979" s="1" t="str">
        <f>"075021"</f>
        <v>075021</v>
      </c>
      <c r="N979" s="1" t="s">
        <v>72</v>
      </c>
      <c r="O979" s="1" t="s">
        <v>52</v>
      </c>
      <c r="P979" s="1" t="s">
        <v>55</v>
      </c>
      <c r="Q979" s="1">
        <v>25</v>
      </c>
      <c r="R979" s="1">
        <v>0</v>
      </c>
      <c r="S979" s="1">
        <v>25</v>
      </c>
      <c r="T979" s="1">
        <v>0</v>
      </c>
      <c r="U979" s="1">
        <v>0</v>
      </c>
      <c r="V979" s="1" t="str">
        <f t="shared" si="188"/>
        <v>里程返程</v>
      </c>
      <c r="W979" s="1" t="str">
        <f>"0620"</f>
        <v>0620</v>
      </c>
      <c r="X979" s="1" t="s">
        <v>29</v>
      </c>
    </row>
    <row r="980" spans="1:24" x14ac:dyDescent="0.3">
      <c r="A980" s="1" t="str">
        <f t="shared" si="189"/>
        <v>59809</v>
      </c>
      <c r="B980" s="1" t="s">
        <v>42</v>
      </c>
      <c r="C980" s="1" t="s">
        <v>43</v>
      </c>
      <c r="D980" s="1" t="str">
        <f t="shared" si="190"/>
        <v>9801</v>
      </c>
      <c r="E980" s="1" t="s">
        <v>25</v>
      </c>
      <c r="F980" s="1" t="str">
        <f>"62F00B1881880400C814002000000019"</f>
        <v>62F00B1881880400C814002000000019</v>
      </c>
      <c r="G980" s="1" t="s">
        <v>59</v>
      </c>
      <c r="H980" s="1" t="str">
        <f t="shared" si="191"/>
        <v>20220906</v>
      </c>
      <c r="I980" s="1" t="str">
        <f>"072120"</f>
        <v>072120</v>
      </c>
      <c r="J980" s="1" t="s">
        <v>28</v>
      </c>
      <c r="K980" s="1" t="s">
        <v>28</v>
      </c>
      <c r="L980" s="1" t="str">
        <f t="shared" si="192"/>
        <v>20220906</v>
      </c>
      <c r="M980" s="1" t="str">
        <f>"075023"</f>
        <v>075023</v>
      </c>
      <c r="N980" s="1" t="s">
        <v>72</v>
      </c>
      <c r="O980" s="1" t="s">
        <v>52</v>
      </c>
      <c r="P980" s="1" t="s">
        <v>55</v>
      </c>
      <c r="Q980" s="1">
        <v>25</v>
      </c>
      <c r="R980" s="1">
        <v>0</v>
      </c>
      <c r="S980" s="1">
        <v>25</v>
      </c>
      <c r="T980" s="1">
        <v>0</v>
      </c>
      <c r="U980" s="1">
        <v>0</v>
      </c>
      <c r="V980" s="1" t="str">
        <f t="shared" si="188"/>
        <v>里程返程</v>
      </c>
      <c r="W980" s="1" t="str">
        <f>"0620"</f>
        <v>0620</v>
      </c>
      <c r="X980" s="1" t="s">
        <v>29</v>
      </c>
    </row>
    <row r="981" spans="1:24" x14ac:dyDescent="0.3">
      <c r="A981" s="1" t="str">
        <f t="shared" si="189"/>
        <v>59809</v>
      </c>
      <c r="B981" s="1" t="s">
        <v>42</v>
      </c>
      <c r="C981" s="1" t="s">
        <v>43</v>
      </c>
      <c r="D981" s="1" t="str">
        <f t="shared" si="190"/>
        <v>9801</v>
      </c>
      <c r="E981" s="1" t="s">
        <v>25</v>
      </c>
      <c r="F981" s="1" t="str">
        <f>"62F8360AA6880400C810002000000016"</f>
        <v>62F8360AA6880400C810002000000016</v>
      </c>
      <c r="G981" s="1" t="s">
        <v>59</v>
      </c>
      <c r="H981" s="1" t="str">
        <f t="shared" si="191"/>
        <v>20220906</v>
      </c>
      <c r="I981" s="1" t="str">
        <f>"072123"</f>
        <v>072123</v>
      </c>
      <c r="J981" s="1" t="s">
        <v>28</v>
      </c>
      <c r="K981" s="1" t="s">
        <v>28</v>
      </c>
      <c r="L981" s="1" t="str">
        <f t="shared" si="192"/>
        <v>20220906</v>
      </c>
      <c r="M981" s="1" t="str">
        <f>"075018"</f>
        <v>075018</v>
      </c>
      <c r="N981" s="1" t="s">
        <v>72</v>
      </c>
      <c r="O981" s="1" t="s">
        <v>52</v>
      </c>
      <c r="P981" s="1" t="s">
        <v>55</v>
      </c>
      <c r="Q981" s="1">
        <v>25</v>
      </c>
      <c r="R981" s="1">
        <v>0</v>
      </c>
      <c r="S981" s="1">
        <v>25</v>
      </c>
      <c r="T981" s="1">
        <v>0</v>
      </c>
      <c r="U981" s="1">
        <v>0</v>
      </c>
      <c r="V981" s="1" t="str">
        <f t="shared" si="188"/>
        <v>里程返程</v>
      </c>
      <c r="W981" s="1" t="str">
        <f>"0620"</f>
        <v>0620</v>
      </c>
      <c r="X981" s="1" t="s">
        <v>29</v>
      </c>
    </row>
    <row r="982" spans="1:24" x14ac:dyDescent="0.3">
      <c r="A982" s="1" t="str">
        <f t="shared" si="189"/>
        <v>59809</v>
      </c>
      <c r="B982" s="1" t="s">
        <v>42</v>
      </c>
      <c r="C982" s="1" t="s">
        <v>43</v>
      </c>
      <c r="D982" s="1" t="str">
        <f t="shared" si="190"/>
        <v>9801</v>
      </c>
      <c r="E982" s="1" t="s">
        <v>25</v>
      </c>
      <c r="F982" s="1" t="str">
        <f>"1654839936"</f>
        <v>1654839936</v>
      </c>
      <c r="G982" s="1" t="s">
        <v>33</v>
      </c>
      <c r="H982" s="1" t="str">
        <f t="shared" si="191"/>
        <v>20220906</v>
      </c>
      <c r="I982" s="1" t="str">
        <f>"072126"</f>
        <v>072126</v>
      </c>
      <c r="J982" s="1" t="s">
        <v>28</v>
      </c>
      <c r="K982" s="1" t="s">
        <v>28</v>
      </c>
      <c r="L982" s="1" t="str">
        <f t="shared" si="192"/>
        <v>20220906</v>
      </c>
      <c r="M982" s="1" t="str">
        <f>"074232"</f>
        <v>074232</v>
      </c>
      <c r="N982" s="1" t="s">
        <v>77</v>
      </c>
      <c r="O982" s="1" t="s">
        <v>52</v>
      </c>
      <c r="P982" s="1" t="s">
        <v>55</v>
      </c>
      <c r="Q982" s="1">
        <v>25</v>
      </c>
      <c r="R982" s="1">
        <v>0</v>
      </c>
      <c r="S982" s="1">
        <v>25</v>
      </c>
      <c r="T982" s="1">
        <v>0</v>
      </c>
      <c r="U982" s="1">
        <v>0</v>
      </c>
      <c r="V982" s="1" t="str">
        <f t="shared" si="188"/>
        <v>里程返程</v>
      </c>
      <c r="W982" s="1" t="str">
        <f>"0820"</f>
        <v>0820</v>
      </c>
      <c r="X982" s="1" t="s">
        <v>35</v>
      </c>
    </row>
    <row r="983" spans="1:24" x14ac:dyDescent="0.3">
      <c r="A983" s="1" t="str">
        <f t="shared" si="189"/>
        <v>59809</v>
      </c>
      <c r="B983" s="1" t="s">
        <v>42</v>
      </c>
      <c r="C983" s="1" t="s">
        <v>43</v>
      </c>
      <c r="D983" s="1" t="str">
        <f t="shared" si="190"/>
        <v>9801</v>
      </c>
      <c r="E983" s="1" t="s">
        <v>25</v>
      </c>
      <c r="F983" s="1" t="str">
        <f>"E2FD4F134328040080CED99861013018"</f>
        <v>E2FD4F134328040080CED99861013018</v>
      </c>
      <c r="G983" s="1" t="s">
        <v>58</v>
      </c>
      <c r="H983" s="1" t="str">
        <f t="shared" si="191"/>
        <v>20220906</v>
      </c>
      <c r="I983" s="1" t="str">
        <f>"072247"</f>
        <v>072247</v>
      </c>
      <c r="J983" s="1" t="s">
        <v>28</v>
      </c>
      <c r="K983" s="1" t="s">
        <v>28</v>
      </c>
      <c r="L983" s="1" t="str">
        <f t="shared" si="192"/>
        <v>20220906</v>
      </c>
      <c r="M983" s="1" t="str">
        <f>"074906"</f>
        <v>074906</v>
      </c>
      <c r="N983" s="1" t="s">
        <v>65</v>
      </c>
      <c r="O983" s="1" t="s">
        <v>52</v>
      </c>
      <c r="P983" s="1" t="s">
        <v>55</v>
      </c>
      <c r="Q983" s="1">
        <v>25</v>
      </c>
      <c r="R983" s="1">
        <v>25</v>
      </c>
      <c r="S983" s="1">
        <v>0</v>
      </c>
      <c r="T983" s="1">
        <v>0</v>
      </c>
      <c r="U983" s="1">
        <v>0</v>
      </c>
      <c r="V983" s="1" t="str">
        <f t="shared" si="188"/>
        <v>里程返程</v>
      </c>
      <c r="W983" s="1" t="str">
        <f>"0020"</f>
        <v>0020</v>
      </c>
      <c r="X983" s="1" t="s">
        <v>29</v>
      </c>
    </row>
    <row r="984" spans="1:24" x14ac:dyDescent="0.3">
      <c r="A984" s="1" t="str">
        <f t="shared" si="189"/>
        <v>59809</v>
      </c>
      <c r="B984" s="1" t="s">
        <v>42</v>
      </c>
      <c r="C984" s="1" t="s">
        <v>43</v>
      </c>
      <c r="D984" s="1" t="str">
        <f t="shared" si="190"/>
        <v>9801</v>
      </c>
      <c r="E984" s="1" t="s">
        <v>25</v>
      </c>
      <c r="F984" s="1" t="str">
        <f>"1759959808"</f>
        <v>1759959808</v>
      </c>
      <c r="G984" s="1" t="s">
        <v>33</v>
      </c>
      <c r="H984" s="1" t="str">
        <f t="shared" si="191"/>
        <v>20220906</v>
      </c>
      <c r="I984" s="1" t="str">
        <f>"074517"</f>
        <v>074517</v>
      </c>
      <c r="J984" s="1" t="s">
        <v>80</v>
      </c>
      <c r="K984" s="1" t="s">
        <v>52</v>
      </c>
      <c r="L984" s="1" t="str">
        <f t="shared" si="192"/>
        <v>20220906</v>
      </c>
      <c r="M984" s="1" t="str">
        <f>"075454"</f>
        <v>075454</v>
      </c>
      <c r="N984" s="1" t="s">
        <v>60</v>
      </c>
      <c r="O984" s="1" t="s">
        <v>52</v>
      </c>
      <c r="P984" s="1" t="s">
        <v>55</v>
      </c>
      <c r="Q984" s="1">
        <v>25</v>
      </c>
      <c r="R984" s="1">
        <v>25</v>
      </c>
      <c r="S984" s="1">
        <v>0</v>
      </c>
      <c r="T984" s="1">
        <v>0</v>
      </c>
      <c r="U984" s="1">
        <v>0</v>
      </c>
      <c r="V984" s="1" t="str">
        <f t="shared" si="188"/>
        <v>里程返程</v>
      </c>
      <c r="W984" s="1" t="str">
        <f>"2020"</f>
        <v>2020</v>
      </c>
      <c r="X984" s="1" t="s">
        <v>35</v>
      </c>
    </row>
    <row r="985" spans="1:24" x14ac:dyDescent="0.3">
      <c r="A985" s="1" t="str">
        <f t="shared" si="189"/>
        <v>59809</v>
      </c>
      <c r="B985" s="1" t="s">
        <v>42</v>
      </c>
      <c r="C985" s="1" t="s">
        <v>43</v>
      </c>
      <c r="D985" s="1" t="str">
        <f t="shared" si="190"/>
        <v>9801</v>
      </c>
      <c r="E985" s="1" t="s">
        <v>25</v>
      </c>
      <c r="F985" s="1" t="str">
        <f>"147475633"</f>
        <v>147475633</v>
      </c>
      <c r="G985" s="1" t="s">
        <v>33</v>
      </c>
      <c r="H985" s="1" t="str">
        <f t="shared" si="191"/>
        <v>20220906</v>
      </c>
      <c r="I985" s="1" t="str">
        <f>"080024"</f>
        <v>080024</v>
      </c>
      <c r="J985" s="1" t="s">
        <v>86</v>
      </c>
      <c r="K985" s="1" t="s">
        <v>52</v>
      </c>
      <c r="L985" s="1" t="str">
        <f t="shared" si="192"/>
        <v>20220906</v>
      </c>
      <c r="M985" s="1" t="str">
        <f>"080838"</f>
        <v>080838</v>
      </c>
      <c r="N985" s="1" t="s">
        <v>60</v>
      </c>
      <c r="O985" s="1" t="s">
        <v>52</v>
      </c>
      <c r="P985" s="1" t="s">
        <v>55</v>
      </c>
      <c r="Q985" s="1">
        <v>25</v>
      </c>
      <c r="R985" s="1">
        <v>25</v>
      </c>
      <c r="S985" s="1">
        <v>0</v>
      </c>
      <c r="T985" s="1">
        <v>0</v>
      </c>
      <c r="U985" s="1">
        <v>0</v>
      </c>
      <c r="V985" s="1" t="str">
        <f>"里程去程"</f>
        <v>里程去程</v>
      </c>
      <c r="W985" s="1" t="str">
        <f>"2020"</f>
        <v>2020</v>
      </c>
      <c r="X985" s="1" t="s">
        <v>35</v>
      </c>
    </row>
    <row r="986" spans="1:24" x14ac:dyDescent="0.3">
      <c r="A986" s="1" t="str">
        <f t="shared" si="189"/>
        <v>59809</v>
      </c>
      <c r="B986" s="1" t="s">
        <v>42</v>
      </c>
      <c r="C986" s="1" t="s">
        <v>43</v>
      </c>
      <c r="D986" s="1" t="str">
        <f t="shared" si="190"/>
        <v>9801</v>
      </c>
      <c r="E986" s="1" t="s">
        <v>25</v>
      </c>
      <c r="F986" s="1" t="str">
        <f>"E219F2050C880400C838002000000015"</f>
        <v>E219F2050C880400C838002000000015</v>
      </c>
      <c r="G986" s="1" t="s">
        <v>26</v>
      </c>
      <c r="H986" s="1" t="str">
        <f t="shared" si="191"/>
        <v>20220906</v>
      </c>
      <c r="I986" s="1" t="str">
        <f>"080233"</f>
        <v>080233</v>
      </c>
      <c r="J986" s="1" t="s">
        <v>86</v>
      </c>
      <c r="K986" s="1" t="s">
        <v>52</v>
      </c>
      <c r="L986" s="1" t="str">
        <f t="shared" si="192"/>
        <v>20220906</v>
      </c>
      <c r="M986" s="1" t="str">
        <f>"080833"</f>
        <v>080833</v>
      </c>
      <c r="N986" s="1" t="s">
        <v>60</v>
      </c>
      <c r="O986" s="1" t="s">
        <v>52</v>
      </c>
      <c r="P986" s="1" t="s">
        <v>68</v>
      </c>
      <c r="Q986" s="1">
        <v>13</v>
      </c>
      <c r="R986" s="1">
        <v>0</v>
      </c>
      <c r="S986" s="1">
        <v>0</v>
      </c>
      <c r="T986" s="1">
        <v>13</v>
      </c>
      <c r="U986" s="1">
        <v>0</v>
      </c>
      <c r="V986" s="1" t="str">
        <f>"里程去程"</f>
        <v>里程去程</v>
      </c>
      <c r="W986" s="1" t="str">
        <f>"0020"</f>
        <v>0020</v>
      </c>
      <c r="X986" s="1" t="s">
        <v>29</v>
      </c>
    </row>
    <row r="987" spans="1:24" x14ac:dyDescent="0.3">
      <c r="A987" s="1" t="str">
        <f t="shared" si="189"/>
        <v>59809</v>
      </c>
      <c r="B987" s="1" t="s">
        <v>42</v>
      </c>
      <c r="C987" s="1" t="s">
        <v>43</v>
      </c>
      <c r="D987" s="1" t="str">
        <f t="shared" si="190"/>
        <v>9801</v>
      </c>
      <c r="E987" s="1" t="s">
        <v>25</v>
      </c>
      <c r="F987" s="1" t="str">
        <f>"025F1C0342880400C834002000000015"</f>
        <v>025F1C0342880400C834002000000015</v>
      </c>
      <c r="G987" s="1" t="s">
        <v>26</v>
      </c>
      <c r="H987" s="1" t="str">
        <f t="shared" si="191"/>
        <v>20220906</v>
      </c>
      <c r="I987" s="1" t="str">
        <f>"082212"</f>
        <v>082212</v>
      </c>
      <c r="J987" s="1" t="s">
        <v>69</v>
      </c>
      <c r="K987" s="1" t="s">
        <v>52</v>
      </c>
      <c r="L987" s="1" t="str">
        <f t="shared" si="192"/>
        <v>20220906</v>
      </c>
      <c r="M987" s="1" t="str">
        <f>"083419"</f>
        <v>083419</v>
      </c>
      <c r="N987" s="1" t="s">
        <v>70</v>
      </c>
      <c r="O987" s="1" t="s">
        <v>28</v>
      </c>
      <c r="P987" s="1" t="s">
        <v>68</v>
      </c>
      <c r="Q987" s="1">
        <v>13</v>
      </c>
      <c r="R987" s="1">
        <v>0</v>
      </c>
      <c r="S987" s="1">
        <v>0</v>
      </c>
      <c r="T987" s="1">
        <v>13</v>
      </c>
      <c r="U987" s="1">
        <v>0</v>
      </c>
      <c r="V987" s="1" t="str">
        <f>"里程去程"</f>
        <v>里程去程</v>
      </c>
      <c r="W987" s="1" t="str">
        <f>"0020"</f>
        <v>0020</v>
      </c>
      <c r="X987" s="1" t="s">
        <v>29</v>
      </c>
    </row>
    <row r="988" spans="1:24" x14ac:dyDescent="0.3">
      <c r="A988" s="1" t="str">
        <f t="shared" si="189"/>
        <v>59809</v>
      </c>
      <c r="B988" s="1" t="s">
        <v>42</v>
      </c>
      <c r="C988" s="1" t="s">
        <v>43</v>
      </c>
      <c r="D988" s="1" t="str">
        <f t="shared" si="190"/>
        <v>9801</v>
      </c>
      <c r="E988" s="1" t="s">
        <v>25</v>
      </c>
      <c r="F988" s="1" t="str">
        <f>"200114070"</f>
        <v>200114070</v>
      </c>
      <c r="G988" s="1" t="s">
        <v>33</v>
      </c>
      <c r="H988" s="1" t="str">
        <f t="shared" si="191"/>
        <v>20220906</v>
      </c>
      <c r="I988" s="1" t="str">
        <f>"092432"</f>
        <v>092432</v>
      </c>
      <c r="J988" s="1" t="s">
        <v>83</v>
      </c>
      <c r="K988" s="1" t="s">
        <v>52</v>
      </c>
      <c r="L988" s="1" t="str">
        <f t="shared" si="192"/>
        <v>20220906</v>
      </c>
      <c r="M988" s="1" t="str">
        <f>"094531"</f>
        <v>094531</v>
      </c>
      <c r="N988" s="1" t="s">
        <v>45</v>
      </c>
      <c r="O988" s="1" t="s">
        <v>45</v>
      </c>
      <c r="P988" s="1" t="s">
        <v>55</v>
      </c>
      <c r="Q988" s="1">
        <v>50</v>
      </c>
      <c r="R988" s="1">
        <v>50</v>
      </c>
      <c r="S988" s="1">
        <v>0</v>
      </c>
      <c r="T988" s="1">
        <v>0</v>
      </c>
      <c r="U988" s="1">
        <v>0</v>
      </c>
      <c r="V988" s="1" t="str">
        <f>"里程去程"</f>
        <v>里程去程</v>
      </c>
      <c r="W988" s="1" t="str">
        <f>"2020"</f>
        <v>2020</v>
      </c>
      <c r="X988" s="1" t="s">
        <v>35</v>
      </c>
    </row>
    <row r="989" spans="1:24" x14ac:dyDescent="0.3">
      <c r="A989" s="1" t="str">
        <f t="shared" si="189"/>
        <v>59809</v>
      </c>
      <c r="B989" s="1" t="s">
        <v>42</v>
      </c>
      <c r="C989" s="1" t="s">
        <v>43</v>
      </c>
      <c r="D989" s="1" t="str">
        <f t="shared" si="190"/>
        <v>9801</v>
      </c>
      <c r="E989" s="1" t="s">
        <v>25</v>
      </c>
      <c r="F989" s="1" t="str">
        <f>"32780D0344880400C834002000000015"</f>
        <v>32780D0344880400C834002000000015</v>
      </c>
      <c r="G989" s="1" t="s">
        <v>26</v>
      </c>
      <c r="H989" s="1" t="str">
        <f t="shared" si="191"/>
        <v>20220906</v>
      </c>
      <c r="I989" s="1" t="str">
        <f>"093705"</f>
        <v>093705</v>
      </c>
      <c r="J989" s="1" t="s">
        <v>27</v>
      </c>
      <c r="K989" s="1" t="s">
        <v>28</v>
      </c>
      <c r="L989" s="1" t="str">
        <f t="shared" si="192"/>
        <v>20220906</v>
      </c>
      <c r="M989" s="1" t="str">
        <f>"094747"</f>
        <v>094747</v>
      </c>
      <c r="N989" s="1" t="s">
        <v>61</v>
      </c>
      <c r="O989" s="1" t="s">
        <v>45</v>
      </c>
      <c r="P989" s="1" t="s">
        <v>68</v>
      </c>
      <c r="Q989" s="1">
        <v>13</v>
      </c>
      <c r="R989" s="1">
        <v>0</v>
      </c>
      <c r="S989" s="1">
        <v>0</v>
      </c>
      <c r="T989" s="1">
        <v>13</v>
      </c>
      <c r="U989" s="1">
        <v>0</v>
      </c>
      <c r="V989" s="1" t="str">
        <f>"里程去程"</f>
        <v>里程去程</v>
      </c>
      <c r="W989" s="1" t="str">
        <f>"0020"</f>
        <v>0020</v>
      </c>
      <c r="X989" s="1" t="s">
        <v>29</v>
      </c>
    </row>
    <row r="990" spans="1:24" x14ac:dyDescent="0.3">
      <c r="A990" s="1" t="str">
        <f t="shared" si="189"/>
        <v>59809</v>
      </c>
      <c r="B990" s="1" t="s">
        <v>42</v>
      </c>
      <c r="C990" s="1" t="s">
        <v>43</v>
      </c>
      <c r="D990" s="1" t="str">
        <f t="shared" si="190"/>
        <v>9801</v>
      </c>
      <c r="E990" s="1" t="s">
        <v>25</v>
      </c>
      <c r="F990" s="1" t="str">
        <f>"2241D102B0880400C834002000000015"</f>
        <v>2241D102B0880400C834002000000015</v>
      </c>
      <c r="G990" s="1" t="s">
        <v>26</v>
      </c>
      <c r="H990" s="1" t="str">
        <f t="shared" si="191"/>
        <v>20220906</v>
      </c>
      <c r="I990" s="1" t="str">
        <f>"125048"</f>
        <v>125048</v>
      </c>
      <c r="J990" s="1" t="s">
        <v>28</v>
      </c>
      <c r="K990" s="1" t="s">
        <v>28</v>
      </c>
      <c r="L990" s="1" t="str">
        <f t="shared" si="192"/>
        <v>20220906</v>
      </c>
      <c r="M990" s="1" t="str">
        <f>"131816"</f>
        <v>131816</v>
      </c>
      <c r="N990" s="1" t="s">
        <v>60</v>
      </c>
      <c r="O990" s="1" t="s">
        <v>52</v>
      </c>
      <c r="P990" s="1" t="s">
        <v>68</v>
      </c>
      <c r="Q990" s="1">
        <v>13</v>
      </c>
      <c r="R990" s="1">
        <v>0</v>
      </c>
      <c r="S990" s="1">
        <v>0</v>
      </c>
      <c r="T990" s="1">
        <v>13</v>
      </c>
      <c r="U990" s="1">
        <v>0</v>
      </c>
      <c r="V990" s="1" t="str">
        <f t="shared" ref="V990:V1031" si="193">"里程返程"</f>
        <v>里程返程</v>
      </c>
      <c r="W990" s="1" t="str">
        <f>"0020"</f>
        <v>0020</v>
      </c>
      <c r="X990" s="1" t="s">
        <v>29</v>
      </c>
    </row>
    <row r="991" spans="1:24" x14ac:dyDescent="0.3">
      <c r="A991" s="1" t="str">
        <f t="shared" si="189"/>
        <v>59809</v>
      </c>
      <c r="B991" s="1" t="s">
        <v>42</v>
      </c>
      <c r="C991" s="1" t="s">
        <v>43</v>
      </c>
      <c r="D991" s="1" t="str">
        <f t="shared" si="190"/>
        <v>9801</v>
      </c>
      <c r="E991" s="1" t="s">
        <v>25</v>
      </c>
      <c r="F991" s="1" t="str">
        <f>"C283FE02BD880400C834002000000015"</f>
        <v>C283FE02BD880400C834002000000015</v>
      </c>
      <c r="G991" s="1" t="s">
        <v>26</v>
      </c>
      <c r="H991" s="1" t="str">
        <f t="shared" si="191"/>
        <v>20220906</v>
      </c>
      <c r="I991" s="1" t="str">
        <f>"125056"</f>
        <v>125056</v>
      </c>
      <c r="J991" s="1" t="s">
        <v>28</v>
      </c>
      <c r="K991" s="1" t="s">
        <v>28</v>
      </c>
      <c r="L991" s="1" t="str">
        <f t="shared" si="192"/>
        <v>20220906</v>
      </c>
      <c r="M991" s="1" t="str">
        <f>"131820"</f>
        <v>131820</v>
      </c>
      <c r="N991" s="1" t="s">
        <v>60</v>
      </c>
      <c r="O991" s="1" t="s">
        <v>52</v>
      </c>
      <c r="P991" s="1" t="s">
        <v>68</v>
      </c>
      <c r="Q991" s="1">
        <v>13</v>
      </c>
      <c r="R991" s="1">
        <v>0</v>
      </c>
      <c r="S991" s="1">
        <v>0</v>
      </c>
      <c r="T991" s="1">
        <v>13</v>
      </c>
      <c r="U991" s="1">
        <v>0</v>
      </c>
      <c r="V991" s="1" t="str">
        <f t="shared" si="193"/>
        <v>里程返程</v>
      </c>
      <c r="W991" s="1" t="str">
        <f>"0020"</f>
        <v>0020</v>
      </c>
      <c r="X991" s="1" t="s">
        <v>29</v>
      </c>
    </row>
    <row r="992" spans="1:24" x14ac:dyDescent="0.3">
      <c r="A992" s="1" t="str">
        <f t="shared" si="189"/>
        <v>59809</v>
      </c>
      <c r="B992" s="1" t="s">
        <v>42</v>
      </c>
      <c r="C992" s="1" t="s">
        <v>43</v>
      </c>
      <c r="D992" s="1" t="str">
        <f t="shared" si="190"/>
        <v>9801</v>
      </c>
      <c r="E992" s="1" t="s">
        <v>25</v>
      </c>
      <c r="F992" s="1" t="str">
        <f>"766705333"</f>
        <v>766705333</v>
      </c>
      <c r="G992" s="1" t="s">
        <v>33</v>
      </c>
      <c r="H992" s="1" t="str">
        <f t="shared" si="191"/>
        <v>20220906</v>
      </c>
      <c r="I992" s="1" t="str">
        <f>"125352"</f>
        <v>125352</v>
      </c>
      <c r="J992" s="1" t="s">
        <v>28</v>
      </c>
      <c r="K992" s="1" t="s">
        <v>28</v>
      </c>
      <c r="L992" s="1" t="str">
        <f t="shared" si="192"/>
        <v>20220906</v>
      </c>
      <c r="M992" s="1" t="str">
        <f>"132027"</f>
        <v>132027</v>
      </c>
      <c r="N992" s="1" t="s">
        <v>86</v>
      </c>
      <c r="O992" s="1" t="s">
        <v>52</v>
      </c>
      <c r="P992" s="1" t="s">
        <v>55</v>
      </c>
      <c r="Q992" s="1">
        <v>25</v>
      </c>
      <c r="R992" s="1">
        <v>0</v>
      </c>
      <c r="S992" s="1">
        <v>25</v>
      </c>
      <c r="T992" s="1">
        <v>0</v>
      </c>
      <c r="U992" s="1">
        <v>0</v>
      </c>
      <c r="V992" s="1" t="str">
        <f t="shared" si="193"/>
        <v>里程返程</v>
      </c>
      <c r="W992" s="1" t="str">
        <f>"2120"</f>
        <v>2120</v>
      </c>
      <c r="X992" s="1" t="s">
        <v>35</v>
      </c>
    </row>
    <row r="993" spans="1:24" x14ac:dyDescent="0.3">
      <c r="A993" s="1" t="str">
        <f t="shared" si="189"/>
        <v>59809</v>
      </c>
      <c r="B993" s="1" t="s">
        <v>42</v>
      </c>
      <c r="C993" s="1" t="s">
        <v>43</v>
      </c>
      <c r="D993" s="1" t="str">
        <f t="shared" si="190"/>
        <v>9801</v>
      </c>
      <c r="E993" s="1" t="s">
        <v>25</v>
      </c>
      <c r="F993" s="1" t="str">
        <f>"55D2A79CBC88040043265ABE00170710"</f>
        <v>55D2A79CBC88040043265ABE00170710</v>
      </c>
      <c r="G993" s="1" t="s">
        <v>64</v>
      </c>
      <c r="H993" s="1" t="str">
        <f t="shared" si="191"/>
        <v>20220906</v>
      </c>
      <c r="I993" s="1" t="str">
        <f>"130456"</f>
        <v>130456</v>
      </c>
      <c r="J993" s="1" t="s">
        <v>67</v>
      </c>
      <c r="K993" s="1" t="s">
        <v>52</v>
      </c>
      <c r="L993" s="1" t="str">
        <f t="shared" si="192"/>
        <v>20220906</v>
      </c>
      <c r="M993" s="1" t="str">
        <f>"132031"</f>
        <v>132031</v>
      </c>
      <c r="N993" s="1" t="s">
        <v>86</v>
      </c>
      <c r="O993" s="1" t="s">
        <v>52</v>
      </c>
      <c r="P993" s="1" t="s">
        <v>55</v>
      </c>
      <c r="Q993" s="1">
        <v>13</v>
      </c>
      <c r="R993" s="1">
        <v>13</v>
      </c>
      <c r="S993" s="1">
        <v>0</v>
      </c>
      <c r="T993" s="1">
        <v>0</v>
      </c>
      <c r="U993" s="1">
        <v>0</v>
      </c>
      <c r="V993" s="1" t="str">
        <f t="shared" si="193"/>
        <v>里程返程</v>
      </c>
      <c r="W993" s="1" t="str">
        <f>"0020"</f>
        <v>0020</v>
      </c>
      <c r="X993" s="1" t="s">
        <v>29</v>
      </c>
    </row>
    <row r="994" spans="1:24" x14ac:dyDescent="0.3">
      <c r="A994" s="1" t="str">
        <f t="shared" si="189"/>
        <v>59809</v>
      </c>
      <c r="B994" s="1" t="s">
        <v>42</v>
      </c>
      <c r="C994" s="1" t="s">
        <v>43</v>
      </c>
      <c r="D994" s="1" t="str">
        <f t="shared" si="190"/>
        <v>9801</v>
      </c>
      <c r="E994" s="1" t="s">
        <v>25</v>
      </c>
      <c r="F994" s="1" t="str">
        <f>"82D5FB02AE880400C834002000000015"</f>
        <v>82D5FB02AE880400C834002000000015</v>
      </c>
      <c r="G994" s="1" t="s">
        <v>26</v>
      </c>
      <c r="H994" s="1" t="str">
        <f t="shared" si="191"/>
        <v>20220906</v>
      </c>
      <c r="I994" s="1" t="str">
        <f>"151412"</f>
        <v>151412</v>
      </c>
      <c r="J994" s="1" t="s">
        <v>72</v>
      </c>
      <c r="K994" s="1" t="s">
        <v>52</v>
      </c>
      <c r="L994" s="1" t="str">
        <f t="shared" si="192"/>
        <v>20220906</v>
      </c>
      <c r="M994" s="1" t="str">
        <f>"151716"</f>
        <v>151716</v>
      </c>
      <c r="N994" s="1" t="s">
        <v>51</v>
      </c>
      <c r="O994" s="1" t="s">
        <v>52</v>
      </c>
      <c r="P994" s="1" t="s">
        <v>68</v>
      </c>
      <c r="Q994" s="1">
        <v>13</v>
      </c>
      <c r="R994" s="1">
        <v>0</v>
      </c>
      <c r="S994" s="1">
        <v>0</v>
      </c>
      <c r="T994" s="1">
        <v>13</v>
      </c>
      <c r="U994" s="1">
        <v>0</v>
      </c>
      <c r="V994" s="1" t="str">
        <f t="shared" si="193"/>
        <v>里程返程</v>
      </c>
      <c r="W994" s="1" t="str">
        <f>"0020"</f>
        <v>0020</v>
      </c>
      <c r="X994" s="1" t="s">
        <v>29</v>
      </c>
    </row>
    <row r="995" spans="1:24" x14ac:dyDescent="0.3">
      <c r="A995" s="1" t="str">
        <f t="shared" si="189"/>
        <v>59809</v>
      </c>
      <c r="B995" s="1" t="s">
        <v>42</v>
      </c>
      <c r="C995" s="1" t="s">
        <v>43</v>
      </c>
      <c r="D995" s="1" t="str">
        <f t="shared" si="190"/>
        <v>9801</v>
      </c>
      <c r="E995" s="1" t="s">
        <v>25</v>
      </c>
      <c r="F995" s="1" t="str">
        <f>"A2CB9916E6880400C814002000000019"</f>
        <v>A2CB9916E6880400C814002000000019</v>
      </c>
      <c r="G995" s="1" t="s">
        <v>59</v>
      </c>
      <c r="H995" s="1" t="str">
        <f t="shared" si="191"/>
        <v>20220906</v>
      </c>
      <c r="I995" s="1" t="str">
        <f>"154323"</f>
        <v>154323</v>
      </c>
      <c r="J995" s="1" t="s">
        <v>45</v>
      </c>
      <c r="K995" s="1" t="s">
        <v>45</v>
      </c>
      <c r="L995" s="1" t="str">
        <f t="shared" si="192"/>
        <v>20220906</v>
      </c>
      <c r="M995" s="1" t="str">
        <f>"154943"</f>
        <v>154943</v>
      </c>
      <c r="N995" s="1" t="s">
        <v>28</v>
      </c>
      <c r="O995" s="1" t="s">
        <v>28</v>
      </c>
      <c r="P995" s="1" t="s">
        <v>55</v>
      </c>
      <c r="Q995" s="1">
        <v>25</v>
      </c>
      <c r="R995" s="1">
        <v>25</v>
      </c>
      <c r="S995" s="1">
        <v>0</v>
      </c>
      <c r="T995" s="1">
        <v>0</v>
      </c>
      <c r="U995" s="1">
        <v>0</v>
      </c>
      <c r="V995" s="1" t="str">
        <f t="shared" si="193"/>
        <v>里程返程</v>
      </c>
      <c r="W995" s="1" t="str">
        <f>"0020"</f>
        <v>0020</v>
      </c>
      <c r="X995" s="1" t="s">
        <v>29</v>
      </c>
    </row>
    <row r="996" spans="1:24" x14ac:dyDescent="0.3">
      <c r="A996" s="1" t="str">
        <f t="shared" si="189"/>
        <v>59809</v>
      </c>
      <c r="B996" s="1" t="s">
        <v>42</v>
      </c>
      <c r="C996" s="1" t="s">
        <v>43</v>
      </c>
      <c r="D996" s="1" t="str">
        <f t="shared" si="190"/>
        <v>9801</v>
      </c>
      <c r="E996" s="1" t="s">
        <v>25</v>
      </c>
      <c r="F996" s="1" t="str">
        <f>"3A6D12BDF8880400475564D949702207"</f>
        <v>3A6D12BDF8880400475564D949702207</v>
      </c>
      <c r="G996" s="1" t="s">
        <v>58</v>
      </c>
      <c r="H996" s="1" t="str">
        <f t="shared" si="191"/>
        <v>20220906</v>
      </c>
      <c r="I996" s="1" t="str">
        <f>"155002"</f>
        <v>155002</v>
      </c>
      <c r="J996" s="1" t="s">
        <v>28</v>
      </c>
      <c r="K996" s="1" t="s">
        <v>28</v>
      </c>
      <c r="L996" s="1" t="str">
        <f t="shared" si="192"/>
        <v>20220906</v>
      </c>
      <c r="M996" s="1" t="str">
        <f>"160907"</f>
        <v>160907</v>
      </c>
      <c r="N996" s="1" t="s">
        <v>77</v>
      </c>
      <c r="O996" s="1" t="s">
        <v>52</v>
      </c>
      <c r="P996" s="1" t="s">
        <v>55</v>
      </c>
      <c r="Q996" s="1">
        <v>25</v>
      </c>
      <c r="R996" s="1">
        <v>25</v>
      </c>
      <c r="S996" s="1">
        <v>0</v>
      </c>
      <c r="T996" s="1">
        <v>0</v>
      </c>
      <c r="U996" s="1">
        <v>0</v>
      </c>
      <c r="V996" s="1" t="str">
        <f t="shared" si="193"/>
        <v>里程返程</v>
      </c>
      <c r="W996" s="1" t="str">
        <f>"0020"</f>
        <v>0020</v>
      </c>
      <c r="X996" s="1" t="s">
        <v>29</v>
      </c>
    </row>
    <row r="997" spans="1:24" x14ac:dyDescent="0.3">
      <c r="A997" s="1" t="str">
        <f t="shared" si="189"/>
        <v>59809</v>
      </c>
      <c r="B997" s="1" t="s">
        <v>42</v>
      </c>
      <c r="C997" s="1" t="s">
        <v>43</v>
      </c>
      <c r="D997" s="1" t="str">
        <f t="shared" si="190"/>
        <v>9801</v>
      </c>
      <c r="E997" s="1" t="s">
        <v>25</v>
      </c>
      <c r="F997" s="1" t="str">
        <f>"806757153"</f>
        <v>806757153</v>
      </c>
      <c r="G997" s="1" t="s">
        <v>74</v>
      </c>
      <c r="H997" s="1" t="str">
        <f t="shared" si="191"/>
        <v>20220906</v>
      </c>
      <c r="I997" s="1" t="str">
        <f>"155513"</f>
        <v>155513</v>
      </c>
      <c r="J997" s="1" t="s">
        <v>28</v>
      </c>
      <c r="K997" s="1" t="s">
        <v>28</v>
      </c>
      <c r="L997" s="1" t="str">
        <f t="shared" si="192"/>
        <v>20220906</v>
      </c>
      <c r="M997" s="1" t="str">
        <f>"163514"</f>
        <v>163514</v>
      </c>
      <c r="N997" s="1" t="s">
        <v>52</v>
      </c>
      <c r="O997" s="1" t="s">
        <v>52</v>
      </c>
      <c r="P997" s="1" t="s">
        <v>55</v>
      </c>
      <c r="Q997" s="1">
        <v>13</v>
      </c>
      <c r="R997" s="1">
        <v>0</v>
      </c>
      <c r="S997" s="1">
        <v>13</v>
      </c>
      <c r="T997" s="1">
        <v>0</v>
      </c>
      <c r="U997" s="1">
        <v>0</v>
      </c>
      <c r="V997" s="1" t="str">
        <f t="shared" si="193"/>
        <v>里程返程</v>
      </c>
      <c r="W997" s="1" t="str">
        <f>"0820"</f>
        <v>0820</v>
      </c>
      <c r="X997" s="1" t="s">
        <v>35</v>
      </c>
    </row>
    <row r="998" spans="1:24" x14ac:dyDescent="0.3">
      <c r="A998" s="1" t="str">
        <f t="shared" si="189"/>
        <v>59809</v>
      </c>
      <c r="B998" s="1" t="s">
        <v>42</v>
      </c>
      <c r="C998" s="1" t="s">
        <v>43</v>
      </c>
      <c r="D998" s="1" t="str">
        <f t="shared" si="190"/>
        <v>9801</v>
      </c>
      <c r="E998" s="1" t="s">
        <v>25</v>
      </c>
      <c r="F998" s="1" t="str">
        <f>"806588721"</f>
        <v>806588721</v>
      </c>
      <c r="G998" s="1" t="s">
        <v>102</v>
      </c>
      <c r="H998" s="1" t="str">
        <f t="shared" si="191"/>
        <v>20220906</v>
      </c>
      <c r="I998" s="1" t="str">
        <f>"155515"</f>
        <v>155515</v>
      </c>
      <c r="J998" s="1" t="s">
        <v>28</v>
      </c>
      <c r="K998" s="1" t="s">
        <v>28</v>
      </c>
      <c r="L998" s="1" t="str">
        <f t="shared" si="192"/>
        <v>20220906</v>
      </c>
      <c r="M998" s="1" t="str">
        <f>"163515"</f>
        <v>163515</v>
      </c>
      <c r="N998" s="1" t="s">
        <v>52</v>
      </c>
      <c r="O998" s="1" t="s">
        <v>52</v>
      </c>
      <c r="P998" s="1" t="s">
        <v>55</v>
      </c>
      <c r="Q998" s="1">
        <v>13</v>
      </c>
      <c r="R998" s="1">
        <v>0</v>
      </c>
      <c r="S998" s="1">
        <v>13</v>
      </c>
      <c r="T998" s="1">
        <v>0</v>
      </c>
      <c r="U998" s="1">
        <v>0</v>
      </c>
      <c r="V998" s="1" t="str">
        <f t="shared" si="193"/>
        <v>里程返程</v>
      </c>
      <c r="W998" s="1" t="str">
        <f>"0820"</f>
        <v>0820</v>
      </c>
      <c r="X998" s="1" t="s">
        <v>35</v>
      </c>
    </row>
    <row r="999" spans="1:24" x14ac:dyDescent="0.3">
      <c r="A999" s="1" t="str">
        <f t="shared" si="189"/>
        <v>59809</v>
      </c>
      <c r="B999" s="1" t="s">
        <v>42</v>
      </c>
      <c r="C999" s="1" t="s">
        <v>43</v>
      </c>
      <c r="D999" s="1" t="str">
        <f t="shared" si="190"/>
        <v>9801</v>
      </c>
      <c r="E999" s="1" t="s">
        <v>25</v>
      </c>
      <c r="F999" s="1" t="str">
        <f>"7227E702B0880400C834002000000015"</f>
        <v>7227E702B0880400C834002000000015</v>
      </c>
      <c r="G999" s="1" t="s">
        <v>74</v>
      </c>
      <c r="H999" s="1" t="str">
        <f t="shared" si="191"/>
        <v>20220906</v>
      </c>
      <c r="I999" s="1" t="str">
        <f>"161336"</f>
        <v>161336</v>
      </c>
      <c r="J999" s="1" t="s">
        <v>80</v>
      </c>
      <c r="K999" s="1" t="s">
        <v>52</v>
      </c>
      <c r="L999" s="1" t="str">
        <f t="shared" si="192"/>
        <v>20220906</v>
      </c>
      <c r="M999" s="1" t="str">
        <f>"163000"</f>
        <v>163000</v>
      </c>
      <c r="N999" s="1" t="s">
        <v>60</v>
      </c>
      <c r="O999" s="1" t="s">
        <v>52</v>
      </c>
      <c r="P999" s="1" t="s">
        <v>68</v>
      </c>
      <c r="Q999" s="1">
        <v>13</v>
      </c>
      <c r="R999" s="1">
        <v>0</v>
      </c>
      <c r="S999" s="1">
        <v>0</v>
      </c>
      <c r="T999" s="1">
        <v>13</v>
      </c>
      <c r="U999" s="1">
        <v>0</v>
      </c>
      <c r="V999" s="1" t="str">
        <f t="shared" si="193"/>
        <v>里程返程</v>
      </c>
      <c r="W999" s="1" t="str">
        <f>"0020"</f>
        <v>0020</v>
      </c>
      <c r="X999" s="1" t="s">
        <v>29</v>
      </c>
    </row>
    <row r="1000" spans="1:24" x14ac:dyDescent="0.3">
      <c r="A1000" s="1" t="str">
        <f t="shared" si="189"/>
        <v>59809</v>
      </c>
      <c r="B1000" s="1" t="s">
        <v>42</v>
      </c>
      <c r="C1000" s="1" t="s">
        <v>43</v>
      </c>
      <c r="D1000" s="1" t="str">
        <f t="shared" si="190"/>
        <v>9801</v>
      </c>
      <c r="E1000" s="1" t="s">
        <v>25</v>
      </c>
      <c r="F1000" s="1" t="str">
        <f>"917581349"</f>
        <v>917581349</v>
      </c>
      <c r="G1000" s="1" t="s">
        <v>38</v>
      </c>
      <c r="H1000" s="1" t="str">
        <f t="shared" si="191"/>
        <v>20220906</v>
      </c>
      <c r="I1000" s="1" t="str">
        <f>"164004"</f>
        <v>164004</v>
      </c>
      <c r="J1000" s="1" t="s">
        <v>100</v>
      </c>
      <c r="K1000" s="1" t="s">
        <v>45</v>
      </c>
      <c r="L1000" s="1" t="str">
        <f t="shared" si="192"/>
        <v>20220906</v>
      </c>
      <c r="M1000" s="1" t="str">
        <f>"165759"</f>
        <v>165759</v>
      </c>
      <c r="N1000" s="1" t="s">
        <v>28</v>
      </c>
      <c r="O1000" s="1" t="s">
        <v>28</v>
      </c>
      <c r="P1000" s="1" t="s">
        <v>55</v>
      </c>
      <c r="Q1000" s="1">
        <v>25</v>
      </c>
      <c r="R1000" s="1">
        <v>25</v>
      </c>
      <c r="S1000" s="1">
        <v>0</v>
      </c>
      <c r="T1000" s="1">
        <v>0</v>
      </c>
      <c r="U1000" s="1">
        <v>0</v>
      </c>
      <c r="V1000" s="1" t="str">
        <f t="shared" si="193"/>
        <v>里程返程</v>
      </c>
      <c r="W1000" s="1" t="str">
        <f>"0820"</f>
        <v>0820</v>
      </c>
      <c r="X1000" s="1" t="s">
        <v>35</v>
      </c>
    </row>
    <row r="1001" spans="1:24" x14ac:dyDescent="0.3">
      <c r="A1001" s="1" t="str">
        <f t="shared" ref="A1001:A1037" si="194">"59820"</f>
        <v>59820</v>
      </c>
      <c r="B1001" s="1" t="s">
        <v>53</v>
      </c>
      <c r="C1001" s="1" t="s">
        <v>54</v>
      </c>
      <c r="D1001" s="1" t="str">
        <f t="shared" si="190"/>
        <v>9801</v>
      </c>
      <c r="E1001" s="1" t="s">
        <v>25</v>
      </c>
      <c r="F1001" s="1" t="str">
        <f>"F29BD102BA880400C834002000000015"</f>
        <v>F29BD102BA880400C834002000000015</v>
      </c>
      <c r="G1001" s="1" t="s">
        <v>26</v>
      </c>
      <c r="H1001" s="1" t="str">
        <f t="shared" si="191"/>
        <v>20220906</v>
      </c>
      <c r="I1001" s="1" t="str">
        <f>"083337"</f>
        <v>083337</v>
      </c>
      <c r="J1001" s="1" t="s">
        <v>44</v>
      </c>
      <c r="K1001" s="1" t="s">
        <v>45</v>
      </c>
      <c r="L1001" s="1" t="str">
        <f t="shared" si="192"/>
        <v>20220906</v>
      </c>
      <c r="M1001" s="1" t="str">
        <f>"085035"</f>
        <v>085035</v>
      </c>
      <c r="N1001" s="1" t="s">
        <v>28</v>
      </c>
      <c r="O1001" s="1" t="s">
        <v>28</v>
      </c>
      <c r="P1001" s="1" t="s">
        <v>68</v>
      </c>
      <c r="Q1001" s="1">
        <v>13</v>
      </c>
      <c r="R1001" s="1">
        <v>0</v>
      </c>
      <c r="S1001" s="1">
        <v>0</v>
      </c>
      <c r="T1001" s="1">
        <v>13</v>
      </c>
      <c r="U1001" s="1">
        <v>0</v>
      </c>
      <c r="V1001" s="1" t="str">
        <f t="shared" si="193"/>
        <v>里程返程</v>
      </c>
      <c r="W1001" s="1" t="str">
        <f>"0020"</f>
        <v>0020</v>
      </c>
      <c r="X1001" s="1" t="s">
        <v>29</v>
      </c>
    </row>
    <row r="1002" spans="1:24" x14ac:dyDescent="0.3">
      <c r="A1002" s="1" t="str">
        <f t="shared" si="194"/>
        <v>59820</v>
      </c>
      <c r="B1002" s="1" t="s">
        <v>53</v>
      </c>
      <c r="C1002" s="1" t="s">
        <v>54</v>
      </c>
      <c r="D1002" s="1" t="str">
        <f t="shared" si="190"/>
        <v>9801</v>
      </c>
      <c r="E1002" s="1" t="s">
        <v>25</v>
      </c>
      <c r="F1002" s="1" t="str">
        <f>"025F1C0342880400C834002000000015"</f>
        <v>025F1C0342880400C834002000000015</v>
      </c>
      <c r="G1002" s="1" t="s">
        <v>26</v>
      </c>
      <c r="H1002" s="1" t="str">
        <f t="shared" si="191"/>
        <v>20220906</v>
      </c>
      <c r="I1002" s="1" t="str">
        <f>"085100"</f>
        <v>085100</v>
      </c>
      <c r="J1002" s="1" t="s">
        <v>28</v>
      </c>
      <c r="K1002" s="1" t="s">
        <v>28</v>
      </c>
      <c r="L1002" s="1" t="str">
        <f t="shared" si="192"/>
        <v>20220906</v>
      </c>
      <c r="M1002" s="1" t="str">
        <f>"090745"</f>
        <v>090745</v>
      </c>
      <c r="N1002" s="1" t="s">
        <v>69</v>
      </c>
      <c r="O1002" s="1" t="s">
        <v>52</v>
      </c>
      <c r="P1002" s="1" t="s">
        <v>68</v>
      </c>
      <c r="Q1002" s="1">
        <v>13</v>
      </c>
      <c r="R1002" s="1">
        <v>0</v>
      </c>
      <c r="S1002" s="1">
        <v>0</v>
      </c>
      <c r="T1002" s="1">
        <v>13</v>
      </c>
      <c r="U1002" s="1">
        <v>0</v>
      </c>
      <c r="V1002" s="1" t="str">
        <f t="shared" si="193"/>
        <v>里程返程</v>
      </c>
      <c r="W1002" s="1" t="str">
        <f>"0020"</f>
        <v>0020</v>
      </c>
      <c r="X1002" s="1" t="s">
        <v>29</v>
      </c>
    </row>
    <row r="1003" spans="1:24" x14ac:dyDescent="0.3">
      <c r="A1003" s="1" t="str">
        <f t="shared" si="194"/>
        <v>59820</v>
      </c>
      <c r="B1003" s="1" t="s">
        <v>53</v>
      </c>
      <c r="C1003" s="1" t="s">
        <v>54</v>
      </c>
      <c r="D1003" s="1" t="str">
        <f t="shared" si="190"/>
        <v>9801</v>
      </c>
      <c r="E1003" s="1" t="s">
        <v>25</v>
      </c>
      <c r="F1003" s="1" t="str">
        <f>"62591B0323880400C834002000000015"</f>
        <v>62591B0323880400C834002000000015</v>
      </c>
      <c r="G1003" s="1" t="s">
        <v>26</v>
      </c>
      <c r="H1003" s="1" t="str">
        <f t="shared" si="191"/>
        <v>20220906</v>
      </c>
      <c r="I1003" s="1" t="str">
        <f>"085106"</f>
        <v>085106</v>
      </c>
      <c r="J1003" s="1" t="s">
        <v>28</v>
      </c>
      <c r="K1003" s="1" t="s">
        <v>28</v>
      </c>
      <c r="L1003" s="1" t="str">
        <f t="shared" si="192"/>
        <v>20220906</v>
      </c>
      <c r="M1003" s="1" t="str">
        <f>"092041"</f>
        <v>092041</v>
      </c>
      <c r="N1003" s="1" t="s">
        <v>60</v>
      </c>
      <c r="O1003" s="1" t="s">
        <v>52</v>
      </c>
      <c r="P1003" s="1" t="s">
        <v>68</v>
      </c>
      <c r="Q1003" s="1">
        <v>13</v>
      </c>
      <c r="R1003" s="1">
        <v>0</v>
      </c>
      <c r="S1003" s="1">
        <v>0</v>
      </c>
      <c r="T1003" s="1">
        <v>13</v>
      </c>
      <c r="U1003" s="1">
        <v>0</v>
      </c>
      <c r="V1003" s="1" t="str">
        <f t="shared" si="193"/>
        <v>里程返程</v>
      </c>
      <c r="W1003" s="1" t="str">
        <f>"0020"</f>
        <v>0020</v>
      </c>
      <c r="X1003" s="1" t="s">
        <v>29</v>
      </c>
    </row>
    <row r="1004" spans="1:24" x14ac:dyDescent="0.3">
      <c r="A1004" s="1" t="str">
        <f t="shared" si="194"/>
        <v>59820</v>
      </c>
      <c r="B1004" s="1" t="s">
        <v>53</v>
      </c>
      <c r="C1004" s="1" t="s">
        <v>54</v>
      </c>
      <c r="D1004" s="1" t="str">
        <f t="shared" ref="D1004:D1025" si="195">"9801"</f>
        <v>9801</v>
      </c>
      <c r="E1004" s="1" t="s">
        <v>25</v>
      </c>
      <c r="F1004" s="1" t="str">
        <f>"191600321"</f>
        <v>191600321</v>
      </c>
      <c r="G1004" s="1" t="s">
        <v>74</v>
      </c>
      <c r="H1004" s="1" t="str">
        <f t="shared" si="191"/>
        <v>20220906</v>
      </c>
      <c r="I1004" s="1" t="str">
        <f>"093343"</f>
        <v>093343</v>
      </c>
      <c r="J1004" s="1" t="s">
        <v>44</v>
      </c>
      <c r="K1004" s="1" t="s">
        <v>45</v>
      </c>
      <c r="L1004" s="1" t="str">
        <f t="shared" si="192"/>
        <v>20220906</v>
      </c>
      <c r="M1004" s="1" t="str">
        <f>"095312"</f>
        <v>095312</v>
      </c>
      <c r="N1004" s="1" t="s">
        <v>28</v>
      </c>
      <c r="O1004" s="1" t="s">
        <v>28</v>
      </c>
      <c r="P1004" s="1" t="s">
        <v>55</v>
      </c>
      <c r="Q1004" s="1">
        <v>13</v>
      </c>
      <c r="R1004" s="1">
        <v>13</v>
      </c>
      <c r="S1004" s="1">
        <v>0</v>
      </c>
      <c r="T1004" s="1">
        <v>0</v>
      </c>
      <c r="U1004" s="1">
        <v>0</v>
      </c>
      <c r="V1004" s="1" t="str">
        <f t="shared" si="193"/>
        <v>里程返程</v>
      </c>
      <c r="W1004" s="1" t="str">
        <f>"1920"</f>
        <v>1920</v>
      </c>
      <c r="X1004" s="1" t="s">
        <v>35</v>
      </c>
    </row>
    <row r="1005" spans="1:24" x14ac:dyDescent="0.3">
      <c r="A1005" s="1" t="str">
        <f t="shared" si="194"/>
        <v>59820</v>
      </c>
      <c r="B1005" s="1" t="s">
        <v>53</v>
      </c>
      <c r="C1005" s="1" t="s">
        <v>54</v>
      </c>
      <c r="D1005" s="1" t="str">
        <f t="shared" si="195"/>
        <v>9801</v>
      </c>
      <c r="E1005" s="1" t="s">
        <v>25</v>
      </c>
      <c r="F1005" s="1" t="str">
        <f>"7511161438009850"</f>
        <v>7511161438009850</v>
      </c>
      <c r="G1005" s="1" t="s">
        <v>33</v>
      </c>
      <c r="H1005" s="1" t="str">
        <f t="shared" si="191"/>
        <v>20220906</v>
      </c>
      <c r="I1005" s="1" t="str">
        <f>"093537"</f>
        <v>093537</v>
      </c>
      <c r="J1005" s="1" t="s">
        <v>100</v>
      </c>
      <c r="K1005" s="1" t="s">
        <v>45</v>
      </c>
      <c r="L1005" s="1" t="str">
        <f t="shared" si="192"/>
        <v>20220906</v>
      </c>
      <c r="M1005" s="1" t="str">
        <f>"095258"</f>
        <v>095258</v>
      </c>
      <c r="N1005" s="1" t="s">
        <v>28</v>
      </c>
      <c r="O1005" s="1" t="s">
        <v>28</v>
      </c>
      <c r="P1005" s="1" t="s">
        <v>55</v>
      </c>
      <c r="Q1005" s="1">
        <v>25</v>
      </c>
      <c r="R1005" s="1">
        <v>25</v>
      </c>
      <c r="S1005" s="1">
        <v>0</v>
      </c>
      <c r="T1005" s="1">
        <v>0</v>
      </c>
      <c r="U1005" s="1">
        <v>0</v>
      </c>
      <c r="V1005" s="1" t="str">
        <f t="shared" si="193"/>
        <v>里程返程</v>
      </c>
      <c r="W1005" s="1" t="str">
        <f>"3B8B"</f>
        <v>3B8B</v>
      </c>
      <c r="X1005" s="1" t="s">
        <v>109</v>
      </c>
    </row>
    <row r="1006" spans="1:24" x14ac:dyDescent="0.3">
      <c r="A1006" s="1" t="str">
        <f t="shared" si="194"/>
        <v>59820</v>
      </c>
      <c r="B1006" s="1" t="s">
        <v>53</v>
      </c>
      <c r="C1006" s="1" t="s">
        <v>54</v>
      </c>
      <c r="D1006" s="1" t="str">
        <f t="shared" si="195"/>
        <v>9801</v>
      </c>
      <c r="E1006" s="1" t="s">
        <v>25</v>
      </c>
      <c r="F1006" s="1" t="str">
        <f>"1050167429"</f>
        <v>1050167429</v>
      </c>
      <c r="G1006" s="1" t="s">
        <v>26</v>
      </c>
      <c r="H1006" s="1" t="str">
        <f t="shared" si="191"/>
        <v>20220906</v>
      </c>
      <c r="I1006" s="1" t="str">
        <f>"094019"</f>
        <v>094019</v>
      </c>
      <c r="J1006" s="1" t="s">
        <v>75</v>
      </c>
      <c r="K1006" s="1" t="s">
        <v>45</v>
      </c>
      <c r="L1006" s="1" t="str">
        <f t="shared" si="192"/>
        <v>20220906</v>
      </c>
      <c r="M1006" s="1" t="str">
        <f>"095321"</f>
        <v>095321</v>
      </c>
      <c r="N1006" s="1" t="s">
        <v>28</v>
      </c>
      <c r="O1006" s="1" t="s">
        <v>28</v>
      </c>
      <c r="P1006" s="1" t="s">
        <v>55</v>
      </c>
      <c r="Q1006" s="1">
        <v>13</v>
      </c>
      <c r="R1006" s="1">
        <v>13</v>
      </c>
      <c r="S1006" s="1">
        <v>0</v>
      </c>
      <c r="T1006" s="1">
        <v>0</v>
      </c>
      <c r="U1006" s="1">
        <v>0</v>
      </c>
      <c r="V1006" s="1" t="str">
        <f t="shared" si="193"/>
        <v>里程返程</v>
      </c>
      <c r="W1006" s="1" t="str">
        <f>"0820"</f>
        <v>0820</v>
      </c>
      <c r="X1006" s="1" t="s">
        <v>35</v>
      </c>
    </row>
    <row r="1007" spans="1:24" x14ac:dyDescent="0.3">
      <c r="A1007" s="1" t="str">
        <f t="shared" si="194"/>
        <v>59820</v>
      </c>
      <c r="B1007" s="1" t="s">
        <v>53</v>
      </c>
      <c r="C1007" s="1" t="s">
        <v>54</v>
      </c>
      <c r="D1007" s="1" t="str">
        <f t="shared" si="195"/>
        <v>9801</v>
      </c>
      <c r="E1007" s="1" t="s">
        <v>25</v>
      </c>
      <c r="F1007" s="1" t="str">
        <f>"893872581"</f>
        <v>893872581</v>
      </c>
      <c r="G1007" s="1" t="s">
        <v>26</v>
      </c>
      <c r="H1007" s="1" t="str">
        <f t="shared" si="191"/>
        <v>20220906</v>
      </c>
      <c r="I1007" s="1" t="str">
        <f>"094024"</f>
        <v>094024</v>
      </c>
      <c r="J1007" s="1" t="s">
        <v>75</v>
      </c>
      <c r="K1007" s="1" t="s">
        <v>45</v>
      </c>
      <c r="L1007" s="1" t="str">
        <f t="shared" si="192"/>
        <v>20220906</v>
      </c>
      <c r="M1007" s="1" t="str">
        <f>"095308"</f>
        <v>095308</v>
      </c>
      <c r="N1007" s="1" t="s">
        <v>28</v>
      </c>
      <c r="O1007" s="1" t="s">
        <v>28</v>
      </c>
      <c r="P1007" s="1" t="s">
        <v>55</v>
      </c>
      <c r="Q1007" s="1">
        <v>13</v>
      </c>
      <c r="R1007" s="1">
        <v>13</v>
      </c>
      <c r="S1007" s="1">
        <v>0</v>
      </c>
      <c r="T1007" s="1">
        <v>0</v>
      </c>
      <c r="U1007" s="1">
        <v>0</v>
      </c>
      <c r="V1007" s="1" t="str">
        <f t="shared" si="193"/>
        <v>里程返程</v>
      </c>
      <c r="W1007" s="1" t="str">
        <f>"0820"</f>
        <v>0820</v>
      </c>
      <c r="X1007" s="1" t="s">
        <v>35</v>
      </c>
    </row>
    <row r="1008" spans="1:24" x14ac:dyDescent="0.3">
      <c r="A1008" s="1" t="str">
        <f t="shared" si="194"/>
        <v>59820</v>
      </c>
      <c r="B1008" s="1" t="s">
        <v>53</v>
      </c>
      <c r="C1008" s="1" t="s">
        <v>54</v>
      </c>
      <c r="D1008" s="1" t="str">
        <f t="shared" si="195"/>
        <v>9801</v>
      </c>
      <c r="E1008" s="1" t="s">
        <v>25</v>
      </c>
      <c r="F1008" s="1" t="str">
        <f>"1430437152"</f>
        <v>1430437152</v>
      </c>
      <c r="G1008" s="1" t="s">
        <v>26</v>
      </c>
      <c r="H1008" s="1" t="str">
        <f t="shared" si="191"/>
        <v>20220906</v>
      </c>
      <c r="I1008" s="1" t="str">
        <f>"094029"</f>
        <v>094029</v>
      </c>
      <c r="J1008" s="1" t="s">
        <v>75</v>
      </c>
      <c r="K1008" s="1" t="s">
        <v>45</v>
      </c>
      <c r="L1008" s="1" t="str">
        <f t="shared" si="192"/>
        <v>20220906</v>
      </c>
      <c r="M1008" s="1" t="str">
        <f>"095317"</f>
        <v>095317</v>
      </c>
      <c r="N1008" s="1" t="s">
        <v>28</v>
      </c>
      <c r="O1008" s="1" t="s">
        <v>28</v>
      </c>
      <c r="P1008" s="1" t="s">
        <v>55</v>
      </c>
      <c r="Q1008" s="1">
        <v>13</v>
      </c>
      <c r="R1008" s="1">
        <v>13</v>
      </c>
      <c r="S1008" s="1">
        <v>0</v>
      </c>
      <c r="T1008" s="1">
        <v>0</v>
      </c>
      <c r="U1008" s="1">
        <v>0</v>
      </c>
      <c r="V1008" s="1" t="str">
        <f t="shared" si="193"/>
        <v>里程返程</v>
      </c>
      <c r="W1008" s="1" t="str">
        <f>"0820"</f>
        <v>0820</v>
      </c>
      <c r="X1008" s="1" t="s">
        <v>35</v>
      </c>
    </row>
    <row r="1009" spans="1:24" x14ac:dyDescent="0.3">
      <c r="A1009" s="1" t="str">
        <f t="shared" si="194"/>
        <v>59820</v>
      </c>
      <c r="B1009" s="1" t="s">
        <v>53</v>
      </c>
      <c r="C1009" s="1" t="s">
        <v>54</v>
      </c>
      <c r="D1009" s="1" t="str">
        <f t="shared" si="195"/>
        <v>9801</v>
      </c>
      <c r="E1009" s="1" t="s">
        <v>25</v>
      </c>
      <c r="F1009" s="1" t="str">
        <f>"99291637"</f>
        <v>99291637</v>
      </c>
      <c r="G1009" s="1" t="s">
        <v>33</v>
      </c>
      <c r="H1009" s="1" t="str">
        <f t="shared" si="191"/>
        <v>20220906</v>
      </c>
      <c r="I1009" s="1" t="str">
        <f>"094032"</f>
        <v>094032</v>
      </c>
      <c r="J1009" s="1" t="s">
        <v>75</v>
      </c>
      <c r="K1009" s="1" t="s">
        <v>45</v>
      </c>
      <c r="L1009" s="1" t="str">
        <f t="shared" si="192"/>
        <v>20220906</v>
      </c>
      <c r="M1009" s="1" t="str">
        <f>"095327"</f>
        <v>095327</v>
      </c>
      <c r="N1009" s="1" t="s">
        <v>28</v>
      </c>
      <c r="O1009" s="1" t="s">
        <v>28</v>
      </c>
      <c r="P1009" s="1" t="s">
        <v>55</v>
      </c>
      <c r="Q1009" s="1">
        <v>25</v>
      </c>
      <c r="R1009" s="1">
        <v>25</v>
      </c>
      <c r="S1009" s="1">
        <v>0</v>
      </c>
      <c r="T1009" s="1">
        <v>0</v>
      </c>
      <c r="U1009" s="1">
        <v>0</v>
      </c>
      <c r="V1009" s="1" t="str">
        <f t="shared" si="193"/>
        <v>里程返程</v>
      </c>
      <c r="W1009" s="1" t="str">
        <f>"0820"</f>
        <v>0820</v>
      </c>
      <c r="X1009" s="1" t="s">
        <v>35</v>
      </c>
    </row>
    <row r="1010" spans="1:24" x14ac:dyDescent="0.3">
      <c r="A1010" s="1" t="str">
        <f t="shared" si="194"/>
        <v>59820</v>
      </c>
      <c r="B1010" s="1" t="s">
        <v>53</v>
      </c>
      <c r="C1010" s="1" t="s">
        <v>54</v>
      </c>
      <c r="D1010" s="1" t="str">
        <f t="shared" si="195"/>
        <v>9801</v>
      </c>
      <c r="E1010" s="1" t="s">
        <v>25</v>
      </c>
      <c r="F1010" s="1" t="str">
        <f>"1292188833"</f>
        <v>1292188833</v>
      </c>
      <c r="G1010" s="1" t="s">
        <v>33</v>
      </c>
      <c r="H1010" s="1" t="str">
        <f t="shared" si="191"/>
        <v>20220906</v>
      </c>
      <c r="I1010" s="1" t="str">
        <f>"094223"</f>
        <v>094223</v>
      </c>
      <c r="J1010" s="1" t="s">
        <v>56</v>
      </c>
      <c r="K1010" s="1" t="s">
        <v>45</v>
      </c>
      <c r="L1010" s="1" t="str">
        <f t="shared" si="192"/>
        <v>20220906</v>
      </c>
      <c r="M1010" s="1" t="str">
        <f>"095332"</f>
        <v>095332</v>
      </c>
      <c r="N1010" s="1" t="s">
        <v>28</v>
      </c>
      <c r="O1010" s="1" t="s">
        <v>28</v>
      </c>
      <c r="P1010" s="1" t="s">
        <v>55</v>
      </c>
      <c r="Q1010" s="1">
        <v>25</v>
      </c>
      <c r="R1010" s="1">
        <v>25</v>
      </c>
      <c r="S1010" s="1">
        <v>0</v>
      </c>
      <c r="T1010" s="1">
        <v>0</v>
      </c>
      <c r="U1010" s="1">
        <v>0</v>
      </c>
      <c r="V1010" s="1" t="str">
        <f t="shared" si="193"/>
        <v>里程返程</v>
      </c>
      <c r="W1010" s="1" t="str">
        <f>"2020"</f>
        <v>2020</v>
      </c>
      <c r="X1010" s="1" t="s">
        <v>35</v>
      </c>
    </row>
    <row r="1011" spans="1:24" x14ac:dyDescent="0.3">
      <c r="A1011" s="1" t="str">
        <f t="shared" si="194"/>
        <v>59820</v>
      </c>
      <c r="B1011" s="1" t="s">
        <v>53</v>
      </c>
      <c r="C1011" s="1" t="s">
        <v>54</v>
      </c>
      <c r="D1011" s="1" t="str">
        <f t="shared" si="195"/>
        <v>9801</v>
      </c>
      <c r="E1011" s="1" t="s">
        <v>25</v>
      </c>
      <c r="F1011" s="1" t="str">
        <f>"2239AB05B5880400C838002000000015"</f>
        <v>2239AB05B5880400C838002000000015</v>
      </c>
      <c r="G1011" s="1" t="s">
        <v>58</v>
      </c>
      <c r="H1011" s="1" t="str">
        <f t="shared" si="191"/>
        <v>20220906</v>
      </c>
      <c r="I1011" s="1" t="str">
        <f>"095338"</f>
        <v>095338</v>
      </c>
      <c r="J1011" s="1" t="s">
        <v>28</v>
      </c>
      <c r="K1011" s="1" t="s">
        <v>28</v>
      </c>
      <c r="L1011" s="1" t="str">
        <f t="shared" si="192"/>
        <v>20220906</v>
      </c>
      <c r="M1011" s="1" t="str">
        <f>"102230"</f>
        <v>102230</v>
      </c>
      <c r="N1011" s="1" t="s">
        <v>52</v>
      </c>
      <c r="O1011" s="1" t="s">
        <v>52</v>
      </c>
      <c r="P1011" s="1" t="s">
        <v>55</v>
      </c>
      <c r="Q1011" s="1">
        <v>25</v>
      </c>
      <c r="R1011" s="1">
        <v>25</v>
      </c>
      <c r="S1011" s="1">
        <v>0</v>
      </c>
      <c r="T1011" s="1">
        <v>0</v>
      </c>
      <c r="U1011" s="1">
        <v>0</v>
      </c>
      <c r="V1011" s="1" t="str">
        <f t="shared" si="193"/>
        <v>里程返程</v>
      </c>
      <c r="W1011" s="1" t="str">
        <f>"0020"</f>
        <v>0020</v>
      </c>
      <c r="X1011" s="1" t="s">
        <v>29</v>
      </c>
    </row>
    <row r="1012" spans="1:24" x14ac:dyDescent="0.3">
      <c r="A1012" s="1" t="str">
        <f t="shared" si="194"/>
        <v>59820</v>
      </c>
      <c r="B1012" s="1" t="s">
        <v>53</v>
      </c>
      <c r="C1012" s="1" t="s">
        <v>54</v>
      </c>
      <c r="D1012" s="1" t="str">
        <f t="shared" si="195"/>
        <v>9801</v>
      </c>
      <c r="E1012" s="1" t="s">
        <v>25</v>
      </c>
      <c r="F1012" s="1" t="str">
        <f>"951739489"</f>
        <v>951739489</v>
      </c>
      <c r="G1012" s="1" t="s">
        <v>33</v>
      </c>
      <c r="H1012" s="1" t="str">
        <f t="shared" si="191"/>
        <v>20220906</v>
      </c>
      <c r="I1012" s="1" t="str">
        <f>"095341"</f>
        <v>095341</v>
      </c>
      <c r="J1012" s="1" t="s">
        <v>28</v>
      </c>
      <c r="K1012" s="1" t="s">
        <v>28</v>
      </c>
      <c r="L1012" s="1" t="str">
        <f t="shared" si="192"/>
        <v>20220906</v>
      </c>
      <c r="M1012" s="1" t="str">
        <f>"101350"</f>
        <v>101350</v>
      </c>
      <c r="N1012" s="1" t="s">
        <v>65</v>
      </c>
      <c r="O1012" s="1" t="s">
        <v>52</v>
      </c>
      <c r="P1012" s="1" t="s">
        <v>55</v>
      </c>
      <c r="Q1012" s="1">
        <v>25</v>
      </c>
      <c r="R1012" s="1">
        <v>0</v>
      </c>
      <c r="S1012" s="1">
        <v>25</v>
      </c>
      <c r="T1012" s="1">
        <v>0</v>
      </c>
      <c r="U1012" s="1">
        <v>0</v>
      </c>
      <c r="V1012" s="1" t="str">
        <f t="shared" si="193"/>
        <v>里程返程</v>
      </c>
      <c r="W1012" s="1" t="str">
        <f>"0820"</f>
        <v>0820</v>
      </c>
      <c r="X1012" s="1" t="s">
        <v>35</v>
      </c>
    </row>
    <row r="1013" spans="1:24" x14ac:dyDescent="0.3">
      <c r="A1013" s="1" t="str">
        <f t="shared" si="194"/>
        <v>59820</v>
      </c>
      <c r="B1013" s="1" t="s">
        <v>53</v>
      </c>
      <c r="C1013" s="1" t="s">
        <v>54</v>
      </c>
      <c r="D1013" s="1" t="str">
        <f t="shared" si="195"/>
        <v>9801</v>
      </c>
      <c r="E1013" s="1" t="s">
        <v>25</v>
      </c>
      <c r="F1013" s="1" t="str">
        <f>"A2636116B6880400C814002000000019"</f>
        <v>A2636116B6880400C814002000000019</v>
      </c>
      <c r="G1013" s="1" t="s">
        <v>64</v>
      </c>
      <c r="H1013" s="1" t="str">
        <f t="shared" si="191"/>
        <v>20220906</v>
      </c>
      <c r="I1013" s="1" t="str">
        <f>"095354"</f>
        <v>095354</v>
      </c>
      <c r="J1013" s="1" t="s">
        <v>28</v>
      </c>
      <c r="K1013" s="1" t="s">
        <v>28</v>
      </c>
      <c r="L1013" s="1" t="str">
        <f t="shared" si="192"/>
        <v>20220906</v>
      </c>
      <c r="M1013" s="1" t="str">
        <f>"102235"</f>
        <v>102235</v>
      </c>
      <c r="N1013" s="1" t="s">
        <v>52</v>
      </c>
      <c r="O1013" s="1" t="s">
        <v>52</v>
      </c>
      <c r="P1013" s="1" t="s">
        <v>55</v>
      </c>
      <c r="Q1013" s="1">
        <v>13</v>
      </c>
      <c r="R1013" s="1">
        <v>13</v>
      </c>
      <c r="S1013" s="1">
        <v>0</v>
      </c>
      <c r="T1013" s="1">
        <v>0</v>
      </c>
      <c r="U1013" s="1">
        <v>0</v>
      </c>
      <c r="V1013" s="1" t="str">
        <f t="shared" si="193"/>
        <v>里程返程</v>
      </c>
      <c r="W1013" s="1" t="str">
        <f>"0020"</f>
        <v>0020</v>
      </c>
      <c r="X1013" s="1" t="s">
        <v>29</v>
      </c>
    </row>
    <row r="1014" spans="1:24" x14ac:dyDescent="0.3">
      <c r="A1014" s="1" t="str">
        <f t="shared" si="194"/>
        <v>59820</v>
      </c>
      <c r="B1014" s="1" t="s">
        <v>53</v>
      </c>
      <c r="C1014" s="1" t="s">
        <v>54</v>
      </c>
      <c r="D1014" s="1" t="str">
        <f t="shared" si="195"/>
        <v>9801</v>
      </c>
      <c r="E1014" s="1" t="s">
        <v>25</v>
      </c>
      <c r="F1014" s="1" t="str">
        <f>"E2B8F418B6880400C821002000000019"</f>
        <v>E2B8F418B6880400C821002000000019</v>
      </c>
      <c r="G1014" s="1" t="s">
        <v>64</v>
      </c>
      <c r="H1014" s="1" t="str">
        <f t="shared" si="191"/>
        <v>20220906</v>
      </c>
      <c r="I1014" s="1" t="str">
        <f>"095400"</f>
        <v>095400</v>
      </c>
      <c r="J1014" s="1" t="s">
        <v>28</v>
      </c>
      <c r="K1014" s="1" t="s">
        <v>28</v>
      </c>
      <c r="L1014" s="1" t="str">
        <f t="shared" si="192"/>
        <v>20220906</v>
      </c>
      <c r="M1014" s="1" t="str">
        <f>"102233"</f>
        <v>102233</v>
      </c>
      <c r="N1014" s="1" t="s">
        <v>52</v>
      </c>
      <c r="O1014" s="1" t="s">
        <v>52</v>
      </c>
      <c r="P1014" s="1" t="s">
        <v>55</v>
      </c>
      <c r="Q1014" s="1">
        <v>13</v>
      </c>
      <c r="R1014" s="1">
        <v>13</v>
      </c>
      <c r="S1014" s="1">
        <v>0</v>
      </c>
      <c r="T1014" s="1">
        <v>0</v>
      </c>
      <c r="U1014" s="1">
        <v>0</v>
      </c>
      <c r="V1014" s="1" t="str">
        <f t="shared" si="193"/>
        <v>里程返程</v>
      </c>
      <c r="W1014" s="1" t="str">
        <f>"0020"</f>
        <v>0020</v>
      </c>
      <c r="X1014" s="1" t="s">
        <v>29</v>
      </c>
    </row>
    <row r="1015" spans="1:24" x14ac:dyDescent="0.3">
      <c r="A1015" s="1" t="str">
        <f t="shared" si="194"/>
        <v>59820</v>
      </c>
      <c r="B1015" s="1" t="s">
        <v>53</v>
      </c>
      <c r="C1015" s="1" t="s">
        <v>54</v>
      </c>
      <c r="D1015" s="1" t="str">
        <f t="shared" si="195"/>
        <v>9801</v>
      </c>
      <c r="E1015" s="1" t="s">
        <v>25</v>
      </c>
      <c r="F1015" s="1" t="str">
        <f>"F2C64D0E77880400C806002000000018"</f>
        <v>F2C64D0E77880400C806002000000018</v>
      </c>
      <c r="G1015" s="1" t="s">
        <v>58</v>
      </c>
      <c r="H1015" s="1" t="str">
        <f t="shared" si="191"/>
        <v>20220906</v>
      </c>
      <c r="I1015" s="1" t="str">
        <f>"095403"</f>
        <v>095403</v>
      </c>
      <c r="J1015" s="1" t="s">
        <v>28</v>
      </c>
      <c r="K1015" s="1" t="s">
        <v>28</v>
      </c>
      <c r="L1015" s="1" t="str">
        <f t="shared" si="192"/>
        <v>20220906</v>
      </c>
      <c r="M1015" s="1" t="str">
        <f>"101044"</f>
        <v>101044</v>
      </c>
      <c r="N1015" s="1" t="s">
        <v>80</v>
      </c>
      <c r="O1015" s="1" t="s">
        <v>52</v>
      </c>
      <c r="P1015" s="1" t="s">
        <v>55</v>
      </c>
      <c r="Q1015" s="1">
        <v>25</v>
      </c>
      <c r="R1015" s="1">
        <v>25</v>
      </c>
      <c r="S1015" s="1">
        <v>0</v>
      </c>
      <c r="T1015" s="1">
        <v>0</v>
      </c>
      <c r="U1015" s="1">
        <v>0</v>
      </c>
      <c r="V1015" s="1" t="str">
        <f t="shared" si="193"/>
        <v>里程返程</v>
      </c>
      <c r="W1015" s="1" t="str">
        <f>"0020"</f>
        <v>0020</v>
      </c>
      <c r="X1015" s="1" t="s">
        <v>29</v>
      </c>
    </row>
    <row r="1016" spans="1:24" x14ac:dyDescent="0.3">
      <c r="A1016" s="1" t="str">
        <f t="shared" si="194"/>
        <v>59820</v>
      </c>
      <c r="B1016" s="1" t="s">
        <v>53</v>
      </c>
      <c r="C1016" s="1" t="s">
        <v>54</v>
      </c>
      <c r="D1016" s="1" t="str">
        <f t="shared" si="195"/>
        <v>9801</v>
      </c>
      <c r="E1016" s="1" t="s">
        <v>25</v>
      </c>
      <c r="F1016" s="1" t="str">
        <f>"528167681"</f>
        <v>528167681</v>
      </c>
      <c r="G1016" s="1" t="s">
        <v>33</v>
      </c>
      <c r="H1016" s="1" t="str">
        <f t="shared" si="191"/>
        <v>20220906</v>
      </c>
      <c r="I1016" s="1" t="str">
        <f>"095410"</f>
        <v>095410</v>
      </c>
      <c r="J1016" s="1" t="s">
        <v>28</v>
      </c>
      <c r="K1016" s="1" t="s">
        <v>28</v>
      </c>
      <c r="L1016" s="1" t="str">
        <f t="shared" si="192"/>
        <v>20220906</v>
      </c>
      <c r="M1016" s="1" t="str">
        <f>"101336"</f>
        <v>101336</v>
      </c>
      <c r="N1016" s="1" t="s">
        <v>65</v>
      </c>
      <c r="O1016" s="1" t="s">
        <v>52</v>
      </c>
      <c r="P1016" s="1" t="s">
        <v>55</v>
      </c>
      <c r="Q1016" s="1">
        <v>25</v>
      </c>
      <c r="R1016" s="1">
        <v>25</v>
      </c>
      <c r="S1016" s="1">
        <v>0</v>
      </c>
      <c r="T1016" s="1">
        <v>0</v>
      </c>
      <c r="U1016" s="1">
        <v>0</v>
      </c>
      <c r="V1016" s="1" t="str">
        <f t="shared" si="193"/>
        <v>里程返程</v>
      </c>
      <c r="W1016" s="1" t="str">
        <f>"2020"</f>
        <v>2020</v>
      </c>
      <c r="X1016" s="1" t="s">
        <v>35</v>
      </c>
    </row>
    <row r="1017" spans="1:24" x14ac:dyDescent="0.3">
      <c r="A1017" s="1" t="str">
        <f t="shared" si="194"/>
        <v>59820</v>
      </c>
      <c r="B1017" s="1" t="s">
        <v>53</v>
      </c>
      <c r="C1017" s="1" t="s">
        <v>54</v>
      </c>
      <c r="D1017" s="1" t="str">
        <f t="shared" si="195"/>
        <v>9801</v>
      </c>
      <c r="E1017" s="1" t="s">
        <v>25</v>
      </c>
      <c r="F1017" s="1" t="str">
        <f>"1423105809"</f>
        <v>1423105809</v>
      </c>
      <c r="G1017" s="1" t="s">
        <v>33</v>
      </c>
      <c r="H1017" s="1" t="str">
        <f t="shared" si="191"/>
        <v>20220906</v>
      </c>
      <c r="I1017" s="1" t="str">
        <f>"105353"</f>
        <v>105353</v>
      </c>
      <c r="J1017" s="1" t="s">
        <v>28</v>
      </c>
      <c r="K1017" s="1" t="s">
        <v>28</v>
      </c>
      <c r="L1017" s="1" t="str">
        <f t="shared" si="192"/>
        <v>20220906</v>
      </c>
      <c r="M1017" s="1" t="str">
        <f>"112201"</f>
        <v>112201</v>
      </c>
      <c r="N1017" s="1" t="s">
        <v>60</v>
      </c>
      <c r="O1017" s="1" t="s">
        <v>52</v>
      </c>
      <c r="P1017" s="1" t="s">
        <v>55</v>
      </c>
      <c r="Q1017" s="1">
        <v>25</v>
      </c>
      <c r="R1017" s="1">
        <v>0</v>
      </c>
      <c r="S1017" s="1">
        <v>25</v>
      </c>
      <c r="T1017" s="1">
        <v>0</v>
      </c>
      <c r="U1017" s="1">
        <v>0</v>
      </c>
      <c r="V1017" s="1" t="str">
        <f t="shared" si="193"/>
        <v>里程返程</v>
      </c>
      <c r="W1017" s="1" t="str">
        <f>"0820"</f>
        <v>0820</v>
      </c>
      <c r="X1017" s="1" t="s">
        <v>35</v>
      </c>
    </row>
    <row r="1018" spans="1:24" x14ac:dyDescent="0.3">
      <c r="A1018" s="1" t="str">
        <f t="shared" si="194"/>
        <v>59820</v>
      </c>
      <c r="B1018" s="1" t="s">
        <v>53</v>
      </c>
      <c r="C1018" s="1" t="s">
        <v>54</v>
      </c>
      <c r="D1018" s="1" t="str">
        <f t="shared" si="195"/>
        <v>9801</v>
      </c>
      <c r="E1018" s="1" t="s">
        <v>25</v>
      </c>
      <c r="F1018" s="1" t="str">
        <f>"32780D0344880400C834002000000015"</f>
        <v>32780D0344880400C834002000000015</v>
      </c>
      <c r="G1018" s="1" t="s">
        <v>26</v>
      </c>
      <c r="H1018" s="1" t="str">
        <f t="shared" si="191"/>
        <v>20220906</v>
      </c>
      <c r="I1018" s="1" t="str">
        <f>"113136"</f>
        <v>113136</v>
      </c>
      <c r="J1018" s="1" t="s">
        <v>44</v>
      </c>
      <c r="K1018" s="1" t="s">
        <v>45</v>
      </c>
      <c r="L1018" s="1" t="str">
        <f t="shared" si="192"/>
        <v>20220906</v>
      </c>
      <c r="M1018" s="1" t="str">
        <f>"115053"</f>
        <v>115053</v>
      </c>
      <c r="N1018" s="1" t="s">
        <v>95</v>
      </c>
      <c r="O1018" s="1" t="s">
        <v>28</v>
      </c>
      <c r="P1018" s="1" t="s">
        <v>68</v>
      </c>
      <c r="Q1018" s="1">
        <v>13</v>
      </c>
      <c r="R1018" s="1">
        <v>0</v>
      </c>
      <c r="S1018" s="1">
        <v>0</v>
      </c>
      <c r="T1018" s="1">
        <v>13</v>
      </c>
      <c r="U1018" s="1">
        <v>0</v>
      </c>
      <c r="V1018" s="1" t="str">
        <f t="shared" si="193"/>
        <v>里程返程</v>
      </c>
      <c r="W1018" s="1" t="str">
        <f>"0020"</f>
        <v>0020</v>
      </c>
      <c r="X1018" s="1" t="s">
        <v>29</v>
      </c>
    </row>
    <row r="1019" spans="1:24" x14ac:dyDescent="0.3">
      <c r="A1019" s="1" t="str">
        <f t="shared" si="194"/>
        <v>59820</v>
      </c>
      <c r="B1019" s="1" t="s">
        <v>53</v>
      </c>
      <c r="C1019" s="1" t="s">
        <v>54</v>
      </c>
      <c r="D1019" s="1" t="str">
        <f t="shared" si="195"/>
        <v>9801</v>
      </c>
      <c r="E1019" s="1" t="s">
        <v>25</v>
      </c>
      <c r="F1019" s="1" t="str">
        <f>"21E2C345452804001C00000000000000"</f>
        <v>21E2C345452804001C00000000000000</v>
      </c>
      <c r="G1019" s="1" t="s">
        <v>58</v>
      </c>
      <c r="H1019" s="1" t="str">
        <f t="shared" si="191"/>
        <v>20220906</v>
      </c>
      <c r="I1019" s="1" t="str">
        <f>"113532"</f>
        <v>113532</v>
      </c>
      <c r="J1019" s="1" t="s">
        <v>100</v>
      </c>
      <c r="K1019" s="1" t="s">
        <v>45</v>
      </c>
      <c r="L1019" s="1" t="str">
        <f t="shared" si="192"/>
        <v>20220906</v>
      </c>
      <c r="M1019" s="1" t="str">
        <f>"115210"</f>
        <v>115210</v>
      </c>
      <c r="N1019" s="1" t="s">
        <v>28</v>
      </c>
      <c r="O1019" s="1" t="s">
        <v>28</v>
      </c>
      <c r="P1019" s="1" t="s">
        <v>55</v>
      </c>
      <c r="Q1019" s="1">
        <v>25</v>
      </c>
      <c r="R1019" s="1">
        <v>25</v>
      </c>
      <c r="S1019" s="1">
        <v>0</v>
      </c>
      <c r="T1019" s="1">
        <v>0</v>
      </c>
      <c r="U1019" s="1">
        <v>0</v>
      </c>
      <c r="V1019" s="1" t="str">
        <f t="shared" si="193"/>
        <v>里程返程</v>
      </c>
      <c r="W1019" s="1" t="str">
        <f>"0020"</f>
        <v>0020</v>
      </c>
      <c r="X1019" s="1" t="s">
        <v>29</v>
      </c>
    </row>
    <row r="1020" spans="1:24" x14ac:dyDescent="0.3">
      <c r="A1020" s="1" t="str">
        <f t="shared" si="194"/>
        <v>59820</v>
      </c>
      <c r="B1020" s="1" t="s">
        <v>53</v>
      </c>
      <c r="C1020" s="1" t="s">
        <v>54</v>
      </c>
      <c r="D1020" s="1" t="str">
        <f t="shared" si="195"/>
        <v>9801</v>
      </c>
      <c r="E1020" s="1" t="s">
        <v>25</v>
      </c>
      <c r="F1020" s="1" t="str">
        <f>"1245851505"</f>
        <v>1245851505</v>
      </c>
      <c r="G1020" s="1" t="s">
        <v>33</v>
      </c>
      <c r="H1020" s="1" t="str">
        <f t="shared" si="191"/>
        <v>20220906</v>
      </c>
      <c r="I1020" s="1" t="str">
        <f>"113536"</f>
        <v>113536</v>
      </c>
      <c r="J1020" s="1" t="s">
        <v>100</v>
      </c>
      <c r="K1020" s="1" t="s">
        <v>45</v>
      </c>
      <c r="L1020" s="1" t="str">
        <f t="shared" si="192"/>
        <v>20220906</v>
      </c>
      <c r="M1020" s="1" t="str">
        <f>"115214"</f>
        <v>115214</v>
      </c>
      <c r="N1020" s="1" t="s">
        <v>28</v>
      </c>
      <c r="O1020" s="1" t="s">
        <v>28</v>
      </c>
      <c r="P1020" s="1" t="s">
        <v>55</v>
      </c>
      <c r="Q1020" s="1">
        <v>25</v>
      </c>
      <c r="R1020" s="1">
        <v>25</v>
      </c>
      <c r="S1020" s="1">
        <v>0</v>
      </c>
      <c r="T1020" s="1">
        <v>0</v>
      </c>
      <c r="U1020" s="1">
        <v>0</v>
      </c>
      <c r="V1020" s="1" t="str">
        <f t="shared" si="193"/>
        <v>里程返程</v>
      </c>
      <c r="W1020" s="1" t="str">
        <f>"2120"</f>
        <v>2120</v>
      </c>
      <c r="X1020" s="1" t="s">
        <v>35</v>
      </c>
    </row>
    <row r="1021" spans="1:24" x14ac:dyDescent="0.3">
      <c r="A1021" s="1" t="str">
        <f t="shared" si="194"/>
        <v>59820</v>
      </c>
      <c r="B1021" s="1" t="s">
        <v>53</v>
      </c>
      <c r="C1021" s="1" t="s">
        <v>54</v>
      </c>
      <c r="D1021" s="1" t="str">
        <f t="shared" si="195"/>
        <v>9801</v>
      </c>
      <c r="E1021" s="1" t="s">
        <v>25</v>
      </c>
      <c r="F1021" s="1" t="str">
        <f>"1734163957"</f>
        <v>1734163957</v>
      </c>
      <c r="G1021" s="1" t="s">
        <v>33</v>
      </c>
      <c r="H1021" s="1" t="str">
        <f t="shared" si="191"/>
        <v>20220906</v>
      </c>
      <c r="I1021" s="1" t="str">
        <f>"114126"</f>
        <v>114126</v>
      </c>
      <c r="J1021" s="1" t="s">
        <v>56</v>
      </c>
      <c r="K1021" s="1" t="s">
        <v>45</v>
      </c>
      <c r="L1021" s="1" t="str">
        <f t="shared" si="192"/>
        <v>20220906</v>
      </c>
      <c r="M1021" s="1" t="str">
        <f>"115206"</f>
        <v>115206</v>
      </c>
      <c r="N1021" s="1" t="s">
        <v>28</v>
      </c>
      <c r="O1021" s="1" t="s">
        <v>28</v>
      </c>
      <c r="P1021" s="1" t="s">
        <v>55</v>
      </c>
      <c r="Q1021" s="1">
        <v>25</v>
      </c>
      <c r="R1021" s="1">
        <v>25</v>
      </c>
      <c r="S1021" s="1">
        <v>0</v>
      </c>
      <c r="T1021" s="1">
        <v>0</v>
      </c>
      <c r="U1021" s="1">
        <v>0</v>
      </c>
      <c r="V1021" s="1" t="str">
        <f t="shared" si="193"/>
        <v>里程返程</v>
      </c>
      <c r="W1021" s="1" t="str">
        <f>"2020"</f>
        <v>2020</v>
      </c>
      <c r="X1021" s="1" t="s">
        <v>35</v>
      </c>
    </row>
    <row r="1022" spans="1:24" x14ac:dyDescent="0.3">
      <c r="A1022" s="1" t="str">
        <f t="shared" si="194"/>
        <v>59820</v>
      </c>
      <c r="B1022" s="1" t="s">
        <v>53</v>
      </c>
      <c r="C1022" s="1" t="s">
        <v>54</v>
      </c>
      <c r="D1022" s="1" t="str">
        <f t="shared" si="195"/>
        <v>9801</v>
      </c>
      <c r="E1022" s="1" t="s">
        <v>25</v>
      </c>
      <c r="F1022" s="1" t="str">
        <f>"106361633"</f>
        <v>106361633</v>
      </c>
      <c r="G1022" s="1" t="s">
        <v>26</v>
      </c>
      <c r="H1022" s="1" t="str">
        <f t="shared" si="191"/>
        <v>20220906</v>
      </c>
      <c r="I1022" s="1" t="str">
        <f>"115238"</f>
        <v>115238</v>
      </c>
      <c r="J1022" s="1" t="s">
        <v>28</v>
      </c>
      <c r="K1022" s="1" t="s">
        <v>28</v>
      </c>
      <c r="L1022" s="1" t="str">
        <f t="shared" si="192"/>
        <v>20220906</v>
      </c>
      <c r="M1022" s="1" t="str">
        <f>"120344"</f>
        <v>120344</v>
      </c>
      <c r="N1022" s="1" t="s">
        <v>67</v>
      </c>
      <c r="O1022" s="1" t="s">
        <v>52</v>
      </c>
      <c r="P1022" s="1" t="s">
        <v>55</v>
      </c>
      <c r="Q1022" s="1">
        <v>13</v>
      </c>
      <c r="R1022" s="1">
        <v>13</v>
      </c>
      <c r="S1022" s="1">
        <v>0</v>
      </c>
      <c r="T1022" s="1">
        <v>0</v>
      </c>
      <c r="U1022" s="1">
        <v>0</v>
      </c>
      <c r="V1022" s="1" t="str">
        <f t="shared" si="193"/>
        <v>里程返程</v>
      </c>
      <c r="W1022" s="1" t="str">
        <f>"0120"</f>
        <v>0120</v>
      </c>
      <c r="X1022" s="1" t="s">
        <v>35</v>
      </c>
    </row>
    <row r="1023" spans="1:24" x14ac:dyDescent="0.3">
      <c r="A1023" s="1" t="str">
        <f t="shared" si="194"/>
        <v>59820</v>
      </c>
      <c r="B1023" s="1" t="s">
        <v>53</v>
      </c>
      <c r="C1023" s="1" t="s">
        <v>54</v>
      </c>
      <c r="D1023" s="1" t="str">
        <f t="shared" si="195"/>
        <v>9801</v>
      </c>
      <c r="E1023" s="1" t="s">
        <v>25</v>
      </c>
      <c r="F1023" s="1" t="str">
        <f>"1754328245"</f>
        <v>1754328245</v>
      </c>
      <c r="G1023" s="1" t="s">
        <v>26</v>
      </c>
      <c r="H1023" s="1" t="str">
        <f t="shared" si="191"/>
        <v>20220906</v>
      </c>
      <c r="I1023" s="1" t="str">
        <f>"115253"</f>
        <v>115253</v>
      </c>
      <c r="J1023" s="1" t="s">
        <v>28</v>
      </c>
      <c r="K1023" s="1" t="s">
        <v>28</v>
      </c>
      <c r="L1023" s="1" t="str">
        <f t="shared" si="192"/>
        <v>20220906</v>
      </c>
      <c r="M1023" s="1" t="str">
        <f>"120337"</f>
        <v>120337</v>
      </c>
      <c r="N1023" s="1" t="s">
        <v>67</v>
      </c>
      <c r="O1023" s="1" t="s">
        <v>52</v>
      </c>
      <c r="P1023" s="1" t="s">
        <v>55</v>
      </c>
      <c r="Q1023" s="1">
        <v>13</v>
      </c>
      <c r="R1023" s="1">
        <v>13</v>
      </c>
      <c r="S1023" s="1">
        <v>0</v>
      </c>
      <c r="T1023" s="1">
        <v>0</v>
      </c>
      <c r="U1023" s="1">
        <v>0</v>
      </c>
      <c r="V1023" s="1" t="str">
        <f t="shared" si="193"/>
        <v>里程返程</v>
      </c>
      <c r="W1023" s="1" t="str">
        <f>"0120"</f>
        <v>0120</v>
      </c>
      <c r="X1023" s="1" t="s">
        <v>35</v>
      </c>
    </row>
    <row r="1024" spans="1:24" x14ac:dyDescent="0.3">
      <c r="A1024" s="1" t="str">
        <f t="shared" si="194"/>
        <v>59820</v>
      </c>
      <c r="B1024" s="1" t="s">
        <v>53</v>
      </c>
      <c r="C1024" s="1" t="s">
        <v>54</v>
      </c>
      <c r="D1024" s="1" t="str">
        <f t="shared" si="195"/>
        <v>9801</v>
      </c>
      <c r="E1024" s="1" t="s">
        <v>25</v>
      </c>
      <c r="F1024" s="1" t="str">
        <f>"8201E70266880400C834002000000015"</f>
        <v>8201E70266880400C834002000000015</v>
      </c>
      <c r="G1024" s="1" t="s">
        <v>74</v>
      </c>
      <c r="H1024" s="1" t="str">
        <f t="shared" si="191"/>
        <v>20220906</v>
      </c>
      <c r="I1024" s="1" t="str">
        <f>"115355"</f>
        <v>115355</v>
      </c>
      <c r="J1024" s="1" t="s">
        <v>28</v>
      </c>
      <c r="K1024" s="1" t="s">
        <v>28</v>
      </c>
      <c r="L1024" s="1" t="str">
        <f t="shared" si="192"/>
        <v>20220906</v>
      </c>
      <c r="M1024" s="1" t="str">
        <f>"121709"</f>
        <v>121709</v>
      </c>
      <c r="N1024" s="1" t="s">
        <v>51</v>
      </c>
      <c r="O1024" s="1" t="s">
        <v>52</v>
      </c>
      <c r="P1024" s="1" t="s">
        <v>68</v>
      </c>
      <c r="Q1024" s="1">
        <v>13</v>
      </c>
      <c r="R1024" s="1">
        <v>0</v>
      </c>
      <c r="S1024" s="1">
        <v>0</v>
      </c>
      <c r="T1024" s="1">
        <v>13</v>
      </c>
      <c r="U1024" s="1">
        <v>0</v>
      </c>
      <c r="V1024" s="1" t="str">
        <f t="shared" si="193"/>
        <v>里程返程</v>
      </c>
      <c r="W1024" s="1" t="str">
        <f>"0020"</f>
        <v>0020</v>
      </c>
      <c r="X1024" s="1" t="s">
        <v>29</v>
      </c>
    </row>
    <row r="1025" spans="1:24" x14ac:dyDescent="0.3">
      <c r="A1025" s="1" t="str">
        <f t="shared" si="194"/>
        <v>59820</v>
      </c>
      <c r="B1025" s="1" t="s">
        <v>53</v>
      </c>
      <c r="C1025" s="1" t="s">
        <v>54</v>
      </c>
      <c r="D1025" s="1" t="str">
        <f t="shared" si="195"/>
        <v>9801</v>
      </c>
      <c r="E1025" s="1" t="s">
        <v>25</v>
      </c>
      <c r="F1025" s="1" t="str">
        <f>"F2C64D0E77880400C806002000000018"</f>
        <v>F2C64D0E77880400C806002000000018</v>
      </c>
      <c r="G1025" s="1" t="s">
        <v>58</v>
      </c>
      <c r="H1025" s="1" t="str">
        <f t="shared" si="191"/>
        <v>20220906</v>
      </c>
      <c r="I1025" s="1" t="str">
        <f>"120945"</f>
        <v>120945</v>
      </c>
      <c r="J1025" s="1" t="s">
        <v>80</v>
      </c>
      <c r="K1025" s="1" t="s">
        <v>52</v>
      </c>
      <c r="L1025" s="1" t="str">
        <f t="shared" si="192"/>
        <v>20220906</v>
      </c>
      <c r="M1025" s="1" t="str">
        <f>"121853"</f>
        <v>121853</v>
      </c>
      <c r="N1025" s="1" t="s">
        <v>60</v>
      </c>
      <c r="O1025" s="1" t="s">
        <v>52</v>
      </c>
      <c r="P1025" s="1" t="s">
        <v>55</v>
      </c>
      <c r="Q1025" s="1">
        <v>25</v>
      </c>
      <c r="R1025" s="1">
        <v>25</v>
      </c>
      <c r="S1025" s="1">
        <v>0</v>
      </c>
      <c r="T1025" s="1">
        <v>0</v>
      </c>
      <c r="U1025" s="1">
        <v>0</v>
      </c>
      <c r="V1025" s="1" t="str">
        <f t="shared" si="193"/>
        <v>里程返程</v>
      </c>
      <c r="W1025" s="1" t="str">
        <f>"0020"</f>
        <v>0020</v>
      </c>
      <c r="X1025" s="1" t="s">
        <v>29</v>
      </c>
    </row>
    <row r="1026" spans="1:24" x14ac:dyDescent="0.3">
      <c r="A1026" s="1" t="str">
        <f t="shared" si="194"/>
        <v>59820</v>
      </c>
      <c r="B1026" s="1" t="s">
        <v>53</v>
      </c>
      <c r="C1026" s="1" t="s">
        <v>54</v>
      </c>
      <c r="D1026" s="1" t="str">
        <f t="shared" ref="D1026:D1031" si="196">"9803"</f>
        <v>9803</v>
      </c>
      <c r="E1026" s="1" t="s">
        <v>32</v>
      </c>
      <c r="F1026" s="1" t="str">
        <f>"234685749"</f>
        <v>234685749</v>
      </c>
      <c r="G1026" s="1" t="s">
        <v>33</v>
      </c>
      <c r="H1026" s="1" t="str">
        <f t="shared" si="191"/>
        <v>20220906</v>
      </c>
      <c r="I1026" s="1" t="str">
        <f>"154046"</f>
        <v>154046</v>
      </c>
      <c r="J1026" s="1" t="s">
        <v>34</v>
      </c>
      <c r="K1026" s="1" t="s">
        <v>34</v>
      </c>
      <c r="L1026" s="1" t="str">
        <f t="shared" si="192"/>
        <v>20220906</v>
      </c>
      <c r="M1026" s="1" t="str">
        <f>"160830"</f>
        <v>160830</v>
      </c>
      <c r="N1026" s="1" t="s">
        <v>28</v>
      </c>
      <c r="O1026" s="1" t="s">
        <v>28</v>
      </c>
      <c r="P1026" s="1" t="s">
        <v>55</v>
      </c>
      <c r="Q1026" s="1">
        <v>25</v>
      </c>
      <c r="R1026" s="1">
        <v>25</v>
      </c>
      <c r="S1026" s="1">
        <v>0</v>
      </c>
      <c r="T1026" s="1">
        <v>0</v>
      </c>
      <c r="U1026" s="1">
        <v>0</v>
      </c>
      <c r="V1026" s="1" t="str">
        <f t="shared" si="193"/>
        <v>里程返程</v>
      </c>
      <c r="W1026" s="1" t="str">
        <f>"2020"</f>
        <v>2020</v>
      </c>
      <c r="X1026" s="1" t="s">
        <v>35</v>
      </c>
    </row>
    <row r="1027" spans="1:24" x14ac:dyDescent="0.3">
      <c r="A1027" s="1" t="str">
        <f t="shared" si="194"/>
        <v>59820</v>
      </c>
      <c r="B1027" s="1" t="s">
        <v>53</v>
      </c>
      <c r="C1027" s="1" t="s">
        <v>54</v>
      </c>
      <c r="D1027" s="1" t="str">
        <f t="shared" si="196"/>
        <v>9803</v>
      </c>
      <c r="E1027" s="1" t="s">
        <v>32</v>
      </c>
      <c r="F1027" s="1" t="str">
        <f>"612707375"</f>
        <v>612707375</v>
      </c>
      <c r="G1027" s="1" t="s">
        <v>33</v>
      </c>
      <c r="H1027" s="1" t="str">
        <f t="shared" si="191"/>
        <v>20220906</v>
      </c>
      <c r="I1027" s="1" t="str">
        <f>"154059"</f>
        <v>154059</v>
      </c>
      <c r="J1027" s="1" t="s">
        <v>34</v>
      </c>
      <c r="K1027" s="1" t="s">
        <v>34</v>
      </c>
      <c r="L1027" s="1" t="str">
        <f t="shared" si="192"/>
        <v>20220906</v>
      </c>
      <c r="M1027" s="1" t="str">
        <f>"160823"</f>
        <v>160823</v>
      </c>
      <c r="N1027" s="1" t="s">
        <v>28</v>
      </c>
      <c r="O1027" s="1" t="s">
        <v>28</v>
      </c>
      <c r="P1027" s="1" t="s">
        <v>55</v>
      </c>
      <c r="Q1027" s="1">
        <v>25</v>
      </c>
      <c r="R1027" s="1">
        <v>25</v>
      </c>
      <c r="S1027" s="1">
        <v>0</v>
      </c>
      <c r="T1027" s="1">
        <v>0</v>
      </c>
      <c r="U1027" s="1">
        <v>0</v>
      </c>
      <c r="V1027" s="1" t="str">
        <f t="shared" si="193"/>
        <v>里程返程</v>
      </c>
      <c r="W1027" s="1" t="str">
        <f>"2020"</f>
        <v>2020</v>
      </c>
      <c r="X1027" s="1" t="s">
        <v>35</v>
      </c>
    </row>
    <row r="1028" spans="1:24" x14ac:dyDescent="0.3">
      <c r="A1028" s="1" t="str">
        <f t="shared" si="194"/>
        <v>59820</v>
      </c>
      <c r="B1028" s="1" t="s">
        <v>53</v>
      </c>
      <c r="C1028" s="1" t="s">
        <v>54</v>
      </c>
      <c r="D1028" s="1" t="str">
        <f t="shared" si="196"/>
        <v>9803</v>
      </c>
      <c r="E1028" s="1" t="s">
        <v>32</v>
      </c>
      <c r="F1028" s="1" t="str">
        <f>"B10553E4038804004323C40E00190B0D"</f>
        <v>B10553E4038804004323C40E00190B0D</v>
      </c>
      <c r="G1028" s="1" t="s">
        <v>58</v>
      </c>
      <c r="H1028" s="1" t="str">
        <f t="shared" si="191"/>
        <v>20220906</v>
      </c>
      <c r="I1028" s="1" t="str">
        <f>"154111"</f>
        <v>154111</v>
      </c>
      <c r="J1028" s="1" t="s">
        <v>34</v>
      </c>
      <c r="K1028" s="1" t="s">
        <v>34</v>
      </c>
      <c r="L1028" s="1" t="str">
        <f t="shared" si="192"/>
        <v>20220906</v>
      </c>
      <c r="M1028" s="1" t="str">
        <f>"160819"</f>
        <v>160819</v>
      </c>
      <c r="N1028" s="1" t="s">
        <v>28</v>
      </c>
      <c r="O1028" s="1" t="s">
        <v>28</v>
      </c>
      <c r="P1028" s="1" t="s">
        <v>55</v>
      </c>
      <c r="Q1028" s="1">
        <v>25</v>
      </c>
      <c r="R1028" s="1">
        <v>25</v>
      </c>
      <c r="S1028" s="1">
        <v>0</v>
      </c>
      <c r="T1028" s="1">
        <v>0</v>
      </c>
      <c r="U1028" s="1">
        <v>0</v>
      </c>
      <c r="V1028" s="1" t="str">
        <f t="shared" si="193"/>
        <v>里程返程</v>
      </c>
      <c r="W1028" s="1" t="str">
        <f>"0020"</f>
        <v>0020</v>
      </c>
      <c r="X1028" s="1" t="s">
        <v>29</v>
      </c>
    </row>
    <row r="1029" spans="1:24" x14ac:dyDescent="0.3">
      <c r="A1029" s="1" t="str">
        <f t="shared" si="194"/>
        <v>59820</v>
      </c>
      <c r="B1029" s="1" t="s">
        <v>53</v>
      </c>
      <c r="C1029" s="1" t="s">
        <v>54</v>
      </c>
      <c r="D1029" s="1" t="str">
        <f t="shared" si="196"/>
        <v>9803</v>
      </c>
      <c r="E1029" s="1" t="s">
        <v>32</v>
      </c>
      <c r="F1029" s="1" t="str">
        <f>"1410811905"</f>
        <v>1410811905</v>
      </c>
      <c r="G1029" s="1" t="s">
        <v>74</v>
      </c>
      <c r="H1029" s="1" t="str">
        <f t="shared" si="191"/>
        <v>20220906</v>
      </c>
      <c r="I1029" s="1" t="str">
        <f>"154116"</f>
        <v>154116</v>
      </c>
      <c r="J1029" s="1" t="s">
        <v>34</v>
      </c>
      <c r="K1029" s="1" t="s">
        <v>34</v>
      </c>
      <c r="L1029" s="1" t="str">
        <f t="shared" si="192"/>
        <v>20220906</v>
      </c>
      <c r="M1029" s="1" t="str">
        <f>"160834"</f>
        <v>160834</v>
      </c>
      <c r="N1029" s="1" t="s">
        <v>28</v>
      </c>
      <c r="O1029" s="1" t="s">
        <v>28</v>
      </c>
      <c r="P1029" s="1" t="s">
        <v>55</v>
      </c>
      <c r="Q1029" s="1">
        <v>13</v>
      </c>
      <c r="R1029" s="1">
        <v>13</v>
      </c>
      <c r="S1029" s="1">
        <v>0</v>
      </c>
      <c r="T1029" s="1">
        <v>0</v>
      </c>
      <c r="U1029" s="1">
        <v>0</v>
      </c>
      <c r="V1029" s="1" t="str">
        <f t="shared" si="193"/>
        <v>里程返程</v>
      </c>
      <c r="W1029" s="1" t="str">
        <f>"2020"</f>
        <v>2020</v>
      </c>
      <c r="X1029" s="1" t="s">
        <v>35</v>
      </c>
    </row>
    <row r="1030" spans="1:24" x14ac:dyDescent="0.3">
      <c r="A1030" s="1" t="str">
        <f t="shared" si="194"/>
        <v>59820</v>
      </c>
      <c r="B1030" s="1" t="s">
        <v>53</v>
      </c>
      <c r="C1030" s="1" t="s">
        <v>54</v>
      </c>
      <c r="D1030" s="1" t="str">
        <f t="shared" si="196"/>
        <v>9803</v>
      </c>
      <c r="E1030" s="1" t="s">
        <v>32</v>
      </c>
      <c r="F1030" s="1" t="str">
        <f>"1099095077"</f>
        <v>1099095077</v>
      </c>
      <c r="G1030" s="1" t="s">
        <v>38</v>
      </c>
      <c r="H1030" s="1" t="str">
        <f t="shared" si="191"/>
        <v>20220906</v>
      </c>
      <c r="I1030" s="1" t="str">
        <f>"154119"</f>
        <v>154119</v>
      </c>
      <c r="J1030" s="1" t="s">
        <v>34</v>
      </c>
      <c r="K1030" s="1" t="s">
        <v>34</v>
      </c>
      <c r="L1030" s="1" t="str">
        <f t="shared" si="192"/>
        <v>20220906</v>
      </c>
      <c r="M1030" s="1" t="str">
        <f>"160837"</f>
        <v>160837</v>
      </c>
      <c r="N1030" s="1" t="s">
        <v>28</v>
      </c>
      <c r="O1030" s="1" t="s">
        <v>28</v>
      </c>
      <c r="P1030" s="1" t="s">
        <v>55</v>
      </c>
      <c r="Q1030" s="1">
        <v>25</v>
      </c>
      <c r="R1030" s="1">
        <v>25</v>
      </c>
      <c r="S1030" s="1">
        <v>0</v>
      </c>
      <c r="T1030" s="1">
        <v>0</v>
      </c>
      <c r="U1030" s="1">
        <v>0</v>
      </c>
      <c r="V1030" s="1" t="str">
        <f t="shared" si="193"/>
        <v>里程返程</v>
      </c>
      <c r="W1030" s="1" t="str">
        <f>"2020"</f>
        <v>2020</v>
      </c>
      <c r="X1030" s="1" t="s">
        <v>35</v>
      </c>
    </row>
    <row r="1031" spans="1:24" x14ac:dyDescent="0.3">
      <c r="A1031" s="1" t="str">
        <f t="shared" si="194"/>
        <v>59820</v>
      </c>
      <c r="B1031" s="1" t="s">
        <v>53</v>
      </c>
      <c r="C1031" s="1" t="s">
        <v>54</v>
      </c>
      <c r="D1031" s="1" t="str">
        <f t="shared" si="196"/>
        <v>9803</v>
      </c>
      <c r="E1031" s="1" t="s">
        <v>32</v>
      </c>
      <c r="F1031" s="1" t="str">
        <f>"1205824277"</f>
        <v>1205824277</v>
      </c>
      <c r="G1031" s="1" t="s">
        <v>38</v>
      </c>
      <c r="H1031" s="1" t="str">
        <f t="shared" si="191"/>
        <v>20220906</v>
      </c>
      <c r="I1031" s="1" t="str">
        <f>"154521"</f>
        <v>154521</v>
      </c>
      <c r="J1031" s="1" t="s">
        <v>73</v>
      </c>
      <c r="K1031" s="1" t="s">
        <v>28</v>
      </c>
      <c r="L1031" s="1" t="str">
        <f t="shared" si="192"/>
        <v>20220906</v>
      </c>
      <c r="M1031" s="1" t="str">
        <f>"160053"</f>
        <v>160053</v>
      </c>
      <c r="N1031" s="1" t="s">
        <v>92</v>
      </c>
      <c r="O1031" s="1" t="s">
        <v>28</v>
      </c>
      <c r="P1031" s="1" t="s">
        <v>55</v>
      </c>
      <c r="Q1031" s="1">
        <v>25</v>
      </c>
      <c r="R1031" s="1">
        <v>0</v>
      </c>
      <c r="S1031" s="1">
        <v>25</v>
      </c>
      <c r="T1031" s="1">
        <v>0</v>
      </c>
      <c r="U1031" s="1">
        <v>0</v>
      </c>
      <c r="V1031" s="1" t="str">
        <f t="shared" si="193"/>
        <v>里程返程</v>
      </c>
      <c r="W1031" s="1" t="str">
        <f>"2120"</f>
        <v>2120</v>
      </c>
      <c r="X1031" s="1" t="s">
        <v>35</v>
      </c>
    </row>
    <row r="1032" spans="1:24" x14ac:dyDescent="0.3">
      <c r="A1032" s="1" t="str">
        <f t="shared" si="194"/>
        <v>59820</v>
      </c>
      <c r="B1032" s="1" t="s">
        <v>53</v>
      </c>
      <c r="C1032" s="1" t="s">
        <v>54</v>
      </c>
      <c r="D1032" s="1" t="str">
        <f>"9806"</f>
        <v>9806</v>
      </c>
      <c r="E1032" s="1" t="s">
        <v>49</v>
      </c>
      <c r="F1032" s="1" t="str">
        <f>"1202E702F5880400C834002000000015"</f>
        <v>1202E702F5880400C834002000000015</v>
      </c>
      <c r="G1032" s="1" t="s">
        <v>74</v>
      </c>
      <c r="H1032" s="1" t="str">
        <f t="shared" si="191"/>
        <v>20220906</v>
      </c>
      <c r="I1032" s="1" t="str">
        <f>"163453"</f>
        <v>163453</v>
      </c>
      <c r="J1032" s="1" t="s">
        <v>76</v>
      </c>
      <c r="K1032" s="1" t="s">
        <v>28</v>
      </c>
      <c r="L1032" s="1" t="str">
        <f t="shared" si="192"/>
        <v>20220906</v>
      </c>
      <c r="M1032" s="1" t="str">
        <f>"164851"</f>
        <v>164851</v>
      </c>
      <c r="N1032" s="1" t="s">
        <v>84</v>
      </c>
      <c r="O1032" s="1" t="s">
        <v>28</v>
      </c>
      <c r="P1032" s="1" t="s">
        <v>68</v>
      </c>
      <c r="Q1032" s="1">
        <v>13</v>
      </c>
      <c r="R1032" s="1">
        <v>0</v>
      </c>
      <c r="S1032" s="1">
        <v>0</v>
      </c>
      <c r="T1032" s="1">
        <v>13</v>
      </c>
      <c r="U1032" s="1">
        <v>0</v>
      </c>
      <c r="V1032" s="1" t="str">
        <f>"里程去程"</f>
        <v>里程去程</v>
      </c>
      <c r="W1032" s="1" t="str">
        <f>"0020"</f>
        <v>0020</v>
      </c>
      <c r="X1032" s="1" t="s">
        <v>29</v>
      </c>
    </row>
    <row r="1033" spans="1:24" x14ac:dyDescent="0.3">
      <c r="A1033" s="1" t="str">
        <f t="shared" si="194"/>
        <v>59820</v>
      </c>
      <c r="B1033" s="1" t="s">
        <v>53</v>
      </c>
      <c r="C1033" s="1" t="s">
        <v>54</v>
      </c>
      <c r="D1033" s="1" t="str">
        <f>"9806"</f>
        <v>9806</v>
      </c>
      <c r="E1033" s="1" t="s">
        <v>49</v>
      </c>
      <c r="F1033" s="1" t="str">
        <f>"B211E70246880400C834002000000015"</f>
        <v>B211E70246880400C834002000000015</v>
      </c>
      <c r="G1033" s="1" t="s">
        <v>74</v>
      </c>
      <c r="H1033" s="1" t="str">
        <f t="shared" si="191"/>
        <v>20220906</v>
      </c>
      <c r="I1033" s="1" t="str">
        <f>"163457"</f>
        <v>163457</v>
      </c>
      <c r="J1033" s="1" t="s">
        <v>76</v>
      </c>
      <c r="K1033" s="1" t="s">
        <v>28</v>
      </c>
      <c r="L1033" s="1" t="str">
        <f t="shared" si="192"/>
        <v>20220906</v>
      </c>
      <c r="M1033" s="1" t="str">
        <f>"164848"</f>
        <v>164848</v>
      </c>
      <c r="N1033" s="1" t="s">
        <v>84</v>
      </c>
      <c r="O1033" s="1" t="s">
        <v>28</v>
      </c>
      <c r="P1033" s="1" t="s">
        <v>68</v>
      </c>
      <c r="Q1033" s="1">
        <v>13</v>
      </c>
      <c r="R1033" s="1">
        <v>0</v>
      </c>
      <c r="S1033" s="1">
        <v>0</v>
      </c>
      <c r="T1033" s="1">
        <v>13</v>
      </c>
      <c r="U1033" s="1">
        <v>0</v>
      </c>
      <c r="V1033" s="1" t="str">
        <f>"里程去程"</f>
        <v>里程去程</v>
      </c>
      <c r="W1033" s="1" t="str">
        <f>"0020"</f>
        <v>0020</v>
      </c>
      <c r="X1033" s="1" t="s">
        <v>29</v>
      </c>
    </row>
    <row r="1034" spans="1:24" x14ac:dyDescent="0.3">
      <c r="A1034" s="1" t="str">
        <f t="shared" si="194"/>
        <v>59820</v>
      </c>
      <c r="B1034" s="1" t="s">
        <v>53</v>
      </c>
      <c r="C1034" s="1" t="s">
        <v>54</v>
      </c>
      <c r="D1034" s="1" t="str">
        <f>"9806"</f>
        <v>9806</v>
      </c>
      <c r="E1034" s="1" t="s">
        <v>49</v>
      </c>
      <c r="F1034" s="1" t="str">
        <f>"1695105317"</f>
        <v>1695105317</v>
      </c>
      <c r="G1034" s="1" t="s">
        <v>33</v>
      </c>
      <c r="H1034" s="1" t="str">
        <f t="shared" si="191"/>
        <v>20220906</v>
      </c>
      <c r="I1034" s="1" t="str">
        <f>"163502"</f>
        <v>163502</v>
      </c>
      <c r="J1034" s="1" t="s">
        <v>76</v>
      </c>
      <c r="K1034" s="1" t="s">
        <v>28</v>
      </c>
      <c r="L1034" s="1" t="str">
        <f t="shared" si="192"/>
        <v>20220906</v>
      </c>
      <c r="M1034" s="1" t="str">
        <f>"165255"</f>
        <v>165255</v>
      </c>
      <c r="N1034" s="1" t="s">
        <v>28</v>
      </c>
      <c r="O1034" s="1" t="s">
        <v>28</v>
      </c>
      <c r="P1034" s="1" t="s">
        <v>55</v>
      </c>
      <c r="Q1034" s="1">
        <v>25</v>
      </c>
      <c r="R1034" s="1">
        <v>25</v>
      </c>
      <c r="S1034" s="1">
        <v>0</v>
      </c>
      <c r="T1034" s="1">
        <v>0</v>
      </c>
      <c r="U1034" s="1">
        <v>0</v>
      </c>
      <c r="V1034" s="1" t="str">
        <f>"里程去程"</f>
        <v>里程去程</v>
      </c>
      <c r="W1034" s="1" t="str">
        <f>"2020"</f>
        <v>2020</v>
      </c>
      <c r="X1034" s="1" t="s">
        <v>35</v>
      </c>
    </row>
    <row r="1035" spans="1:24" x14ac:dyDescent="0.3">
      <c r="A1035" s="1" t="str">
        <f t="shared" si="194"/>
        <v>59820</v>
      </c>
      <c r="B1035" s="1" t="s">
        <v>53</v>
      </c>
      <c r="C1035" s="1" t="s">
        <v>54</v>
      </c>
      <c r="D1035" s="1" t="str">
        <f>"9806"</f>
        <v>9806</v>
      </c>
      <c r="E1035" s="1" t="s">
        <v>49</v>
      </c>
      <c r="F1035" s="1" t="str">
        <f>"22C8DE1B2F880400C822002000000021"</f>
        <v>22C8DE1B2F880400C822002000000021</v>
      </c>
      <c r="G1035" s="1" t="s">
        <v>58</v>
      </c>
      <c r="H1035" s="1" t="str">
        <f t="shared" si="191"/>
        <v>20220906</v>
      </c>
      <c r="I1035" s="1" t="str">
        <f>"163505"</f>
        <v>163505</v>
      </c>
      <c r="J1035" s="1" t="s">
        <v>76</v>
      </c>
      <c r="K1035" s="1" t="s">
        <v>28</v>
      </c>
      <c r="L1035" s="1" t="str">
        <f t="shared" si="192"/>
        <v>20220906</v>
      </c>
      <c r="M1035" s="1" t="str">
        <f>"165306"</f>
        <v>165306</v>
      </c>
      <c r="N1035" s="1" t="s">
        <v>28</v>
      </c>
      <c r="O1035" s="1" t="s">
        <v>28</v>
      </c>
      <c r="P1035" s="1" t="s">
        <v>55</v>
      </c>
      <c r="Q1035" s="1">
        <v>25</v>
      </c>
      <c r="R1035" s="1">
        <v>25</v>
      </c>
      <c r="S1035" s="1">
        <v>0</v>
      </c>
      <c r="T1035" s="1">
        <v>0</v>
      </c>
      <c r="U1035" s="1">
        <v>0</v>
      </c>
      <c r="V1035" s="1" t="str">
        <f>"里程去程"</f>
        <v>里程去程</v>
      </c>
      <c r="W1035" s="1" t="str">
        <f>"0020"</f>
        <v>0020</v>
      </c>
      <c r="X1035" s="1" t="s">
        <v>29</v>
      </c>
    </row>
    <row r="1036" spans="1:24" x14ac:dyDescent="0.3">
      <c r="A1036" s="1" t="str">
        <f t="shared" si="194"/>
        <v>59820</v>
      </c>
      <c r="B1036" s="1" t="s">
        <v>53</v>
      </c>
      <c r="C1036" s="1" t="s">
        <v>54</v>
      </c>
      <c r="D1036" s="1" t="str">
        <f>"9801"</f>
        <v>9801</v>
      </c>
      <c r="E1036" s="1" t="s">
        <v>25</v>
      </c>
      <c r="F1036" s="1" t="str">
        <f>"1715139285"</f>
        <v>1715139285</v>
      </c>
      <c r="G1036" s="1" t="s">
        <v>33</v>
      </c>
      <c r="H1036" s="1" t="str">
        <f t="shared" ref="H1036:H1099" si="197">"20220906"</f>
        <v>20220906</v>
      </c>
      <c r="I1036" s="1" t="str">
        <f>"193059"</f>
        <v>193059</v>
      </c>
      <c r="J1036" s="1" t="s">
        <v>84</v>
      </c>
      <c r="K1036" s="1" t="s">
        <v>28</v>
      </c>
      <c r="L1036" s="1" t="str">
        <f t="shared" ref="L1036:L1099" si="198">"20220906"</f>
        <v>20220906</v>
      </c>
      <c r="M1036" s="1" t="str">
        <f>"195408"</f>
        <v>195408</v>
      </c>
      <c r="N1036" s="1" t="s">
        <v>52</v>
      </c>
      <c r="O1036" s="1" t="s">
        <v>52</v>
      </c>
      <c r="P1036" s="1" t="s">
        <v>55</v>
      </c>
      <c r="Q1036" s="1">
        <v>25</v>
      </c>
      <c r="R1036" s="1">
        <v>0</v>
      </c>
      <c r="S1036" s="1">
        <v>25</v>
      </c>
      <c r="T1036" s="1">
        <v>0</v>
      </c>
      <c r="U1036" s="1">
        <v>0</v>
      </c>
      <c r="V1036" s="1" t="str">
        <f>"里程返程"</f>
        <v>里程返程</v>
      </c>
      <c r="W1036" s="1" t="str">
        <f>"1f20"</f>
        <v>1f20</v>
      </c>
      <c r="X1036" s="1" t="s">
        <v>35</v>
      </c>
    </row>
    <row r="1037" spans="1:24" x14ac:dyDescent="0.3">
      <c r="A1037" s="1" t="str">
        <f t="shared" si="194"/>
        <v>59820</v>
      </c>
      <c r="B1037" s="1" t="s">
        <v>53</v>
      </c>
      <c r="C1037" s="1" t="s">
        <v>54</v>
      </c>
      <c r="D1037" s="1" t="str">
        <f>"9805"</f>
        <v>9805</v>
      </c>
      <c r="E1037" s="1" t="s">
        <v>57</v>
      </c>
      <c r="F1037" s="1" t="str">
        <f>"1737283381"</f>
        <v>1737283381</v>
      </c>
      <c r="G1037" s="1" t="s">
        <v>33</v>
      </c>
      <c r="H1037" s="1" t="str">
        <f t="shared" si="197"/>
        <v>20220906</v>
      </c>
      <c r="I1037" s="1" t="str">
        <f>"195445"</f>
        <v>195445</v>
      </c>
      <c r="J1037" s="1" t="s">
        <v>52</v>
      </c>
      <c r="K1037" s="1" t="s">
        <v>52</v>
      </c>
      <c r="L1037" s="1" t="str">
        <f t="shared" si="198"/>
        <v>20220906</v>
      </c>
      <c r="M1037" s="1" t="str">
        <f>"201757"</f>
        <v>201757</v>
      </c>
      <c r="N1037" s="1" t="s">
        <v>28</v>
      </c>
      <c r="O1037" s="1" t="s">
        <v>28</v>
      </c>
      <c r="P1037" s="1" t="s">
        <v>55</v>
      </c>
      <c r="Q1037" s="1">
        <v>25</v>
      </c>
      <c r="R1037" s="1">
        <v>25</v>
      </c>
      <c r="S1037" s="1">
        <v>0</v>
      </c>
      <c r="T1037" s="1">
        <v>0</v>
      </c>
      <c r="U1037" s="1">
        <v>0</v>
      </c>
      <c r="V1037" s="1" t="str">
        <f>"里程返程"</f>
        <v>里程返程</v>
      </c>
      <c r="W1037" s="1" t="str">
        <f>"2020"</f>
        <v>2020</v>
      </c>
      <c r="X1037" s="1" t="s">
        <v>35</v>
      </c>
    </row>
    <row r="1038" spans="1:24" x14ac:dyDescent="0.3">
      <c r="A1038" s="1" t="str">
        <f t="shared" ref="A1038:A1069" si="199">"59822"</f>
        <v>59822</v>
      </c>
      <c r="B1038" s="1" t="s">
        <v>39</v>
      </c>
      <c r="C1038" s="1" t="s">
        <v>40</v>
      </c>
      <c r="D1038" s="1" t="str">
        <f>"9805"</f>
        <v>9805</v>
      </c>
      <c r="E1038" s="1" t="s">
        <v>57</v>
      </c>
      <c r="F1038" s="1" t="str">
        <f>"F29BD102BA880400C834002000000015"</f>
        <v>F29BD102BA880400C834002000000015</v>
      </c>
      <c r="G1038" s="1" t="s">
        <v>26</v>
      </c>
      <c r="H1038" s="1" t="str">
        <f t="shared" si="197"/>
        <v>20220906</v>
      </c>
      <c r="I1038" s="1" t="str">
        <f>"103339"</f>
        <v>103339</v>
      </c>
      <c r="J1038" s="1" t="s">
        <v>28</v>
      </c>
      <c r="K1038" s="1" t="s">
        <v>28</v>
      </c>
      <c r="L1038" s="1" t="str">
        <f t="shared" si="198"/>
        <v>20220906</v>
      </c>
      <c r="M1038" s="1" t="str">
        <f>"105335"</f>
        <v>105335</v>
      </c>
      <c r="N1038" s="1" t="s">
        <v>62</v>
      </c>
      <c r="O1038" s="1" t="s">
        <v>28</v>
      </c>
      <c r="P1038" s="1" t="s">
        <v>68</v>
      </c>
      <c r="Q1038" s="1">
        <v>13</v>
      </c>
      <c r="R1038" s="1">
        <v>0</v>
      </c>
      <c r="S1038" s="1">
        <v>0</v>
      </c>
      <c r="T1038" s="1">
        <v>13</v>
      </c>
      <c r="U1038" s="1">
        <v>0</v>
      </c>
      <c r="V1038" s="1" t="str">
        <f t="shared" ref="V1038:V1058" si="200">"里程去程"</f>
        <v>里程去程</v>
      </c>
      <c r="W1038" s="1" t="str">
        <f>"0020"</f>
        <v>0020</v>
      </c>
      <c r="X1038" s="1" t="s">
        <v>29</v>
      </c>
    </row>
    <row r="1039" spans="1:24" x14ac:dyDescent="0.3">
      <c r="A1039" s="1" t="str">
        <f t="shared" si="199"/>
        <v>59822</v>
      </c>
      <c r="B1039" s="1" t="s">
        <v>39</v>
      </c>
      <c r="C1039" s="1" t="s">
        <v>40</v>
      </c>
      <c r="D1039" s="1" t="str">
        <f>"9805"</f>
        <v>9805</v>
      </c>
      <c r="E1039" s="1" t="s">
        <v>57</v>
      </c>
      <c r="F1039" s="1" t="str">
        <f>"32780D0344880400C834002000000015"</f>
        <v>32780D0344880400C834002000000015</v>
      </c>
      <c r="G1039" s="1" t="s">
        <v>26</v>
      </c>
      <c r="H1039" s="1" t="str">
        <f t="shared" si="197"/>
        <v>20220906</v>
      </c>
      <c r="I1039" s="1" t="str">
        <f>"105228"</f>
        <v>105228</v>
      </c>
      <c r="J1039" s="1" t="s">
        <v>56</v>
      </c>
      <c r="K1039" s="1" t="s">
        <v>28</v>
      </c>
      <c r="L1039" s="1" t="str">
        <f t="shared" si="198"/>
        <v>20220906</v>
      </c>
      <c r="M1039" s="1" t="str">
        <f>"105352"</f>
        <v>105352</v>
      </c>
      <c r="N1039" s="1" t="s">
        <v>62</v>
      </c>
      <c r="O1039" s="1" t="s">
        <v>28</v>
      </c>
      <c r="P1039" s="1" t="s">
        <v>68</v>
      </c>
      <c r="Q1039" s="1">
        <v>13</v>
      </c>
      <c r="R1039" s="1">
        <v>0</v>
      </c>
      <c r="S1039" s="1">
        <v>0</v>
      </c>
      <c r="T1039" s="1">
        <v>13</v>
      </c>
      <c r="U1039" s="1">
        <v>0</v>
      </c>
      <c r="V1039" s="1" t="str">
        <f t="shared" si="200"/>
        <v>里程去程</v>
      </c>
      <c r="W1039" s="1" t="str">
        <f>"0020"</f>
        <v>0020</v>
      </c>
      <c r="X1039" s="1" t="s">
        <v>29</v>
      </c>
    </row>
    <row r="1040" spans="1:24" x14ac:dyDescent="0.3">
      <c r="A1040" s="1" t="str">
        <f t="shared" si="199"/>
        <v>59822</v>
      </c>
      <c r="B1040" s="1" t="s">
        <v>39</v>
      </c>
      <c r="C1040" s="1" t="s">
        <v>40</v>
      </c>
      <c r="D1040" s="1" t="str">
        <f t="shared" ref="D1040:D1068" si="201">"9801"</f>
        <v>9801</v>
      </c>
      <c r="E1040" s="1" t="s">
        <v>25</v>
      </c>
      <c r="F1040" s="1" t="str">
        <f>"82D5FB02AE880400C834002000000015"</f>
        <v>82D5FB02AE880400C834002000000015</v>
      </c>
      <c r="G1040" s="1" t="s">
        <v>26</v>
      </c>
      <c r="H1040" s="1" t="str">
        <f t="shared" si="197"/>
        <v>20220906</v>
      </c>
      <c r="I1040" s="1" t="str">
        <f>"110949"</f>
        <v>110949</v>
      </c>
      <c r="J1040" s="1" t="s">
        <v>51</v>
      </c>
      <c r="K1040" s="1" t="s">
        <v>52</v>
      </c>
      <c r="L1040" s="1" t="str">
        <f t="shared" si="198"/>
        <v>20220906</v>
      </c>
      <c r="M1040" s="1" t="str">
        <f>"115853"</f>
        <v>115853</v>
      </c>
      <c r="N1040" s="1" t="s">
        <v>44</v>
      </c>
      <c r="O1040" s="1" t="s">
        <v>45</v>
      </c>
      <c r="P1040" s="1" t="s">
        <v>68</v>
      </c>
      <c r="Q1040" s="1">
        <v>25</v>
      </c>
      <c r="R1040" s="1">
        <v>0</v>
      </c>
      <c r="S1040" s="1">
        <v>0</v>
      </c>
      <c r="T1040" s="1">
        <v>25</v>
      </c>
      <c r="U1040" s="1">
        <v>0</v>
      </c>
      <c r="V1040" s="1" t="str">
        <f t="shared" si="200"/>
        <v>里程去程</v>
      </c>
      <c r="W1040" s="1" t="str">
        <f>"0020"</f>
        <v>0020</v>
      </c>
      <c r="X1040" s="1" t="s">
        <v>29</v>
      </c>
    </row>
    <row r="1041" spans="1:24" x14ac:dyDescent="0.3">
      <c r="A1041" s="1" t="str">
        <f t="shared" si="199"/>
        <v>59822</v>
      </c>
      <c r="B1041" s="1" t="s">
        <v>39</v>
      </c>
      <c r="C1041" s="1" t="s">
        <v>40</v>
      </c>
      <c r="D1041" s="1" t="str">
        <f t="shared" si="201"/>
        <v>9801</v>
      </c>
      <c r="E1041" s="1" t="s">
        <v>25</v>
      </c>
      <c r="F1041" s="1" t="str">
        <f>"1091123761"</f>
        <v>1091123761</v>
      </c>
      <c r="G1041" s="1" t="s">
        <v>33</v>
      </c>
      <c r="H1041" s="1" t="str">
        <f t="shared" si="197"/>
        <v>20220906</v>
      </c>
      <c r="I1041" s="1" t="str">
        <f>"113526"</f>
        <v>113526</v>
      </c>
      <c r="J1041" s="1" t="s">
        <v>27</v>
      </c>
      <c r="K1041" s="1" t="s">
        <v>28</v>
      </c>
      <c r="L1041" s="1" t="str">
        <f t="shared" si="198"/>
        <v>20220906</v>
      </c>
      <c r="M1041" s="1" t="str">
        <f>"114816"</f>
        <v>114816</v>
      </c>
      <c r="N1041" s="1" t="s">
        <v>56</v>
      </c>
      <c r="O1041" s="1" t="s">
        <v>45</v>
      </c>
      <c r="P1041" s="1" t="s">
        <v>55</v>
      </c>
      <c r="Q1041" s="1">
        <v>25</v>
      </c>
      <c r="R1041" s="1">
        <v>25</v>
      </c>
      <c r="S1041" s="1">
        <v>0</v>
      </c>
      <c r="T1041" s="1">
        <v>0</v>
      </c>
      <c r="U1041" s="1">
        <v>0</v>
      </c>
      <c r="V1041" s="1" t="str">
        <f t="shared" si="200"/>
        <v>里程去程</v>
      </c>
      <c r="W1041" s="1" t="str">
        <f>"0a20"</f>
        <v>0a20</v>
      </c>
      <c r="X1041" s="1" t="s">
        <v>35</v>
      </c>
    </row>
    <row r="1042" spans="1:24" x14ac:dyDescent="0.3">
      <c r="A1042" s="1" t="str">
        <f t="shared" si="199"/>
        <v>59822</v>
      </c>
      <c r="B1042" s="1" t="s">
        <v>39</v>
      </c>
      <c r="C1042" s="1" t="s">
        <v>40</v>
      </c>
      <c r="D1042" s="1" t="str">
        <f t="shared" si="201"/>
        <v>9801</v>
      </c>
      <c r="E1042" s="1" t="s">
        <v>25</v>
      </c>
      <c r="F1042" s="1" t="str">
        <f>"191600321"</f>
        <v>191600321</v>
      </c>
      <c r="G1042" s="1" t="s">
        <v>74</v>
      </c>
      <c r="H1042" s="1" t="str">
        <f t="shared" si="197"/>
        <v>20220906</v>
      </c>
      <c r="I1042" s="1" t="str">
        <f>"113621"</f>
        <v>113621</v>
      </c>
      <c r="J1042" s="1" t="s">
        <v>27</v>
      </c>
      <c r="K1042" s="1" t="s">
        <v>28</v>
      </c>
      <c r="L1042" s="1" t="str">
        <f t="shared" si="198"/>
        <v>20220906</v>
      </c>
      <c r="M1042" s="1" t="str">
        <f>"115548"</f>
        <v>115548</v>
      </c>
      <c r="N1042" s="1" t="s">
        <v>44</v>
      </c>
      <c r="O1042" s="1" t="s">
        <v>45</v>
      </c>
      <c r="P1042" s="1" t="s">
        <v>55</v>
      </c>
      <c r="Q1042" s="1">
        <v>13</v>
      </c>
      <c r="R1042" s="1">
        <v>13</v>
      </c>
      <c r="S1042" s="1">
        <v>0</v>
      </c>
      <c r="T1042" s="1">
        <v>0</v>
      </c>
      <c r="U1042" s="1">
        <v>0</v>
      </c>
      <c r="V1042" s="1" t="str">
        <f t="shared" si="200"/>
        <v>里程去程</v>
      </c>
      <c r="W1042" s="1" t="str">
        <f>"2020"</f>
        <v>2020</v>
      </c>
      <c r="X1042" s="1" t="s">
        <v>35</v>
      </c>
    </row>
    <row r="1043" spans="1:24" x14ac:dyDescent="0.3">
      <c r="A1043" s="1" t="str">
        <f t="shared" si="199"/>
        <v>59822</v>
      </c>
      <c r="B1043" s="1" t="s">
        <v>39</v>
      </c>
      <c r="C1043" s="1" t="s">
        <v>40</v>
      </c>
      <c r="D1043" s="1" t="str">
        <f t="shared" si="201"/>
        <v>9801</v>
      </c>
      <c r="E1043" s="1" t="s">
        <v>25</v>
      </c>
      <c r="F1043" s="1" t="str">
        <f>"82D5FB02AE880400C834002000000015"</f>
        <v>82D5FB02AE880400C834002000000015</v>
      </c>
      <c r="G1043" s="1" t="s">
        <v>26</v>
      </c>
      <c r="H1043" s="1" t="str">
        <f t="shared" si="197"/>
        <v>20220906</v>
      </c>
      <c r="I1043" s="1" t="str">
        <f>"115917"</f>
        <v>115917</v>
      </c>
      <c r="J1043" s="1" t="s">
        <v>52</v>
      </c>
      <c r="K1043" s="1" t="s">
        <v>52</v>
      </c>
      <c r="L1043" s="1" t="str">
        <f t="shared" si="198"/>
        <v>20220906</v>
      </c>
      <c r="M1043" s="1" t="str">
        <f>"120451"</f>
        <v>120451</v>
      </c>
      <c r="N1043" s="1" t="s">
        <v>86</v>
      </c>
      <c r="O1043" s="1" t="s">
        <v>52</v>
      </c>
      <c r="P1043" s="1" t="s">
        <v>68</v>
      </c>
      <c r="Q1043" s="1">
        <v>13</v>
      </c>
      <c r="R1043" s="1">
        <v>0</v>
      </c>
      <c r="S1043" s="1">
        <v>0</v>
      </c>
      <c r="T1043" s="1">
        <v>13</v>
      </c>
      <c r="U1043" s="1">
        <v>0</v>
      </c>
      <c r="V1043" s="1" t="str">
        <f t="shared" si="200"/>
        <v>里程去程</v>
      </c>
      <c r="W1043" s="1" t="str">
        <f>"0020"</f>
        <v>0020</v>
      </c>
      <c r="X1043" s="1" t="s">
        <v>29</v>
      </c>
    </row>
    <row r="1044" spans="1:24" x14ac:dyDescent="0.3">
      <c r="A1044" s="1" t="str">
        <f t="shared" si="199"/>
        <v>59822</v>
      </c>
      <c r="B1044" s="1" t="s">
        <v>39</v>
      </c>
      <c r="C1044" s="1" t="s">
        <v>40</v>
      </c>
      <c r="D1044" s="1" t="str">
        <f t="shared" si="201"/>
        <v>9801</v>
      </c>
      <c r="E1044" s="1" t="s">
        <v>25</v>
      </c>
      <c r="F1044" s="1" t="str">
        <f>"F25B1B03B1880400C834002000000015"</f>
        <v>F25B1B03B1880400C834002000000015</v>
      </c>
      <c r="G1044" s="1" t="s">
        <v>26</v>
      </c>
      <c r="H1044" s="1" t="str">
        <f t="shared" si="197"/>
        <v>20220906</v>
      </c>
      <c r="I1044" s="1" t="str">
        <f>"130739"</f>
        <v>130739</v>
      </c>
      <c r="J1044" s="1" t="s">
        <v>60</v>
      </c>
      <c r="K1044" s="1" t="s">
        <v>52</v>
      </c>
      <c r="L1044" s="1" t="str">
        <f t="shared" si="198"/>
        <v>20220906</v>
      </c>
      <c r="M1044" s="1" t="str">
        <f>"133138"</f>
        <v>133138</v>
      </c>
      <c r="N1044" s="1" t="s">
        <v>70</v>
      </c>
      <c r="O1044" s="1" t="s">
        <v>28</v>
      </c>
      <c r="P1044" s="1" t="s">
        <v>68</v>
      </c>
      <c r="Q1044" s="1">
        <v>13</v>
      </c>
      <c r="R1044" s="1">
        <v>0</v>
      </c>
      <c r="S1044" s="1">
        <v>0</v>
      </c>
      <c r="T1044" s="1">
        <v>13</v>
      </c>
      <c r="U1044" s="1">
        <v>0</v>
      </c>
      <c r="V1044" s="1" t="str">
        <f t="shared" si="200"/>
        <v>里程去程</v>
      </c>
      <c r="W1044" s="1" t="str">
        <f>"0020"</f>
        <v>0020</v>
      </c>
      <c r="X1044" s="1" t="s">
        <v>29</v>
      </c>
    </row>
    <row r="1045" spans="1:24" x14ac:dyDescent="0.3">
      <c r="A1045" s="1" t="str">
        <f t="shared" si="199"/>
        <v>59822</v>
      </c>
      <c r="B1045" s="1" t="s">
        <v>39</v>
      </c>
      <c r="C1045" s="1" t="s">
        <v>40</v>
      </c>
      <c r="D1045" s="1" t="str">
        <f t="shared" si="201"/>
        <v>9801</v>
      </c>
      <c r="E1045" s="1" t="s">
        <v>25</v>
      </c>
      <c r="F1045" s="1" t="str">
        <f>"4253493414"</f>
        <v>4253493414</v>
      </c>
      <c r="G1045" s="1" t="s">
        <v>33</v>
      </c>
      <c r="H1045" s="1" t="str">
        <f t="shared" si="197"/>
        <v>20220906</v>
      </c>
      <c r="I1045" s="1" t="str">
        <f>"133149"</f>
        <v>133149</v>
      </c>
      <c r="J1045" s="1" t="s">
        <v>27</v>
      </c>
      <c r="K1045" s="1" t="s">
        <v>28</v>
      </c>
      <c r="L1045" s="1" t="str">
        <f t="shared" si="198"/>
        <v>20220906</v>
      </c>
      <c r="M1045" s="1" t="str">
        <f>"135107"</f>
        <v>135107</v>
      </c>
      <c r="N1045" s="1" t="s">
        <v>91</v>
      </c>
      <c r="O1045" s="1" t="s">
        <v>45</v>
      </c>
      <c r="P1045" s="1" t="s">
        <v>55</v>
      </c>
      <c r="Q1045" s="1">
        <v>25</v>
      </c>
      <c r="R1045" s="1">
        <v>0</v>
      </c>
      <c r="S1045" s="1">
        <v>25</v>
      </c>
      <c r="T1045" s="1">
        <v>0</v>
      </c>
      <c r="U1045" s="1">
        <v>0</v>
      </c>
      <c r="V1045" s="1" t="str">
        <f t="shared" si="200"/>
        <v>里程去程</v>
      </c>
      <c r="W1045" s="1" t="str">
        <f>"0820"</f>
        <v>0820</v>
      </c>
      <c r="X1045" s="1" t="s">
        <v>35</v>
      </c>
    </row>
    <row r="1046" spans="1:24" x14ac:dyDescent="0.3">
      <c r="A1046" s="1" t="str">
        <f t="shared" si="199"/>
        <v>59822</v>
      </c>
      <c r="B1046" s="1" t="s">
        <v>39</v>
      </c>
      <c r="C1046" s="1" t="s">
        <v>40</v>
      </c>
      <c r="D1046" s="1" t="str">
        <f t="shared" si="201"/>
        <v>9801</v>
      </c>
      <c r="E1046" s="1" t="s">
        <v>25</v>
      </c>
      <c r="F1046" s="1" t="str">
        <f>"3491072727"</f>
        <v>3491072727</v>
      </c>
      <c r="G1046" s="1" t="s">
        <v>33</v>
      </c>
      <c r="H1046" s="1" t="str">
        <f t="shared" si="197"/>
        <v>20220906</v>
      </c>
      <c r="I1046" s="1" t="str">
        <f>"133153"</f>
        <v>133153</v>
      </c>
      <c r="J1046" s="1" t="s">
        <v>27</v>
      </c>
      <c r="K1046" s="1" t="s">
        <v>28</v>
      </c>
      <c r="L1046" s="1" t="str">
        <f t="shared" si="198"/>
        <v>20220906</v>
      </c>
      <c r="M1046" s="1" t="str">
        <f>"134813"</f>
        <v>134813</v>
      </c>
      <c r="N1046" s="1" t="s">
        <v>75</v>
      </c>
      <c r="O1046" s="1" t="s">
        <v>45</v>
      </c>
      <c r="P1046" s="1" t="s">
        <v>55</v>
      </c>
      <c r="Q1046" s="1">
        <v>25</v>
      </c>
      <c r="R1046" s="1">
        <v>25</v>
      </c>
      <c r="S1046" s="1">
        <v>0</v>
      </c>
      <c r="T1046" s="1">
        <v>0</v>
      </c>
      <c r="U1046" s="1">
        <v>0</v>
      </c>
      <c r="V1046" s="1" t="str">
        <f t="shared" si="200"/>
        <v>里程去程</v>
      </c>
      <c r="W1046" s="1" t="str">
        <f>"0220"</f>
        <v>0220</v>
      </c>
      <c r="X1046" s="1" t="s">
        <v>35</v>
      </c>
    </row>
    <row r="1047" spans="1:24" x14ac:dyDescent="0.3">
      <c r="A1047" s="1" t="str">
        <f t="shared" si="199"/>
        <v>59822</v>
      </c>
      <c r="B1047" s="1" t="s">
        <v>39</v>
      </c>
      <c r="C1047" s="1" t="s">
        <v>40</v>
      </c>
      <c r="D1047" s="1" t="str">
        <f t="shared" si="201"/>
        <v>9801</v>
      </c>
      <c r="E1047" s="1" t="s">
        <v>25</v>
      </c>
      <c r="F1047" s="1" t="str">
        <f>"1861249281"</f>
        <v>1861249281</v>
      </c>
      <c r="G1047" s="1" t="s">
        <v>33</v>
      </c>
      <c r="H1047" s="1" t="str">
        <f t="shared" si="197"/>
        <v>20220906</v>
      </c>
      <c r="I1047" s="1" t="str">
        <f>"133156"</f>
        <v>133156</v>
      </c>
      <c r="J1047" s="1" t="s">
        <v>27</v>
      </c>
      <c r="K1047" s="1" t="s">
        <v>28</v>
      </c>
      <c r="L1047" s="1" t="str">
        <f t="shared" si="198"/>
        <v>20220906</v>
      </c>
      <c r="M1047" s="1" t="str">
        <f>"134811"</f>
        <v>134811</v>
      </c>
      <c r="N1047" s="1" t="s">
        <v>75</v>
      </c>
      <c r="O1047" s="1" t="s">
        <v>45</v>
      </c>
      <c r="P1047" s="1" t="s">
        <v>55</v>
      </c>
      <c r="Q1047" s="1">
        <v>25</v>
      </c>
      <c r="R1047" s="1">
        <v>25</v>
      </c>
      <c r="S1047" s="1">
        <v>0</v>
      </c>
      <c r="T1047" s="1">
        <v>0</v>
      </c>
      <c r="U1047" s="1">
        <v>0</v>
      </c>
      <c r="V1047" s="1" t="str">
        <f t="shared" si="200"/>
        <v>里程去程</v>
      </c>
      <c r="W1047" s="1" t="str">
        <f>"0320"</f>
        <v>0320</v>
      </c>
      <c r="X1047" s="1" t="s">
        <v>35</v>
      </c>
    </row>
    <row r="1048" spans="1:24" x14ac:dyDescent="0.3">
      <c r="A1048" s="1" t="str">
        <f t="shared" si="199"/>
        <v>59822</v>
      </c>
      <c r="B1048" s="1" t="s">
        <v>39</v>
      </c>
      <c r="C1048" s="1" t="s">
        <v>40</v>
      </c>
      <c r="D1048" s="1" t="str">
        <f t="shared" si="201"/>
        <v>9801</v>
      </c>
      <c r="E1048" s="1" t="s">
        <v>25</v>
      </c>
      <c r="F1048" s="1" t="str">
        <f>"9232BD021F880400C834002000000015"</f>
        <v>9232BD021F880400C834002000000015</v>
      </c>
      <c r="G1048" s="1" t="s">
        <v>26</v>
      </c>
      <c r="H1048" s="1" t="str">
        <f t="shared" si="197"/>
        <v>20220906</v>
      </c>
      <c r="I1048" s="1" t="str">
        <f>"135316"</f>
        <v>135316</v>
      </c>
      <c r="J1048" s="1" t="s">
        <v>100</v>
      </c>
      <c r="K1048" s="1" t="s">
        <v>45</v>
      </c>
      <c r="L1048" s="1" t="str">
        <f t="shared" si="198"/>
        <v>20220906</v>
      </c>
      <c r="M1048" s="1" t="str">
        <f>"135558"</f>
        <v>135558</v>
      </c>
      <c r="N1048" s="1" t="s">
        <v>44</v>
      </c>
      <c r="O1048" s="1" t="s">
        <v>45</v>
      </c>
      <c r="P1048" s="1" t="s">
        <v>68</v>
      </c>
      <c r="Q1048" s="1">
        <v>13</v>
      </c>
      <c r="R1048" s="1">
        <v>0</v>
      </c>
      <c r="S1048" s="1">
        <v>0</v>
      </c>
      <c r="T1048" s="1">
        <v>13</v>
      </c>
      <c r="U1048" s="1">
        <v>0</v>
      </c>
      <c r="V1048" s="1" t="str">
        <f t="shared" si="200"/>
        <v>里程去程</v>
      </c>
      <c r="W1048" s="1" t="str">
        <f>"0020"</f>
        <v>0020</v>
      </c>
      <c r="X1048" s="1" t="s">
        <v>29</v>
      </c>
    </row>
    <row r="1049" spans="1:24" x14ac:dyDescent="0.3">
      <c r="A1049" s="1" t="str">
        <f t="shared" si="199"/>
        <v>59822</v>
      </c>
      <c r="B1049" s="1" t="s">
        <v>39</v>
      </c>
      <c r="C1049" s="1" t="s">
        <v>40</v>
      </c>
      <c r="D1049" s="1" t="str">
        <f t="shared" si="201"/>
        <v>9801</v>
      </c>
      <c r="E1049" s="1" t="s">
        <v>25</v>
      </c>
      <c r="F1049" s="1" t="str">
        <f>"F27CE6026A880400C834002000000015"</f>
        <v>F27CE6026A880400C834002000000015</v>
      </c>
      <c r="G1049" s="1" t="s">
        <v>74</v>
      </c>
      <c r="H1049" s="1" t="str">
        <f t="shared" si="197"/>
        <v>20220906</v>
      </c>
      <c r="I1049" s="1" t="str">
        <f>"150058"</f>
        <v>150058</v>
      </c>
      <c r="J1049" s="1" t="s">
        <v>52</v>
      </c>
      <c r="K1049" s="1" t="s">
        <v>52</v>
      </c>
      <c r="L1049" s="1" t="str">
        <f t="shared" si="198"/>
        <v>20220906</v>
      </c>
      <c r="M1049" s="1" t="str">
        <f>"150814"</f>
        <v>150814</v>
      </c>
      <c r="N1049" s="1" t="s">
        <v>60</v>
      </c>
      <c r="O1049" s="1" t="s">
        <v>52</v>
      </c>
      <c r="P1049" s="1" t="s">
        <v>68</v>
      </c>
      <c r="Q1049" s="1">
        <v>13</v>
      </c>
      <c r="R1049" s="1">
        <v>0</v>
      </c>
      <c r="S1049" s="1">
        <v>0</v>
      </c>
      <c r="T1049" s="1">
        <v>13</v>
      </c>
      <c r="U1049" s="1">
        <v>0</v>
      </c>
      <c r="V1049" s="1" t="str">
        <f t="shared" si="200"/>
        <v>里程去程</v>
      </c>
      <c r="W1049" s="1" t="str">
        <f>"0020"</f>
        <v>0020</v>
      </c>
      <c r="X1049" s="1" t="s">
        <v>29</v>
      </c>
    </row>
    <row r="1050" spans="1:24" x14ac:dyDescent="0.3">
      <c r="A1050" s="1" t="str">
        <f t="shared" si="199"/>
        <v>59822</v>
      </c>
      <c r="B1050" s="1" t="s">
        <v>39</v>
      </c>
      <c r="C1050" s="1" t="s">
        <v>40</v>
      </c>
      <c r="D1050" s="1" t="str">
        <f t="shared" si="201"/>
        <v>9801</v>
      </c>
      <c r="E1050" s="1" t="s">
        <v>25</v>
      </c>
      <c r="F1050" s="1" t="str">
        <f>"C2F219032A880400C834002000000015"</f>
        <v>C2F219032A880400C834002000000015</v>
      </c>
      <c r="G1050" s="1" t="s">
        <v>26</v>
      </c>
      <c r="H1050" s="1" t="str">
        <f t="shared" si="197"/>
        <v>20220906</v>
      </c>
      <c r="I1050" s="1" t="str">
        <f>"150615"</f>
        <v>150615</v>
      </c>
      <c r="J1050" s="1" t="s">
        <v>86</v>
      </c>
      <c r="K1050" s="1" t="s">
        <v>52</v>
      </c>
      <c r="L1050" s="1" t="str">
        <f t="shared" si="198"/>
        <v>20220906</v>
      </c>
      <c r="M1050" s="1" t="str">
        <f>"151007"</f>
        <v>151007</v>
      </c>
      <c r="N1050" s="1" t="s">
        <v>51</v>
      </c>
      <c r="O1050" s="1" t="s">
        <v>52</v>
      </c>
      <c r="P1050" s="1" t="s">
        <v>68</v>
      </c>
      <c r="Q1050" s="1">
        <v>13</v>
      </c>
      <c r="R1050" s="1">
        <v>0</v>
      </c>
      <c r="S1050" s="1">
        <v>0</v>
      </c>
      <c r="T1050" s="1">
        <v>13</v>
      </c>
      <c r="U1050" s="1">
        <v>0</v>
      </c>
      <c r="V1050" s="1" t="str">
        <f t="shared" si="200"/>
        <v>里程去程</v>
      </c>
      <c r="W1050" s="1" t="str">
        <f>"0020"</f>
        <v>0020</v>
      </c>
      <c r="X1050" s="1" t="s">
        <v>29</v>
      </c>
    </row>
    <row r="1051" spans="1:24" x14ac:dyDescent="0.3">
      <c r="A1051" s="1" t="str">
        <f t="shared" si="199"/>
        <v>59822</v>
      </c>
      <c r="B1051" s="1" t="s">
        <v>39</v>
      </c>
      <c r="C1051" s="1" t="s">
        <v>40</v>
      </c>
      <c r="D1051" s="1" t="str">
        <f t="shared" si="201"/>
        <v>9801</v>
      </c>
      <c r="E1051" s="1" t="s">
        <v>25</v>
      </c>
      <c r="F1051" s="1" t="str">
        <f>"F2C64D0E77880400C806002000000018"</f>
        <v>F2C64D0E77880400C806002000000018</v>
      </c>
      <c r="G1051" s="1" t="s">
        <v>58</v>
      </c>
      <c r="H1051" s="1" t="str">
        <f t="shared" si="197"/>
        <v>20220906</v>
      </c>
      <c r="I1051" s="1" t="str">
        <f>"150846"</f>
        <v>150846</v>
      </c>
      <c r="J1051" s="1" t="s">
        <v>60</v>
      </c>
      <c r="K1051" s="1" t="s">
        <v>52</v>
      </c>
      <c r="L1051" s="1" t="str">
        <f t="shared" si="198"/>
        <v>20220906</v>
      </c>
      <c r="M1051" s="1" t="str">
        <f>"151612"</f>
        <v>151612</v>
      </c>
      <c r="N1051" s="1" t="s">
        <v>80</v>
      </c>
      <c r="O1051" s="1" t="s">
        <v>52</v>
      </c>
      <c r="P1051" s="1" t="s">
        <v>55</v>
      </c>
      <c r="Q1051" s="1">
        <v>25</v>
      </c>
      <c r="R1051" s="1">
        <v>25</v>
      </c>
      <c r="S1051" s="1">
        <v>0</v>
      </c>
      <c r="T1051" s="1">
        <v>0</v>
      </c>
      <c r="U1051" s="1">
        <v>0</v>
      </c>
      <c r="V1051" s="1" t="str">
        <f t="shared" si="200"/>
        <v>里程去程</v>
      </c>
      <c r="W1051" s="1" t="str">
        <f>"0020"</f>
        <v>0020</v>
      </c>
      <c r="X1051" s="1" t="s">
        <v>29</v>
      </c>
    </row>
    <row r="1052" spans="1:24" x14ac:dyDescent="0.3">
      <c r="A1052" s="1" t="str">
        <f t="shared" si="199"/>
        <v>59822</v>
      </c>
      <c r="B1052" s="1" t="s">
        <v>39</v>
      </c>
      <c r="C1052" s="1" t="s">
        <v>40</v>
      </c>
      <c r="D1052" s="1" t="str">
        <f t="shared" si="201"/>
        <v>9801</v>
      </c>
      <c r="E1052" s="1" t="s">
        <v>25</v>
      </c>
      <c r="F1052" s="1" t="str">
        <f>"640199791"</f>
        <v>640199791</v>
      </c>
      <c r="G1052" s="1" t="s">
        <v>33</v>
      </c>
      <c r="H1052" s="1" t="str">
        <f t="shared" si="197"/>
        <v>20220906</v>
      </c>
      <c r="I1052" s="1" t="str">
        <f>"153426"</f>
        <v>153426</v>
      </c>
      <c r="J1052" s="1" t="s">
        <v>27</v>
      </c>
      <c r="K1052" s="1" t="s">
        <v>28</v>
      </c>
      <c r="L1052" s="1" t="str">
        <f t="shared" si="198"/>
        <v>20220906</v>
      </c>
      <c r="M1052" s="1" t="str">
        <f>"155255"</f>
        <v>155255</v>
      </c>
      <c r="N1052" s="1" t="s">
        <v>100</v>
      </c>
      <c r="O1052" s="1" t="s">
        <v>45</v>
      </c>
      <c r="P1052" s="1" t="s">
        <v>55</v>
      </c>
      <c r="Q1052" s="1">
        <v>25</v>
      </c>
      <c r="R1052" s="1">
        <v>25</v>
      </c>
      <c r="S1052" s="1">
        <v>0</v>
      </c>
      <c r="T1052" s="1">
        <v>0</v>
      </c>
      <c r="U1052" s="1">
        <v>0</v>
      </c>
      <c r="V1052" s="1" t="str">
        <f t="shared" si="200"/>
        <v>里程去程</v>
      </c>
      <c r="W1052" s="1" t="str">
        <f>"0320"</f>
        <v>0320</v>
      </c>
      <c r="X1052" s="1" t="s">
        <v>35</v>
      </c>
    </row>
    <row r="1053" spans="1:24" x14ac:dyDescent="0.3">
      <c r="A1053" s="1" t="str">
        <f t="shared" si="199"/>
        <v>59822</v>
      </c>
      <c r="B1053" s="1" t="s">
        <v>39</v>
      </c>
      <c r="C1053" s="1" t="s">
        <v>40</v>
      </c>
      <c r="D1053" s="1" t="str">
        <f t="shared" si="201"/>
        <v>9801</v>
      </c>
      <c r="E1053" s="1" t="s">
        <v>25</v>
      </c>
      <c r="F1053" s="1" t="str">
        <f>"42B9D00229880400C834002000000015"</f>
        <v>42B9D00229880400C834002000000015</v>
      </c>
      <c r="G1053" s="1" t="s">
        <v>74</v>
      </c>
      <c r="H1053" s="1" t="str">
        <f t="shared" si="197"/>
        <v>20220906</v>
      </c>
      <c r="I1053" s="1" t="str">
        <f>"155639"</f>
        <v>155639</v>
      </c>
      <c r="J1053" s="1" t="s">
        <v>52</v>
      </c>
      <c r="K1053" s="1" t="s">
        <v>52</v>
      </c>
      <c r="L1053" s="1" t="str">
        <f t="shared" si="198"/>
        <v>20220906</v>
      </c>
      <c r="M1053" s="1" t="str">
        <f>"164812"</f>
        <v>164812</v>
      </c>
      <c r="N1053" s="1" t="s">
        <v>70</v>
      </c>
      <c r="O1053" s="1" t="s">
        <v>28</v>
      </c>
      <c r="P1053" s="1" t="s">
        <v>68</v>
      </c>
      <c r="Q1053" s="1">
        <v>13</v>
      </c>
      <c r="R1053" s="1">
        <v>0</v>
      </c>
      <c r="S1053" s="1">
        <v>0</v>
      </c>
      <c r="T1053" s="1">
        <v>13</v>
      </c>
      <c r="U1053" s="1">
        <v>0</v>
      </c>
      <c r="V1053" s="1" t="str">
        <f t="shared" si="200"/>
        <v>里程去程</v>
      </c>
      <c r="W1053" s="1" t="str">
        <f>"0020"</f>
        <v>0020</v>
      </c>
      <c r="X1053" s="1" t="s">
        <v>29</v>
      </c>
    </row>
    <row r="1054" spans="1:24" x14ac:dyDescent="0.3">
      <c r="A1054" s="1" t="str">
        <f t="shared" si="199"/>
        <v>59822</v>
      </c>
      <c r="B1054" s="1" t="s">
        <v>39</v>
      </c>
      <c r="C1054" s="1" t="s">
        <v>40</v>
      </c>
      <c r="D1054" s="1" t="str">
        <f t="shared" si="201"/>
        <v>9801</v>
      </c>
      <c r="E1054" s="1" t="s">
        <v>25</v>
      </c>
      <c r="F1054" s="1" t="str">
        <f>"997462661"</f>
        <v>997462661</v>
      </c>
      <c r="G1054" s="1" t="s">
        <v>26</v>
      </c>
      <c r="H1054" s="1" t="str">
        <f t="shared" si="197"/>
        <v>20220906</v>
      </c>
      <c r="I1054" s="1" t="str">
        <f>"163920"</f>
        <v>163920</v>
      </c>
      <c r="J1054" s="1" t="s">
        <v>27</v>
      </c>
      <c r="K1054" s="1" t="s">
        <v>28</v>
      </c>
      <c r="L1054" s="1" t="str">
        <f t="shared" si="198"/>
        <v>20220906</v>
      </c>
      <c r="M1054" s="1" t="str">
        <f>"165306"</f>
        <v>165306</v>
      </c>
      <c r="N1054" s="1" t="s">
        <v>45</v>
      </c>
      <c r="O1054" s="1" t="s">
        <v>45</v>
      </c>
      <c r="P1054" s="1" t="s">
        <v>55</v>
      </c>
      <c r="Q1054" s="1">
        <v>13</v>
      </c>
      <c r="R1054" s="1">
        <v>13</v>
      </c>
      <c r="S1054" s="1">
        <v>0</v>
      </c>
      <c r="T1054" s="1">
        <v>0</v>
      </c>
      <c r="U1054" s="1">
        <v>0</v>
      </c>
      <c r="V1054" s="1" t="str">
        <f t="shared" si="200"/>
        <v>里程去程</v>
      </c>
      <c r="W1054" s="1" t="str">
        <f>"0120"</f>
        <v>0120</v>
      </c>
      <c r="X1054" s="1" t="s">
        <v>35</v>
      </c>
    </row>
    <row r="1055" spans="1:24" x14ac:dyDescent="0.3">
      <c r="A1055" s="1" t="str">
        <f t="shared" si="199"/>
        <v>59822</v>
      </c>
      <c r="B1055" s="1" t="s">
        <v>39</v>
      </c>
      <c r="C1055" s="1" t="s">
        <v>40</v>
      </c>
      <c r="D1055" s="1" t="str">
        <f t="shared" si="201"/>
        <v>9801</v>
      </c>
      <c r="E1055" s="1" t="s">
        <v>25</v>
      </c>
      <c r="F1055" s="1" t="str">
        <f>"1611623912"</f>
        <v>1611623912</v>
      </c>
      <c r="G1055" s="1" t="s">
        <v>26</v>
      </c>
      <c r="H1055" s="1" t="str">
        <f t="shared" si="197"/>
        <v>20220906</v>
      </c>
      <c r="I1055" s="1" t="str">
        <f>"163924"</f>
        <v>163924</v>
      </c>
      <c r="J1055" s="1" t="s">
        <v>27</v>
      </c>
      <c r="K1055" s="1" t="s">
        <v>28</v>
      </c>
      <c r="L1055" s="1" t="str">
        <f t="shared" si="198"/>
        <v>20220906</v>
      </c>
      <c r="M1055" s="1" t="str">
        <f>"165310"</f>
        <v>165310</v>
      </c>
      <c r="N1055" s="1" t="s">
        <v>45</v>
      </c>
      <c r="O1055" s="1" t="s">
        <v>45</v>
      </c>
      <c r="P1055" s="1" t="s">
        <v>55</v>
      </c>
      <c r="Q1055" s="1">
        <v>13</v>
      </c>
      <c r="R1055" s="1">
        <v>13</v>
      </c>
      <c r="S1055" s="1">
        <v>0</v>
      </c>
      <c r="T1055" s="1">
        <v>0</v>
      </c>
      <c r="U1055" s="1">
        <v>0</v>
      </c>
      <c r="V1055" s="1" t="str">
        <f t="shared" si="200"/>
        <v>里程去程</v>
      </c>
      <c r="W1055" s="1" t="str">
        <f>"1620"</f>
        <v>1620</v>
      </c>
      <c r="X1055" s="1" t="s">
        <v>35</v>
      </c>
    </row>
    <row r="1056" spans="1:24" x14ac:dyDescent="0.3">
      <c r="A1056" s="1" t="str">
        <f t="shared" si="199"/>
        <v>59822</v>
      </c>
      <c r="B1056" s="1" t="s">
        <v>39</v>
      </c>
      <c r="C1056" s="1" t="s">
        <v>40</v>
      </c>
      <c r="D1056" s="1" t="str">
        <f t="shared" si="201"/>
        <v>9801</v>
      </c>
      <c r="E1056" s="1" t="s">
        <v>25</v>
      </c>
      <c r="F1056" s="1" t="str">
        <f>"162137713"</f>
        <v>162137713</v>
      </c>
      <c r="G1056" s="1" t="s">
        <v>33</v>
      </c>
      <c r="H1056" s="1" t="str">
        <f t="shared" si="197"/>
        <v>20220906</v>
      </c>
      <c r="I1056" s="1" t="str">
        <f>"163927"</f>
        <v>163927</v>
      </c>
      <c r="J1056" s="1" t="s">
        <v>27</v>
      </c>
      <c r="K1056" s="1" t="s">
        <v>28</v>
      </c>
      <c r="L1056" s="1" t="str">
        <f t="shared" si="198"/>
        <v>20220906</v>
      </c>
      <c r="M1056" s="1" t="str">
        <f>"170521"</f>
        <v>170521</v>
      </c>
      <c r="N1056" s="1" t="s">
        <v>44</v>
      </c>
      <c r="O1056" s="1" t="s">
        <v>45</v>
      </c>
      <c r="P1056" s="1" t="s">
        <v>55</v>
      </c>
      <c r="Q1056" s="1">
        <v>25</v>
      </c>
      <c r="R1056" s="1">
        <v>0</v>
      </c>
      <c r="S1056" s="1">
        <v>25</v>
      </c>
      <c r="T1056" s="1">
        <v>0</v>
      </c>
      <c r="U1056" s="1">
        <v>0</v>
      </c>
      <c r="V1056" s="1" t="str">
        <f t="shared" si="200"/>
        <v>里程去程</v>
      </c>
      <c r="W1056" s="1" t="str">
        <f>"0820"</f>
        <v>0820</v>
      </c>
      <c r="X1056" s="1" t="s">
        <v>35</v>
      </c>
    </row>
    <row r="1057" spans="1:24" x14ac:dyDescent="0.3">
      <c r="A1057" s="1" t="str">
        <f t="shared" si="199"/>
        <v>59822</v>
      </c>
      <c r="B1057" s="1" t="s">
        <v>39</v>
      </c>
      <c r="C1057" s="1" t="s">
        <v>40</v>
      </c>
      <c r="D1057" s="1" t="str">
        <f t="shared" si="201"/>
        <v>9801</v>
      </c>
      <c r="E1057" s="1" t="s">
        <v>25</v>
      </c>
      <c r="F1057" s="1" t="str">
        <f>"1406568129"</f>
        <v>1406568129</v>
      </c>
      <c r="G1057" s="1" t="s">
        <v>26</v>
      </c>
      <c r="H1057" s="1" t="str">
        <f t="shared" si="197"/>
        <v>20220906</v>
      </c>
      <c r="I1057" s="1" t="str">
        <f>"163932"</f>
        <v>163932</v>
      </c>
      <c r="J1057" s="1" t="s">
        <v>27</v>
      </c>
      <c r="K1057" s="1" t="s">
        <v>28</v>
      </c>
      <c r="L1057" s="1" t="str">
        <f t="shared" si="198"/>
        <v>20220906</v>
      </c>
      <c r="M1057" s="1" t="str">
        <f>"170138"</f>
        <v>170138</v>
      </c>
      <c r="N1057" s="1" t="s">
        <v>44</v>
      </c>
      <c r="O1057" s="1" t="s">
        <v>45</v>
      </c>
      <c r="P1057" s="1" t="s">
        <v>55</v>
      </c>
      <c r="Q1057" s="1">
        <v>13</v>
      </c>
      <c r="R1057" s="1">
        <v>13</v>
      </c>
      <c r="S1057" s="1">
        <v>0</v>
      </c>
      <c r="T1057" s="1">
        <v>0</v>
      </c>
      <c r="U1057" s="1">
        <v>0</v>
      </c>
      <c r="V1057" s="1" t="str">
        <f t="shared" si="200"/>
        <v>里程去程</v>
      </c>
      <c r="W1057" s="1" t="str">
        <f>"0220"</f>
        <v>0220</v>
      </c>
      <c r="X1057" s="1" t="s">
        <v>35</v>
      </c>
    </row>
    <row r="1058" spans="1:24" x14ac:dyDescent="0.3">
      <c r="A1058" s="1" t="str">
        <f t="shared" si="199"/>
        <v>59822</v>
      </c>
      <c r="B1058" s="1" t="s">
        <v>39</v>
      </c>
      <c r="C1058" s="1" t="s">
        <v>40</v>
      </c>
      <c r="D1058" s="1" t="str">
        <f t="shared" si="201"/>
        <v>9801</v>
      </c>
      <c r="E1058" s="1" t="s">
        <v>25</v>
      </c>
      <c r="F1058" s="1" t="str">
        <f>"1205824277"</f>
        <v>1205824277</v>
      </c>
      <c r="G1058" s="1" t="s">
        <v>38</v>
      </c>
      <c r="H1058" s="1" t="str">
        <f t="shared" si="197"/>
        <v>20220906</v>
      </c>
      <c r="I1058" s="1" t="str">
        <f>"165005"</f>
        <v>165005</v>
      </c>
      <c r="J1058" s="1" t="s">
        <v>79</v>
      </c>
      <c r="K1058" s="1" t="s">
        <v>45</v>
      </c>
      <c r="L1058" s="1" t="str">
        <f t="shared" si="198"/>
        <v>20220906</v>
      </c>
      <c r="M1058" s="1" t="str">
        <f>"170524"</f>
        <v>170524</v>
      </c>
      <c r="N1058" s="1" t="s">
        <v>44</v>
      </c>
      <c r="O1058" s="1" t="s">
        <v>45</v>
      </c>
      <c r="P1058" s="1" t="s">
        <v>55</v>
      </c>
      <c r="Q1058" s="1">
        <v>25</v>
      </c>
      <c r="R1058" s="1">
        <v>0</v>
      </c>
      <c r="S1058" s="1">
        <v>25</v>
      </c>
      <c r="T1058" s="1">
        <v>0</v>
      </c>
      <c r="U1058" s="1">
        <v>0</v>
      </c>
      <c r="V1058" s="1" t="str">
        <f t="shared" si="200"/>
        <v>里程去程</v>
      </c>
      <c r="W1058" s="1" t="str">
        <f>"2020"</f>
        <v>2020</v>
      </c>
      <c r="X1058" s="1" t="s">
        <v>35</v>
      </c>
    </row>
    <row r="1059" spans="1:24" x14ac:dyDescent="0.3">
      <c r="A1059" s="1" t="str">
        <f t="shared" si="199"/>
        <v>59822</v>
      </c>
      <c r="B1059" s="1" t="s">
        <v>39</v>
      </c>
      <c r="C1059" s="1" t="s">
        <v>40</v>
      </c>
      <c r="D1059" s="1" t="str">
        <f t="shared" si="201"/>
        <v>9801</v>
      </c>
      <c r="E1059" s="1" t="s">
        <v>25</v>
      </c>
      <c r="F1059" s="1" t="str">
        <f>"F2931A0378880400C834002000000015"</f>
        <v>F2931A0378880400C834002000000015</v>
      </c>
      <c r="G1059" s="1" t="s">
        <v>74</v>
      </c>
      <c r="H1059" s="1" t="str">
        <f t="shared" si="197"/>
        <v>20220906</v>
      </c>
      <c r="I1059" s="1" t="str">
        <f>"182347"</f>
        <v>182347</v>
      </c>
      <c r="J1059" s="1" t="s">
        <v>60</v>
      </c>
      <c r="K1059" s="1" t="s">
        <v>52</v>
      </c>
      <c r="L1059" s="1" t="str">
        <f t="shared" si="198"/>
        <v>20220906</v>
      </c>
      <c r="M1059" s="1" t="str">
        <f>"182556"</f>
        <v>182556</v>
      </c>
      <c r="N1059" s="1" t="s">
        <v>86</v>
      </c>
      <c r="O1059" s="1" t="s">
        <v>52</v>
      </c>
      <c r="P1059" s="1" t="s">
        <v>68</v>
      </c>
      <c r="Q1059" s="1">
        <v>13</v>
      </c>
      <c r="R1059" s="1">
        <v>0</v>
      </c>
      <c r="S1059" s="1">
        <v>0</v>
      </c>
      <c r="T1059" s="1">
        <v>13</v>
      </c>
      <c r="U1059" s="1">
        <v>0</v>
      </c>
      <c r="V1059" s="1" t="str">
        <f t="shared" ref="V1059:V1066" si="202">"里程返程"</f>
        <v>里程返程</v>
      </c>
      <c r="W1059" s="1" t="str">
        <f>"0020"</f>
        <v>0020</v>
      </c>
      <c r="X1059" s="1" t="s">
        <v>29</v>
      </c>
    </row>
    <row r="1060" spans="1:24" x14ac:dyDescent="0.3">
      <c r="A1060" s="1" t="str">
        <f t="shared" si="199"/>
        <v>59822</v>
      </c>
      <c r="B1060" s="1" t="s">
        <v>39</v>
      </c>
      <c r="C1060" s="1" t="s">
        <v>40</v>
      </c>
      <c r="D1060" s="1" t="str">
        <f t="shared" si="201"/>
        <v>9801</v>
      </c>
      <c r="E1060" s="1" t="s">
        <v>25</v>
      </c>
      <c r="F1060" s="1" t="str">
        <f>"3758942023"</f>
        <v>3758942023</v>
      </c>
      <c r="G1060" s="1" t="s">
        <v>33</v>
      </c>
      <c r="H1060" s="1" t="str">
        <f t="shared" si="197"/>
        <v>20220906</v>
      </c>
      <c r="I1060" s="1" t="str">
        <f>"183947"</f>
        <v>183947</v>
      </c>
      <c r="J1060" s="1" t="s">
        <v>61</v>
      </c>
      <c r="K1060" s="1" t="s">
        <v>45</v>
      </c>
      <c r="L1060" s="1" t="str">
        <f t="shared" si="198"/>
        <v>20220906</v>
      </c>
      <c r="M1060" s="1" t="str">
        <f>"185016"</f>
        <v>185016</v>
      </c>
      <c r="N1060" s="1" t="s">
        <v>28</v>
      </c>
      <c r="O1060" s="1" t="s">
        <v>28</v>
      </c>
      <c r="P1060" s="1" t="s">
        <v>55</v>
      </c>
      <c r="Q1060" s="1">
        <v>25</v>
      </c>
      <c r="R1060" s="1">
        <v>25</v>
      </c>
      <c r="S1060" s="1">
        <v>0</v>
      </c>
      <c r="T1060" s="1">
        <v>0</v>
      </c>
      <c r="U1060" s="1">
        <v>0</v>
      </c>
      <c r="V1060" s="1" t="str">
        <f t="shared" si="202"/>
        <v>里程返程</v>
      </c>
      <c r="W1060" s="1" t="str">
        <f>"0620"</f>
        <v>0620</v>
      </c>
      <c r="X1060" s="1" t="s">
        <v>35</v>
      </c>
    </row>
    <row r="1061" spans="1:24" x14ac:dyDescent="0.3">
      <c r="A1061" s="1" t="str">
        <f t="shared" si="199"/>
        <v>59822</v>
      </c>
      <c r="B1061" s="1" t="s">
        <v>39</v>
      </c>
      <c r="C1061" s="1" t="s">
        <v>40</v>
      </c>
      <c r="D1061" s="1" t="str">
        <f t="shared" si="201"/>
        <v>9801</v>
      </c>
      <c r="E1061" s="1" t="s">
        <v>25</v>
      </c>
      <c r="F1061" s="1" t="str">
        <f>"12827315F628040080CEDA1449814018"</f>
        <v>12827315F628040080CEDA1449814018</v>
      </c>
      <c r="G1061" s="1" t="s">
        <v>58</v>
      </c>
      <c r="H1061" s="1" t="str">
        <f t="shared" si="197"/>
        <v>20220906</v>
      </c>
      <c r="I1061" s="1" t="str">
        <f>"185058"</f>
        <v>185058</v>
      </c>
      <c r="J1061" s="1" t="s">
        <v>28</v>
      </c>
      <c r="K1061" s="1" t="s">
        <v>28</v>
      </c>
      <c r="L1061" s="1" t="str">
        <f t="shared" si="198"/>
        <v>20220906</v>
      </c>
      <c r="M1061" s="1" t="str">
        <f>"192240"</f>
        <v>192240</v>
      </c>
      <c r="N1061" s="1" t="s">
        <v>52</v>
      </c>
      <c r="O1061" s="1" t="s">
        <v>52</v>
      </c>
      <c r="P1061" s="1" t="s">
        <v>55</v>
      </c>
      <c r="Q1061" s="1">
        <v>25</v>
      </c>
      <c r="R1061" s="1">
        <v>0</v>
      </c>
      <c r="S1061" s="1">
        <v>25</v>
      </c>
      <c r="T1061" s="1">
        <v>0</v>
      </c>
      <c r="U1061" s="1">
        <v>0</v>
      </c>
      <c r="V1061" s="1" t="str">
        <f t="shared" si="202"/>
        <v>里程返程</v>
      </c>
      <c r="W1061" s="1" t="str">
        <f>"1120"</f>
        <v>1120</v>
      </c>
      <c r="X1061" s="1" t="s">
        <v>29</v>
      </c>
    </row>
    <row r="1062" spans="1:24" x14ac:dyDescent="0.3">
      <c r="A1062" s="1" t="str">
        <f t="shared" si="199"/>
        <v>59822</v>
      </c>
      <c r="B1062" s="1" t="s">
        <v>39</v>
      </c>
      <c r="C1062" s="1" t="s">
        <v>40</v>
      </c>
      <c r="D1062" s="1" t="str">
        <f t="shared" si="201"/>
        <v>9801</v>
      </c>
      <c r="E1062" s="1" t="s">
        <v>25</v>
      </c>
      <c r="F1062" s="1" t="str">
        <f>"712947415E280400F700000000000000"</f>
        <v>712947415E280400F700000000000000</v>
      </c>
      <c r="G1062" s="1" t="s">
        <v>58</v>
      </c>
      <c r="H1062" s="1" t="str">
        <f t="shared" si="197"/>
        <v>20220906</v>
      </c>
      <c r="I1062" s="1" t="str">
        <f>"185059"</f>
        <v>185059</v>
      </c>
      <c r="J1062" s="1" t="s">
        <v>28</v>
      </c>
      <c r="K1062" s="1" t="s">
        <v>28</v>
      </c>
      <c r="L1062" s="1" t="str">
        <f t="shared" si="198"/>
        <v>20220906</v>
      </c>
      <c r="M1062" s="1" t="str">
        <f>"192243"</f>
        <v>192243</v>
      </c>
      <c r="N1062" s="1" t="s">
        <v>52</v>
      </c>
      <c r="O1062" s="1" t="s">
        <v>52</v>
      </c>
      <c r="P1062" s="1" t="s">
        <v>55</v>
      </c>
      <c r="Q1062" s="1">
        <v>25</v>
      </c>
      <c r="R1062" s="1">
        <v>0</v>
      </c>
      <c r="S1062" s="1">
        <v>25</v>
      </c>
      <c r="T1062" s="1">
        <v>0</v>
      </c>
      <c r="U1062" s="1">
        <v>0</v>
      </c>
      <c r="V1062" s="1" t="str">
        <f t="shared" si="202"/>
        <v>里程返程</v>
      </c>
      <c r="W1062" s="1" t="str">
        <f>"1120"</f>
        <v>1120</v>
      </c>
      <c r="X1062" s="1" t="s">
        <v>29</v>
      </c>
    </row>
    <row r="1063" spans="1:24" x14ac:dyDescent="0.3">
      <c r="A1063" s="1" t="str">
        <f t="shared" si="199"/>
        <v>59822</v>
      </c>
      <c r="B1063" s="1" t="s">
        <v>39</v>
      </c>
      <c r="C1063" s="1" t="s">
        <v>40</v>
      </c>
      <c r="D1063" s="1" t="str">
        <f t="shared" si="201"/>
        <v>9801</v>
      </c>
      <c r="E1063" s="1" t="s">
        <v>25</v>
      </c>
      <c r="F1063" s="1" t="str">
        <f>"969584833"</f>
        <v>969584833</v>
      </c>
      <c r="G1063" s="1" t="s">
        <v>33</v>
      </c>
      <c r="H1063" s="1" t="str">
        <f t="shared" si="197"/>
        <v>20220906</v>
      </c>
      <c r="I1063" s="1" t="str">
        <f>"185106"</f>
        <v>185106</v>
      </c>
      <c r="J1063" s="1" t="s">
        <v>28</v>
      </c>
      <c r="K1063" s="1" t="s">
        <v>28</v>
      </c>
      <c r="L1063" s="1" t="str">
        <f t="shared" si="198"/>
        <v>20220906</v>
      </c>
      <c r="M1063" s="1" t="str">
        <f>"191350"</f>
        <v>191350</v>
      </c>
      <c r="N1063" s="1" t="s">
        <v>65</v>
      </c>
      <c r="O1063" s="1" t="s">
        <v>52</v>
      </c>
      <c r="P1063" s="1" t="s">
        <v>55</v>
      </c>
      <c r="Q1063" s="1">
        <v>25</v>
      </c>
      <c r="R1063" s="1">
        <v>25</v>
      </c>
      <c r="S1063" s="1">
        <v>0</v>
      </c>
      <c r="T1063" s="1">
        <v>0</v>
      </c>
      <c r="U1063" s="1">
        <v>0</v>
      </c>
      <c r="V1063" s="1" t="str">
        <f t="shared" si="202"/>
        <v>里程返程</v>
      </c>
      <c r="W1063" s="1" t="str">
        <f>"1420"</f>
        <v>1420</v>
      </c>
      <c r="X1063" s="1" t="s">
        <v>35</v>
      </c>
    </row>
    <row r="1064" spans="1:24" x14ac:dyDescent="0.3">
      <c r="A1064" s="1" t="str">
        <f t="shared" si="199"/>
        <v>59822</v>
      </c>
      <c r="B1064" s="1" t="s">
        <v>39</v>
      </c>
      <c r="C1064" s="1" t="s">
        <v>40</v>
      </c>
      <c r="D1064" s="1" t="str">
        <f t="shared" si="201"/>
        <v>9801</v>
      </c>
      <c r="E1064" s="1" t="s">
        <v>25</v>
      </c>
      <c r="F1064" s="1" t="str">
        <f>"D2741608B8880400C847002000000015"</f>
        <v>D2741608B8880400C847002000000015</v>
      </c>
      <c r="G1064" s="1" t="s">
        <v>59</v>
      </c>
      <c r="H1064" s="1" t="str">
        <f t="shared" si="197"/>
        <v>20220906</v>
      </c>
      <c r="I1064" s="1" t="str">
        <f>"185139"</f>
        <v>185139</v>
      </c>
      <c r="J1064" s="1" t="s">
        <v>28</v>
      </c>
      <c r="K1064" s="1" t="s">
        <v>28</v>
      </c>
      <c r="L1064" s="1" t="str">
        <f t="shared" si="198"/>
        <v>20220906</v>
      </c>
      <c r="M1064" s="1" t="str">
        <f>"192237"</f>
        <v>192237</v>
      </c>
      <c r="N1064" s="1" t="s">
        <v>52</v>
      </c>
      <c r="O1064" s="1" t="s">
        <v>52</v>
      </c>
      <c r="P1064" s="1" t="s">
        <v>55</v>
      </c>
      <c r="Q1064" s="1">
        <v>25</v>
      </c>
      <c r="R1064" s="1">
        <v>0</v>
      </c>
      <c r="S1064" s="1">
        <v>25</v>
      </c>
      <c r="T1064" s="1">
        <v>0</v>
      </c>
      <c r="U1064" s="1">
        <v>0</v>
      </c>
      <c r="V1064" s="1" t="str">
        <f t="shared" si="202"/>
        <v>里程返程</v>
      </c>
      <c r="W1064" s="1" t="str">
        <f>"1120"</f>
        <v>1120</v>
      </c>
      <c r="X1064" s="1" t="s">
        <v>29</v>
      </c>
    </row>
    <row r="1065" spans="1:24" x14ac:dyDescent="0.3">
      <c r="A1065" s="1" t="str">
        <f t="shared" si="199"/>
        <v>59822</v>
      </c>
      <c r="B1065" s="1" t="s">
        <v>39</v>
      </c>
      <c r="C1065" s="1" t="s">
        <v>40</v>
      </c>
      <c r="D1065" s="1" t="str">
        <f t="shared" si="201"/>
        <v>9801</v>
      </c>
      <c r="E1065" s="1" t="s">
        <v>25</v>
      </c>
      <c r="F1065" s="1" t="str">
        <f>"C2A67B021D880400C821002000000015"</f>
        <v>C2A67B021D880400C821002000000015</v>
      </c>
      <c r="G1065" s="1" t="s">
        <v>58</v>
      </c>
      <c r="H1065" s="1" t="str">
        <f t="shared" si="197"/>
        <v>20220906</v>
      </c>
      <c r="I1065" s="1" t="str">
        <f>"185145"</f>
        <v>185145</v>
      </c>
      <c r="J1065" s="1" t="s">
        <v>28</v>
      </c>
      <c r="K1065" s="1" t="s">
        <v>28</v>
      </c>
      <c r="L1065" s="1" t="str">
        <f t="shared" si="198"/>
        <v>20220906</v>
      </c>
      <c r="M1065" s="1" t="str">
        <f>"192227"</f>
        <v>192227</v>
      </c>
      <c r="N1065" s="1" t="s">
        <v>52</v>
      </c>
      <c r="O1065" s="1" t="s">
        <v>52</v>
      </c>
      <c r="P1065" s="1" t="s">
        <v>55</v>
      </c>
      <c r="Q1065" s="1">
        <v>25</v>
      </c>
      <c r="R1065" s="1">
        <v>25</v>
      </c>
      <c r="S1065" s="1">
        <v>0</v>
      </c>
      <c r="T1065" s="1">
        <v>0</v>
      </c>
      <c r="U1065" s="1">
        <v>0</v>
      </c>
      <c r="V1065" s="1" t="str">
        <f t="shared" si="202"/>
        <v>里程返程</v>
      </c>
      <c r="W1065" s="1" t="str">
        <f>"0020"</f>
        <v>0020</v>
      </c>
      <c r="X1065" s="1" t="s">
        <v>29</v>
      </c>
    </row>
    <row r="1066" spans="1:24" x14ac:dyDescent="0.3">
      <c r="A1066" s="1" t="str">
        <f t="shared" si="199"/>
        <v>59822</v>
      </c>
      <c r="B1066" s="1" t="s">
        <v>39</v>
      </c>
      <c r="C1066" s="1" t="s">
        <v>40</v>
      </c>
      <c r="D1066" s="1" t="str">
        <f t="shared" si="201"/>
        <v>9801</v>
      </c>
      <c r="E1066" s="1" t="s">
        <v>25</v>
      </c>
      <c r="F1066" s="1" t="str">
        <f>"E130C75F492804001C00000000000000"</f>
        <v>E130C75F492804001C00000000000000</v>
      </c>
      <c r="G1066" s="1" t="s">
        <v>58</v>
      </c>
      <c r="H1066" s="1" t="str">
        <f t="shared" si="197"/>
        <v>20220906</v>
      </c>
      <c r="I1066" s="1" t="str">
        <f>"185258"</f>
        <v>185258</v>
      </c>
      <c r="J1066" s="1" t="s">
        <v>28</v>
      </c>
      <c r="K1066" s="1" t="s">
        <v>28</v>
      </c>
      <c r="L1066" s="1" t="str">
        <f t="shared" si="198"/>
        <v>20220906</v>
      </c>
      <c r="M1066" s="1" t="str">
        <f>"191044"</f>
        <v>191044</v>
      </c>
      <c r="N1066" s="1" t="s">
        <v>80</v>
      </c>
      <c r="O1066" s="1" t="s">
        <v>52</v>
      </c>
      <c r="P1066" s="1" t="s">
        <v>55</v>
      </c>
      <c r="Q1066" s="1">
        <v>25</v>
      </c>
      <c r="R1066" s="1">
        <v>0</v>
      </c>
      <c r="S1066" s="1">
        <v>25</v>
      </c>
      <c r="T1066" s="1">
        <v>0</v>
      </c>
      <c r="U1066" s="1">
        <v>0</v>
      </c>
      <c r="V1066" s="1" t="str">
        <f t="shared" si="202"/>
        <v>里程返程</v>
      </c>
      <c r="W1066" s="1" t="str">
        <f>"0620"</f>
        <v>0620</v>
      </c>
      <c r="X1066" s="1" t="s">
        <v>29</v>
      </c>
    </row>
    <row r="1067" spans="1:24" x14ac:dyDescent="0.3">
      <c r="A1067" s="1" t="str">
        <f t="shared" si="199"/>
        <v>59822</v>
      </c>
      <c r="B1067" s="1" t="s">
        <v>39</v>
      </c>
      <c r="C1067" s="1" t="s">
        <v>40</v>
      </c>
      <c r="D1067" s="1" t="str">
        <f t="shared" si="201"/>
        <v>9801</v>
      </c>
      <c r="E1067" s="1" t="s">
        <v>25</v>
      </c>
      <c r="F1067" s="1" t="str">
        <f>"41E6A74444280400F700000000000000"</f>
        <v>41E6A74444280400F700000000000000</v>
      </c>
      <c r="G1067" s="1" t="s">
        <v>58</v>
      </c>
      <c r="H1067" s="1" t="str">
        <f t="shared" si="197"/>
        <v>20220906</v>
      </c>
      <c r="I1067" s="1" t="str">
        <f>"203353"</f>
        <v>203353</v>
      </c>
      <c r="J1067" s="1" t="s">
        <v>27</v>
      </c>
      <c r="K1067" s="1" t="s">
        <v>28</v>
      </c>
      <c r="L1067" s="1" t="str">
        <f t="shared" si="198"/>
        <v>20220906</v>
      </c>
      <c r="M1067" s="1" t="str">
        <f>"204936"</f>
        <v>204936</v>
      </c>
      <c r="N1067" s="1" t="s">
        <v>75</v>
      </c>
      <c r="O1067" s="1" t="s">
        <v>45</v>
      </c>
      <c r="P1067" s="1" t="s">
        <v>55</v>
      </c>
      <c r="Q1067" s="1">
        <v>25</v>
      </c>
      <c r="R1067" s="1">
        <v>0</v>
      </c>
      <c r="S1067" s="1">
        <v>25</v>
      </c>
      <c r="T1067" s="1">
        <v>0</v>
      </c>
      <c r="U1067" s="1">
        <v>0</v>
      </c>
      <c r="V1067" s="1" t="str">
        <f>"里程去程"</f>
        <v>里程去程</v>
      </c>
      <c r="W1067" s="1" t="str">
        <f>"0620"</f>
        <v>0620</v>
      </c>
      <c r="X1067" s="1" t="s">
        <v>29</v>
      </c>
    </row>
    <row r="1068" spans="1:24" x14ac:dyDescent="0.3">
      <c r="A1068" s="1" t="str">
        <f t="shared" si="199"/>
        <v>59822</v>
      </c>
      <c r="B1068" s="1" t="s">
        <v>39</v>
      </c>
      <c r="C1068" s="1" t="s">
        <v>40</v>
      </c>
      <c r="D1068" s="1" t="str">
        <f t="shared" si="201"/>
        <v>9801</v>
      </c>
      <c r="E1068" s="1" t="s">
        <v>25</v>
      </c>
      <c r="F1068" s="1" t="str">
        <f>"3578288275"</f>
        <v>3578288275</v>
      </c>
      <c r="G1068" s="1" t="s">
        <v>33</v>
      </c>
      <c r="H1068" s="1" t="str">
        <f t="shared" si="197"/>
        <v>20220906</v>
      </c>
      <c r="I1068" s="1" t="str">
        <f>"203357"</f>
        <v>203357</v>
      </c>
      <c r="J1068" s="1" t="s">
        <v>27</v>
      </c>
      <c r="K1068" s="1" t="s">
        <v>28</v>
      </c>
      <c r="L1068" s="1" t="str">
        <f t="shared" si="198"/>
        <v>20220906</v>
      </c>
      <c r="M1068" s="1" t="str">
        <f>"204934"</f>
        <v>204934</v>
      </c>
      <c r="N1068" s="1" t="s">
        <v>75</v>
      </c>
      <c r="O1068" s="1" t="s">
        <v>45</v>
      </c>
      <c r="P1068" s="1" t="s">
        <v>55</v>
      </c>
      <c r="Q1068" s="1">
        <v>25</v>
      </c>
      <c r="R1068" s="1">
        <v>0</v>
      </c>
      <c r="S1068" s="1">
        <v>25</v>
      </c>
      <c r="T1068" s="1">
        <v>0</v>
      </c>
      <c r="U1068" s="1">
        <v>0</v>
      </c>
      <c r="V1068" s="1" t="str">
        <f>"里程去程"</f>
        <v>里程去程</v>
      </c>
      <c r="W1068" s="1" t="str">
        <f>"0820"</f>
        <v>0820</v>
      </c>
      <c r="X1068" s="1" t="s">
        <v>35</v>
      </c>
    </row>
    <row r="1069" spans="1:24" x14ac:dyDescent="0.3">
      <c r="A1069" s="1" t="str">
        <f t="shared" si="199"/>
        <v>59822</v>
      </c>
      <c r="B1069" s="1" t="s">
        <v>39</v>
      </c>
      <c r="C1069" s="1" t="s">
        <v>40</v>
      </c>
      <c r="D1069" s="1" t="str">
        <f>"9805"</f>
        <v>9805</v>
      </c>
      <c r="E1069" s="1" t="s">
        <v>57</v>
      </c>
      <c r="F1069" s="1" t="str">
        <f>"1715139285"</f>
        <v>1715139285</v>
      </c>
      <c r="G1069" s="1" t="s">
        <v>33</v>
      </c>
      <c r="H1069" s="1" t="str">
        <f t="shared" si="197"/>
        <v>20220906</v>
      </c>
      <c r="I1069" s="1" t="str">
        <f>"214410"</f>
        <v>214410</v>
      </c>
      <c r="J1069" s="1" t="s">
        <v>62</v>
      </c>
      <c r="K1069" s="1" t="s">
        <v>28</v>
      </c>
      <c r="L1069" s="1" t="str">
        <f t="shared" si="198"/>
        <v>20220906</v>
      </c>
      <c r="M1069" s="1" t="str">
        <f>"215556"</f>
        <v>215556</v>
      </c>
      <c r="N1069" s="1" t="s">
        <v>95</v>
      </c>
      <c r="O1069" s="1" t="s">
        <v>28</v>
      </c>
      <c r="P1069" s="1" t="s">
        <v>55</v>
      </c>
      <c r="Q1069" s="1">
        <v>25</v>
      </c>
      <c r="R1069" s="1">
        <v>0</v>
      </c>
      <c r="S1069" s="1">
        <v>25</v>
      </c>
      <c r="T1069" s="1">
        <v>0</v>
      </c>
      <c r="U1069" s="1">
        <v>0</v>
      </c>
      <c r="V1069" s="1" t="str">
        <f>"里程返程"</f>
        <v>里程返程</v>
      </c>
      <c r="W1069" s="1" t="str">
        <f>"2020"</f>
        <v>2020</v>
      </c>
      <c r="X1069" s="1" t="s">
        <v>35</v>
      </c>
    </row>
    <row r="1070" spans="1:24" x14ac:dyDescent="0.3">
      <c r="A1070" s="1" t="str">
        <f t="shared" ref="A1070:A1101" si="203">"59823"</f>
        <v>59823</v>
      </c>
      <c r="B1070" s="1" t="s">
        <v>36</v>
      </c>
      <c r="C1070" s="1" t="s">
        <v>37</v>
      </c>
      <c r="D1070" s="1" t="str">
        <f>"9806"</f>
        <v>9806</v>
      </c>
      <c r="E1070" s="1" t="s">
        <v>49</v>
      </c>
      <c r="F1070" s="1" t="str">
        <f>"1695105317"</f>
        <v>1695105317</v>
      </c>
      <c r="G1070" s="1" t="s">
        <v>33</v>
      </c>
      <c r="H1070" s="1" t="str">
        <f t="shared" si="197"/>
        <v>20220906</v>
      </c>
      <c r="I1070" s="1" t="str">
        <f>"064805"</f>
        <v>064805</v>
      </c>
      <c r="J1070" s="1" t="s">
        <v>28</v>
      </c>
      <c r="K1070" s="1" t="s">
        <v>28</v>
      </c>
      <c r="L1070" s="1" t="str">
        <f t="shared" si="198"/>
        <v>20220906</v>
      </c>
      <c r="M1070" s="1" t="str">
        <f>"070706"</f>
        <v>070706</v>
      </c>
      <c r="N1070" s="1" t="s">
        <v>99</v>
      </c>
      <c r="O1070" s="1" t="s">
        <v>28</v>
      </c>
      <c r="P1070" s="1" t="s">
        <v>55</v>
      </c>
      <c r="Q1070" s="1">
        <v>25</v>
      </c>
      <c r="R1070" s="1">
        <v>0</v>
      </c>
      <c r="S1070" s="1">
        <v>25</v>
      </c>
      <c r="T1070" s="1">
        <v>0</v>
      </c>
      <c r="U1070" s="1">
        <v>0</v>
      </c>
      <c r="V1070" s="1" t="str">
        <f>"里程返程"</f>
        <v>里程返程</v>
      </c>
      <c r="W1070" s="1" t="str">
        <f>"0820"</f>
        <v>0820</v>
      </c>
      <c r="X1070" s="1" t="s">
        <v>35</v>
      </c>
    </row>
    <row r="1071" spans="1:24" x14ac:dyDescent="0.3">
      <c r="A1071" s="1" t="str">
        <f t="shared" si="203"/>
        <v>59823</v>
      </c>
      <c r="B1071" s="1" t="s">
        <v>36</v>
      </c>
      <c r="C1071" s="1" t="s">
        <v>37</v>
      </c>
      <c r="D1071" s="1" t="str">
        <f>"9806"</f>
        <v>9806</v>
      </c>
      <c r="E1071" s="1" t="s">
        <v>49</v>
      </c>
      <c r="F1071" s="1" t="str">
        <f>"1202E702F5880400C834002000000015"</f>
        <v>1202E702F5880400C834002000000015</v>
      </c>
      <c r="G1071" s="1" t="s">
        <v>74</v>
      </c>
      <c r="H1071" s="1" t="str">
        <f t="shared" si="197"/>
        <v>20220906</v>
      </c>
      <c r="I1071" s="1" t="str">
        <f>"065544"</f>
        <v>065544</v>
      </c>
      <c r="J1071" s="1" t="s">
        <v>101</v>
      </c>
      <c r="K1071" s="1" t="s">
        <v>28</v>
      </c>
      <c r="L1071" s="1" t="str">
        <f t="shared" si="198"/>
        <v>20220906</v>
      </c>
      <c r="M1071" s="1" t="str">
        <f>"070713"</f>
        <v>070713</v>
      </c>
      <c r="N1071" s="1" t="s">
        <v>99</v>
      </c>
      <c r="O1071" s="1" t="s">
        <v>28</v>
      </c>
      <c r="P1071" s="1" t="s">
        <v>68</v>
      </c>
      <c r="Q1071" s="1">
        <v>13</v>
      </c>
      <c r="R1071" s="1">
        <v>0</v>
      </c>
      <c r="S1071" s="1">
        <v>0</v>
      </c>
      <c r="T1071" s="1">
        <v>13</v>
      </c>
      <c r="U1071" s="1">
        <v>0</v>
      </c>
      <c r="V1071" s="1" t="str">
        <f>"里程返程"</f>
        <v>里程返程</v>
      </c>
      <c r="W1071" s="1" t="str">
        <f>"0020"</f>
        <v>0020</v>
      </c>
      <c r="X1071" s="1" t="s">
        <v>29</v>
      </c>
    </row>
    <row r="1072" spans="1:24" x14ac:dyDescent="0.3">
      <c r="A1072" s="1" t="str">
        <f t="shared" si="203"/>
        <v>59823</v>
      </c>
      <c r="B1072" s="1" t="s">
        <v>36</v>
      </c>
      <c r="C1072" s="1" t="s">
        <v>37</v>
      </c>
      <c r="D1072" s="1" t="str">
        <f>"9806"</f>
        <v>9806</v>
      </c>
      <c r="E1072" s="1" t="s">
        <v>49</v>
      </c>
      <c r="F1072" s="1" t="str">
        <f>"B211E70246880400C834002000000015"</f>
        <v>B211E70246880400C834002000000015</v>
      </c>
      <c r="G1072" s="1" t="s">
        <v>74</v>
      </c>
      <c r="H1072" s="1" t="str">
        <f t="shared" si="197"/>
        <v>20220906</v>
      </c>
      <c r="I1072" s="1" t="str">
        <f>"065549"</f>
        <v>065549</v>
      </c>
      <c r="J1072" s="1" t="s">
        <v>101</v>
      </c>
      <c r="K1072" s="1" t="s">
        <v>28</v>
      </c>
      <c r="L1072" s="1" t="str">
        <f t="shared" si="198"/>
        <v>20220906</v>
      </c>
      <c r="M1072" s="1" t="str">
        <f>"070709"</f>
        <v>070709</v>
      </c>
      <c r="N1072" s="1" t="s">
        <v>99</v>
      </c>
      <c r="O1072" s="1" t="s">
        <v>28</v>
      </c>
      <c r="P1072" s="1" t="s">
        <v>68</v>
      </c>
      <c r="Q1072" s="1">
        <v>13</v>
      </c>
      <c r="R1072" s="1">
        <v>0</v>
      </c>
      <c r="S1072" s="1">
        <v>0</v>
      </c>
      <c r="T1072" s="1">
        <v>13</v>
      </c>
      <c r="U1072" s="1">
        <v>0</v>
      </c>
      <c r="V1072" s="1" t="str">
        <f>"里程返程"</f>
        <v>里程返程</v>
      </c>
      <c r="W1072" s="1" t="str">
        <f>"0020"</f>
        <v>0020</v>
      </c>
      <c r="X1072" s="1" t="s">
        <v>29</v>
      </c>
    </row>
    <row r="1073" spans="1:24" x14ac:dyDescent="0.3">
      <c r="A1073" s="1" t="str">
        <f t="shared" si="203"/>
        <v>59823</v>
      </c>
      <c r="B1073" s="1" t="s">
        <v>36</v>
      </c>
      <c r="C1073" s="1" t="s">
        <v>37</v>
      </c>
      <c r="D1073" s="1" t="str">
        <f>"9806"</f>
        <v>9806</v>
      </c>
      <c r="E1073" s="1" t="s">
        <v>49</v>
      </c>
      <c r="F1073" s="1" t="str">
        <f>"92771C03FA880400C834002000000015"</f>
        <v>92771C03FA880400C834002000000015</v>
      </c>
      <c r="G1073" s="1" t="s">
        <v>74</v>
      </c>
      <c r="H1073" s="1" t="str">
        <f t="shared" si="197"/>
        <v>20220906</v>
      </c>
      <c r="I1073" s="1" t="str">
        <f>"071321"</f>
        <v>071321</v>
      </c>
      <c r="J1073" s="1" t="s">
        <v>107</v>
      </c>
      <c r="K1073" s="1" t="s">
        <v>50</v>
      </c>
      <c r="L1073" s="1" t="str">
        <f t="shared" si="198"/>
        <v>20220906</v>
      </c>
      <c r="M1073" s="1" t="str">
        <f>"073213"</f>
        <v>073213</v>
      </c>
      <c r="N1073" s="1" t="s">
        <v>28</v>
      </c>
      <c r="O1073" s="1" t="s">
        <v>28</v>
      </c>
      <c r="P1073" s="1" t="s">
        <v>68</v>
      </c>
      <c r="Q1073" s="1">
        <v>13</v>
      </c>
      <c r="R1073" s="1">
        <v>0</v>
      </c>
      <c r="S1073" s="1">
        <v>0</v>
      </c>
      <c r="T1073" s="1">
        <v>13</v>
      </c>
      <c r="U1073" s="1">
        <v>0</v>
      </c>
      <c r="V1073" s="1" t="str">
        <f t="shared" ref="V1073:V1105" si="204">"里程去程"</f>
        <v>里程去程</v>
      </c>
      <c r="W1073" s="1" t="str">
        <f>"0020"</f>
        <v>0020</v>
      </c>
      <c r="X1073" s="1" t="s">
        <v>29</v>
      </c>
    </row>
    <row r="1074" spans="1:24" x14ac:dyDescent="0.3">
      <c r="A1074" s="1" t="str">
        <f t="shared" si="203"/>
        <v>59823</v>
      </c>
      <c r="B1074" s="1" t="s">
        <v>36</v>
      </c>
      <c r="C1074" s="1" t="s">
        <v>37</v>
      </c>
      <c r="D1074" s="1" t="str">
        <f t="shared" ref="D1074:D1105" si="205">"9803"</f>
        <v>9803</v>
      </c>
      <c r="E1074" s="1" t="s">
        <v>32</v>
      </c>
      <c r="F1074" s="1" t="str">
        <f>"1033148913"</f>
        <v>1033148913</v>
      </c>
      <c r="G1074" s="1" t="s">
        <v>33</v>
      </c>
      <c r="H1074" s="1" t="str">
        <f t="shared" si="197"/>
        <v>20220906</v>
      </c>
      <c r="I1074" s="1" t="str">
        <f>"082905"</f>
        <v>082905</v>
      </c>
      <c r="J1074" s="1" t="s">
        <v>28</v>
      </c>
      <c r="K1074" s="1" t="s">
        <v>28</v>
      </c>
      <c r="L1074" s="1" t="str">
        <f t="shared" si="198"/>
        <v>20220906</v>
      </c>
      <c r="M1074" s="1" t="str">
        <f>"084812"</f>
        <v>084812</v>
      </c>
      <c r="N1074" s="1" t="s">
        <v>34</v>
      </c>
      <c r="O1074" s="1" t="s">
        <v>34</v>
      </c>
      <c r="P1074" s="1" t="s">
        <v>55</v>
      </c>
      <c r="Q1074" s="1">
        <v>25</v>
      </c>
      <c r="R1074" s="1">
        <v>25</v>
      </c>
      <c r="S1074" s="1">
        <v>0</v>
      </c>
      <c r="T1074" s="1">
        <v>0</v>
      </c>
      <c r="U1074" s="1">
        <v>0</v>
      </c>
      <c r="V1074" s="1" t="str">
        <f t="shared" si="204"/>
        <v>里程去程</v>
      </c>
      <c r="W1074" s="1" t="str">
        <f>"0820"</f>
        <v>0820</v>
      </c>
      <c r="X1074" s="1" t="s">
        <v>35</v>
      </c>
    </row>
    <row r="1075" spans="1:24" x14ac:dyDescent="0.3">
      <c r="A1075" s="1" t="str">
        <f t="shared" si="203"/>
        <v>59823</v>
      </c>
      <c r="B1075" s="1" t="s">
        <v>36</v>
      </c>
      <c r="C1075" s="1" t="s">
        <v>37</v>
      </c>
      <c r="D1075" s="1" t="str">
        <f t="shared" si="205"/>
        <v>9803</v>
      </c>
      <c r="E1075" s="1" t="s">
        <v>32</v>
      </c>
      <c r="F1075" s="1" t="str">
        <f>"1658563984"</f>
        <v>1658563984</v>
      </c>
      <c r="G1075" s="1" t="s">
        <v>33</v>
      </c>
      <c r="H1075" s="1" t="str">
        <f t="shared" si="197"/>
        <v>20220906</v>
      </c>
      <c r="I1075" s="1" t="str">
        <f>"102657"</f>
        <v>102657</v>
      </c>
      <c r="J1075" s="1" t="s">
        <v>28</v>
      </c>
      <c r="K1075" s="1" t="s">
        <v>28</v>
      </c>
      <c r="L1075" s="1" t="str">
        <f t="shared" si="198"/>
        <v>20220906</v>
      </c>
      <c r="M1075" s="1" t="str">
        <f>"104821"</f>
        <v>104821</v>
      </c>
      <c r="N1075" s="1" t="s">
        <v>34</v>
      </c>
      <c r="O1075" s="1" t="s">
        <v>34</v>
      </c>
      <c r="P1075" s="1" t="s">
        <v>55</v>
      </c>
      <c r="Q1075" s="1">
        <v>25</v>
      </c>
      <c r="R1075" s="1">
        <v>25</v>
      </c>
      <c r="S1075" s="1">
        <v>0</v>
      </c>
      <c r="T1075" s="1">
        <v>0</v>
      </c>
      <c r="U1075" s="1">
        <v>0</v>
      </c>
      <c r="V1075" s="1" t="str">
        <f t="shared" si="204"/>
        <v>里程去程</v>
      </c>
      <c r="W1075" s="1" t="str">
        <f>"0120"</f>
        <v>0120</v>
      </c>
      <c r="X1075" s="1" t="s">
        <v>35</v>
      </c>
    </row>
    <row r="1076" spans="1:24" x14ac:dyDescent="0.3">
      <c r="A1076" s="1" t="str">
        <f t="shared" si="203"/>
        <v>59823</v>
      </c>
      <c r="B1076" s="1" t="s">
        <v>36</v>
      </c>
      <c r="C1076" s="1" t="s">
        <v>37</v>
      </c>
      <c r="D1076" s="1" t="str">
        <f t="shared" si="205"/>
        <v>9803</v>
      </c>
      <c r="E1076" s="1" t="s">
        <v>32</v>
      </c>
      <c r="F1076" s="1" t="str">
        <f>"138472325"</f>
        <v>138472325</v>
      </c>
      <c r="G1076" s="1" t="s">
        <v>33</v>
      </c>
      <c r="H1076" s="1" t="str">
        <f t="shared" si="197"/>
        <v>20220906</v>
      </c>
      <c r="I1076" s="1" t="str">
        <f>"102659"</f>
        <v>102659</v>
      </c>
      <c r="J1076" s="1" t="s">
        <v>28</v>
      </c>
      <c r="K1076" s="1" t="s">
        <v>28</v>
      </c>
      <c r="L1076" s="1" t="str">
        <f t="shared" si="198"/>
        <v>20220906</v>
      </c>
      <c r="M1076" s="1" t="str">
        <f>"104814"</f>
        <v>104814</v>
      </c>
      <c r="N1076" s="1" t="s">
        <v>34</v>
      </c>
      <c r="O1076" s="1" t="s">
        <v>34</v>
      </c>
      <c r="P1076" s="1" t="s">
        <v>55</v>
      </c>
      <c r="Q1076" s="1">
        <v>25</v>
      </c>
      <c r="R1076" s="1">
        <v>25</v>
      </c>
      <c r="S1076" s="1">
        <v>0</v>
      </c>
      <c r="T1076" s="1">
        <v>0</v>
      </c>
      <c r="U1076" s="1">
        <v>0</v>
      </c>
      <c r="V1076" s="1" t="str">
        <f t="shared" si="204"/>
        <v>里程去程</v>
      </c>
      <c r="W1076" s="1" t="str">
        <f>"0820"</f>
        <v>0820</v>
      </c>
      <c r="X1076" s="1" t="s">
        <v>35</v>
      </c>
    </row>
    <row r="1077" spans="1:24" x14ac:dyDescent="0.3">
      <c r="A1077" s="1" t="str">
        <f t="shared" si="203"/>
        <v>59823</v>
      </c>
      <c r="B1077" s="1" t="s">
        <v>36</v>
      </c>
      <c r="C1077" s="1" t="s">
        <v>37</v>
      </c>
      <c r="D1077" s="1" t="str">
        <f t="shared" si="205"/>
        <v>9803</v>
      </c>
      <c r="E1077" s="1" t="s">
        <v>32</v>
      </c>
      <c r="F1077" s="1" t="str">
        <f>"1117287861"</f>
        <v>1117287861</v>
      </c>
      <c r="G1077" s="1" t="s">
        <v>33</v>
      </c>
      <c r="H1077" s="1" t="str">
        <f t="shared" si="197"/>
        <v>20220906</v>
      </c>
      <c r="I1077" s="1" t="str">
        <f>"102703"</f>
        <v>102703</v>
      </c>
      <c r="J1077" s="1" t="s">
        <v>28</v>
      </c>
      <c r="K1077" s="1" t="s">
        <v>28</v>
      </c>
      <c r="L1077" s="1" t="str">
        <f t="shared" si="198"/>
        <v>20220906</v>
      </c>
      <c r="M1077" s="1" t="str">
        <f>"104804"</f>
        <v>104804</v>
      </c>
      <c r="N1077" s="1" t="s">
        <v>34</v>
      </c>
      <c r="O1077" s="1" t="s">
        <v>34</v>
      </c>
      <c r="P1077" s="1" t="s">
        <v>55</v>
      </c>
      <c r="Q1077" s="1">
        <v>25</v>
      </c>
      <c r="R1077" s="1">
        <v>25</v>
      </c>
      <c r="S1077" s="1">
        <v>0</v>
      </c>
      <c r="T1077" s="1">
        <v>0</v>
      </c>
      <c r="U1077" s="1">
        <v>0</v>
      </c>
      <c r="V1077" s="1" t="str">
        <f t="shared" si="204"/>
        <v>里程去程</v>
      </c>
      <c r="W1077" s="1" t="str">
        <f>"0120"</f>
        <v>0120</v>
      </c>
      <c r="X1077" s="1" t="s">
        <v>35</v>
      </c>
    </row>
    <row r="1078" spans="1:24" x14ac:dyDescent="0.3">
      <c r="A1078" s="1" t="str">
        <f t="shared" si="203"/>
        <v>59823</v>
      </c>
      <c r="B1078" s="1" t="s">
        <v>36</v>
      </c>
      <c r="C1078" s="1" t="s">
        <v>37</v>
      </c>
      <c r="D1078" s="1" t="str">
        <f t="shared" si="205"/>
        <v>9803</v>
      </c>
      <c r="E1078" s="1" t="s">
        <v>32</v>
      </c>
      <c r="F1078" s="1" t="str">
        <f>"2A7F85B161880400475535D94D501907"</f>
        <v>2A7F85B161880400475535D94D501907</v>
      </c>
      <c r="G1078" s="1" t="s">
        <v>58</v>
      </c>
      <c r="H1078" s="1" t="str">
        <f t="shared" si="197"/>
        <v>20220906</v>
      </c>
      <c r="I1078" s="1" t="str">
        <f>"102708"</f>
        <v>102708</v>
      </c>
      <c r="J1078" s="1" t="s">
        <v>28</v>
      </c>
      <c r="K1078" s="1" t="s">
        <v>28</v>
      </c>
      <c r="L1078" s="1" t="str">
        <f t="shared" si="198"/>
        <v>20220906</v>
      </c>
      <c r="M1078" s="1" t="str">
        <f>"104810"</f>
        <v>104810</v>
      </c>
      <c r="N1078" s="1" t="s">
        <v>34</v>
      </c>
      <c r="O1078" s="1" t="s">
        <v>34</v>
      </c>
      <c r="P1078" s="1" t="s">
        <v>55</v>
      </c>
      <c r="Q1078" s="1">
        <v>25</v>
      </c>
      <c r="R1078" s="1">
        <v>25</v>
      </c>
      <c r="S1078" s="1">
        <v>0</v>
      </c>
      <c r="T1078" s="1">
        <v>0</v>
      </c>
      <c r="U1078" s="1">
        <v>0</v>
      </c>
      <c r="V1078" s="1" t="str">
        <f t="shared" si="204"/>
        <v>里程去程</v>
      </c>
      <c r="W1078" s="1" t="str">
        <f>"0020"</f>
        <v>0020</v>
      </c>
      <c r="X1078" s="1" t="s">
        <v>29</v>
      </c>
    </row>
    <row r="1079" spans="1:24" x14ac:dyDescent="0.3">
      <c r="A1079" s="1" t="str">
        <f t="shared" si="203"/>
        <v>59823</v>
      </c>
      <c r="B1079" s="1" t="s">
        <v>36</v>
      </c>
      <c r="C1079" s="1" t="s">
        <v>37</v>
      </c>
      <c r="D1079" s="1" t="str">
        <f t="shared" si="205"/>
        <v>9803</v>
      </c>
      <c r="E1079" s="1" t="s">
        <v>32</v>
      </c>
      <c r="F1079" s="1" t="str">
        <f>"1708779173"</f>
        <v>1708779173</v>
      </c>
      <c r="G1079" s="1" t="s">
        <v>33</v>
      </c>
      <c r="H1079" s="1" t="str">
        <f t="shared" si="197"/>
        <v>20220906</v>
      </c>
      <c r="I1079" s="1" t="str">
        <f>"102748"</f>
        <v>102748</v>
      </c>
      <c r="J1079" s="1" t="s">
        <v>28</v>
      </c>
      <c r="K1079" s="1" t="s">
        <v>28</v>
      </c>
      <c r="L1079" s="1" t="str">
        <f t="shared" si="198"/>
        <v>20220906</v>
      </c>
      <c r="M1079" s="1" t="str">
        <f>"104721"</f>
        <v>104721</v>
      </c>
      <c r="N1079" s="1" t="s">
        <v>34</v>
      </c>
      <c r="O1079" s="1" t="s">
        <v>34</v>
      </c>
      <c r="P1079" s="1" t="s">
        <v>55</v>
      </c>
      <c r="Q1079" s="1">
        <v>25</v>
      </c>
      <c r="R1079" s="1">
        <v>25</v>
      </c>
      <c r="S1079" s="1">
        <v>0</v>
      </c>
      <c r="T1079" s="1">
        <v>0</v>
      </c>
      <c r="U1079" s="1">
        <v>0</v>
      </c>
      <c r="V1079" s="1" t="str">
        <f t="shared" si="204"/>
        <v>里程去程</v>
      </c>
      <c r="W1079" s="1" t="str">
        <f>"0220"</f>
        <v>0220</v>
      </c>
      <c r="X1079" s="1" t="s">
        <v>35</v>
      </c>
    </row>
    <row r="1080" spans="1:24" x14ac:dyDescent="0.3">
      <c r="A1080" s="1" t="str">
        <f t="shared" si="203"/>
        <v>59823</v>
      </c>
      <c r="B1080" s="1" t="s">
        <v>36</v>
      </c>
      <c r="C1080" s="1" t="s">
        <v>37</v>
      </c>
      <c r="D1080" s="1" t="str">
        <f t="shared" si="205"/>
        <v>9803</v>
      </c>
      <c r="E1080" s="1" t="s">
        <v>32</v>
      </c>
      <c r="F1080" s="1" t="str">
        <f>"398492369"</f>
        <v>398492369</v>
      </c>
      <c r="G1080" s="1" t="s">
        <v>33</v>
      </c>
      <c r="H1080" s="1" t="str">
        <f t="shared" si="197"/>
        <v>20220906</v>
      </c>
      <c r="I1080" s="1" t="str">
        <f>"102750"</f>
        <v>102750</v>
      </c>
      <c r="J1080" s="1" t="s">
        <v>28</v>
      </c>
      <c r="K1080" s="1" t="s">
        <v>28</v>
      </c>
      <c r="L1080" s="1" t="str">
        <f t="shared" si="198"/>
        <v>20220906</v>
      </c>
      <c r="M1080" s="1" t="str">
        <f>"104749"</f>
        <v>104749</v>
      </c>
      <c r="N1080" s="1" t="s">
        <v>34</v>
      </c>
      <c r="O1080" s="1" t="s">
        <v>34</v>
      </c>
      <c r="P1080" s="1" t="s">
        <v>55</v>
      </c>
      <c r="Q1080" s="1">
        <v>25</v>
      </c>
      <c r="R1080" s="1">
        <v>25</v>
      </c>
      <c r="S1080" s="1">
        <v>0</v>
      </c>
      <c r="T1080" s="1">
        <v>0</v>
      </c>
      <c r="U1080" s="1">
        <v>0</v>
      </c>
      <c r="V1080" s="1" t="str">
        <f t="shared" si="204"/>
        <v>里程去程</v>
      </c>
      <c r="W1080" s="1" t="str">
        <f>"0820"</f>
        <v>0820</v>
      </c>
      <c r="X1080" s="1" t="s">
        <v>35</v>
      </c>
    </row>
    <row r="1081" spans="1:24" x14ac:dyDescent="0.3">
      <c r="A1081" s="1" t="str">
        <f t="shared" si="203"/>
        <v>59823</v>
      </c>
      <c r="B1081" s="1" t="s">
        <v>36</v>
      </c>
      <c r="C1081" s="1" t="s">
        <v>37</v>
      </c>
      <c r="D1081" s="1" t="str">
        <f t="shared" si="205"/>
        <v>9803</v>
      </c>
      <c r="E1081" s="1" t="s">
        <v>32</v>
      </c>
      <c r="F1081" s="1" t="str">
        <f>"975029425"</f>
        <v>975029425</v>
      </c>
      <c r="G1081" s="1" t="s">
        <v>33</v>
      </c>
      <c r="H1081" s="1" t="str">
        <f t="shared" si="197"/>
        <v>20220906</v>
      </c>
      <c r="I1081" s="1" t="str">
        <f>"102801"</f>
        <v>102801</v>
      </c>
      <c r="J1081" s="1" t="s">
        <v>28</v>
      </c>
      <c r="K1081" s="1" t="s">
        <v>28</v>
      </c>
      <c r="L1081" s="1" t="str">
        <f t="shared" si="198"/>
        <v>20220906</v>
      </c>
      <c r="M1081" s="1" t="str">
        <f>"104753"</f>
        <v>104753</v>
      </c>
      <c r="N1081" s="1" t="s">
        <v>34</v>
      </c>
      <c r="O1081" s="1" t="s">
        <v>34</v>
      </c>
      <c r="P1081" s="1" t="s">
        <v>55</v>
      </c>
      <c r="Q1081" s="1">
        <v>25</v>
      </c>
      <c r="R1081" s="1">
        <v>25</v>
      </c>
      <c r="S1081" s="1">
        <v>0</v>
      </c>
      <c r="T1081" s="1">
        <v>0</v>
      </c>
      <c r="U1081" s="1">
        <v>0</v>
      </c>
      <c r="V1081" s="1" t="str">
        <f t="shared" si="204"/>
        <v>里程去程</v>
      </c>
      <c r="W1081" s="1" t="str">
        <f>"2320"</f>
        <v>2320</v>
      </c>
      <c r="X1081" s="1" t="s">
        <v>35</v>
      </c>
    </row>
    <row r="1082" spans="1:24" x14ac:dyDescent="0.3">
      <c r="A1082" s="1" t="str">
        <f t="shared" si="203"/>
        <v>59823</v>
      </c>
      <c r="B1082" s="1" t="s">
        <v>36</v>
      </c>
      <c r="C1082" s="1" t="s">
        <v>37</v>
      </c>
      <c r="D1082" s="1" t="str">
        <f t="shared" si="205"/>
        <v>9803</v>
      </c>
      <c r="E1082" s="1" t="s">
        <v>32</v>
      </c>
      <c r="F1082" s="1" t="str">
        <f>"850027953"</f>
        <v>850027953</v>
      </c>
      <c r="G1082" s="1" t="s">
        <v>33</v>
      </c>
      <c r="H1082" s="1" t="str">
        <f t="shared" si="197"/>
        <v>20220906</v>
      </c>
      <c r="I1082" s="1" t="str">
        <f>"102806"</f>
        <v>102806</v>
      </c>
      <c r="J1082" s="1" t="s">
        <v>28</v>
      </c>
      <c r="K1082" s="1" t="s">
        <v>28</v>
      </c>
      <c r="L1082" s="1" t="str">
        <f t="shared" si="198"/>
        <v>20220906</v>
      </c>
      <c r="M1082" s="1" t="str">
        <f>"104744"</f>
        <v>104744</v>
      </c>
      <c r="N1082" s="1" t="s">
        <v>34</v>
      </c>
      <c r="O1082" s="1" t="s">
        <v>34</v>
      </c>
      <c r="P1082" s="1" t="s">
        <v>55</v>
      </c>
      <c r="Q1082" s="1">
        <v>25</v>
      </c>
      <c r="R1082" s="1">
        <v>25</v>
      </c>
      <c r="S1082" s="1">
        <v>0</v>
      </c>
      <c r="T1082" s="1">
        <v>0</v>
      </c>
      <c r="U1082" s="1">
        <v>0</v>
      </c>
      <c r="V1082" s="1" t="str">
        <f t="shared" si="204"/>
        <v>里程去程</v>
      </c>
      <c r="W1082" s="1" t="str">
        <f>"0120"</f>
        <v>0120</v>
      </c>
      <c r="X1082" s="1" t="s">
        <v>35</v>
      </c>
    </row>
    <row r="1083" spans="1:24" x14ac:dyDescent="0.3">
      <c r="A1083" s="1" t="str">
        <f t="shared" si="203"/>
        <v>59823</v>
      </c>
      <c r="B1083" s="1" t="s">
        <v>36</v>
      </c>
      <c r="C1083" s="1" t="s">
        <v>37</v>
      </c>
      <c r="D1083" s="1" t="str">
        <f t="shared" si="205"/>
        <v>9803</v>
      </c>
      <c r="E1083" s="1" t="s">
        <v>32</v>
      </c>
      <c r="F1083" s="1" t="str">
        <f>"3350359466"</f>
        <v>3350359466</v>
      </c>
      <c r="G1083" s="1" t="s">
        <v>33</v>
      </c>
      <c r="H1083" s="1" t="str">
        <f t="shared" si="197"/>
        <v>20220906</v>
      </c>
      <c r="I1083" s="1" t="str">
        <f>"102816"</f>
        <v>102816</v>
      </c>
      <c r="J1083" s="1" t="s">
        <v>28</v>
      </c>
      <c r="K1083" s="1" t="s">
        <v>28</v>
      </c>
      <c r="L1083" s="1" t="str">
        <f t="shared" si="198"/>
        <v>20220906</v>
      </c>
      <c r="M1083" s="1" t="str">
        <f>"104706"</f>
        <v>104706</v>
      </c>
      <c r="N1083" s="1" t="s">
        <v>34</v>
      </c>
      <c r="O1083" s="1" t="s">
        <v>34</v>
      </c>
      <c r="P1083" s="1" t="s">
        <v>55</v>
      </c>
      <c r="Q1083" s="1">
        <v>25</v>
      </c>
      <c r="R1083" s="1">
        <v>25</v>
      </c>
      <c r="S1083" s="1">
        <v>0</v>
      </c>
      <c r="T1083" s="1">
        <v>0</v>
      </c>
      <c r="U1083" s="1">
        <v>0</v>
      </c>
      <c r="V1083" s="1" t="str">
        <f t="shared" si="204"/>
        <v>里程去程</v>
      </c>
      <c r="W1083" s="1" t="str">
        <f>"0e20"</f>
        <v>0e20</v>
      </c>
      <c r="X1083" s="1" t="s">
        <v>35</v>
      </c>
    </row>
    <row r="1084" spans="1:24" x14ac:dyDescent="0.3">
      <c r="A1084" s="1" t="str">
        <f t="shared" si="203"/>
        <v>59823</v>
      </c>
      <c r="B1084" s="1" t="s">
        <v>36</v>
      </c>
      <c r="C1084" s="1" t="s">
        <v>37</v>
      </c>
      <c r="D1084" s="1" t="str">
        <f t="shared" si="205"/>
        <v>9803</v>
      </c>
      <c r="E1084" s="1" t="s">
        <v>32</v>
      </c>
      <c r="F1084" s="1" t="str">
        <f>"832307397"</f>
        <v>832307397</v>
      </c>
      <c r="G1084" s="1" t="s">
        <v>33</v>
      </c>
      <c r="H1084" s="1" t="str">
        <f t="shared" si="197"/>
        <v>20220906</v>
      </c>
      <c r="I1084" s="1" t="str">
        <f>"102822"</f>
        <v>102822</v>
      </c>
      <c r="J1084" s="1" t="s">
        <v>28</v>
      </c>
      <c r="K1084" s="1" t="s">
        <v>28</v>
      </c>
      <c r="L1084" s="1" t="str">
        <f t="shared" si="198"/>
        <v>20220906</v>
      </c>
      <c r="M1084" s="1" t="str">
        <f>"104654"</f>
        <v>104654</v>
      </c>
      <c r="N1084" s="1" t="s">
        <v>34</v>
      </c>
      <c r="O1084" s="1" t="s">
        <v>34</v>
      </c>
      <c r="P1084" s="1" t="s">
        <v>55</v>
      </c>
      <c r="Q1084" s="1">
        <v>25</v>
      </c>
      <c r="R1084" s="1">
        <v>25</v>
      </c>
      <c r="S1084" s="1">
        <v>0</v>
      </c>
      <c r="T1084" s="1">
        <v>0</v>
      </c>
      <c r="U1084" s="1">
        <v>0</v>
      </c>
      <c r="V1084" s="1" t="str">
        <f t="shared" si="204"/>
        <v>里程去程</v>
      </c>
      <c r="W1084" s="1" t="str">
        <f>"0620"</f>
        <v>0620</v>
      </c>
      <c r="X1084" s="1" t="s">
        <v>35</v>
      </c>
    </row>
    <row r="1085" spans="1:24" x14ac:dyDescent="0.3">
      <c r="A1085" s="1" t="str">
        <f t="shared" si="203"/>
        <v>59823</v>
      </c>
      <c r="B1085" s="1" t="s">
        <v>36</v>
      </c>
      <c r="C1085" s="1" t="s">
        <v>37</v>
      </c>
      <c r="D1085" s="1" t="str">
        <f t="shared" si="205"/>
        <v>9803</v>
      </c>
      <c r="E1085" s="1" t="s">
        <v>32</v>
      </c>
      <c r="F1085" s="1" t="str">
        <f>"1181994741"</f>
        <v>1181994741</v>
      </c>
      <c r="G1085" s="1" t="s">
        <v>26</v>
      </c>
      <c r="H1085" s="1" t="str">
        <f t="shared" si="197"/>
        <v>20220906</v>
      </c>
      <c r="I1085" s="1" t="str">
        <f>"102828"</f>
        <v>102828</v>
      </c>
      <c r="J1085" s="1" t="s">
        <v>28</v>
      </c>
      <c r="K1085" s="1" t="s">
        <v>28</v>
      </c>
      <c r="L1085" s="1" t="str">
        <f t="shared" si="198"/>
        <v>20220906</v>
      </c>
      <c r="M1085" s="1" t="str">
        <f>"104736"</f>
        <v>104736</v>
      </c>
      <c r="N1085" s="1" t="s">
        <v>34</v>
      </c>
      <c r="O1085" s="1" t="s">
        <v>34</v>
      </c>
      <c r="P1085" s="1" t="s">
        <v>55</v>
      </c>
      <c r="Q1085" s="1">
        <v>13</v>
      </c>
      <c r="R1085" s="1">
        <v>13</v>
      </c>
      <c r="S1085" s="1">
        <v>0</v>
      </c>
      <c r="T1085" s="1">
        <v>0</v>
      </c>
      <c r="U1085" s="1">
        <v>0</v>
      </c>
      <c r="V1085" s="1" t="str">
        <f t="shared" si="204"/>
        <v>里程去程</v>
      </c>
      <c r="W1085" s="1" t="str">
        <f>"0120"</f>
        <v>0120</v>
      </c>
      <c r="X1085" s="1" t="s">
        <v>35</v>
      </c>
    </row>
    <row r="1086" spans="1:24" x14ac:dyDescent="0.3">
      <c r="A1086" s="1" t="str">
        <f t="shared" si="203"/>
        <v>59823</v>
      </c>
      <c r="B1086" s="1" t="s">
        <v>36</v>
      </c>
      <c r="C1086" s="1" t="s">
        <v>37</v>
      </c>
      <c r="D1086" s="1" t="str">
        <f t="shared" si="205"/>
        <v>9803</v>
      </c>
      <c r="E1086" s="1" t="s">
        <v>32</v>
      </c>
      <c r="F1086" s="1" t="str">
        <f>"E5FB3D0D2E180200D200000C22400417"</f>
        <v>E5FB3D0D2E180200D200000C22400417</v>
      </c>
      <c r="G1086" s="1" t="s">
        <v>58</v>
      </c>
      <c r="H1086" s="1" t="str">
        <f t="shared" si="197"/>
        <v>20220906</v>
      </c>
      <c r="I1086" s="1" t="str">
        <f>"102858"</f>
        <v>102858</v>
      </c>
      <c r="J1086" s="1" t="s">
        <v>28</v>
      </c>
      <c r="K1086" s="1" t="s">
        <v>28</v>
      </c>
      <c r="L1086" s="1" t="str">
        <f t="shared" si="198"/>
        <v>20220906</v>
      </c>
      <c r="M1086" s="1" t="str">
        <f>"104713"</f>
        <v>104713</v>
      </c>
      <c r="N1086" s="1" t="s">
        <v>34</v>
      </c>
      <c r="O1086" s="1" t="s">
        <v>34</v>
      </c>
      <c r="P1086" s="1" t="s">
        <v>55</v>
      </c>
      <c r="Q1086" s="1">
        <v>25</v>
      </c>
      <c r="R1086" s="1">
        <v>0</v>
      </c>
      <c r="S1086" s="1">
        <v>25</v>
      </c>
      <c r="T1086" s="1">
        <v>0</v>
      </c>
      <c r="U1086" s="1">
        <v>0</v>
      </c>
      <c r="V1086" s="1" t="str">
        <f t="shared" si="204"/>
        <v>里程去程</v>
      </c>
      <c r="W1086" s="1" t="str">
        <f>"0620"</f>
        <v>0620</v>
      </c>
      <c r="X1086" s="1" t="s">
        <v>29</v>
      </c>
    </row>
    <row r="1087" spans="1:24" x14ac:dyDescent="0.3">
      <c r="A1087" s="1" t="str">
        <f t="shared" si="203"/>
        <v>59823</v>
      </c>
      <c r="B1087" s="1" t="s">
        <v>36</v>
      </c>
      <c r="C1087" s="1" t="s">
        <v>37</v>
      </c>
      <c r="D1087" s="1" t="str">
        <f t="shared" si="205"/>
        <v>9803</v>
      </c>
      <c r="E1087" s="1" t="s">
        <v>32</v>
      </c>
      <c r="F1087" s="1" t="str">
        <f>"1724787797"</f>
        <v>1724787797</v>
      </c>
      <c r="G1087" s="1" t="s">
        <v>38</v>
      </c>
      <c r="H1087" s="1" t="str">
        <f t="shared" si="197"/>
        <v>20220906</v>
      </c>
      <c r="I1087" s="1" t="str">
        <f>"102904"</f>
        <v>102904</v>
      </c>
      <c r="J1087" s="1" t="s">
        <v>28</v>
      </c>
      <c r="K1087" s="1" t="s">
        <v>28</v>
      </c>
      <c r="L1087" s="1" t="str">
        <f t="shared" si="198"/>
        <v>20220906</v>
      </c>
      <c r="M1087" s="1" t="str">
        <f>"104732"</f>
        <v>104732</v>
      </c>
      <c r="N1087" s="1" t="s">
        <v>34</v>
      </c>
      <c r="O1087" s="1" t="s">
        <v>34</v>
      </c>
      <c r="P1087" s="1" t="s">
        <v>55</v>
      </c>
      <c r="Q1087" s="1">
        <v>25</v>
      </c>
      <c r="R1087" s="1">
        <v>0</v>
      </c>
      <c r="S1087" s="1">
        <v>25</v>
      </c>
      <c r="T1087" s="1">
        <v>0</v>
      </c>
      <c r="U1087" s="1">
        <v>0</v>
      </c>
      <c r="V1087" s="1" t="str">
        <f t="shared" si="204"/>
        <v>里程去程</v>
      </c>
      <c r="W1087" s="1" t="str">
        <f>"0820"</f>
        <v>0820</v>
      </c>
      <c r="X1087" s="1" t="s">
        <v>35</v>
      </c>
    </row>
    <row r="1088" spans="1:24" x14ac:dyDescent="0.3">
      <c r="A1088" s="1" t="str">
        <f t="shared" si="203"/>
        <v>59823</v>
      </c>
      <c r="B1088" s="1" t="s">
        <v>36</v>
      </c>
      <c r="C1088" s="1" t="s">
        <v>37</v>
      </c>
      <c r="D1088" s="1" t="str">
        <f t="shared" si="205"/>
        <v>9803</v>
      </c>
      <c r="E1088" s="1" t="s">
        <v>32</v>
      </c>
      <c r="F1088" s="1" t="str">
        <f>"1675428869"</f>
        <v>1675428869</v>
      </c>
      <c r="G1088" s="1" t="s">
        <v>33</v>
      </c>
      <c r="H1088" s="1" t="str">
        <f t="shared" si="197"/>
        <v>20220906</v>
      </c>
      <c r="I1088" s="1" t="str">
        <f>"102907"</f>
        <v>102907</v>
      </c>
      <c r="J1088" s="1" t="s">
        <v>28</v>
      </c>
      <c r="K1088" s="1" t="s">
        <v>28</v>
      </c>
      <c r="L1088" s="1" t="str">
        <f t="shared" si="198"/>
        <v>20220906</v>
      </c>
      <c r="M1088" s="1" t="str">
        <f>"104702"</f>
        <v>104702</v>
      </c>
      <c r="N1088" s="1" t="s">
        <v>34</v>
      </c>
      <c r="O1088" s="1" t="s">
        <v>34</v>
      </c>
      <c r="P1088" s="1" t="s">
        <v>55</v>
      </c>
      <c r="Q1088" s="1">
        <v>25</v>
      </c>
      <c r="R1088" s="1">
        <v>25</v>
      </c>
      <c r="S1088" s="1">
        <v>0</v>
      </c>
      <c r="T1088" s="1">
        <v>0</v>
      </c>
      <c r="U1088" s="1">
        <v>0</v>
      </c>
      <c r="V1088" s="1" t="str">
        <f t="shared" si="204"/>
        <v>里程去程</v>
      </c>
      <c r="W1088" s="1" t="str">
        <f>"0320"</f>
        <v>0320</v>
      </c>
      <c r="X1088" s="1" t="s">
        <v>35</v>
      </c>
    </row>
    <row r="1089" spans="1:24" x14ac:dyDescent="0.3">
      <c r="A1089" s="1" t="str">
        <f t="shared" si="203"/>
        <v>59823</v>
      </c>
      <c r="B1089" s="1" t="s">
        <v>36</v>
      </c>
      <c r="C1089" s="1" t="s">
        <v>37</v>
      </c>
      <c r="D1089" s="1" t="str">
        <f t="shared" si="205"/>
        <v>9803</v>
      </c>
      <c r="E1089" s="1" t="s">
        <v>32</v>
      </c>
      <c r="F1089" s="1" t="str">
        <f>"9517171002180376"</f>
        <v>9517171002180376</v>
      </c>
      <c r="G1089" s="1" t="s">
        <v>33</v>
      </c>
      <c r="H1089" s="1" t="str">
        <f t="shared" si="197"/>
        <v>20220906</v>
      </c>
      <c r="I1089" s="1" t="str">
        <f>"102926"</f>
        <v>102926</v>
      </c>
      <c r="J1089" s="1" t="s">
        <v>28</v>
      </c>
      <c r="K1089" s="1" t="s">
        <v>28</v>
      </c>
      <c r="L1089" s="1" t="str">
        <f t="shared" si="198"/>
        <v>20220906</v>
      </c>
      <c r="M1089" s="1" t="str">
        <f>"104725"</f>
        <v>104725</v>
      </c>
      <c r="N1089" s="1" t="s">
        <v>34</v>
      </c>
      <c r="O1089" s="1" t="s">
        <v>34</v>
      </c>
      <c r="P1089" s="1" t="s">
        <v>55</v>
      </c>
      <c r="Q1089" s="1">
        <v>25</v>
      </c>
      <c r="R1089" s="1">
        <v>25</v>
      </c>
      <c r="S1089" s="1">
        <v>0</v>
      </c>
      <c r="T1089" s="1">
        <v>0</v>
      </c>
      <c r="U1089" s="1">
        <v>0</v>
      </c>
      <c r="V1089" s="1" t="str">
        <f t="shared" si="204"/>
        <v>里程去程</v>
      </c>
      <c r="W1089" s="1" t="str">
        <f>"023B"</f>
        <v>023B</v>
      </c>
      <c r="X1089" s="1" t="s">
        <v>109</v>
      </c>
    </row>
    <row r="1090" spans="1:24" x14ac:dyDescent="0.3">
      <c r="A1090" s="1" t="str">
        <f t="shared" si="203"/>
        <v>59823</v>
      </c>
      <c r="B1090" s="1" t="s">
        <v>36</v>
      </c>
      <c r="C1090" s="1" t="s">
        <v>37</v>
      </c>
      <c r="D1090" s="1" t="str">
        <f t="shared" si="205"/>
        <v>9803</v>
      </c>
      <c r="E1090" s="1" t="s">
        <v>32</v>
      </c>
      <c r="F1090" s="1" t="str">
        <f>"1221385489"</f>
        <v>1221385489</v>
      </c>
      <c r="G1090" s="1" t="s">
        <v>33</v>
      </c>
      <c r="H1090" s="1" t="str">
        <f t="shared" si="197"/>
        <v>20220906</v>
      </c>
      <c r="I1090" s="1" t="str">
        <f>"102934"</f>
        <v>102934</v>
      </c>
      <c r="J1090" s="1" t="s">
        <v>28</v>
      </c>
      <c r="K1090" s="1" t="s">
        <v>28</v>
      </c>
      <c r="L1090" s="1" t="str">
        <f t="shared" si="198"/>
        <v>20220906</v>
      </c>
      <c r="M1090" s="1" t="str">
        <f>"104651"</f>
        <v>104651</v>
      </c>
      <c r="N1090" s="1" t="s">
        <v>34</v>
      </c>
      <c r="O1090" s="1" t="s">
        <v>34</v>
      </c>
      <c r="P1090" s="1" t="s">
        <v>55</v>
      </c>
      <c r="Q1090" s="1">
        <v>25</v>
      </c>
      <c r="R1090" s="1">
        <v>25</v>
      </c>
      <c r="S1090" s="1">
        <v>0</v>
      </c>
      <c r="T1090" s="1">
        <v>0</v>
      </c>
      <c r="U1090" s="1">
        <v>0</v>
      </c>
      <c r="V1090" s="1" t="str">
        <f t="shared" si="204"/>
        <v>里程去程</v>
      </c>
      <c r="W1090" s="1" t="str">
        <f>"0120"</f>
        <v>0120</v>
      </c>
      <c r="X1090" s="1" t="s">
        <v>35</v>
      </c>
    </row>
    <row r="1091" spans="1:24" x14ac:dyDescent="0.3">
      <c r="A1091" s="1" t="str">
        <f t="shared" si="203"/>
        <v>59823</v>
      </c>
      <c r="B1091" s="1" t="s">
        <v>36</v>
      </c>
      <c r="C1091" s="1" t="s">
        <v>37</v>
      </c>
      <c r="D1091" s="1" t="str">
        <f t="shared" si="205"/>
        <v>9803</v>
      </c>
      <c r="E1091" s="1" t="s">
        <v>32</v>
      </c>
      <c r="F1091" s="1" t="str">
        <f>"5A87B3E789880400475975915D101608"</f>
        <v>5A87B3E789880400475975915D101608</v>
      </c>
      <c r="G1091" s="1" t="s">
        <v>64</v>
      </c>
      <c r="H1091" s="1" t="str">
        <f t="shared" si="197"/>
        <v>20220906</v>
      </c>
      <c r="I1091" s="1" t="str">
        <f>"112942"</f>
        <v>112942</v>
      </c>
      <c r="J1091" s="1" t="s">
        <v>28</v>
      </c>
      <c r="K1091" s="1" t="s">
        <v>28</v>
      </c>
      <c r="L1091" s="1" t="str">
        <f t="shared" si="198"/>
        <v>20220906</v>
      </c>
      <c r="M1091" s="1" t="str">
        <f>"115047"</f>
        <v>115047</v>
      </c>
      <c r="N1091" s="1" t="s">
        <v>34</v>
      </c>
      <c r="O1091" s="1" t="s">
        <v>34</v>
      </c>
      <c r="P1091" s="1" t="s">
        <v>55</v>
      </c>
      <c r="Q1091" s="1">
        <v>13</v>
      </c>
      <c r="R1091" s="1">
        <v>13</v>
      </c>
      <c r="S1091" s="1">
        <v>0</v>
      </c>
      <c r="T1091" s="1">
        <v>0</v>
      </c>
      <c r="U1091" s="1">
        <v>0</v>
      </c>
      <c r="V1091" s="1" t="str">
        <f t="shared" si="204"/>
        <v>里程去程</v>
      </c>
      <c r="W1091" s="1" t="str">
        <f>"0020"</f>
        <v>0020</v>
      </c>
      <c r="X1091" s="1" t="s">
        <v>29</v>
      </c>
    </row>
    <row r="1092" spans="1:24" x14ac:dyDescent="0.3">
      <c r="A1092" s="1" t="str">
        <f t="shared" si="203"/>
        <v>59823</v>
      </c>
      <c r="B1092" s="1" t="s">
        <v>36</v>
      </c>
      <c r="C1092" s="1" t="s">
        <v>37</v>
      </c>
      <c r="D1092" s="1" t="str">
        <f t="shared" si="205"/>
        <v>9803</v>
      </c>
      <c r="E1092" s="1" t="s">
        <v>32</v>
      </c>
      <c r="F1092" s="1" t="str">
        <f>"3922955454"</f>
        <v>3922955454</v>
      </c>
      <c r="G1092" s="1" t="s">
        <v>33</v>
      </c>
      <c r="H1092" s="1" t="str">
        <f t="shared" si="197"/>
        <v>20220906</v>
      </c>
      <c r="I1092" s="1" t="str">
        <f>"112948"</f>
        <v>112948</v>
      </c>
      <c r="J1092" s="1" t="s">
        <v>28</v>
      </c>
      <c r="K1092" s="1" t="s">
        <v>28</v>
      </c>
      <c r="L1092" s="1" t="str">
        <f t="shared" si="198"/>
        <v>20220906</v>
      </c>
      <c r="M1092" s="1" t="str">
        <f>"115043"</f>
        <v>115043</v>
      </c>
      <c r="N1092" s="1" t="s">
        <v>34</v>
      </c>
      <c r="O1092" s="1" t="s">
        <v>34</v>
      </c>
      <c r="P1092" s="1" t="s">
        <v>55</v>
      </c>
      <c r="Q1092" s="1">
        <v>25</v>
      </c>
      <c r="R1092" s="1">
        <v>25</v>
      </c>
      <c r="S1092" s="1">
        <v>0</v>
      </c>
      <c r="T1092" s="1">
        <v>0</v>
      </c>
      <c r="U1092" s="1">
        <v>0</v>
      </c>
      <c r="V1092" s="1" t="str">
        <f t="shared" si="204"/>
        <v>里程去程</v>
      </c>
      <c r="W1092" s="1" t="str">
        <f>"2020"</f>
        <v>2020</v>
      </c>
      <c r="X1092" s="1" t="s">
        <v>35</v>
      </c>
    </row>
    <row r="1093" spans="1:24" x14ac:dyDescent="0.3">
      <c r="A1093" s="1" t="str">
        <f t="shared" si="203"/>
        <v>59823</v>
      </c>
      <c r="B1093" s="1" t="s">
        <v>36</v>
      </c>
      <c r="C1093" s="1" t="s">
        <v>37</v>
      </c>
      <c r="D1093" s="1" t="str">
        <f t="shared" si="205"/>
        <v>9803</v>
      </c>
      <c r="E1093" s="1" t="s">
        <v>32</v>
      </c>
      <c r="F1093" s="1" t="str">
        <f>"176574789"</f>
        <v>176574789</v>
      </c>
      <c r="G1093" s="1" t="s">
        <v>33</v>
      </c>
      <c r="H1093" s="1" t="str">
        <f t="shared" si="197"/>
        <v>20220906</v>
      </c>
      <c r="I1093" s="1" t="str">
        <f>"113008"</f>
        <v>113008</v>
      </c>
      <c r="J1093" s="1" t="s">
        <v>28</v>
      </c>
      <c r="K1093" s="1" t="s">
        <v>28</v>
      </c>
      <c r="L1093" s="1" t="str">
        <f t="shared" si="198"/>
        <v>20220906</v>
      </c>
      <c r="M1093" s="1" t="str">
        <f>"115144"</f>
        <v>115144</v>
      </c>
      <c r="N1093" s="1" t="s">
        <v>34</v>
      </c>
      <c r="O1093" s="1" t="s">
        <v>34</v>
      </c>
      <c r="P1093" s="1" t="s">
        <v>55</v>
      </c>
      <c r="Q1093" s="1">
        <v>25</v>
      </c>
      <c r="R1093" s="1">
        <v>25</v>
      </c>
      <c r="S1093" s="1">
        <v>0</v>
      </c>
      <c r="T1093" s="1">
        <v>0</v>
      </c>
      <c r="U1093" s="1">
        <v>0</v>
      </c>
      <c r="V1093" s="1" t="str">
        <f t="shared" si="204"/>
        <v>里程去程</v>
      </c>
      <c r="W1093" s="1" t="str">
        <f>"2320"</f>
        <v>2320</v>
      </c>
      <c r="X1093" s="1" t="s">
        <v>35</v>
      </c>
    </row>
    <row r="1094" spans="1:24" x14ac:dyDescent="0.3">
      <c r="A1094" s="1" t="str">
        <f t="shared" si="203"/>
        <v>59823</v>
      </c>
      <c r="B1094" s="1" t="s">
        <v>36</v>
      </c>
      <c r="C1094" s="1" t="s">
        <v>37</v>
      </c>
      <c r="D1094" s="1" t="str">
        <f t="shared" si="205"/>
        <v>9803</v>
      </c>
      <c r="E1094" s="1" t="s">
        <v>32</v>
      </c>
      <c r="F1094" s="1" t="str">
        <f>"1772356529"</f>
        <v>1772356529</v>
      </c>
      <c r="G1094" s="1" t="s">
        <v>33</v>
      </c>
      <c r="H1094" s="1" t="str">
        <f t="shared" si="197"/>
        <v>20220906</v>
      </c>
      <c r="I1094" s="1" t="str">
        <f>"113013"</f>
        <v>113013</v>
      </c>
      <c r="J1094" s="1" t="s">
        <v>28</v>
      </c>
      <c r="K1094" s="1" t="s">
        <v>28</v>
      </c>
      <c r="L1094" s="1" t="str">
        <f t="shared" si="198"/>
        <v>20220906</v>
      </c>
      <c r="M1094" s="1" t="str">
        <f>"115139"</f>
        <v>115139</v>
      </c>
      <c r="N1094" s="1" t="s">
        <v>34</v>
      </c>
      <c r="O1094" s="1" t="s">
        <v>34</v>
      </c>
      <c r="P1094" s="1" t="s">
        <v>55</v>
      </c>
      <c r="Q1094" s="1">
        <v>25</v>
      </c>
      <c r="R1094" s="1">
        <v>25</v>
      </c>
      <c r="S1094" s="1">
        <v>0</v>
      </c>
      <c r="T1094" s="1">
        <v>0</v>
      </c>
      <c r="U1094" s="1">
        <v>0</v>
      </c>
      <c r="V1094" s="1" t="str">
        <f t="shared" si="204"/>
        <v>里程去程</v>
      </c>
      <c r="W1094" s="1" t="str">
        <f>"0120"</f>
        <v>0120</v>
      </c>
      <c r="X1094" s="1" t="s">
        <v>35</v>
      </c>
    </row>
    <row r="1095" spans="1:24" x14ac:dyDescent="0.3">
      <c r="A1095" s="1" t="str">
        <f t="shared" si="203"/>
        <v>59823</v>
      </c>
      <c r="B1095" s="1" t="s">
        <v>36</v>
      </c>
      <c r="C1095" s="1" t="s">
        <v>37</v>
      </c>
      <c r="D1095" s="1" t="str">
        <f t="shared" si="205"/>
        <v>9803</v>
      </c>
      <c r="E1095" s="1" t="s">
        <v>32</v>
      </c>
      <c r="F1095" s="1" t="str">
        <f>"1838200229"</f>
        <v>1838200229</v>
      </c>
      <c r="G1095" s="1" t="s">
        <v>33</v>
      </c>
      <c r="H1095" s="1" t="str">
        <f t="shared" si="197"/>
        <v>20220906</v>
      </c>
      <c r="I1095" s="1" t="str">
        <f>"113018"</f>
        <v>113018</v>
      </c>
      <c r="J1095" s="1" t="s">
        <v>28</v>
      </c>
      <c r="K1095" s="1" t="s">
        <v>28</v>
      </c>
      <c r="L1095" s="1" t="str">
        <f t="shared" si="198"/>
        <v>20220906</v>
      </c>
      <c r="M1095" s="1" t="str">
        <f>"115136"</f>
        <v>115136</v>
      </c>
      <c r="N1095" s="1" t="s">
        <v>34</v>
      </c>
      <c r="O1095" s="1" t="s">
        <v>34</v>
      </c>
      <c r="P1095" s="1" t="s">
        <v>55</v>
      </c>
      <c r="Q1095" s="1">
        <v>25</v>
      </c>
      <c r="R1095" s="1">
        <v>25</v>
      </c>
      <c r="S1095" s="1">
        <v>0</v>
      </c>
      <c r="T1095" s="1">
        <v>0</v>
      </c>
      <c r="U1095" s="1">
        <v>0</v>
      </c>
      <c r="V1095" s="1" t="str">
        <f t="shared" si="204"/>
        <v>里程去程</v>
      </c>
      <c r="W1095" s="1" t="str">
        <f>"0120"</f>
        <v>0120</v>
      </c>
      <c r="X1095" s="1" t="s">
        <v>35</v>
      </c>
    </row>
    <row r="1096" spans="1:24" x14ac:dyDescent="0.3">
      <c r="A1096" s="1" t="str">
        <f t="shared" si="203"/>
        <v>59823</v>
      </c>
      <c r="B1096" s="1" t="s">
        <v>36</v>
      </c>
      <c r="C1096" s="1" t="s">
        <v>37</v>
      </c>
      <c r="D1096" s="1" t="str">
        <f t="shared" si="205"/>
        <v>9803</v>
      </c>
      <c r="E1096" s="1" t="s">
        <v>32</v>
      </c>
      <c r="F1096" s="1" t="str">
        <f>"255403041"</f>
        <v>255403041</v>
      </c>
      <c r="G1096" s="1" t="s">
        <v>33</v>
      </c>
      <c r="H1096" s="1" t="str">
        <f t="shared" si="197"/>
        <v>20220906</v>
      </c>
      <c r="I1096" s="1" t="str">
        <f>"113023"</f>
        <v>113023</v>
      </c>
      <c r="J1096" s="1" t="s">
        <v>28</v>
      </c>
      <c r="K1096" s="1" t="s">
        <v>28</v>
      </c>
      <c r="L1096" s="1" t="str">
        <f t="shared" si="198"/>
        <v>20220906</v>
      </c>
      <c r="M1096" s="1" t="str">
        <f>"115127"</f>
        <v>115127</v>
      </c>
      <c r="N1096" s="1" t="s">
        <v>34</v>
      </c>
      <c r="O1096" s="1" t="s">
        <v>34</v>
      </c>
      <c r="P1096" s="1" t="s">
        <v>55</v>
      </c>
      <c r="Q1096" s="1">
        <v>25</v>
      </c>
      <c r="R1096" s="1">
        <v>25</v>
      </c>
      <c r="S1096" s="1">
        <v>0</v>
      </c>
      <c r="T1096" s="1">
        <v>0</v>
      </c>
      <c r="U1096" s="1">
        <v>0</v>
      </c>
      <c r="V1096" s="1" t="str">
        <f t="shared" si="204"/>
        <v>里程去程</v>
      </c>
      <c r="W1096" s="1" t="str">
        <f>"0220"</f>
        <v>0220</v>
      </c>
      <c r="X1096" s="1" t="s">
        <v>35</v>
      </c>
    </row>
    <row r="1097" spans="1:24" x14ac:dyDescent="0.3">
      <c r="A1097" s="1" t="str">
        <f t="shared" si="203"/>
        <v>59823</v>
      </c>
      <c r="B1097" s="1" t="s">
        <v>36</v>
      </c>
      <c r="C1097" s="1" t="s">
        <v>37</v>
      </c>
      <c r="D1097" s="1" t="str">
        <f t="shared" si="205"/>
        <v>9803</v>
      </c>
      <c r="E1097" s="1" t="s">
        <v>32</v>
      </c>
      <c r="F1097" s="1" t="str">
        <f>"728240225"</f>
        <v>728240225</v>
      </c>
      <c r="G1097" s="1" t="s">
        <v>33</v>
      </c>
      <c r="H1097" s="1" t="str">
        <f t="shared" si="197"/>
        <v>20220906</v>
      </c>
      <c r="I1097" s="1" t="str">
        <f>"113025"</f>
        <v>113025</v>
      </c>
      <c r="J1097" s="1" t="s">
        <v>28</v>
      </c>
      <c r="K1097" s="1" t="s">
        <v>28</v>
      </c>
      <c r="L1097" s="1" t="str">
        <f t="shared" si="198"/>
        <v>20220906</v>
      </c>
      <c r="M1097" s="1" t="str">
        <f>"115122"</f>
        <v>115122</v>
      </c>
      <c r="N1097" s="1" t="s">
        <v>34</v>
      </c>
      <c r="O1097" s="1" t="s">
        <v>34</v>
      </c>
      <c r="P1097" s="1" t="s">
        <v>55</v>
      </c>
      <c r="Q1097" s="1">
        <v>25</v>
      </c>
      <c r="R1097" s="1">
        <v>25</v>
      </c>
      <c r="S1097" s="1">
        <v>0</v>
      </c>
      <c r="T1097" s="1">
        <v>0</v>
      </c>
      <c r="U1097" s="1">
        <v>0</v>
      </c>
      <c r="V1097" s="1" t="str">
        <f t="shared" si="204"/>
        <v>里程去程</v>
      </c>
      <c r="W1097" s="1" t="str">
        <f>"0120"</f>
        <v>0120</v>
      </c>
      <c r="X1097" s="1" t="s">
        <v>35</v>
      </c>
    </row>
    <row r="1098" spans="1:24" x14ac:dyDescent="0.3">
      <c r="A1098" s="1" t="str">
        <f t="shared" si="203"/>
        <v>59823</v>
      </c>
      <c r="B1098" s="1" t="s">
        <v>36</v>
      </c>
      <c r="C1098" s="1" t="s">
        <v>37</v>
      </c>
      <c r="D1098" s="1" t="str">
        <f t="shared" si="205"/>
        <v>9803</v>
      </c>
      <c r="E1098" s="1" t="s">
        <v>32</v>
      </c>
      <c r="F1098" s="1" t="str">
        <f>"1072690801"</f>
        <v>1072690801</v>
      </c>
      <c r="G1098" s="1" t="s">
        <v>33</v>
      </c>
      <c r="H1098" s="1" t="str">
        <f t="shared" si="197"/>
        <v>20220906</v>
      </c>
      <c r="I1098" s="1" t="str">
        <f>"113031"</f>
        <v>113031</v>
      </c>
      <c r="J1098" s="1" t="s">
        <v>28</v>
      </c>
      <c r="K1098" s="1" t="s">
        <v>28</v>
      </c>
      <c r="L1098" s="1" t="str">
        <f t="shared" si="198"/>
        <v>20220906</v>
      </c>
      <c r="M1098" s="1" t="str">
        <f>"115133"</f>
        <v>115133</v>
      </c>
      <c r="N1098" s="1" t="s">
        <v>34</v>
      </c>
      <c r="O1098" s="1" t="s">
        <v>34</v>
      </c>
      <c r="P1098" s="1" t="s">
        <v>55</v>
      </c>
      <c r="Q1098" s="1">
        <v>25</v>
      </c>
      <c r="R1098" s="1">
        <v>25</v>
      </c>
      <c r="S1098" s="1">
        <v>0</v>
      </c>
      <c r="T1098" s="1">
        <v>0</v>
      </c>
      <c r="U1098" s="1">
        <v>0</v>
      </c>
      <c r="V1098" s="1" t="str">
        <f t="shared" si="204"/>
        <v>里程去程</v>
      </c>
      <c r="W1098" s="1" t="str">
        <f>"0120"</f>
        <v>0120</v>
      </c>
      <c r="X1098" s="1" t="s">
        <v>35</v>
      </c>
    </row>
    <row r="1099" spans="1:24" x14ac:dyDescent="0.3">
      <c r="A1099" s="1" t="str">
        <f t="shared" si="203"/>
        <v>59823</v>
      </c>
      <c r="B1099" s="1" t="s">
        <v>36</v>
      </c>
      <c r="C1099" s="1" t="s">
        <v>37</v>
      </c>
      <c r="D1099" s="1" t="str">
        <f t="shared" si="205"/>
        <v>9803</v>
      </c>
      <c r="E1099" s="1" t="s">
        <v>32</v>
      </c>
      <c r="F1099" s="1" t="str">
        <f>"795152913"</f>
        <v>795152913</v>
      </c>
      <c r="G1099" s="1" t="s">
        <v>38</v>
      </c>
      <c r="H1099" s="1" t="str">
        <f t="shared" si="197"/>
        <v>20220906</v>
      </c>
      <c r="I1099" s="1" t="str">
        <f>"113047"</f>
        <v>113047</v>
      </c>
      <c r="J1099" s="1" t="s">
        <v>28</v>
      </c>
      <c r="K1099" s="1" t="s">
        <v>28</v>
      </c>
      <c r="L1099" s="1" t="str">
        <f t="shared" si="198"/>
        <v>20220906</v>
      </c>
      <c r="M1099" s="1" t="str">
        <f>"115037"</f>
        <v>115037</v>
      </c>
      <c r="N1099" s="1" t="s">
        <v>34</v>
      </c>
      <c r="O1099" s="1" t="s">
        <v>34</v>
      </c>
      <c r="P1099" s="1" t="s">
        <v>55</v>
      </c>
      <c r="Q1099" s="1">
        <v>25</v>
      </c>
      <c r="R1099" s="1">
        <v>25</v>
      </c>
      <c r="S1099" s="1">
        <v>0</v>
      </c>
      <c r="T1099" s="1">
        <v>0</v>
      </c>
      <c r="U1099" s="1">
        <v>0</v>
      </c>
      <c r="V1099" s="1" t="str">
        <f t="shared" si="204"/>
        <v>里程去程</v>
      </c>
      <c r="W1099" s="1" t="str">
        <f>"2320"</f>
        <v>2320</v>
      </c>
      <c r="X1099" s="1" t="s">
        <v>35</v>
      </c>
    </row>
    <row r="1100" spans="1:24" x14ac:dyDescent="0.3">
      <c r="A1100" s="1" t="str">
        <f t="shared" si="203"/>
        <v>59823</v>
      </c>
      <c r="B1100" s="1" t="s">
        <v>36</v>
      </c>
      <c r="C1100" s="1" t="s">
        <v>37</v>
      </c>
      <c r="D1100" s="1" t="str">
        <f t="shared" si="205"/>
        <v>9803</v>
      </c>
      <c r="E1100" s="1" t="s">
        <v>32</v>
      </c>
      <c r="F1100" s="1" t="str">
        <f>"322871133"</f>
        <v>322871133</v>
      </c>
      <c r="G1100" s="1" t="s">
        <v>33</v>
      </c>
      <c r="H1100" s="1" t="str">
        <f t="shared" ref="H1100:H1163" si="206">"20220906"</f>
        <v>20220906</v>
      </c>
      <c r="I1100" s="1" t="str">
        <f>"113054"</f>
        <v>113054</v>
      </c>
      <c r="J1100" s="1" t="s">
        <v>28</v>
      </c>
      <c r="K1100" s="1" t="s">
        <v>28</v>
      </c>
      <c r="L1100" s="1" t="str">
        <f t="shared" ref="L1100:L1163" si="207">"20220906"</f>
        <v>20220906</v>
      </c>
      <c r="M1100" s="1" t="str">
        <f>"115031"</f>
        <v>115031</v>
      </c>
      <c r="N1100" s="1" t="s">
        <v>34</v>
      </c>
      <c r="O1100" s="1" t="s">
        <v>34</v>
      </c>
      <c r="P1100" s="1" t="s">
        <v>55</v>
      </c>
      <c r="Q1100" s="1">
        <v>25</v>
      </c>
      <c r="R1100" s="1">
        <v>25</v>
      </c>
      <c r="S1100" s="1">
        <v>0</v>
      </c>
      <c r="T1100" s="1">
        <v>0</v>
      </c>
      <c r="U1100" s="1">
        <v>0</v>
      </c>
      <c r="V1100" s="1" t="str">
        <f t="shared" si="204"/>
        <v>里程去程</v>
      </c>
      <c r="W1100" s="1" t="str">
        <f>"0120"</f>
        <v>0120</v>
      </c>
      <c r="X1100" s="1" t="s">
        <v>35</v>
      </c>
    </row>
    <row r="1101" spans="1:24" x14ac:dyDescent="0.3">
      <c r="A1101" s="1" t="str">
        <f t="shared" si="203"/>
        <v>59823</v>
      </c>
      <c r="B1101" s="1" t="s">
        <v>36</v>
      </c>
      <c r="C1101" s="1" t="s">
        <v>37</v>
      </c>
      <c r="D1101" s="1" t="str">
        <f t="shared" si="205"/>
        <v>9803</v>
      </c>
      <c r="E1101" s="1" t="s">
        <v>32</v>
      </c>
      <c r="F1101" s="1" t="str">
        <f>"1253248801"</f>
        <v>1253248801</v>
      </c>
      <c r="G1101" s="1" t="s">
        <v>33</v>
      </c>
      <c r="H1101" s="1" t="str">
        <f t="shared" si="206"/>
        <v>20220906</v>
      </c>
      <c r="I1101" s="1" t="str">
        <f>"113056"</f>
        <v>113056</v>
      </c>
      <c r="J1101" s="1" t="s">
        <v>28</v>
      </c>
      <c r="K1101" s="1" t="s">
        <v>28</v>
      </c>
      <c r="L1101" s="1" t="str">
        <f t="shared" si="207"/>
        <v>20220906</v>
      </c>
      <c r="M1101" s="1" t="str">
        <f>"115029"</f>
        <v>115029</v>
      </c>
      <c r="N1101" s="1" t="s">
        <v>34</v>
      </c>
      <c r="O1101" s="1" t="s">
        <v>34</v>
      </c>
      <c r="P1101" s="1" t="s">
        <v>55</v>
      </c>
      <c r="Q1101" s="1">
        <v>25</v>
      </c>
      <c r="R1101" s="1">
        <v>25</v>
      </c>
      <c r="S1101" s="1">
        <v>0</v>
      </c>
      <c r="T1101" s="1">
        <v>0</v>
      </c>
      <c r="U1101" s="1">
        <v>0</v>
      </c>
      <c r="V1101" s="1" t="str">
        <f t="shared" si="204"/>
        <v>里程去程</v>
      </c>
      <c r="W1101" s="1" t="str">
        <f>"0120"</f>
        <v>0120</v>
      </c>
      <c r="X1101" s="1" t="s">
        <v>35</v>
      </c>
    </row>
    <row r="1102" spans="1:24" x14ac:dyDescent="0.3">
      <c r="A1102" s="1" t="str">
        <f t="shared" ref="A1102:A1136" si="208">"59823"</f>
        <v>59823</v>
      </c>
      <c r="B1102" s="1" t="s">
        <v>36</v>
      </c>
      <c r="C1102" s="1" t="s">
        <v>37</v>
      </c>
      <c r="D1102" s="1" t="str">
        <f t="shared" si="205"/>
        <v>9803</v>
      </c>
      <c r="E1102" s="1" t="s">
        <v>32</v>
      </c>
      <c r="F1102" s="1" t="str">
        <f>"1724787477"</f>
        <v>1724787477</v>
      </c>
      <c r="G1102" s="1" t="s">
        <v>38</v>
      </c>
      <c r="H1102" s="1" t="str">
        <f t="shared" si="206"/>
        <v>20220906</v>
      </c>
      <c r="I1102" s="1" t="str">
        <f>"113116"</f>
        <v>113116</v>
      </c>
      <c r="J1102" s="1" t="s">
        <v>28</v>
      </c>
      <c r="K1102" s="1" t="s">
        <v>28</v>
      </c>
      <c r="L1102" s="1" t="str">
        <f t="shared" si="207"/>
        <v>20220906</v>
      </c>
      <c r="M1102" s="1" t="str">
        <f>"115113"</f>
        <v>115113</v>
      </c>
      <c r="N1102" s="1" t="s">
        <v>34</v>
      </c>
      <c r="O1102" s="1" t="s">
        <v>34</v>
      </c>
      <c r="P1102" s="1" t="s">
        <v>55</v>
      </c>
      <c r="Q1102" s="1">
        <v>25</v>
      </c>
      <c r="R1102" s="1">
        <v>0</v>
      </c>
      <c r="S1102" s="1">
        <v>25</v>
      </c>
      <c r="T1102" s="1">
        <v>0</v>
      </c>
      <c r="U1102" s="1">
        <v>0</v>
      </c>
      <c r="V1102" s="1" t="str">
        <f t="shared" si="204"/>
        <v>里程去程</v>
      </c>
      <c r="W1102" s="1" t="str">
        <f>"0820"</f>
        <v>0820</v>
      </c>
      <c r="X1102" s="1" t="s">
        <v>35</v>
      </c>
    </row>
    <row r="1103" spans="1:24" x14ac:dyDescent="0.3">
      <c r="A1103" s="1" t="str">
        <f t="shared" si="208"/>
        <v>59823</v>
      </c>
      <c r="B1103" s="1" t="s">
        <v>36</v>
      </c>
      <c r="C1103" s="1" t="s">
        <v>37</v>
      </c>
      <c r="D1103" s="1" t="str">
        <f t="shared" si="205"/>
        <v>9803</v>
      </c>
      <c r="E1103" s="1" t="s">
        <v>32</v>
      </c>
      <c r="F1103" s="1" t="str">
        <f>"1724791669"</f>
        <v>1724791669</v>
      </c>
      <c r="G1103" s="1" t="s">
        <v>38</v>
      </c>
      <c r="H1103" s="1" t="str">
        <f t="shared" si="206"/>
        <v>20220906</v>
      </c>
      <c r="I1103" s="1" t="str">
        <f>"113122"</f>
        <v>113122</v>
      </c>
      <c r="J1103" s="1" t="s">
        <v>28</v>
      </c>
      <c r="K1103" s="1" t="s">
        <v>28</v>
      </c>
      <c r="L1103" s="1" t="str">
        <f t="shared" si="207"/>
        <v>20220906</v>
      </c>
      <c r="M1103" s="1" t="str">
        <f>"115107"</f>
        <v>115107</v>
      </c>
      <c r="N1103" s="1" t="s">
        <v>34</v>
      </c>
      <c r="O1103" s="1" t="s">
        <v>34</v>
      </c>
      <c r="P1103" s="1" t="s">
        <v>55</v>
      </c>
      <c r="Q1103" s="1">
        <v>25</v>
      </c>
      <c r="R1103" s="1">
        <v>0</v>
      </c>
      <c r="S1103" s="1">
        <v>25</v>
      </c>
      <c r="T1103" s="1">
        <v>0</v>
      </c>
      <c r="U1103" s="1">
        <v>0</v>
      </c>
      <c r="V1103" s="1" t="str">
        <f t="shared" si="204"/>
        <v>里程去程</v>
      </c>
      <c r="W1103" s="1" t="str">
        <f>"0820"</f>
        <v>0820</v>
      </c>
      <c r="X1103" s="1" t="s">
        <v>35</v>
      </c>
    </row>
    <row r="1104" spans="1:24" x14ac:dyDescent="0.3">
      <c r="A1104" s="1" t="str">
        <f t="shared" si="208"/>
        <v>59823</v>
      </c>
      <c r="B1104" s="1" t="s">
        <v>36</v>
      </c>
      <c r="C1104" s="1" t="s">
        <v>37</v>
      </c>
      <c r="D1104" s="1" t="str">
        <f t="shared" si="205"/>
        <v>9803</v>
      </c>
      <c r="E1104" s="1" t="s">
        <v>32</v>
      </c>
      <c r="F1104" s="1" t="str">
        <f>"C277E21B4C880400C822002000000021"</f>
        <v>C277E21B4C880400C822002000000021</v>
      </c>
      <c r="G1104" s="1" t="s">
        <v>58</v>
      </c>
      <c r="H1104" s="1" t="str">
        <f t="shared" si="206"/>
        <v>20220906</v>
      </c>
      <c r="I1104" s="1" t="str">
        <f>"113214"</f>
        <v>113214</v>
      </c>
      <c r="J1104" s="1" t="s">
        <v>28</v>
      </c>
      <c r="K1104" s="1" t="s">
        <v>28</v>
      </c>
      <c r="L1104" s="1" t="str">
        <f t="shared" si="207"/>
        <v>20220906</v>
      </c>
      <c r="M1104" s="1" t="str">
        <f>"115124"</f>
        <v>115124</v>
      </c>
      <c r="N1104" s="1" t="s">
        <v>34</v>
      </c>
      <c r="O1104" s="1" t="s">
        <v>34</v>
      </c>
      <c r="P1104" s="1" t="s">
        <v>55</v>
      </c>
      <c r="Q1104" s="1">
        <v>25</v>
      </c>
      <c r="R1104" s="1">
        <v>25</v>
      </c>
      <c r="S1104" s="1">
        <v>0</v>
      </c>
      <c r="T1104" s="1">
        <v>0</v>
      </c>
      <c r="U1104" s="1">
        <v>0</v>
      </c>
      <c r="V1104" s="1" t="str">
        <f t="shared" si="204"/>
        <v>里程去程</v>
      </c>
      <c r="W1104" s="1" t="str">
        <f>"0020"</f>
        <v>0020</v>
      </c>
      <c r="X1104" s="1" t="s">
        <v>29</v>
      </c>
    </row>
    <row r="1105" spans="1:24" x14ac:dyDescent="0.3">
      <c r="A1105" s="1" t="str">
        <f t="shared" si="208"/>
        <v>59823</v>
      </c>
      <c r="B1105" s="1" t="s">
        <v>36</v>
      </c>
      <c r="C1105" s="1" t="s">
        <v>37</v>
      </c>
      <c r="D1105" s="1" t="str">
        <f t="shared" si="205"/>
        <v>9803</v>
      </c>
      <c r="E1105" s="1" t="s">
        <v>32</v>
      </c>
      <c r="F1105" s="1" t="str">
        <f>"218644353"</f>
        <v>218644353</v>
      </c>
      <c r="G1105" s="1" t="s">
        <v>33</v>
      </c>
      <c r="H1105" s="1" t="str">
        <f t="shared" si="206"/>
        <v>20220906</v>
      </c>
      <c r="I1105" s="1" t="str">
        <f>"113248"</f>
        <v>113248</v>
      </c>
      <c r="J1105" s="1" t="s">
        <v>28</v>
      </c>
      <c r="K1105" s="1" t="s">
        <v>28</v>
      </c>
      <c r="L1105" s="1" t="str">
        <f t="shared" si="207"/>
        <v>20220906</v>
      </c>
      <c r="M1105" s="1" t="str">
        <f>"115010"</f>
        <v>115010</v>
      </c>
      <c r="N1105" s="1" t="s">
        <v>34</v>
      </c>
      <c r="O1105" s="1" t="s">
        <v>34</v>
      </c>
      <c r="P1105" s="1" t="s">
        <v>55</v>
      </c>
      <c r="Q1105" s="1">
        <v>25</v>
      </c>
      <c r="R1105" s="1">
        <v>25</v>
      </c>
      <c r="S1105" s="1">
        <v>0</v>
      </c>
      <c r="T1105" s="1">
        <v>0</v>
      </c>
      <c r="U1105" s="1">
        <v>0</v>
      </c>
      <c r="V1105" s="1" t="str">
        <f t="shared" si="204"/>
        <v>里程去程</v>
      </c>
      <c r="W1105" s="1" t="str">
        <f>"0120"</f>
        <v>0120</v>
      </c>
      <c r="X1105" s="1" t="s">
        <v>35</v>
      </c>
    </row>
    <row r="1106" spans="1:24" x14ac:dyDescent="0.3">
      <c r="A1106" s="1" t="str">
        <f t="shared" si="208"/>
        <v>59823</v>
      </c>
      <c r="B1106" s="1" t="s">
        <v>36</v>
      </c>
      <c r="C1106" s="1" t="s">
        <v>37</v>
      </c>
      <c r="D1106" s="1" t="str">
        <f t="shared" ref="D1106:D1135" si="209">"9803"</f>
        <v>9803</v>
      </c>
      <c r="E1106" s="1" t="s">
        <v>32</v>
      </c>
      <c r="F1106" s="1" t="str">
        <f>"361163208"</f>
        <v>361163208</v>
      </c>
      <c r="G1106" s="1" t="s">
        <v>33</v>
      </c>
      <c r="H1106" s="1" t="str">
        <f t="shared" si="206"/>
        <v>20220906</v>
      </c>
      <c r="I1106" s="1" t="str">
        <f>"115955"</f>
        <v>115955</v>
      </c>
      <c r="J1106" s="1" t="s">
        <v>34</v>
      </c>
      <c r="K1106" s="1" t="s">
        <v>34</v>
      </c>
      <c r="L1106" s="1" t="str">
        <f t="shared" si="207"/>
        <v>20220906</v>
      </c>
      <c r="M1106" s="1" t="str">
        <f>"122915"</f>
        <v>122915</v>
      </c>
      <c r="N1106" s="1" t="s">
        <v>28</v>
      </c>
      <c r="O1106" s="1" t="s">
        <v>28</v>
      </c>
      <c r="P1106" s="1" t="s">
        <v>55</v>
      </c>
      <c r="Q1106" s="1">
        <v>25</v>
      </c>
      <c r="R1106" s="1">
        <v>25</v>
      </c>
      <c r="S1106" s="1">
        <v>0</v>
      </c>
      <c r="T1106" s="1">
        <v>0</v>
      </c>
      <c r="U1106" s="1">
        <v>0</v>
      </c>
      <c r="V1106" s="1" t="str">
        <f>"里程返程"</f>
        <v>里程返程</v>
      </c>
      <c r="W1106" s="1" t="str">
        <f>"2020"</f>
        <v>2020</v>
      </c>
      <c r="X1106" s="1" t="s">
        <v>35</v>
      </c>
    </row>
    <row r="1107" spans="1:24" x14ac:dyDescent="0.3">
      <c r="A1107" s="1" t="str">
        <f t="shared" si="208"/>
        <v>59823</v>
      </c>
      <c r="B1107" s="1" t="s">
        <v>36</v>
      </c>
      <c r="C1107" s="1" t="s">
        <v>37</v>
      </c>
      <c r="D1107" s="1" t="str">
        <f t="shared" si="209"/>
        <v>9803</v>
      </c>
      <c r="E1107" s="1" t="s">
        <v>32</v>
      </c>
      <c r="F1107" s="1" t="str">
        <f>"5723DA45EB8804004328380000100208"</f>
        <v>5723DA45EB8804004328380000100208</v>
      </c>
      <c r="G1107" s="1" t="s">
        <v>58</v>
      </c>
      <c r="H1107" s="1" t="str">
        <f t="shared" si="206"/>
        <v>20220906</v>
      </c>
      <c r="I1107" s="1" t="str">
        <f>"120000"</f>
        <v>120000</v>
      </c>
      <c r="J1107" s="1" t="s">
        <v>34</v>
      </c>
      <c r="K1107" s="1" t="s">
        <v>34</v>
      </c>
      <c r="L1107" s="1" t="str">
        <f t="shared" si="207"/>
        <v>20220906</v>
      </c>
      <c r="M1107" s="1" t="str">
        <f>"122159"</f>
        <v>122159</v>
      </c>
      <c r="N1107" s="1" t="s">
        <v>92</v>
      </c>
      <c r="O1107" s="1" t="s">
        <v>28</v>
      </c>
      <c r="P1107" s="1" t="s">
        <v>55</v>
      </c>
      <c r="Q1107" s="1">
        <v>25</v>
      </c>
      <c r="R1107" s="1">
        <v>25</v>
      </c>
      <c r="S1107" s="1">
        <v>0</v>
      </c>
      <c r="T1107" s="1">
        <v>0</v>
      </c>
      <c r="U1107" s="1">
        <v>0</v>
      </c>
      <c r="V1107" s="1" t="str">
        <f>"里程返程"</f>
        <v>里程返程</v>
      </c>
      <c r="W1107" s="1" t="str">
        <f>"0020"</f>
        <v>0020</v>
      </c>
      <c r="X1107" s="1" t="s">
        <v>29</v>
      </c>
    </row>
    <row r="1108" spans="1:24" x14ac:dyDescent="0.3">
      <c r="A1108" s="1" t="str">
        <f t="shared" si="208"/>
        <v>59823</v>
      </c>
      <c r="B1108" s="1" t="s">
        <v>36</v>
      </c>
      <c r="C1108" s="1" t="s">
        <v>37</v>
      </c>
      <c r="D1108" s="1" t="str">
        <f t="shared" si="209"/>
        <v>9803</v>
      </c>
      <c r="E1108" s="1" t="s">
        <v>32</v>
      </c>
      <c r="F1108" s="1" t="str">
        <f>"200114070"</f>
        <v>200114070</v>
      </c>
      <c r="G1108" s="1" t="s">
        <v>33</v>
      </c>
      <c r="H1108" s="1" t="str">
        <f t="shared" si="206"/>
        <v>20220906</v>
      </c>
      <c r="I1108" s="1" t="str">
        <f>"121228"</f>
        <v>121228</v>
      </c>
      <c r="J1108" s="1" t="s">
        <v>46</v>
      </c>
      <c r="K1108" s="1" t="s">
        <v>28</v>
      </c>
      <c r="L1108" s="1" t="str">
        <f t="shared" si="207"/>
        <v>20220906</v>
      </c>
      <c r="M1108" s="1" t="str">
        <f>"122909"</f>
        <v>122909</v>
      </c>
      <c r="N1108" s="1" t="s">
        <v>28</v>
      </c>
      <c r="O1108" s="1" t="s">
        <v>28</v>
      </c>
      <c r="P1108" s="1" t="s">
        <v>55</v>
      </c>
      <c r="Q1108" s="1">
        <v>25</v>
      </c>
      <c r="R1108" s="1">
        <v>0</v>
      </c>
      <c r="S1108" s="1">
        <v>25</v>
      </c>
      <c r="T1108" s="1">
        <v>0</v>
      </c>
      <c r="U1108" s="1">
        <v>0</v>
      </c>
      <c r="V1108" s="1" t="str">
        <f>"里程返程"</f>
        <v>里程返程</v>
      </c>
      <c r="W1108" s="1" t="str">
        <f>"2020"</f>
        <v>2020</v>
      </c>
      <c r="X1108" s="1" t="s">
        <v>35</v>
      </c>
    </row>
    <row r="1109" spans="1:24" x14ac:dyDescent="0.3">
      <c r="A1109" s="1" t="str">
        <f t="shared" si="208"/>
        <v>59823</v>
      </c>
      <c r="B1109" s="1" t="s">
        <v>36</v>
      </c>
      <c r="C1109" s="1" t="s">
        <v>37</v>
      </c>
      <c r="D1109" s="1" t="str">
        <f t="shared" si="209"/>
        <v>9803</v>
      </c>
      <c r="E1109" s="1" t="s">
        <v>32</v>
      </c>
      <c r="F1109" s="1" t="str">
        <f>"1046262421"</f>
        <v>1046262421</v>
      </c>
      <c r="G1109" s="1" t="s">
        <v>26</v>
      </c>
      <c r="H1109" s="1" t="str">
        <f t="shared" si="206"/>
        <v>20220906</v>
      </c>
      <c r="I1109" s="1" t="str">
        <f>"122944"</f>
        <v>122944</v>
      </c>
      <c r="J1109" s="1" t="s">
        <v>28</v>
      </c>
      <c r="K1109" s="1" t="s">
        <v>28</v>
      </c>
      <c r="L1109" s="1" t="str">
        <f t="shared" si="207"/>
        <v>20220906</v>
      </c>
      <c r="M1109" s="1" t="str">
        <f>"124928"</f>
        <v>124928</v>
      </c>
      <c r="N1109" s="1" t="s">
        <v>34</v>
      </c>
      <c r="O1109" s="1" t="s">
        <v>34</v>
      </c>
      <c r="P1109" s="1" t="s">
        <v>55</v>
      </c>
      <c r="Q1109" s="1">
        <v>13</v>
      </c>
      <c r="R1109" s="1">
        <v>13</v>
      </c>
      <c r="S1109" s="1">
        <v>0</v>
      </c>
      <c r="T1109" s="1">
        <v>0</v>
      </c>
      <c r="U1109" s="1">
        <v>0</v>
      </c>
      <c r="V1109" s="1" t="str">
        <f t="shared" ref="V1109:V1132" si="210">"里程去程"</f>
        <v>里程去程</v>
      </c>
      <c r="W1109" s="1" t="str">
        <f>"0920"</f>
        <v>0920</v>
      </c>
      <c r="X1109" s="1" t="s">
        <v>35</v>
      </c>
    </row>
    <row r="1110" spans="1:24" x14ac:dyDescent="0.3">
      <c r="A1110" s="1" t="str">
        <f t="shared" si="208"/>
        <v>59823</v>
      </c>
      <c r="B1110" s="1" t="s">
        <v>36</v>
      </c>
      <c r="C1110" s="1" t="s">
        <v>37</v>
      </c>
      <c r="D1110" s="1" t="str">
        <f t="shared" si="209"/>
        <v>9803</v>
      </c>
      <c r="E1110" s="1" t="s">
        <v>32</v>
      </c>
      <c r="F1110" s="1" t="str">
        <f>"81131009"</f>
        <v>81131009</v>
      </c>
      <c r="G1110" s="1" t="s">
        <v>33</v>
      </c>
      <c r="H1110" s="1" t="str">
        <f t="shared" si="206"/>
        <v>20220906</v>
      </c>
      <c r="I1110" s="1" t="str">
        <f>"122953"</f>
        <v>122953</v>
      </c>
      <c r="J1110" s="1" t="s">
        <v>28</v>
      </c>
      <c r="K1110" s="1" t="s">
        <v>28</v>
      </c>
      <c r="L1110" s="1" t="str">
        <f t="shared" si="207"/>
        <v>20220906</v>
      </c>
      <c r="M1110" s="1" t="str">
        <f>"124955"</f>
        <v>124955</v>
      </c>
      <c r="N1110" s="1" t="s">
        <v>34</v>
      </c>
      <c r="O1110" s="1" t="s">
        <v>34</v>
      </c>
      <c r="P1110" s="1" t="s">
        <v>55</v>
      </c>
      <c r="Q1110" s="1">
        <v>25</v>
      </c>
      <c r="R1110" s="1">
        <v>25</v>
      </c>
      <c r="S1110" s="1">
        <v>0</v>
      </c>
      <c r="T1110" s="1">
        <v>0</v>
      </c>
      <c r="U1110" s="1">
        <v>0</v>
      </c>
      <c r="V1110" s="1" t="str">
        <f t="shared" si="210"/>
        <v>里程去程</v>
      </c>
      <c r="W1110" s="1" t="str">
        <f>"0620"</f>
        <v>0620</v>
      </c>
      <c r="X1110" s="1" t="s">
        <v>35</v>
      </c>
    </row>
    <row r="1111" spans="1:24" x14ac:dyDescent="0.3">
      <c r="A1111" s="1" t="str">
        <f t="shared" si="208"/>
        <v>59823</v>
      </c>
      <c r="B1111" s="1" t="s">
        <v>36</v>
      </c>
      <c r="C1111" s="1" t="s">
        <v>37</v>
      </c>
      <c r="D1111" s="1" t="str">
        <f t="shared" si="209"/>
        <v>9803</v>
      </c>
      <c r="E1111" s="1" t="s">
        <v>32</v>
      </c>
      <c r="F1111" s="1" t="str">
        <f>"796141013"</f>
        <v>796141013</v>
      </c>
      <c r="G1111" s="1" t="s">
        <v>33</v>
      </c>
      <c r="H1111" s="1" t="str">
        <f t="shared" si="206"/>
        <v>20220906</v>
      </c>
      <c r="I1111" s="1" t="str">
        <f>"122955"</f>
        <v>122955</v>
      </c>
      <c r="J1111" s="1" t="s">
        <v>28</v>
      </c>
      <c r="K1111" s="1" t="s">
        <v>28</v>
      </c>
      <c r="L1111" s="1" t="str">
        <f t="shared" si="207"/>
        <v>20220906</v>
      </c>
      <c r="M1111" s="1" t="str">
        <f>"124959"</f>
        <v>124959</v>
      </c>
      <c r="N1111" s="1" t="s">
        <v>34</v>
      </c>
      <c r="O1111" s="1" t="s">
        <v>34</v>
      </c>
      <c r="P1111" s="1" t="s">
        <v>55</v>
      </c>
      <c r="Q1111" s="1">
        <v>25</v>
      </c>
      <c r="R1111" s="1">
        <v>25</v>
      </c>
      <c r="S1111" s="1">
        <v>0</v>
      </c>
      <c r="T1111" s="1">
        <v>0</v>
      </c>
      <c r="U1111" s="1">
        <v>0</v>
      </c>
      <c r="V1111" s="1" t="str">
        <f t="shared" si="210"/>
        <v>里程去程</v>
      </c>
      <c r="W1111" s="1" t="str">
        <f>"0820"</f>
        <v>0820</v>
      </c>
      <c r="X1111" s="1" t="s">
        <v>35</v>
      </c>
    </row>
    <row r="1112" spans="1:24" x14ac:dyDescent="0.3">
      <c r="A1112" s="1" t="str">
        <f t="shared" si="208"/>
        <v>59823</v>
      </c>
      <c r="B1112" s="1" t="s">
        <v>36</v>
      </c>
      <c r="C1112" s="1" t="s">
        <v>37</v>
      </c>
      <c r="D1112" s="1" t="str">
        <f t="shared" si="209"/>
        <v>9803</v>
      </c>
      <c r="E1112" s="1" t="s">
        <v>32</v>
      </c>
      <c r="F1112" s="1" t="str">
        <f>"1011460369"</f>
        <v>1011460369</v>
      </c>
      <c r="G1112" s="1" t="s">
        <v>33</v>
      </c>
      <c r="H1112" s="1" t="str">
        <f t="shared" si="206"/>
        <v>20220906</v>
      </c>
      <c r="I1112" s="1" t="str">
        <f>"122959"</f>
        <v>122959</v>
      </c>
      <c r="J1112" s="1" t="s">
        <v>28</v>
      </c>
      <c r="K1112" s="1" t="s">
        <v>28</v>
      </c>
      <c r="L1112" s="1" t="str">
        <f t="shared" si="207"/>
        <v>20220906</v>
      </c>
      <c r="M1112" s="1" t="str">
        <f>"124946"</f>
        <v>124946</v>
      </c>
      <c r="N1112" s="1" t="s">
        <v>34</v>
      </c>
      <c r="O1112" s="1" t="s">
        <v>34</v>
      </c>
      <c r="P1112" s="1" t="s">
        <v>55</v>
      </c>
      <c r="Q1112" s="1">
        <v>25</v>
      </c>
      <c r="R1112" s="1">
        <v>25</v>
      </c>
      <c r="S1112" s="1">
        <v>0</v>
      </c>
      <c r="T1112" s="1">
        <v>0</v>
      </c>
      <c r="U1112" s="1">
        <v>0</v>
      </c>
      <c r="V1112" s="1" t="str">
        <f t="shared" si="210"/>
        <v>里程去程</v>
      </c>
      <c r="W1112" s="1" t="str">
        <f>"2020"</f>
        <v>2020</v>
      </c>
      <c r="X1112" s="1" t="s">
        <v>35</v>
      </c>
    </row>
    <row r="1113" spans="1:24" x14ac:dyDescent="0.3">
      <c r="A1113" s="1" t="str">
        <f t="shared" si="208"/>
        <v>59823</v>
      </c>
      <c r="B1113" s="1" t="s">
        <v>36</v>
      </c>
      <c r="C1113" s="1" t="s">
        <v>37</v>
      </c>
      <c r="D1113" s="1" t="str">
        <f t="shared" si="209"/>
        <v>9803</v>
      </c>
      <c r="E1113" s="1" t="s">
        <v>32</v>
      </c>
      <c r="F1113" s="1" t="str">
        <f>"C2A85B0F3E880400C820002000000018"</f>
        <v>C2A85B0F3E880400C820002000000018</v>
      </c>
      <c r="G1113" s="1" t="s">
        <v>58</v>
      </c>
      <c r="H1113" s="1" t="str">
        <f t="shared" si="206"/>
        <v>20220906</v>
      </c>
      <c r="I1113" s="1" t="str">
        <f>"123002"</f>
        <v>123002</v>
      </c>
      <c r="J1113" s="1" t="s">
        <v>28</v>
      </c>
      <c r="K1113" s="1" t="s">
        <v>28</v>
      </c>
      <c r="L1113" s="1" t="str">
        <f t="shared" si="207"/>
        <v>20220906</v>
      </c>
      <c r="M1113" s="1" t="str">
        <f>"124951"</f>
        <v>124951</v>
      </c>
      <c r="N1113" s="1" t="s">
        <v>34</v>
      </c>
      <c r="O1113" s="1" t="s">
        <v>34</v>
      </c>
      <c r="P1113" s="1" t="s">
        <v>55</v>
      </c>
      <c r="Q1113" s="1">
        <v>25</v>
      </c>
      <c r="R1113" s="1">
        <v>25</v>
      </c>
      <c r="S1113" s="1">
        <v>0</v>
      </c>
      <c r="T1113" s="1">
        <v>0</v>
      </c>
      <c r="U1113" s="1">
        <v>0</v>
      </c>
      <c r="V1113" s="1" t="str">
        <f t="shared" si="210"/>
        <v>里程去程</v>
      </c>
      <c r="W1113" s="1" t="str">
        <f>"0020"</f>
        <v>0020</v>
      </c>
      <c r="X1113" s="1" t="s">
        <v>29</v>
      </c>
    </row>
    <row r="1114" spans="1:24" x14ac:dyDescent="0.3">
      <c r="A1114" s="1" t="str">
        <f t="shared" si="208"/>
        <v>59823</v>
      </c>
      <c r="B1114" s="1" t="s">
        <v>36</v>
      </c>
      <c r="C1114" s="1" t="s">
        <v>37</v>
      </c>
      <c r="D1114" s="1" t="str">
        <f t="shared" si="209"/>
        <v>9803</v>
      </c>
      <c r="E1114" s="1" t="s">
        <v>32</v>
      </c>
      <c r="F1114" s="1" t="str">
        <f>"1787765525"</f>
        <v>1787765525</v>
      </c>
      <c r="G1114" s="1" t="s">
        <v>33</v>
      </c>
      <c r="H1114" s="1" t="str">
        <f t="shared" si="206"/>
        <v>20220906</v>
      </c>
      <c r="I1114" s="1" t="str">
        <f>"123008"</f>
        <v>123008</v>
      </c>
      <c r="J1114" s="1" t="s">
        <v>28</v>
      </c>
      <c r="K1114" s="1" t="s">
        <v>28</v>
      </c>
      <c r="L1114" s="1" t="str">
        <f t="shared" si="207"/>
        <v>20220906</v>
      </c>
      <c r="M1114" s="1" t="str">
        <f>"125009"</f>
        <v>125009</v>
      </c>
      <c r="N1114" s="1" t="s">
        <v>34</v>
      </c>
      <c r="O1114" s="1" t="s">
        <v>34</v>
      </c>
      <c r="P1114" s="1" t="s">
        <v>55</v>
      </c>
      <c r="Q1114" s="1">
        <v>25</v>
      </c>
      <c r="R1114" s="1">
        <v>25</v>
      </c>
      <c r="S1114" s="1">
        <v>0</v>
      </c>
      <c r="T1114" s="1">
        <v>0</v>
      </c>
      <c r="U1114" s="1">
        <v>0</v>
      </c>
      <c r="V1114" s="1" t="str">
        <f t="shared" si="210"/>
        <v>里程去程</v>
      </c>
      <c r="W1114" s="1" t="str">
        <f>"0120"</f>
        <v>0120</v>
      </c>
      <c r="X1114" s="1" t="s">
        <v>35</v>
      </c>
    </row>
    <row r="1115" spans="1:24" x14ac:dyDescent="0.3">
      <c r="A1115" s="1" t="str">
        <f t="shared" si="208"/>
        <v>59823</v>
      </c>
      <c r="B1115" s="1" t="s">
        <v>36</v>
      </c>
      <c r="C1115" s="1" t="s">
        <v>37</v>
      </c>
      <c r="D1115" s="1" t="str">
        <f t="shared" si="209"/>
        <v>9803</v>
      </c>
      <c r="E1115" s="1" t="s">
        <v>32</v>
      </c>
      <c r="F1115" s="1" t="str">
        <f>"015F4D4B588804004325BD2700050B0F"</f>
        <v>015F4D4B588804004325BD2700050B0F</v>
      </c>
      <c r="G1115" s="1" t="s">
        <v>26</v>
      </c>
      <c r="H1115" s="1" t="str">
        <f t="shared" si="206"/>
        <v>20220906</v>
      </c>
      <c r="I1115" s="1" t="str">
        <f>"123015"</f>
        <v>123015</v>
      </c>
      <c r="J1115" s="1" t="s">
        <v>28</v>
      </c>
      <c r="K1115" s="1" t="s">
        <v>28</v>
      </c>
      <c r="L1115" s="1" t="str">
        <f t="shared" si="207"/>
        <v>20220906</v>
      </c>
      <c r="M1115" s="1" t="str">
        <f>"125021"</f>
        <v>125021</v>
      </c>
      <c r="N1115" s="1" t="s">
        <v>34</v>
      </c>
      <c r="O1115" s="1" t="s">
        <v>34</v>
      </c>
      <c r="P1115" s="1" t="s">
        <v>55</v>
      </c>
      <c r="Q1115" s="1">
        <v>13</v>
      </c>
      <c r="R1115" s="1">
        <v>13</v>
      </c>
      <c r="S1115" s="1">
        <v>0</v>
      </c>
      <c r="T1115" s="1">
        <v>0</v>
      </c>
      <c r="U1115" s="1">
        <v>0</v>
      </c>
      <c r="V1115" s="1" t="str">
        <f t="shared" si="210"/>
        <v>里程去程</v>
      </c>
      <c r="W1115" s="1" t="str">
        <f>"0020"</f>
        <v>0020</v>
      </c>
      <c r="X1115" s="1" t="s">
        <v>29</v>
      </c>
    </row>
    <row r="1116" spans="1:24" x14ac:dyDescent="0.3">
      <c r="A1116" s="1" t="str">
        <f t="shared" si="208"/>
        <v>59823</v>
      </c>
      <c r="B1116" s="1" t="s">
        <v>36</v>
      </c>
      <c r="C1116" s="1" t="s">
        <v>37</v>
      </c>
      <c r="D1116" s="1" t="str">
        <f t="shared" si="209"/>
        <v>9803</v>
      </c>
      <c r="E1116" s="1" t="s">
        <v>32</v>
      </c>
      <c r="F1116" s="1" t="str">
        <f>"8E8EB3CE7D88040047C13639CA002010"</f>
        <v>8E8EB3CE7D88040047C13639CA002010</v>
      </c>
      <c r="G1116" s="1" t="s">
        <v>59</v>
      </c>
      <c r="H1116" s="1" t="str">
        <f t="shared" si="206"/>
        <v>20220906</v>
      </c>
      <c r="I1116" s="1" t="str">
        <f>"123020"</f>
        <v>123020</v>
      </c>
      <c r="J1116" s="1" t="s">
        <v>28</v>
      </c>
      <c r="K1116" s="1" t="s">
        <v>28</v>
      </c>
      <c r="L1116" s="1" t="str">
        <f t="shared" si="207"/>
        <v>20220906</v>
      </c>
      <c r="M1116" s="1" t="str">
        <f>"124942"</f>
        <v>124942</v>
      </c>
      <c r="N1116" s="1" t="s">
        <v>34</v>
      </c>
      <c r="O1116" s="1" t="s">
        <v>34</v>
      </c>
      <c r="P1116" s="1" t="s">
        <v>55</v>
      </c>
      <c r="Q1116" s="1">
        <v>25</v>
      </c>
      <c r="R1116" s="1">
        <v>0</v>
      </c>
      <c r="S1116" s="1">
        <v>25</v>
      </c>
      <c r="T1116" s="1">
        <v>0</v>
      </c>
      <c r="U1116" s="1">
        <v>0</v>
      </c>
      <c r="V1116" s="1" t="str">
        <f t="shared" si="210"/>
        <v>里程去程</v>
      </c>
      <c r="W1116" s="1" t="str">
        <f>"0620"</f>
        <v>0620</v>
      </c>
      <c r="X1116" s="1" t="s">
        <v>29</v>
      </c>
    </row>
    <row r="1117" spans="1:24" x14ac:dyDescent="0.3">
      <c r="A1117" s="1" t="str">
        <f t="shared" si="208"/>
        <v>59823</v>
      </c>
      <c r="B1117" s="1" t="s">
        <v>36</v>
      </c>
      <c r="C1117" s="1" t="s">
        <v>37</v>
      </c>
      <c r="D1117" s="1" t="str">
        <f t="shared" si="209"/>
        <v>9803</v>
      </c>
      <c r="E1117" s="1" t="s">
        <v>32</v>
      </c>
      <c r="F1117" s="1" t="str">
        <f>"1214398677"</f>
        <v>1214398677</v>
      </c>
      <c r="G1117" s="1" t="s">
        <v>38</v>
      </c>
      <c r="H1117" s="1" t="str">
        <f t="shared" si="206"/>
        <v>20220906</v>
      </c>
      <c r="I1117" s="1" t="str">
        <f>"123023"</f>
        <v>123023</v>
      </c>
      <c r="J1117" s="1" t="s">
        <v>28</v>
      </c>
      <c r="K1117" s="1" t="s">
        <v>28</v>
      </c>
      <c r="L1117" s="1" t="str">
        <f t="shared" si="207"/>
        <v>20220906</v>
      </c>
      <c r="M1117" s="1" t="str">
        <f>"124940"</f>
        <v>124940</v>
      </c>
      <c r="N1117" s="1" t="s">
        <v>34</v>
      </c>
      <c r="O1117" s="1" t="s">
        <v>34</v>
      </c>
      <c r="P1117" s="1" t="s">
        <v>55</v>
      </c>
      <c r="Q1117" s="1">
        <v>25</v>
      </c>
      <c r="R1117" s="1">
        <v>0</v>
      </c>
      <c r="S1117" s="1">
        <v>25</v>
      </c>
      <c r="T1117" s="1">
        <v>0</v>
      </c>
      <c r="U1117" s="1">
        <v>0</v>
      </c>
      <c r="V1117" s="1" t="str">
        <f t="shared" si="210"/>
        <v>里程去程</v>
      </c>
      <c r="W1117" s="1" t="str">
        <f>"0820"</f>
        <v>0820</v>
      </c>
      <c r="X1117" s="1" t="s">
        <v>35</v>
      </c>
    </row>
    <row r="1118" spans="1:24" x14ac:dyDescent="0.3">
      <c r="A1118" s="1" t="str">
        <f t="shared" si="208"/>
        <v>59823</v>
      </c>
      <c r="B1118" s="1" t="s">
        <v>36</v>
      </c>
      <c r="C1118" s="1" t="s">
        <v>37</v>
      </c>
      <c r="D1118" s="1" t="str">
        <f t="shared" si="209"/>
        <v>9803</v>
      </c>
      <c r="E1118" s="1" t="s">
        <v>32</v>
      </c>
      <c r="F1118" s="1" t="str">
        <f>"780835969"</f>
        <v>780835969</v>
      </c>
      <c r="G1118" s="1" t="s">
        <v>38</v>
      </c>
      <c r="H1118" s="1" t="str">
        <f t="shared" si="206"/>
        <v>20220906</v>
      </c>
      <c r="I1118" s="1" t="str">
        <f>"123027"</f>
        <v>123027</v>
      </c>
      <c r="J1118" s="1" t="s">
        <v>28</v>
      </c>
      <c r="K1118" s="1" t="s">
        <v>28</v>
      </c>
      <c r="L1118" s="1" t="str">
        <f t="shared" si="207"/>
        <v>20220906</v>
      </c>
      <c r="M1118" s="1" t="str">
        <f>"124937"</f>
        <v>124937</v>
      </c>
      <c r="N1118" s="1" t="s">
        <v>34</v>
      </c>
      <c r="O1118" s="1" t="s">
        <v>34</v>
      </c>
      <c r="P1118" s="1" t="s">
        <v>55</v>
      </c>
      <c r="Q1118" s="1">
        <v>25</v>
      </c>
      <c r="R1118" s="1">
        <v>0</v>
      </c>
      <c r="S1118" s="1">
        <v>25</v>
      </c>
      <c r="T1118" s="1">
        <v>0</v>
      </c>
      <c r="U1118" s="1">
        <v>0</v>
      </c>
      <c r="V1118" s="1" t="str">
        <f t="shared" si="210"/>
        <v>里程去程</v>
      </c>
      <c r="W1118" s="1" t="str">
        <f>"0820"</f>
        <v>0820</v>
      </c>
      <c r="X1118" s="1" t="s">
        <v>35</v>
      </c>
    </row>
    <row r="1119" spans="1:24" x14ac:dyDescent="0.3">
      <c r="A1119" s="1" t="str">
        <f t="shared" si="208"/>
        <v>59823</v>
      </c>
      <c r="B1119" s="1" t="s">
        <v>36</v>
      </c>
      <c r="C1119" s="1" t="s">
        <v>37</v>
      </c>
      <c r="D1119" s="1" t="str">
        <f t="shared" si="209"/>
        <v>9803</v>
      </c>
      <c r="E1119" s="1" t="s">
        <v>32</v>
      </c>
      <c r="F1119" s="1" t="str">
        <f>"32F47808B6880400C847002000000015"</f>
        <v>32F47808B6880400C847002000000015</v>
      </c>
      <c r="G1119" s="1" t="s">
        <v>59</v>
      </c>
      <c r="H1119" s="1" t="str">
        <f t="shared" si="206"/>
        <v>20220906</v>
      </c>
      <c r="I1119" s="1" t="str">
        <f>"123034"</f>
        <v>123034</v>
      </c>
      <c r="J1119" s="1" t="s">
        <v>28</v>
      </c>
      <c r="K1119" s="1" t="s">
        <v>28</v>
      </c>
      <c r="L1119" s="1" t="str">
        <f t="shared" si="207"/>
        <v>20220906</v>
      </c>
      <c r="M1119" s="1" t="str">
        <f>"124934"</f>
        <v>124934</v>
      </c>
      <c r="N1119" s="1" t="s">
        <v>34</v>
      </c>
      <c r="O1119" s="1" t="s">
        <v>34</v>
      </c>
      <c r="P1119" s="1" t="s">
        <v>55</v>
      </c>
      <c r="Q1119" s="1">
        <v>25</v>
      </c>
      <c r="R1119" s="1">
        <v>0</v>
      </c>
      <c r="S1119" s="1">
        <v>25</v>
      </c>
      <c r="T1119" s="1">
        <v>0</v>
      </c>
      <c r="U1119" s="1">
        <v>0</v>
      </c>
      <c r="V1119" s="1" t="str">
        <f t="shared" si="210"/>
        <v>里程去程</v>
      </c>
      <c r="W1119" s="1" t="str">
        <f>"0620"</f>
        <v>0620</v>
      </c>
      <c r="X1119" s="1" t="s">
        <v>29</v>
      </c>
    </row>
    <row r="1120" spans="1:24" x14ac:dyDescent="0.3">
      <c r="A1120" s="1" t="str">
        <f t="shared" si="208"/>
        <v>59823</v>
      </c>
      <c r="B1120" s="1" t="s">
        <v>36</v>
      </c>
      <c r="C1120" s="1" t="s">
        <v>37</v>
      </c>
      <c r="D1120" s="1" t="str">
        <f t="shared" si="209"/>
        <v>9803</v>
      </c>
      <c r="E1120" s="1" t="s">
        <v>32</v>
      </c>
      <c r="F1120" s="1" t="str">
        <f>"1252112373"</f>
        <v>1252112373</v>
      </c>
      <c r="G1120" s="1" t="s">
        <v>38</v>
      </c>
      <c r="H1120" s="1" t="str">
        <f t="shared" si="206"/>
        <v>20220906</v>
      </c>
      <c r="I1120" s="1" t="str">
        <f>"123043"</f>
        <v>123043</v>
      </c>
      <c r="J1120" s="1" t="s">
        <v>28</v>
      </c>
      <c r="K1120" s="1" t="s">
        <v>28</v>
      </c>
      <c r="L1120" s="1" t="str">
        <f t="shared" si="207"/>
        <v>20220906</v>
      </c>
      <c r="M1120" s="1" t="str">
        <f>"124744"</f>
        <v>124744</v>
      </c>
      <c r="N1120" s="1" t="s">
        <v>89</v>
      </c>
      <c r="O1120" s="1" t="s">
        <v>28</v>
      </c>
      <c r="P1120" s="1" t="s">
        <v>55</v>
      </c>
      <c r="Q1120" s="1">
        <v>25</v>
      </c>
      <c r="R1120" s="1">
        <v>0</v>
      </c>
      <c r="S1120" s="1">
        <v>25</v>
      </c>
      <c r="T1120" s="1">
        <v>0</v>
      </c>
      <c r="U1120" s="1">
        <v>0</v>
      </c>
      <c r="V1120" s="1" t="str">
        <f t="shared" si="210"/>
        <v>里程去程</v>
      </c>
      <c r="W1120" s="1" t="str">
        <f>"0820"</f>
        <v>0820</v>
      </c>
      <c r="X1120" s="1" t="s">
        <v>35</v>
      </c>
    </row>
    <row r="1121" spans="1:24" x14ac:dyDescent="0.3">
      <c r="A1121" s="1" t="str">
        <f t="shared" si="208"/>
        <v>59823</v>
      </c>
      <c r="B1121" s="1" t="s">
        <v>36</v>
      </c>
      <c r="C1121" s="1" t="s">
        <v>37</v>
      </c>
      <c r="D1121" s="1" t="str">
        <f t="shared" si="209"/>
        <v>9803</v>
      </c>
      <c r="E1121" s="1" t="s">
        <v>32</v>
      </c>
      <c r="F1121" s="1" t="str">
        <f>"1250381301"</f>
        <v>1250381301</v>
      </c>
      <c r="G1121" s="1" t="s">
        <v>38</v>
      </c>
      <c r="H1121" s="1" t="str">
        <f t="shared" si="206"/>
        <v>20220906</v>
      </c>
      <c r="I1121" s="1" t="str">
        <f>"123049"</f>
        <v>123049</v>
      </c>
      <c r="J1121" s="1" t="s">
        <v>28</v>
      </c>
      <c r="K1121" s="1" t="s">
        <v>28</v>
      </c>
      <c r="L1121" s="1" t="str">
        <f t="shared" si="207"/>
        <v>20220906</v>
      </c>
      <c r="M1121" s="1" t="str">
        <f>"124740"</f>
        <v>124740</v>
      </c>
      <c r="N1121" s="1" t="s">
        <v>89</v>
      </c>
      <c r="O1121" s="1" t="s">
        <v>28</v>
      </c>
      <c r="P1121" s="1" t="s">
        <v>55</v>
      </c>
      <c r="Q1121" s="1">
        <v>25</v>
      </c>
      <c r="R1121" s="1">
        <v>25</v>
      </c>
      <c r="S1121" s="1">
        <v>0</v>
      </c>
      <c r="T1121" s="1">
        <v>0</v>
      </c>
      <c r="U1121" s="1">
        <v>0</v>
      </c>
      <c r="V1121" s="1" t="str">
        <f t="shared" si="210"/>
        <v>里程去程</v>
      </c>
      <c r="W1121" s="1" t="str">
        <f>"0120"</f>
        <v>0120</v>
      </c>
      <c r="X1121" s="1" t="s">
        <v>35</v>
      </c>
    </row>
    <row r="1122" spans="1:24" x14ac:dyDescent="0.3">
      <c r="A1122" s="1" t="str">
        <f t="shared" si="208"/>
        <v>59823</v>
      </c>
      <c r="B1122" s="1" t="s">
        <v>36</v>
      </c>
      <c r="C1122" s="1" t="s">
        <v>37</v>
      </c>
      <c r="D1122" s="1" t="str">
        <f t="shared" si="209"/>
        <v>9803</v>
      </c>
      <c r="E1122" s="1" t="s">
        <v>32</v>
      </c>
      <c r="F1122" s="1" t="str">
        <f>"854C539C0688040043265ABE00090710"</f>
        <v>854C539C0688040043265ABE00090710</v>
      </c>
      <c r="G1122" s="1" t="s">
        <v>58</v>
      </c>
      <c r="H1122" s="1" t="str">
        <f t="shared" si="206"/>
        <v>20220906</v>
      </c>
      <c r="I1122" s="1" t="str">
        <f>"123054"</f>
        <v>123054</v>
      </c>
      <c r="J1122" s="1" t="s">
        <v>28</v>
      </c>
      <c r="K1122" s="1" t="s">
        <v>28</v>
      </c>
      <c r="L1122" s="1" t="str">
        <f t="shared" si="207"/>
        <v>20220906</v>
      </c>
      <c r="M1122" s="1" t="str">
        <f>"124756"</f>
        <v>124756</v>
      </c>
      <c r="N1122" s="1" t="s">
        <v>34</v>
      </c>
      <c r="O1122" s="1" t="s">
        <v>34</v>
      </c>
      <c r="P1122" s="1" t="s">
        <v>55</v>
      </c>
      <c r="Q1122" s="1">
        <v>25</v>
      </c>
      <c r="R1122" s="1">
        <v>25</v>
      </c>
      <c r="S1122" s="1">
        <v>0</v>
      </c>
      <c r="T1122" s="1">
        <v>0</v>
      </c>
      <c r="U1122" s="1">
        <v>0</v>
      </c>
      <c r="V1122" s="1" t="str">
        <f t="shared" si="210"/>
        <v>里程去程</v>
      </c>
      <c r="W1122" s="1" t="str">
        <f>"0020"</f>
        <v>0020</v>
      </c>
      <c r="X1122" s="1" t="s">
        <v>29</v>
      </c>
    </row>
    <row r="1123" spans="1:24" x14ac:dyDescent="0.3">
      <c r="A1123" s="1" t="str">
        <f t="shared" si="208"/>
        <v>59823</v>
      </c>
      <c r="B1123" s="1" t="s">
        <v>36</v>
      </c>
      <c r="C1123" s="1" t="s">
        <v>37</v>
      </c>
      <c r="D1123" s="1" t="str">
        <f t="shared" si="209"/>
        <v>9803</v>
      </c>
      <c r="E1123" s="1" t="s">
        <v>32</v>
      </c>
      <c r="F1123" s="1" t="str">
        <f>"1231008245"</f>
        <v>1231008245</v>
      </c>
      <c r="G1123" s="1" t="s">
        <v>38</v>
      </c>
      <c r="H1123" s="1" t="str">
        <f t="shared" si="206"/>
        <v>20220906</v>
      </c>
      <c r="I1123" s="1" t="str">
        <f>"123101"</f>
        <v>123101</v>
      </c>
      <c r="J1123" s="1" t="s">
        <v>28</v>
      </c>
      <c r="K1123" s="1" t="s">
        <v>28</v>
      </c>
      <c r="L1123" s="1" t="str">
        <f t="shared" si="207"/>
        <v>20220906</v>
      </c>
      <c r="M1123" s="1" t="str">
        <f>"124758"</f>
        <v>124758</v>
      </c>
      <c r="N1123" s="1" t="s">
        <v>34</v>
      </c>
      <c r="O1123" s="1" t="s">
        <v>34</v>
      </c>
      <c r="P1123" s="1" t="s">
        <v>55</v>
      </c>
      <c r="Q1123" s="1">
        <v>25</v>
      </c>
      <c r="R1123" s="1">
        <v>25</v>
      </c>
      <c r="S1123" s="1">
        <v>0</v>
      </c>
      <c r="T1123" s="1">
        <v>0</v>
      </c>
      <c r="U1123" s="1">
        <v>0</v>
      </c>
      <c r="V1123" s="1" t="str">
        <f t="shared" si="210"/>
        <v>里程去程</v>
      </c>
      <c r="W1123" s="1" t="str">
        <f>"1420"</f>
        <v>1420</v>
      </c>
      <c r="X1123" s="1" t="s">
        <v>35</v>
      </c>
    </row>
    <row r="1124" spans="1:24" x14ac:dyDescent="0.3">
      <c r="A1124" s="1" t="str">
        <f t="shared" si="208"/>
        <v>59823</v>
      </c>
      <c r="B1124" s="1" t="s">
        <v>36</v>
      </c>
      <c r="C1124" s="1" t="s">
        <v>37</v>
      </c>
      <c r="D1124" s="1" t="str">
        <f t="shared" si="209"/>
        <v>9803</v>
      </c>
      <c r="E1124" s="1" t="s">
        <v>32</v>
      </c>
      <c r="F1124" s="1" t="str">
        <f>"442858241"</f>
        <v>442858241</v>
      </c>
      <c r="G1124" s="1" t="s">
        <v>33</v>
      </c>
      <c r="H1124" s="1" t="str">
        <f t="shared" si="206"/>
        <v>20220906</v>
      </c>
      <c r="I1124" s="1" t="str">
        <f>"123120"</f>
        <v>123120</v>
      </c>
      <c r="J1124" s="1" t="s">
        <v>28</v>
      </c>
      <c r="K1124" s="1" t="s">
        <v>28</v>
      </c>
      <c r="L1124" s="1" t="str">
        <f t="shared" si="207"/>
        <v>20220906</v>
      </c>
      <c r="M1124" s="1" t="str">
        <f>"124924"</f>
        <v>124924</v>
      </c>
      <c r="N1124" s="1" t="s">
        <v>34</v>
      </c>
      <c r="O1124" s="1" t="s">
        <v>34</v>
      </c>
      <c r="P1124" s="1" t="s">
        <v>55</v>
      </c>
      <c r="Q1124" s="1">
        <v>25</v>
      </c>
      <c r="R1124" s="1">
        <v>25</v>
      </c>
      <c r="S1124" s="1">
        <v>0</v>
      </c>
      <c r="T1124" s="1">
        <v>0</v>
      </c>
      <c r="U1124" s="1">
        <v>0</v>
      </c>
      <c r="V1124" s="1" t="str">
        <f t="shared" si="210"/>
        <v>里程去程</v>
      </c>
      <c r="W1124" s="1" t="str">
        <f>"0620"</f>
        <v>0620</v>
      </c>
      <c r="X1124" s="1" t="s">
        <v>35</v>
      </c>
    </row>
    <row r="1125" spans="1:24" x14ac:dyDescent="0.3">
      <c r="A1125" s="1" t="str">
        <f t="shared" si="208"/>
        <v>59823</v>
      </c>
      <c r="B1125" s="1" t="s">
        <v>36</v>
      </c>
      <c r="C1125" s="1" t="s">
        <v>37</v>
      </c>
      <c r="D1125" s="1" t="str">
        <f t="shared" si="209"/>
        <v>9803</v>
      </c>
      <c r="E1125" s="1" t="s">
        <v>32</v>
      </c>
      <c r="F1125" s="1" t="str">
        <f>"910E3D65C78804004325CC9400040C0F"</f>
        <v>910E3D65C78804004325CC9400040C0F</v>
      </c>
      <c r="G1125" s="1" t="s">
        <v>58</v>
      </c>
      <c r="H1125" s="1" t="str">
        <f t="shared" si="206"/>
        <v>20220906</v>
      </c>
      <c r="I1125" s="1" t="str">
        <f>"123129"</f>
        <v>123129</v>
      </c>
      <c r="J1125" s="1" t="s">
        <v>28</v>
      </c>
      <c r="K1125" s="1" t="s">
        <v>28</v>
      </c>
      <c r="L1125" s="1" t="str">
        <f t="shared" si="207"/>
        <v>20220906</v>
      </c>
      <c r="M1125" s="1" t="str">
        <f>"124931"</f>
        <v>124931</v>
      </c>
      <c r="N1125" s="1" t="s">
        <v>34</v>
      </c>
      <c r="O1125" s="1" t="s">
        <v>34</v>
      </c>
      <c r="P1125" s="1" t="s">
        <v>55</v>
      </c>
      <c r="Q1125" s="1">
        <v>25</v>
      </c>
      <c r="R1125" s="1">
        <v>0</v>
      </c>
      <c r="S1125" s="1">
        <v>25</v>
      </c>
      <c r="T1125" s="1">
        <v>0</v>
      </c>
      <c r="U1125" s="1">
        <v>0</v>
      </c>
      <c r="V1125" s="1" t="str">
        <f t="shared" si="210"/>
        <v>里程去程</v>
      </c>
      <c r="W1125" s="1" t="str">
        <f>"0620"</f>
        <v>0620</v>
      </c>
      <c r="X1125" s="1" t="s">
        <v>29</v>
      </c>
    </row>
    <row r="1126" spans="1:24" x14ac:dyDescent="0.3">
      <c r="A1126" s="1" t="str">
        <f t="shared" si="208"/>
        <v>59823</v>
      </c>
      <c r="B1126" s="1" t="s">
        <v>36</v>
      </c>
      <c r="C1126" s="1" t="s">
        <v>37</v>
      </c>
      <c r="D1126" s="1" t="str">
        <f t="shared" si="209"/>
        <v>9803</v>
      </c>
      <c r="E1126" s="1" t="s">
        <v>32</v>
      </c>
      <c r="F1126" s="1" t="str">
        <f>"02285F0075880400C842002000000014"</f>
        <v>02285F0075880400C842002000000014</v>
      </c>
      <c r="G1126" s="1" t="s">
        <v>38</v>
      </c>
      <c r="H1126" s="1" t="str">
        <f t="shared" si="206"/>
        <v>20220906</v>
      </c>
      <c r="I1126" s="1" t="str">
        <f>"123134"</f>
        <v>123134</v>
      </c>
      <c r="J1126" s="1" t="s">
        <v>28</v>
      </c>
      <c r="K1126" s="1" t="s">
        <v>28</v>
      </c>
      <c r="L1126" s="1" t="str">
        <f t="shared" si="207"/>
        <v>20220906</v>
      </c>
      <c r="M1126" s="1" t="str">
        <f>"124918"</f>
        <v>124918</v>
      </c>
      <c r="N1126" s="1" t="s">
        <v>34</v>
      </c>
      <c r="O1126" s="1" t="s">
        <v>34</v>
      </c>
      <c r="P1126" s="1" t="s">
        <v>55</v>
      </c>
      <c r="Q1126" s="1">
        <v>25</v>
      </c>
      <c r="R1126" s="1">
        <v>0</v>
      </c>
      <c r="S1126" s="1">
        <v>25</v>
      </c>
      <c r="T1126" s="1">
        <v>0</v>
      </c>
      <c r="U1126" s="1">
        <v>0</v>
      </c>
      <c r="V1126" s="1" t="str">
        <f t="shared" si="210"/>
        <v>里程去程</v>
      </c>
      <c r="W1126" s="1" t="str">
        <f>"0620"</f>
        <v>0620</v>
      </c>
      <c r="X1126" s="1" t="s">
        <v>29</v>
      </c>
    </row>
    <row r="1127" spans="1:24" x14ac:dyDescent="0.3">
      <c r="A1127" s="1" t="str">
        <f t="shared" si="208"/>
        <v>59823</v>
      </c>
      <c r="B1127" s="1" t="s">
        <v>36</v>
      </c>
      <c r="C1127" s="1" t="s">
        <v>37</v>
      </c>
      <c r="D1127" s="1" t="str">
        <f t="shared" si="209"/>
        <v>9803</v>
      </c>
      <c r="E1127" s="1" t="s">
        <v>32</v>
      </c>
      <c r="F1127" s="1" t="str">
        <f>"1126780689"</f>
        <v>1126780689</v>
      </c>
      <c r="G1127" s="1" t="s">
        <v>33</v>
      </c>
      <c r="H1127" s="1" t="str">
        <f t="shared" si="206"/>
        <v>20220906</v>
      </c>
      <c r="I1127" s="1" t="str">
        <f>"123140"</f>
        <v>123140</v>
      </c>
      <c r="J1127" s="1" t="s">
        <v>28</v>
      </c>
      <c r="K1127" s="1" t="s">
        <v>28</v>
      </c>
      <c r="L1127" s="1" t="str">
        <f t="shared" si="207"/>
        <v>20220906</v>
      </c>
      <c r="M1127" s="1" t="str">
        <f>"124905"</f>
        <v>124905</v>
      </c>
      <c r="N1127" s="1" t="s">
        <v>34</v>
      </c>
      <c r="O1127" s="1" t="s">
        <v>34</v>
      </c>
      <c r="P1127" s="1" t="s">
        <v>55</v>
      </c>
      <c r="Q1127" s="1">
        <v>25</v>
      </c>
      <c r="R1127" s="1">
        <v>25</v>
      </c>
      <c r="S1127" s="1">
        <v>0</v>
      </c>
      <c r="T1127" s="1">
        <v>0</v>
      </c>
      <c r="U1127" s="1">
        <v>0</v>
      </c>
      <c r="V1127" s="1" t="str">
        <f t="shared" si="210"/>
        <v>里程去程</v>
      </c>
      <c r="W1127" s="1" t="str">
        <f>"0120"</f>
        <v>0120</v>
      </c>
      <c r="X1127" s="1" t="s">
        <v>35</v>
      </c>
    </row>
    <row r="1128" spans="1:24" x14ac:dyDescent="0.3">
      <c r="A1128" s="1" t="str">
        <f t="shared" si="208"/>
        <v>59823</v>
      </c>
      <c r="B1128" s="1" t="s">
        <v>36</v>
      </c>
      <c r="C1128" s="1" t="s">
        <v>37</v>
      </c>
      <c r="D1128" s="1" t="str">
        <f t="shared" si="209"/>
        <v>9803</v>
      </c>
      <c r="E1128" s="1" t="s">
        <v>32</v>
      </c>
      <c r="F1128" s="1" t="str">
        <f>"1147202565"</f>
        <v>1147202565</v>
      </c>
      <c r="G1128" s="1" t="s">
        <v>38</v>
      </c>
      <c r="H1128" s="1" t="str">
        <f t="shared" si="206"/>
        <v>20220906</v>
      </c>
      <c r="I1128" s="1" t="str">
        <f>"123146"</f>
        <v>123146</v>
      </c>
      <c r="J1128" s="1" t="s">
        <v>28</v>
      </c>
      <c r="K1128" s="1" t="s">
        <v>28</v>
      </c>
      <c r="L1128" s="1" t="str">
        <f t="shared" si="207"/>
        <v>20220906</v>
      </c>
      <c r="M1128" s="1" t="str">
        <f>"124915"</f>
        <v>124915</v>
      </c>
      <c r="N1128" s="1" t="s">
        <v>34</v>
      </c>
      <c r="O1128" s="1" t="s">
        <v>34</v>
      </c>
      <c r="P1128" s="1" t="s">
        <v>55</v>
      </c>
      <c r="Q1128" s="1">
        <v>25</v>
      </c>
      <c r="R1128" s="1">
        <v>0</v>
      </c>
      <c r="S1128" s="1">
        <v>25</v>
      </c>
      <c r="T1128" s="1">
        <v>0</v>
      </c>
      <c r="U1128" s="1">
        <v>0</v>
      </c>
      <c r="V1128" s="1" t="str">
        <f t="shared" si="210"/>
        <v>里程去程</v>
      </c>
      <c r="W1128" s="1" t="str">
        <f>"0820"</f>
        <v>0820</v>
      </c>
      <c r="X1128" s="1" t="s">
        <v>35</v>
      </c>
    </row>
    <row r="1129" spans="1:24" x14ac:dyDescent="0.3">
      <c r="A1129" s="1" t="str">
        <f t="shared" si="208"/>
        <v>59823</v>
      </c>
      <c r="B1129" s="1" t="s">
        <v>36</v>
      </c>
      <c r="C1129" s="1" t="s">
        <v>37</v>
      </c>
      <c r="D1129" s="1" t="str">
        <f t="shared" si="209"/>
        <v>9803</v>
      </c>
      <c r="E1129" s="1" t="s">
        <v>32</v>
      </c>
      <c r="F1129" s="1" t="str">
        <f>"1724788181"</f>
        <v>1724788181</v>
      </c>
      <c r="G1129" s="1" t="s">
        <v>38</v>
      </c>
      <c r="H1129" s="1" t="str">
        <f t="shared" si="206"/>
        <v>20220906</v>
      </c>
      <c r="I1129" s="1" t="str">
        <f>"123153"</f>
        <v>123153</v>
      </c>
      <c r="J1129" s="1" t="s">
        <v>28</v>
      </c>
      <c r="K1129" s="1" t="s">
        <v>28</v>
      </c>
      <c r="L1129" s="1" t="str">
        <f t="shared" si="207"/>
        <v>20220906</v>
      </c>
      <c r="M1129" s="1" t="str">
        <f>"125026"</f>
        <v>125026</v>
      </c>
      <c r="N1129" s="1" t="s">
        <v>34</v>
      </c>
      <c r="O1129" s="1" t="s">
        <v>34</v>
      </c>
      <c r="P1129" s="1" t="s">
        <v>55</v>
      </c>
      <c r="Q1129" s="1">
        <v>25</v>
      </c>
      <c r="R1129" s="1">
        <v>25</v>
      </c>
      <c r="S1129" s="1">
        <v>0</v>
      </c>
      <c r="T1129" s="1">
        <v>0</v>
      </c>
      <c r="U1129" s="1">
        <v>0</v>
      </c>
      <c r="V1129" s="1" t="str">
        <f t="shared" si="210"/>
        <v>里程去程</v>
      </c>
      <c r="W1129" s="1" t="str">
        <f>"0c20"</f>
        <v>0c20</v>
      </c>
      <c r="X1129" s="1" t="s">
        <v>35</v>
      </c>
    </row>
    <row r="1130" spans="1:24" x14ac:dyDescent="0.3">
      <c r="A1130" s="1" t="str">
        <f t="shared" si="208"/>
        <v>59823</v>
      </c>
      <c r="B1130" s="1" t="s">
        <v>36</v>
      </c>
      <c r="C1130" s="1" t="s">
        <v>37</v>
      </c>
      <c r="D1130" s="1" t="str">
        <f t="shared" si="209"/>
        <v>9803</v>
      </c>
      <c r="E1130" s="1" t="s">
        <v>32</v>
      </c>
      <c r="F1130" s="1" t="str">
        <f>"1625336517"</f>
        <v>1625336517</v>
      </c>
      <c r="G1130" s="1" t="s">
        <v>26</v>
      </c>
      <c r="H1130" s="1" t="str">
        <f t="shared" si="206"/>
        <v>20220906</v>
      </c>
      <c r="I1130" s="1" t="str">
        <f>"123204"</f>
        <v>123204</v>
      </c>
      <c r="J1130" s="1" t="s">
        <v>28</v>
      </c>
      <c r="K1130" s="1" t="s">
        <v>28</v>
      </c>
      <c r="L1130" s="1" t="str">
        <f t="shared" si="207"/>
        <v>20220906</v>
      </c>
      <c r="M1130" s="1" t="str">
        <f>"124901"</f>
        <v>124901</v>
      </c>
      <c r="N1130" s="1" t="s">
        <v>34</v>
      </c>
      <c r="O1130" s="1" t="s">
        <v>34</v>
      </c>
      <c r="P1130" s="1" t="s">
        <v>55</v>
      </c>
      <c r="Q1130" s="1">
        <v>13</v>
      </c>
      <c r="R1130" s="1">
        <v>13</v>
      </c>
      <c r="S1130" s="1">
        <v>0</v>
      </c>
      <c r="T1130" s="1">
        <v>0</v>
      </c>
      <c r="U1130" s="1">
        <v>0</v>
      </c>
      <c r="V1130" s="1" t="str">
        <f t="shared" si="210"/>
        <v>里程去程</v>
      </c>
      <c r="W1130" s="1" t="str">
        <f>"0820"</f>
        <v>0820</v>
      </c>
      <c r="X1130" s="1" t="s">
        <v>35</v>
      </c>
    </row>
    <row r="1131" spans="1:24" x14ac:dyDescent="0.3">
      <c r="A1131" s="1" t="str">
        <f t="shared" si="208"/>
        <v>59823</v>
      </c>
      <c r="B1131" s="1" t="s">
        <v>36</v>
      </c>
      <c r="C1131" s="1" t="s">
        <v>37</v>
      </c>
      <c r="D1131" s="1" t="str">
        <f t="shared" si="209"/>
        <v>9803</v>
      </c>
      <c r="E1131" s="1" t="s">
        <v>32</v>
      </c>
      <c r="F1131" s="1" t="str">
        <f>"C293220477880400C838002000000015"</f>
        <v>C293220477880400C838002000000015</v>
      </c>
      <c r="G1131" s="1" t="s">
        <v>64</v>
      </c>
      <c r="H1131" s="1" t="str">
        <f t="shared" si="206"/>
        <v>20220906</v>
      </c>
      <c r="I1131" s="1" t="str">
        <f>"123212"</f>
        <v>123212</v>
      </c>
      <c r="J1131" s="1" t="s">
        <v>28</v>
      </c>
      <c r="K1131" s="1" t="s">
        <v>28</v>
      </c>
      <c r="L1131" s="1" t="str">
        <f t="shared" si="207"/>
        <v>20220906</v>
      </c>
      <c r="M1131" s="1" t="str">
        <f>"124857"</f>
        <v>124857</v>
      </c>
      <c r="N1131" s="1" t="s">
        <v>34</v>
      </c>
      <c r="O1131" s="1" t="s">
        <v>34</v>
      </c>
      <c r="P1131" s="1" t="s">
        <v>55</v>
      </c>
      <c r="Q1131" s="1">
        <v>13</v>
      </c>
      <c r="R1131" s="1">
        <v>13</v>
      </c>
      <c r="S1131" s="1">
        <v>0</v>
      </c>
      <c r="T1131" s="1">
        <v>0</v>
      </c>
      <c r="U1131" s="1">
        <v>0</v>
      </c>
      <c r="V1131" s="1" t="str">
        <f t="shared" si="210"/>
        <v>里程去程</v>
      </c>
      <c r="W1131" s="1" t="str">
        <f>"0020"</f>
        <v>0020</v>
      </c>
      <c r="X1131" s="1" t="s">
        <v>29</v>
      </c>
    </row>
    <row r="1132" spans="1:24" x14ac:dyDescent="0.3">
      <c r="A1132" s="1" t="str">
        <f t="shared" si="208"/>
        <v>59823</v>
      </c>
      <c r="B1132" s="1" t="s">
        <v>36</v>
      </c>
      <c r="C1132" s="1" t="s">
        <v>37</v>
      </c>
      <c r="D1132" s="1" t="str">
        <f t="shared" si="209"/>
        <v>9803</v>
      </c>
      <c r="E1132" s="1" t="s">
        <v>32</v>
      </c>
      <c r="F1132" s="1" t="str">
        <f>"596217041"</f>
        <v>596217041</v>
      </c>
      <c r="G1132" s="1" t="s">
        <v>26</v>
      </c>
      <c r="H1132" s="1" t="str">
        <f t="shared" si="206"/>
        <v>20220906</v>
      </c>
      <c r="I1132" s="1" t="str">
        <f>"123230"</f>
        <v>123230</v>
      </c>
      <c r="J1132" s="1" t="s">
        <v>28</v>
      </c>
      <c r="K1132" s="1" t="s">
        <v>28</v>
      </c>
      <c r="L1132" s="1" t="str">
        <f t="shared" si="207"/>
        <v>20220906</v>
      </c>
      <c r="M1132" s="1" t="str">
        <f>"124808"</f>
        <v>124808</v>
      </c>
      <c r="N1132" s="1" t="s">
        <v>34</v>
      </c>
      <c r="O1132" s="1" t="s">
        <v>34</v>
      </c>
      <c r="P1132" s="1" t="s">
        <v>55</v>
      </c>
      <c r="Q1132" s="1">
        <v>13</v>
      </c>
      <c r="R1132" s="1">
        <v>13</v>
      </c>
      <c r="S1132" s="1">
        <v>0</v>
      </c>
      <c r="T1132" s="1">
        <v>0</v>
      </c>
      <c r="U1132" s="1">
        <v>0</v>
      </c>
      <c r="V1132" s="1" t="str">
        <f t="shared" si="210"/>
        <v>里程去程</v>
      </c>
      <c r="W1132" s="1" t="str">
        <f>"0320"</f>
        <v>0320</v>
      </c>
      <c r="X1132" s="1" t="s">
        <v>35</v>
      </c>
    </row>
    <row r="1133" spans="1:24" x14ac:dyDescent="0.3">
      <c r="A1133" s="1" t="str">
        <f t="shared" si="208"/>
        <v>59823</v>
      </c>
      <c r="B1133" s="1" t="s">
        <v>36</v>
      </c>
      <c r="C1133" s="1" t="s">
        <v>37</v>
      </c>
      <c r="D1133" s="1" t="str">
        <f t="shared" si="209"/>
        <v>9803</v>
      </c>
      <c r="E1133" s="1" t="s">
        <v>32</v>
      </c>
      <c r="F1133" s="1" t="str">
        <f>"5A87B3E789880400475975915D101608"</f>
        <v>5A87B3E789880400475975915D101608</v>
      </c>
      <c r="G1133" s="1" t="s">
        <v>64</v>
      </c>
      <c r="H1133" s="1" t="str">
        <f t="shared" si="206"/>
        <v>20220906</v>
      </c>
      <c r="I1133" s="1" t="str">
        <f>"125910"</f>
        <v>125910</v>
      </c>
      <c r="J1133" s="1" t="s">
        <v>34</v>
      </c>
      <c r="K1133" s="1" t="s">
        <v>34</v>
      </c>
      <c r="L1133" s="1" t="str">
        <f t="shared" si="207"/>
        <v>20220906</v>
      </c>
      <c r="M1133" s="1" t="str">
        <f>"131918"</f>
        <v>131918</v>
      </c>
      <c r="N1133" s="1" t="s">
        <v>28</v>
      </c>
      <c r="O1133" s="1" t="s">
        <v>28</v>
      </c>
      <c r="P1133" s="1" t="s">
        <v>55</v>
      </c>
      <c r="Q1133" s="1">
        <v>13</v>
      </c>
      <c r="R1133" s="1">
        <v>13</v>
      </c>
      <c r="S1133" s="1">
        <v>0</v>
      </c>
      <c r="T1133" s="1">
        <v>0</v>
      </c>
      <c r="U1133" s="1">
        <v>0</v>
      </c>
      <c r="V1133" s="1" t="str">
        <f>"里程返程"</f>
        <v>里程返程</v>
      </c>
      <c r="W1133" s="1" t="str">
        <f>"0020"</f>
        <v>0020</v>
      </c>
      <c r="X1133" s="1" t="s">
        <v>29</v>
      </c>
    </row>
    <row r="1134" spans="1:24" x14ac:dyDescent="0.3">
      <c r="A1134" s="1" t="str">
        <f t="shared" si="208"/>
        <v>59823</v>
      </c>
      <c r="B1134" s="1" t="s">
        <v>36</v>
      </c>
      <c r="C1134" s="1" t="s">
        <v>37</v>
      </c>
      <c r="D1134" s="1" t="str">
        <f t="shared" si="209"/>
        <v>9803</v>
      </c>
      <c r="E1134" s="1" t="s">
        <v>32</v>
      </c>
      <c r="F1134" s="1" t="str">
        <f>"3922955454"</f>
        <v>3922955454</v>
      </c>
      <c r="G1134" s="1" t="s">
        <v>33</v>
      </c>
      <c r="H1134" s="1" t="str">
        <f t="shared" si="206"/>
        <v>20220906</v>
      </c>
      <c r="I1134" s="1" t="str">
        <f>"125915"</f>
        <v>125915</v>
      </c>
      <c r="J1134" s="1" t="s">
        <v>34</v>
      </c>
      <c r="K1134" s="1" t="s">
        <v>34</v>
      </c>
      <c r="L1134" s="1" t="str">
        <f t="shared" si="207"/>
        <v>20220906</v>
      </c>
      <c r="M1134" s="1" t="str">
        <f>"131912"</f>
        <v>131912</v>
      </c>
      <c r="N1134" s="1" t="s">
        <v>28</v>
      </c>
      <c r="O1134" s="1" t="s">
        <v>28</v>
      </c>
      <c r="P1134" s="1" t="s">
        <v>55</v>
      </c>
      <c r="Q1134" s="1">
        <v>25</v>
      </c>
      <c r="R1134" s="1">
        <v>25</v>
      </c>
      <c r="S1134" s="1">
        <v>0</v>
      </c>
      <c r="T1134" s="1">
        <v>0</v>
      </c>
      <c r="U1134" s="1">
        <v>0</v>
      </c>
      <c r="V1134" s="1" t="str">
        <f>"里程返程"</f>
        <v>里程返程</v>
      </c>
      <c r="W1134" s="1" t="str">
        <f>"2020"</f>
        <v>2020</v>
      </c>
      <c r="X1134" s="1" t="s">
        <v>35</v>
      </c>
    </row>
    <row r="1135" spans="1:24" x14ac:dyDescent="0.3">
      <c r="A1135" s="1" t="str">
        <f t="shared" si="208"/>
        <v>59823</v>
      </c>
      <c r="B1135" s="1" t="s">
        <v>36</v>
      </c>
      <c r="C1135" s="1" t="s">
        <v>37</v>
      </c>
      <c r="D1135" s="1" t="str">
        <f t="shared" si="209"/>
        <v>9803</v>
      </c>
      <c r="E1135" s="1" t="s">
        <v>32</v>
      </c>
      <c r="F1135" s="1" t="str">
        <f>"1714563381"</f>
        <v>1714563381</v>
      </c>
      <c r="G1135" s="1" t="s">
        <v>38</v>
      </c>
      <c r="H1135" s="1" t="str">
        <f t="shared" si="206"/>
        <v>20220906</v>
      </c>
      <c r="I1135" s="1" t="str">
        <f>"125951"</f>
        <v>125951</v>
      </c>
      <c r="J1135" s="1" t="s">
        <v>34</v>
      </c>
      <c r="K1135" s="1" t="s">
        <v>34</v>
      </c>
      <c r="L1135" s="1" t="str">
        <f t="shared" si="207"/>
        <v>20220906</v>
      </c>
      <c r="M1135" s="1" t="str">
        <f>"131935"</f>
        <v>131935</v>
      </c>
      <c r="N1135" s="1" t="s">
        <v>28</v>
      </c>
      <c r="O1135" s="1" t="s">
        <v>28</v>
      </c>
      <c r="P1135" s="1" t="s">
        <v>55</v>
      </c>
      <c r="Q1135" s="1">
        <v>25</v>
      </c>
      <c r="R1135" s="1">
        <v>25</v>
      </c>
      <c r="S1135" s="1">
        <v>0</v>
      </c>
      <c r="T1135" s="1">
        <v>0</v>
      </c>
      <c r="U1135" s="1">
        <v>0</v>
      </c>
      <c r="V1135" s="1" t="str">
        <f>"里程返程"</f>
        <v>里程返程</v>
      </c>
      <c r="W1135" s="1" t="str">
        <f>"0920"</f>
        <v>0920</v>
      </c>
      <c r="X1135" s="1" t="s">
        <v>35</v>
      </c>
    </row>
    <row r="1136" spans="1:24" x14ac:dyDescent="0.3">
      <c r="A1136" s="1" t="str">
        <f t="shared" si="208"/>
        <v>59823</v>
      </c>
      <c r="B1136" s="1" t="s">
        <v>36</v>
      </c>
      <c r="C1136" s="1" t="s">
        <v>37</v>
      </c>
      <c r="D1136" s="1" t="str">
        <f>"9805"</f>
        <v>9805</v>
      </c>
      <c r="E1136" s="1" t="s">
        <v>57</v>
      </c>
      <c r="F1136" s="1" t="str">
        <f>"1134255301"</f>
        <v>1134255301</v>
      </c>
      <c r="G1136" s="1" t="s">
        <v>33</v>
      </c>
      <c r="H1136" s="1" t="str">
        <f t="shared" si="206"/>
        <v>20220906</v>
      </c>
      <c r="I1136" s="1" t="str">
        <f>"175830"</f>
        <v>175830</v>
      </c>
      <c r="J1136" s="1" t="s">
        <v>28</v>
      </c>
      <c r="K1136" s="1" t="s">
        <v>28</v>
      </c>
      <c r="L1136" s="1" t="str">
        <f t="shared" si="207"/>
        <v>20220906</v>
      </c>
      <c r="M1136" s="1" t="str">
        <f>"181530"</f>
        <v>181530</v>
      </c>
      <c r="N1136" s="1" t="s">
        <v>52</v>
      </c>
      <c r="O1136" s="1" t="s">
        <v>52</v>
      </c>
      <c r="P1136" s="1" t="s">
        <v>55</v>
      </c>
      <c r="Q1136" s="1">
        <v>25</v>
      </c>
      <c r="R1136" s="1">
        <v>25</v>
      </c>
      <c r="S1136" s="1">
        <v>0</v>
      </c>
      <c r="T1136" s="1">
        <v>0</v>
      </c>
      <c r="U1136" s="1">
        <v>0</v>
      </c>
      <c r="V1136" s="1" t="str">
        <f>"里程去程"</f>
        <v>里程去程</v>
      </c>
      <c r="W1136" s="1" t="str">
        <f>"1a20"</f>
        <v>1a20</v>
      </c>
      <c r="X1136" s="1" t="s">
        <v>35</v>
      </c>
    </row>
    <row r="1137" spans="1:24" x14ac:dyDescent="0.3">
      <c r="A1137" s="1" t="str">
        <f t="shared" ref="A1137:A1168" si="211">"59829"</f>
        <v>59829</v>
      </c>
      <c r="B1137" s="1" t="s">
        <v>47</v>
      </c>
      <c r="C1137" s="1" t="s">
        <v>48</v>
      </c>
      <c r="D1137" s="1" t="str">
        <f>"9803"</f>
        <v>9803</v>
      </c>
      <c r="E1137" s="1" t="s">
        <v>32</v>
      </c>
      <c r="F1137" s="1" t="str">
        <f>"E247E60241880400C834002000000015"</f>
        <v>E247E60241880400C834002000000015</v>
      </c>
      <c r="G1137" s="1" t="s">
        <v>64</v>
      </c>
      <c r="H1137" s="1" t="str">
        <f t="shared" si="206"/>
        <v>20220906</v>
      </c>
      <c r="I1137" s="1" t="str">
        <f>"062105"</f>
        <v>062105</v>
      </c>
      <c r="J1137" s="1" t="s">
        <v>28</v>
      </c>
      <c r="K1137" s="1" t="s">
        <v>28</v>
      </c>
      <c r="L1137" s="1" t="str">
        <f t="shared" si="207"/>
        <v>20220906</v>
      </c>
      <c r="M1137" s="1" t="str">
        <f>"064116"</f>
        <v>064116</v>
      </c>
      <c r="N1137" s="1" t="s">
        <v>34</v>
      </c>
      <c r="O1137" s="1" t="s">
        <v>34</v>
      </c>
      <c r="P1137" s="1" t="s">
        <v>55</v>
      </c>
      <c r="Q1137" s="1">
        <v>13</v>
      </c>
      <c r="R1137" s="1">
        <v>13</v>
      </c>
      <c r="S1137" s="1">
        <v>0</v>
      </c>
      <c r="T1137" s="1">
        <v>0</v>
      </c>
      <c r="U1137" s="1">
        <v>0</v>
      </c>
      <c r="V1137" s="1" t="str">
        <f>"里程去程"</f>
        <v>里程去程</v>
      </c>
      <c r="W1137" s="1" t="str">
        <f>"0020"</f>
        <v>0020</v>
      </c>
      <c r="X1137" s="1" t="s">
        <v>29</v>
      </c>
    </row>
    <row r="1138" spans="1:24" x14ac:dyDescent="0.3">
      <c r="A1138" s="1" t="str">
        <f t="shared" si="211"/>
        <v>59829</v>
      </c>
      <c r="B1138" s="1" t="s">
        <v>47</v>
      </c>
      <c r="C1138" s="1" t="s">
        <v>48</v>
      </c>
      <c r="D1138" s="1" t="str">
        <f>"9803"</f>
        <v>9803</v>
      </c>
      <c r="E1138" s="1" t="s">
        <v>32</v>
      </c>
      <c r="F1138" s="1" t="str">
        <f>"1107493349"</f>
        <v>1107493349</v>
      </c>
      <c r="G1138" s="1" t="s">
        <v>38</v>
      </c>
      <c r="H1138" s="1" t="str">
        <f t="shared" si="206"/>
        <v>20220906</v>
      </c>
      <c r="I1138" s="1" t="str">
        <f>"063155"</f>
        <v>063155</v>
      </c>
      <c r="J1138" s="1" t="s">
        <v>79</v>
      </c>
      <c r="K1138" s="1" t="s">
        <v>28</v>
      </c>
      <c r="L1138" s="1" t="str">
        <f t="shared" si="207"/>
        <v>20220906</v>
      </c>
      <c r="M1138" s="1" t="str">
        <f>"064103"</f>
        <v>064103</v>
      </c>
      <c r="N1138" s="1" t="s">
        <v>34</v>
      </c>
      <c r="O1138" s="1" t="s">
        <v>34</v>
      </c>
      <c r="P1138" s="1" t="s">
        <v>55</v>
      </c>
      <c r="Q1138" s="1">
        <v>25</v>
      </c>
      <c r="R1138" s="1">
        <v>25</v>
      </c>
      <c r="S1138" s="1">
        <v>0</v>
      </c>
      <c r="T1138" s="1">
        <v>0</v>
      </c>
      <c r="U1138" s="1">
        <v>0</v>
      </c>
      <c r="V1138" s="1" t="str">
        <f>"里程去程"</f>
        <v>里程去程</v>
      </c>
      <c r="W1138" s="1" t="str">
        <f>"1e20"</f>
        <v>1e20</v>
      </c>
      <c r="X1138" s="1" t="s">
        <v>35</v>
      </c>
    </row>
    <row r="1139" spans="1:24" x14ac:dyDescent="0.3">
      <c r="A1139" s="1" t="str">
        <f t="shared" si="211"/>
        <v>59829</v>
      </c>
      <c r="B1139" s="1" t="s">
        <v>47</v>
      </c>
      <c r="C1139" s="1" t="s">
        <v>48</v>
      </c>
      <c r="D1139" s="1" t="str">
        <f t="shared" ref="D1139:D1151" si="212">"9806"</f>
        <v>9806</v>
      </c>
      <c r="E1139" s="1" t="s">
        <v>49</v>
      </c>
      <c r="F1139" s="1" t="str">
        <f>"1697487813"</f>
        <v>1697487813</v>
      </c>
      <c r="G1139" s="1" t="s">
        <v>33</v>
      </c>
      <c r="H1139" s="1" t="str">
        <f t="shared" si="206"/>
        <v>20220906</v>
      </c>
      <c r="I1139" s="1" t="str">
        <f>"072820"</f>
        <v>072820</v>
      </c>
      <c r="J1139" s="1" t="s">
        <v>28</v>
      </c>
      <c r="K1139" s="1" t="s">
        <v>28</v>
      </c>
      <c r="L1139" s="1" t="str">
        <f t="shared" si="207"/>
        <v>20220906</v>
      </c>
      <c r="M1139" s="1" t="str">
        <f>"074412"</f>
        <v>074412</v>
      </c>
      <c r="N1139" s="1" t="s">
        <v>99</v>
      </c>
      <c r="O1139" s="1" t="s">
        <v>28</v>
      </c>
      <c r="P1139" s="1" t="s">
        <v>55</v>
      </c>
      <c r="Q1139" s="1">
        <v>25</v>
      </c>
      <c r="R1139" s="1">
        <v>0</v>
      </c>
      <c r="S1139" s="1">
        <v>25</v>
      </c>
      <c r="T1139" s="1">
        <v>0</v>
      </c>
      <c r="U1139" s="1">
        <v>0</v>
      </c>
      <c r="V1139" s="1" t="str">
        <f t="shared" ref="V1139:V1151" si="213">"里程返程"</f>
        <v>里程返程</v>
      </c>
      <c r="W1139" s="1" t="str">
        <f>"0820"</f>
        <v>0820</v>
      </c>
      <c r="X1139" s="1" t="s">
        <v>35</v>
      </c>
    </row>
    <row r="1140" spans="1:24" x14ac:dyDescent="0.3">
      <c r="A1140" s="1" t="str">
        <f t="shared" si="211"/>
        <v>59829</v>
      </c>
      <c r="B1140" s="1" t="s">
        <v>47</v>
      </c>
      <c r="C1140" s="1" t="s">
        <v>48</v>
      </c>
      <c r="D1140" s="1" t="str">
        <f t="shared" si="212"/>
        <v>9806</v>
      </c>
      <c r="E1140" s="1" t="s">
        <v>49</v>
      </c>
      <c r="F1140" s="1" t="str">
        <f>"652006485"</f>
        <v>652006485</v>
      </c>
      <c r="G1140" s="1" t="s">
        <v>33</v>
      </c>
      <c r="H1140" s="1" t="str">
        <f t="shared" si="206"/>
        <v>20220906</v>
      </c>
      <c r="I1140" s="1" t="str">
        <f>"072821"</f>
        <v>072821</v>
      </c>
      <c r="J1140" s="1" t="s">
        <v>28</v>
      </c>
      <c r="K1140" s="1" t="s">
        <v>28</v>
      </c>
      <c r="L1140" s="1" t="str">
        <f t="shared" si="207"/>
        <v>20220906</v>
      </c>
      <c r="M1140" s="1" t="str">
        <f>"073721"</f>
        <v>073721</v>
      </c>
      <c r="N1140" s="1" t="s">
        <v>63</v>
      </c>
      <c r="O1140" s="1" t="s">
        <v>28</v>
      </c>
      <c r="P1140" s="1" t="s">
        <v>55</v>
      </c>
      <c r="Q1140" s="1">
        <v>25</v>
      </c>
      <c r="R1140" s="1">
        <v>0</v>
      </c>
      <c r="S1140" s="1">
        <v>25</v>
      </c>
      <c r="T1140" s="1">
        <v>0</v>
      </c>
      <c r="U1140" s="1">
        <v>0</v>
      </c>
      <c r="V1140" s="1" t="str">
        <f t="shared" si="213"/>
        <v>里程返程</v>
      </c>
      <c r="W1140" s="1" t="str">
        <f>"0820"</f>
        <v>0820</v>
      </c>
      <c r="X1140" s="1" t="s">
        <v>35</v>
      </c>
    </row>
    <row r="1141" spans="1:24" x14ac:dyDescent="0.3">
      <c r="A1141" s="1" t="str">
        <f t="shared" si="211"/>
        <v>59829</v>
      </c>
      <c r="B1141" s="1" t="s">
        <v>47</v>
      </c>
      <c r="C1141" s="1" t="s">
        <v>48</v>
      </c>
      <c r="D1141" s="1" t="str">
        <f t="shared" si="212"/>
        <v>9806</v>
      </c>
      <c r="E1141" s="1" t="s">
        <v>49</v>
      </c>
      <c r="F1141" s="1" t="str">
        <f>"1261180965"</f>
        <v>1261180965</v>
      </c>
      <c r="G1141" s="1" t="s">
        <v>33</v>
      </c>
      <c r="H1141" s="1" t="str">
        <f t="shared" si="206"/>
        <v>20220906</v>
      </c>
      <c r="I1141" s="1" t="str">
        <f>"072824"</f>
        <v>072824</v>
      </c>
      <c r="J1141" s="1" t="s">
        <v>28</v>
      </c>
      <c r="K1141" s="1" t="s">
        <v>28</v>
      </c>
      <c r="L1141" s="1" t="str">
        <f t="shared" si="207"/>
        <v>20220906</v>
      </c>
      <c r="M1141" s="1" t="str">
        <f>"073719"</f>
        <v>073719</v>
      </c>
      <c r="N1141" s="1" t="s">
        <v>63</v>
      </c>
      <c r="O1141" s="1" t="s">
        <v>28</v>
      </c>
      <c r="P1141" s="1" t="s">
        <v>55</v>
      </c>
      <c r="Q1141" s="1">
        <v>25</v>
      </c>
      <c r="R1141" s="1">
        <v>0</v>
      </c>
      <c r="S1141" s="1">
        <v>25</v>
      </c>
      <c r="T1141" s="1">
        <v>0</v>
      </c>
      <c r="U1141" s="1">
        <v>0</v>
      </c>
      <c r="V1141" s="1" t="str">
        <f t="shared" si="213"/>
        <v>里程返程</v>
      </c>
      <c r="W1141" s="1" t="str">
        <f>"0820"</f>
        <v>0820</v>
      </c>
      <c r="X1141" s="1" t="s">
        <v>35</v>
      </c>
    </row>
    <row r="1142" spans="1:24" x14ac:dyDescent="0.3">
      <c r="A1142" s="1" t="str">
        <f t="shared" si="211"/>
        <v>59829</v>
      </c>
      <c r="B1142" s="1" t="s">
        <v>47</v>
      </c>
      <c r="C1142" s="1" t="s">
        <v>48</v>
      </c>
      <c r="D1142" s="1" t="str">
        <f t="shared" si="212"/>
        <v>9806</v>
      </c>
      <c r="E1142" s="1" t="s">
        <v>49</v>
      </c>
      <c r="F1142" s="1" t="str">
        <f>"927551509"</f>
        <v>927551509</v>
      </c>
      <c r="G1142" s="1" t="s">
        <v>38</v>
      </c>
      <c r="H1142" s="1" t="str">
        <f t="shared" si="206"/>
        <v>20220906</v>
      </c>
      <c r="I1142" s="1" t="str">
        <f>"072826"</f>
        <v>072826</v>
      </c>
      <c r="J1142" s="1" t="s">
        <v>28</v>
      </c>
      <c r="K1142" s="1" t="s">
        <v>28</v>
      </c>
      <c r="L1142" s="1" t="str">
        <f t="shared" si="207"/>
        <v>20220906</v>
      </c>
      <c r="M1142" s="1" t="str">
        <f>"073717"</f>
        <v>073717</v>
      </c>
      <c r="N1142" s="1" t="s">
        <v>63</v>
      </c>
      <c r="O1142" s="1" t="s">
        <v>28</v>
      </c>
      <c r="P1142" s="1" t="s">
        <v>55</v>
      </c>
      <c r="Q1142" s="1">
        <v>25</v>
      </c>
      <c r="R1142" s="1">
        <v>0</v>
      </c>
      <c r="S1142" s="1">
        <v>25</v>
      </c>
      <c r="T1142" s="1">
        <v>0</v>
      </c>
      <c r="U1142" s="1">
        <v>0</v>
      </c>
      <c r="V1142" s="1" t="str">
        <f t="shared" si="213"/>
        <v>里程返程</v>
      </c>
      <c r="W1142" s="1" t="str">
        <f>"0820"</f>
        <v>0820</v>
      </c>
      <c r="X1142" s="1" t="s">
        <v>35</v>
      </c>
    </row>
    <row r="1143" spans="1:24" x14ac:dyDescent="0.3">
      <c r="A1143" s="1" t="str">
        <f t="shared" si="211"/>
        <v>59829</v>
      </c>
      <c r="B1143" s="1" t="s">
        <v>47</v>
      </c>
      <c r="C1143" s="1" t="s">
        <v>48</v>
      </c>
      <c r="D1143" s="1" t="str">
        <f t="shared" si="212"/>
        <v>9806</v>
      </c>
      <c r="E1143" s="1" t="s">
        <v>49</v>
      </c>
      <c r="F1143" s="1" t="str">
        <f>"62C93D1680880400C814002000000019"</f>
        <v>62C93D1680880400C814002000000019</v>
      </c>
      <c r="G1143" s="1" t="s">
        <v>59</v>
      </c>
      <c r="H1143" s="1" t="str">
        <f t="shared" si="206"/>
        <v>20220906</v>
      </c>
      <c r="I1143" s="1" t="str">
        <f>"072828"</f>
        <v>072828</v>
      </c>
      <c r="J1143" s="1" t="s">
        <v>28</v>
      </c>
      <c r="K1143" s="1" t="s">
        <v>28</v>
      </c>
      <c r="L1143" s="1" t="str">
        <f t="shared" si="207"/>
        <v>20220906</v>
      </c>
      <c r="M1143" s="1" t="str">
        <f>"073713"</f>
        <v>073713</v>
      </c>
      <c r="N1143" s="1" t="s">
        <v>63</v>
      </c>
      <c r="O1143" s="1" t="s">
        <v>28</v>
      </c>
      <c r="P1143" s="1" t="s">
        <v>55</v>
      </c>
      <c r="Q1143" s="1">
        <v>25</v>
      </c>
      <c r="R1143" s="1">
        <v>0</v>
      </c>
      <c r="S1143" s="1">
        <v>25</v>
      </c>
      <c r="T1143" s="1">
        <v>0</v>
      </c>
      <c r="U1143" s="1">
        <v>0</v>
      </c>
      <c r="V1143" s="1" t="str">
        <f t="shared" si="213"/>
        <v>里程返程</v>
      </c>
      <c r="W1143" s="1" t="str">
        <f>"0620"</f>
        <v>0620</v>
      </c>
      <c r="X1143" s="1" t="s">
        <v>29</v>
      </c>
    </row>
    <row r="1144" spans="1:24" x14ac:dyDescent="0.3">
      <c r="A1144" s="1" t="str">
        <f t="shared" si="211"/>
        <v>59829</v>
      </c>
      <c r="B1144" s="1" t="s">
        <v>47</v>
      </c>
      <c r="C1144" s="1" t="s">
        <v>48</v>
      </c>
      <c r="D1144" s="1" t="str">
        <f t="shared" si="212"/>
        <v>9806</v>
      </c>
      <c r="E1144" s="1" t="s">
        <v>49</v>
      </c>
      <c r="F1144" s="1" t="str">
        <f>"126D55163C880400C814002000000019"</f>
        <v>126D55163C880400C814002000000019</v>
      </c>
      <c r="G1144" s="1" t="s">
        <v>59</v>
      </c>
      <c r="H1144" s="1" t="str">
        <f t="shared" si="206"/>
        <v>20220906</v>
      </c>
      <c r="I1144" s="1" t="str">
        <f>"072831"</f>
        <v>072831</v>
      </c>
      <c r="J1144" s="1" t="s">
        <v>28</v>
      </c>
      <c r="K1144" s="1" t="s">
        <v>28</v>
      </c>
      <c r="L1144" s="1" t="str">
        <f t="shared" si="207"/>
        <v>20220906</v>
      </c>
      <c r="M1144" s="1" t="str">
        <f>"073715"</f>
        <v>073715</v>
      </c>
      <c r="N1144" s="1" t="s">
        <v>63</v>
      </c>
      <c r="O1144" s="1" t="s">
        <v>28</v>
      </c>
      <c r="P1144" s="1" t="s">
        <v>55</v>
      </c>
      <c r="Q1144" s="1">
        <v>25</v>
      </c>
      <c r="R1144" s="1">
        <v>0</v>
      </c>
      <c r="S1144" s="1">
        <v>25</v>
      </c>
      <c r="T1144" s="1">
        <v>0</v>
      </c>
      <c r="U1144" s="1">
        <v>0</v>
      </c>
      <c r="V1144" s="1" t="str">
        <f t="shared" si="213"/>
        <v>里程返程</v>
      </c>
      <c r="W1144" s="1" t="str">
        <f>"0620"</f>
        <v>0620</v>
      </c>
      <c r="X1144" s="1" t="s">
        <v>29</v>
      </c>
    </row>
    <row r="1145" spans="1:24" x14ac:dyDescent="0.3">
      <c r="A1145" s="1" t="str">
        <f t="shared" si="211"/>
        <v>59829</v>
      </c>
      <c r="B1145" s="1" t="s">
        <v>47</v>
      </c>
      <c r="C1145" s="1" t="s">
        <v>48</v>
      </c>
      <c r="D1145" s="1" t="str">
        <f t="shared" si="212"/>
        <v>9806</v>
      </c>
      <c r="E1145" s="1" t="s">
        <v>49</v>
      </c>
      <c r="F1145" s="1" t="str">
        <f>"1055537829"</f>
        <v>1055537829</v>
      </c>
      <c r="G1145" s="1" t="s">
        <v>33</v>
      </c>
      <c r="H1145" s="1" t="str">
        <f t="shared" si="206"/>
        <v>20220906</v>
      </c>
      <c r="I1145" s="1" t="str">
        <f>"072833"</f>
        <v>072833</v>
      </c>
      <c r="J1145" s="1" t="s">
        <v>28</v>
      </c>
      <c r="K1145" s="1" t="s">
        <v>28</v>
      </c>
      <c r="L1145" s="1" t="str">
        <f t="shared" si="207"/>
        <v>20220906</v>
      </c>
      <c r="M1145" s="1" t="str">
        <f>"073729"</f>
        <v>073729</v>
      </c>
      <c r="N1145" s="1" t="s">
        <v>63</v>
      </c>
      <c r="O1145" s="1" t="s">
        <v>28</v>
      </c>
      <c r="P1145" s="1" t="s">
        <v>55</v>
      </c>
      <c r="Q1145" s="1">
        <v>25</v>
      </c>
      <c r="R1145" s="1">
        <v>0</v>
      </c>
      <c r="S1145" s="1">
        <v>25</v>
      </c>
      <c r="T1145" s="1">
        <v>0</v>
      </c>
      <c r="U1145" s="1">
        <v>0</v>
      </c>
      <c r="V1145" s="1" t="str">
        <f t="shared" si="213"/>
        <v>里程返程</v>
      </c>
      <c r="W1145" s="1" t="str">
        <f>"0820"</f>
        <v>0820</v>
      </c>
      <c r="X1145" s="1" t="s">
        <v>35</v>
      </c>
    </row>
    <row r="1146" spans="1:24" x14ac:dyDescent="0.3">
      <c r="A1146" s="1" t="str">
        <f t="shared" si="211"/>
        <v>59829</v>
      </c>
      <c r="B1146" s="1" t="s">
        <v>47</v>
      </c>
      <c r="C1146" s="1" t="s">
        <v>48</v>
      </c>
      <c r="D1146" s="1" t="str">
        <f t="shared" si="212"/>
        <v>9806</v>
      </c>
      <c r="E1146" s="1" t="s">
        <v>49</v>
      </c>
      <c r="F1146" s="1" t="str">
        <f>"F238370AF7880400C810002000000016"</f>
        <v>F238370AF7880400C810002000000016</v>
      </c>
      <c r="G1146" s="1" t="s">
        <v>59</v>
      </c>
      <c r="H1146" s="1" t="str">
        <f t="shared" si="206"/>
        <v>20220906</v>
      </c>
      <c r="I1146" s="1" t="str">
        <f>"072836"</f>
        <v>072836</v>
      </c>
      <c r="J1146" s="1" t="s">
        <v>28</v>
      </c>
      <c r="K1146" s="1" t="s">
        <v>28</v>
      </c>
      <c r="L1146" s="1" t="str">
        <f t="shared" si="207"/>
        <v>20220906</v>
      </c>
      <c r="M1146" s="1" t="str">
        <f>"073731"</f>
        <v>073731</v>
      </c>
      <c r="N1146" s="1" t="s">
        <v>63</v>
      </c>
      <c r="O1146" s="1" t="s">
        <v>28</v>
      </c>
      <c r="P1146" s="1" t="s">
        <v>55</v>
      </c>
      <c r="Q1146" s="1">
        <v>25</v>
      </c>
      <c r="R1146" s="1">
        <v>0</v>
      </c>
      <c r="S1146" s="1">
        <v>25</v>
      </c>
      <c r="T1146" s="1">
        <v>0</v>
      </c>
      <c r="U1146" s="1">
        <v>0</v>
      </c>
      <c r="V1146" s="1" t="str">
        <f t="shared" si="213"/>
        <v>里程返程</v>
      </c>
      <c r="W1146" s="1" t="str">
        <f>"0620"</f>
        <v>0620</v>
      </c>
      <c r="X1146" s="1" t="s">
        <v>29</v>
      </c>
    </row>
    <row r="1147" spans="1:24" x14ac:dyDescent="0.3">
      <c r="A1147" s="1" t="str">
        <f t="shared" si="211"/>
        <v>59829</v>
      </c>
      <c r="B1147" s="1" t="s">
        <v>47</v>
      </c>
      <c r="C1147" s="1" t="s">
        <v>48</v>
      </c>
      <c r="D1147" s="1" t="str">
        <f t="shared" si="212"/>
        <v>9806</v>
      </c>
      <c r="E1147" s="1" t="s">
        <v>49</v>
      </c>
      <c r="F1147" s="1" t="str">
        <f>"7611220688000841"</f>
        <v>7611220688000841</v>
      </c>
      <c r="G1147" s="1" t="s">
        <v>33</v>
      </c>
      <c r="H1147" s="1" t="str">
        <f t="shared" si="206"/>
        <v>20220906</v>
      </c>
      <c r="I1147" s="1" t="str">
        <f>"072838"</f>
        <v>072838</v>
      </c>
      <c r="J1147" s="1" t="s">
        <v>28</v>
      </c>
      <c r="K1147" s="1" t="s">
        <v>28</v>
      </c>
      <c r="L1147" s="1" t="str">
        <f t="shared" si="207"/>
        <v>20220906</v>
      </c>
      <c r="M1147" s="1" t="str">
        <f>"073727"</f>
        <v>073727</v>
      </c>
      <c r="N1147" s="1" t="s">
        <v>63</v>
      </c>
      <c r="O1147" s="1" t="s">
        <v>28</v>
      </c>
      <c r="P1147" s="1" t="s">
        <v>55</v>
      </c>
      <c r="Q1147" s="1">
        <v>25</v>
      </c>
      <c r="R1147" s="1">
        <v>0</v>
      </c>
      <c r="S1147" s="1">
        <v>25</v>
      </c>
      <c r="T1147" s="1">
        <v>0</v>
      </c>
      <c r="U1147" s="1">
        <v>0</v>
      </c>
      <c r="V1147" s="1" t="str">
        <f t="shared" si="213"/>
        <v>里程返程</v>
      </c>
      <c r="W1147" s="1" t="str">
        <f>"083B"</f>
        <v>083B</v>
      </c>
      <c r="X1147" s="1" t="s">
        <v>109</v>
      </c>
    </row>
    <row r="1148" spans="1:24" x14ac:dyDescent="0.3">
      <c r="A1148" s="1" t="str">
        <f t="shared" si="211"/>
        <v>59829</v>
      </c>
      <c r="B1148" s="1" t="s">
        <v>47</v>
      </c>
      <c r="C1148" s="1" t="s">
        <v>48</v>
      </c>
      <c r="D1148" s="1" t="str">
        <f t="shared" si="212"/>
        <v>9806</v>
      </c>
      <c r="E1148" s="1" t="s">
        <v>49</v>
      </c>
      <c r="F1148" s="1" t="str">
        <f>"7111180627000603"</f>
        <v>7111180627000603</v>
      </c>
      <c r="G1148" s="1" t="s">
        <v>33</v>
      </c>
      <c r="H1148" s="1" t="str">
        <f t="shared" si="206"/>
        <v>20220906</v>
      </c>
      <c r="I1148" s="1" t="str">
        <f>"072840"</f>
        <v>072840</v>
      </c>
      <c r="J1148" s="1" t="s">
        <v>28</v>
      </c>
      <c r="K1148" s="1" t="s">
        <v>28</v>
      </c>
      <c r="L1148" s="1" t="str">
        <f t="shared" si="207"/>
        <v>20220906</v>
      </c>
      <c r="M1148" s="1" t="str">
        <f>"073725"</f>
        <v>073725</v>
      </c>
      <c r="N1148" s="1" t="s">
        <v>63</v>
      </c>
      <c r="O1148" s="1" t="s">
        <v>28</v>
      </c>
      <c r="P1148" s="1" t="s">
        <v>55</v>
      </c>
      <c r="Q1148" s="1">
        <v>25</v>
      </c>
      <c r="R1148" s="1">
        <v>25</v>
      </c>
      <c r="S1148" s="1">
        <v>0</v>
      </c>
      <c r="T1148" s="1">
        <v>0</v>
      </c>
      <c r="U1148" s="1">
        <v>0</v>
      </c>
      <c r="V1148" s="1" t="str">
        <f t="shared" si="213"/>
        <v>里程返程</v>
      </c>
      <c r="W1148" s="1" t="str">
        <f>"088B"</f>
        <v>088B</v>
      </c>
      <c r="X1148" s="1" t="s">
        <v>109</v>
      </c>
    </row>
    <row r="1149" spans="1:24" x14ac:dyDescent="0.3">
      <c r="A1149" s="1" t="str">
        <f t="shared" si="211"/>
        <v>59829</v>
      </c>
      <c r="B1149" s="1" t="s">
        <v>47</v>
      </c>
      <c r="C1149" s="1" t="s">
        <v>48</v>
      </c>
      <c r="D1149" s="1" t="str">
        <f t="shared" si="212"/>
        <v>9806</v>
      </c>
      <c r="E1149" s="1" t="s">
        <v>49</v>
      </c>
      <c r="F1149" s="1" t="str">
        <f>"C2F73B1618880400C814002000000019"</f>
        <v>C2F73B1618880400C814002000000019</v>
      </c>
      <c r="G1149" s="1" t="s">
        <v>59</v>
      </c>
      <c r="H1149" s="1" t="str">
        <f t="shared" si="206"/>
        <v>20220906</v>
      </c>
      <c r="I1149" s="1" t="str">
        <f>"072844"</f>
        <v>072844</v>
      </c>
      <c r="J1149" s="1" t="s">
        <v>28</v>
      </c>
      <c r="K1149" s="1" t="s">
        <v>28</v>
      </c>
      <c r="L1149" s="1" t="str">
        <f t="shared" si="207"/>
        <v>20220906</v>
      </c>
      <c r="M1149" s="1" t="str">
        <f>"073723"</f>
        <v>073723</v>
      </c>
      <c r="N1149" s="1" t="s">
        <v>63</v>
      </c>
      <c r="O1149" s="1" t="s">
        <v>28</v>
      </c>
      <c r="P1149" s="1" t="s">
        <v>55</v>
      </c>
      <c r="Q1149" s="1">
        <v>25</v>
      </c>
      <c r="R1149" s="1">
        <v>0</v>
      </c>
      <c r="S1149" s="1">
        <v>25</v>
      </c>
      <c r="T1149" s="1">
        <v>0</v>
      </c>
      <c r="U1149" s="1">
        <v>0</v>
      </c>
      <c r="V1149" s="1" t="str">
        <f t="shared" si="213"/>
        <v>里程返程</v>
      </c>
      <c r="W1149" s="1" t="str">
        <f>"0620"</f>
        <v>0620</v>
      </c>
      <c r="X1149" s="1" t="s">
        <v>29</v>
      </c>
    </row>
    <row r="1150" spans="1:24" x14ac:dyDescent="0.3">
      <c r="A1150" s="1" t="str">
        <f t="shared" si="211"/>
        <v>59829</v>
      </c>
      <c r="B1150" s="1" t="s">
        <v>47</v>
      </c>
      <c r="C1150" s="1" t="s">
        <v>48</v>
      </c>
      <c r="D1150" s="1" t="str">
        <f t="shared" si="212"/>
        <v>9806</v>
      </c>
      <c r="E1150" s="1" t="s">
        <v>49</v>
      </c>
      <c r="F1150" s="1" t="str">
        <f>"1172922261"</f>
        <v>1172922261</v>
      </c>
      <c r="G1150" s="1" t="s">
        <v>33</v>
      </c>
      <c r="H1150" s="1" t="str">
        <f t="shared" si="206"/>
        <v>20220906</v>
      </c>
      <c r="I1150" s="1" t="str">
        <f>"072846"</f>
        <v>072846</v>
      </c>
      <c r="J1150" s="1" t="s">
        <v>28</v>
      </c>
      <c r="K1150" s="1" t="s">
        <v>28</v>
      </c>
      <c r="L1150" s="1" t="str">
        <f t="shared" si="207"/>
        <v>20220906</v>
      </c>
      <c r="M1150" s="1" t="str">
        <f>"073736"</f>
        <v>073736</v>
      </c>
      <c r="N1150" s="1" t="s">
        <v>63</v>
      </c>
      <c r="O1150" s="1" t="s">
        <v>28</v>
      </c>
      <c r="P1150" s="1" t="s">
        <v>55</v>
      </c>
      <c r="Q1150" s="1">
        <v>25</v>
      </c>
      <c r="R1150" s="1">
        <v>0</v>
      </c>
      <c r="S1150" s="1">
        <v>25</v>
      </c>
      <c r="T1150" s="1">
        <v>0</v>
      </c>
      <c r="U1150" s="1">
        <v>0</v>
      </c>
      <c r="V1150" s="1" t="str">
        <f t="shared" si="213"/>
        <v>里程返程</v>
      </c>
      <c r="W1150" s="1" t="str">
        <f>"0820"</f>
        <v>0820</v>
      </c>
      <c r="X1150" s="1" t="s">
        <v>35</v>
      </c>
    </row>
    <row r="1151" spans="1:24" x14ac:dyDescent="0.3">
      <c r="A1151" s="1" t="str">
        <f t="shared" si="211"/>
        <v>59829</v>
      </c>
      <c r="B1151" s="1" t="s">
        <v>47</v>
      </c>
      <c r="C1151" s="1" t="s">
        <v>48</v>
      </c>
      <c r="D1151" s="1" t="str">
        <f t="shared" si="212"/>
        <v>9806</v>
      </c>
      <c r="E1151" s="1" t="s">
        <v>49</v>
      </c>
      <c r="F1151" s="1" t="str">
        <f>"22861B13AC28040080CED9985D913018"</f>
        <v>22861B13AC28040080CED9985D913018</v>
      </c>
      <c r="G1151" s="1" t="s">
        <v>58</v>
      </c>
      <c r="H1151" s="1" t="str">
        <f t="shared" si="206"/>
        <v>20220906</v>
      </c>
      <c r="I1151" s="1" t="str">
        <f>"072848"</f>
        <v>072848</v>
      </c>
      <c r="J1151" s="1" t="s">
        <v>28</v>
      </c>
      <c r="K1151" s="1" t="s">
        <v>28</v>
      </c>
      <c r="L1151" s="1" t="str">
        <f t="shared" si="207"/>
        <v>20220906</v>
      </c>
      <c r="M1151" s="1" t="str">
        <f>"073734"</f>
        <v>073734</v>
      </c>
      <c r="N1151" s="1" t="s">
        <v>63</v>
      </c>
      <c r="O1151" s="1" t="s">
        <v>28</v>
      </c>
      <c r="P1151" s="1" t="s">
        <v>55</v>
      </c>
      <c r="Q1151" s="1">
        <v>25</v>
      </c>
      <c r="R1151" s="1">
        <v>0</v>
      </c>
      <c r="S1151" s="1">
        <v>25</v>
      </c>
      <c r="T1151" s="1">
        <v>0</v>
      </c>
      <c r="U1151" s="1">
        <v>0</v>
      </c>
      <c r="V1151" s="1" t="str">
        <f t="shared" si="213"/>
        <v>里程返程</v>
      </c>
      <c r="W1151" s="1" t="str">
        <f>"0620"</f>
        <v>0620</v>
      </c>
      <c r="X1151" s="1" t="s">
        <v>29</v>
      </c>
    </row>
    <row r="1152" spans="1:24" x14ac:dyDescent="0.3">
      <c r="A1152" s="1" t="str">
        <f t="shared" si="211"/>
        <v>59829</v>
      </c>
      <c r="B1152" s="1" t="s">
        <v>47</v>
      </c>
      <c r="C1152" s="1" t="s">
        <v>48</v>
      </c>
      <c r="D1152" s="1" t="str">
        <f t="shared" ref="D1152:D1184" si="214">"9803"</f>
        <v>9803</v>
      </c>
      <c r="E1152" s="1" t="s">
        <v>32</v>
      </c>
      <c r="F1152" s="1" t="str">
        <f>"715216149"</f>
        <v>715216149</v>
      </c>
      <c r="G1152" s="1" t="s">
        <v>33</v>
      </c>
      <c r="H1152" s="1" t="str">
        <f t="shared" si="206"/>
        <v>20220906</v>
      </c>
      <c r="I1152" s="1" t="str">
        <f>"081245"</f>
        <v>081245</v>
      </c>
      <c r="J1152" s="1" t="s">
        <v>28</v>
      </c>
      <c r="K1152" s="1" t="s">
        <v>28</v>
      </c>
      <c r="L1152" s="1" t="str">
        <f t="shared" si="207"/>
        <v>20220906</v>
      </c>
      <c r="M1152" s="1" t="str">
        <f>"083249"</f>
        <v>083249</v>
      </c>
      <c r="N1152" s="1" t="s">
        <v>34</v>
      </c>
      <c r="O1152" s="1" t="s">
        <v>34</v>
      </c>
      <c r="P1152" s="1" t="s">
        <v>55</v>
      </c>
      <c r="Q1152" s="1">
        <v>25</v>
      </c>
      <c r="R1152" s="1">
        <v>0</v>
      </c>
      <c r="S1152" s="1">
        <v>25</v>
      </c>
      <c r="T1152" s="1">
        <v>0</v>
      </c>
      <c r="U1152" s="1">
        <v>0</v>
      </c>
      <c r="V1152" s="1" t="str">
        <f t="shared" ref="V1152:V1175" si="215">"里程去程"</f>
        <v>里程去程</v>
      </c>
      <c r="W1152" s="1" t="str">
        <f>"0820"</f>
        <v>0820</v>
      </c>
      <c r="X1152" s="1" t="s">
        <v>35</v>
      </c>
    </row>
    <row r="1153" spans="1:24" x14ac:dyDescent="0.3">
      <c r="A1153" s="1" t="str">
        <f t="shared" si="211"/>
        <v>59829</v>
      </c>
      <c r="B1153" s="1" t="s">
        <v>47</v>
      </c>
      <c r="C1153" s="1" t="s">
        <v>48</v>
      </c>
      <c r="D1153" s="1" t="str">
        <f t="shared" si="214"/>
        <v>9803</v>
      </c>
      <c r="E1153" s="1" t="s">
        <v>32</v>
      </c>
      <c r="F1153" s="1" t="str">
        <f>"1418892881"</f>
        <v>1418892881</v>
      </c>
      <c r="G1153" s="1" t="s">
        <v>33</v>
      </c>
      <c r="H1153" s="1" t="str">
        <f t="shared" si="206"/>
        <v>20220906</v>
      </c>
      <c r="I1153" s="1" t="str">
        <f>"081249"</f>
        <v>081249</v>
      </c>
      <c r="J1153" s="1" t="s">
        <v>28</v>
      </c>
      <c r="K1153" s="1" t="s">
        <v>28</v>
      </c>
      <c r="L1153" s="1" t="str">
        <f t="shared" si="207"/>
        <v>20220906</v>
      </c>
      <c r="M1153" s="1" t="str">
        <f>"083252"</f>
        <v>083252</v>
      </c>
      <c r="N1153" s="1" t="s">
        <v>34</v>
      </c>
      <c r="O1153" s="1" t="s">
        <v>34</v>
      </c>
      <c r="P1153" s="1" t="s">
        <v>55</v>
      </c>
      <c r="Q1153" s="1">
        <v>25</v>
      </c>
      <c r="R1153" s="1">
        <v>0</v>
      </c>
      <c r="S1153" s="1">
        <v>25</v>
      </c>
      <c r="T1153" s="1">
        <v>0</v>
      </c>
      <c r="U1153" s="1">
        <v>0</v>
      </c>
      <c r="V1153" s="1" t="str">
        <f t="shared" si="215"/>
        <v>里程去程</v>
      </c>
      <c r="W1153" s="1" t="str">
        <f>"0820"</f>
        <v>0820</v>
      </c>
      <c r="X1153" s="1" t="s">
        <v>35</v>
      </c>
    </row>
    <row r="1154" spans="1:24" x14ac:dyDescent="0.3">
      <c r="A1154" s="1" t="str">
        <f t="shared" si="211"/>
        <v>59829</v>
      </c>
      <c r="B1154" s="1" t="s">
        <v>47</v>
      </c>
      <c r="C1154" s="1" t="s">
        <v>48</v>
      </c>
      <c r="D1154" s="1" t="str">
        <f t="shared" si="214"/>
        <v>9803</v>
      </c>
      <c r="E1154" s="1" t="s">
        <v>32</v>
      </c>
      <c r="F1154" s="1" t="str">
        <f>"814768545"</f>
        <v>814768545</v>
      </c>
      <c r="G1154" s="1" t="s">
        <v>33</v>
      </c>
      <c r="H1154" s="1" t="str">
        <f t="shared" si="206"/>
        <v>20220906</v>
      </c>
      <c r="I1154" s="1" t="str">
        <f>"081254"</f>
        <v>081254</v>
      </c>
      <c r="J1154" s="1" t="s">
        <v>28</v>
      </c>
      <c r="K1154" s="1" t="s">
        <v>28</v>
      </c>
      <c r="L1154" s="1" t="str">
        <f t="shared" si="207"/>
        <v>20220906</v>
      </c>
      <c r="M1154" s="1" t="str">
        <f>"083238"</f>
        <v>083238</v>
      </c>
      <c r="N1154" s="1" t="s">
        <v>34</v>
      </c>
      <c r="O1154" s="1" t="s">
        <v>34</v>
      </c>
      <c r="P1154" s="1" t="s">
        <v>55</v>
      </c>
      <c r="Q1154" s="1">
        <v>25</v>
      </c>
      <c r="R1154" s="1">
        <v>25</v>
      </c>
      <c r="S1154" s="1">
        <v>0</v>
      </c>
      <c r="T1154" s="1">
        <v>0</v>
      </c>
      <c r="U1154" s="1">
        <v>0</v>
      </c>
      <c r="V1154" s="1" t="str">
        <f t="shared" si="215"/>
        <v>里程去程</v>
      </c>
      <c r="W1154" s="1" t="str">
        <f>"1220"</f>
        <v>1220</v>
      </c>
      <c r="X1154" s="1" t="s">
        <v>35</v>
      </c>
    </row>
    <row r="1155" spans="1:24" x14ac:dyDescent="0.3">
      <c r="A1155" s="1" t="str">
        <f t="shared" si="211"/>
        <v>59829</v>
      </c>
      <c r="B1155" s="1" t="s">
        <v>47</v>
      </c>
      <c r="C1155" s="1" t="s">
        <v>48</v>
      </c>
      <c r="D1155" s="1" t="str">
        <f t="shared" si="214"/>
        <v>9803</v>
      </c>
      <c r="E1155" s="1" t="s">
        <v>32</v>
      </c>
      <c r="F1155" s="1" t="str">
        <f>"1648338293"</f>
        <v>1648338293</v>
      </c>
      <c r="G1155" s="1" t="s">
        <v>33</v>
      </c>
      <c r="H1155" s="1" t="str">
        <f t="shared" si="206"/>
        <v>20220906</v>
      </c>
      <c r="I1155" s="1" t="str">
        <f>"081301"</f>
        <v>081301</v>
      </c>
      <c r="J1155" s="1" t="s">
        <v>28</v>
      </c>
      <c r="K1155" s="1" t="s">
        <v>28</v>
      </c>
      <c r="L1155" s="1" t="str">
        <f t="shared" si="207"/>
        <v>20220906</v>
      </c>
      <c r="M1155" s="1" t="str">
        <f>"083220"</f>
        <v>083220</v>
      </c>
      <c r="N1155" s="1" t="s">
        <v>34</v>
      </c>
      <c r="O1155" s="1" t="s">
        <v>34</v>
      </c>
      <c r="P1155" s="1" t="s">
        <v>55</v>
      </c>
      <c r="Q1155" s="1">
        <v>25</v>
      </c>
      <c r="R1155" s="1">
        <v>25</v>
      </c>
      <c r="S1155" s="1">
        <v>0</v>
      </c>
      <c r="T1155" s="1">
        <v>0</v>
      </c>
      <c r="U1155" s="1">
        <v>0</v>
      </c>
      <c r="V1155" s="1" t="str">
        <f t="shared" si="215"/>
        <v>里程去程</v>
      </c>
      <c r="W1155" s="1" t="str">
        <f>"0120"</f>
        <v>0120</v>
      </c>
      <c r="X1155" s="1" t="s">
        <v>35</v>
      </c>
    </row>
    <row r="1156" spans="1:24" x14ac:dyDescent="0.3">
      <c r="A1156" s="1" t="str">
        <f t="shared" si="211"/>
        <v>59829</v>
      </c>
      <c r="B1156" s="1" t="s">
        <v>47</v>
      </c>
      <c r="C1156" s="1" t="s">
        <v>48</v>
      </c>
      <c r="D1156" s="1" t="str">
        <f t="shared" si="214"/>
        <v>9803</v>
      </c>
      <c r="E1156" s="1" t="s">
        <v>32</v>
      </c>
      <c r="F1156" s="1" t="str">
        <f>"F51EA29CD588040043265ABE00160710"</f>
        <v>F51EA29CD588040043265ABE00160710</v>
      </c>
      <c r="G1156" s="1" t="s">
        <v>59</v>
      </c>
      <c r="H1156" s="1" t="str">
        <f t="shared" si="206"/>
        <v>20220906</v>
      </c>
      <c r="I1156" s="1" t="str">
        <f>"081304"</f>
        <v>081304</v>
      </c>
      <c r="J1156" s="1" t="s">
        <v>28</v>
      </c>
      <c r="K1156" s="1" t="s">
        <v>28</v>
      </c>
      <c r="L1156" s="1" t="str">
        <f t="shared" si="207"/>
        <v>20220906</v>
      </c>
      <c r="M1156" s="1" t="str">
        <f>"083247"</f>
        <v>083247</v>
      </c>
      <c r="N1156" s="1" t="s">
        <v>34</v>
      </c>
      <c r="O1156" s="1" t="s">
        <v>34</v>
      </c>
      <c r="P1156" s="1" t="s">
        <v>55</v>
      </c>
      <c r="Q1156" s="1">
        <v>25</v>
      </c>
      <c r="R1156" s="1">
        <v>25</v>
      </c>
      <c r="S1156" s="1">
        <v>0</v>
      </c>
      <c r="T1156" s="1">
        <v>0</v>
      </c>
      <c r="U1156" s="1">
        <v>0</v>
      </c>
      <c r="V1156" s="1" t="str">
        <f t="shared" si="215"/>
        <v>里程去程</v>
      </c>
      <c r="W1156" s="1" t="str">
        <f>"0020"</f>
        <v>0020</v>
      </c>
      <c r="X1156" s="1" t="s">
        <v>29</v>
      </c>
    </row>
    <row r="1157" spans="1:24" x14ac:dyDescent="0.3">
      <c r="A1157" s="1" t="str">
        <f t="shared" si="211"/>
        <v>59829</v>
      </c>
      <c r="B1157" s="1" t="s">
        <v>47</v>
      </c>
      <c r="C1157" s="1" t="s">
        <v>48</v>
      </c>
      <c r="D1157" s="1" t="str">
        <f t="shared" si="214"/>
        <v>9803</v>
      </c>
      <c r="E1157" s="1" t="s">
        <v>32</v>
      </c>
      <c r="F1157" s="1" t="str">
        <f>"1056901797"</f>
        <v>1056901797</v>
      </c>
      <c r="G1157" s="1" t="s">
        <v>33</v>
      </c>
      <c r="H1157" s="1" t="str">
        <f t="shared" si="206"/>
        <v>20220906</v>
      </c>
      <c r="I1157" s="1" t="str">
        <f>"081314"</f>
        <v>081314</v>
      </c>
      <c r="J1157" s="1" t="s">
        <v>28</v>
      </c>
      <c r="K1157" s="1" t="s">
        <v>28</v>
      </c>
      <c r="L1157" s="1" t="str">
        <f t="shared" si="207"/>
        <v>20220906</v>
      </c>
      <c r="M1157" s="1" t="str">
        <f>"083242"</f>
        <v>083242</v>
      </c>
      <c r="N1157" s="1" t="s">
        <v>34</v>
      </c>
      <c r="O1157" s="1" t="s">
        <v>34</v>
      </c>
      <c r="P1157" s="1" t="s">
        <v>55</v>
      </c>
      <c r="Q1157" s="1">
        <v>25</v>
      </c>
      <c r="R1157" s="1">
        <v>25</v>
      </c>
      <c r="S1157" s="1">
        <v>0</v>
      </c>
      <c r="T1157" s="1">
        <v>0</v>
      </c>
      <c r="U1157" s="1">
        <v>0</v>
      </c>
      <c r="V1157" s="1" t="str">
        <f t="shared" si="215"/>
        <v>里程去程</v>
      </c>
      <c r="W1157" s="1" t="str">
        <f>"0820"</f>
        <v>0820</v>
      </c>
      <c r="X1157" s="1" t="s">
        <v>35</v>
      </c>
    </row>
    <row r="1158" spans="1:24" x14ac:dyDescent="0.3">
      <c r="A1158" s="1" t="str">
        <f t="shared" si="211"/>
        <v>59829</v>
      </c>
      <c r="B1158" s="1" t="s">
        <v>47</v>
      </c>
      <c r="C1158" s="1" t="s">
        <v>48</v>
      </c>
      <c r="D1158" s="1" t="str">
        <f t="shared" si="214"/>
        <v>9803</v>
      </c>
      <c r="E1158" s="1" t="s">
        <v>32</v>
      </c>
      <c r="F1158" s="1" t="str">
        <f>"1013121649"</f>
        <v>1013121649</v>
      </c>
      <c r="G1158" s="1" t="s">
        <v>33</v>
      </c>
      <c r="H1158" s="1" t="str">
        <f t="shared" si="206"/>
        <v>20220906</v>
      </c>
      <c r="I1158" s="1" t="str">
        <f>"081317"</f>
        <v>081317</v>
      </c>
      <c r="J1158" s="1" t="s">
        <v>28</v>
      </c>
      <c r="K1158" s="1" t="s">
        <v>28</v>
      </c>
      <c r="L1158" s="1" t="str">
        <f t="shared" si="207"/>
        <v>20220906</v>
      </c>
      <c r="M1158" s="1" t="str">
        <f>"083114"</f>
        <v>083114</v>
      </c>
      <c r="N1158" s="1" t="s">
        <v>34</v>
      </c>
      <c r="O1158" s="1" t="s">
        <v>34</v>
      </c>
      <c r="P1158" s="1" t="s">
        <v>55</v>
      </c>
      <c r="Q1158" s="1">
        <v>25</v>
      </c>
      <c r="R1158" s="1">
        <v>25</v>
      </c>
      <c r="S1158" s="1">
        <v>0</v>
      </c>
      <c r="T1158" s="1">
        <v>0</v>
      </c>
      <c r="U1158" s="1">
        <v>0</v>
      </c>
      <c r="V1158" s="1" t="str">
        <f t="shared" si="215"/>
        <v>里程去程</v>
      </c>
      <c r="W1158" s="1" t="str">
        <f>"2020"</f>
        <v>2020</v>
      </c>
      <c r="X1158" s="1" t="s">
        <v>35</v>
      </c>
    </row>
    <row r="1159" spans="1:24" x14ac:dyDescent="0.3">
      <c r="A1159" s="1" t="str">
        <f t="shared" si="211"/>
        <v>59829</v>
      </c>
      <c r="B1159" s="1" t="s">
        <v>47</v>
      </c>
      <c r="C1159" s="1" t="s">
        <v>48</v>
      </c>
      <c r="D1159" s="1" t="str">
        <f t="shared" si="214"/>
        <v>9803</v>
      </c>
      <c r="E1159" s="1" t="s">
        <v>32</v>
      </c>
      <c r="F1159" s="1" t="str">
        <f>"742580709"</f>
        <v>742580709</v>
      </c>
      <c r="G1159" s="1" t="s">
        <v>33</v>
      </c>
      <c r="H1159" s="1" t="str">
        <f t="shared" si="206"/>
        <v>20220906</v>
      </c>
      <c r="I1159" s="1" t="str">
        <f>"081328"</f>
        <v>081328</v>
      </c>
      <c r="J1159" s="1" t="s">
        <v>28</v>
      </c>
      <c r="K1159" s="1" t="s">
        <v>28</v>
      </c>
      <c r="L1159" s="1" t="str">
        <f t="shared" si="207"/>
        <v>20220906</v>
      </c>
      <c r="M1159" s="1" t="str">
        <f>"083214"</f>
        <v>083214</v>
      </c>
      <c r="N1159" s="1" t="s">
        <v>34</v>
      </c>
      <c r="O1159" s="1" t="s">
        <v>34</v>
      </c>
      <c r="P1159" s="1" t="s">
        <v>55</v>
      </c>
      <c r="Q1159" s="1">
        <v>25</v>
      </c>
      <c r="R1159" s="1">
        <v>25</v>
      </c>
      <c r="S1159" s="1">
        <v>0</v>
      </c>
      <c r="T1159" s="1">
        <v>0</v>
      </c>
      <c r="U1159" s="1">
        <v>0</v>
      </c>
      <c r="V1159" s="1" t="str">
        <f t="shared" si="215"/>
        <v>里程去程</v>
      </c>
      <c r="W1159" s="1" t="str">
        <f>"0120"</f>
        <v>0120</v>
      </c>
      <c r="X1159" s="1" t="s">
        <v>35</v>
      </c>
    </row>
    <row r="1160" spans="1:24" x14ac:dyDescent="0.3">
      <c r="A1160" s="1" t="str">
        <f t="shared" si="211"/>
        <v>59829</v>
      </c>
      <c r="B1160" s="1" t="s">
        <v>47</v>
      </c>
      <c r="C1160" s="1" t="s">
        <v>48</v>
      </c>
      <c r="D1160" s="1" t="str">
        <f t="shared" si="214"/>
        <v>9803</v>
      </c>
      <c r="E1160" s="1" t="s">
        <v>32</v>
      </c>
      <c r="F1160" s="1" t="str">
        <f>"1734571765"</f>
        <v>1734571765</v>
      </c>
      <c r="G1160" s="1" t="s">
        <v>33</v>
      </c>
      <c r="H1160" s="1" t="str">
        <f t="shared" si="206"/>
        <v>20220906</v>
      </c>
      <c r="I1160" s="1" t="str">
        <f>"081343"</f>
        <v>081343</v>
      </c>
      <c r="J1160" s="1" t="s">
        <v>28</v>
      </c>
      <c r="K1160" s="1" t="s">
        <v>28</v>
      </c>
      <c r="L1160" s="1" t="str">
        <f t="shared" si="207"/>
        <v>20220906</v>
      </c>
      <c r="M1160" s="1" t="str">
        <f>"083259"</f>
        <v>083259</v>
      </c>
      <c r="N1160" s="1" t="s">
        <v>34</v>
      </c>
      <c r="O1160" s="1" t="s">
        <v>34</v>
      </c>
      <c r="P1160" s="1" t="s">
        <v>55</v>
      </c>
      <c r="Q1160" s="1">
        <v>25</v>
      </c>
      <c r="R1160" s="1">
        <v>25</v>
      </c>
      <c r="S1160" s="1">
        <v>0</v>
      </c>
      <c r="T1160" s="1">
        <v>0</v>
      </c>
      <c r="U1160" s="1">
        <v>0</v>
      </c>
      <c r="V1160" s="1" t="str">
        <f t="shared" si="215"/>
        <v>里程去程</v>
      </c>
      <c r="W1160" s="1" t="str">
        <f>"0120"</f>
        <v>0120</v>
      </c>
      <c r="X1160" s="1" t="s">
        <v>35</v>
      </c>
    </row>
    <row r="1161" spans="1:24" x14ac:dyDescent="0.3">
      <c r="A1161" s="1" t="str">
        <f t="shared" si="211"/>
        <v>59829</v>
      </c>
      <c r="B1161" s="1" t="s">
        <v>47</v>
      </c>
      <c r="C1161" s="1" t="s">
        <v>48</v>
      </c>
      <c r="D1161" s="1" t="str">
        <f t="shared" si="214"/>
        <v>9803</v>
      </c>
      <c r="E1161" s="1" t="s">
        <v>32</v>
      </c>
      <c r="F1161" s="1" t="str">
        <f>"3556486051"</f>
        <v>3556486051</v>
      </c>
      <c r="G1161" s="1" t="s">
        <v>33</v>
      </c>
      <c r="H1161" s="1" t="str">
        <f t="shared" si="206"/>
        <v>20220906</v>
      </c>
      <c r="I1161" s="1" t="str">
        <f>"081626"</f>
        <v>081626</v>
      </c>
      <c r="J1161" s="1" t="s">
        <v>28</v>
      </c>
      <c r="K1161" s="1" t="s">
        <v>28</v>
      </c>
      <c r="L1161" s="1" t="str">
        <f t="shared" si="207"/>
        <v>20220906</v>
      </c>
      <c r="M1161" s="1" t="str">
        <f>"083227"</f>
        <v>083227</v>
      </c>
      <c r="N1161" s="1" t="s">
        <v>34</v>
      </c>
      <c r="O1161" s="1" t="s">
        <v>34</v>
      </c>
      <c r="P1161" s="1" t="s">
        <v>55</v>
      </c>
      <c r="Q1161" s="1">
        <v>25</v>
      </c>
      <c r="R1161" s="1">
        <v>25</v>
      </c>
      <c r="S1161" s="1">
        <v>0</v>
      </c>
      <c r="T1161" s="1">
        <v>0</v>
      </c>
      <c r="U1161" s="1">
        <v>0</v>
      </c>
      <c r="V1161" s="1" t="str">
        <f t="shared" si="215"/>
        <v>里程去程</v>
      </c>
      <c r="W1161" s="1" t="str">
        <f>"1420"</f>
        <v>1420</v>
      </c>
      <c r="X1161" s="1" t="s">
        <v>35</v>
      </c>
    </row>
    <row r="1162" spans="1:24" x14ac:dyDescent="0.3">
      <c r="A1162" s="1" t="str">
        <f t="shared" si="211"/>
        <v>59829</v>
      </c>
      <c r="B1162" s="1" t="s">
        <v>47</v>
      </c>
      <c r="C1162" s="1" t="s">
        <v>48</v>
      </c>
      <c r="D1162" s="1" t="str">
        <f t="shared" si="214"/>
        <v>9803</v>
      </c>
      <c r="E1162" s="1" t="s">
        <v>32</v>
      </c>
      <c r="F1162" s="1" t="str">
        <f>"F16E18038488040043252B4B000D050F"</f>
        <v>F16E18038488040043252B4B000D050F</v>
      </c>
      <c r="G1162" s="1" t="s">
        <v>58</v>
      </c>
      <c r="H1162" s="1" t="str">
        <f t="shared" si="206"/>
        <v>20220906</v>
      </c>
      <c r="I1162" s="1" t="str">
        <f>"081629"</f>
        <v>081629</v>
      </c>
      <c r="J1162" s="1" t="s">
        <v>28</v>
      </c>
      <c r="K1162" s="1" t="s">
        <v>28</v>
      </c>
      <c r="L1162" s="1" t="str">
        <f t="shared" si="207"/>
        <v>20220906</v>
      </c>
      <c r="M1162" s="1" t="str">
        <f>"083229"</f>
        <v>083229</v>
      </c>
      <c r="N1162" s="1" t="s">
        <v>34</v>
      </c>
      <c r="O1162" s="1" t="s">
        <v>34</v>
      </c>
      <c r="P1162" s="1" t="s">
        <v>55</v>
      </c>
      <c r="Q1162" s="1">
        <v>25</v>
      </c>
      <c r="R1162" s="1">
        <v>25</v>
      </c>
      <c r="S1162" s="1">
        <v>0</v>
      </c>
      <c r="T1162" s="1">
        <v>0</v>
      </c>
      <c r="U1162" s="1">
        <v>0</v>
      </c>
      <c r="V1162" s="1" t="str">
        <f t="shared" si="215"/>
        <v>里程去程</v>
      </c>
      <c r="W1162" s="1" t="str">
        <f>"0020"</f>
        <v>0020</v>
      </c>
      <c r="X1162" s="1" t="s">
        <v>29</v>
      </c>
    </row>
    <row r="1163" spans="1:24" x14ac:dyDescent="0.3">
      <c r="A1163" s="1" t="str">
        <f t="shared" si="211"/>
        <v>59829</v>
      </c>
      <c r="B1163" s="1" t="s">
        <v>47</v>
      </c>
      <c r="C1163" s="1" t="s">
        <v>48</v>
      </c>
      <c r="D1163" s="1" t="str">
        <f t="shared" si="214"/>
        <v>9803</v>
      </c>
      <c r="E1163" s="1" t="s">
        <v>32</v>
      </c>
      <c r="F1163" s="1" t="str">
        <f>"B26E94125A28040080CEBCD145112518"</f>
        <v>B26E94125A28040080CEBCD145112518</v>
      </c>
      <c r="G1163" s="1" t="s">
        <v>59</v>
      </c>
      <c r="H1163" s="1" t="str">
        <f t="shared" si="206"/>
        <v>20220906</v>
      </c>
      <c r="I1163" s="1" t="str">
        <f>"081631"</f>
        <v>081631</v>
      </c>
      <c r="J1163" s="1" t="s">
        <v>28</v>
      </c>
      <c r="K1163" s="1" t="s">
        <v>28</v>
      </c>
      <c r="L1163" s="1" t="str">
        <f t="shared" si="207"/>
        <v>20220906</v>
      </c>
      <c r="M1163" s="1" t="str">
        <f>"083224"</f>
        <v>083224</v>
      </c>
      <c r="N1163" s="1" t="s">
        <v>34</v>
      </c>
      <c r="O1163" s="1" t="s">
        <v>34</v>
      </c>
      <c r="P1163" s="1" t="s">
        <v>55</v>
      </c>
      <c r="Q1163" s="1">
        <v>25</v>
      </c>
      <c r="R1163" s="1">
        <v>25</v>
      </c>
      <c r="S1163" s="1">
        <v>0</v>
      </c>
      <c r="T1163" s="1">
        <v>0</v>
      </c>
      <c r="U1163" s="1">
        <v>0</v>
      </c>
      <c r="V1163" s="1" t="str">
        <f t="shared" si="215"/>
        <v>里程去程</v>
      </c>
      <c r="W1163" s="1" t="str">
        <f>"0020"</f>
        <v>0020</v>
      </c>
      <c r="X1163" s="1" t="s">
        <v>29</v>
      </c>
    </row>
    <row r="1164" spans="1:24" x14ac:dyDescent="0.3">
      <c r="A1164" s="1" t="str">
        <f t="shared" si="211"/>
        <v>59829</v>
      </c>
      <c r="B1164" s="1" t="s">
        <v>47</v>
      </c>
      <c r="C1164" s="1" t="s">
        <v>48</v>
      </c>
      <c r="D1164" s="1" t="str">
        <f t="shared" si="214"/>
        <v>9803</v>
      </c>
      <c r="E1164" s="1" t="s">
        <v>32</v>
      </c>
      <c r="F1164" s="1" t="str">
        <f>"53D8C7E9A588040047BA141551301010"</f>
        <v>53D8C7E9A588040047BA141551301010</v>
      </c>
      <c r="G1164" s="1" t="s">
        <v>58</v>
      </c>
      <c r="H1164" s="1" t="str">
        <f t="shared" ref="H1164:H1194" si="216">"20220906"</f>
        <v>20220906</v>
      </c>
      <c r="I1164" s="1" t="str">
        <f>"081634"</f>
        <v>081634</v>
      </c>
      <c r="J1164" s="1" t="s">
        <v>28</v>
      </c>
      <c r="K1164" s="1" t="s">
        <v>28</v>
      </c>
      <c r="L1164" s="1" t="str">
        <f t="shared" ref="L1164:L1194" si="217">"20220906"</f>
        <v>20220906</v>
      </c>
      <c r="M1164" s="1" t="str">
        <f>"083226"</f>
        <v>083226</v>
      </c>
      <c r="N1164" s="1" t="s">
        <v>34</v>
      </c>
      <c r="O1164" s="1" t="s">
        <v>34</v>
      </c>
      <c r="P1164" s="1" t="s">
        <v>55</v>
      </c>
      <c r="Q1164" s="1">
        <v>25</v>
      </c>
      <c r="R1164" s="1">
        <v>25</v>
      </c>
      <c r="S1164" s="1">
        <v>0</v>
      </c>
      <c r="T1164" s="1">
        <v>0</v>
      </c>
      <c r="U1164" s="1">
        <v>0</v>
      </c>
      <c r="V1164" s="1" t="str">
        <f t="shared" si="215"/>
        <v>里程去程</v>
      </c>
      <c r="W1164" s="1" t="str">
        <f>"0020"</f>
        <v>0020</v>
      </c>
      <c r="X1164" s="1" t="s">
        <v>29</v>
      </c>
    </row>
    <row r="1165" spans="1:24" x14ac:dyDescent="0.3">
      <c r="A1165" s="1" t="str">
        <f t="shared" si="211"/>
        <v>59829</v>
      </c>
      <c r="B1165" s="1" t="s">
        <v>47</v>
      </c>
      <c r="C1165" s="1" t="s">
        <v>48</v>
      </c>
      <c r="D1165" s="1" t="str">
        <f t="shared" si="214"/>
        <v>9803</v>
      </c>
      <c r="E1165" s="1" t="s">
        <v>32</v>
      </c>
      <c r="F1165" s="1" t="str">
        <f>"1790046920"</f>
        <v>1790046920</v>
      </c>
      <c r="G1165" s="1" t="s">
        <v>26</v>
      </c>
      <c r="H1165" s="1" t="str">
        <f t="shared" si="216"/>
        <v>20220906</v>
      </c>
      <c r="I1165" s="1" t="str">
        <f>"094633"</f>
        <v>094633</v>
      </c>
      <c r="J1165" s="1" t="s">
        <v>28</v>
      </c>
      <c r="K1165" s="1" t="s">
        <v>28</v>
      </c>
      <c r="L1165" s="1" t="str">
        <f t="shared" si="217"/>
        <v>20220906</v>
      </c>
      <c r="M1165" s="1" t="str">
        <f>"100737"</f>
        <v>100737</v>
      </c>
      <c r="N1165" s="1" t="s">
        <v>34</v>
      </c>
      <c r="O1165" s="1" t="s">
        <v>34</v>
      </c>
      <c r="P1165" s="1" t="s">
        <v>55</v>
      </c>
      <c r="Q1165" s="1">
        <v>13</v>
      </c>
      <c r="R1165" s="1">
        <v>0</v>
      </c>
      <c r="S1165" s="1">
        <v>13</v>
      </c>
      <c r="T1165" s="1">
        <v>0</v>
      </c>
      <c r="U1165" s="1">
        <v>0</v>
      </c>
      <c r="V1165" s="1" t="str">
        <f t="shared" si="215"/>
        <v>里程去程</v>
      </c>
      <c r="W1165" s="1" t="str">
        <f t="shared" ref="W1165:W1170" si="218">"2120"</f>
        <v>2120</v>
      </c>
      <c r="X1165" s="1" t="s">
        <v>35</v>
      </c>
    </row>
    <row r="1166" spans="1:24" x14ac:dyDescent="0.3">
      <c r="A1166" s="1" t="str">
        <f t="shared" si="211"/>
        <v>59829</v>
      </c>
      <c r="B1166" s="1" t="s">
        <v>47</v>
      </c>
      <c r="C1166" s="1" t="s">
        <v>48</v>
      </c>
      <c r="D1166" s="1" t="str">
        <f t="shared" si="214"/>
        <v>9803</v>
      </c>
      <c r="E1166" s="1" t="s">
        <v>32</v>
      </c>
      <c r="F1166" s="1" t="str">
        <f>"726740005"</f>
        <v>726740005</v>
      </c>
      <c r="G1166" s="1" t="s">
        <v>33</v>
      </c>
      <c r="H1166" s="1" t="str">
        <f t="shared" si="216"/>
        <v>20220906</v>
      </c>
      <c r="I1166" s="1" t="str">
        <f>"094638"</f>
        <v>094638</v>
      </c>
      <c r="J1166" s="1" t="s">
        <v>28</v>
      </c>
      <c r="K1166" s="1" t="s">
        <v>28</v>
      </c>
      <c r="L1166" s="1" t="str">
        <f t="shared" si="217"/>
        <v>20220906</v>
      </c>
      <c r="M1166" s="1" t="str">
        <f>"100741"</f>
        <v>100741</v>
      </c>
      <c r="N1166" s="1" t="s">
        <v>34</v>
      </c>
      <c r="O1166" s="1" t="s">
        <v>34</v>
      </c>
      <c r="P1166" s="1" t="s">
        <v>55</v>
      </c>
      <c r="Q1166" s="1">
        <v>25</v>
      </c>
      <c r="R1166" s="1">
        <v>0</v>
      </c>
      <c r="S1166" s="1">
        <v>25</v>
      </c>
      <c r="T1166" s="1">
        <v>0</v>
      </c>
      <c r="U1166" s="1">
        <v>0</v>
      </c>
      <c r="V1166" s="1" t="str">
        <f t="shared" si="215"/>
        <v>里程去程</v>
      </c>
      <c r="W1166" s="1" t="str">
        <f t="shared" si="218"/>
        <v>2120</v>
      </c>
      <c r="X1166" s="1" t="s">
        <v>35</v>
      </c>
    </row>
    <row r="1167" spans="1:24" x14ac:dyDescent="0.3">
      <c r="A1167" s="1" t="str">
        <f t="shared" si="211"/>
        <v>59829</v>
      </c>
      <c r="B1167" s="1" t="s">
        <v>47</v>
      </c>
      <c r="C1167" s="1" t="s">
        <v>48</v>
      </c>
      <c r="D1167" s="1" t="str">
        <f t="shared" si="214"/>
        <v>9803</v>
      </c>
      <c r="E1167" s="1" t="s">
        <v>32</v>
      </c>
      <c r="F1167" s="1" t="str">
        <f>"932541365"</f>
        <v>932541365</v>
      </c>
      <c r="G1167" s="1" t="s">
        <v>26</v>
      </c>
      <c r="H1167" s="1" t="str">
        <f t="shared" si="216"/>
        <v>20220906</v>
      </c>
      <c r="I1167" s="1" t="str">
        <f>"094646"</f>
        <v>094646</v>
      </c>
      <c r="J1167" s="1" t="s">
        <v>28</v>
      </c>
      <c r="K1167" s="1" t="s">
        <v>28</v>
      </c>
      <c r="L1167" s="1" t="str">
        <f t="shared" si="217"/>
        <v>20220906</v>
      </c>
      <c r="M1167" s="1" t="str">
        <f>"100731"</f>
        <v>100731</v>
      </c>
      <c r="N1167" s="1" t="s">
        <v>34</v>
      </c>
      <c r="O1167" s="1" t="s">
        <v>34</v>
      </c>
      <c r="P1167" s="1" t="s">
        <v>55</v>
      </c>
      <c r="Q1167" s="1">
        <v>13</v>
      </c>
      <c r="R1167" s="1">
        <v>0</v>
      </c>
      <c r="S1167" s="1">
        <v>13</v>
      </c>
      <c r="T1167" s="1">
        <v>0</v>
      </c>
      <c r="U1167" s="1">
        <v>0</v>
      </c>
      <c r="V1167" s="1" t="str">
        <f t="shared" si="215"/>
        <v>里程去程</v>
      </c>
      <c r="W1167" s="1" t="str">
        <f t="shared" si="218"/>
        <v>2120</v>
      </c>
      <c r="X1167" s="1" t="s">
        <v>35</v>
      </c>
    </row>
    <row r="1168" spans="1:24" x14ac:dyDescent="0.3">
      <c r="A1168" s="1" t="str">
        <f t="shared" si="211"/>
        <v>59829</v>
      </c>
      <c r="B1168" s="1" t="s">
        <v>47</v>
      </c>
      <c r="C1168" s="1" t="s">
        <v>48</v>
      </c>
      <c r="D1168" s="1" t="str">
        <f t="shared" si="214"/>
        <v>9803</v>
      </c>
      <c r="E1168" s="1" t="s">
        <v>32</v>
      </c>
      <c r="F1168" s="1" t="str">
        <f>"932531333"</f>
        <v>932531333</v>
      </c>
      <c r="G1168" s="1" t="s">
        <v>26</v>
      </c>
      <c r="H1168" s="1" t="str">
        <f t="shared" si="216"/>
        <v>20220906</v>
      </c>
      <c r="I1168" s="1" t="str">
        <f>"094648"</f>
        <v>094648</v>
      </c>
      <c r="J1168" s="1" t="s">
        <v>28</v>
      </c>
      <c r="K1168" s="1" t="s">
        <v>28</v>
      </c>
      <c r="L1168" s="1" t="str">
        <f t="shared" si="217"/>
        <v>20220906</v>
      </c>
      <c r="M1168" s="1" t="str">
        <f>"100734"</f>
        <v>100734</v>
      </c>
      <c r="N1168" s="1" t="s">
        <v>34</v>
      </c>
      <c r="O1168" s="1" t="s">
        <v>34</v>
      </c>
      <c r="P1168" s="1" t="s">
        <v>55</v>
      </c>
      <c r="Q1168" s="1">
        <v>13</v>
      </c>
      <c r="R1168" s="1">
        <v>0</v>
      </c>
      <c r="S1168" s="1">
        <v>13</v>
      </c>
      <c r="T1168" s="1">
        <v>0</v>
      </c>
      <c r="U1168" s="1">
        <v>0</v>
      </c>
      <c r="V1168" s="1" t="str">
        <f t="shared" si="215"/>
        <v>里程去程</v>
      </c>
      <c r="W1168" s="1" t="str">
        <f t="shared" si="218"/>
        <v>2120</v>
      </c>
      <c r="X1168" s="1" t="s">
        <v>35</v>
      </c>
    </row>
    <row r="1169" spans="1:24" x14ac:dyDescent="0.3">
      <c r="A1169" s="1" t="str">
        <f t="shared" ref="A1169:A1194" si="219">"59829"</f>
        <v>59829</v>
      </c>
      <c r="B1169" s="1" t="s">
        <v>47</v>
      </c>
      <c r="C1169" s="1" t="s">
        <v>48</v>
      </c>
      <c r="D1169" s="1" t="str">
        <f t="shared" si="214"/>
        <v>9803</v>
      </c>
      <c r="E1169" s="1" t="s">
        <v>32</v>
      </c>
      <c r="F1169" s="1" t="str">
        <f>"2659922600"</f>
        <v>2659922600</v>
      </c>
      <c r="G1169" s="1" t="s">
        <v>26</v>
      </c>
      <c r="H1169" s="1" t="str">
        <f t="shared" si="216"/>
        <v>20220906</v>
      </c>
      <c r="I1169" s="1" t="str">
        <f>"094652"</f>
        <v>094652</v>
      </c>
      <c r="J1169" s="1" t="s">
        <v>28</v>
      </c>
      <c r="K1169" s="1" t="s">
        <v>28</v>
      </c>
      <c r="L1169" s="1" t="str">
        <f t="shared" si="217"/>
        <v>20220906</v>
      </c>
      <c r="M1169" s="1" t="str">
        <f>"100758"</f>
        <v>100758</v>
      </c>
      <c r="N1169" s="1" t="s">
        <v>34</v>
      </c>
      <c r="O1169" s="1" t="s">
        <v>34</v>
      </c>
      <c r="P1169" s="1" t="s">
        <v>55</v>
      </c>
      <c r="Q1169" s="1">
        <v>13</v>
      </c>
      <c r="R1169" s="1">
        <v>0</v>
      </c>
      <c r="S1169" s="1">
        <v>13</v>
      </c>
      <c r="T1169" s="1">
        <v>0</v>
      </c>
      <c r="U1169" s="1">
        <v>0</v>
      </c>
      <c r="V1169" s="1" t="str">
        <f t="shared" si="215"/>
        <v>里程去程</v>
      </c>
      <c r="W1169" s="1" t="str">
        <f t="shared" si="218"/>
        <v>2120</v>
      </c>
      <c r="X1169" s="1" t="s">
        <v>35</v>
      </c>
    </row>
    <row r="1170" spans="1:24" x14ac:dyDescent="0.3">
      <c r="A1170" s="1" t="str">
        <f t="shared" si="219"/>
        <v>59829</v>
      </c>
      <c r="B1170" s="1" t="s">
        <v>47</v>
      </c>
      <c r="C1170" s="1" t="s">
        <v>48</v>
      </c>
      <c r="D1170" s="1" t="str">
        <f t="shared" si="214"/>
        <v>9803</v>
      </c>
      <c r="E1170" s="1" t="s">
        <v>32</v>
      </c>
      <c r="F1170" s="1" t="str">
        <f>"2659931048"</f>
        <v>2659931048</v>
      </c>
      <c r="G1170" s="1" t="s">
        <v>26</v>
      </c>
      <c r="H1170" s="1" t="str">
        <f t="shared" si="216"/>
        <v>20220906</v>
      </c>
      <c r="I1170" s="1" t="str">
        <f>"094657"</f>
        <v>094657</v>
      </c>
      <c r="J1170" s="1" t="s">
        <v>28</v>
      </c>
      <c r="K1170" s="1" t="s">
        <v>28</v>
      </c>
      <c r="L1170" s="1" t="str">
        <f t="shared" si="217"/>
        <v>20220906</v>
      </c>
      <c r="M1170" s="1" t="str">
        <f>"100749"</f>
        <v>100749</v>
      </c>
      <c r="N1170" s="1" t="s">
        <v>34</v>
      </c>
      <c r="O1170" s="1" t="s">
        <v>34</v>
      </c>
      <c r="P1170" s="1" t="s">
        <v>55</v>
      </c>
      <c r="Q1170" s="1">
        <v>13</v>
      </c>
      <c r="R1170" s="1">
        <v>0</v>
      </c>
      <c r="S1170" s="1">
        <v>13</v>
      </c>
      <c r="T1170" s="1">
        <v>0</v>
      </c>
      <c r="U1170" s="1">
        <v>0</v>
      </c>
      <c r="V1170" s="1" t="str">
        <f t="shared" si="215"/>
        <v>里程去程</v>
      </c>
      <c r="W1170" s="1" t="str">
        <f t="shared" si="218"/>
        <v>2120</v>
      </c>
      <c r="X1170" s="1" t="s">
        <v>35</v>
      </c>
    </row>
    <row r="1171" spans="1:24" x14ac:dyDescent="0.3">
      <c r="A1171" s="1" t="str">
        <f t="shared" si="219"/>
        <v>59829</v>
      </c>
      <c r="B1171" s="1" t="s">
        <v>47</v>
      </c>
      <c r="C1171" s="1" t="s">
        <v>48</v>
      </c>
      <c r="D1171" s="1" t="str">
        <f t="shared" si="214"/>
        <v>9803</v>
      </c>
      <c r="E1171" s="1" t="s">
        <v>32</v>
      </c>
      <c r="F1171" s="1" t="str">
        <f>"1760049653"</f>
        <v>1760049653</v>
      </c>
      <c r="G1171" s="1" t="s">
        <v>33</v>
      </c>
      <c r="H1171" s="1" t="str">
        <f t="shared" si="216"/>
        <v>20220906</v>
      </c>
      <c r="I1171" s="1" t="str">
        <f>"094704"</f>
        <v>094704</v>
      </c>
      <c r="J1171" s="1" t="s">
        <v>28</v>
      </c>
      <c r="K1171" s="1" t="s">
        <v>28</v>
      </c>
      <c r="L1171" s="1" t="str">
        <f t="shared" si="217"/>
        <v>20220906</v>
      </c>
      <c r="M1171" s="1" t="str">
        <f>"100813"</f>
        <v>100813</v>
      </c>
      <c r="N1171" s="1" t="s">
        <v>34</v>
      </c>
      <c r="O1171" s="1" t="s">
        <v>34</v>
      </c>
      <c r="P1171" s="1" t="s">
        <v>55</v>
      </c>
      <c r="Q1171" s="1">
        <v>25</v>
      </c>
      <c r="R1171" s="1">
        <v>25</v>
      </c>
      <c r="S1171" s="1">
        <v>0</v>
      </c>
      <c r="T1171" s="1">
        <v>0</v>
      </c>
      <c r="U1171" s="1">
        <v>0</v>
      </c>
      <c r="V1171" s="1" t="str">
        <f t="shared" si="215"/>
        <v>里程去程</v>
      </c>
      <c r="W1171" s="1" t="str">
        <f>"0320"</f>
        <v>0320</v>
      </c>
      <c r="X1171" s="1" t="s">
        <v>35</v>
      </c>
    </row>
    <row r="1172" spans="1:24" x14ac:dyDescent="0.3">
      <c r="A1172" s="1" t="str">
        <f t="shared" si="219"/>
        <v>59829</v>
      </c>
      <c r="B1172" s="1" t="s">
        <v>47</v>
      </c>
      <c r="C1172" s="1" t="s">
        <v>48</v>
      </c>
      <c r="D1172" s="1" t="str">
        <f t="shared" si="214"/>
        <v>9803</v>
      </c>
      <c r="E1172" s="1" t="s">
        <v>32</v>
      </c>
      <c r="F1172" s="1" t="str">
        <f>"7511200805007717"</f>
        <v>7511200805007717</v>
      </c>
      <c r="G1172" s="1" t="s">
        <v>33</v>
      </c>
      <c r="H1172" s="1" t="str">
        <f t="shared" si="216"/>
        <v>20220906</v>
      </c>
      <c r="I1172" s="1" t="str">
        <f>"094713"</f>
        <v>094713</v>
      </c>
      <c r="J1172" s="1" t="s">
        <v>28</v>
      </c>
      <c r="K1172" s="1" t="s">
        <v>28</v>
      </c>
      <c r="L1172" s="1" t="str">
        <f t="shared" si="217"/>
        <v>20220906</v>
      </c>
      <c r="M1172" s="1" t="str">
        <f>"100808"</f>
        <v>100808</v>
      </c>
      <c r="N1172" s="1" t="s">
        <v>34</v>
      </c>
      <c r="O1172" s="1" t="s">
        <v>34</v>
      </c>
      <c r="P1172" s="1" t="s">
        <v>55</v>
      </c>
      <c r="Q1172" s="1">
        <v>25</v>
      </c>
      <c r="R1172" s="1">
        <v>25</v>
      </c>
      <c r="S1172" s="1">
        <v>0</v>
      </c>
      <c r="T1172" s="1">
        <v>0</v>
      </c>
      <c r="U1172" s="1">
        <v>0</v>
      </c>
      <c r="V1172" s="1" t="str">
        <f t="shared" si="215"/>
        <v>里程去程</v>
      </c>
      <c r="W1172" s="1" t="str">
        <f>"083B"</f>
        <v>083B</v>
      </c>
      <c r="X1172" s="1" t="s">
        <v>109</v>
      </c>
    </row>
    <row r="1173" spans="1:24" x14ac:dyDescent="0.3">
      <c r="A1173" s="1" t="str">
        <f t="shared" si="219"/>
        <v>59829</v>
      </c>
      <c r="B1173" s="1" t="s">
        <v>47</v>
      </c>
      <c r="C1173" s="1" t="s">
        <v>48</v>
      </c>
      <c r="D1173" s="1" t="str">
        <f t="shared" si="214"/>
        <v>9803</v>
      </c>
      <c r="E1173" s="1" t="s">
        <v>32</v>
      </c>
      <c r="F1173" s="1" t="str">
        <f>"299319464"</f>
        <v>299319464</v>
      </c>
      <c r="G1173" s="1" t="s">
        <v>74</v>
      </c>
      <c r="H1173" s="1" t="str">
        <f t="shared" si="216"/>
        <v>20220906</v>
      </c>
      <c r="I1173" s="1" t="str">
        <f>"094730"</f>
        <v>094730</v>
      </c>
      <c r="J1173" s="1" t="s">
        <v>28</v>
      </c>
      <c r="K1173" s="1" t="s">
        <v>28</v>
      </c>
      <c r="L1173" s="1" t="str">
        <f t="shared" si="217"/>
        <v>20220906</v>
      </c>
      <c r="M1173" s="1" t="str">
        <f>"100752"</f>
        <v>100752</v>
      </c>
      <c r="N1173" s="1" t="s">
        <v>34</v>
      </c>
      <c r="O1173" s="1" t="s">
        <v>34</v>
      </c>
      <c r="P1173" s="1" t="s">
        <v>55</v>
      </c>
      <c r="Q1173" s="1">
        <v>13</v>
      </c>
      <c r="R1173" s="1">
        <v>0</v>
      </c>
      <c r="S1173" s="1">
        <v>13</v>
      </c>
      <c r="T1173" s="1">
        <v>0</v>
      </c>
      <c r="U1173" s="1">
        <v>0</v>
      </c>
      <c r="V1173" s="1" t="str">
        <f t="shared" si="215"/>
        <v>里程去程</v>
      </c>
      <c r="W1173" s="1" t="str">
        <f>"2120"</f>
        <v>2120</v>
      </c>
      <c r="X1173" s="1" t="s">
        <v>35</v>
      </c>
    </row>
    <row r="1174" spans="1:24" x14ac:dyDescent="0.3">
      <c r="A1174" s="1" t="str">
        <f t="shared" si="219"/>
        <v>59829</v>
      </c>
      <c r="B1174" s="1" t="s">
        <v>47</v>
      </c>
      <c r="C1174" s="1" t="s">
        <v>48</v>
      </c>
      <c r="D1174" s="1" t="str">
        <f t="shared" si="214"/>
        <v>9803</v>
      </c>
      <c r="E1174" s="1" t="s">
        <v>32</v>
      </c>
      <c r="F1174" s="1" t="str">
        <f>"299295144"</f>
        <v>299295144</v>
      </c>
      <c r="G1174" s="1" t="s">
        <v>102</v>
      </c>
      <c r="H1174" s="1" t="str">
        <f t="shared" si="216"/>
        <v>20220906</v>
      </c>
      <c r="I1174" s="1" t="str">
        <f>"094733"</f>
        <v>094733</v>
      </c>
      <c r="J1174" s="1" t="s">
        <v>28</v>
      </c>
      <c r="K1174" s="1" t="s">
        <v>28</v>
      </c>
      <c r="L1174" s="1" t="str">
        <f t="shared" si="217"/>
        <v>20220906</v>
      </c>
      <c r="M1174" s="1" t="str">
        <f>"100755"</f>
        <v>100755</v>
      </c>
      <c r="N1174" s="1" t="s">
        <v>34</v>
      </c>
      <c r="O1174" s="1" t="s">
        <v>34</v>
      </c>
      <c r="P1174" s="1" t="s">
        <v>55</v>
      </c>
      <c r="Q1174" s="1">
        <v>13</v>
      </c>
      <c r="R1174" s="1">
        <v>0</v>
      </c>
      <c r="S1174" s="1">
        <v>13</v>
      </c>
      <c r="T1174" s="1">
        <v>0</v>
      </c>
      <c r="U1174" s="1">
        <v>0</v>
      </c>
      <c r="V1174" s="1" t="str">
        <f t="shared" si="215"/>
        <v>里程去程</v>
      </c>
      <c r="W1174" s="1" t="str">
        <f>"2120"</f>
        <v>2120</v>
      </c>
      <c r="X1174" s="1" t="s">
        <v>35</v>
      </c>
    </row>
    <row r="1175" spans="1:24" x14ac:dyDescent="0.3">
      <c r="A1175" s="1" t="str">
        <f t="shared" si="219"/>
        <v>59829</v>
      </c>
      <c r="B1175" s="1" t="s">
        <v>47</v>
      </c>
      <c r="C1175" s="1" t="s">
        <v>48</v>
      </c>
      <c r="D1175" s="1" t="str">
        <f t="shared" si="214"/>
        <v>9803</v>
      </c>
      <c r="E1175" s="1" t="s">
        <v>32</v>
      </c>
      <c r="F1175" s="1" t="str">
        <f>"133502703"</f>
        <v>133502703</v>
      </c>
      <c r="G1175" s="1" t="s">
        <v>26</v>
      </c>
      <c r="H1175" s="1" t="str">
        <f t="shared" si="216"/>
        <v>20220906</v>
      </c>
      <c r="I1175" s="1" t="str">
        <f>"094737"</f>
        <v>094737</v>
      </c>
      <c r="J1175" s="1" t="s">
        <v>28</v>
      </c>
      <c r="K1175" s="1" t="s">
        <v>28</v>
      </c>
      <c r="L1175" s="1" t="str">
        <f t="shared" si="217"/>
        <v>20220906</v>
      </c>
      <c r="M1175" s="1" t="str">
        <f>"100801"</f>
        <v>100801</v>
      </c>
      <c r="N1175" s="1" t="s">
        <v>34</v>
      </c>
      <c r="O1175" s="1" t="s">
        <v>34</v>
      </c>
      <c r="P1175" s="1" t="s">
        <v>55</v>
      </c>
      <c r="Q1175" s="1">
        <v>13</v>
      </c>
      <c r="R1175" s="1">
        <v>13</v>
      </c>
      <c r="S1175" s="1">
        <v>0</v>
      </c>
      <c r="T1175" s="1">
        <v>0</v>
      </c>
      <c r="U1175" s="1">
        <v>0</v>
      </c>
      <c r="V1175" s="1" t="str">
        <f t="shared" si="215"/>
        <v>里程去程</v>
      </c>
      <c r="W1175" s="1" t="str">
        <f>"0820"</f>
        <v>0820</v>
      </c>
      <c r="X1175" s="1" t="s">
        <v>35</v>
      </c>
    </row>
    <row r="1176" spans="1:24" x14ac:dyDescent="0.3">
      <c r="A1176" s="1" t="str">
        <f t="shared" si="219"/>
        <v>59829</v>
      </c>
      <c r="B1176" s="1" t="s">
        <v>47</v>
      </c>
      <c r="C1176" s="1" t="s">
        <v>48</v>
      </c>
      <c r="D1176" s="1" t="str">
        <f t="shared" si="214"/>
        <v>9803</v>
      </c>
      <c r="E1176" s="1" t="s">
        <v>32</v>
      </c>
      <c r="F1176" s="1" t="str">
        <f>"726740005"</f>
        <v>726740005</v>
      </c>
      <c r="G1176" s="1" t="s">
        <v>33</v>
      </c>
      <c r="H1176" s="1" t="str">
        <f t="shared" si="216"/>
        <v>20220906</v>
      </c>
      <c r="I1176" s="1" t="str">
        <f>"103600"</f>
        <v>103600</v>
      </c>
      <c r="J1176" s="1" t="s">
        <v>34</v>
      </c>
      <c r="K1176" s="1" t="s">
        <v>34</v>
      </c>
      <c r="L1176" s="1" t="str">
        <f t="shared" si="217"/>
        <v>20220906</v>
      </c>
      <c r="M1176" s="1" t="str">
        <f>"110618"</f>
        <v>110618</v>
      </c>
      <c r="N1176" s="1" t="s">
        <v>28</v>
      </c>
      <c r="O1176" s="1" t="s">
        <v>28</v>
      </c>
      <c r="P1176" s="1" t="s">
        <v>55</v>
      </c>
      <c r="Q1176" s="1">
        <v>25</v>
      </c>
      <c r="R1176" s="1">
        <v>25</v>
      </c>
      <c r="S1176" s="1">
        <v>0</v>
      </c>
      <c r="T1176" s="1">
        <v>0</v>
      </c>
      <c r="U1176" s="1">
        <v>0</v>
      </c>
      <c r="V1176" s="1" t="str">
        <f t="shared" ref="V1176:V1184" si="220">"里程返程"</f>
        <v>里程返程</v>
      </c>
      <c r="W1176" s="1" t="str">
        <f t="shared" ref="W1176:W1184" si="221">"2020"</f>
        <v>2020</v>
      </c>
      <c r="X1176" s="1" t="s">
        <v>35</v>
      </c>
    </row>
    <row r="1177" spans="1:24" x14ac:dyDescent="0.3">
      <c r="A1177" s="1" t="str">
        <f t="shared" si="219"/>
        <v>59829</v>
      </c>
      <c r="B1177" s="1" t="s">
        <v>47</v>
      </c>
      <c r="C1177" s="1" t="s">
        <v>48</v>
      </c>
      <c r="D1177" s="1" t="str">
        <f t="shared" si="214"/>
        <v>9803</v>
      </c>
      <c r="E1177" s="1" t="s">
        <v>32</v>
      </c>
      <c r="F1177" s="1" t="str">
        <f>"299319464"</f>
        <v>299319464</v>
      </c>
      <c r="G1177" s="1" t="s">
        <v>74</v>
      </c>
      <c r="H1177" s="1" t="str">
        <f t="shared" si="216"/>
        <v>20220906</v>
      </c>
      <c r="I1177" s="1" t="str">
        <f>"103605"</f>
        <v>103605</v>
      </c>
      <c r="J1177" s="1" t="s">
        <v>34</v>
      </c>
      <c r="K1177" s="1" t="s">
        <v>34</v>
      </c>
      <c r="L1177" s="1" t="str">
        <f t="shared" si="217"/>
        <v>20220906</v>
      </c>
      <c r="M1177" s="1" t="str">
        <f>"110633"</f>
        <v>110633</v>
      </c>
      <c r="N1177" s="1" t="s">
        <v>28</v>
      </c>
      <c r="O1177" s="1" t="s">
        <v>28</v>
      </c>
      <c r="P1177" s="1" t="s">
        <v>55</v>
      </c>
      <c r="Q1177" s="1">
        <v>13</v>
      </c>
      <c r="R1177" s="1">
        <v>13</v>
      </c>
      <c r="S1177" s="1">
        <v>0</v>
      </c>
      <c r="T1177" s="1">
        <v>0</v>
      </c>
      <c r="U1177" s="1">
        <v>0</v>
      </c>
      <c r="V1177" s="1" t="str">
        <f t="shared" si="220"/>
        <v>里程返程</v>
      </c>
      <c r="W1177" s="1" t="str">
        <f t="shared" si="221"/>
        <v>2020</v>
      </c>
      <c r="X1177" s="1" t="s">
        <v>35</v>
      </c>
    </row>
    <row r="1178" spans="1:24" x14ac:dyDescent="0.3">
      <c r="A1178" s="1" t="str">
        <f t="shared" si="219"/>
        <v>59829</v>
      </c>
      <c r="B1178" s="1" t="s">
        <v>47</v>
      </c>
      <c r="C1178" s="1" t="s">
        <v>48</v>
      </c>
      <c r="D1178" s="1" t="str">
        <f t="shared" si="214"/>
        <v>9803</v>
      </c>
      <c r="E1178" s="1" t="s">
        <v>32</v>
      </c>
      <c r="F1178" s="1" t="str">
        <f>"299295144"</f>
        <v>299295144</v>
      </c>
      <c r="G1178" s="1" t="s">
        <v>102</v>
      </c>
      <c r="H1178" s="1" t="str">
        <f t="shared" si="216"/>
        <v>20220906</v>
      </c>
      <c r="I1178" s="1" t="str">
        <f>"103609"</f>
        <v>103609</v>
      </c>
      <c r="J1178" s="1" t="s">
        <v>34</v>
      </c>
      <c r="K1178" s="1" t="s">
        <v>34</v>
      </c>
      <c r="L1178" s="1" t="str">
        <f t="shared" si="217"/>
        <v>20220906</v>
      </c>
      <c r="M1178" s="1" t="str">
        <f>"110636"</f>
        <v>110636</v>
      </c>
      <c r="N1178" s="1" t="s">
        <v>28</v>
      </c>
      <c r="O1178" s="1" t="s">
        <v>28</v>
      </c>
      <c r="P1178" s="1" t="s">
        <v>55</v>
      </c>
      <c r="Q1178" s="1">
        <v>13</v>
      </c>
      <c r="R1178" s="1">
        <v>13</v>
      </c>
      <c r="S1178" s="1">
        <v>0</v>
      </c>
      <c r="T1178" s="1">
        <v>0</v>
      </c>
      <c r="U1178" s="1">
        <v>0</v>
      </c>
      <c r="V1178" s="1" t="str">
        <f t="shared" si="220"/>
        <v>里程返程</v>
      </c>
      <c r="W1178" s="1" t="str">
        <f t="shared" si="221"/>
        <v>2020</v>
      </c>
      <c r="X1178" s="1" t="s">
        <v>35</v>
      </c>
    </row>
    <row r="1179" spans="1:24" x14ac:dyDescent="0.3">
      <c r="A1179" s="1" t="str">
        <f t="shared" si="219"/>
        <v>59829</v>
      </c>
      <c r="B1179" s="1" t="s">
        <v>47</v>
      </c>
      <c r="C1179" s="1" t="s">
        <v>48</v>
      </c>
      <c r="D1179" s="1" t="str">
        <f t="shared" si="214"/>
        <v>9803</v>
      </c>
      <c r="E1179" s="1" t="s">
        <v>32</v>
      </c>
      <c r="F1179" s="1" t="str">
        <f>"1790046920"</f>
        <v>1790046920</v>
      </c>
      <c r="G1179" s="1" t="s">
        <v>26</v>
      </c>
      <c r="H1179" s="1" t="str">
        <f t="shared" si="216"/>
        <v>20220906</v>
      </c>
      <c r="I1179" s="1" t="str">
        <f>"103613"</f>
        <v>103613</v>
      </c>
      <c r="J1179" s="1" t="s">
        <v>34</v>
      </c>
      <c r="K1179" s="1" t="s">
        <v>34</v>
      </c>
      <c r="L1179" s="1" t="str">
        <f t="shared" si="217"/>
        <v>20220906</v>
      </c>
      <c r="M1179" s="1" t="str">
        <f>"110616"</f>
        <v>110616</v>
      </c>
      <c r="N1179" s="1" t="s">
        <v>28</v>
      </c>
      <c r="O1179" s="1" t="s">
        <v>28</v>
      </c>
      <c r="P1179" s="1" t="s">
        <v>55</v>
      </c>
      <c r="Q1179" s="1">
        <v>13</v>
      </c>
      <c r="R1179" s="1">
        <v>13</v>
      </c>
      <c r="S1179" s="1">
        <v>0</v>
      </c>
      <c r="T1179" s="1">
        <v>0</v>
      </c>
      <c r="U1179" s="1">
        <v>0</v>
      </c>
      <c r="V1179" s="1" t="str">
        <f t="shared" si="220"/>
        <v>里程返程</v>
      </c>
      <c r="W1179" s="1" t="str">
        <f t="shared" si="221"/>
        <v>2020</v>
      </c>
      <c r="X1179" s="1" t="s">
        <v>35</v>
      </c>
    </row>
    <row r="1180" spans="1:24" x14ac:dyDescent="0.3">
      <c r="A1180" s="1" t="str">
        <f t="shared" si="219"/>
        <v>59829</v>
      </c>
      <c r="B1180" s="1" t="s">
        <v>47</v>
      </c>
      <c r="C1180" s="1" t="s">
        <v>48</v>
      </c>
      <c r="D1180" s="1" t="str">
        <f t="shared" si="214"/>
        <v>9803</v>
      </c>
      <c r="E1180" s="1" t="s">
        <v>32</v>
      </c>
      <c r="F1180" s="1" t="str">
        <f>"932541365"</f>
        <v>932541365</v>
      </c>
      <c r="G1180" s="1" t="s">
        <v>26</v>
      </c>
      <c r="H1180" s="1" t="str">
        <f t="shared" si="216"/>
        <v>20220906</v>
      </c>
      <c r="I1180" s="1" t="str">
        <f>"103617"</f>
        <v>103617</v>
      </c>
      <c r="J1180" s="1" t="s">
        <v>34</v>
      </c>
      <c r="K1180" s="1" t="s">
        <v>34</v>
      </c>
      <c r="L1180" s="1" t="str">
        <f t="shared" si="217"/>
        <v>20220906</v>
      </c>
      <c r="M1180" s="1" t="str">
        <f>"110610"</f>
        <v>110610</v>
      </c>
      <c r="N1180" s="1" t="s">
        <v>28</v>
      </c>
      <c r="O1180" s="1" t="s">
        <v>28</v>
      </c>
      <c r="P1180" s="1" t="s">
        <v>55</v>
      </c>
      <c r="Q1180" s="1">
        <v>13</v>
      </c>
      <c r="R1180" s="1">
        <v>13</v>
      </c>
      <c r="S1180" s="1">
        <v>0</v>
      </c>
      <c r="T1180" s="1">
        <v>0</v>
      </c>
      <c r="U1180" s="1">
        <v>0</v>
      </c>
      <c r="V1180" s="1" t="str">
        <f t="shared" si="220"/>
        <v>里程返程</v>
      </c>
      <c r="W1180" s="1" t="str">
        <f t="shared" si="221"/>
        <v>2020</v>
      </c>
      <c r="X1180" s="1" t="s">
        <v>35</v>
      </c>
    </row>
    <row r="1181" spans="1:24" x14ac:dyDescent="0.3">
      <c r="A1181" s="1" t="str">
        <f t="shared" si="219"/>
        <v>59829</v>
      </c>
      <c r="B1181" s="1" t="s">
        <v>47</v>
      </c>
      <c r="C1181" s="1" t="s">
        <v>48</v>
      </c>
      <c r="D1181" s="1" t="str">
        <f t="shared" si="214"/>
        <v>9803</v>
      </c>
      <c r="E1181" s="1" t="s">
        <v>32</v>
      </c>
      <c r="F1181" s="1" t="str">
        <f>"2659922600"</f>
        <v>2659922600</v>
      </c>
      <c r="G1181" s="1" t="s">
        <v>26</v>
      </c>
      <c r="H1181" s="1" t="str">
        <f t="shared" si="216"/>
        <v>20220906</v>
      </c>
      <c r="I1181" s="1" t="str">
        <f>"103620"</f>
        <v>103620</v>
      </c>
      <c r="J1181" s="1" t="s">
        <v>34</v>
      </c>
      <c r="K1181" s="1" t="s">
        <v>34</v>
      </c>
      <c r="L1181" s="1" t="str">
        <f t="shared" si="217"/>
        <v>20220906</v>
      </c>
      <c r="M1181" s="1" t="str">
        <f>"110643"</f>
        <v>110643</v>
      </c>
      <c r="N1181" s="1" t="s">
        <v>28</v>
      </c>
      <c r="O1181" s="1" t="s">
        <v>28</v>
      </c>
      <c r="P1181" s="1" t="s">
        <v>55</v>
      </c>
      <c r="Q1181" s="1">
        <v>13</v>
      </c>
      <c r="R1181" s="1">
        <v>13</v>
      </c>
      <c r="S1181" s="1">
        <v>0</v>
      </c>
      <c r="T1181" s="1">
        <v>0</v>
      </c>
      <c r="U1181" s="1">
        <v>0</v>
      </c>
      <c r="V1181" s="1" t="str">
        <f t="shared" si="220"/>
        <v>里程返程</v>
      </c>
      <c r="W1181" s="1" t="str">
        <f t="shared" si="221"/>
        <v>2020</v>
      </c>
      <c r="X1181" s="1" t="s">
        <v>35</v>
      </c>
    </row>
    <row r="1182" spans="1:24" x14ac:dyDescent="0.3">
      <c r="A1182" s="1" t="str">
        <f t="shared" si="219"/>
        <v>59829</v>
      </c>
      <c r="B1182" s="1" t="s">
        <v>47</v>
      </c>
      <c r="C1182" s="1" t="s">
        <v>48</v>
      </c>
      <c r="D1182" s="1" t="str">
        <f t="shared" si="214"/>
        <v>9803</v>
      </c>
      <c r="E1182" s="1" t="s">
        <v>32</v>
      </c>
      <c r="F1182" s="1" t="str">
        <f>"932531333"</f>
        <v>932531333</v>
      </c>
      <c r="G1182" s="1" t="s">
        <v>26</v>
      </c>
      <c r="H1182" s="1" t="str">
        <f t="shared" si="216"/>
        <v>20220906</v>
      </c>
      <c r="I1182" s="1" t="str">
        <f>"103624"</f>
        <v>103624</v>
      </c>
      <c r="J1182" s="1" t="s">
        <v>34</v>
      </c>
      <c r="K1182" s="1" t="s">
        <v>34</v>
      </c>
      <c r="L1182" s="1" t="str">
        <f t="shared" si="217"/>
        <v>20220906</v>
      </c>
      <c r="M1182" s="1" t="str">
        <f>"110613"</f>
        <v>110613</v>
      </c>
      <c r="N1182" s="1" t="s">
        <v>28</v>
      </c>
      <c r="O1182" s="1" t="s">
        <v>28</v>
      </c>
      <c r="P1182" s="1" t="s">
        <v>55</v>
      </c>
      <c r="Q1182" s="1">
        <v>13</v>
      </c>
      <c r="R1182" s="1">
        <v>13</v>
      </c>
      <c r="S1182" s="1">
        <v>0</v>
      </c>
      <c r="T1182" s="1">
        <v>0</v>
      </c>
      <c r="U1182" s="1">
        <v>0</v>
      </c>
      <c r="V1182" s="1" t="str">
        <f t="shared" si="220"/>
        <v>里程返程</v>
      </c>
      <c r="W1182" s="1" t="str">
        <f t="shared" si="221"/>
        <v>2020</v>
      </c>
      <c r="X1182" s="1" t="s">
        <v>35</v>
      </c>
    </row>
    <row r="1183" spans="1:24" x14ac:dyDescent="0.3">
      <c r="A1183" s="1" t="str">
        <f t="shared" si="219"/>
        <v>59829</v>
      </c>
      <c r="B1183" s="1" t="s">
        <v>47</v>
      </c>
      <c r="C1183" s="1" t="s">
        <v>48</v>
      </c>
      <c r="D1183" s="1" t="str">
        <f t="shared" si="214"/>
        <v>9803</v>
      </c>
      <c r="E1183" s="1" t="s">
        <v>32</v>
      </c>
      <c r="F1183" s="1" t="str">
        <f>"2659931048"</f>
        <v>2659931048</v>
      </c>
      <c r="G1183" s="1" t="s">
        <v>26</v>
      </c>
      <c r="H1183" s="1" t="str">
        <f t="shared" si="216"/>
        <v>20220906</v>
      </c>
      <c r="I1183" s="1" t="str">
        <f>"103628"</f>
        <v>103628</v>
      </c>
      <c r="J1183" s="1" t="s">
        <v>34</v>
      </c>
      <c r="K1183" s="1" t="s">
        <v>34</v>
      </c>
      <c r="L1183" s="1" t="str">
        <f t="shared" si="217"/>
        <v>20220906</v>
      </c>
      <c r="M1183" s="1" t="str">
        <f>"110640"</f>
        <v>110640</v>
      </c>
      <c r="N1183" s="1" t="s">
        <v>28</v>
      </c>
      <c r="O1183" s="1" t="s">
        <v>28</v>
      </c>
      <c r="P1183" s="1" t="s">
        <v>55</v>
      </c>
      <c r="Q1183" s="1">
        <v>13</v>
      </c>
      <c r="R1183" s="1">
        <v>13</v>
      </c>
      <c r="S1183" s="1">
        <v>0</v>
      </c>
      <c r="T1183" s="1">
        <v>0</v>
      </c>
      <c r="U1183" s="1">
        <v>0</v>
      </c>
      <c r="V1183" s="1" t="str">
        <f t="shared" si="220"/>
        <v>里程返程</v>
      </c>
      <c r="W1183" s="1" t="str">
        <f t="shared" si="221"/>
        <v>2020</v>
      </c>
      <c r="X1183" s="1" t="s">
        <v>35</v>
      </c>
    </row>
    <row r="1184" spans="1:24" x14ac:dyDescent="0.3">
      <c r="A1184" s="1" t="str">
        <f t="shared" si="219"/>
        <v>59829</v>
      </c>
      <c r="B1184" s="1" t="s">
        <v>47</v>
      </c>
      <c r="C1184" s="1" t="s">
        <v>48</v>
      </c>
      <c r="D1184" s="1" t="str">
        <f t="shared" si="214"/>
        <v>9803</v>
      </c>
      <c r="E1184" s="1" t="s">
        <v>32</v>
      </c>
      <c r="F1184" s="1" t="str">
        <f>"133502703"</f>
        <v>133502703</v>
      </c>
      <c r="G1184" s="1" t="s">
        <v>26</v>
      </c>
      <c r="H1184" s="1" t="str">
        <f t="shared" si="216"/>
        <v>20220906</v>
      </c>
      <c r="I1184" s="1" t="str">
        <f>"103633"</f>
        <v>103633</v>
      </c>
      <c r="J1184" s="1" t="s">
        <v>34</v>
      </c>
      <c r="K1184" s="1" t="s">
        <v>34</v>
      </c>
      <c r="L1184" s="1" t="str">
        <f t="shared" si="217"/>
        <v>20220906</v>
      </c>
      <c r="M1184" s="1" t="str">
        <f>"110621"</f>
        <v>110621</v>
      </c>
      <c r="N1184" s="1" t="s">
        <v>28</v>
      </c>
      <c r="O1184" s="1" t="s">
        <v>28</v>
      </c>
      <c r="P1184" s="1" t="s">
        <v>55</v>
      </c>
      <c r="Q1184" s="1">
        <v>13</v>
      </c>
      <c r="R1184" s="1">
        <v>13</v>
      </c>
      <c r="S1184" s="1">
        <v>0</v>
      </c>
      <c r="T1184" s="1">
        <v>0</v>
      </c>
      <c r="U1184" s="1">
        <v>0</v>
      </c>
      <c r="V1184" s="1" t="str">
        <f t="shared" si="220"/>
        <v>里程返程</v>
      </c>
      <c r="W1184" s="1" t="str">
        <f t="shared" si="221"/>
        <v>2020</v>
      </c>
      <c r="X1184" s="1" t="s">
        <v>35</v>
      </c>
    </row>
    <row r="1185" spans="1:24" x14ac:dyDescent="0.3">
      <c r="A1185" s="1" t="str">
        <f t="shared" si="219"/>
        <v>59829</v>
      </c>
      <c r="B1185" s="1" t="s">
        <v>47</v>
      </c>
      <c r="C1185" s="1" t="s">
        <v>48</v>
      </c>
      <c r="D1185" s="1" t="str">
        <f>"9805"</f>
        <v>9805</v>
      </c>
      <c r="E1185" s="1" t="s">
        <v>57</v>
      </c>
      <c r="F1185" s="1" t="str">
        <f>"1205824277"</f>
        <v>1205824277</v>
      </c>
      <c r="G1185" s="1" t="s">
        <v>38</v>
      </c>
      <c r="H1185" s="1" t="str">
        <f t="shared" si="216"/>
        <v>20220906</v>
      </c>
      <c r="I1185" s="1" t="str">
        <f>"120752"</f>
        <v>120752</v>
      </c>
      <c r="J1185" s="1" t="s">
        <v>28</v>
      </c>
      <c r="K1185" s="1" t="s">
        <v>28</v>
      </c>
      <c r="L1185" s="1" t="str">
        <f t="shared" si="217"/>
        <v>20220906</v>
      </c>
      <c r="M1185" s="1" t="str">
        <f>"122423"</f>
        <v>122423</v>
      </c>
      <c r="N1185" s="1" t="s">
        <v>56</v>
      </c>
      <c r="O1185" s="1" t="s">
        <v>28</v>
      </c>
      <c r="P1185" s="1" t="s">
        <v>55</v>
      </c>
      <c r="Q1185" s="1">
        <v>25</v>
      </c>
      <c r="R1185" s="1">
        <v>25</v>
      </c>
      <c r="S1185" s="1">
        <v>0</v>
      </c>
      <c r="T1185" s="1">
        <v>0</v>
      </c>
      <c r="U1185" s="1">
        <v>0</v>
      </c>
      <c r="V1185" s="1" t="str">
        <f>"里程去程"</f>
        <v>里程去程</v>
      </c>
      <c r="W1185" s="1" t="str">
        <f>"1420"</f>
        <v>1420</v>
      </c>
      <c r="X1185" s="1" t="s">
        <v>35</v>
      </c>
    </row>
    <row r="1186" spans="1:24" x14ac:dyDescent="0.3">
      <c r="A1186" s="1" t="str">
        <f t="shared" si="219"/>
        <v>59829</v>
      </c>
      <c r="B1186" s="1" t="s">
        <v>47</v>
      </c>
      <c r="C1186" s="1" t="s">
        <v>48</v>
      </c>
      <c r="D1186" s="1" t="str">
        <f>"9803"</f>
        <v>9803</v>
      </c>
      <c r="E1186" s="1" t="s">
        <v>32</v>
      </c>
      <c r="F1186" s="1" t="str">
        <f>"1407180929"</f>
        <v>1407180929</v>
      </c>
      <c r="G1186" s="1" t="s">
        <v>38</v>
      </c>
      <c r="H1186" s="1" t="str">
        <f t="shared" si="216"/>
        <v>20220906</v>
      </c>
      <c r="I1186" s="1" t="str">
        <f>"132649"</f>
        <v>132649</v>
      </c>
      <c r="J1186" s="1" t="s">
        <v>28</v>
      </c>
      <c r="K1186" s="1" t="s">
        <v>28</v>
      </c>
      <c r="L1186" s="1" t="str">
        <f t="shared" si="217"/>
        <v>20220906</v>
      </c>
      <c r="M1186" s="1" t="str">
        <f>"134502"</f>
        <v>134502</v>
      </c>
      <c r="N1186" s="1" t="s">
        <v>34</v>
      </c>
      <c r="O1186" s="1" t="s">
        <v>34</v>
      </c>
      <c r="P1186" s="1" t="s">
        <v>55</v>
      </c>
      <c r="Q1186" s="1">
        <v>25</v>
      </c>
      <c r="R1186" s="1">
        <v>25</v>
      </c>
      <c r="S1186" s="1">
        <v>0</v>
      </c>
      <c r="T1186" s="1">
        <v>0</v>
      </c>
      <c r="U1186" s="1">
        <v>0</v>
      </c>
      <c r="V1186" s="1" t="str">
        <f>"里程去程"</f>
        <v>里程去程</v>
      </c>
      <c r="W1186" s="1" t="str">
        <f>"2520"</f>
        <v>2520</v>
      </c>
      <c r="X1186" s="1" t="s">
        <v>35</v>
      </c>
    </row>
    <row r="1187" spans="1:24" x14ac:dyDescent="0.3">
      <c r="A1187" s="1" t="str">
        <f t="shared" si="219"/>
        <v>59829</v>
      </c>
      <c r="B1187" s="1" t="s">
        <v>47</v>
      </c>
      <c r="C1187" s="1" t="s">
        <v>48</v>
      </c>
      <c r="D1187" s="1" t="str">
        <f>"9803"</f>
        <v>9803</v>
      </c>
      <c r="E1187" s="1" t="s">
        <v>32</v>
      </c>
      <c r="F1187" s="1" t="str">
        <f>"1419334801"</f>
        <v>1419334801</v>
      </c>
      <c r="G1187" s="1" t="s">
        <v>33</v>
      </c>
      <c r="H1187" s="1" t="str">
        <f t="shared" si="216"/>
        <v>20220906</v>
      </c>
      <c r="I1187" s="1" t="str">
        <f>"135514"</f>
        <v>135514</v>
      </c>
      <c r="J1187" s="1" t="s">
        <v>34</v>
      </c>
      <c r="K1187" s="1" t="s">
        <v>34</v>
      </c>
      <c r="L1187" s="1" t="str">
        <f t="shared" si="217"/>
        <v>20220906</v>
      </c>
      <c r="M1187" s="1" t="str">
        <f>"142457"</f>
        <v>142457</v>
      </c>
      <c r="N1187" s="1" t="s">
        <v>28</v>
      </c>
      <c r="O1187" s="1" t="s">
        <v>28</v>
      </c>
      <c r="P1187" s="1" t="s">
        <v>55</v>
      </c>
      <c r="Q1187" s="1">
        <v>25</v>
      </c>
      <c r="R1187" s="1">
        <v>25</v>
      </c>
      <c r="S1187" s="1">
        <v>0</v>
      </c>
      <c r="T1187" s="1">
        <v>0</v>
      </c>
      <c r="U1187" s="1">
        <v>0</v>
      </c>
      <c r="V1187" s="1" t="str">
        <f>"里程返程"</f>
        <v>里程返程</v>
      </c>
      <c r="W1187" s="1" t="str">
        <f>"0820"</f>
        <v>0820</v>
      </c>
      <c r="X1187" s="1" t="s">
        <v>35</v>
      </c>
    </row>
    <row r="1188" spans="1:24" x14ac:dyDescent="0.3">
      <c r="A1188" s="1" t="str">
        <f t="shared" si="219"/>
        <v>59829</v>
      </c>
      <c r="B1188" s="1" t="s">
        <v>47</v>
      </c>
      <c r="C1188" s="1" t="s">
        <v>48</v>
      </c>
      <c r="D1188" s="1" t="str">
        <f>"9803"</f>
        <v>9803</v>
      </c>
      <c r="E1188" s="1" t="s">
        <v>32</v>
      </c>
      <c r="F1188" s="1" t="str">
        <f>"947318405"</f>
        <v>947318405</v>
      </c>
      <c r="G1188" s="1" t="s">
        <v>33</v>
      </c>
      <c r="H1188" s="1" t="str">
        <f t="shared" si="216"/>
        <v>20220906</v>
      </c>
      <c r="I1188" s="1" t="str">
        <f>"135521"</f>
        <v>135521</v>
      </c>
      <c r="J1188" s="1" t="s">
        <v>34</v>
      </c>
      <c r="K1188" s="1" t="s">
        <v>34</v>
      </c>
      <c r="L1188" s="1" t="str">
        <f t="shared" si="217"/>
        <v>20220906</v>
      </c>
      <c r="M1188" s="1" t="str">
        <f>"142452"</f>
        <v>142452</v>
      </c>
      <c r="N1188" s="1" t="s">
        <v>28</v>
      </c>
      <c r="O1188" s="1" t="s">
        <v>28</v>
      </c>
      <c r="P1188" s="1" t="s">
        <v>55</v>
      </c>
      <c r="Q1188" s="1">
        <v>25</v>
      </c>
      <c r="R1188" s="1">
        <v>25</v>
      </c>
      <c r="S1188" s="1">
        <v>0</v>
      </c>
      <c r="T1188" s="1">
        <v>0</v>
      </c>
      <c r="U1188" s="1">
        <v>0</v>
      </c>
      <c r="V1188" s="1" t="str">
        <f>"里程返程"</f>
        <v>里程返程</v>
      </c>
      <c r="W1188" s="1" t="str">
        <f>"0820"</f>
        <v>0820</v>
      </c>
      <c r="X1188" s="1" t="s">
        <v>35</v>
      </c>
    </row>
    <row r="1189" spans="1:24" x14ac:dyDescent="0.3">
      <c r="A1189" s="1" t="str">
        <f t="shared" si="219"/>
        <v>59829</v>
      </c>
      <c r="B1189" s="1" t="s">
        <v>47</v>
      </c>
      <c r="C1189" s="1" t="s">
        <v>48</v>
      </c>
      <c r="D1189" s="1" t="str">
        <f>"9803"</f>
        <v>9803</v>
      </c>
      <c r="E1189" s="1" t="s">
        <v>32</v>
      </c>
      <c r="F1189" s="1" t="str">
        <f>"596217041"</f>
        <v>596217041</v>
      </c>
      <c r="G1189" s="1" t="s">
        <v>26</v>
      </c>
      <c r="H1189" s="1" t="str">
        <f t="shared" si="216"/>
        <v>20220906</v>
      </c>
      <c r="I1189" s="1" t="str">
        <f>"135707"</f>
        <v>135707</v>
      </c>
      <c r="J1189" s="1" t="s">
        <v>34</v>
      </c>
      <c r="K1189" s="1" t="s">
        <v>34</v>
      </c>
      <c r="L1189" s="1" t="str">
        <f t="shared" si="217"/>
        <v>20220906</v>
      </c>
      <c r="M1189" s="1" t="str">
        <f>"142436"</f>
        <v>142436</v>
      </c>
      <c r="N1189" s="1" t="s">
        <v>28</v>
      </c>
      <c r="O1189" s="1" t="s">
        <v>28</v>
      </c>
      <c r="P1189" s="1" t="s">
        <v>55</v>
      </c>
      <c r="Q1189" s="1">
        <v>13</v>
      </c>
      <c r="R1189" s="1">
        <v>13</v>
      </c>
      <c r="S1189" s="1">
        <v>0</v>
      </c>
      <c r="T1189" s="1">
        <v>0</v>
      </c>
      <c r="U1189" s="1">
        <v>0</v>
      </c>
      <c r="V1189" s="1" t="str">
        <f>"里程返程"</f>
        <v>里程返程</v>
      </c>
      <c r="W1189" s="1" t="str">
        <f>"2020"</f>
        <v>2020</v>
      </c>
      <c r="X1189" s="1" t="s">
        <v>35</v>
      </c>
    </row>
    <row r="1190" spans="1:24" x14ac:dyDescent="0.3">
      <c r="A1190" s="1" t="str">
        <f t="shared" si="219"/>
        <v>59829</v>
      </c>
      <c r="B1190" s="1" t="s">
        <v>47</v>
      </c>
      <c r="C1190" s="1" t="s">
        <v>48</v>
      </c>
      <c r="D1190" s="1" t="str">
        <f>"9803"</f>
        <v>9803</v>
      </c>
      <c r="E1190" s="1" t="s">
        <v>32</v>
      </c>
      <c r="F1190" s="1" t="str">
        <f>"1625336517"</f>
        <v>1625336517</v>
      </c>
      <c r="G1190" s="1" t="s">
        <v>26</v>
      </c>
      <c r="H1190" s="1" t="str">
        <f t="shared" si="216"/>
        <v>20220906</v>
      </c>
      <c r="I1190" s="1" t="str">
        <f>"135709"</f>
        <v>135709</v>
      </c>
      <c r="J1190" s="1" t="s">
        <v>34</v>
      </c>
      <c r="K1190" s="1" t="s">
        <v>34</v>
      </c>
      <c r="L1190" s="1" t="str">
        <f t="shared" si="217"/>
        <v>20220906</v>
      </c>
      <c r="M1190" s="1" t="str">
        <f>"142448"</f>
        <v>142448</v>
      </c>
      <c r="N1190" s="1" t="s">
        <v>28</v>
      </c>
      <c r="O1190" s="1" t="s">
        <v>28</v>
      </c>
      <c r="P1190" s="1" t="s">
        <v>55</v>
      </c>
      <c r="Q1190" s="1">
        <v>13</v>
      </c>
      <c r="R1190" s="1">
        <v>13</v>
      </c>
      <c r="S1190" s="1">
        <v>0</v>
      </c>
      <c r="T1190" s="1">
        <v>0</v>
      </c>
      <c r="U1190" s="1">
        <v>0</v>
      </c>
      <c r="V1190" s="1" t="str">
        <f>"里程返程"</f>
        <v>里程返程</v>
      </c>
      <c r="W1190" s="1" t="str">
        <f>"2020"</f>
        <v>2020</v>
      </c>
      <c r="X1190" s="1" t="s">
        <v>35</v>
      </c>
    </row>
    <row r="1191" spans="1:24" x14ac:dyDescent="0.3">
      <c r="A1191" s="1" t="str">
        <f t="shared" si="219"/>
        <v>59829</v>
      </c>
      <c r="B1191" s="1" t="s">
        <v>47</v>
      </c>
      <c r="C1191" s="1" t="s">
        <v>48</v>
      </c>
      <c r="D1191" s="1" t="str">
        <f>"9805"</f>
        <v>9805</v>
      </c>
      <c r="E1191" s="1" t="s">
        <v>57</v>
      </c>
      <c r="F1191" s="1" t="str">
        <f>"422979313"</f>
        <v>422979313</v>
      </c>
      <c r="G1191" s="1" t="s">
        <v>33</v>
      </c>
      <c r="H1191" s="1" t="str">
        <f t="shared" si="216"/>
        <v>20220906</v>
      </c>
      <c r="I1191" s="1" t="str">
        <f>"151545"</f>
        <v>151545</v>
      </c>
      <c r="J1191" s="1" t="s">
        <v>28</v>
      </c>
      <c r="K1191" s="1" t="s">
        <v>28</v>
      </c>
      <c r="L1191" s="1" t="str">
        <f t="shared" si="217"/>
        <v>20220906</v>
      </c>
      <c r="M1191" s="1" t="str">
        <f>"153825"</f>
        <v>153825</v>
      </c>
      <c r="N1191" s="1" t="s">
        <v>52</v>
      </c>
      <c r="O1191" s="1" t="s">
        <v>52</v>
      </c>
      <c r="P1191" s="1" t="s">
        <v>55</v>
      </c>
      <c r="Q1191" s="1">
        <v>25</v>
      </c>
      <c r="R1191" s="1">
        <v>0</v>
      </c>
      <c r="S1191" s="1">
        <v>25</v>
      </c>
      <c r="T1191" s="1">
        <v>0</v>
      </c>
      <c r="U1191" s="1">
        <v>0</v>
      </c>
      <c r="V1191" s="1" t="str">
        <f>"里程去程"</f>
        <v>里程去程</v>
      </c>
      <c r="W1191" s="1" t="str">
        <f>"2120"</f>
        <v>2120</v>
      </c>
      <c r="X1191" s="1" t="s">
        <v>35</v>
      </c>
    </row>
    <row r="1192" spans="1:24" x14ac:dyDescent="0.3">
      <c r="A1192" s="1" t="str">
        <f t="shared" si="219"/>
        <v>59829</v>
      </c>
      <c r="B1192" s="1" t="s">
        <v>47</v>
      </c>
      <c r="C1192" s="1" t="s">
        <v>48</v>
      </c>
      <c r="D1192" s="1" t="str">
        <f>"9805"</f>
        <v>9805</v>
      </c>
      <c r="E1192" s="1" t="s">
        <v>57</v>
      </c>
      <c r="F1192" s="1" t="str">
        <f>"3182846155"</f>
        <v>3182846155</v>
      </c>
      <c r="G1192" s="1" t="s">
        <v>74</v>
      </c>
      <c r="H1192" s="1" t="str">
        <f t="shared" si="216"/>
        <v>20220906</v>
      </c>
      <c r="I1192" s="1" t="str">
        <f>"151552"</f>
        <v>151552</v>
      </c>
      <c r="J1192" s="1" t="s">
        <v>28</v>
      </c>
      <c r="K1192" s="1" t="s">
        <v>28</v>
      </c>
      <c r="L1192" s="1" t="str">
        <f t="shared" si="217"/>
        <v>20220906</v>
      </c>
      <c r="M1192" s="1" t="str">
        <f>"153548"</f>
        <v>153548</v>
      </c>
      <c r="N1192" s="1" t="s">
        <v>62</v>
      </c>
      <c r="O1192" s="1" t="s">
        <v>28</v>
      </c>
      <c r="P1192" s="1" t="s">
        <v>55</v>
      </c>
      <c r="Q1192" s="1">
        <v>13</v>
      </c>
      <c r="R1192" s="1">
        <v>0</v>
      </c>
      <c r="S1192" s="1">
        <v>13</v>
      </c>
      <c r="T1192" s="1">
        <v>0</v>
      </c>
      <c r="U1192" s="1">
        <v>0</v>
      </c>
      <c r="V1192" s="1" t="str">
        <f>"里程去程"</f>
        <v>里程去程</v>
      </c>
      <c r="W1192" s="1" t="str">
        <f>"0820"</f>
        <v>0820</v>
      </c>
      <c r="X1192" s="1" t="s">
        <v>35</v>
      </c>
    </row>
    <row r="1193" spans="1:24" x14ac:dyDescent="0.3">
      <c r="A1193" s="1" t="str">
        <f t="shared" si="219"/>
        <v>59829</v>
      </c>
      <c r="B1193" s="1" t="s">
        <v>47</v>
      </c>
      <c r="C1193" s="1" t="s">
        <v>48</v>
      </c>
      <c r="D1193" s="1" t="str">
        <f>"9805"</f>
        <v>9805</v>
      </c>
      <c r="E1193" s="1" t="s">
        <v>57</v>
      </c>
      <c r="F1193" s="1" t="str">
        <f>"1262572842"</f>
        <v>1262572842</v>
      </c>
      <c r="G1193" s="1" t="s">
        <v>102</v>
      </c>
      <c r="H1193" s="1" t="str">
        <f t="shared" si="216"/>
        <v>20220906</v>
      </c>
      <c r="I1193" s="1" t="str">
        <f>"151555"</f>
        <v>151555</v>
      </c>
      <c r="J1193" s="1" t="s">
        <v>28</v>
      </c>
      <c r="K1193" s="1" t="s">
        <v>28</v>
      </c>
      <c r="L1193" s="1" t="str">
        <f t="shared" si="217"/>
        <v>20220906</v>
      </c>
      <c r="M1193" s="1" t="str">
        <f>"153551"</f>
        <v>153551</v>
      </c>
      <c r="N1193" s="1" t="s">
        <v>62</v>
      </c>
      <c r="O1193" s="1" t="s">
        <v>28</v>
      </c>
      <c r="P1193" s="1" t="s">
        <v>55</v>
      </c>
      <c r="Q1193" s="1">
        <v>13</v>
      </c>
      <c r="R1193" s="1">
        <v>0</v>
      </c>
      <c r="S1193" s="1">
        <v>13</v>
      </c>
      <c r="T1193" s="1">
        <v>0</v>
      </c>
      <c r="U1193" s="1">
        <v>0</v>
      </c>
      <c r="V1193" s="1" t="str">
        <f>"里程去程"</f>
        <v>里程去程</v>
      </c>
      <c r="W1193" s="1" t="str">
        <f>"0820"</f>
        <v>0820</v>
      </c>
      <c r="X1193" s="1" t="s">
        <v>35</v>
      </c>
    </row>
    <row r="1194" spans="1:24" x14ac:dyDescent="0.3">
      <c r="A1194" s="1" t="str">
        <f t="shared" si="219"/>
        <v>59829</v>
      </c>
      <c r="B1194" s="1" t="s">
        <v>47</v>
      </c>
      <c r="C1194" s="1" t="s">
        <v>48</v>
      </c>
      <c r="D1194" s="1" t="str">
        <f>"9805"</f>
        <v>9805</v>
      </c>
      <c r="E1194" s="1" t="s">
        <v>57</v>
      </c>
      <c r="F1194" s="1" t="str">
        <f>"1737283381"</f>
        <v>1737283381</v>
      </c>
      <c r="G1194" s="1" t="s">
        <v>33</v>
      </c>
      <c r="H1194" s="1" t="str">
        <f t="shared" si="216"/>
        <v>20220906</v>
      </c>
      <c r="I1194" s="1" t="str">
        <f>"151558"</f>
        <v>151558</v>
      </c>
      <c r="J1194" s="1" t="s">
        <v>28</v>
      </c>
      <c r="K1194" s="1" t="s">
        <v>28</v>
      </c>
      <c r="L1194" s="1" t="str">
        <f t="shared" si="217"/>
        <v>20220906</v>
      </c>
      <c r="M1194" s="1" t="str">
        <f>"153553"</f>
        <v>153553</v>
      </c>
      <c r="N1194" s="1" t="s">
        <v>62</v>
      </c>
      <c r="O1194" s="1" t="s">
        <v>28</v>
      </c>
      <c r="P1194" s="1" t="s">
        <v>55</v>
      </c>
      <c r="Q1194" s="1">
        <v>25</v>
      </c>
      <c r="R1194" s="1">
        <v>25</v>
      </c>
      <c r="S1194" s="1">
        <v>0</v>
      </c>
      <c r="T1194" s="1">
        <v>0</v>
      </c>
      <c r="U1194" s="1">
        <v>0</v>
      </c>
      <c r="V1194" s="1" t="str">
        <f>"里程去程"</f>
        <v>里程去程</v>
      </c>
      <c r="W1194" s="1" t="str">
        <f>"0820"</f>
        <v>0820</v>
      </c>
      <c r="X1194" s="1" t="s">
        <v>35</v>
      </c>
    </row>
    <row r="1195" spans="1:24" x14ac:dyDescent="0.3">
      <c r="A1195" s="1" t="str">
        <f t="shared" ref="A1195:A1236" si="222">"59809"</f>
        <v>59809</v>
      </c>
      <c r="B1195" s="1" t="s">
        <v>42</v>
      </c>
      <c r="C1195" s="1" t="s">
        <v>43</v>
      </c>
      <c r="D1195" s="1" t="str">
        <f t="shared" ref="D1195:D1226" si="223">"9801"</f>
        <v>9801</v>
      </c>
      <c r="E1195" s="1" t="s">
        <v>25</v>
      </c>
      <c r="F1195" s="1" t="str">
        <f>"E130C75F492804001C00000000000000"</f>
        <v>E130C75F492804001C00000000000000</v>
      </c>
      <c r="G1195" s="1" t="s">
        <v>58</v>
      </c>
      <c r="H1195" s="1" t="str">
        <f t="shared" ref="H1195:H1258" si="224">"20220907"</f>
        <v>20220907</v>
      </c>
      <c r="I1195" s="1" t="str">
        <f>"061253"</f>
        <v>061253</v>
      </c>
      <c r="J1195" s="1" t="s">
        <v>79</v>
      </c>
      <c r="K1195" s="1" t="s">
        <v>45</v>
      </c>
      <c r="L1195" s="1" t="str">
        <f t="shared" ref="L1195:L1226" si="225">"20220907"</f>
        <v>20220907</v>
      </c>
      <c r="M1195" s="1" t="str">
        <f>"062100"</f>
        <v>062100</v>
      </c>
      <c r="N1195" s="1" t="s">
        <v>28</v>
      </c>
      <c r="O1195" s="1" t="s">
        <v>28</v>
      </c>
      <c r="P1195" s="1" t="s">
        <v>55</v>
      </c>
      <c r="Q1195" s="1">
        <v>25</v>
      </c>
      <c r="R1195" s="1">
        <v>25</v>
      </c>
      <c r="S1195" s="1">
        <v>0</v>
      </c>
      <c r="T1195" s="1">
        <v>0</v>
      </c>
      <c r="U1195" s="1">
        <v>0</v>
      </c>
      <c r="V1195" s="1" t="str">
        <f t="shared" ref="V1195:V1210" si="226">"里程返程"</f>
        <v>里程返程</v>
      </c>
      <c r="W1195" s="1" t="str">
        <f>"0020"</f>
        <v>0020</v>
      </c>
      <c r="X1195" s="1" t="s">
        <v>29</v>
      </c>
    </row>
    <row r="1196" spans="1:24" x14ac:dyDescent="0.3">
      <c r="A1196" s="1" t="str">
        <f t="shared" si="222"/>
        <v>59809</v>
      </c>
      <c r="B1196" s="1" t="s">
        <v>42</v>
      </c>
      <c r="C1196" s="1" t="s">
        <v>43</v>
      </c>
      <c r="D1196" s="1" t="str">
        <f t="shared" si="223"/>
        <v>9801</v>
      </c>
      <c r="E1196" s="1" t="s">
        <v>25</v>
      </c>
      <c r="F1196" s="1" t="str">
        <f>"1752749445"</f>
        <v>1752749445</v>
      </c>
      <c r="G1196" s="1" t="s">
        <v>33</v>
      </c>
      <c r="H1196" s="1" t="str">
        <f t="shared" si="224"/>
        <v>20220907</v>
      </c>
      <c r="I1196" s="1" t="str">
        <f>"062914"</f>
        <v>062914</v>
      </c>
      <c r="J1196" s="1" t="s">
        <v>28</v>
      </c>
      <c r="K1196" s="1" t="s">
        <v>28</v>
      </c>
      <c r="L1196" s="1" t="str">
        <f t="shared" si="225"/>
        <v>20220907</v>
      </c>
      <c r="M1196" s="1" t="str">
        <f>"065407"</f>
        <v>065407</v>
      </c>
      <c r="N1196" s="1" t="s">
        <v>72</v>
      </c>
      <c r="O1196" s="1" t="s">
        <v>52</v>
      </c>
      <c r="P1196" s="1" t="s">
        <v>55</v>
      </c>
      <c r="Q1196" s="1">
        <v>25</v>
      </c>
      <c r="R1196" s="1">
        <v>0</v>
      </c>
      <c r="S1196" s="1">
        <v>25</v>
      </c>
      <c r="T1196" s="1">
        <v>0</v>
      </c>
      <c r="U1196" s="1">
        <v>0</v>
      </c>
      <c r="V1196" s="1" t="str">
        <f t="shared" si="226"/>
        <v>里程返程</v>
      </c>
      <c r="W1196" s="1" t="str">
        <f>"0820"</f>
        <v>0820</v>
      </c>
      <c r="X1196" s="1" t="s">
        <v>35</v>
      </c>
    </row>
    <row r="1197" spans="1:24" x14ac:dyDescent="0.3">
      <c r="A1197" s="1" t="str">
        <f t="shared" si="222"/>
        <v>59809</v>
      </c>
      <c r="B1197" s="1" t="s">
        <v>42</v>
      </c>
      <c r="C1197" s="1" t="s">
        <v>43</v>
      </c>
      <c r="D1197" s="1" t="str">
        <f t="shared" si="223"/>
        <v>9801</v>
      </c>
      <c r="E1197" s="1" t="s">
        <v>25</v>
      </c>
      <c r="F1197" s="1" t="str">
        <f>"619F1761882804001C00000000000000"</f>
        <v>619F1761882804001C00000000000000</v>
      </c>
      <c r="G1197" s="1" t="s">
        <v>58</v>
      </c>
      <c r="H1197" s="1" t="str">
        <f t="shared" si="224"/>
        <v>20220907</v>
      </c>
      <c r="I1197" s="1" t="str">
        <f>"062916"</f>
        <v>062916</v>
      </c>
      <c r="J1197" s="1" t="s">
        <v>28</v>
      </c>
      <c r="K1197" s="1" t="s">
        <v>28</v>
      </c>
      <c r="L1197" s="1" t="str">
        <f t="shared" si="225"/>
        <v>20220907</v>
      </c>
      <c r="M1197" s="1" t="str">
        <f>"065353"</f>
        <v>065353</v>
      </c>
      <c r="N1197" s="1" t="s">
        <v>65</v>
      </c>
      <c r="O1197" s="1" t="s">
        <v>52</v>
      </c>
      <c r="P1197" s="1" t="s">
        <v>55</v>
      </c>
      <c r="Q1197" s="1">
        <v>25</v>
      </c>
      <c r="R1197" s="1">
        <v>0</v>
      </c>
      <c r="S1197" s="1">
        <v>25</v>
      </c>
      <c r="T1197" s="1">
        <v>0</v>
      </c>
      <c r="U1197" s="1">
        <v>0</v>
      </c>
      <c r="V1197" s="1" t="str">
        <f t="shared" si="226"/>
        <v>里程返程</v>
      </c>
      <c r="W1197" s="1" t="str">
        <f>"0620"</f>
        <v>0620</v>
      </c>
      <c r="X1197" s="1" t="s">
        <v>29</v>
      </c>
    </row>
    <row r="1198" spans="1:24" x14ac:dyDescent="0.3">
      <c r="A1198" s="1" t="str">
        <f t="shared" si="222"/>
        <v>59809</v>
      </c>
      <c r="B1198" s="1" t="s">
        <v>42</v>
      </c>
      <c r="C1198" s="1" t="s">
        <v>43</v>
      </c>
      <c r="D1198" s="1" t="str">
        <f t="shared" si="223"/>
        <v>9801</v>
      </c>
      <c r="E1198" s="1" t="s">
        <v>25</v>
      </c>
      <c r="F1198" s="1" t="str">
        <f>"E27D1D0381880400C834002000000015"</f>
        <v>E27D1D0381880400C834002000000015</v>
      </c>
      <c r="G1198" s="1" t="s">
        <v>26</v>
      </c>
      <c r="H1198" s="1" t="str">
        <f t="shared" si="224"/>
        <v>20220907</v>
      </c>
      <c r="I1198" s="1" t="str">
        <f>"062926"</f>
        <v>062926</v>
      </c>
      <c r="J1198" s="1" t="s">
        <v>28</v>
      </c>
      <c r="K1198" s="1" t="s">
        <v>28</v>
      </c>
      <c r="L1198" s="1" t="str">
        <f t="shared" si="225"/>
        <v>20220907</v>
      </c>
      <c r="M1198" s="1" t="str">
        <f>"065302"</f>
        <v>065302</v>
      </c>
      <c r="N1198" s="1" t="s">
        <v>65</v>
      </c>
      <c r="O1198" s="1" t="s">
        <v>52</v>
      </c>
      <c r="P1198" s="1" t="s">
        <v>68</v>
      </c>
      <c r="Q1198" s="1">
        <v>13</v>
      </c>
      <c r="R1198" s="1">
        <v>0</v>
      </c>
      <c r="S1198" s="1">
        <v>0</v>
      </c>
      <c r="T1198" s="1">
        <v>13</v>
      </c>
      <c r="U1198" s="1">
        <v>0</v>
      </c>
      <c r="V1198" s="1" t="str">
        <f t="shared" si="226"/>
        <v>里程返程</v>
      </c>
      <c r="W1198" s="1" t="str">
        <f>"0020"</f>
        <v>0020</v>
      </c>
      <c r="X1198" s="1" t="s">
        <v>29</v>
      </c>
    </row>
    <row r="1199" spans="1:24" x14ac:dyDescent="0.3">
      <c r="A1199" s="1" t="str">
        <f t="shared" si="222"/>
        <v>59809</v>
      </c>
      <c r="B1199" s="1" t="s">
        <v>42</v>
      </c>
      <c r="C1199" s="1" t="s">
        <v>43</v>
      </c>
      <c r="D1199" s="1" t="str">
        <f t="shared" si="223"/>
        <v>9801</v>
      </c>
      <c r="E1199" s="1" t="s">
        <v>25</v>
      </c>
      <c r="F1199" s="1" t="str">
        <f>"026A101860880400C814002000000019"</f>
        <v>026A101860880400C814002000000019</v>
      </c>
      <c r="G1199" s="1" t="s">
        <v>59</v>
      </c>
      <c r="H1199" s="1" t="str">
        <f t="shared" si="224"/>
        <v>20220907</v>
      </c>
      <c r="I1199" s="1" t="str">
        <f>"063245"</f>
        <v>063245</v>
      </c>
      <c r="J1199" s="1" t="s">
        <v>28</v>
      </c>
      <c r="K1199" s="1" t="s">
        <v>28</v>
      </c>
      <c r="L1199" s="1" t="str">
        <f t="shared" si="225"/>
        <v>20220907</v>
      </c>
      <c r="M1199" s="1" t="str">
        <f>"065457"</f>
        <v>065457</v>
      </c>
      <c r="N1199" s="1" t="s">
        <v>71</v>
      </c>
      <c r="O1199" s="1" t="s">
        <v>52</v>
      </c>
      <c r="P1199" s="1" t="s">
        <v>55</v>
      </c>
      <c r="Q1199" s="1">
        <v>25</v>
      </c>
      <c r="R1199" s="1">
        <v>0</v>
      </c>
      <c r="S1199" s="1">
        <v>25</v>
      </c>
      <c r="T1199" s="1">
        <v>0</v>
      </c>
      <c r="U1199" s="1">
        <v>0</v>
      </c>
      <c r="V1199" s="1" t="str">
        <f t="shared" si="226"/>
        <v>里程返程</v>
      </c>
      <c r="W1199" s="1" t="str">
        <f>"0620"</f>
        <v>0620</v>
      </c>
      <c r="X1199" s="1" t="s">
        <v>29</v>
      </c>
    </row>
    <row r="1200" spans="1:24" x14ac:dyDescent="0.3">
      <c r="A1200" s="1" t="str">
        <f t="shared" si="222"/>
        <v>59809</v>
      </c>
      <c r="B1200" s="1" t="s">
        <v>42</v>
      </c>
      <c r="C1200" s="1" t="s">
        <v>43</v>
      </c>
      <c r="D1200" s="1" t="str">
        <f t="shared" si="223"/>
        <v>9801</v>
      </c>
      <c r="E1200" s="1" t="s">
        <v>25</v>
      </c>
      <c r="F1200" s="1" t="str">
        <f>"D2EDC500FA880400C801002000000015"</f>
        <v>D2EDC500FA880400C801002000000015</v>
      </c>
      <c r="G1200" s="1" t="s">
        <v>58</v>
      </c>
      <c r="H1200" s="1" t="str">
        <f t="shared" si="224"/>
        <v>20220907</v>
      </c>
      <c r="I1200" s="1" t="str">
        <f>"063559"</f>
        <v>063559</v>
      </c>
      <c r="J1200" s="1" t="s">
        <v>28</v>
      </c>
      <c r="K1200" s="1" t="s">
        <v>28</v>
      </c>
      <c r="L1200" s="1" t="str">
        <f t="shared" si="225"/>
        <v>20220907</v>
      </c>
      <c r="M1200" s="1" t="str">
        <f>"070053"</f>
        <v>070053</v>
      </c>
      <c r="N1200" s="1" t="s">
        <v>52</v>
      </c>
      <c r="O1200" s="1" t="s">
        <v>52</v>
      </c>
      <c r="P1200" s="1" t="s">
        <v>55</v>
      </c>
      <c r="Q1200" s="1">
        <v>25</v>
      </c>
      <c r="R1200" s="1">
        <v>25</v>
      </c>
      <c r="S1200" s="1">
        <v>0</v>
      </c>
      <c r="T1200" s="1">
        <v>0</v>
      </c>
      <c r="U1200" s="1">
        <v>0</v>
      </c>
      <c r="V1200" s="1" t="str">
        <f t="shared" si="226"/>
        <v>里程返程</v>
      </c>
      <c r="W1200" s="1" t="str">
        <f>"0020"</f>
        <v>0020</v>
      </c>
      <c r="X1200" s="1" t="s">
        <v>29</v>
      </c>
    </row>
    <row r="1201" spans="1:24" x14ac:dyDescent="0.3">
      <c r="A1201" s="1" t="str">
        <f t="shared" si="222"/>
        <v>59809</v>
      </c>
      <c r="B1201" s="1" t="s">
        <v>42</v>
      </c>
      <c r="C1201" s="1" t="s">
        <v>43</v>
      </c>
      <c r="D1201" s="1" t="str">
        <f t="shared" si="223"/>
        <v>9801</v>
      </c>
      <c r="E1201" s="1" t="s">
        <v>25</v>
      </c>
      <c r="F1201" s="1" t="str">
        <f>"1620340437"</f>
        <v>1620340437</v>
      </c>
      <c r="G1201" s="1" t="s">
        <v>26</v>
      </c>
      <c r="H1201" s="1" t="str">
        <f t="shared" si="224"/>
        <v>20220907</v>
      </c>
      <c r="I1201" s="1" t="str">
        <f>"070130"</f>
        <v>070130</v>
      </c>
      <c r="J1201" s="1" t="s">
        <v>44</v>
      </c>
      <c r="K1201" s="1" t="s">
        <v>45</v>
      </c>
      <c r="L1201" s="1" t="str">
        <f t="shared" si="225"/>
        <v>20220907</v>
      </c>
      <c r="M1201" s="1" t="str">
        <f>"072136"</f>
        <v>072136</v>
      </c>
      <c r="N1201" s="1" t="s">
        <v>28</v>
      </c>
      <c r="O1201" s="1" t="s">
        <v>28</v>
      </c>
      <c r="P1201" s="1" t="s">
        <v>55</v>
      </c>
      <c r="Q1201" s="1">
        <v>13</v>
      </c>
      <c r="R1201" s="1">
        <v>13</v>
      </c>
      <c r="S1201" s="1">
        <v>0</v>
      </c>
      <c r="T1201" s="1">
        <v>0</v>
      </c>
      <c r="U1201" s="1">
        <v>0</v>
      </c>
      <c r="V1201" s="1" t="str">
        <f t="shared" si="226"/>
        <v>里程返程</v>
      </c>
      <c r="W1201" s="1" t="str">
        <f>"2120"</f>
        <v>2120</v>
      </c>
      <c r="X1201" s="1" t="s">
        <v>35</v>
      </c>
    </row>
    <row r="1202" spans="1:24" x14ac:dyDescent="0.3">
      <c r="A1202" s="1" t="str">
        <f t="shared" si="222"/>
        <v>59809</v>
      </c>
      <c r="B1202" s="1" t="s">
        <v>42</v>
      </c>
      <c r="C1202" s="1" t="s">
        <v>43</v>
      </c>
      <c r="D1202" s="1" t="str">
        <f t="shared" si="223"/>
        <v>9801</v>
      </c>
      <c r="E1202" s="1" t="s">
        <v>25</v>
      </c>
      <c r="F1202" s="1" t="str">
        <f>"679685533"</f>
        <v>679685533</v>
      </c>
      <c r="G1202" s="1" t="s">
        <v>26</v>
      </c>
      <c r="H1202" s="1" t="str">
        <f t="shared" si="224"/>
        <v>20220907</v>
      </c>
      <c r="I1202" s="1" t="str">
        <f>"070132"</f>
        <v>070132</v>
      </c>
      <c r="J1202" s="1" t="s">
        <v>44</v>
      </c>
      <c r="K1202" s="1" t="s">
        <v>45</v>
      </c>
      <c r="L1202" s="1" t="str">
        <f t="shared" si="225"/>
        <v>20220907</v>
      </c>
      <c r="M1202" s="1" t="str">
        <f>"072144"</f>
        <v>072144</v>
      </c>
      <c r="N1202" s="1" t="s">
        <v>28</v>
      </c>
      <c r="O1202" s="1" t="s">
        <v>28</v>
      </c>
      <c r="P1202" s="1" t="s">
        <v>55</v>
      </c>
      <c r="Q1202" s="1">
        <v>13</v>
      </c>
      <c r="R1202" s="1">
        <v>13</v>
      </c>
      <c r="S1202" s="1">
        <v>0</v>
      </c>
      <c r="T1202" s="1">
        <v>0</v>
      </c>
      <c r="U1202" s="1">
        <v>0</v>
      </c>
      <c r="V1202" s="1" t="str">
        <f t="shared" si="226"/>
        <v>里程返程</v>
      </c>
      <c r="W1202" s="1" t="str">
        <f>"2120"</f>
        <v>2120</v>
      </c>
      <c r="X1202" s="1" t="s">
        <v>35</v>
      </c>
    </row>
    <row r="1203" spans="1:24" x14ac:dyDescent="0.3">
      <c r="A1203" s="1" t="str">
        <f t="shared" si="222"/>
        <v>59809</v>
      </c>
      <c r="B1203" s="1" t="s">
        <v>42</v>
      </c>
      <c r="C1203" s="1" t="s">
        <v>43</v>
      </c>
      <c r="D1203" s="1" t="str">
        <f t="shared" si="223"/>
        <v>9801</v>
      </c>
      <c r="E1203" s="1" t="s">
        <v>25</v>
      </c>
      <c r="F1203" s="1" t="str">
        <f>"313390593"</f>
        <v>313390593</v>
      </c>
      <c r="G1203" s="1" t="s">
        <v>33</v>
      </c>
      <c r="H1203" s="1" t="str">
        <f t="shared" si="224"/>
        <v>20220907</v>
      </c>
      <c r="I1203" s="1" t="str">
        <f>"070137"</f>
        <v>070137</v>
      </c>
      <c r="J1203" s="1" t="s">
        <v>44</v>
      </c>
      <c r="K1203" s="1" t="s">
        <v>45</v>
      </c>
      <c r="L1203" s="1" t="str">
        <f t="shared" si="225"/>
        <v>20220907</v>
      </c>
      <c r="M1203" s="1" t="str">
        <f>"072147"</f>
        <v>072147</v>
      </c>
      <c r="N1203" s="1" t="s">
        <v>28</v>
      </c>
      <c r="O1203" s="1" t="s">
        <v>28</v>
      </c>
      <c r="P1203" s="1" t="s">
        <v>55</v>
      </c>
      <c r="Q1203" s="1">
        <v>25</v>
      </c>
      <c r="R1203" s="1">
        <v>25</v>
      </c>
      <c r="S1203" s="1">
        <v>0</v>
      </c>
      <c r="T1203" s="1">
        <v>0</v>
      </c>
      <c r="U1203" s="1">
        <v>0</v>
      </c>
      <c r="V1203" s="1" t="str">
        <f t="shared" si="226"/>
        <v>里程返程</v>
      </c>
      <c r="W1203" s="1" t="str">
        <f>"2120"</f>
        <v>2120</v>
      </c>
      <c r="X1203" s="1" t="s">
        <v>35</v>
      </c>
    </row>
    <row r="1204" spans="1:24" x14ac:dyDescent="0.3">
      <c r="A1204" s="1" t="str">
        <f t="shared" si="222"/>
        <v>59809</v>
      </c>
      <c r="B1204" s="1" t="s">
        <v>42</v>
      </c>
      <c r="C1204" s="1" t="s">
        <v>43</v>
      </c>
      <c r="D1204" s="1" t="str">
        <f t="shared" si="223"/>
        <v>9801</v>
      </c>
      <c r="E1204" s="1" t="s">
        <v>25</v>
      </c>
      <c r="F1204" s="1" t="str">
        <f>"D257BD023A880400C834002000000015"</f>
        <v>D257BD023A880400C834002000000015</v>
      </c>
      <c r="G1204" s="1" t="s">
        <v>74</v>
      </c>
      <c r="H1204" s="1" t="str">
        <f t="shared" si="224"/>
        <v>20220907</v>
      </c>
      <c r="I1204" s="1" t="str">
        <f>"072153"</f>
        <v>072153</v>
      </c>
      <c r="J1204" s="1" t="s">
        <v>28</v>
      </c>
      <c r="K1204" s="1" t="s">
        <v>28</v>
      </c>
      <c r="L1204" s="1" t="str">
        <f t="shared" si="225"/>
        <v>20220907</v>
      </c>
      <c r="M1204" s="1" t="str">
        <f>"073145"</f>
        <v>073145</v>
      </c>
      <c r="N1204" s="1" t="s">
        <v>67</v>
      </c>
      <c r="O1204" s="1" t="s">
        <v>52</v>
      </c>
      <c r="P1204" s="1" t="s">
        <v>68</v>
      </c>
      <c r="Q1204" s="1">
        <v>13</v>
      </c>
      <c r="R1204" s="1">
        <v>0</v>
      </c>
      <c r="S1204" s="1">
        <v>0</v>
      </c>
      <c r="T1204" s="1">
        <v>13</v>
      </c>
      <c r="U1204" s="1">
        <v>0</v>
      </c>
      <c r="V1204" s="1" t="str">
        <f t="shared" si="226"/>
        <v>里程返程</v>
      </c>
      <c r="W1204" s="1" t="str">
        <f>"0020"</f>
        <v>0020</v>
      </c>
      <c r="X1204" s="1" t="s">
        <v>29</v>
      </c>
    </row>
    <row r="1205" spans="1:24" x14ac:dyDescent="0.3">
      <c r="A1205" s="1" t="str">
        <f t="shared" si="222"/>
        <v>59809</v>
      </c>
      <c r="B1205" s="1" t="s">
        <v>42</v>
      </c>
      <c r="C1205" s="1" t="s">
        <v>43</v>
      </c>
      <c r="D1205" s="1" t="str">
        <f t="shared" si="223"/>
        <v>9801</v>
      </c>
      <c r="E1205" s="1" t="s">
        <v>25</v>
      </c>
      <c r="F1205" s="1" t="str">
        <f>"F282E40195880400C821002000000015"</f>
        <v>F282E40195880400C821002000000015</v>
      </c>
      <c r="G1205" s="1" t="s">
        <v>58</v>
      </c>
      <c r="H1205" s="1" t="str">
        <f t="shared" si="224"/>
        <v>20220907</v>
      </c>
      <c r="I1205" s="1" t="str">
        <f>"072156"</f>
        <v>072156</v>
      </c>
      <c r="J1205" s="1" t="s">
        <v>28</v>
      </c>
      <c r="K1205" s="1" t="s">
        <v>28</v>
      </c>
      <c r="L1205" s="1" t="str">
        <f t="shared" si="225"/>
        <v>20220907</v>
      </c>
      <c r="M1205" s="1" t="str">
        <f>"074509"</f>
        <v>074509</v>
      </c>
      <c r="N1205" s="1" t="s">
        <v>65</v>
      </c>
      <c r="O1205" s="1" t="s">
        <v>52</v>
      </c>
      <c r="P1205" s="1" t="s">
        <v>55</v>
      </c>
      <c r="Q1205" s="1">
        <v>25</v>
      </c>
      <c r="R1205" s="1">
        <v>0</v>
      </c>
      <c r="S1205" s="1">
        <v>25</v>
      </c>
      <c r="T1205" s="1">
        <v>0</v>
      </c>
      <c r="U1205" s="1">
        <v>0</v>
      </c>
      <c r="V1205" s="1" t="str">
        <f t="shared" si="226"/>
        <v>里程返程</v>
      </c>
      <c r="W1205" s="1" t="str">
        <f>"0620"</f>
        <v>0620</v>
      </c>
      <c r="X1205" s="1" t="s">
        <v>29</v>
      </c>
    </row>
    <row r="1206" spans="1:24" x14ac:dyDescent="0.3">
      <c r="A1206" s="1" t="str">
        <f t="shared" si="222"/>
        <v>59809</v>
      </c>
      <c r="B1206" s="1" t="s">
        <v>42</v>
      </c>
      <c r="C1206" s="1" t="s">
        <v>43</v>
      </c>
      <c r="D1206" s="1" t="str">
        <f t="shared" si="223"/>
        <v>9801</v>
      </c>
      <c r="E1206" s="1" t="s">
        <v>25</v>
      </c>
      <c r="F1206" s="1" t="str">
        <f>"82730F18E6880400C814002000000019"</f>
        <v>82730F18E6880400C814002000000019</v>
      </c>
      <c r="G1206" s="1" t="s">
        <v>59</v>
      </c>
      <c r="H1206" s="1" t="str">
        <f t="shared" si="224"/>
        <v>20220907</v>
      </c>
      <c r="I1206" s="1" t="str">
        <f>"072159"</f>
        <v>072159</v>
      </c>
      <c r="J1206" s="1" t="s">
        <v>28</v>
      </c>
      <c r="K1206" s="1" t="s">
        <v>28</v>
      </c>
      <c r="L1206" s="1" t="str">
        <f t="shared" si="225"/>
        <v>20220907</v>
      </c>
      <c r="M1206" s="1" t="str">
        <f>"074607"</f>
        <v>074607</v>
      </c>
      <c r="N1206" s="1" t="s">
        <v>72</v>
      </c>
      <c r="O1206" s="1" t="s">
        <v>52</v>
      </c>
      <c r="P1206" s="1" t="s">
        <v>55</v>
      </c>
      <c r="Q1206" s="1">
        <v>25</v>
      </c>
      <c r="R1206" s="1">
        <v>0</v>
      </c>
      <c r="S1206" s="1">
        <v>25</v>
      </c>
      <c r="T1206" s="1">
        <v>0</v>
      </c>
      <c r="U1206" s="1">
        <v>0</v>
      </c>
      <c r="V1206" s="1" t="str">
        <f t="shared" si="226"/>
        <v>里程返程</v>
      </c>
      <c r="W1206" s="1" t="str">
        <f>"0620"</f>
        <v>0620</v>
      </c>
      <c r="X1206" s="1" t="s">
        <v>29</v>
      </c>
    </row>
    <row r="1207" spans="1:24" x14ac:dyDescent="0.3">
      <c r="A1207" s="1" t="str">
        <f t="shared" si="222"/>
        <v>59809</v>
      </c>
      <c r="B1207" s="1" t="s">
        <v>42</v>
      </c>
      <c r="C1207" s="1" t="s">
        <v>43</v>
      </c>
      <c r="D1207" s="1" t="str">
        <f t="shared" si="223"/>
        <v>9801</v>
      </c>
      <c r="E1207" s="1" t="s">
        <v>25</v>
      </c>
      <c r="F1207" s="1" t="str">
        <f>"62F00B1881880400C814002000000019"</f>
        <v>62F00B1881880400C814002000000019</v>
      </c>
      <c r="G1207" s="1" t="s">
        <v>59</v>
      </c>
      <c r="H1207" s="1" t="str">
        <f t="shared" si="224"/>
        <v>20220907</v>
      </c>
      <c r="I1207" s="1" t="str">
        <f>"072202"</f>
        <v>072202</v>
      </c>
      <c r="J1207" s="1" t="s">
        <v>28</v>
      </c>
      <c r="K1207" s="1" t="s">
        <v>28</v>
      </c>
      <c r="L1207" s="1" t="str">
        <f t="shared" si="225"/>
        <v>20220907</v>
      </c>
      <c r="M1207" s="1" t="str">
        <f>"074611"</f>
        <v>074611</v>
      </c>
      <c r="N1207" s="1" t="s">
        <v>72</v>
      </c>
      <c r="O1207" s="1" t="s">
        <v>52</v>
      </c>
      <c r="P1207" s="1" t="s">
        <v>55</v>
      </c>
      <c r="Q1207" s="1">
        <v>25</v>
      </c>
      <c r="R1207" s="1">
        <v>0</v>
      </c>
      <c r="S1207" s="1">
        <v>25</v>
      </c>
      <c r="T1207" s="1">
        <v>0</v>
      </c>
      <c r="U1207" s="1">
        <v>0</v>
      </c>
      <c r="V1207" s="1" t="str">
        <f t="shared" si="226"/>
        <v>里程返程</v>
      </c>
      <c r="W1207" s="1" t="str">
        <f>"0620"</f>
        <v>0620</v>
      </c>
      <c r="X1207" s="1" t="s">
        <v>29</v>
      </c>
    </row>
    <row r="1208" spans="1:24" x14ac:dyDescent="0.3">
      <c r="A1208" s="1" t="str">
        <f t="shared" si="222"/>
        <v>59809</v>
      </c>
      <c r="B1208" s="1" t="s">
        <v>42</v>
      </c>
      <c r="C1208" s="1" t="s">
        <v>43</v>
      </c>
      <c r="D1208" s="1" t="str">
        <f t="shared" si="223"/>
        <v>9801</v>
      </c>
      <c r="E1208" s="1" t="s">
        <v>25</v>
      </c>
      <c r="F1208" s="1" t="str">
        <f>"1204061808880400C814002000000019"</f>
        <v>1204061808880400C814002000000019</v>
      </c>
      <c r="G1208" s="1" t="s">
        <v>59</v>
      </c>
      <c r="H1208" s="1" t="str">
        <f t="shared" si="224"/>
        <v>20220907</v>
      </c>
      <c r="I1208" s="1" t="str">
        <f>"072205"</f>
        <v>072205</v>
      </c>
      <c r="J1208" s="1" t="s">
        <v>28</v>
      </c>
      <c r="K1208" s="1" t="s">
        <v>28</v>
      </c>
      <c r="L1208" s="1" t="str">
        <f t="shared" si="225"/>
        <v>20220907</v>
      </c>
      <c r="M1208" s="1" t="str">
        <f>"074609"</f>
        <v>074609</v>
      </c>
      <c r="N1208" s="1" t="s">
        <v>72</v>
      </c>
      <c r="O1208" s="1" t="s">
        <v>52</v>
      </c>
      <c r="P1208" s="1" t="s">
        <v>55</v>
      </c>
      <c r="Q1208" s="1">
        <v>25</v>
      </c>
      <c r="R1208" s="1">
        <v>0</v>
      </c>
      <c r="S1208" s="1">
        <v>25</v>
      </c>
      <c r="T1208" s="1">
        <v>0</v>
      </c>
      <c r="U1208" s="1">
        <v>0</v>
      </c>
      <c r="V1208" s="1" t="str">
        <f t="shared" si="226"/>
        <v>里程返程</v>
      </c>
      <c r="W1208" s="1" t="str">
        <f>"0620"</f>
        <v>0620</v>
      </c>
      <c r="X1208" s="1" t="s">
        <v>29</v>
      </c>
    </row>
    <row r="1209" spans="1:24" x14ac:dyDescent="0.3">
      <c r="A1209" s="1" t="str">
        <f t="shared" si="222"/>
        <v>59809</v>
      </c>
      <c r="B1209" s="1" t="s">
        <v>42</v>
      </c>
      <c r="C1209" s="1" t="s">
        <v>43</v>
      </c>
      <c r="D1209" s="1" t="str">
        <f t="shared" si="223"/>
        <v>9801</v>
      </c>
      <c r="E1209" s="1" t="s">
        <v>25</v>
      </c>
      <c r="F1209" s="1" t="str">
        <f>"42F7E50252880400C834002000000015"</f>
        <v>42F7E50252880400C834002000000015</v>
      </c>
      <c r="G1209" s="1" t="s">
        <v>26</v>
      </c>
      <c r="H1209" s="1" t="str">
        <f t="shared" si="224"/>
        <v>20220907</v>
      </c>
      <c r="I1209" s="1" t="str">
        <f>"072213"</f>
        <v>072213</v>
      </c>
      <c r="J1209" s="1" t="s">
        <v>28</v>
      </c>
      <c r="K1209" s="1" t="s">
        <v>28</v>
      </c>
      <c r="L1209" s="1" t="str">
        <f t="shared" si="225"/>
        <v>20220907</v>
      </c>
      <c r="M1209" s="1" t="str">
        <f>"075421"</f>
        <v>075421</v>
      </c>
      <c r="N1209" s="1" t="s">
        <v>52</v>
      </c>
      <c r="O1209" s="1" t="s">
        <v>52</v>
      </c>
      <c r="P1209" s="1" t="s">
        <v>68</v>
      </c>
      <c r="Q1209" s="1">
        <v>13</v>
      </c>
      <c r="R1209" s="1">
        <v>0</v>
      </c>
      <c r="S1209" s="1">
        <v>0</v>
      </c>
      <c r="T1209" s="1">
        <v>13</v>
      </c>
      <c r="U1209" s="1">
        <v>0</v>
      </c>
      <c r="V1209" s="1" t="str">
        <f t="shared" si="226"/>
        <v>里程返程</v>
      </c>
      <c r="W1209" s="1" t="str">
        <f>"0020"</f>
        <v>0020</v>
      </c>
      <c r="X1209" s="1" t="s">
        <v>29</v>
      </c>
    </row>
    <row r="1210" spans="1:24" x14ac:dyDescent="0.3">
      <c r="A1210" s="1" t="str">
        <f t="shared" si="222"/>
        <v>59809</v>
      </c>
      <c r="B1210" s="1" t="s">
        <v>42</v>
      </c>
      <c r="C1210" s="1" t="s">
        <v>43</v>
      </c>
      <c r="D1210" s="1" t="str">
        <f t="shared" si="223"/>
        <v>9801</v>
      </c>
      <c r="E1210" s="1" t="s">
        <v>25</v>
      </c>
      <c r="F1210" s="1" t="str">
        <f>"1759959808"</f>
        <v>1759959808</v>
      </c>
      <c r="G1210" s="1" t="s">
        <v>33</v>
      </c>
      <c r="H1210" s="1" t="str">
        <f t="shared" si="224"/>
        <v>20220907</v>
      </c>
      <c r="I1210" s="1" t="str">
        <f>"074205"</f>
        <v>074205</v>
      </c>
      <c r="J1210" s="1" t="s">
        <v>80</v>
      </c>
      <c r="K1210" s="1" t="s">
        <v>52</v>
      </c>
      <c r="L1210" s="1" t="str">
        <f t="shared" si="225"/>
        <v>20220907</v>
      </c>
      <c r="M1210" s="1" t="str">
        <f>"075026"</f>
        <v>075026</v>
      </c>
      <c r="N1210" s="1" t="s">
        <v>60</v>
      </c>
      <c r="O1210" s="1" t="s">
        <v>52</v>
      </c>
      <c r="P1210" s="1" t="s">
        <v>55</v>
      </c>
      <c r="Q1210" s="1">
        <v>25</v>
      </c>
      <c r="R1210" s="1">
        <v>25</v>
      </c>
      <c r="S1210" s="1">
        <v>0</v>
      </c>
      <c r="T1210" s="1">
        <v>0</v>
      </c>
      <c r="U1210" s="1">
        <v>0</v>
      </c>
      <c r="V1210" s="1" t="str">
        <f t="shared" si="226"/>
        <v>里程返程</v>
      </c>
      <c r="W1210" s="1" t="str">
        <f>"2020"</f>
        <v>2020</v>
      </c>
      <c r="X1210" s="1" t="s">
        <v>35</v>
      </c>
    </row>
    <row r="1211" spans="1:24" x14ac:dyDescent="0.3">
      <c r="A1211" s="1" t="str">
        <f t="shared" si="222"/>
        <v>59809</v>
      </c>
      <c r="B1211" s="1" t="s">
        <v>42</v>
      </c>
      <c r="C1211" s="1" t="s">
        <v>43</v>
      </c>
      <c r="D1211" s="1" t="str">
        <f t="shared" si="223"/>
        <v>9801</v>
      </c>
      <c r="E1211" s="1" t="s">
        <v>25</v>
      </c>
      <c r="F1211" s="1" t="str">
        <f>"F2F7D002D7880400C834002000000015"</f>
        <v>F2F7D002D7880400C834002000000015</v>
      </c>
      <c r="G1211" s="1" t="s">
        <v>74</v>
      </c>
      <c r="H1211" s="1" t="str">
        <f t="shared" si="224"/>
        <v>20220907</v>
      </c>
      <c r="I1211" s="1" t="str">
        <f>"082407"</f>
        <v>082407</v>
      </c>
      <c r="J1211" s="1" t="s">
        <v>67</v>
      </c>
      <c r="K1211" s="1" t="s">
        <v>52</v>
      </c>
      <c r="L1211" s="1" t="str">
        <f t="shared" si="225"/>
        <v>20220907</v>
      </c>
      <c r="M1211" s="1" t="str">
        <f>"085538"</f>
        <v>085538</v>
      </c>
      <c r="N1211" s="1" t="s">
        <v>44</v>
      </c>
      <c r="O1211" s="1" t="s">
        <v>45</v>
      </c>
      <c r="P1211" s="1" t="s">
        <v>68</v>
      </c>
      <c r="Q1211" s="1">
        <v>25</v>
      </c>
      <c r="R1211" s="1">
        <v>0</v>
      </c>
      <c r="S1211" s="1">
        <v>0</v>
      </c>
      <c r="T1211" s="1">
        <v>25</v>
      </c>
      <c r="U1211" s="1">
        <v>0</v>
      </c>
      <c r="V1211" s="1" t="str">
        <f t="shared" ref="V1211:V1219" si="227">"里程去程"</f>
        <v>里程去程</v>
      </c>
      <c r="W1211" s="1" t="str">
        <f>"0020"</f>
        <v>0020</v>
      </c>
      <c r="X1211" s="1" t="s">
        <v>29</v>
      </c>
    </row>
    <row r="1212" spans="1:24" x14ac:dyDescent="0.3">
      <c r="A1212" s="1" t="str">
        <f t="shared" si="222"/>
        <v>59809</v>
      </c>
      <c r="B1212" s="1" t="s">
        <v>42</v>
      </c>
      <c r="C1212" s="1" t="s">
        <v>43</v>
      </c>
      <c r="D1212" s="1" t="str">
        <f t="shared" si="223"/>
        <v>9801</v>
      </c>
      <c r="E1212" s="1" t="s">
        <v>25</v>
      </c>
      <c r="F1212" s="1" t="str">
        <f>"629413266"</f>
        <v>629413266</v>
      </c>
      <c r="G1212" s="1" t="s">
        <v>33</v>
      </c>
      <c r="H1212" s="1" t="str">
        <f t="shared" si="224"/>
        <v>20220907</v>
      </c>
      <c r="I1212" s="1" t="str">
        <f>"082530"</f>
        <v>082530</v>
      </c>
      <c r="J1212" s="1" t="s">
        <v>83</v>
      </c>
      <c r="K1212" s="1" t="s">
        <v>52</v>
      </c>
      <c r="L1212" s="1" t="str">
        <f t="shared" si="225"/>
        <v>20220907</v>
      </c>
      <c r="M1212" s="1" t="str">
        <f>"083021"</f>
        <v>083021</v>
      </c>
      <c r="N1212" s="1" t="s">
        <v>70</v>
      </c>
      <c r="O1212" s="1" t="s">
        <v>28</v>
      </c>
      <c r="P1212" s="1" t="s">
        <v>55</v>
      </c>
      <c r="Q1212" s="1">
        <v>25</v>
      </c>
      <c r="R1212" s="1">
        <v>25</v>
      </c>
      <c r="S1212" s="1">
        <v>0</v>
      </c>
      <c r="T1212" s="1">
        <v>0</v>
      </c>
      <c r="U1212" s="1">
        <v>0</v>
      </c>
      <c r="V1212" s="1" t="str">
        <f t="shared" si="227"/>
        <v>里程去程</v>
      </c>
      <c r="W1212" s="1" t="str">
        <f>"2020"</f>
        <v>2020</v>
      </c>
      <c r="X1212" s="1" t="s">
        <v>35</v>
      </c>
    </row>
    <row r="1213" spans="1:24" x14ac:dyDescent="0.3">
      <c r="A1213" s="1" t="str">
        <f t="shared" si="222"/>
        <v>59809</v>
      </c>
      <c r="B1213" s="1" t="s">
        <v>42</v>
      </c>
      <c r="C1213" s="1" t="s">
        <v>111</v>
      </c>
      <c r="D1213" s="1" t="str">
        <f t="shared" si="223"/>
        <v>9801</v>
      </c>
      <c r="E1213" s="1" t="s">
        <v>25</v>
      </c>
      <c r="F1213" s="1" t="str">
        <f>"7111150687005189"</f>
        <v>7111150687005189</v>
      </c>
      <c r="G1213" s="1" t="s">
        <v>33</v>
      </c>
      <c r="H1213" s="1" t="str">
        <f t="shared" si="224"/>
        <v>20220907</v>
      </c>
      <c r="I1213" s="1" t="str">
        <f>"085614"</f>
        <v>085614</v>
      </c>
      <c r="J1213" s="1" t="s">
        <v>52</v>
      </c>
      <c r="K1213" s="1" t="s">
        <v>52</v>
      </c>
      <c r="L1213" s="1" t="str">
        <f t="shared" si="225"/>
        <v>20220907</v>
      </c>
      <c r="M1213" s="1" t="str">
        <f>"092938"</f>
        <v>092938</v>
      </c>
      <c r="N1213" s="1" t="s">
        <v>70</v>
      </c>
      <c r="O1213" s="1" t="s">
        <v>28</v>
      </c>
      <c r="P1213" s="1" t="s">
        <v>55</v>
      </c>
      <c r="Q1213" s="1">
        <v>25</v>
      </c>
      <c r="R1213" s="1">
        <v>25</v>
      </c>
      <c r="S1213" s="1">
        <v>0</v>
      </c>
      <c r="T1213" s="1">
        <v>0</v>
      </c>
      <c r="U1213" s="1">
        <v>0</v>
      </c>
      <c r="V1213" s="1" t="str">
        <f t="shared" si="227"/>
        <v>里程去程</v>
      </c>
      <c r="W1213" s="1" t="str">
        <f>"083B"</f>
        <v>083B</v>
      </c>
      <c r="X1213" s="1" t="s">
        <v>109</v>
      </c>
    </row>
    <row r="1214" spans="1:24" x14ac:dyDescent="0.3">
      <c r="A1214" s="1" t="str">
        <f t="shared" si="222"/>
        <v>59809</v>
      </c>
      <c r="B1214" s="1" t="s">
        <v>42</v>
      </c>
      <c r="C1214" s="1" t="s">
        <v>43</v>
      </c>
      <c r="D1214" s="1" t="str">
        <f t="shared" si="223"/>
        <v>9801</v>
      </c>
      <c r="E1214" s="1" t="s">
        <v>25</v>
      </c>
      <c r="F1214" s="1" t="str">
        <f>"F2F7D002D7880400C834002000000015"</f>
        <v>F2F7D002D7880400C834002000000015</v>
      </c>
      <c r="G1214" s="1" t="s">
        <v>74</v>
      </c>
      <c r="H1214" s="1" t="str">
        <f t="shared" si="224"/>
        <v>20220907</v>
      </c>
      <c r="I1214" s="1" t="str">
        <f>"085617"</f>
        <v>085617</v>
      </c>
      <c r="J1214" s="1" t="s">
        <v>52</v>
      </c>
      <c r="K1214" s="1" t="s">
        <v>52</v>
      </c>
      <c r="L1214" s="1" t="str">
        <f t="shared" si="225"/>
        <v>20220907</v>
      </c>
      <c r="M1214" s="1" t="str">
        <f>"090343"</f>
        <v>090343</v>
      </c>
      <c r="N1214" s="1" t="s">
        <v>86</v>
      </c>
      <c r="O1214" s="1" t="s">
        <v>52</v>
      </c>
      <c r="P1214" s="1" t="s">
        <v>68</v>
      </c>
      <c r="Q1214" s="1">
        <v>13</v>
      </c>
      <c r="R1214" s="1">
        <v>0</v>
      </c>
      <c r="S1214" s="1">
        <v>0</v>
      </c>
      <c r="T1214" s="1">
        <v>13</v>
      </c>
      <c r="U1214" s="1">
        <v>0</v>
      </c>
      <c r="V1214" s="1" t="str">
        <f t="shared" si="227"/>
        <v>里程去程</v>
      </c>
      <c r="W1214" s="1" t="str">
        <f>"0020"</f>
        <v>0020</v>
      </c>
      <c r="X1214" s="1" t="s">
        <v>29</v>
      </c>
    </row>
    <row r="1215" spans="1:24" x14ac:dyDescent="0.3">
      <c r="A1215" s="1" t="str">
        <f t="shared" si="222"/>
        <v>59809</v>
      </c>
      <c r="B1215" s="1" t="s">
        <v>42</v>
      </c>
      <c r="C1215" s="1" t="s">
        <v>43</v>
      </c>
      <c r="D1215" s="1" t="str">
        <f t="shared" si="223"/>
        <v>9801</v>
      </c>
      <c r="E1215" s="1" t="s">
        <v>25</v>
      </c>
      <c r="F1215" s="1" t="str">
        <f>"82D5FB02AE880400C834002000000015"</f>
        <v>82D5FB02AE880400C834002000000015</v>
      </c>
      <c r="G1215" s="1" t="s">
        <v>26</v>
      </c>
      <c r="H1215" s="1" t="str">
        <f t="shared" si="224"/>
        <v>20220907</v>
      </c>
      <c r="I1215" s="1" t="str">
        <f>"090804"</f>
        <v>090804</v>
      </c>
      <c r="J1215" s="1" t="s">
        <v>51</v>
      </c>
      <c r="K1215" s="1" t="s">
        <v>52</v>
      </c>
      <c r="L1215" s="1" t="str">
        <f t="shared" si="225"/>
        <v>20220907</v>
      </c>
      <c r="M1215" s="1" t="str">
        <f>"091145"</f>
        <v>091145</v>
      </c>
      <c r="N1215" s="1" t="s">
        <v>65</v>
      </c>
      <c r="O1215" s="1" t="s">
        <v>52</v>
      </c>
      <c r="P1215" s="1" t="s">
        <v>68</v>
      </c>
      <c r="Q1215" s="1">
        <v>13</v>
      </c>
      <c r="R1215" s="1">
        <v>0</v>
      </c>
      <c r="S1215" s="1">
        <v>0</v>
      </c>
      <c r="T1215" s="1">
        <v>13</v>
      </c>
      <c r="U1215" s="1">
        <v>0</v>
      </c>
      <c r="V1215" s="1" t="str">
        <f t="shared" si="227"/>
        <v>里程去程</v>
      </c>
      <c r="W1215" s="1" t="str">
        <f>"0020"</f>
        <v>0020</v>
      </c>
      <c r="X1215" s="1" t="s">
        <v>29</v>
      </c>
    </row>
    <row r="1216" spans="1:24" x14ac:dyDescent="0.3">
      <c r="A1216" s="1" t="str">
        <f t="shared" si="222"/>
        <v>59809</v>
      </c>
      <c r="B1216" s="1" t="s">
        <v>42</v>
      </c>
      <c r="C1216" s="1" t="s">
        <v>43</v>
      </c>
      <c r="D1216" s="1" t="str">
        <f t="shared" si="223"/>
        <v>9801</v>
      </c>
      <c r="E1216" s="1" t="s">
        <v>25</v>
      </c>
      <c r="F1216" s="1" t="str">
        <f>"02ECE81A1C880400C817002000000021"</f>
        <v>02ECE81A1C880400C817002000000021</v>
      </c>
      <c r="G1216" s="1" t="s">
        <v>58</v>
      </c>
      <c r="H1216" s="1" t="str">
        <f t="shared" si="224"/>
        <v>20220907</v>
      </c>
      <c r="I1216" s="1" t="str">
        <f>"092948"</f>
        <v>092948</v>
      </c>
      <c r="J1216" s="1" t="s">
        <v>27</v>
      </c>
      <c r="K1216" s="1" t="s">
        <v>28</v>
      </c>
      <c r="L1216" s="1" t="str">
        <f t="shared" si="225"/>
        <v>20220907</v>
      </c>
      <c r="M1216" s="1" t="str">
        <f>"095017"</f>
        <v>095017</v>
      </c>
      <c r="N1216" s="1" t="s">
        <v>56</v>
      </c>
      <c r="O1216" s="1" t="s">
        <v>45</v>
      </c>
      <c r="P1216" s="1" t="s">
        <v>55</v>
      </c>
      <c r="Q1216" s="1">
        <v>25</v>
      </c>
      <c r="R1216" s="1">
        <v>0</v>
      </c>
      <c r="S1216" s="1">
        <v>25</v>
      </c>
      <c r="T1216" s="1">
        <v>0</v>
      </c>
      <c r="U1216" s="1">
        <v>0</v>
      </c>
      <c r="V1216" s="1" t="str">
        <f t="shared" si="227"/>
        <v>里程去程</v>
      </c>
      <c r="W1216" s="1" t="str">
        <f>"0620"</f>
        <v>0620</v>
      </c>
      <c r="X1216" s="1" t="s">
        <v>29</v>
      </c>
    </row>
    <row r="1217" spans="1:24" x14ac:dyDescent="0.3">
      <c r="A1217" s="1" t="str">
        <f t="shared" si="222"/>
        <v>59809</v>
      </c>
      <c r="B1217" s="1" t="s">
        <v>42</v>
      </c>
      <c r="C1217" s="1" t="s">
        <v>43</v>
      </c>
      <c r="D1217" s="1" t="str">
        <f t="shared" si="223"/>
        <v>9801</v>
      </c>
      <c r="E1217" s="1" t="s">
        <v>25</v>
      </c>
      <c r="F1217" s="1" t="str">
        <f>"E213BD024E880400C834002000000015"</f>
        <v>E213BD024E880400C834002000000015</v>
      </c>
      <c r="G1217" s="1" t="s">
        <v>74</v>
      </c>
      <c r="H1217" s="1" t="str">
        <f t="shared" si="224"/>
        <v>20220907</v>
      </c>
      <c r="I1217" s="1" t="str">
        <f>"093043"</f>
        <v>093043</v>
      </c>
      <c r="J1217" s="1" t="s">
        <v>27</v>
      </c>
      <c r="K1217" s="1" t="s">
        <v>28</v>
      </c>
      <c r="L1217" s="1" t="str">
        <f t="shared" si="225"/>
        <v>20220907</v>
      </c>
      <c r="M1217" s="1" t="str">
        <f>"095010"</f>
        <v>095010</v>
      </c>
      <c r="N1217" s="1" t="s">
        <v>56</v>
      </c>
      <c r="O1217" s="1" t="s">
        <v>45</v>
      </c>
      <c r="P1217" s="1" t="s">
        <v>68</v>
      </c>
      <c r="Q1217" s="1">
        <v>13</v>
      </c>
      <c r="R1217" s="1">
        <v>0</v>
      </c>
      <c r="S1217" s="1">
        <v>0</v>
      </c>
      <c r="T1217" s="1">
        <v>13</v>
      </c>
      <c r="U1217" s="1">
        <v>0</v>
      </c>
      <c r="V1217" s="1" t="str">
        <f t="shared" si="227"/>
        <v>里程去程</v>
      </c>
      <c r="W1217" s="1" t="str">
        <f>"0020"</f>
        <v>0020</v>
      </c>
      <c r="X1217" s="1" t="s">
        <v>29</v>
      </c>
    </row>
    <row r="1218" spans="1:24" x14ac:dyDescent="0.3">
      <c r="A1218" s="1" t="str">
        <f t="shared" si="222"/>
        <v>59809</v>
      </c>
      <c r="B1218" s="1" t="s">
        <v>42</v>
      </c>
      <c r="C1218" s="1" t="s">
        <v>43</v>
      </c>
      <c r="D1218" s="1" t="str">
        <f t="shared" si="223"/>
        <v>9801</v>
      </c>
      <c r="E1218" s="1" t="s">
        <v>25</v>
      </c>
      <c r="F1218" s="1" t="str">
        <f>"1052026081"</f>
        <v>1052026081</v>
      </c>
      <c r="G1218" s="1" t="s">
        <v>33</v>
      </c>
      <c r="H1218" s="1" t="str">
        <f t="shared" si="224"/>
        <v>20220907</v>
      </c>
      <c r="I1218" s="1" t="str">
        <f>"093554"</f>
        <v>093554</v>
      </c>
      <c r="J1218" s="1" t="s">
        <v>27</v>
      </c>
      <c r="K1218" s="1" t="s">
        <v>28</v>
      </c>
      <c r="L1218" s="1" t="str">
        <f t="shared" si="225"/>
        <v>20220907</v>
      </c>
      <c r="M1218" s="1" t="str">
        <f>"100047"</f>
        <v>100047</v>
      </c>
      <c r="N1218" s="1" t="s">
        <v>44</v>
      </c>
      <c r="O1218" s="1" t="s">
        <v>45</v>
      </c>
      <c r="P1218" s="1" t="s">
        <v>55</v>
      </c>
      <c r="Q1218" s="1">
        <v>25</v>
      </c>
      <c r="R1218" s="1">
        <v>25</v>
      </c>
      <c r="S1218" s="1">
        <v>0</v>
      </c>
      <c r="T1218" s="1">
        <v>0</v>
      </c>
      <c r="U1218" s="1">
        <v>0</v>
      </c>
      <c r="V1218" s="1" t="str">
        <f t="shared" si="227"/>
        <v>里程去程</v>
      </c>
      <c r="W1218" s="1" t="str">
        <f>"0920"</f>
        <v>0920</v>
      </c>
      <c r="X1218" s="1" t="s">
        <v>35</v>
      </c>
    </row>
    <row r="1219" spans="1:24" x14ac:dyDescent="0.3">
      <c r="A1219" s="1" t="str">
        <f t="shared" si="222"/>
        <v>59809</v>
      </c>
      <c r="B1219" s="1" t="s">
        <v>42</v>
      </c>
      <c r="C1219" s="1" t="s">
        <v>43</v>
      </c>
      <c r="D1219" s="1" t="str">
        <f t="shared" si="223"/>
        <v>9801</v>
      </c>
      <c r="E1219" s="1" t="s">
        <v>25</v>
      </c>
      <c r="F1219" s="1" t="str">
        <f>"32780D0344880400C834002000000015"</f>
        <v>32780D0344880400C834002000000015</v>
      </c>
      <c r="G1219" s="1" t="s">
        <v>26</v>
      </c>
      <c r="H1219" s="1" t="str">
        <f t="shared" si="224"/>
        <v>20220907</v>
      </c>
      <c r="I1219" s="1" t="str">
        <f>"093901"</f>
        <v>093901</v>
      </c>
      <c r="J1219" s="1" t="s">
        <v>27</v>
      </c>
      <c r="K1219" s="1" t="s">
        <v>28</v>
      </c>
      <c r="L1219" s="1" t="str">
        <f t="shared" si="225"/>
        <v>20220907</v>
      </c>
      <c r="M1219" s="1" t="str">
        <f>"095843"</f>
        <v>095843</v>
      </c>
      <c r="N1219" s="1" t="s">
        <v>44</v>
      </c>
      <c r="O1219" s="1" t="s">
        <v>45</v>
      </c>
      <c r="P1219" s="1" t="s">
        <v>68</v>
      </c>
      <c r="Q1219" s="1">
        <v>13</v>
      </c>
      <c r="R1219" s="1">
        <v>0</v>
      </c>
      <c r="S1219" s="1">
        <v>0</v>
      </c>
      <c r="T1219" s="1">
        <v>13</v>
      </c>
      <c r="U1219" s="1">
        <v>0</v>
      </c>
      <c r="V1219" s="1" t="str">
        <f t="shared" si="227"/>
        <v>里程去程</v>
      </c>
      <c r="W1219" s="1" t="str">
        <f>"0020"</f>
        <v>0020</v>
      </c>
      <c r="X1219" s="1" t="s">
        <v>29</v>
      </c>
    </row>
    <row r="1220" spans="1:24" x14ac:dyDescent="0.3">
      <c r="A1220" s="1" t="str">
        <f t="shared" si="222"/>
        <v>59809</v>
      </c>
      <c r="B1220" s="1" t="s">
        <v>42</v>
      </c>
      <c r="C1220" s="1" t="s">
        <v>43</v>
      </c>
      <c r="D1220" s="1" t="str">
        <f t="shared" si="223"/>
        <v>9801</v>
      </c>
      <c r="E1220" s="1" t="s">
        <v>25</v>
      </c>
      <c r="F1220" s="1" t="str">
        <f>"81DCC741DB280400F700000000000000"</f>
        <v>81DCC741DB280400F700000000000000</v>
      </c>
      <c r="G1220" s="1" t="s">
        <v>58</v>
      </c>
      <c r="H1220" s="1" t="str">
        <f t="shared" si="224"/>
        <v>20220907</v>
      </c>
      <c r="I1220" s="1" t="str">
        <f>"125101"</f>
        <v>125101</v>
      </c>
      <c r="J1220" s="1" t="s">
        <v>28</v>
      </c>
      <c r="K1220" s="1" t="s">
        <v>28</v>
      </c>
      <c r="L1220" s="1" t="str">
        <f t="shared" si="225"/>
        <v>20220907</v>
      </c>
      <c r="M1220" s="1" t="str">
        <f>"132414"</f>
        <v>132414</v>
      </c>
      <c r="N1220" s="1" t="s">
        <v>52</v>
      </c>
      <c r="O1220" s="1" t="s">
        <v>52</v>
      </c>
      <c r="P1220" s="1" t="s">
        <v>55</v>
      </c>
      <c r="Q1220" s="1">
        <v>25</v>
      </c>
      <c r="R1220" s="1">
        <v>25</v>
      </c>
      <c r="S1220" s="1">
        <v>0</v>
      </c>
      <c r="T1220" s="1">
        <v>0</v>
      </c>
      <c r="U1220" s="1">
        <v>0</v>
      </c>
      <c r="V1220" s="1" t="str">
        <f t="shared" ref="V1220:V1261" si="228">"里程返程"</f>
        <v>里程返程</v>
      </c>
      <c r="W1220" s="1" t="str">
        <f>"0020"</f>
        <v>0020</v>
      </c>
      <c r="X1220" s="1" t="s">
        <v>29</v>
      </c>
    </row>
    <row r="1221" spans="1:24" x14ac:dyDescent="0.3">
      <c r="A1221" s="1" t="str">
        <f t="shared" si="222"/>
        <v>59809</v>
      </c>
      <c r="B1221" s="1" t="s">
        <v>42</v>
      </c>
      <c r="C1221" s="1" t="s">
        <v>111</v>
      </c>
      <c r="D1221" s="1" t="str">
        <f t="shared" si="223"/>
        <v>9801</v>
      </c>
      <c r="E1221" s="1" t="s">
        <v>25</v>
      </c>
      <c r="F1221" s="1" t="str">
        <f>"7511180542001346"</f>
        <v>7511180542001346</v>
      </c>
      <c r="G1221" s="1" t="s">
        <v>33</v>
      </c>
      <c r="H1221" s="1" t="str">
        <f t="shared" si="224"/>
        <v>20220907</v>
      </c>
      <c r="I1221" s="1" t="str">
        <f>"125103"</f>
        <v>125103</v>
      </c>
      <c r="J1221" s="1" t="s">
        <v>28</v>
      </c>
      <c r="K1221" s="1" t="s">
        <v>28</v>
      </c>
      <c r="L1221" s="1" t="str">
        <f t="shared" si="225"/>
        <v>20220907</v>
      </c>
      <c r="M1221" s="1" t="str">
        <f>"132416"</f>
        <v>132416</v>
      </c>
      <c r="N1221" s="1" t="s">
        <v>52</v>
      </c>
      <c r="O1221" s="1" t="s">
        <v>52</v>
      </c>
      <c r="P1221" s="1" t="s">
        <v>55</v>
      </c>
      <c r="Q1221" s="1">
        <v>25</v>
      </c>
      <c r="R1221" s="1">
        <v>25</v>
      </c>
      <c r="S1221" s="1">
        <v>0</v>
      </c>
      <c r="T1221" s="1">
        <v>0</v>
      </c>
      <c r="U1221" s="1">
        <v>0</v>
      </c>
      <c r="V1221" s="1" t="str">
        <f t="shared" si="228"/>
        <v>里程返程</v>
      </c>
      <c r="W1221" s="1" t="str">
        <f>"0F3B"</f>
        <v>0F3B</v>
      </c>
      <c r="X1221" s="1" t="s">
        <v>109</v>
      </c>
    </row>
    <row r="1222" spans="1:24" x14ac:dyDescent="0.3">
      <c r="A1222" s="1" t="str">
        <f t="shared" si="222"/>
        <v>59809</v>
      </c>
      <c r="B1222" s="1" t="s">
        <v>42</v>
      </c>
      <c r="C1222" s="1" t="s">
        <v>111</v>
      </c>
      <c r="D1222" s="1" t="str">
        <f t="shared" si="223"/>
        <v>9801</v>
      </c>
      <c r="E1222" s="1" t="s">
        <v>25</v>
      </c>
      <c r="F1222" s="1" t="str">
        <f>"7111160879008991"</f>
        <v>7111160879008991</v>
      </c>
      <c r="G1222" s="1" t="s">
        <v>33</v>
      </c>
      <c r="H1222" s="1" t="str">
        <f t="shared" si="224"/>
        <v>20220907</v>
      </c>
      <c r="I1222" s="1" t="str">
        <f>"125519"</f>
        <v>125519</v>
      </c>
      <c r="J1222" s="1" t="s">
        <v>28</v>
      </c>
      <c r="K1222" s="1" t="s">
        <v>28</v>
      </c>
      <c r="L1222" s="1" t="str">
        <f t="shared" si="225"/>
        <v>20220907</v>
      </c>
      <c r="M1222" s="1" t="str">
        <f>"131323"</f>
        <v>131323</v>
      </c>
      <c r="N1222" s="1" t="s">
        <v>97</v>
      </c>
      <c r="O1222" s="1" t="s">
        <v>52</v>
      </c>
      <c r="P1222" s="1" t="s">
        <v>55</v>
      </c>
      <c r="Q1222" s="1">
        <v>25</v>
      </c>
      <c r="R1222" s="1">
        <v>0</v>
      </c>
      <c r="S1222" s="1">
        <v>25</v>
      </c>
      <c r="T1222" s="1">
        <v>0</v>
      </c>
      <c r="U1222" s="1">
        <v>0</v>
      </c>
      <c r="V1222" s="1" t="str">
        <f t="shared" si="228"/>
        <v>里程返程</v>
      </c>
      <c r="W1222" s="1" t="str">
        <f>"3A3B"</f>
        <v>3A3B</v>
      </c>
      <c r="X1222" s="1" t="s">
        <v>109</v>
      </c>
    </row>
    <row r="1223" spans="1:24" x14ac:dyDescent="0.3">
      <c r="A1223" s="1" t="str">
        <f t="shared" si="222"/>
        <v>59809</v>
      </c>
      <c r="B1223" s="1" t="s">
        <v>42</v>
      </c>
      <c r="C1223" s="1" t="s">
        <v>43</v>
      </c>
      <c r="D1223" s="1" t="str">
        <f t="shared" si="223"/>
        <v>9801</v>
      </c>
      <c r="E1223" s="1" t="s">
        <v>25</v>
      </c>
      <c r="F1223" s="1" t="str">
        <f>"E220D10211880400C834002000000015"</f>
        <v>E220D10211880400C834002000000015</v>
      </c>
      <c r="G1223" s="1" t="s">
        <v>74</v>
      </c>
      <c r="H1223" s="1" t="str">
        <f t="shared" si="224"/>
        <v>20220907</v>
      </c>
      <c r="I1223" s="1" t="str">
        <f>"131318"</f>
        <v>131318</v>
      </c>
      <c r="J1223" s="1" t="s">
        <v>97</v>
      </c>
      <c r="K1223" s="1" t="s">
        <v>52</v>
      </c>
      <c r="L1223" s="1" t="str">
        <f t="shared" si="225"/>
        <v>20220907</v>
      </c>
      <c r="M1223" s="1" t="str">
        <f>"131509"</f>
        <v>131509</v>
      </c>
      <c r="N1223" s="1" t="s">
        <v>65</v>
      </c>
      <c r="O1223" s="1" t="s">
        <v>52</v>
      </c>
      <c r="P1223" s="1" t="s">
        <v>68</v>
      </c>
      <c r="Q1223" s="1">
        <v>13</v>
      </c>
      <c r="R1223" s="1">
        <v>0</v>
      </c>
      <c r="S1223" s="1">
        <v>0</v>
      </c>
      <c r="T1223" s="1">
        <v>13</v>
      </c>
      <c r="U1223" s="1">
        <v>0</v>
      </c>
      <c r="V1223" s="1" t="str">
        <f t="shared" si="228"/>
        <v>里程返程</v>
      </c>
      <c r="W1223" s="1" t="str">
        <f>"0020"</f>
        <v>0020</v>
      </c>
      <c r="X1223" s="1" t="s">
        <v>29</v>
      </c>
    </row>
    <row r="1224" spans="1:24" x14ac:dyDescent="0.3">
      <c r="A1224" s="1" t="str">
        <f t="shared" si="222"/>
        <v>59809</v>
      </c>
      <c r="B1224" s="1" t="s">
        <v>42</v>
      </c>
      <c r="C1224" s="1" t="s">
        <v>111</v>
      </c>
      <c r="D1224" s="1" t="str">
        <f t="shared" si="223"/>
        <v>9801</v>
      </c>
      <c r="E1224" s="1" t="s">
        <v>25</v>
      </c>
      <c r="F1224" s="1" t="str">
        <f>"7111150687005189"</f>
        <v>7111150687005189</v>
      </c>
      <c r="G1224" s="1" t="s">
        <v>33</v>
      </c>
      <c r="H1224" s="1" t="str">
        <f t="shared" si="224"/>
        <v>20220907</v>
      </c>
      <c r="I1224" s="1" t="str">
        <f>"142814"</f>
        <v>142814</v>
      </c>
      <c r="J1224" s="1" t="s">
        <v>44</v>
      </c>
      <c r="K1224" s="1" t="s">
        <v>45</v>
      </c>
      <c r="L1224" s="1" t="str">
        <f t="shared" si="225"/>
        <v>20220907</v>
      </c>
      <c r="M1224" s="1" t="str">
        <f>"144208"</f>
        <v>144208</v>
      </c>
      <c r="N1224" s="1" t="s">
        <v>45</v>
      </c>
      <c r="O1224" s="1" t="s">
        <v>45</v>
      </c>
      <c r="P1224" s="1" t="s">
        <v>55</v>
      </c>
      <c r="Q1224" s="1">
        <v>25</v>
      </c>
      <c r="R1224" s="1">
        <v>0</v>
      </c>
      <c r="S1224" s="1">
        <v>25</v>
      </c>
      <c r="T1224" s="1">
        <v>0</v>
      </c>
      <c r="U1224" s="1">
        <v>0</v>
      </c>
      <c r="V1224" s="1" t="str">
        <f t="shared" si="228"/>
        <v>里程返程</v>
      </c>
      <c r="W1224" s="1" t="str">
        <f>"3A3B"</f>
        <v>3A3B</v>
      </c>
      <c r="X1224" s="1" t="s">
        <v>109</v>
      </c>
    </row>
    <row r="1225" spans="1:24" x14ac:dyDescent="0.3">
      <c r="A1225" s="1" t="str">
        <f t="shared" si="222"/>
        <v>59809</v>
      </c>
      <c r="B1225" s="1" t="s">
        <v>42</v>
      </c>
      <c r="C1225" s="1" t="s">
        <v>43</v>
      </c>
      <c r="D1225" s="1" t="str">
        <f t="shared" si="223"/>
        <v>9801</v>
      </c>
      <c r="E1225" s="1" t="s">
        <v>25</v>
      </c>
      <c r="F1225" s="1" t="str">
        <f>"819BE502FD88040043252B4B0005050F"</f>
        <v>819BE502FD88040043252B4B0005050F</v>
      </c>
      <c r="G1225" s="1" t="s">
        <v>26</v>
      </c>
      <c r="H1225" s="1" t="str">
        <f t="shared" si="224"/>
        <v>20220907</v>
      </c>
      <c r="I1225" s="1" t="str">
        <f>"143336"</f>
        <v>143336</v>
      </c>
      <c r="J1225" s="1" t="s">
        <v>100</v>
      </c>
      <c r="K1225" s="1" t="s">
        <v>45</v>
      </c>
      <c r="L1225" s="1" t="str">
        <f t="shared" si="225"/>
        <v>20220907</v>
      </c>
      <c r="M1225" s="1" t="str">
        <f>"144951"</f>
        <v>144951</v>
      </c>
      <c r="N1225" s="1" t="s">
        <v>28</v>
      </c>
      <c r="O1225" s="1" t="s">
        <v>28</v>
      </c>
      <c r="P1225" s="1" t="s">
        <v>55</v>
      </c>
      <c r="Q1225" s="1">
        <v>13</v>
      </c>
      <c r="R1225" s="1">
        <v>13</v>
      </c>
      <c r="S1225" s="1">
        <v>0</v>
      </c>
      <c r="T1225" s="1">
        <v>0</v>
      </c>
      <c r="U1225" s="1">
        <v>0</v>
      </c>
      <c r="V1225" s="1" t="str">
        <f t="shared" si="228"/>
        <v>里程返程</v>
      </c>
      <c r="W1225" s="1" t="str">
        <f>"0020"</f>
        <v>0020</v>
      </c>
      <c r="X1225" s="1" t="s">
        <v>29</v>
      </c>
    </row>
    <row r="1226" spans="1:24" x14ac:dyDescent="0.3">
      <c r="A1226" s="1" t="str">
        <f t="shared" si="222"/>
        <v>59809</v>
      </c>
      <c r="B1226" s="1" t="s">
        <v>42</v>
      </c>
      <c r="C1226" s="1" t="s">
        <v>43</v>
      </c>
      <c r="D1226" s="1" t="str">
        <f t="shared" si="223"/>
        <v>9801</v>
      </c>
      <c r="E1226" s="1" t="s">
        <v>25</v>
      </c>
      <c r="F1226" s="1" t="str">
        <f>"4125E4028288040043252B4B0004050F"</f>
        <v>4125E4028288040043252B4B0004050F</v>
      </c>
      <c r="G1226" s="1" t="s">
        <v>26</v>
      </c>
      <c r="H1226" s="1" t="str">
        <f t="shared" si="224"/>
        <v>20220907</v>
      </c>
      <c r="I1226" s="1" t="str">
        <f>"143339"</f>
        <v>143339</v>
      </c>
      <c r="J1226" s="1" t="s">
        <v>100</v>
      </c>
      <c r="K1226" s="1" t="s">
        <v>45</v>
      </c>
      <c r="L1226" s="1" t="str">
        <f t="shared" si="225"/>
        <v>20220907</v>
      </c>
      <c r="M1226" s="1" t="str">
        <f>"144958"</f>
        <v>144958</v>
      </c>
      <c r="N1226" s="1" t="s">
        <v>28</v>
      </c>
      <c r="O1226" s="1" t="s">
        <v>28</v>
      </c>
      <c r="P1226" s="1" t="s">
        <v>55</v>
      </c>
      <c r="Q1226" s="1">
        <v>13</v>
      </c>
      <c r="R1226" s="1">
        <v>13</v>
      </c>
      <c r="S1226" s="1">
        <v>0</v>
      </c>
      <c r="T1226" s="1">
        <v>0</v>
      </c>
      <c r="U1226" s="1">
        <v>0</v>
      </c>
      <c r="V1226" s="1" t="str">
        <f t="shared" si="228"/>
        <v>里程返程</v>
      </c>
      <c r="W1226" s="1" t="str">
        <f>"0020"</f>
        <v>0020</v>
      </c>
      <c r="X1226" s="1" t="s">
        <v>29</v>
      </c>
    </row>
    <row r="1227" spans="1:24" x14ac:dyDescent="0.3">
      <c r="A1227" s="1" t="str">
        <f t="shared" si="222"/>
        <v>59809</v>
      </c>
      <c r="B1227" s="1" t="s">
        <v>42</v>
      </c>
      <c r="C1227" s="1" t="s">
        <v>43</v>
      </c>
      <c r="D1227" s="1" t="str">
        <f t="shared" ref="D1227:D1261" si="229">"9801"</f>
        <v>9801</v>
      </c>
      <c r="E1227" s="1" t="s">
        <v>25</v>
      </c>
      <c r="F1227" s="1" t="str">
        <f>"1763251397"</f>
        <v>1763251397</v>
      </c>
      <c r="G1227" s="1" t="s">
        <v>26</v>
      </c>
      <c r="H1227" s="1" t="str">
        <f t="shared" si="224"/>
        <v>20220907</v>
      </c>
      <c r="I1227" s="1" t="str">
        <f>"143948"</f>
        <v>143948</v>
      </c>
      <c r="J1227" s="1" t="s">
        <v>56</v>
      </c>
      <c r="K1227" s="1" t="s">
        <v>45</v>
      </c>
      <c r="L1227" s="1" t="str">
        <f t="shared" ref="L1227:L1258" si="230">"20220907"</f>
        <v>20220907</v>
      </c>
      <c r="M1227" s="1" t="str">
        <f>"144948"</f>
        <v>144948</v>
      </c>
      <c r="N1227" s="1" t="s">
        <v>28</v>
      </c>
      <c r="O1227" s="1" t="s">
        <v>28</v>
      </c>
      <c r="P1227" s="1" t="s">
        <v>55</v>
      </c>
      <c r="Q1227" s="1">
        <v>13</v>
      </c>
      <c r="R1227" s="1">
        <v>0</v>
      </c>
      <c r="S1227" s="1">
        <v>13</v>
      </c>
      <c r="T1227" s="1">
        <v>0</v>
      </c>
      <c r="U1227" s="1">
        <v>0</v>
      </c>
      <c r="V1227" s="1" t="str">
        <f t="shared" si="228"/>
        <v>里程返程</v>
      </c>
      <c r="W1227" s="1" t="str">
        <f>"2020"</f>
        <v>2020</v>
      </c>
      <c r="X1227" s="1" t="s">
        <v>35</v>
      </c>
    </row>
    <row r="1228" spans="1:24" x14ac:dyDescent="0.3">
      <c r="A1228" s="1" t="str">
        <f t="shared" si="222"/>
        <v>59809</v>
      </c>
      <c r="B1228" s="1" t="s">
        <v>42</v>
      </c>
      <c r="C1228" s="1" t="s">
        <v>43</v>
      </c>
      <c r="D1228" s="1" t="str">
        <f t="shared" si="229"/>
        <v>9801</v>
      </c>
      <c r="E1228" s="1" t="s">
        <v>25</v>
      </c>
      <c r="F1228" s="1" t="str">
        <f>"1240403989"</f>
        <v>1240403989</v>
      </c>
      <c r="G1228" s="1" t="s">
        <v>74</v>
      </c>
      <c r="H1228" s="1" t="str">
        <f t="shared" si="224"/>
        <v>20220907</v>
      </c>
      <c r="I1228" s="1" t="str">
        <f>"143950"</f>
        <v>143950</v>
      </c>
      <c r="J1228" s="1" t="s">
        <v>56</v>
      </c>
      <c r="K1228" s="1" t="s">
        <v>45</v>
      </c>
      <c r="L1228" s="1" t="str">
        <f t="shared" si="230"/>
        <v>20220907</v>
      </c>
      <c r="M1228" s="1" t="str">
        <f>"144954"</f>
        <v>144954</v>
      </c>
      <c r="N1228" s="1" t="s">
        <v>28</v>
      </c>
      <c r="O1228" s="1" t="s">
        <v>28</v>
      </c>
      <c r="P1228" s="1" t="s">
        <v>55</v>
      </c>
      <c r="Q1228" s="1">
        <v>13</v>
      </c>
      <c r="R1228" s="1">
        <v>0</v>
      </c>
      <c r="S1228" s="1">
        <v>13</v>
      </c>
      <c r="T1228" s="1">
        <v>0</v>
      </c>
      <c r="U1228" s="1">
        <v>0</v>
      </c>
      <c r="V1228" s="1" t="str">
        <f t="shared" si="228"/>
        <v>里程返程</v>
      </c>
      <c r="W1228" s="1" t="str">
        <f>"2020"</f>
        <v>2020</v>
      </c>
      <c r="X1228" s="1" t="s">
        <v>35</v>
      </c>
    </row>
    <row r="1229" spans="1:24" x14ac:dyDescent="0.3">
      <c r="A1229" s="1" t="str">
        <f t="shared" si="222"/>
        <v>59809</v>
      </c>
      <c r="B1229" s="1" t="s">
        <v>42</v>
      </c>
      <c r="C1229" s="1" t="s">
        <v>43</v>
      </c>
      <c r="D1229" s="1" t="str">
        <f t="shared" si="229"/>
        <v>9801</v>
      </c>
      <c r="E1229" s="1" t="s">
        <v>25</v>
      </c>
      <c r="F1229" s="1" t="str">
        <f>"26838273"</f>
        <v>26838273</v>
      </c>
      <c r="G1229" s="1" t="s">
        <v>33</v>
      </c>
      <c r="H1229" s="1" t="str">
        <f t="shared" si="224"/>
        <v>20220907</v>
      </c>
      <c r="I1229" s="1" t="str">
        <f>"152704"</f>
        <v>152704</v>
      </c>
      <c r="J1229" s="1" t="s">
        <v>44</v>
      </c>
      <c r="K1229" s="1" t="s">
        <v>45</v>
      </c>
      <c r="L1229" s="1" t="str">
        <f t="shared" si="230"/>
        <v>20220907</v>
      </c>
      <c r="M1229" s="1" t="str">
        <f>"153312"</f>
        <v>153312</v>
      </c>
      <c r="N1229" s="1" t="s">
        <v>100</v>
      </c>
      <c r="O1229" s="1" t="s">
        <v>45</v>
      </c>
      <c r="P1229" s="1" t="s">
        <v>55</v>
      </c>
      <c r="Q1229" s="1">
        <v>25</v>
      </c>
      <c r="R1229" s="1">
        <v>25</v>
      </c>
      <c r="S1229" s="1">
        <v>0</v>
      </c>
      <c r="T1229" s="1">
        <v>0</v>
      </c>
      <c r="U1229" s="1">
        <v>0</v>
      </c>
      <c r="V1229" s="1" t="str">
        <f t="shared" si="228"/>
        <v>里程返程</v>
      </c>
      <c r="W1229" s="1" t="str">
        <f>"0120"</f>
        <v>0120</v>
      </c>
      <c r="X1229" s="1" t="s">
        <v>35</v>
      </c>
    </row>
    <row r="1230" spans="1:24" x14ac:dyDescent="0.3">
      <c r="A1230" s="1" t="str">
        <f t="shared" si="222"/>
        <v>59809</v>
      </c>
      <c r="B1230" s="1" t="s">
        <v>42</v>
      </c>
      <c r="C1230" s="1" t="s">
        <v>43</v>
      </c>
      <c r="D1230" s="1" t="str">
        <f t="shared" si="229"/>
        <v>9801</v>
      </c>
      <c r="E1230" s="1" t="s">
        <v>25</v>
      </c>
      <c r="F1230" s="1" t="str">
        <f>"32780D0344880400C834002000000015"</f>
        <v>32780D0344880400C834002000000015</v>
      </c>
      <c r="G1230" s="1" t="s">
        <v>26</v>
      </c>
      <c r="H1230" s="1" t="str">
        <f t="shared" si="224"/>
        <v>20220907</v>
      </c>
      <c r="I1230" s="1" t="str">
        <f>"154002"</f>
        <v>154002</v>
      </c>
      <c r="J1230" s="1" t="s">
        <v>56</v>
      </c>
      <c r="K1230" s="1" t="s">
        <v>45</v>
      </c>
      <c r="L1230" s="1" t="str">
        <f t="shared" si="230"/>
        <v>20220907</v>
      </c>
      <c r="M1230" s="1" t="str">
        <f>"154825"</f>
        <v>154825</v>
      </c>
      <c r="N1230" s="1" t="s">
        <v>95</v>
      </c>
      <c r="O1230" s="1" t="s">
        <v>28</v>
      </c>
      <c r="P1230" s="1" t="s">
        <v>68</v>
      </c>
      <c r="Q1230" s="1">
        <v>13</v>
      </c>
      <c r="R1230" s="1">
        <v>0</v>
      </c>
      <c r="S1230" s="1">
        <v>0</v>
      </c>
      <c r="T1230" s="1">
        <v>13</v>
      </c>
      <c r="U1230" s="1">
        <v>0</v>
      </c>
      <c r="V1230" s="1" t="str">
        <f t="shared" si="228"/>
        <v>里程返程</v>
      </c>
      <c r="W1230" s="1" t="str">
        <f>"0020"</f>
        <v>0020</v>
      </c>
      <c r="X1230" s="1" t="s">
        <v>29</v>
      </c>
    </row>
    <row r="1231" spans="1:24" x14ac:dyDescent="0.3">
      <c r="A1231" s="1" t="str">
        <f t="shared" si="222"/>
        <v>59809</v>
      </c>
      <c r="B1231" s="1" t="s">
        <v>42</v>
      </c>
      <c r="C1231" s="1" t="s">
        <v>43</v>
      </c>
      <c r="D1231" s="1" t="str">
        <f t="shared" si="229"/>
        <v>9801</v>
      </c>
      <c r="E1231" s="1" t="s">
        <v>25</v>
      </c>
      <c r="F1231" s="1" t="str">
        <f>"797776433"</f>
        <v>797776433</v>
      </c>
      <c r="G1231" s="1" t="s">
        <v>33</v>
      </c>
      <c r="H1231" s="1" t="str">
        <f t="shared" si="224"/>
        <v>20220907</v>
      </c>
      <c r="I1231" s="1" t="str">
        <f>"155542"</f>
        <v>155542</v>
      </c>
      <c r="J1231" s="1" t="s">
        <v>28</v>
      </c>
      <c r="K1231" s="1" t="s">
        <v>28</v>
      </c>
      <c r="L1231" s="1" t="str">
        <f t="shared" si="230"/>
        <v>20220907</v>
      </c>
      <c r="M1231" s="1" t="str">
        <f>"162533"</f>
        <v>162533</v>
      </c>
      <c r="N1231" s="1" t="s">
        <v>52</v>
      </c>
      <c r="O1231" s="1" t="s">
        <v>52</v>
      </c>
      <c r="P1231" s="1" t="s">
        <v>55</v>
      </c>
      <c r="Q1231" s="1">
        <v>25</v>
      </c>
      <c r="R1231" s="1">
        <v>0</v>
      </c>
      <c r="S1231" s="1">
        <v>25</v>
      </c>
      <c r="T1231" s="1">
        <v>0</v>
      </c>
      <c r="U1231" s="1">
        <v>0</v>
      </c>
      <c r="V1231" s="1" t="str">
        <f t="shared" si="228"/>
        <v>里程返程</v>
      </c>
      <c r="W1231" s="1" t="str">
        <f>"0820"</f>
        <v>0820</v>
      </c>
      <c r="X1231" s="1" t="s">
        <v>35</v>
      </c>
    </row>
    <row r="1232" spans="1:24" x14ac:dyDescent="0.3">
      <c r="A1232" s="1" t="str">
        <f t="shared" si="222"/>
        <v>59809</v>
      </c>
      <c r="B1232" s="1" t="s">
        <v>42</v>
      </c>
      <c r="C1232" s="1" t="s">
        <v>43</v>
      </c>
      <c r="D1232" s="1" t="str">
        <f t="shared" si="229"/>
        <v>9801</v>
      </c>
      <c r="E1232" s="1" t="s">
        <v>25</v>
      </c>
      <c r="F1232" s="1" t="str">
        <f>"42AFE60209880400C834002000000015"</f>
        <v>42AFE60209880400C834002000000015</v>
      </c>
      <c r="G1232" s="1" t="s">
        <v>74</v>
      </c>
      <c r="H1232" s="1" t="str">
        <f t="shared" si="224"/>
        <v>20220907</v>
      </c>
      <c r="I1232" s="1" t="str">
        <f>"161327"</f>
        <v>161327</v>
      </c>
      <c r="J1232" s="1" t="s">
        <v>80</v>
      </c>
      <c r="K1232" s="1" t="s">
        <v>52</v>
      </c>
      <c r="L1232" s="1" t="str">
        <f t="shared" si="230"/>
        <v>20220907</v>
      </c>
      <c r="M1232" s="1" t="str">
        <f>"162547"</f>
        <v>162547</v>
      </c>
      <c r="N1232" s="1" t="s">
        <v>52</v>
      </c>
      <c r="O1232" s="1" t="s">
        <v>52</v>
      </c>
      <c r="P1232" s="1" t="s">
        <v>68</v>
      </c>
      <c r="Q1232" s="1">
        <v>13</v>
      </c>
      <c r="R1232" s="1">
        <v>0</v>
      </c>
      <c r="S1232" s="1">
        <v>0</v>
      </c>
      <c r="T1232" s="1">
        <v>13</v>
      </c>
      <c r="U1232" s="1">
        <v>0</v>
      </c>
      <c r="V1232" s="1" t="str">
        <f t="shared" si="228"/>
        <v>里程返程</v>
      </c>
      <c r="W1232" s="1" t="str">
        <f>"0020"</f>
        <v>0020</v>
      </c>
      <c r="X1232" s="1" t="s">
        <v>29</v>
      </c>
    </row>
    <row r="1233" spans="1:24" x14ac:dyDescent="0.3">
      <c r="A1233" s="1" t="str">
        <f t="shared" si="222"/>
        <v>59809</v>
      </c>
      <c r="B1233" s="1" t="s">
        <v>42</v>
      </c>
      <c r="C1233" s="1" t="s">
        <v>43</v>
      </c>
      <c r="D1233" s="1" t="str">
        <f t="shared" si="229"/>
        <v>9801</v>
      </c>
      <c r="E1233" s="1" t="s">
        <v>25</v>
      </c>
      <c r="F1233" s="1" t="str">
        <f>"3759174119"</f>
        <v>3759174119</v>
      </c>
      <c r="G1233" s="1" t="s">
        <v>33</v>
      </c>
      <c r="H1233" s="1" t="str">
        <f t="shared" si="224"/>
        <v>20220907</v>
      </c>
      <c r="I1233" s="1" t="str">
        <f>"162722"</f>
        <v>162722</v>
      </c>
      <c r="J1233" s="1" t="s">
        <v>44</v>
      </c>
      <c r="K1233" s="1" t="s">
        <v>45</v>
      </c>
      <c r="L1233" s="1" t="str">
        <f t="shared" si="230"/>
        <v>20220907</v>
      </c>
      <c r="M1233" s="1" t="str">
        <f>"165255"</f>
        <v>165255</v>
      </c>
      <c r="N1233" s="1" t="s">
        <v>28</v>
      </c>
      <c r="O1233" s="1" t="s">
        <v>28</v>
      </c>
      <c r="P1233" s="1" t="s">
        <v>55</v>
      </c>
      <c r="Q1233" s="1">
        <v>25</v>
      </c>
      <c r="R1233" s="1">
        <v>25</v>
      </c>
      <c r="S1233" s="1">
        <v>0</v>
      </c>
      <c r="T1233" s="1">
        <v>0</v>
      </c>
      <c r="U1233" s="1">
        <v>0</v>
      </c>
      <c r="V1233" s="1" t="str">
        <f t="shared" si="228"/>
        <v>里程返程</v>
      </c>
      <c r="W1233" s="1" t="str">
        <f>"0e20"</f>
        <v>0e20</v>
      </c>
      <c r="X1233" s="1" t="s">
        <v>35</v>
      </c>
    </row>
    <row r="1234" spans="1:24" x14ac:dyDescent="0.3">
      <c r="A1234" s="1" t="str">
        <f t="shared" si="222"/>
        <v>59809</v>
      </c>
      <c r="B1234" s="1" t="s">
        <v>42</v>
      </c>
      <c r="C1234" s="1" t="s">
        <v>43</v>
      </c>
      <c r="D1234" s="1" t="str">
        <f t="shared" si="229"/>
        <v>9801</v>
      </c>
      <c r="E1234" s="1" t="s">
        <v>25</v>
      </c>
      <c r="F1234" s="1" t="str">
        <f>"1081243809"</f>
        <v>1081243809</v>
      </c>
      <c r="G1234" s="1" t="s">
        <v>33</v>
      </c>
      <c r="H1234" s="1" t="str">
        <f t="shared" si="224"/>
        <v>20220907</v>
      </c>
      <c r="I1234" s="1" t="str">
        <f>"165324"</f>
        <v>165324</v>
      </c>
      <c r="J1234" s="1" t="s">
        <v>28</v>
      </c>
      <c r="K1234" s="1" t="s">
        <v>28</v>
      </c>
      <c r="L1234" s="1" t="str">
        <f t="shared" si="230"/>
        <v>20220907</v>
      </c>
      <c r="M1234" s="1" t="str">
        <f>"171051"</f>
        <v>171051</v>
      </c>
      <c r="N1234" s="1" t="s">
        <v>77</v>
      </c>
      <c r="O1234" s="1" t="s">
        <v>52</v>
      </c>
      <c r="P1234" s="1" t="s">
        <v>55</v>
      </c>
      <c r="Q1234" s="1">
        <v>25</v>
      </c>
      <c r="R1234" s="1">
        <v>25</v>
      </c>
      <c r="S1234" s="1">
        <v>0</v>
      </c>
      <c r="T1234" s="1">
        <v>0</v>
      </c>
      <c r="U1234" s="1">
        <v>0</v>
      </c>
      <c r="V1234" s="1" t="str">
        <f t="shared" si="228"/>
        <v>里程返程</v>
      </c>
      <c r="W1234" s="1" t="str">
        <f>"0120"</f>
        <v>0120</v>
      </c>
      <c r="X1234" s="1" t="s">
        <v>35</v>
      </c>
    </row>
    <row r="1235" spans="1:24" x14ac:dyDescent="0.3">
      <c r="A1235" s="1" t="str">
        <f t="shared" si="222"/>
        <v>59809</v>
      </c>
      <c r="B1235" s="1" t="s">
        <v>42</v>
      </c>
      <c r="C1235" s="1" t="s">
        <v>43</v>
      </c>
      <c r="D1235" s="1" t="str">
        <f t="shared" si="229"/>
        <v>9801</v>
      </c>
      <c r="E1235" s="1" t="s">
        <v>25</v>
      </c>
      <c r="F1235" s="1" t="str">
        <f>"278354657"</f>
        <v>278354657</v>
      </c>
      <c r="G1235" s="1" t="s">
        <v>33</v>
      </c>
      <c r="H1235" s="1" t="str">
        <f t="shared" si="224"/>
        <v>20220907</v>
      </c>
      <c r="I1235" s="1" t="str">
        <f>"165331"</f>
        <v>165331</v>
      </c>
      <c r="J1235" s="1" t="s">
        <v>28</v>
      </c>
      <c r="K1235" s="1" t="s">
        <v>28</v>
      </c>
      <c r="L1235" s="1" t="str">
        <f t="shared" si="230"/>
        <v>20220907</v>
      </c>
      <c r="M1235" s="1" t="str">
        <f>"172913"</f>
        <v>172913</v>
      </c>
      <c r="N1235" s="1" t="s">
        <v>60</v>
      </c>
      <c r="O1235" s="1" t="s">
        <v>52</v>
      </c>
      <c r="P1235" s="1" t="s">
        <v>55</v>
      </c>
      <c r="Q1235" s="1">
        <v>25</v>
      </c>
      <c r="R1235" s="1">
        <v>0</v>
      </c>
      <c r="S1235" s="1">
        <v>25</v>
      </c>
      <c r="T1235" s="1">
        <v>0</v>
      </c>
      <c r="U1235" s="1">
        <v>0</v>
      </c>
      <c r="V1235" s="1" t="str">
        <f t="shared" si="228"/>
        <v>里程返程</v>
      </c>
      <c r="W1235" s="1" t="str">
        <f>"0820"</f>
        <v>0820</v>
      </c>
      <c r="X1235" s="1" t="s">
        <v>35</v>
      </c>
    </row>
    <row r="1236" spans="1:24" x14ac:dyDescent="0.3">
      <c r="A1236" s="1" t="str">
        <f t="shared" si="222"/>
        <v>59809</v>
      </c>
      <c r="B1236" s="1" t="s">
        <v>42</v>
      </c>
      <c r="C1236" s="1" t="s">
        <v>43</v>
      </c>
      <c r="D1236" s="1" t="str">
        <f t="shared" si="229"/>
        <v>9801</v>
      </c>
      <c r="E1236" s="1" t="s">
        <v>25</v>
      </c>
      <c r="F1236" s="1" t="str">
        <f>"61CD80002C8804004324714D0013080E"</f>
        <v>61CD80002C8804004324714D0013080E</v>
      </c>
      <c r="G1236" s="1" t="s">
        <v>58</v>
      </c>
      <c r="H1236" s="1" t="str">
        <f t="shared" si="224"/>
        <v>20220907</v>
      </c>
      <c r="I1236" s="1" t="str">
        <f>"165401"</f>
        <v>165401</v>
      </c>
      <c r="J1236" s="1" t="s">
        <v>28</v>
      </c>
      <c r="K1236" s="1" t="s">
        <v>28</v>
      </c>
      <c r="L1236" s="1" t="str">
        <f t="shared" si="230"/>
        <v>20220907</v>
      </c>
      <c r="M1236" s="1" t="str">
        <f>"171034"</f>
        <v>171034</v>
      </c>
      <c r="N1236" s="1" t="s">
        <v>69</v>
      </c>
      <c r="O1236" s="1" t="s">
        <v>52</v>
      </c>
      <c r="P1236" s="1" t="s">
        <v>55</v>
      </c>
      <c r="Q1236" s="1">
        <v>25</v>
      </c>
      <c r="R1236" s="1">
        <v>25</v>
      </c>
      <c r="S1236" s="1">
        <v>0</v>
      </c>
      <c r="T1236" s="1">
        <v>0</v>
      </c>
      <c r="U1236" s="1">
        <v>0</v>
      </c>
      <c r="V1236" s="1" t="str">
        <f t="shared" si="228"/>
        <v>里程返程</v>
      </c>
      <c r="W1236" s="1" t="str">
        <f>"0020"</f>
        <v>0020</v>
      </c>
      <c r="X1236" s="1" t="s">
        <v>29</v>
      </c>
    </row>
    <row r="1237" spans="1:24" x14ac:dyDescent="0.3">
      <c r="A1237" s="1" t="str">
        <f t="shared" ref="A1237:A1268" si="231">"59820"</f>
        <v>59820</v>
      </c>
      <c r="B1237" s="1" t="s">
        <v>53</v>
      </c>
      <c r="C1237" s="1" t="s">
        <v>54</v>
      </c>
      <c r="D1237" s="1" t="str">
        <f t="shared" si="229"/>
        <v>9801</v>
      </c>
      <c r="E1237" s="1" t="s">
        <v>25</v>
      </c>
      <c r="F1237" s="1" t="str">
        <f>"F29BD102BA880400C834002000000015"</f>
        <v>F29BD102BA880400C834002000000015</v>
      </c>
      <c r="G1237" s="1" t="s">
        <v>26</v>
      </c>
      <c r="H1237" s="1" t="str">
        <f t="shared" si="224"/>
        <v>20220907</v>
      </c>
      <c r="I1237" s="1" t="str">
        <f>"083344"</f>
        <v>083344</v>
      </c>
      <c r="J1237" s="1" t="s">
        <v>44</v>
      </c>
      <c r="K1237" s="1" t="s">
        <v>45</v>
      </c>
      <c r="L1237" s="1" t="str">
        <f t="shared" si="230"/>
        <v>20220907</v>
      </c>
      <c r="M1237" s="1" t="str">
        <f>"085106"</f>
        <v>085106</v>
      </c>
      <c r="N1237" s="1" t="s">
        <v>28</v>
      </c>
      <c r="O1237" s="1" t="s">
        <v>28</v>
      </c>
      <c r="P1237" s="1" t="s">
        <v>68</v>
      </c>
      <c r="Q1237" s="1">
        <v>13</v>
      </c>
      <c r="R1237" s="1">
        <v>0</v>
      </c>
      <c r="S1237" s="1">
        <v>0</v>
      </c>
      <c r="T1237" s="1">
        <v>13</v>
      </c>
      <c r="U1237" s="1">
        <v>0</v>
      </c>
      <c r="V1237" s="1" t="str">
        <f t="shared" si="228"/>
        <v>里程返程</v>
      </c>
      <c r="W1237" s="1" t="str">
        <f>"0020"</f>
        <v>0020</v>
      </c>
      <c r="X1237" s="1" t="s">
        <v>29</v>
      </c>
    </row>
    <row r="1238" spans="1:24" x14ac:dyDescent="0.3">
      <c r="A1238" s="1" t="str">
        <f t="shared" si="231"/>
        <v>59820</v>
      </c>
      <c r="B1238" s="1" t="s">
        <v>53</v>
      </c>
      <c r="C1238" s="1" t="s">
        <v>54</v>
      </c>
      <c r="D1238" s="1" t="str">
        <f t="shared" si="229"/>
        <v>9801</v>
      </c>
      <c r="E1238" s="1" t="s">
        <v>25</v>
      </c>
      <c r="F1238" s="1" t="str">
        <f>"835995889"</f>
        <v>835995889</v>
      </c>
      <c r="G1238" s="1" t="s">
        <v>33</v>
      </c>
      <c r="H1238" s="1" t="str">
        <f t="shared" si="224"/>
        <v>20220907</v>
      </c>
      <c r="I1238" s="1" t="str">
        <f>"083842"</f>
        <v>083842</v>
      </c>
      <c r="J1238" s="1" t="s">
        <v>75</v>
      </c>
      <c r="K1238" s="1" t="s">
        <v>45</v>
      </c>
      <c r="L1238" s="1" t="str">
        <f t="shared" si="230"/>
        <v>20220907</v>
      </c>
      <c r="M1238" s="1" t="str">
        <f>"085014"</f>
        <v>085014</v>
      </c>
      <c r="N1238" s="1" t="s">
        <v>95</v>
      </c>
      <c r="O1238" s="1" t="s">
        <v>28</v>
      </c>
      <c r="P1238" s="1" t="s">
        <v>55</v>
      </c>
      <c r="Q1238" s="1">
        <v>25</v>
      </c>
      <c r="R1238" s="1">
        <v>25</v>
      </c>
      <c r="S1238" s="1">
        <v>0</v>
      </c>
      <c r="T1238" s="1">
        <v>0</v>
      </c>
      <c r="U1238" s="1">
        <v>0</v>
      </c>
      <c r="V1238" s="1" t="str">
        <f t="shared" si="228"/>
        <v>里程返程</v>
      </c>
      <c r="W1238" s="1" t="str">
        <f>"2120"</f>
        <v>2120</v>
      </c>
      <c r="X1238" s="1" t="s">
        <v>35</v>
      </c>
    </row>
    <row r="1239" spans="1:24" x14ac:dyDescent="0.3">
      <c r="A1239" s="1" t="str">
        <f t="shared" si="231"/>
        <v>59820</v>
      </c>
      <c r="B1239" s="1" t="s">
        <v>53</v>
      </c>
      <c r="C1239" s="1" t="s">
        <v>54</v>
      </c>
      <c r="D1239" s="1" t="str">
        <f t="shared" si="229"/>
        <v>9801</v>
      </c>
      <c r="E1239" s="1" t="s">
        <v>25</v>
      </c>
      <c r="F1239" s="1" t="str">
        <f>"242931249"</f>
        <v>242931249</v>
      </c>
      <c r="G1239" s="1" t="s">
        <v>33</v>
      </c>
      <c r="H1239" s="1" t="str">
        <f t="shared" si="224"/>
        <v>20220907</v>
      </c>
      <c r="I1239" s="1" t="str">
        <f>"083845"</f>
        <v>083845</v>
      </c>
      <c r="J1239" s="1" t="s">
        <v>75</v>
      </c>
      <c r="K1239" s="1" t="s">
        <v>45</v>
      </c>
      <c r="L1239" s="1" t="str">
        <f t="shared" si="230"/>
        <v>20220907</v>
      </c>
      <c r="M1239" s="1" t="str">
        <f>"085129"</f>
        <v>085129</v>
      </c>
      <c r="N1239" s="1" t="s">
        <v>28</v>
      </c>
      <c r="O1239" s="1" t="s">
        <v>28</v>
      </c>
      <c r="P1239" s="1" t="s">
        <v>55</v>
      </c>
      <c r="Q1239" s="1">
        <v>25</v>
      </c>
      <c r="R1239" s="1">
        <v>25</v>
      </c>
      <c r="S1239" s="1">
        <v>0</v>
      </c>
      <c r="T1239" s="1">
        <v>0</v>
      </c>
      <c r="U1239" s="1">
        <v>0</v>
      </c>
      <c r="V1239" s="1" t="str">
        <f t="shared" si="228"/>
        <v>里程返程</v>
      </c>
      <c r="W1239" s="1" t="str">
        <f>"2120"</f>
        <v>2120</v>
      </c>
      <c r="X1239" s="1" t="s">
        <v>35</v>
      </c>
    </row>
    <row r="1240" spans="1:24" x14ac:dyDescent="0.3">
      <c r="A1240" s="1" t="str">
        <f t="shared" si="231"/>
        <v>59820</v>
      </c>
      <c r="B1240" s="1" t="s">
        <v>53</v>
      </c>
      <c r="C1240" s="1" t="s">
        <v>54</v>
      </c>
      <c r="D1240" s="1" t="str">
        <f t="shared" si="229"/>
        <v>9801</v>
      </c>
      <c r="E1240" s="1" t="s">
        <v>25</v>
      </c>
      <c r="F1240" s="1" t="str">
        <f>"285817872"</f>
        <v>285817872</v>
      </c>
      <c r="G1240" s="1" t="s">
        <v>33</v>
      </c>
      <c r="H1240" s="1" t="str">
        <f t="shared" si="224"/>
        <v>20220907</v>
      </c>
      <c r="I1240" s="1" t="str">
        <f>"085140"</f>
        <v>085140</v>
      </c>
      <c r="J1240" s="1" t="s">
        <v>28</v>
      </c>
      <c r="K1240" s="1" t="s">
        <v>28</v>
      </c>
      <c r="L1240" s="1" t="str">
        <f t="shared" si="230"/>
        <v>20220907</v>
      </c>
      <c r="M1240" s="1" t="str">
        <f>"091828"</f>
        <v>091828</v>
      </c>
      <c r="N1240" s="1" t="s">
        <v>60</v>
      </c>
      <c r="O1240" s="1" t="s">
        <v>52</v>
      </c>
      <c r="P1240" s="1" t="s">
        <v>55</v>
      </c>
      <c r="Q1240" s="1">
        <v>25</v>
      </c>
      <c r="R1240" s="1">
        <v>25</v>
      </c>
      <c r="S1240" s="1">
        <v>0</v>
      </c>
      <c r="T1240" s="1">
        <v>0</v>
      </c>
      <c r="U1240" s="1">
        <v>0</v>
      </c>
      <c r="V1240" s="1" t="str">
        <f t="shared" si="228"/>
        <v>里程返程</v>
      </c>
      <c r="W1240" s="1" t="str">
        <f>"0820"</f>
        <v>0820</v>
      </c>
      <c r="X1240" s="1" t="s">
        <v>35</v>
      </c>
    </row>
    <row r="1241" spans="1:24" x14ac:dyDescent="0.3">
      <c r="A1241" s="1" t="str">
        <f t="shared" si="231"/>
        <v>59820</v>
      </c>
      <c r="B1241" s="1" t="s">
        <v>53</v>
      </c>
      <c r="C1241" s="1" t="s">
        <v>54</v>
      </c>
      <c r="D1241" s="1" t="str">
        <f t="shared" si="229"/>
        <v>9801</v>
      </c>
      <c r="E1241" s="1" t="s">
        <v>25</v>
      </c>
      <c r="F1241" s="1" t="str">
        <f>"E20CD3063B880400C838002000000015"</f>
        <v>E20CD3063B880400C838002000000015</v>
      </c>
      <c r="G1241" s="1" t="s">
        <v>26</v>
      </c>
      <c r="H1241" s="1" t="str">
        <f t="shared" si="224"/>
        <v>20220907</v>
      </c>
      <c r="I1241" s="1" t="str">
        <f>"085211"</f>
        <v>085211</v>
      </c>
      <c r="J1241" s="1" t="s">
        <v>28</v>
      </c>
      <c r="K1241" s="1" t="s">
        <v>28</v>
      </c>
      <c r="L1241" s="1" t="str">
        <f t="shared" si="230"/>
        <v>20220907</v>
      </c>
      <c r="M1241" s="1" t="str">
        <f>"091820"</f>
        <v>091820</v>
      </c>
      <c r="N1241" s="1" t="s">
        <v>60</v>
      </c>
      <c r="O1241" s="1" t="s">
        <v>52</v>
      </c>
      <c r="P1241" s="1" t="s">
        <v>68</v>
      </c>
      <c r="Q1241" s="1">
        <v>13</v>
      </c>
      <c r="R1241" s="1">
        <v>0</v>
      </c>
      <c r="S1241" s="1">
        <v>0</v>
      </c>
      <c r="T1241" s="1">
        <v>13</v>
      </c>
      <c r="U1241" s="1">
        <v>0</v>
      </c>
      <c r="V1241" s="1" t="str">
        <f t="shared" si="228"/>
        <v>里程返程</v>
      </c>
      <c r="W1241" s="1" t="str">
        <f>"0020"</f>
        <v>0020</v>
      </c>
      <c r="X1241" s="1" t="s">
        <v>29</v>
      </c>
    </row>
    <row r="1242" spans="1:24" x14ac:dyDescent="0.3">
      <c r="A1242" s="1" t="str">
        <f t="shared" si="231"/>
        <v>59820</v>
      </c>
      <c r="B1242" s="1" t="s">
        <v>53</v>
      </c>
      <c r="C1242" s="1" t="s">
        <v>54</v>
      </c>
      <c r="D1242" s="1" t="str">
        <f t="shared" si="229"/>
        <v>9801</v>
      </c>
      <c r="E1242" s="1" t="s">
        <v>25</v>
      </c>
      <c r="F1242" s="1" t="str">
        <f>"2604570543"</f>
        <v>2604570543</v>
      </c>
      <c r="G1242" s="1" t="s">
        <v>33</v>
      </c>
      <c r="H1242" s="1" t="str">
        <f t="shared" si="224"/>
        <v>20220907</v>
      </c>
      <c r="I1242" s="1" t="str">
        <f>"095328"</f>
        <v>095328</v>
      </c>
      <c r="J1242" s="1" t="s">
        <v>28</v>
      </c>
      <c r="K1242" s="1" t="s">
        <v>28</v>
      </c>
      <c r="L1242" s="1" t="str">
        <f t="shared" si="230"/>
        <v>20220907</v>
      </c>
      <c r="M1242" s="1" t="str">
        <f>"102259"</f>
        <v>102259</v>
      </c>
      <c r="N1242" s="1" t="s">
        <v>52</v>
      </c>
      <c r="O1242" s="1" t="s">
        <v>52</v>
      </c>
      <c r="P1242" s="1" t="s">
        <v>55</v>
      </c>
      <c r="Q1242" s="1">
        <v>25</v>
      </c>
      <c r="R1242" s="1">
        <v>25</v>
      </c>
      <c r="S1242" s="1">
        <v>0</v>
      </c>
      <c r="T1242" s="1">
        <v>0</v>
      </c>
      <c r="U1242" s="1">
        <v>0</v>
      </c>
      <c r="V1242" s="1" t="str">
        <f t="shared" si="228"/>
        <v>里程返程</v>
      </c>
      <c r="W1242" s="1" t="str">
        <f>"0320"</f>
        <v>0320</v>
      </c>
      <c r="X1242" s="1" t="s">
        <v>35</v>
      </c>
    </row>
    <row r="1243" spans="1:24" x14ac:dyDescent="0.3">
      <c r="A1243" s="1" t="str">
        <f t="shared" si="231"/>
        <v>59820</v>
      </c>
      <c r="B1243" s="1" t="s">
        <v>53</v>
      </c>
      <c r="C1243" s="1" t="s">
        <v>54</v>
      </c>
      <c r="D1243" s="1" t="str">
        <f t="shared" si="229"/>
        <v>9801</v>
      </c>
      <c r="E1243" s="1" t="s">
        <v>25</v>
      </c>
      <c r="F1243" s="1" t="str">
        <f>"82D5FB02AE880400C834002000000015"</f>
        <v>82D5FB02AE880400C834002000000015</v>
      </c>
      <c r="G1243" s="1" t="s">
        <v>26</v>
      </c>
      <c r="H1243" s="1" t="str">
        <f t="shared" si="224"/>
        <v>20220907</v>
      </c>
      <c r="I1243" s="1" t="str">
        <f>"101344"</f>
        <v>101344</v>
      </c>
      <c r="J1243" s="1" t="s">
        <v>65</v>
      </c>
      <c r="K1243" s="1" t="s">
        <v>52</v>
      </c>
      <c r="L1243" s="1" t="str">
        <f t="shared" si="230"/>
        <v>20220907</v>
      </c>
      <c r="M1243" s="1" t="str">
        <f>"101832"</f>
        <v>101832</v>
      </c>
      <c r="N1243" s="1" t="s">
        <v>60</v>
      </c>
      <c r="O1243" s="1" t="s">
        <v>52</v>
      </c>
      <c r="P1243" s="1" t="s">
        <v>68</v>
      </c>
      <c r="Q1243" s="1">
        <v>13</v>
      </c>
      <c r="R1243" s="1">
        <v>0</v>
      </c>
      <c r="S1243" s="1">
        <v>0</v>
      </c>
      <c r="T1243" s="1">
        <v>13</v>
      </c>
      <c r="U1243" s="1">
        <v>0</v>
      </c>
      <c r="V1243" s="1" t="str">
        <f t="shared" si="228"/>
        <v>里程返程</v>
      </c>
      <c r="W1243" s="1" t="str">
        <f>"0020"</f>
        <v>0020</v>
      </c>
      <c r="X1243" s="1" t="s">
        <v>29</v>
      </c>
    </row>
    <row r="1244" spans="1:24" x14ac:dyDescent="0.3">
      <c r="A1244" s="1" t="str">
        <f t="shared" si="231"/>
        <v>59820</v>
      </c>
      <c r="B1244" s="1" t="s">
        <v>53</v>
      </c>
      <c r="C1244" s="1" t="s">
        <v>54</v>
      </c>
      <c r="D1244" s="1" t="str">
        <f t="shared" si="229"/>
        <v>9801</v>
      </c>
      <c r="E1244" s="1" t="s">
        <v>25</v>
      </c>
      <c r="F1244" s="1" t="str">
        <f>"807647089"</f>
        <v>807647089</v>
      </c>
      <c r="G1244" s="1" t="s">
        <v>26</v>
      </c>
      <c r="H1244" s="1" t="str">
        <f t="shared" si="224"/>
        <v>20220907</v>
      </c>
      <c r="I1244" s="1" t="str">
        <f>"102329"</f>
        <v>102329</v>
      </c>
      <c r="J1244" s="1" t="s">
        <v>44</v>
      </c>
      <c r="K1244" s="1" t="s">
        <v>45</v>
      </c>
      <c r="L1244" s="1" t="str">
        <f t="shared" si="230"/>
        <v>20220907</v>
      </c>
      <c r="M1244" s="1" t="str">
        <f>"104351"</f>
        <v>104351</v>
      </c>
      <c r="N1244" s="1" t="s">
        <v>45</v>
      </c>
      <c r="O1244" s="1" t="s">
        <v>45</v>
      </c>
      <c r="P1244" s="1" t="s">
        <v>55</v>
      </c>
      <c r="Q1244" s="1">
        <v>13</v>
      </c>
      <c r="R1244" s="1">
        <v>0</v>
      </c>
      <c r="S1244" s="1">
        <v>13</v>
      </c>
      <c r="T1244" s="1">
        <v>0</v>
      </c>
      <c r="U1244" s="1">
        <v>0</v>
      </c>
      <c r="V1244" s="1" t="str">
        <f t="shared" si="228"/>
        <v>里程返程</v>
      </c>
      <c r="W1244" s="1" t="str">
        <f>"2120"</f>
        <v>2120</v>
      </c>
      <c r="X1244" s="1" t="s">
        <v>35</v>
      </c>
    </row>
    <row r="1245" spans="1:24" x14ac:dyDescent="0.3">
      <c r="A1245" s="1" t="str">
        <f t="shared" si="231"/>
        <v>59820</v>
      </c>
      <c r="B1245" s="1" t="s">
        <v>53</v>
      </c>
      <c r="C1245" s="1" t="s">
        <v>54</v>
      </c>
      <c r="D1245" s="1" t="str">
        <f t="shared" si="229"/>
        <v>9801</v>
      </c>
      <c r="E1245" s="1" t="s">
        <v>25</v>
      </c>
      <c r="F1245" s="1" t="str">
        <f>"2604570543"</f>
        <v>2604570543</v>
      </c>
      <c r="G1245" s="1" t="s">
        <v>33</v>
      </c>
      <c r="H1245" s="1" t="str">
        <f t="shared" si="224"/>
        <v>20220907</v>
      </c>
      <c r="I1245" s="1" t="str">
        <f>"102342"</f>
        <v>102342</v>
      </c>
      <c r="J1245" s="1" t="s">
        <v>44</v>
      </c>
      <c r="K1245" s="1" t="s">
        <v>45</v>
      </c>
      <c r="L1245" s="1" t="str">
        <f t="shared" si="230"/>
        <v>20220907</v>
      </c>
      <c r="M1245" s="1" t="str">
        <f>"105337"</f>
        <v>105337</v>
      </c>
      <c r="N1245" s="1" t="s">
        <v>28</v>
      </c>
      <c r="O1245" s="1" t="s">
        <v>28</v>
      </c>
      <c r="P1245" s="1" t="s">
        <v>55</v>
      </c>
      <c r="Q1245" s="1">
        <v>25</v>
      </c>
      <c r="R1245" s="1">
        <v>25</v>
      </c>
      <c r="S1245" s="1">
        <v>0</v>
      </c>
      <c r="T1245" s="1">
        <v>0</v>
      </c>
      <c r="U1245" s="1">
        <v>0</v>
      </c>
      <c r="V1245" s="1" t="str">
        <f t="shared" si="228"/>
        <v>里程返程</v>
      </c>
      <c r="W1245" s="1" t="str">
        <f>"2020"</f>
        <v>2020</v>
      </c>
      <c r="X1245" s="1" t="s">
        <v>35</v>
      </c>
    </row>
    <row r="1246" spans="1:24" x14ac:dyDescent="0.3">
      <c r="A1246" s="1" t="str">
        <f t="shared" si="231"/>
        <v>59820</v>
      </c>
      <c r="B1246" s="1" t="s">
        <v>53</v>
      </c>
      <c r="C1246" s="1" t="s">
        <v>54</v>
      </c>
      <c r="D1246" s="1" t="str">
        <f t="shared" si="229"/>
        <v>9801</v>
      </c>
      <c r="E1246" s="1" t="s">
        <v>25</v>
      </c>
      <c r="F1246" s="1" t="str">
        <f>"1407423105"</f>
        <v>1407423105</v>
      </c>
      <c r="G1246" s="1" t="s">
        <v>26</v>
      </c>
      <c r="H1246" s="1" t="str">
        <f t="shared" si="224"/>
        <v>20220907</v>
      </c>
      <c r="I1246" s="1" t="str">
        <f>"102344"</f>
        <v>102344</v>
      </c>
      <c r="J1246" s="1" t="s">
        <v>44</v>
      </c>
      <c r="K1246" s="1" t="s">
        <v>45</v>
      </c>
      <c r="L1246" s="1" t="str">
        <f t="shared" si="230"/>
        <v>20220907</v>
      </c>
      <c r="M1246" s="1" t="str">
        <f>"104334"</f>
        <v>104334</v>
      </c>
      <c r="N1246" s="1" t="s">
        <v>45</v>
      </c>
      <c r="O1246" s="1" t="s">
        <v>45</v>
      </c>
      <c r="P1246" s="1" t="s">
        <v>55</v>
      </c>
      <c r="Q1246" s="1">
        <v>13</v>
      </c>
      <c r="R1246" s="1">
        <v>0</v>
      </c>
      <c r="S1246" s="1">
        <v>13</v>
      </c>
      <c r="T1246" s="1">
        <v>0</v>
      </c>
      <c r="U1246" s="1">
        <v>0</v>
      </c>
      <c r="V1246" s="1" t="str">
        <f t="shared" si="228"/>
        <v>里程返程</v>
      </c>
      <c r="W1246" s="1" t="str">
        <f t="shared" ref="W1246:W1251" si="232">"2120"</f>
        <v>2120</v>
      </c>
      <c r="X1246" s="1" t="s">
        <v>35</v>
      </c>
    </row>
    <row r="1247" spans="1:24" x14ac:dyDescent="0.3">
      <c r="A1247" s="1" t="str">
        <f t="shared" si="231"/>
        <v>59820</v>
      </c>
      <c r="B1247" s="1" t="s">
        <v>53</v>
      </c>
      <c r="C1247" s="1" t="s">
        <v>54</v>
      </c>
      <c r="D1247" s="1" t="str">
        <f t="shared" si="229"/>
        <v>9801</v>
      </c>
      <c r="E1247" s="1" t="s">
        <v>25</v>
      </c>
      <c r="F1247" s="1" t="str">
        <f>"1407745041"</f>
        <v>1407745041</v>
      </c>
      <c r="G1247" s="1" t="s">
        <v>26</v>
      </c>
      <c r="H1247" s="1" t="str">
        <f t="shared" si="224"/>
        <v>20220907</v>
      </c>
      <c r="I1247" s="1" t="str">
        <f>"102349"</f>
        <v>102349</v>
      </c>
      <c r="J1247" s="1" t="s">
        <v>44</v>
      </c>
      <c r="K1247" s="1" t="s">
        <v>45</v>
      </c>
      <c r="L1247" s="1" t="str">
        <f t="shared" si="230"/>
        <v>20220907</v>
      </c>
      <c r="M1247" s="1" t="str">
        <f>"104342"</f>
        <v>104342</v>
      </c>
      <c r="N1247" s="1" t="s">
        <v>45</v>
      </c>
      <c r="O1247" s="1" t="s">
        <v>45</v>
      </c>
      <c r="P1247" s="1" t="s">
        <v>55</v>
      </c>
      <c r="Q1247" s="1">
        <v>13</v>
      </c>
      <c r="R1247" s="1">
        <v>0</v>
      </c>
      <c r="S1247" s="1">
        <v>13</v>
      </c>
      <c r="T1247" s="1">
        <v>0</v>
      </c>
      <c r="U1247" s="1">
        <v>0</v>
      </c>
      <c r="V1247" s="1" t="str">
        <f t="shared" si="228"/>
        <v>里程返程</v>
      </c>
      <c r="W1247" s="1" t="str">
        <f t="shared" si="232"/>
        <v>2120</v>
      </c>
      <c r="X1247" s="1" t="s">
        <v>35</v>
      </c>
    </row>
    <row r="1248" spans="1:24" x14ac:dyDescent="0.3">
      <c r="A1248" s="1" t="str">
        <f t="shared" si="231"/>
        <v>59820</v>
      </c>
      <c r="B1248" s="1" t="s">
        <v>53</v>
      </c>
      <c r="C1248" s="1" t="s">
        <v>54</v>
      </c>
      <c r="D1248" s="1" t="str">
        <f t="shared" si="229"/>
        <v>9801</v>
      </c>
      <c r="E1248" s="1" t="s">
        <v>25</v>
      </c>
      <c r="F1248" s="1" t="str">
        <f>"1462482513"</f>
        <v>1462482513</v>
      </c>
      <c r="G1248" s="1" t="s">
        <v>26</v>
      </c>
      <c r="H1248" s="1" t="str">
        <f t="shared" si="224"/>
        <v>20220907</v>
      </c>
      <c r="I1248" s="1" t="str">
        <f>"102354"</f>
        <v>102354</v>
      </c>
      <c r="J1248" s="1" t="s">
        <v>44</v>
      </c>
      <c r="K1248" s="1" t="s">
        <v>45</v>
      </c>
      <c r="L1248" s="1" t="str">
        <f t="shared" si="230"/>
        <v>20220907</v>
      </c>
      <c r="M1248" s="1" t="str">
        <f>"104348"</f>
        <v>104348</v>
      </c>
      <c r="N1248" s="1" t="s">
        <v>45</v>
      </c>
      <c r="O1248" s="1" t="s">
        <v>45</v>
      </c>
      <c r="P1248" s="1" t="s">
        <v>55</v>
      </c>
      <c r="Q1248" s="1">
        <v>13</v>
      </c>
      <c r="R1248" s="1">
        <v>0</v>
      </c>
      <c r="S1248" s="1">
        <v>13</v>
      </c>
      <c r="T1248" s="1">
        <v>0</v>
      </c>
      <c r="U1248" s="1">
        <v>0</v>
      </c>
      <c r="V1248" s="1" t="str">
        <f t="shared" si="228"/>
        <v>里程返程</v>
      </c>
      <c r="W1248" s="1" t="str">
        <f t="shared" si="232"/>
        <v>2120</v>
      </c>
      <c r="X1248" s="1" t="s">
        <v>35</v>
      </c>
    </row>
    <row r="1249" spans="1:24" x14ac:dyDescent="0.3">
      <c r="A1249" s="1" t="str">
        <f t="shared" si="231"/>
        <v>59820</v>
      </c>
      <c r="B1249" s="1" t="s">
        <v>53</v>
      </c>
      <c r="C1249" s="1" t="s">
        <v>54</v>
      </c>
      <c r="D1249" s="1" t="str">
        <f t="shared" si="229"/>
        <v>9801</v>
      </c>
      <c r="E1249" s="1" t="s">
        <v>25</v>
      </c>
      <c r="F1249" s="1" t="str">
        <f>"213519585"</f>
        <v>213519585</v>
      </c>
      <c r="G1249" s="1" t="s">
        <v>33</v>
      </c>
      <c r="H1249" s="1" t="str">
        <f t="shared" si="224"/>
        <v>20220907</v>
      </c>
      <c r="I1249" s="1" t="str">
        <f>"102359"</f>
        <v>102359</v>
      </c>
      <c r="J1249" s="1" t="s">
        <v>44</v>
      </c>
      <c r="K1249" s="1" t="s">
        <v>45</v>
      </c>
      <c r="L1249" s="1" t="str">
        <f t="shared" si="230"/>
        <v>20220907</v>
      </c>
      <c r="M1249" s="1" t="str">
        <f>"104354"</f>
        <v>104354</v>
      </c>
      <c r="N1249" s="1" t="s">
        <v>45</v>
      </c>
      <c r="O1249" s="1" t="s">
        <v>45</v>
      </c>
      <c r="P1249" s="1" t="s">
        <v>55</v>
      </c>
      <c r="Q1249" s="1">
        <v>25</v>
      </c>
      <c r="R1249" s="1">
        <v>0</v>
      </c>
      <c r="S1249" s="1">
        <v>25</v>
      </c>
      <c r="T1249" s="1">
        <v>0</v>
      </c>
      <c r="U1249" s="1">
        <v>0</v>
      </c>
      <c r="V1249" s="1" t="str">
        <f t="shared" si="228"/>
        <v>里程返程</v>
      </c>
      <c r="W1249" s="1" t="str">
        <f t="shared" si="232"/>
        <v>2120</v>
      </c>
      <c r="X1249" s="1" t="s">
        <v>35</v>
      </c>
    </row>
    <row r="1250" spans="1:24" x14ac:dyDescent="0.3">
      <c r="A1250" s="1" t="str">
        <f t="shared" si="231"/>
        <v>59820</v>
      </c>
      <c r="B1250" s="1" t="s">
        <v>53</v>
      </c>
      <c r="C1250" s="1" t="s">
        <v>54</v>
      </c>
      <c r="D1250" s="1" t="str">
        <f t="shared" si="229"/>
        <v>9801</v>
      </c>
      <c r="E1250" s="1" t="s">
        <v>25</v>
      </c>
      <c r="F1250" s="1" t="str">
        <f>"2723361871"</f>
        <v>2723361871</v>
      </c>
      <c r="G1250" s="1" t="s">
        <v>26</v>
      </c>
      <c r="H1250" s="1" t="str">
        <f t="shared" si="224"/>
        <v>20220907</v>
      </c>
      <c r="I1250" s="1" t="str">
        <f>"102403"</f>
        <v>102403</v>
      </c>
      <c r="J1250" s="1" t="s">
        <v>44</v>
      </c>
      <c r="K1250" s="1" t="s">
        <v>45</v>
      </c>
      <c r="L1250" s="1" t="str">
        <f t="shared" si="230"/>
        <v>20220907</v>
      </c>
      <c r="M1250" s="1" t="str">
        <f>"104344"</f>
        <v>104344</v>
      </c>
      <c r="N1250" s="1" t="s">
        <v>45</v>
      </c>
      <c r="O1250" s="1" t="s">
        <v>45</v>
      </c>
      <c r="P1250" s="1" t="s">
        <v>55</v>
      </c>
      <c r="Q1250" s="1">
        <v>13</v>
      </c>
      <c r="R1250" s="1">
        <v>0</v>
      </c>
      <c r="S1250" s="1">
        <v>13</v>
      </c>
      <c r="T1250" s="1">
        <v>0</v>
      </c>
      <c r="U1250" s="1">
        <v>0</v>
      </c>
      <c r="V1250" s="1" t="str">
        <f t="shared" si="228"/>
        <v>里程返程</v>
      </c>
      <c r="W1250" s="1" t="str">
        <f t="shared" si="232"/>
        <v>2120</v>
      </c>
      <c r="X1250" s="1" t="s">
        <v>35</v>
      </c>
    </row>
    <row r="1251" spans="1:24" x14ac:dyDescent="0.3">
      <c r="A1251" s="1" t="str">
        <f t="shared" si="231"/>
        <v>59820</v>
      </c>
      <c r="B1251" s="1" t="s">
        <v>53</v>
      </c>
      <c r="C1251" s="1" t="s">
        <v>54</v>
      </c>
      <c r="D1251" s="1" t="str">
        <f t="shared" si="229"/>
        <v>9801</v>
      </c>
      <c r="E1251" s="1" t="s">
        <v>25</v>
      </c>
      <c r="F1251" s="1" t="str">
        <f>"813782993"</f>
        <v>813782993</v>
      </c>
      <c r="G1251" s="1" t="s">
        <v>26</v>
      </c>
      <c r="H1251" s="1" t="str">
        <f t="shared" si="224"/>
        <v>20220907</v>
      </c>
      <c r="I1251" s="1" t="str">
        <f>"102409"</f>
        <v>102409</v>
      </c>
      <c r="J1251" s="1" t="s">
        <v>44</v>
      </c>
      <c r="K1251" s="1" t="s">
        <v>45</v>
      </c>
      <c r="L1251" s="1" t="str">
        <f t="shared" si="230"/>
        <v>20220907</v>
      </c>
      <c r="M1251" s="1" t="str">
        <f>"104339"</f>
        <v>104339</v>
      </c>
      <c r="N1251" s="1" t="s">
        <v>45</v>
      </c>
      <c r="O1251" s="1" t="s">
        <v>45</v>
      </c>
      <c r="P1251" s="1" t="s">
        <v>55</v>
      </c>
      <c r="Q1251" s="1">
        <v>13</v>
      </c>
      <c r="R1251" s="1">
        <v>0</v>
      </c>
      <c r="S1251" s="1">
        <v>13</v>
      </c>
      <c r="T1251" s="1">
        <v>0</v>
      </c>
      <c r="U1251" s="1">
        <v>0</v>
      </c>
      <c r="V1251" s="1" t="str">
        <f t="shared" si="228"/>
        <v>里程返程</v>
      </c>
      <c r="W1251" s="1" t="str">
        <f t="shared" si="232"/>
        <v>2120</v>
      </c>
      <c r="X1251" s="1" t="s">
        <v>35</v>
      </c>
    </row>
    <row r="1252" spans="1:24" x14ac:dyDescent="0.3">
      <c r="A1252" s="1" t="str">
        <f t="shared" si="231"/>
        <v>59820</v>
      </c>
      <c r="B1252" s="1" t="s">
        <v>53</v>
      </c>
      <c r="C1252" s="1" t="s">
        <v>54</v>
      </c>
      <c r="D1252" s="1" t="str">
        <f t="shared" si="229"/>
        <v>9801</v>
      </c>
      <c r="E1252" s="1" t="s">
        <v>25</v>
      </c>
      <c r="F1252" s="1" t="str">
        <f>"31EFC851472804001C00000000000000"</f>
        <v>31EFC851472804001C00000000000000</v>
      </c>
      <c r="G1252" s="1" t="s">
        <v>58</v>
      </c>
      <c r="H1252" s="1" t="str">
        <f t="shared" si="224"/>
        <v>20220907</v>
      </c>
      <c r="I1252" s="1" t="str">
        <f>"103825"</f>
        <v>103825</v>
      </c>
      <c r="J1252" s="1" t="s">
        <v>75</v>
      </c>
      <c r="K1252" s="1" t="s">
        <v>45</v>
      </c>
      <c r="L1252" s="1" t="str">
        <f t="shared" si="230"/>
        <v>20220907</v>
      </c>
      <c r="M1252" s="1" t="str">
        <f>"105358"</f>
        <v>105358</v>
      </c>
      <c r="N1252" s="1" t="s">
        <v>28</v>
      </c>
      <c r="O1252" s="1" t="s">
        <v>28</v>
      </c>
      <c r="P1252" s="1" t="s">
        <v>55</v>
      </c>
      <c r="Q1252" s="1">
        <v>25</v>
      </c>
      <c r="R1252" s="1">
        <v>25</v>
      </c>
      <c r="S1252" s="1">
        <v>0</v>
      </c>
      <c r="T1252" s="1">
        <v>0</v>
      </c>
      <c r="U1252" s="1">
        <v>0</v>
      </c>
      <c r="V1252" s="1" t="str">
        <f t="shared" si="228"/>
        <v>里程返程</v>
      </c>
      <c r="W1252" s="1" t="str">
        <f>"0020"</f>
        <v>0020</v>
      </c>
      <c r="X1252" s="1" t="s">
        <v>29</v>
      </c>
    </row>
    <row r="1253" spans="1:24" x14ac:dyDescent="0.3">
      <c r="A1253" s="1" t="str">
        <f t="shared" si="231"/>
        <v>59820</v>
      </c>
      <c r="B1253" s="1" t="s">
        <v>53</v>
      </c>
      <c r="C1253" s="1" t="s">
        <v>54</v>
      </c>
      <c r="D1253" s="1" t="str">
        <f t="shared" si="229"/>
        <v>9801</v>
      </c>
      <c r="E1253" s="1" t="s">
        <v>25</v>
      </c>
      <c r="F1253" s="1" t="str">
        <f>"1837579752"</f>
        <v>1837579752</v>
      </c>
      <c r="G1253" s="1" t="s">
        <v>26</v>
      </c>
      <c r="H1253" s="1" t="str">
        <f t="shared" si="224"/>
        <v>20220907</v>
      </c>
      <c r="I1253" s="1" t="str">
        <f>"104400"</f>
        <v>104400</v>
      </c>
      <c r="J1253" s="1" t="s">
        <v>45</v>
      </c>
      <c r="K1253" s="1" t="s">
        <v>45</v>
      </c>
      <c r="L1253" s="1" t="str">
        <f t="shared" si="230"/>
        <v>20220907</v>
      </c>
      <c r="M1253" s="1" t="str">
        <f>"105352"</f>
        <v>105352</v>
      </c>
      <c r="N1253" s="1" t="s">
        <v>28</v>
      </c>
      <c r="O1253" s="1" t="s">
        <v>28</v>
      </c>
      <c r="P1253" s="1" t="s">
        <v>55</v>
      </c>
      <c r="Q1253" s="1">
        <v>13</v>
      </c>
      <c r="R1253" s="1">
        <v>13</v>
      </c>
      <c r="S1253" s="1">
        <v>0</v>
      </c>
      <c r="T1253" s="1">
        <v>0</v>
      </c>
      <c r="U1253" s="1">
        <v>0</v>
      </c>
      <c r="V1253" s="1" t="str">
        <f t="shared" si="228"/>
        <v>里程返程</v>
      </c>
      <c r="W1253" s="1" t="str">
        <f>"2120"</f>
        <v>2120</v>
      </c>
      <c r="X1253" s="1" t="s">
        <v>35</v>
      </c>
    </row>
    <row r="1254" spans="1:24" x14ac:dyDescent="0.3">
      <c r="A1254" s="1" t="str">
        <f t="shared" si="231"/>
        <v>59820</v>
      </c>
      <c r="B1254" s="1" t="s">
        <v>53</v>
      </c>
      <c r="C1254" s="1" t="s">
        <v>54</v>
      </c>
      <c r="D1254" s="1" t="str">
        <f t="shared" si="229"/>
        <v>9801</v>
      </c>
      <c r="E1254" s="1" t="s">
        <v>25</v>
      </c>
      <c r="F1254" s="1" t="str">
        <f>"940641493"</f>
        <v>940641493</v>
      </c>
      <c r="G1254" s="1" t="s">
        <v>26</v>
      </c>
      <c r="H1254" s="1" t="str">
        <f t="shared" si="224"/>
        <v>20220907</v>
      </c>
      <c r="I1254" s="1" t="str">
        <f>"104403"</f>
        <v>104403</v>
      </c>
      <c r="J1254" s="1" t="s">
        <v>45</v>
      </c>
      <c r="K1254" s="1" t="s">
        <v>45</v>
      </c>
      <c r="L1254" s="1" t="str">
        <f t="shared" si="230"/>
        <v>20220907</v>
      </c>
      <c r="M1254" s="1" t="str">
        <f>"105355"</f>
        <v>105355</v>
      </c>
      <c r="N1254" s="1" t="s">
        <v>28</v>
      </c>
      <c r="O1254" s="1" t="s">
        <v>28</v>
      </c>
      <c r="P1254" s="1" t="s">
        <v>55</v>
      </c>
      <c r="Q1254" s="1">
        <v>13</v>
      </c>
      <c r="R1254" s="1">
        <v>13</v>
      </c>
      <c r="S1254" s="1">
        <v>0</v>
      </c>
      <c r="T1254" s="1">
        <v>0</v>
      </c>
      <c r="U1254" s="1">
        <v>0</v>
      </c>
      <c r="V1254" s="1" t="str">
        <f t="shared" si="228"/>
        <v>里程返程</v>
      </c>
      <c r="W1254" s="1" t="str">
        <f>"2120"</f>
        <v>2120</v>
      </c>
      <c r="X1254" s="1" t="s">
        <v>35</v>
      </c>
    </row>
    <row r="1255" spans="1:24" x14ac:dyDescent="0.3">
      <c r="A1255" s="1" t="str">
        <f t="shared" si="231"/>
        <v>59820</v>
      </c>
      <c r="B1255" s="1" t="s">
        <v>53</v>
      </c>
      <c r="C1255" s="1" t="s">
        <v>54</v>
      </c>
      <c r="D1255" s="1" t="str">
        <f t="shared" si="229"/>
        <v>9801</v>
      </c>
      <c r="E1255" s="1" t="s">
        <v>25</v>
      </c>
      <c r="F1255" s="1" t="str">
        <f>"103370081"</f>
        <v>103370081</v>
      </c>
      <c r="G1255" s="1" t="s">
        <v>33</v>
      </c>
      <c r="H1255" s="1" t="str">
        <f t="shared" si="224"/>
        <v>20220907</v>
      </c>
      <c r="I1255" s="1" t="str">
        <f>"114440"</f>
        <v>114440</v>
      </c>
      <c r="J1255" s="1" t="s">
        <v>45</v>
      </c>
      <c r="K1255" s="1" t="s">
        <v>45</v>
      </c>
      <c r="L1255" s="1" t="str">
        <f t="shared" si="230"/>
        <v>20220907</v>
      </c>
      <c r="M1255" s="1" t="str">
        <f>"115146"</f>
        <v>115146</v>
      </c>
      <c r="N1255" s="1" t="s">
        <v>28</v>
      </c>
      <c r="O1255" s="1" t="s">
        <v>28</v>
      </c>
      <c r="P1255" s="1" t="s">
        <v>55</v>
      </c>
      <c r="Q1255" s="1">
        <v>25</v>
      </c>
      <c r="R1255" s="1">
        <v>0</v>
      </c>
      <c r="S1255" s="1">
        <v>25</v>
      </c>
      <c r="T1255" s="1">
        <v>0</v>
      </c>
      <c r="U1255" s="1">
        <v>0</v>
      </c>
      <c r="V1255" s="1" t="str">
        <f t="shared" si="228"/>
        <v>里程返程</v>
      </c>
      <c r="W1255" s="1" t="str">
        <f>"2020"</f>
        <v>2020</v>
      </c>
      <c r="X1255" s="1" t="s">
        <v>35</v>
      </c>
    </row>
    <row r="1256" spans="1:24" x14ac:dyDescent="0.3">
      <c r="A1256" s="1" t="str">
        <f t="shared" si="231"/>
        <v>59820</v>
      </c>
      <c r="B1256" s="1" t="s">
        <v>53</v>
      </c>
      <c r="C1256" s="1" t="s">
        <v>54</v>
      </c>
      <c r="D1256" s="1" t="str">
        <f t="shared" si="229"/>
        <v>9801</v>
      </c>
      <c r="E1256" s="1" t="s">
        <v>25</v>
      </c>
      <c r="F1256" s="1" t="str">
        <f>"1388618337"</f>
        <v>1388618337</v>
      </c>
      <c r="G1256" s="1" t="s">
        <v>33</v>
      </c>
      <c r="H1256" s="1" t="str">
        <f t="shared" si="224"/>
        <v>20220907</v>
      </c>
      <c r="I1256" s="1" t="str">
        <f>"115152"</f>
        <v>115152</v>
      </c>
      <c r="J1256" s="1" t="s">
        <v>28</v>
      </c>
      <c r="K1256" s="1" t="s">
        <v>28</v>
      </c>
      <c r="L1256" s="1" t="str">
        <f t="shared" si="230"/>
        <v>20220907</v>
      </c>
      <c r="M1256" s="1" t="str">
        <f>"120957"</f>
        <v>120957</v>
      </c>
      <c r="N1256" s="1" t="s">
        <v>77</v>
      </c>
      <c r="O1256" s="1" t="s">
        <v>52</v>
      </c>
      <c r="P1256" s="1" t="s">
        <v>55</v>
      </c>
      <c r="Q1256" s="1">
        <v>25</v>
      </c>
      <c r="R1256" s="1">
        <v>25</v>
      </c>
      <c r="S1256" s="1">
        <v>0</v>
      </c>
      <c r="T1256" s="1">
        <v>0</v>
      </c>
      <c r="U1256" s="1">
        <v>0</v>
      </c>
      <c r="V1256" s="1" t="str">
        <f t="shared" si="228"/>
        <v>里程返程</v>
      </c>
      <c r="W1256" s="1" t="str">
        <f>"2520"</f>
        <v>2520</v>
      </c>
      <c r="X1256" s="1" t="s">
        <v>35</v>
      </c>
    </row>
    <row r="1257" spans="1:24" x14ac:dyDescent="0.3">
      <c r="A1257" s="1" t="str">
        <f t="shared" si="231"/>
        <v>59820</v>
      </c>
      <c r="B1257" s="1" t="s">
        <v>53</v>
      </c>
      <c r="C1257" s="1" t="s">
        <v>54</v>
      </c>
      <c r="D1257" s="1" t="str">
        <f t="shared" si="229"/>
        <v>9801</v>
      </c>
      <c r="E1257" s="1" t="s">
        <v>25</v>
      </c>
      <c r="F1257" s="1" t="str">
        <f>"321EF20ED0880400C820002000000018"</f>
        <v>321EF20ED0880400C820002000000018</v>
      </c>
      <c r="G1257" s="1" t="s">
        <v>59</v>
      </c>
      <c r="H1257" s="1" t="str">
        <f t="shared" si="224"/>
        <v>20220907</v>
      </c>
      <c r="I1257" s="1" t="str">
        <f>"115216"</f>
        <v>115216</v>
      </c>
      <c r="J1257" s="1" t="s">
        <v>28</v>
      </c>
      <c r="K1257" s="1" t="s">
        <v>28</v>
      </c>
      <c r="L1257" s="1" t="str">
        <f t="shared" si="230"/>
        <v>20220907</v>
      </c>
      <c r="M1257" s="1" t="str">
        <f>"122353"</f>
        <v>122353</v>
      </c>
      <c r="N1257" s="1" t="s">
        <v>52</v>
      </c>
      <c r="O1257" s="1" t="s">
        <v>52</v>
      </c>
      <c r="P1257" s="1" t="s">
        <v>55</v>
      </c>
      <c r="Q1257" s="1">
        <v>25</v>
      </c>
      <c r="R1257" s="1">
        <v>0</v>
      </c>
      <c r="S1257" s="1">
        <v>25</v>
      </c>
      <c r="T1257" s="1">
        <v>0</v>
      </c>
      <c r="U1257" s="1">
        <v>0</v>
      </c>
      <c r="V1257" s="1" t="str">
        <f t="shared" si="228"/>
        <v>里程返程</v>
      </c>
      <c r="W1257" s="1" t="str">
        <f>"0620"</f>
        <v>0620</v>
      </c>
      <c r="X1257" s="1" t="s">
        <v>29</v>
      </c>
    </row>
    <row r="1258" spans="1:24" x14ac:dyDescent="0.3">
      <c r="A1258" s="1" t="str">
        <f t="shared" si="231"/>
        <v>59820</v>
      </c>
      <c r="B1258" s="1" t="s">
        <v>53</v>
      </c>
      <c r="C1258" s="1" t="s">
        <v>54</v>
      </c>
      <c r="D1258" s="1" t="str">
        <f t="shared" si="229"/>
        <v>9801</v>
      </c>
      <c r="E1258" s="1" t="s">
        <v>25</v>
      </c>
      <c r="F1258" s="1" t="str">
        <f>"740030661"</f>
        <v>740030661</v>
      </c>
      <c r="G1258" s="1" t="s">
        <v>26</v>
      </c>
      <c r="H1258" s="1" t="str">
        <f t="shared" si="224"/>
        <v>20220907</v>
      </c>
      <c r="I1258" s="1" t="str">
        <f>"115300"</f>
        <v>115300</v>
      </c>
      <c r="J1258" s="1" t="s">
        <v>28</v>
      </c>
      <c r="K1258" s="1" t="s">
        <v>28</v>
      </c>
      <c r="L1258" s="1" t="str">
        <f t="shared" si="230"/>
        <v>20220907</v>
      </c>
      <c r="M1258" s="1" t="str">
        <f>"120816"</f>
        <v>120816</v>
      </c>
      <c r="N1258" s="1" t="s">
        <v>77</v>
      </c>
      <c r="O1258" s="1" t="s">
        <v>52</v>
      </c>
      <c r="P1258" s="1" t="s">
        <v>55</v>
      </c>
      <c r="Q1258" s="1">
        <v>13</v>
      </c>
      <c r="R1258" s="1">
        <v>0</v>
      </c>
      <c r="S1258" s="1">
        <v>13</v>
      </c>
      <c r="T1258" s="1">
        <v>0</v>
      </c>
      <c r="U1258" s="1">
        <v>0</v>
      </c>
      <c r="V1258" s="1" t="str">
        <f t="shared" si="228"/>
        <v>里程返程</v>
      </c>
      <c r="W1258" s="1" t="str">
        <f>"0820"</f>
        <v>0820</v>
      </c>
      <c r="X1258" s="1" t="s">
        <v>35</v>
      </c>
    </row>
    <row r="1259" spans="1:24" x14ac:dyDescent="0.3">
      <c r="A1259" s="1" t="str">
        <f t="shared" si="231"/>
        <v>59820</v>
      </c>
      <c r="B1259" s="1" t="s">
        <v>53</v>
      </c>
      <c r="C1259" s="1" t="s">
        <v>54</v>
      </c>
      <c r="D1259" s="1" t="str">
        <f t="shared" si="229"/>
        <v>9801</v>
      </c>
      <c r="E1259" s="1" t="s">
        <v>25</v>
      </c>
      <c r="F1259" s="1" t="str">
        <f>"972710469"</f>
        <v>972710469</v>
      </c>
      <c r="G1259" s="1" t="s">
        <v>26</v>
      </c>
      <c r="H1259" s="1" t="str">
        <f t="shared" ref="H1259:H1322" si="233">"20220907"</f>
        <v>20220907</v>
      </c>
      <c r="I1259" s="1" t="str">
        <f>"115303"</f>
        <v>115303</v>
      </c>
      <c r="J1259" s="1" t="s">
        <v>28</v>
      </c>
      <c r="K1259" s="1" t="s">
        <v>28</v>
      </c>
      <c r="L1259" s="1" t="str">
        <f t="shared" ref="L1259:L1290" si="234">"20220907"</f>
        <v>20220907</v>
      </c>
      <c r="M1259" s="1" t="str">
        <f>"120813"</f>
        <v>120813</v>
      </c>
      <c r="N1259" s="1" t="s">
        <v>69</v>
      </c>
      <c r="O1259" s="1" t="s">
        <v>52</v>
      </c>
      <c r="P1259" s="1" t="s">
        <v>55</v>
      </c>
      <c r="Q1259" s="1">
        <v>13</v>
      </c>
      <c r="R1259" s="1">
        <v>0</v>
      </c>
      <c r="S1259" s="1">
        <v>13</v>
      </c>
      <c r="T1259" s="1">
        <v>0</v>
      </c>
      <c r="U1259" s="1">
        <v>0</v>
      </c>
      <c r="V1259" s="1" t="str">
        <f t="shared" si="228"/>
        <v>里程返程</v>
      </c>
      <c r="W1259" s="1" t="str">
        <f>"0820"</f>
        <v>0820</v>
      </c>
      <c r="X1259" s="1" t="s">
        <v>35</v>
      </c>
    </row>
    <row r="1260" spans="1:24" x14ac:dyDescent="0.3">
      <c r="A1260" s="1" t="str">
        <f t="shared" si="231"/>
        <v>59820</v>
      </c>
      <c r="B1260" s="1" t="s">
        <v>53</v>
      </c>
      <c r="C1260" s="1" t="s">
        <v>54</v>
      </c>
      <c r="D1260" s="1" t="str">
        <f t="shared" si="229"/>
        <v>9801</v>
      </c>
      <c r="E1260" s="1" t="s">
        <v>25</v>
      </c>
      <c r="F1260" s="1" t="str">
        <f>"A239F5056B880400C838002000000015"</f>
        <v>A239F5056B880400C838002000000015</v>
      </c>
      <c r="G1260" s="1" t="s">
        <v>26</v>
      </c>
      <c r="H1260" s="1" t="str">
        <f t="shared" si="233"/>
        <v>20220907</v>
      </c>
      <c r="I1260" s="1" t="str">
        <f>"120506"</f>
        <v>120506</v>
      </c>
      <c r="J1260" s="1" t="s">
        <v>67</v>
      </c>
      <c r="K1260" s="1" t="s">
        <v>52</v>
      </c>
      <c r="L1260" s="1" t="str">
        <f t="shared" si="234"/>
        <v>20220907</v>
      </c>
      <c r="M1260" s="1" t="str">
        <f>"121619"</f>
        <v>121619</v>
      </c>
      <c r="N1260" s="1" t="s">
        <v>72</v>
      </c>
      <c r="O1260" s="1" t="s">
        <v>52</v>
      </c>
      <c r="P1260" s="1" t="s">
        <v>68</v>
      </c>
      <c r="Q1260" s="1">
        <v>13</v>
      </c>
      <c r="R1260" s="1">
        <v>0</v>
      </c>
      <c r="S1260" s="1">
        <v>0</v>
      </c>
      <c r="T1260" s="1">
        <v>13</v>
      </c>
      <c r="U1260" s="1">
        <v>0</v>
      </c>
      <c r="V1260" s="1" t="str">
        <f t="shared" si="228"/>
        <v>里程返程</v>
      </c>
      <c r="W1260" s="1" t="str">
        <f>"0020"</f>
        <v>0020</v>
      </c>
      <c r="X1260" s="1" t="s">
        <v>29</v>
      </c>
    </row>
    <row r="1261" spans="1:24" x14ac:dyDescent="0.3">
      <c r="A1261" s="1" t="str">
        <f t="shared" si="231"/>
        <v>59820</v>
      </c>
      <c r="B1261" s="1" t="s">
        <v>53</v>
      </c>
      <c r="C1261" s="1" t="s">
        <v>54</v>
      </c>
      <c r="D1261" s="1" t="str">
        <f t="shared" si="229"/>
        <v>9801</v>
      </c>
      <c r="E1261" s="1" t="s">
        <v>25</v>
      </c>
      <c r="F1261" s="1" t="str">
        <f>"82D5FB02AE880400C834002000000015"</f>
        <v>82D5FB02AE880400C834002000000015</v>
      </c>
      <c r="G1261" s="1" t="s">
        <v>26</v>
      </c>
      <c r="H1261" s="1" t="str">
        <f t="shared" si="233"/>
        <v>20220907</v>
      </c>
      <c r="I1261" s="1" t="str">
        <f>"121527"</f>
        <v>121527</v>
      </c>
      <c r="J1261" s="1" t="s">
        <v>65</v>
      </c>
      <c r="K1261" s="1" t="s">
        <v>52</v>
      </c>
      <c r="L1261" s="1" t="str">
        <f t="shared" si="234"/>
        <v>20220907</v>
      </c>
      <c r="M1261" s="1" t="str">
        <f>"122007"</f>
        <v>122007</v>
      </c>
      <c r="N1261" s="1" t="s">
        <v>60</v>
      </c>
      <c r="O1261" s="1" t="s">
        <v>52</v>
      </c>
      <c r="P1261" s="1" t="s">
        <v>68</v>
      </c>
      <c r="Q1261" s="1">
        <v>13</v>
      </c>
      <c r="R1261" s="1">
        <v>0</v>
      </c>
      <c r="S1261" s="1">
        <v>0</v>
      </c>
      <c r="T1261" s="1">
        <v>13</v>
      </c>
      <c r="U1261" s="1">
        <v>0</v>
      </c>
      <c r="V1261" s="1" t="str">
        <f t="shared" si="228"/>
        <v>里程返程</v>
      </c>
      <c r="W1261" s="1" t="str">
        <f>"0020"</f>
        <v>0020</v>
      </c>
      <c r="X1261" s="1" t="s">
        <v>29</v>
      </c>
    </row>
    <row r="1262" spans="1:24" x14ac:dyDescent="0.3">
      <c r="A1262" s="1" t="str">
        <f t="shared" si="231"/>
        <v>59820</v>
      </c>
      <c r="B1262" s="1" t="s">
        <v>53</v>
      </c>
      <c r="C1262" s="1" t="s">
        <v>54</v>
      </c>
      <c r="D1262" s="1" t="str">
        <f>"9805"</f>
        <v>9805</v>
      </c>
      <c r="E1262" s="1" t="s">
        <v>57</v>
      </c>
      <c r="F1262" s="1" t="str">
        <f>"241261295"</f>
        <v>241261295</v>
      </c>
      <c r="G1262" s="1" t="s">
        <v>26</v>
      </c>
      <c r="H1262" s="1" t="str">
        <f t="shared" si="233"/>
        <v>20220907</v>
      </c>
      <c r="I1262" s="1" t="str">
        <f>"142807"</f>
        <v>142807</v>
      </c>
      <c r="J1262" s="1" t="s">
        <v>28</v>
      </c>
      <c r="K1262" s="1" t="s">
        <v>28</v>
      </c>
      <c r="L1262" s="1" t="str">
        <f t="shared" si="234"/>
        <v>20220907</v>
      </c>
      <c r="M1262" s="1" t="str">
        <f>"144726"</f>
        <v>144726</v>
      </c>
      <c r="N1262" s="1" t="s">
        <v>52</v>
      </c>
      <c r="O1262" s="1" t="s">
        <v>52</v>
      </c>
      <c r="P1262" s="1" t="s">
        <v>55</v>
      </c>
      <c r="Q1262" s="1">
        <v>13</v>
      </c>
      <c r="R1262" s="1">
        <v>13</v>
      </c>
      <c r="S1262" s="1">
        <v>0</v>
      </c>
      <c r="T1262" s="1">
        <v>0</v>
      </c>
      <c r="U1262" s="1">
        <v>0</v>
      </c>
      <c r="V1262" s="1" t="str">
        <f>"里程去程"</f>
        <v>里程去程</v>
      </c>
      <c r="W1262" s="1" t="str">
        <f>"0220"</f>
        <v>0220</v>
      </c>
      <c r="X1262" s="1" t="s">
        <v>35</v>
      </c>
    </row>
    <row r="1263" spans="1:24" x14ac:dyDescent="0.3">
      <c r="A1263" s="1" t="str">
        <f t="shared" si="231"/>
        <v>59820</v>
      </c>
      <c r="B1263" s="1" t="s">
        <v>53</v>
      </c>
      <c r="C1263" s="1" t="s">
        <v>54</v>
      </c>
      <c r="D1263" s="1" t="str">
        <f>"9805"</f>
        <v>9805</v>
      </c>
      <c r="E1263" s="1" t="s">
        <v>57</v>
      </c>
      <c r="F1263" s="1" t="str">
        <f>"5206E702B1880400C834002000000015"</f>
        <v>5206E702B1880400C834002000000015</v>
      </c>
      <c r="G1263" s="1" t="s">
        <v>74</v>
      </c>
      <c r="H1263" s="1" t="str">
        <f t="shared" si="233"/>
        <v>20220907</v>
      </c>
      <c r="I1263" s="1" t="str">
        <f>"142825"</f>
        <v>142825</v>
      </c>
      <c r="J1263" s="1" t="s">
        <v>28</v>
      </c>
      <c r="K1263" s="1" t="s">
        <v>28</v>
      </c>
      <c r="L1263" s="1" t="str">
        <f t="shared" si="234"/>
        <v>20220907</v>
      </c>
      <c r="M1263" s="1" t="str">
        <f>"143927"</f>
        <v>143927</v>
      </c>
      <c r="N1263" s="1" t="s">
        <v>79</v>
      </c>
      <c r="O1263" s="1" t="s">
        <v>28</v>
      </c>
      <c r="P1263" s="1" t="s">
        <v>68</v>
      </c>
      <c r="Q1263" s="1">
        <v>13</v>
      </c>
      <c r="R1263" s="1">
        <v>0</v>
      </c>
      <c r="S1263" s="1">
        <v>0</v>
      </c>
      <c r="T1263" s="1">
        <v>13</v>
      </c>
      <c r="U1263" s="1">
        <v>0</v>
      </c>
      <c r="V1263" s="1" t="str">
        <f>"里程去程"</f>
        <v>里程去程</v>
      </c>
      <c r="W1263" s="1" t="str">
        <f>"0020"</f>
        <v>0020</v>
      </c>
      <c r="X1263" s="1" t="s">
        <v>29</v>
      </c>
    </row>
    <row r="1264" spans="1:24" x14ac:dyDescent="0.3">
      <c r="A1264" s="1" t="str">
        <f t="shared" si="231"/>
        <v>59820</v>
      </c>
      <c r="B1264" s="1" t="s">
        <v>53</v>
      </c>
      <c r="C1264" s="1" t="s">
        <v>54</v>
      </c>
      <c r="D1264" s="1" t="str">
        <f>"9805"</f>
        <v>9805</v>
      </c>
      <c r="E1264" s="1" t="s">
        <v>57</v>
      </c>
      <c r="F1264" s="1" t="str">
        <f>"32780D0344880400C834002000000015"</f>
        <v>32780D0344880400C834002000000015</v>
      </c>
      <c r="G1264" s="1" t="s">
        <v>26</v>
      </c>
      <c r="H1264" s="1" t="str">
        <f t="shared" si="233"/>
        <v>20220907</v>
      </c>
      <c r="I1264" s="1" t="str">
        <f>"143221"</f>
        <v>143221</v>
      </c>
      <c r="J1264" s="1" t="s">
        <v>28</v>
      </c>
      <c r="K1264" s="1" t="s">
        <v>28</v>
      </c>
      <c r="L1264" s="1" t="str">
        <f t="shared" si="234"/>
        <v>20220907</v>
      </c>
      <c r="M1264" s="1" t="str">
        <f>"144403"</f>
        <v>144403</v>
      </c>
      <c r="N1264" s="1" t="s">
        <v>56</v>
      </c>
      <c r="O1264" s="1" t="s">
        <v>28</v>
      </c>
      <c r="P1264" s="1" t="s">
        <v>68</v>
      </c>
      <c r="Q1264" s="1">
        <v>13</v>
      </c>
      <c r="R1264" s="1">
        <v>0</v>
      </c>
      <c r="S1264" s="1">
        <v>0</v>
      </c>
      <c r="T1264" s="1">
        <v>13</v>
      </c>
      <c r="U1264" s="1">
        <v>0</v>
      </c>
      <c r="V1264" s="1" t="str">
        <f>"里程去程"</f>
        <v>里程去程</v>
      </c>
      <c r="W1264" s="1" t="str">
        <f>"0020"</f>
        <v>0020</v>
      </c>
      <c r="X1264" s="1" t="s">
        <v>29</v>
      </c>
    </row>
    <row r="1265" spans="1:24" x14ac:dyDescent="0.3">
      <c r="A1265" s="1" t="str">
        <f t="shared" si="231"/>
        <v>59820</v>
      </c>
      <c r="B1265" s="1" t="s">
        <v>53</v>
      </c>
      <c r="C1265" s="1" t="s">
        <v>54</v>
      </c>
      <c r="D1265" s="1" t="str">
        <f>"9805"</f>
        <v>9805</v>
      </c>
      <c r="E1265" s="1" t="s">
        <v>57</v>
      </c>
      <c r="F1265" s="1" t="str">
        <f>"1275252853"</f>
        <v>1275252853</v>
      </c>
      <c r="G1265" s="1" t="s">
        <v>33</v>
      </c>
      <c r="H1265" s="1" t="str">
        <f t="shared" si="233"/>
        <v>20220907</v>
      </c>
      <c r="I1265" s="1" t="str">
        <f>"145821"</f>
        <v>145821</v>
      </c>
      <c r="J1265" s="1" t="s">
        <v>46</v>
      </c>
      <c r="K1265" s="1" t="s">
        <v>28</v>
      </c>
      <c r="L1265" s="1" t="str">
        <f t="shared" si="234"/>
        <v>20220907</v>
      </c>
      <c r="M1265" s="1" t="str">
        <f>"150746"</f>
        <v>150746</v>
      </c>
      <c r="N1265" s="1" t="s">
        <v>28</v>
      </c>
      <c r="O1265" s="1" t="s">
        <v>28</v>
      </c>
      <c r="P1265" s="1" t="s">
        <v>55</v>
      </c>
      <c r="Q1265" s="1">
        <v>25</v>
      </c>
      <c r="R1265" s="1">
        <v>25</v>
      </c>
      <c r="S1265" s="1">
        <v>0</v>
      </c>
      <c r="T1265" s="1">
        <v>0</v>
      </c>
      <c r="U1265" s="1">
        <v>0</v>
      </c>
      <c r="V1265" s="1" t="str">
        <f>"里程返程"</f>
        <v>里程返程</v>
      </c>
      <c r="W1265" s="1" t="str">
        <f>"2020"</f>
        <v>2020</v>
      </c>
      <c r="X1265" s="1" t="s">
        <v>35</v>
      </c>
    </row>
    <row r="1266" spans="1:24" x14ac:dyDescent="0.3">
      <c r="A1266" s="1" t="str">
        <f t="shared" si="231"/>
        <v>59820</v>
      </c>
      <c r="B1266" s="1" t="s">
        <v>53</v>
      </c>
      <c r="C1266" s="1" t="s">
        <v>54</v>
      </c>
      <c r="D1266" s="1" t="str">
        <f>"9805"</f>
        <v>9805</v>
      </c>
      <c r="E1266" s="1" t="s">
        <v>57</v>
      </c>
      <c r="F1266" s="1" t="str">
        <f>"2606318579"</f>
        <v>2606318579</v>
      </c>
      <c r="G1266" s="1" t="s">
        <v>33</v>
      </c>
      <c r="H1266" s="1" t="str">
        <f t="shared" si="233"/>
        <v>20220907</v>
      </c>
      <c r="I1266" s="1" t="str">
        <f>"145825"</f>
        <v>145825</v>
      </c>
      <c r="J1266" s="1" t="s">
        <v>46</v>
      </c>
      <c r="K1266" s="1" t="s">
        <v>28</v>
      </c>
      <c r="L1266" s="1" t="str">
        <f t="shared" si="234"/>
        <v>20220907</v>
      </c>
      <c r="M1266" s="1" t="str">
        <f>"150744"</f>
        <v>150744</v>
      </c>
      <c r="N1266" s="1" t="s">
        <v>28</v>
      </c>
      <c r="O1266" s="1" t="s">
        <v>28</v>
      </c>
      <c r="P1266" s="1" t="s">
        <v>55</v>
      </c>
      <c r="Q1266" s="1">
        <v>25</v>
      </c>
      <c r="R1266" s="1">
        <v>25</v>
      </c>
      <c r="S1266" s="1">
        <v>0</v>
      </c>
      <c r="T1266" s="1">
        <v>0</v>
      </c>
      <c r="U1266" s="1">
        <v>0</v>
      </c>
      <c r="V1266" s="1" t="str">
        <f>"里程返程"</f>
        <v>里程返程</v>
      </c>
      <c r="W1266" s="1" t="str">
        <f>"2020"</f>
        <v>2020</v>
      </c>
      <c r="X1266" s="1" t="s">
        <v>35</v>
      </c>
    </row>
    <row r="1267" spans="1:24" x14ac:dyDescent="0.3">
      <c r="A1267" s="1" t="str">
        <f t="shared" si="231"/>
        <v>59820</v>
      </c>
      <c r="B1267" s="1" t="s">
        <v>53</v>
      </c>
      <c r="C1267" s="1" t="s">
        <v>54</v>
      </c>
      <c r="D1267" s="1" t="str">
        <f t="shared" ref="D1267:D1283" si="235">"9803"</f>
        <v>9803</v>
      </c>
      <c r="E1267" s="1" t="s">
        <v>32</v>
      </c>
      <c r="F1267" s="1" t="str">
        <f>"641927361"</f>
        <v>641927361</v>
      </c>
      <c r="G1267" s="1" t="s">
        <v>33</v>
      </c>
      <c r="H1267" s="1" t="str">
        <f t="shared" si="233"/>
        <v>20220907</v>
      </c>
      <c r="I1267" s="1" t="str">
        <f>"150814"</f>
        <v>150814</v>
      </c>
      <c r="J1267" s="1" t="s">
        <v>28</v>
      </c>
      <c r="K1267" s="1" t="s">
        <v>28</v>
      </c>
      <c r="L1267" s="1" t="str">
        <f t="shared" si="234"/>
        <v>20220907</v>
      </c>
      <c r="M1267" s="1" t="str">
        <f>"152606"</f>
        <v>152606</v>
      </c>
      <c r="N1267" s="1" t="s">
        <v>34</v>
      </c>
      <c r="O1267" s="1" t="s">
        <v>34</v>
      </c>
      <c r="P1267" s="1" t="s">
        <v>55</v>
      </c>
      <c r="Q1267" s="1">
        <v>25</v>
      </c>
      <c r="R1267" s="1">
        <v>25</v>
      </c>
      <c r="S1267" s="1">
        <v>0</v>
      </c>
      <c r="T1267" s="1">
        <v>0</v>
      </c>
      <c r="U1267" s="1">
        <v>0</v>
      </c>
      <c r="V1267" s="1" t="str">
        <f>"里程去程"</f>
        <v>里程去程</v>
      </c>
      <c r="W1267" s="1" t="str">
        <f>"0820"</f>
        <v>0820</v>
      </c>
      <c r="X1267" s="1" t="s">
        <v>35</v>
      </c>
    </row>
    <row r="1268" spans="1:24" x14ac:dyDescent="0.3">
      <c r="A1268" s="1" t="str">
        <f t="shared" si="231"/>
        <v>59820</v>
      </c>
      <c r="B1268" s="1" t="s">
        <v>53</v>
      </c>
      <c r="C1268" s="1" t="s">
        <v>54</v>
      </c>
      <c r="D1268" s="1" t="str">
        <f t="shared" si="235"/>
        <v>9803</v>
      </c>
      <c r="E1268" s="1" t="s">
        <v>32</v>
      </c>
      <c r="F1268" s="1" t="str">
        <f>"1986C11F418804004326A82E00030211"</f>
        <v>1986C11F418804004326A82E00030211</v>
      </c>
      <c r="G1268" s="1" t="s">
        <v>58</v>
      </c>
      <c r="H1268" s="1" t="str">
        <f t="shared" si="233"/>
        <v>20220907</v>
      </c>
      <c r="I1268" s="1" t="str">
        <f>"154243"</f>
        <v>154243</v>
      </c>
      <c r="J1268" s="1" t="s">
        <v>34</v>
      </c>
      <c r="K1268" s="1" t="s">
        <v>34</v>
      </c>
      <c r="L1268" s="1" t="str">
        <f t="shared" si="234"/>
        <v>20220907</v>
      </c>
      <c r="M1268" s="1" t="str">
        <f>"160702"</f>
        <v>160702</v>
      </c>
      <c r="N1268" s="1" t="s">
        <v>28</v>
      </c>
      <c r="O1268" s="1" t="s">
        <v>28</v>
      </c>
      <c r="P1268" s="1" t="s">
        <v>55</v>
      </c>
      <c r="Q1268" s="1">
        <v>25</v>
      </c>
      <c r="R1268" s="1">
        <v>25</v>
      </c>
      <c r="S1268" s="1">
        <v>0</v>
      </c>
      <c r="T1268" s="1">
        <v>0</v>
      </c>
      <c r="U1268" s="1">
        <v>0</v>
      </c>
      <c r="V1268" s="1" t="str">
        <f t="shared" ref="V1268:V1283" si="236">"里程返程"</f>
        <v>里程返程</v>
      </c>
      <c r="W1268" s="1" t="str">
        <f>"0020"</f>
        <v>0020</v>
      </c>
      <c r="X1268" s="1" t="s">
        <v>29</v>
      </c>
    </row>
    <row r="1269" spans="1:24" x14ac:dyDescent="0.3">
      <c r="A1269" s="1" t="str">
        <f t="shared" ref="A1269:A1296" si="237">"59820"</f>
        <v>59820</v>
      </c>
      <c r="B1269" s="1" t="s">
        <v>53</v>
      </c>
      <c r="C1269" s="1" t="s">
        <v>54</v>
      </c>
      <c r="D1269" s="1" t="str">
        <f t="shared" si="235"/>
        <v>9803</v>
      </c>
      <c r="E1269" s="1" t="s">
        <v>32</v>
      </c>
      <c r="F1269" s="1" t="str">
        <f>"1761452085"</f>
        <v>1761452085</v>
      </c>
      <c r="G1269" s="1" t="s">
        <v>33</v>
      </c>
      <c r="H1269" s="1" t="str">
        <f t="shared" si="233"/>
        <v>20220907</v>
      </c>
      <c r="I1269" s="1" t="str">
        <f>"154247"</f>
        <v>154247</v>
      </c>
      <c r="J1269" s="1" t="s">
        <v>34</v>
      </c>
      <c r="K1269" s="1" t="s">
        <v>34</v>
      </c>
      <c r="L1269" s="1" t="str">
        <f t="shared" si="234"/>
        <v>20220907</v>
      </c>
      <c r="M1269" s="1" t="str">
        <f>"160610"</f>
        <v>160610</v>
      </c>
      <c r="N1269" s="1" t="s">
        <v>28</v>
      </c>
      <c r="O1269" s="1" t="s">
        <v>28</v>
      </c>
      <c r="P1269" s="1" t="s">
        <v>55</v>
      </c>
      <c r="Q1269" s="1">
        <v>25</v>
      </c>
      <c r="R1269" s="1">
        <v>25</v>
      </c>
      <c r="S1269" s="1">
        <v>0</v>
      </c>
      <c r="T1269" s="1">
        <v>0</v>
      </c>
      <c r="U1269" s="1">
        <v>0</v>
      </c>
      <c r="V1269" s="1" t="str">
        <f t="shared" si="236"/>
        <v>里程返程</v>
      </c>
      <c r="W1269" s="1" t="str">
        <f>"2020"</f>
        <v>2020</v>
      </c>
      <c r="X1269" s="1" t="s">
        <v>35</v>
      </c>
    </row>
    <row r="1270" spans="1:24" x14ac:dyDescent="0.3">
      <c r="A1270" s="1" t="str">
        <f t="shared" si="237"/>
        <v>59820</v>
      </c>
      <c r="B1270" s="1" t="s">
        <v>53</v>
      </c>
      <c r="C1270" s="1" t="s">
        <v>54</v>
      </c>
      <c r="D1270" s="1" t="str">
        <f t="shared" si="235"/>
        <v>9803</v>
      </c>
      <c r="E1270" s="1" t="s">
        <v>32</v>
      </c>
      <c r="F1270" s="1" t="str">
        <f>"1260142357"</f>
        <v>1260142357</v>
      </c>
      <c r="G1270" s="1" t="s">
        <v>38</v>
      </c>
      <c r="H1270" s="1" t="str">
        <f t="shared" si="233"/>
        <v>20220907</v>
      </c>
      <c r="I1270" s="1" t="str">
        <f>"154255"</f>
        <v>154255</v>
      </c>
      <c r="J1270" s="1" t="s">
        <v>34</v>
      </c>
      <c r="K1270" s="1" t="s">
        <v>34</v>
      </c>
      <c r="L1270" s="1" t="str">
        <f t="shared" si="234"/>
        <v>20220907</v>
      </c>
      <c r="M1270" s="1" t="str">
        <f>"160658"</f>
        <v>160658</v>
      </c>
      <c r="N1270" s="1" t="s">
        <v>28</v>
      </c>
      <c r="O1270" s="1" t="s">
        <v>28</v>
      </c>
      <c r="P1270" s="1" t="s">
        <v>55</v>
      </c>
      <c r="Q1270" s="1">
        <v>25</v>
      </c>
      <c r="R1270" s="1">
        <v>25</v>
      </c>
      <c r="S1270" s="1">
        <v>0</v>
      </c>
      <c r="T1270" s="1">
        <v>0</v>
      </c>
      <c r="U1270" s="1">
        <v>0</v>
      </c>
      <c r="V1270" s="1" t="str">
        <f t="shared" si="236"/>
        <v>里程返程</v>
      </c>
      <c r="W1270" s="1" t="str">
        <f>"2020"</f>
        <v>2020</v>
      </c>
      <c r="X1270" s="1" t="s">
        <v>35</v>
      </c>
    </row>
    <row r="1271" spans="1:24" x14ac:dyDescent="0.3">
      <c r="A1271" s="1" t="str">
        <f t="shared" si="237"/>
        <v>59820</v>
      </c>
      <c r="B1271" s="1" t="s">
        <v>53</v>
      </c>
      <c r="C1271" s="1" t="s">
        <v>54</v>
      </c>
      <c r="D1271" s="1" t="str">
        <f t="shared" si="235"/>
        <v>9803</v>
      </c>
      <c r="E1271" s="1" t="s">
        <v>32</v>
      </c>
      <c r="F1271" s="1" t="str">
        <f>"01C51E18C2280400F700000000000000"</f>
        <v>01C51E18C2280400F700000000000000</v>
      </c>
      <c r="G1271" s="1" t="s">
        <v>58</v>
      </c>
      <c r="H1271" s="1" t="str">
        <f t="shared" si="233"/>
        <v>20220907</v>
      </c>
      <c r="I1271" s="1" t="str">
        <f>"154307"</f>
        <v>154307</v>
      </c>
      <c r="J1271" s="1" t="s">
        <v>34</v>
      </c>
      <c r="K1271" s="1" t="s">
        <v>34</v>
      </c>
      <c r="L1271" s="1" t="str">
        <f t="shared" si="234"/>
        <v>20220907</v>
      </c>
      <c r="M1271" s="1" t="str">
        <f>"160602"</f>
        <v>160602</v>
      </c>
      <c r="N1271" s="1" t="s">
        <v>28</v>
      </c>
      <c r="O1271" s="1" t="s">
        <v>28</v>
      </c>
      <c r="P1271" s="1" t="s">
        <v>55</v>
      </c>
      <c r="Q1271" s="1">
        <v>25</v>
      </c>
      <c r="R1271" s="1">
        <v>25</v>
      </c>
      <c r="S1271" s="1">
        <v>0</v>
      </c>
      <c r="T1271" s="1">
        <v>0</v>
      </c>
      <c r="U1271" s="1">
        <v>0</v>
      </c>
      <c r="V1271" s="1" t="str">
        <f t="shared" si="236"/>
        <v>里程返程</v>
      </c>
      <c r="W1271" s="1" t="str">
        <f>"0020"</f>
        <v>0020</v>
      </c>
      <c r="X1271" s="1" t="s">
        <v>29</v>
      </c>
    </row>
    <row r="1272" spans="1:24" x14ac:dyDescent="0.3">
      <c r="A1272" s="1" t="str">
        <f t="shared" si="237"/>
        <v>59820</v>
      </c>
      <c r="B1272" s="1" t="s">
        <v>53</v>
      </c>
      <c r="C1272" s="1" t="s">
        <v>54</v>
      </c>
      <c r="D1272" s="1" t="str">
        <f t="shared" si="235"/>
        <v>9803</v>
      </c>
      <c r="E1272" s="1" t="s">
        <v>32</v>
      </c>
      <c r="F1272" s="1" t="str">
        <f>"1259919989"</f>
        <v>1259919989</v>
      </c>
      <c r="G1272" s="1" t="s">
        <v>38</v>
      </c>
      <c r="H1272" s="1" t="str">
        <f t="shared" si="233"/>
        <v>20220907</v>
      </c>
      <c r="I1272" s="1" t="str">
        <f>"154310"</f>
        <v>154310</v>
      </c>
      <c r="J1272" s="1" t="s">
        <v>34</v>
      </c>
      <c r="K1272" s="1" t="s">
        <v>34</v>
      </c>
      <c r="L1272" s="1" t="str">
        <f t="shared" si="234"/>
        <v>20220907</v>
      </c>
      <c r="M1272" s="1" t="str">
        <f>"160612"</f>
        <v>160612</v>
      </c>
      <c r="N1272" s="1" t="s">
        <v>28</v>
      </c>
      <c r="O1272" s="1" t="s">
        <v>28</v>
      </c>
      <c r="P1272" s="1" t="s">
        <v>55</v>
      </c>
      <c r="Q1272" s="1">
        <v>25</v>
      </c>
      <c r="R1272" s="1">
        <v>25</v>
      </c>
      <c r="S1272" s="1">
        <v>0</v>
      </c>
      <c r="T1272" s="1">
        <v>0</v>
      </c>
      <c r="U1272" s="1">
        <v>0</v>
      </c>
      <c r="V1272" s="1" t="str">
        <f t="shared" si="236"/>
        <v>里程返程</v>
      </c>
      <c r="W1272" s="1" t="str">
        <f t="shared" ref="W1272:W1279" si="238">"2020"</f>
        <v>2020</v>
      </c>
      <c r="X1272" s="1" t="s">
        <v>35</v>
      </c>
    </row>
    <row r="1273" spans="1:24" x14ac:dyDescent="0.3">
      <c r="A1273" s="1" t="str">
        <f t="shared" si="237"/>
        <v>59820</v>
      </c>
      <c r="B1273" s="1" t="s">
        <v>53</v>
      </c>
      <c r="C1273" s="1" t="s">
        <v>54</v>
      </c>
      <c r="D1273" s="1" t="str">
        <f t="shared" si="235"/>
        <v>9803</v>
      </c>
      <c r="E1273" s="1" t="s">
        <v>32</v>
      </c>
      <c r="F1273" s="1" t="str">
        <f>"1230289381"</f>
        <v>1230289381</v>
      </c>
      <c r="G1273" s="1" t="s">
        <v>38</v>
      </c>
      <c r="H1273" s="1" t="str">
        <f t="shared" si="233"/>
        <v>20220907</v>
      </c>
      <c r="I1273" s="1" t="str">
        <f>"154324"</f>
        <v>154324</v>
      </c>
      <c r="J1273" s="1" t="s">
        <v>34</v>
      </c>
      <c r="K1273" s="1" t="s">
        <v>34</v>
      </c>
      <c r="L1273" s="1" t="str">
        <f t="shared" si="234"/>
        <v>20220907</v>
      </c>
      <c r="M1273" s="1" t="str">
        <f>"160617"</f>
        <v>160617</v>
      </c>
      <c r="N1273" s="1" t="s">
        <v>28</v>
      </c>
      <c r="O1273" s="1" t="s">
        <v>28</v>
      </c>
      <c r="P1273" s="1" t="s">
        <v>55</v>
      </c>
      <c r="Q1273" s="1">
        <v>25</v>
      </c>
      <c r="R1273" s="1">
        <v>25</v>
      </c>
      <c r="S1273" s="1">
        <v>0</v>
      </c>
      <c r="T1273" s="1">
        <v>0</v>
      </c>
      <c r="U1273" s="1">
        <v>0</v>
      </c>
      <c r="V1273" s="1" t="str">
        <f t="shared" si="236"/>
        <v>里程返程</v>
      </c>
      <c r="W1273" s="1" t="str">
        <f t="shared" si="238"/>
        <v>2020</v>
      </c>
      <c r="X1273" s="1" t="s">
        <v>35</v>
      </c>
    </row>
    <row r="1274" spans="1:24" x14ac:dyDescent="0.3">
      <c r="A1274" s="1" t="str">
        <f t="shared" si="237"/>
        <v>59820</v>
      </c>
      <c r="B1274" s="1" t="s">
        <v>53</v>
      </c>
      <c r="C1274" s="1" t="s">
        <v>54</v>
      </c>
      <c r="D1274" s="1" t="str">
        <f t="shared" si="235"/>
        <v>9803</v>
      </c>
      <c r="E1274" s="1" t="s">
        <v>32</v>
      </c>
      <c r="F1274" s="1" t="str">
        <f>"1260493381"</f>
        <v>1260493381</v>
      </c>
      <c r="G1274" s="1" t="s">
        <v>38</v>
      </c>
      <c r="H1274" s="1" t="str">
        <f t="shared" si="233"/>
        <v>20220907</v>
      </c>
      <c r="I1274" s="1" t="str">
        <f>"154329"</f>
        <v>154329</v>
      </c>
      <c r="J1274" s="1" t="s">
        <v>34</v>
      </c>
      <c r="K1274" s="1" t="s">
        <v>34</v>
      </c>
      <c r="L1274" s="1" t="str">
        <f t="shared" si="234"/>
        <v>20220907</v>
      </c>
      <c r="M1274" s="1" t="str">
        <f>"160656"</f>
        <v>160656</v>
      </c>
      <c r="N1274" s="1" t="s">
        <v>28</v>
      </c>
      <c r="O1274" s="1" t="s">
        <v>28</v>
      </c>
      <c r="P1274" s="1" t="s">
        <v>55</v>
      </c>
      <c r="Q1274" s="1">
        <v>25</v>
      </c>
      <c r="R1274" s="1">
        <v>25</v>
      </c>
      <c r="S1274" s="1">
        <v>0</v>
      </c>
      <c r="T1274" s="1">
        <v>0</v>
      </c>
      <c r="U1274" s="1">
        <v>0</v>
      </c>
      <c r="V1274" s="1" t="str">
        <f t="shared" si="236"/>
        <v>里程返程</v>
      </c>
      <c r="W1274" s="1" t="str">
        <f t="shared" si="238"/>
        <v>2020</v>
      </c>
      <c r="X1274" s="1" t="s">
        <v>35</v>
      </c>
    </row>
    <row r="1275" spans="1:24" x14ac:dyDescent="0.3">
      <c r="A1275" s="1" t="str">
        <f t="shared" si="237"/>
        <v>59820</v>
      </c>
      <c r="B1275" s="1" t="s">
        <v>53</v>
      </c>
      <c r="C1275" s="1" t="s">
        <v>54</v>
      </c>
      <c r="D1275" s="1" t="str">
        <f t="shared" si="235"/>
        <v>9803</v>
      </c>
      <c r="E1275" s="1" t="s">
        <v>32</v>
      </c>
      <c r="F1275" s="1" t="str">
        <f>"1264177061"</f>
        <v>1264177061</v>
      </c>
      <c r="G1275" s="1" t="s">
        <v>38</v>
      </c>
      <c r="H1275" s="1" t="str">
        <f t="shared" si="233"/>
        <v>20220907</v>
      </c>
      <c r="I1275" s="1" t="str">
        <f>"154333"</f>
        <v>154333</v>
      </c>
      <c r="J1275" s="1" t="s">
        <v>34</v>
      </c>
      <c r="K1275" s="1" t="s">
        <v>34</v>
      </c>
      <c r="L1275" s="1" t="str">
        <f t="shared" si="234"/>
        <v>20220907</v>
      </c>
      <c r="M1275" s="1" t="str">
        <f>"160653"</f>
        <v>160653</v>
      </c>
      <c r="N1275" s="1" t="s">
        <v>28</v>
      </c>
      <c r="O1275" s="1" t="s">
        <v>28</v>
      </c>
      <c r="P1275" s="1" t="s">
        <v>55</v>
      </c>
      <c r="Q1275" s="1">
        <v>25</v>
      </c>
      <c r="R1275" s="1">
        <v>25</v>
      </c>
      <c r="S1275" s="1">
        <v>0</v>
      </c>
      <c r="T1275" s="1">
        <v>0</v>
      </c>
      <c r="U1275" s="1">
        <v>0</v>
      </c>
      <c r="V1275" s="1" t="str">
        <f t="shared" si="236"/>
        <v>里程返程</v>
      </c>
      <c r="W1275" s="1" t="str">
        <f t="shared" si="238"/>
        <v>2020</v>
      </c>
      <c r="X1275" s="1" t="s">
        <v>35</v>
      </c>
    </row>
    <row r="1276" spans="1:24" x14ac:dyDescent="0.3">
      <c r="A1276" s="1" t="str">
        <f t="shared" si="237"/>
        <v>59820</v>
      </c>
      <c r="B1276" s="1" t="s">
        <v>53</v>
      </c>
      <c r="C1276" s="1" t="s">
        <v>54</v>
      </c>
      <c r="D1276" s="1" t="str">
        <f t="shared" si="235"/>
        <v>9803</v>
      </c>
      <c r="E1276" s="1" t="s">
        <v>32</v>
      </c>
      <c r="F1276" s="1" t="str">
        <f>"1045570453"</f>
        <v>1045570453</v>
      </c>
      <c r="G1276" s="1" t="s">
        <v>26</v>
      </c>
      <c r="H1276" s="1" t="str">
        <f t="shared" si="233"/>
        <v>20220907</v>
      </c>
      <c r="I1276" s="1" t="str">
        <f>"154336"</f>
        <v>154336</v>
      </c>
      <c r="J1276" s="1" t="s">
        <v>34</v>
      </c>
      <c r="K1276" s="1" t="s">
        <v>34</v>
      </c>
      <c r="L1276" s="1" t="str">
        <f t="shared" si="234"/>
        <v>20220907</v>
      </c>
      <c r="M1276" s="1" t="str">
        <f>"160625"</f>
        <v>160625</v>
      </c>
      <c r="N1276" s="1" t="s">
        <v>28</v>
      </c>
      <c r="O1276" s="1" t="s">
        <v>28</v>
      </c>
      <c r="P1276" s="1" t="s">
        <v>55</v>
      </c>
      <c r="Q1276" s="1">
        <v>13</v>
      </c>
      <c r="R1276" s="1">
        <v>13</v>
      </c>
      <c r="S1276" s="1">
        <v>0</v>
      </c>
      <c r="T1276" s="1">
        <v>0</v>
      </c>
      <c r="U1276" s="1">
        <v>0</v>
      </c>
      <c r="V1276" s="1" t="str">
        <f t="shared" si="236"/>
        <v>里程返程</v>
      </c>
      <c r="W1276" s="1" t="str">
        <f t="shared" si="238"/>
        <v>2020</v>
      </c>
      <c r="X1276" s="1" t="s">
        <v>35</v>
      </c>
    </row>
    <row r="1277" spans="1:24" x14ac:dyDescent="0.3">
      <c r="A1277" s="1" t="str">
        <f t="shared" si="237"/>
        <v>59820</v>
      </c>
      <c r="B1277" s="1" t="s">
        <v>53</v>
      </c>
      <c r="C1277" s="1" t="s">
        <v>54</v>
      </c>
      <c r="D1277" s="1" t="str">
        <f t="shared" si="235"/>
        <v>9803</v>
      </c>
      <c r="E1277" s="1" t="s">
        <v>32</v>
      </c>
      <c r="F1277" s="1" t="str">
        <f>"795893829"</f>
        <v>795893829</v>
      </c>
      <c r="G1277" s="1" t="s">
        <v>26</v>
      </c>
      <c r="H1277" s="1" t="str">
        <f t="shared" si="233"/>
        <v>20220907</v>
      </c>
      <c r="I1277" s="1" t="str">
        <f>"154339"</f>
        <v>154339</v>
      </c>
      <c r="J1277" s="1" t="s">
        <v>34</v>
      </c>
      <c r="K1277" s="1" t="s">
        <v>34</v>
      </c>
      <c r="L1277" s="1" t="str">
        <f t="shared" si="234"/>
        <v>20220907</v>
      </c>
      <c r="M1277" s="1" t="str">
        <f>"160651"</f>
        <v>160651</v>
      </c>
      <c r="N1277" s="1" t="s">
        <v>28</v>
      </c>
      <c r="O1277" s="1" t="s">
        <v>28</v>
      </c>
      <c r="P1277" s="1" t="s">
        <v>55</v>
      </c>
      <c r="Q1277" s="1">
        <v>13</v>
      </c>
      <c r="R1277" s="1">
        <v>13</v>
      </c>
      <c r="S1277" s="1">
        <v>0</v>
      </c>
      <c r="T1277" s="1">
        <v>0</v>
      </c>
      <c r="U1277" s="1">
        <v>0</v>
      </c>
      <c r="V1277" s="1" t="str">
        <f t="shared" si="236"/>
        <v>里程返程</v>
      </c>
      <c r="W1277" s="1" t="str">
        <f t="shared" si="238"/>
        <v>2020</v>
      </c>
      <c r="X1277" s="1" t="s">
        <v>35</v>
      </c>
    </row>
    <row r="1278" spans="1:24" x14ac:dyDescent="0.3">
      <c r="A1278" s="1" t="str">
        <f t="shared" si="237"/>
        <v>59820</v>
      </c>
      <c r="B1278" s="1" t="s">
        <v>53</v>
      </c>
      <c r="C1278" s="1" t="s">
        <v>54</v>
      </c>
      <c r="D1278" s="1" t="str">
        <f t="shared" si="235"/>
        <v>9803</v>
      </c>
      <c r="E1278" s="1" t="s">
        <v>32</v>
      </c>
      <c r="F1278" s="1" t="str">
        <f>"929767121"</f>
        <v>929767121</v>
      </c>
      <c r="G1278" s="1" t="s">
        <v>33</v>
      </c>
      <c r="H1278" s="1" t="str">
        <f t="shared" si="233"/>
        <v>20220907</v>
      </c>
      <c r="I1278" s="1" t="str">
        <f>"154343"</f>
        <v>154343</v>
      </c>
      <c r="J1278" s="1" t="s">
        <v>34</v>
      </c>
      <c r="K1278" s="1" t="s">
        <v>34</v>
      </c>
      <c r="L1278" s="1" t="str">
        <f t="shared" si="234"/>
        <v>20220907</v>
      </c>
      <c r="M1278" s="1" t="str">
        <f>"160623"</f>
        <v>160623</v>
      </c>
      <c r="N1278" s="1" t="s">
        <v>28</v>
      </c>
      <c r="O1278" s="1" t="s">
        <v>28</v>
      </c>
      <c r="P1278" s="1" t="s">
        <v>55</v>
      </c>
      <c r="Q1278" s="1">
        <v>25</v>
      </c>
      <c r="R1278" s="1">
        <v>25</v>
      </c>
      <c r="S1278" s="1">
        <v>0</v>
      </c>
      <c r="T1278" s="1">
        <v>0</v>
      </c>
      <c r="U1278" s="1">
        <v>0</v>
      </c>
      <c r="V1278" s="1" t="str">
        <f t="shared" si="236"/>
        <v>里程返程</v>
      </c>
      <c r="W1278" s="1" t="str">
        <f t="shared" si="238"/>
        <v>2020</v>
      </c>
      <c r="X1278" s="1" t="s">
        <v>35</v>
      </c>
    </row>
    <row r="1279" spans="1:24" x14ac:dyDescent="0.3">
      <c r="A1279" s="1" t="str">
        <f t="shared" si="237"/>
        <v>59820</v>
      </c>
      <c r="B1279" s="1" t="s">
        <v>53</v>
      </c>
      <c r="C1279" s="1" t="s">
        <v>54</v>
      </c>
      <c r="D1279" s="1" t="str">
        <f t="shared" si="235"/>
        <v>9803</v>
      </c>
      <c r="E1279" s="1" t="s">
        <v>32</v>
      </c>
      <c r="F1279" s="1" t="str">
        <f>"1219803313"</f>
        <v>1219803313</v>
      </c>
      <c r="G1279" s="1" t="s">
        <v>33</v>
      </c>
      <c r="H1279" s="1" t="str">
        <f t="shared" si="233"/>
        <v>20220907</v>
      </c>
      <c r="I1279" s="1" t="str">
        <f>"154345"</f>
        <v>154345</v>
      </c>
      <c r="J1279" s="1" t="s">
        <v>34</v>
      </c>
      <c r="K1279" s="1" t="s">
        <v>34</v>
      </c>
      <c r="L1279" s="1" t="str">
        <f t="shared" si="234"/>
        <v>20220907</v>
      </c>
      <c r="M1279" s="1" t="str">
        <f>"160647"</f>
        <v>160647</v>
      </c>
      <c r="N1279" s="1" t="s">
        <v>28</v>
      </c>
      <c r="O1279" s="1" t="s">
        <v>28</v>
      </c>
      <c r="P1279" s="1" t="s">
        <v>55</v>
      </c>
      <c r="Q1279" s="1">
        <v>25</v>
      </c>
      <c r="R1279" s="1">
        <v>25</v>
      </c>
      <c r="S1279" s="1">
        <v>0</v>
      </c>
      <c r="T1279" s="1">
        <v>0</v>
      </c>
      <c r="U1279" s="1">
        <v>0</v>
      </c>
      <c r="V1279" s="1" t="str">
        <f t="shared" si="236"/>
        <v>里程返程</v>
      </c>
      <c r="W1279" s="1" t="str">
        <f t="shared" si="238"/>
        <v>2020</v>
      </c>
      <c r="X1279" s="1" t="s">
        <v>35</v>
      </c>
    </row>
    <row r="1280" spans="1:24" x14ac:dyDescent="0.3">
      <c r="A1280" s="1" t="str">
        <f t="shared" si="237"/>
        <v>59820</v>
      </c>
      <c r="B1280" s="1" t="s">
        <v>53</v>
      </c>
      <c r="C1280" s="1" t="s">
        <v>54</v>
      </c>
      <c r="D1280" s="1" t="str">
        <f t="shared" si="235"/>
        <v>9803</v>
      </c>
      <c r="E1280" s="1" t="s">
        <v>32</v>
      </c>
      <c r="F1280" s="1" t="str">
        <f>"E1525436D12804001C00000000000000"</f>
        <v>E1525436D12804001C00000000000000</v>
      </c>
      <c r="G1280" s="1" t="s">
        <v>58</v>
      </c>
      <c r="H1280" s="1" t="str">
        <f t="shared" si="233"/>
        <v>20220907</v>
      </c>
      <c r="I1280" s="1" t="str">
        <f>"154350"</f>
        <v>154350</v>
      </c>
      <c r="J1280" s="1" t="s">
        <v>34</v>
      </c>
      <c r="K1280" s="1" t="s">
        <v>34</v>
      </c>
      <c r="L1280" s="1" t="str">
        <f t="shared" si="234"/>
        <v>20220907</v>
      </c>
      <c r="M1280" s="1" t="str">
        <f>"160620"</f>
        <v>160620</v>
      </c>
      <c r="N1280" s="1" t="s">
        <v>28</v>
      </c>
      <c r="O1280" s="1" t="s">
        <v>28</v>
      </c>
      <c r="P1280" s="1" t="s">
        <v>55</v>
      </c>
      <c r="Q1280" s="1">
        <v>25</v>
      </c>
      <c r="R1280" s="1">
        <v>25</v>
      </c>
      <c r="S1280" s="1">
        <v>0</v>
      </c>
      <c r="T1280" s="1">
        <v>0</v>
      </c>
      <c r="U1280" s="1">
        <v>0</v>
      </c>
      <c r="V1280" s="1" t="str">
        <f t="shared" si="236"/>
        <v>里程返程</v>
      </c>
      <c r="W1280" s="1" t="str">
        <f>"0020"</f>
        <v>0020</v>
      </c>
      <c r="X1280" s="1" t="s">
        <v>29</v>
      </c>
    </row>
    <row r="1281" spans="1:24" x14ac:dyDescent="0.3">
      <c r="A1281" s="1" t="str">
        <f t="shared" si="237"/>
        <v>59820</v>
      </c>
      <c r="B1281" s="1" t="s">
        <v>53</v>
      </c>
      <c r="C1281" s="1" t="s">
        <v>54</v>
      </c>
      <c r="D1281" s="1" t="str">
        <f t="shared" si="235"/>
        <v>9803</v>
      </c>
      <c r="E1281" s="1" t="s">
        <v>32</v>
      </c>
      <c r="F1281" s="1" t="str">
        <f>"226239073"</f>
        <v>226239073</v>
      </c>
      <c r="G1281" s="1" t="s">
        <v>33</v>
      </c>
      <c r="H1281" s="1" t="str">
        <f t="shared" si="233"/>
        <v>20220907</v>
      </c>
      <c r="I1281" s="1" t="str">
        <f>"154408"</f>
        <v>154408</v>
      </c>
      <c r="J1281" s="1" t="s">
        <v>34</v>
      </c>
      <c r="K1281" s="1" t="s">
        <v>34</v>
      </c>
      <c r="L1281" s="1" t="str">
        <f t="shared" si="234"/>
        <v>20220907</v>
      </c>
      <c r="M1281" s="1" t="str">
        <f>"160629"</f>
        <v>160629</v>
      </c>
      <c r="N1281" s="1" t="s">
        <v>28</v>
      </c>
      <c r="O1281" s="1" t="s">
        <v>28</v>
      </c>
      <c r="P1281" s="1" t="s">
        <v>55</v>
      </c>
      <c r="Q1281" s="1">
        <v>25</v>
      </c>
      <c r="R1281" s="1">
        <v>25</v>
      </c>
      <c r="S1281" s="1">
        <v>0</v>
      </c>
      <c r="T1281" s="1">
        <v>0</v>
      </c>
      <c r="U1281" s="1">
        <v>0</v>
      </c>
      <c r="V1281" s="1" t="str">
        <f t="shared" si="236"/>
        <v>里程返程</v>
      </c>
      <c r="W1281" s="1" t="str">
        <f>"2020"</f>
        <v>2020</v>
      </c>
      <c r="X1281" s="1" t="s">
        <v>35</v>
      </c>
    </row>
    <row r="1282" spans="1:24" x14ac:dyDescent="0.3">
      <c r="A1282" s="1" t="str">
        <f t="shared" si="237"/>
        <v>59820</v>
      </c>
      <c r="B1282" s="1" t="s">
        <v>53</v>
      </c>
      <c r="C1282" s="1" t="s">
        <v>54</v>
      </c>
      <c r="D1282" s="1" t="str">
        <f t="shared" si="235"/>
        <v>9803</v>
      </c>
      <c r="E1282" s="1" t="s">
        <v>32</v>
      </c>
      <c r="F1282" s="1" t="str">
        <f>"529183985"</f>
        <v>529183985</v>
      </c>
      <c r="G1282" s="1" t="s">
        <v>33</v>
      </c>
      <c r="H1282" s="1" t="str">
        <f t="shared" si="233"/>
        <v>20220907</v>
      </c>
      <c r="I1282" s="1" t="str">
        <f>"154426"</f>
        <v>154426</v>
      </c>
      <c r="J1282" s="1" t="s">
        <v>34</v>
      </c>
      <c r="K1282" s="1" t="s">
        <v>34</v>
      </c>
      <c r="L1282" s="1" t="str">
        <f t="shared" si="234"/>
        <v>20220907</v>
      </c>
      <c r="M1282" s="1" t="str">
        <f>"160641"</f>
        <v>160641</v>
      </c>
      <c r="N1282" s="1" t="s">
        <v>28</v>
      </c>
      <c r="O1282" s="1" t="s">
        <v>28</v>
      </c>
      <c r="P1282" s="1" t="s">
        <v>55</v>
      </c>
      <c r="Q1282" s="1">
        <v>25</v>
      </c>
      <c r="R1282" s="1">
        <v>25</v>
      </c>
      <c r="S1282" s="1">
        <v>0</v>
      </c>
      <c r="T1282" s="1">
        <v>0</v>
      </c>
      <c r="U1282" s="1">
        <v>0</v>
      </c>
      <c r="V1282" s="1" t="str">
        <f t="shared" si="236"/>
        <v>里程返程</v>
      </c>
      <c r="W1282" s="1" t="str">
        <f>"2020"</f>
        <v>2020</v>
      </c>
      <c r="X1282" s="1" t="s">
        <v>35</v>
      </c>
    </row>
    <row r="1283" spans="1:24" x14ac:dyDescent="0.3">
      <c r="A1283" s="1" t="str">
        <f t="shared" si="237"/>
        <v>59820</v>
      </c>
      <c r="B1283" s="1" t="s">
        <v>53</v>
      </c>
      <c r="C1283" s="1" t="s">
        <v>54</v>
      </c>
      <c r="D1283" s="1" t="str">
        <f t="shared" si="235"/>
        <v>9803</v>
      </c>
      <c r="E1283" s="1" t="s">
        <v>32</v>
      </c>
      <c r="F1283" s="1" t="str">
        <f>"7111150687005189"</f>
        <v>7111150687005189</v>
      </c>
      <c r="G1283" s="1" t="s">
        <v>33</v>
      </c>
      <c r="H1283" s="1" t="str">
        <f t="shared" si="233"/>
        <v>20220907</v>
      </c>
      <c r="I1283" s="1" t="str">
        <f>"155724"</f>
        <v>155724</v>
      </c>
      <c r="J1283" s="1" t="s">
        <v>46</v>
      </c>
      <c r="K1283" s="1" t="s">
        <v>28</v>
      </c>
      <c r="L1283" s="1" t="str">
        <f t="shared" si="234"/>
        <v>20220907</v>
      </c>
      <c r="M1283" s="1" t="str">
        <f>"160551"</f>
        <v>160551</v>
      </c>
      <c r="N1283" s="1" t="s">
        <v>28</v>
      </c>
      <c r="O1283" s="1" t="s">
        <v>28</v>
      </c>
      <c r="P1283" s="1" t="s">
        <v>55</v>
      </c>
      <c r="Q1283" s="1">
        <v>25</v>
      </c>
      <c r="R1283" s="1">
        <v>0</v>
      </c>
      <c r="S1283" s="1">
        <v>25</v>
      </c>
      <c r="T1283" s="1">
        <v>0</v>
      </c>
      <c r="U1283" s="1">
        <v>0</v>
      </c>
      <c r="V1283" s="1" t="str">
        <f t="shared" si="236"/>
        <v>里程返程</v>
      </c>
      <c r="W1283" s="1" t="str">
        <f>"3B3B"</f>
        <v>3B3B</v>
      </c>
      <c r="X1283" s="1" t="s">
        <v>109</v>
      </c>
    </row>
    <row r="1284" spans="1:24" x14ac:dyDescent="0.3">
      <c r="A1284" s="1" t="str">
        <f t="shared" si="237"/>
        <v>59820</v>
      </c>
      <c r="B1284" s="1" t="s">
        <v>53</v>
      </c>
      <c r="C1284" s="1" t="s">
        <v>54</v>
      </c>
      <c r="D1284" s="1" t="str">
        <f>"9806"</f>
        <v>9806</v>
      </c>
      <c r="E1284" s="1" t="s">
        <v>49</v>
      </c>
      <c r="F1284" s="1" t="str">
        <f>"1202E702F5880400C834002000000015"</f>
        <v>1202E702F5880400C834002000000015</v>
      </c>
      <c r="G1284" s="1" t="s">
        <v>74</v>
      </c>
      <c r="H1284" s="1" t="str">
        <f t="shared" si="233"/>
        <v>20220907</v>
      </c>
      <c r="I1284" s="1" t="str">
        <f>"163515"</f>
        <v>163515</v>
      </c>
      <c r="J1284" s="1" t="s">
        <v>76</v>
      </c>
      <c r="K1284" s="1" t="s">
        <v>28</v>
      </c>
      <c r="L1284" s="1" t="str">
        <f t="shared" si="234"/>
        <v>20220907</v>
      </c>
      <c r="M1284" s="1" t="str">
        <f>"164651"</f>
        <v>164651</v>
      </c>
      <c r="N1284" s="1" t="s">
        <v>84</v>
      </c>
      <c r="O1284" s="1" t="s">
        <v>28</v>
      </c>
      <c r="P1284" s="1" t="s">
        <v>68</v>
      </c>
      <c r="Q1284" s="1">
        <v>13</v>
      </c>
      <c r="R1284" s="1">
        <v>0</v>
      </c>
      <c r="S1284" s="1">
        <v>0</v>
      </c>
      <c r="T1284" s="1">
        <v>13</v>
      </c>
      <c r="U1284" s="1">
        <v>0</v>
      </c>
      <c r="V1284" s="1" t="str">
        <f>"里程去程"</f>
        <v>里程去程</v>
      </c>
      <c r="W1284" s="1" t="str">
        <f>"0020"</f>
        <v>0020</v>
      </c>
      <c r="X1284" s="1" t="s">
        <v>29</v>
      </c>
    </row>
    <row r="1285" spans="1:24" x14ac:dyDescent="0.3">
      <c r="A1285" s="1" t="str">
        <f t="shared" si="237"/>
        <v>59820</v>
      </c>
      <c r="B1285" s="1" t="s">
        <v>53</v>
      </c>
      <c r="C1285" s="1" t="s">
        <v>54</v>
      </c>
      <c r="D1285" s="1" t="str">
        <f>"9806"</f>
        <v>9806</v>
      </c>
      <c r="E1285" s="1" t="s">
        <v>49</v>
      </c>
      <c r="F1285" s="1" t="str">
        <f>"B211E70246880400C834002000000015"</f>
        <v>B211E70246880400C834002000000015</v>
      </c>
      <c r="G1285" s="1" t="s">
        <v>74</v>
      </c>
      <c r="H1285" s="1" t="str">
        <f t="shared" si="233"/>
        <v>20220907</v>
      </c>
      <c r="I1285" s="1" t="str">
        <f>"163519"</f>
        <v>163519</v>
      </c>
      <c r="J1285" s="1" t="s">
        <v>76</v>
      </c>
      <c r="K1285" s="1" t="s">
        <v>28</v>
      </c>
      <c r="L1285" s="1" t="str">
        <f t="shared" si="234"/>
        <v>20220907</v>
      </c>
      <c r="M1285" s="1" t="str">
        <f>"164647"</f>
        <v>164647</v>
      </c>
      <c r="N1285" s="1" t="s">
        <v>84</v>
      </c>
      <c r="O1285" s="1" t="s">
        <v>28</v>
      </c>
      <c r="P1285" s="1" t="s">
        <v>68</v>
      </c>
      <c r="Q1285" s="1">
        <v>13</v>
      </c>
      <c r="R1285" s="1">
        <v>0</v>
      </c>
      <c r="S1285" s="1">
        <v>0</v>
      </c>
      <c r="T1285" s="1">
        <v>13</v>
      </c>
      <c r="U1285" s="1">
        <v>0</v>
      </c>
      <c r="V1285" s="1" t="str">
        <f>"里程去程"</f>
        <v>里程去程</v>
      </c>
      <c r="W1285" s="1" t="str">
        <f>"0020"</f>
        <v>0020</v>
      </c>
      <c r="X1285" s="1" t="s">
        <v>29</v>
      </c>
    </row>
    <row r="1286" spans="1:24" x14ac:dyDescent="0.3">
      <c r="A1286" s="1" t="str">
        <f t="shared" si="237"/>
        <v>59820</v>
      </c>
      <c r="B1286" s="1" t="s">
        <v>53</v>
      </c>
      <c r="C1286" s="1" t="s">
        <v>54</v>
      </c>
      <c r="D1286" s="1" t="str">
        <f>"9806"</f>
        <v>9806</v>
      </c>
      <c r="E1286" s="1" t="s">
        <v>49</v>
      </c>
      <c r="F1286" s="1" t="str">
        <f>"927551509"</f>
        <v>927551509</v>
      </c>
      <c r="G1286" s="1" t="s">
        <v>38</v>
      </c>
      <c r="H1286" s="1" t="str">
        <f t="shared" si="233"/>
        <v>20220907</v>
      </c>
      <c r="I1286" s="1" t="str">
        <f>"164237"</f>
        <v>164237</v>
      </c>
      <c r="J1286" s="1" t="s">
        <v>98</v>
      </c>
      <c r="K1286" s="1" t="s">
        <v>28</v>
      </c>
      <c r="L1286" s="1" t="str">
        <f t="shared" si="234"/>
        <v>20220907</v>
      </c>
      <c r="M1286" s="1" t="str">
        <f>"165000"</f>
        <v>165000</v>
      </c>
      <c r="N1286" s="1" t="s">
        <v>28</v>
      </c>
      <c r="O1286" s="1" t="s">
        <v>28</v>
      </c>
      <c r="P1286" s="1" t="s">
        <v>55</v>
      </c>
      <c r="Q1286" s="1">
        <v>25</v>
      </c>
      <c r="R1286" s="1">
        <v>25</v>
      </c>
      <c r="S1286" s="1">
        <v>0</v>
      </c>
      <c r="T1286" s="1">
        <v>0</v>
      </c>
      <c r="U1286" s="1">
        <v>0</v>
      </c>
      <c r="V1286" s="1" t="str">
        <f>"里程去程"</f>
        <v>里程去程</v>
      </c>
      <c r="W1286" s="1" t="str">
        <f>"2020"</f>
        <v>2020</v>
      </c>
      <c r="X1286" s="1" t="s">
        <v>35</v>
      </c>
    </row>
    <row r="1287" spans="1:24" x14ac:dyDescent="0.3">
      <c r="A1287" s="1" t="str">
        <f t="shared" si="237"/>
        <v>59820</v>
      </c>
      <c r="B1287" s="1" t="s">
        <v>53</v>
      </c>
      <c r="C1287" s="1" t="s">
        <v>54</v>
      </c>
      <c r="D1287" s="1" t="str">
        <f>"9806"</f>
        <v>9806</v>
      </c>
      <c r="E1287" s="1" t="s">
        <v>49</v>
      </c>
      <c r="F1287" s="1" t="str">
        <f>"126D55163C880400C814002000000019"</f>
        <v>126D55163C880400C814002000000019</v>
      </c>
      <c r="G1287" s="1" t="s">
        <v>59</v>
      </c>
      <c r="H1287" s="1" t="str">
        <f t="shared" si="233"/>
        <v>20220907</v>
      </c>
      <c r="I1287" s="1" t="str">
        <f>"164240"</f>
        <v>164240</v>
      </c>
      <c r="J1287" s="1" t="s">
        <v>98</v>
      </c>
      <c r="K1287" s="1" t="s">
        <v>28</v>
      </c>
      <c r="L1287" s="1" t="str">
        <f t="shared" si="234"/>
        <v>20220907</v>
      </c>
      <c r="M1287" s="1" t="str">
        <f>"164959"</f>
        <v>164959</v>
      </c>
      <c r="N1287" s="1" t="s">
        <v>28</v>
      </c>
      <c r="O1287" s="1" t="s">
        <v>28</v>
      </c>
      <c r="P1287" s="1" t="s">
        <v>55</v>
      </c>
      <c r="Q1287" s="1">
        <v>25</v>
      </c>
      <c r="R1287" s="1">
        <v>25</v>
      </c>
      <c r="S1287" s="1">
        <v>0</v>
      </c>
      <c r="T1287" s="1">
        <v>0</v>
      </c>
      <c r="U1287" s="1">
        <v>0</v>
      </c>
      <c r="V1287" s="1" t="str">
        <f>"里程去程"</f>
        <v>里程去程</v>
      </c>
      <c r="W1287" s="1" t="str">
        <f>"0020"</f>
        <v>0020</v>
      </c>
      <c r="X1287" s="1" t="s">
        <v>29</v>
      </c>
    </row>
    <row r="1288" spans="1:24" x14ac:dyDescent="0.3">
      <c r="A1288" s="1" t="str">
        <f t="shared" si="237"/>
        <v>59820</v>
      </c>
      <c r="B1288" s="1" t="s">
        <v>53</v>
      </c>
      <c r="C1288" s="1" t="s">
        <v>54</v>
      </c>
      <c r="D1288" s="1" t="str">
        <f>"9805"</f>
        <v>9805</v>
      </c>
      <c r="E1288" s="1" t="s">
        <v>57</v>
      </c>
      <c r="F1288" s="1" t="str">
        <f>"6717161011029351"</f>
        <v>6717161011029351</v>
      </c>
      <c r="G1288" s="1" t="s">
        <v>33</v>
      </c>
      <c r="H1288" s="1" t="str">
        <f t="shared" si="233"/>
        <v>20220907</v>
      </c>
      <c r="I1288" s="1" t="str">
        <f>"165045"</f>
        <v>165045</v>
      </c>
      <c r="J1288" s="1" t="s">
        <v>28</v>
      </c>
      <c r="K1288" s="1" t="s">
        <v>28</v>
      </c>
      <c r="L1288" s="1" t="str">
        <f t="shared" si="234"/>
        <v>20220907</v>
      </c>
      <c r="M1288" s="1" t="str">
        <f>"170226"</f>
        <v>170226</v>
      </c>
      <c r="N1288" s="1" t="s">
        <v>56</v>
      </c>
      <c r="O1288" s="1" t="s">
        <v>28</v>
      </c>
      <c r="P1288" s="1" t="s">
        <v>55</v>
      </c>
      <c r="Q1288" s="1">
        <v>25</v>
      </c>
      <c r="R1288" s="1">
        <v>25</v>
      </c>
      <c r="S1288" s="1">
        <v>0</v>
      </c>
      <c r="T1288" s="1">
        <v>0</v>
      </c>
      <c r="U1288" s="1">
        <v>0</v>
      </c>
      <c r="V1288" s="1" t="str">
        <f>"里程去程"</f>
        <v>里程去程</v>
      </c>
      <c r="W1288" s="1" t="str">
        <f>"013B"</f>
        <v>013B</v>
      </c>
      <c r="X1288" s="1" t="s">
        <v>109</v>
      </c>
    </row>
    <row r="1289" spans="1:24" x14ac:dyDescent="0.3">
      <c r="A1289" s="1" t="str">
        <f t="shared" si="237"/>
        <v>59820</v>
      </c>
      <c r="B1289" s="1" t="s">
        <v>53</v>
      </c>
      <c r="C1289" s="1" t="s">
        <v>54</v>
      </c>
      <c r="D1289" s="1" t="str">
        <f>"9801"</f>
        <v>9801</v>
      </c>
      <c r="E1289" s="1" t="s">
        <v>25</v>
      </c>
      <c r="F1289" s="1" t="str">
        <f>"1598736753"</f>
        <v>1598736753</v>
      </c>
      <c r="G1289" s="1" t="s">
        <v>33</v>
      </c>
      <c r="H1289" s="1" t="str">
        <f t="shared" si="233"/>
        <v>20220907</v>
      </c>
      <c r="I1289" s="1" t="str">
        <f>"185330"</f>
        <v>185330</v>
      </c>
      <c r="J1289" s="1" t="s">
        <v>44</v>
      </c>
      <c r="K1289" s="1" t="s">
        <v>45</v>
      </c>
      <c r="L1289" s="1" t="str">
        <f t="shared" si="234"/>
        <v>20220907</v>
      </c>
      <c r="M1289" s="1" t="str">
        <f>"192244"</f>
        <v>192244</v>
      </c>
      <c r="N1289" s="1" t="s">
        <v>28</v>
      </c>
      <c r="O1289" s="1" t="s">
        <v>28</v>
      </c>
      <c r="P1289" s="1" t="s">
        <v>55</v>
      </c>
      <c r="Q1289" s="1">
        <v>25</v>
      </c>
      <c r="R1289" s="1">
        <v>0</v>
      </c>
      <c r="S1289" s="1">
        <v>25</v>
      </c>
      <c r="T1289" s="1">
        <v>0</v>
      </c>
      <c r="U1289" s="1">
        <v>0</v>
      </c>
      <c r="V1289" s="1" t="str">
        <f t="shared" ref="V1289:V1296" si="239">"里程返程"</f>
        <v>里程返程</v>
      </c>
      <c r="W1289" s="1" t="str">
        <f>"2120"</f>
        <v>2120</v>
      </c>
      <c r="X1289" s="1" t="s">
        <v>35</v>
      </c>
    </row>
    <row r="1290" spans="1:24" x14ac:dyDescent="0.3">
      <c r="A1290" s="1" t="str">
        <f t="shared" si="237"/>
        <v>59820</v>
      </c>
      <c r="B1290" s="1" t="s">
        <v>53</v>
      </c>
      <c r="C1290" s="1" t="s">
        <v>54</v>
      </c>
      <c r="D1290" s="1" t="str">
        <f>"9801"</f>
        <v>9801</v>
      </c>
      <c r="E1290" s="1" t="s">
        <v>25</v>
      </c>
      <c r="F1290" s="1" t="str">
        <f>"881988933"</f>
        <v>881988933</v>
      </c>
      <c r="G1290" s="1" t="s">
        <v>33</v>
      </c>
      <c r="H1290" s="1" t="str">
        <f t="shared" si="233"/>
        <v>20220907</v>
      </c>
      <c r="I1290" s="1" t="str">
        <f>"185334"</f>
        <v>185334</v>
      </c>
      <c r="J1290" s="1" t="s">
        <v>44</v>
      </c>
      <c r="K1290" s="1" t="s">
        <v>45</v>
      </c>
      <c r="L1290" s="1" t="str">
        <f t="shared" si="234"/>
        <v>20220907</v>
      </c>
      <c r="M1290" s="1" t="str">
        <f>"192242"</f>
        <v>192242</v>
      </c>
      <c r="N1290" s="1" t="s">
        <v>28</v>
      </c>
      <c r="O1290" s="1" t="s">
        <v>28</v>
      </c>
      <c r="P1290" s="1" t="s">
        <v>55</v>
      </c>
      <c r="Q1290" s="1">
        <v>25</v>
      </c>
      <c r="R1290" s="1">
        <v>0</v>
      </c>
      <c r="S1290" s="1">
        <v>25</v>
      </c>
      <c r="T1290" s="1">
        <v>0</v>
      </c>
      <c r="U1290" s="1">
        <v>0</v>
      </c>
      <c r="V1290" s="1" t="str">
        <f t="shared" si="239"/>
        <v>里程返程</v>
      </c>
      <c r="W1290" s="1" t="str">
        <f>"2120"</f>
        <v>2120</v>
      </c>
      <c r="X1290" s="1" t="s">
        <v>35</v>
      </c>
    </row>
    <row r="1291" spans="1:24" x14ac:dyDescent="0.3">
      <c r="A1291" s="1" t="str">
        <f t="shared" si="237"/>
        <v>59820</v>
      </c>
      <c r="B1291" s="1" t="s">
        <v>53</v>
      </c>
      <c r="C1291" s="1" t="s">
        <v>54</v>
      </c>
      <c r="D1291" s="1" t="str">
        <f t="shared" ref="D1291:D1296" si="240">"9805"</f>
        <v>9805</v>
      </c>
      <c r="E1291" s="1" t="s">
        <v>57</v>
      </c>
      <c r="F1291" s="1" t="str">
        <f>"A15953238888040043281482000F0112"</f>
        <v>A15953238888040043281482000F0112</v>
      </c>
      <c r="G1291" s="1" t="s">
        <v>64</v>
      </c>
      <c r="H1291" s="1" t="str">
        <f t="shared" si="233"/>
        <v>20220907</v>
      </c>
      <c r="I1291" s="1" t="str">
        <f>"195307"</f>
        <v>195307</v>
      </c>
      <c r="J1291" s="1" t="s">
        <v>52</v>
      </c>
      <c r="K1291" s="1" t="s">
        <v>52</v>
      </c>
      <c r="L1291" s="1" t="str">
        <f t="shared" ref="L1291:L1322" si="241">"20220907"</f>
        <v>20220907</v>
      </c>
      <c r="M1291" s="1" t="str">
        <f>"201800"</f>
        <v>201800</v>
      </c>
      <c r="N1291" s="1" t="s">
        <v>28</v>
      </c>
      <c r="O1291" s="1" t="s">
        <v>28</v>
      </c>
      <c r="P1291" s="1" t="s">
        <v>55</v>
      </c>
      <c r="Q1291" s="1">
        <v>13</v>
      </c>
      <c r="R1291" s="1">
        <v>0</v>
      </c>
      <c r="S1291" s="1">
        <v>13</v>
      </c>
      <c r="T1291" s="1">
        <v>0</v>
      </c>
      <c r="U1291" s="1">
        <v>0</v>
      </c>
      <c r="V1291" s="1" t="str">
        <f t="shared" si="239"/>
        <v>里程返程</v>
      </c>
      <c r="W1291" s="1" t="str">
        <f>"2020"</f>
        <v>2020</v>
      </c>
      <c r="X1291" s="1" t="s">
        <v>29</v>
      </c>
    </row>
    <row r="1292" spans="1:24" x14ac:dyDescent="0.3">
      <c r="A1292" s="1" t="str">
        <f t="shared" si="237"/>
        <v>59820</v>
      </c>
      <c r="B1292" s="1" t="s">
        <v>53</v>
      </c>
      <c r="C1292" s="1" t="s">
        <v>54</v>
      </c>
      <c r="D1292" s="1" t="str">
        <f t="shared" si="240"/>
        <v>9805</v>
      </c>
      <c r="E1292" s="1" t="s">
        <v>57</v>
      </c>
      <c r="F1292" s="1" t="str">
        <f>"A13C5B00C68804004324714D000D080E"</f>
        <v>A13C5B00C68804004324714D000D080E</v>
      </c>
      <c r="G1292" s="1" t="s">
        <v>26</v>
      </c>
      <c r="H1292" s="1" t="str">
        <f t="shared" si="233"/>
        <v>20220907</v>
      </c>
      <c r="I1292" s="1" t="str">
        <f>"195316"</f>
        <v>195316</v>
      </c>
      <c r="J1292" s="1" t="s">
        <v>52</v>
      </c>
      <c r="K1292" s="1" t="s">
        <v>52</v>
      </c>
      <c r="L1292" s="1" t="str">
        <f t="shared" si="241"/>
        <v>20220907</v>
      </c>
      <c r="M1292" s="1" t="str">
        <f>"201815"</f>
        <v>201815</v>
      </c>
      <c r="N1292" s="1" t="s">
        <v>28</v>
      </c>
      <c r="O1292" s="1" t="s">
        <v>28</v>
      </c>
      <c r="P1292" s="1" t="s">
        <v>55</v>
      </c>
      <c r="Q1292" s="1">
        <v>13</v>
      </c>
      <c r="R1292" s="1">
        <v>0</v>
      </c>
      <c r="S1292" s="1">
        <v>13</v>
      </c>
      <c r="T1292" s="1">
        <v>0</v>
      </c>
      <c r="U1292" s="1">
        <v>0</v>
      </c>
      <c r="V1292" s="1" t="str">
        <f t="shared" si="239"/>
        <v>里程返程</v>
      </c>
      <c r="W1292" s="1" t="str">
        <f>"2020"</f>
        <v>2020</v>
      </c>
      <c r="X1292" s="1" t="s">
        <v>29</v>
      </c>
    </row>
    <row r="1293" spans="1:24" x14ac:dyDescent="0.3">
      <c r="A1293" s="1" t="str">
        <f t="shared" si="237"/>
        <v>59820</v>
      </c>
      <c r="B1293" s="1" t="s">
        <v>53</v>
      </c>
      <c r="C1293" s="1" t="s">
        <v>54</v>
      </c>
      <c r="D1293" s="1" t="str">
        <f t="shared" si="240"/>
        <v>9805</v>
      </c>
      <c r="E1293" s="1" t="s">
        <v>57</v>
      </c>
      <c r="F1293" s="1" t="str">
        <f>"1001906981"</f>
        <v>1001906981</v>
      </c>
      <c r="G1293" s="1" t="s">
        <v>26</v>
      </c>
      <c r="H1293" s="1" t="str">
        <f t="shared" si="233"/>
        <v>20220907</v>
      </c>
      <c r="I1293" s="1" t="str">
        <f>"195322"</f>
        <v>195322</v>
      </c>
      <c r="J1293" s="1" t="s">
        <v>52</v>
      </c>
      <c r="K1293" s="1" t="s">
        <v>52</v>
      </c>
      <c r="L1293" s="1" t="str">
        <f t="shared" si="241"/>
        <v>20220907</v>
      </c>
      <c r="M1293" s="1" t="str">
        <f>"201805"</f>
        <v>201805</v>
      </c>
      <c r="N1293" s="1" t="s">
        <v>28</v>
      </c>
      <c r="O1293" s="1" t="s">
        <v>28</v>
      </c>
      <c r="P1293" s="1" t="s">
        <v>55</v>
      </c>
      <c r="Q1293" s="1">
        <v>13</v>
      </c>
      <c r="R1293" s="1">
        <v>13</v>
      </c>
      <c r="S1293" s="1">
        <v>0</v>
      </c>
      <c r="T1293" s="1">
        <v>0</v>
      </c>
      <c r="U1293" s="1">
        <v>0</v>
      </c>
      <c r="V1293" s="1" t="str">
        <f t="shared" si="239"/>
        <v>里程返程</v>
      </c>
      <c r="W1293" s="1" t="str">
        <f>"2120"</f>
        <v>2120</v>
      </c>
      <c r="X1293" s="1" t="s">
        <v>35</v>
      </c>
    </row>
    <row r="1294" spans="1:24" x14ac:dyDescent="0.3">
      <c r="A1294" s="1" t="str">
        <f t="shared" si="237"/>
        <v>59820</v>
      </c>
      <c r="B1294" s="1" t="s">
        <v>53</v>
      </c>
      <c r="C1294" s="1" t="s">
        <v>54</v>
      </c>
      <c r="D1294" s="1" t="str">
        <f t="shared" si="240"/>
        <v>9805</v>
      </c>
      <c r="E1294" s="1" t="s">
        <v>57</v>
      </c>
      <c r="F1294" s="1" t="str">
        <f>"631830482"</f>
        <v>631830482</v>
      </c>
      <c r="G1294" s="1" t="s">
        <v>33</v>
      </c>
      <c r="H1294" s="1" t="str">
        <f t="shared" si="233"/>
        <v>20220907</v>
      </c>
      <c r="I1294" s="1" t="str">
        <f>"195326"</f>
        <v>195326</v>
      </c>
      <c r="J1294" s="1" t="s">
        <v>52</v>
      </c>
      <c r="K1294" s="1" t="s">
        <v>52</v>
      </c>
      <c r="L1294" s="1" t="str">
        <f t="shared" si="241"/>
        <v>20220907</v>
      </c>
      <c r="M1294" s="1" t="str">
        <f>"201809"</f>
        <v>201809</v>
      </c>
      <c r="N1294" s="1" t="s">
        <v>28</v>
      </c>
      <c r="O1294" s="1" t="s">
        <v>28</v>
      </c>
      <c r="P1294" s="1" t="s">
        <v>55</v>
      </c>
      <c r="Q1294" s="1">
        <v>25</v>
      </c>
      <c r="R1294" s="1">
        <v>25</v>
      </c>
      <c r="S1294" s="1">
        <v>0</v>
      </c>
      <c r="T1294" s="1">
        <v>0</v>
      </c>
      <c r="U1294" s="1">
        <v>0</v>
      </c>
      <c r="V1294" s="1" t="str">
        <f t="shared" si="239"/>
        <v>里程返程</v>
      </c>
      <c r="W1294" s="1" t="str">
        <f>"2120"</f>
        <v>2120</v>
      </c>
      <c r="X1294" s="1" t="s">
        <v>35</v>
      </c>
    </row>
    <row r="1295" spans="1:24" x14ac:dyDescent="0.3">
      <c r="A1295" s="1" t="str">
        <f t="shared" si="237"/>
        <v>59820</v>
      </c>
      <c r="B1295" s="1" t="s">
        <v>53</v>
      </c>
      <c r="C1295" s="1" t="s">
        <v>54</v>
      </c>
      <c r="D1295" s="1" t="str">
        <f t="shared" si="240"/>
        <v>9805</v>
      </c>
      <c r="E1295" s="1" t="s">
        <v>57</v>
      </c>
      <c r="F1295" s="1" t="str">
        <f>"720BAD19CD880400C824002000000020"</f>
        <v>720BAD19CD880400C824002000000020</v>
      </c>
      <c r="G1295" s="1" t="s">
        <v>64</v>
      </c>
      <c r="H1295" s="1" t="str">
        <f t="shared" si="233"/>
        <v>20220907</v>
      </c>
      <c r="I1295" s="1" t="str">
        <f>"195330"</f>
        <v>195330</v>
      </c>
      <c r="J1295" s="1" t="s">
        <v>52</v>
      </c>
      <c r="K1295" s="1" t="s">
        <v>52</v>
      </c>
      <c r="L1295" s="1" t="str">
        <f t="shared" si="241"/>
        <v>20220907</v>
      </c>
      <c r="M1295" s="1" t="str">
        <f>"201816"</f>
        <v>201816</v>
      </c>
      <c r="N1295" s="1" t="s">
        <v>28</v>
      </c>
      <c r="O1295" s="1" t="s">
        <v>28</v>
      </c>
      <c r="P1295" s="1" t="s">
        <v>55</v>
      </c>
      <c r="Q1295" s="1">
        <v>13</v>
      </c>
      <c r="R1295" s="1">
        <v>0</v>
      </c>
      <c r="S1295" s="1">
        <v>13</v>
      </c>
      <c r="T1295" s="1">
        <v>0</v>
      </c>
      <c r="U1295" s="1">
        <v>0</v>
      </c>
      <c r="V1295" s="1" t="str">
        <f t="shared" si="239"/>
        <v>里程返程</v>
      </c>
      <c r="W1295" s="1" t="str">
        <f>"2020"</f>
        <v>2020</v>
      </c>
      <c r="X1295" s="1" t="s">
        <v>29</v>
      </c>
    </row>
    <row r="1296" spans="1:24" x14ac:dyDescent="0.3">
      <c r="A1296" s="1" t="str">
        <f t="shared" si="237"/>
        <v>59820</v>
      </c>
      <c r="B1296" s="1" t="s">
        <v>53</v>
      </c>
      <c r="C1296" s="1" t="s">
        <v>54</v>
      </c>
      <c r="D1296" s="1" t="str">
        <f t="shared" si="240"/>
        <v>9805</v>
      </c>
      <c r="E1296" s="1" t="s">
        <v>57</v>
      </c>
      <c r="F1296" s="1" t="str">
        <f>"F9B6A40FE48804004326A4E600020211"</f>
        <v>F9B6A40FE48804004326A4E600020211</v>
      </c>
      <c r="G1296" s="1" t="s">
        <v>64</v>
      </c>
      <c r="H1296" s="1" t="str">
        <f t="shared" si="233"/>
        <v>20220907</v>
      </c>
      <c r="I1296" s="1" t="str">
        <f>"195334"</f>
        <v>195334</v>
      </c>
      <c r="J1296" s="1" t="s">
        <v>52</v>
      </c>
      <c r="K1296" s="1" t="s">
        <v>52</v>
      </c>
      <c r="L1296" s="1" t="str">
        <f t="shared" si="241"/>
        <v>20220907</v>
      </c>
      <c r="M1296" s="1" t="str">
        <f>"201813"</f>
        <v>201813</v>
      </c>
      <c r="N1296" s="1" t="s">
        <v>28</v>
      </c>
      <c r="O1296" s="1" t="s">
        <v>28</v>
      </c>
      <c r="P1296" s="1" t="s">
        <v>55</v>
      </c>
      <c r="Q1296" s="1">
        <v>13</v>
      </c>
      <c r="R1296" s="1">
        <v>0</v>
      </c>
      <c r="S1296" s="1">
        <v>13</v>
      </c>
      <c r="T1296" s="1">
        <v>0</v>
      </c>
      <c r="U1296" s="1">
        <v>0</v>
      </c>
      <c r="V1296" s="1" t="str">
        <f t="shared" si="239"/>
        <v>里程返程</v>
      </c>
      <c r="W1296" s="1" t="str">
        <f>"2020"</f>
        <v>2020</v>
      </c>
      <c r="X1296" s="1" t="s">
        <v>29</v>
      </c>
    </row>
    <row r="1297" spans="1:24" x14ac:dyDescent="0.3">
      <c r="A1297" s="1" t="str">
        <f t="shared" ref="A1297:A1344" si="242">"59823"</f>
        <v>59823</v>
      </c>
      <c r="B1297" s="1" t="s">
        <v>36</v>
      </c>
      <c r="C1297" s="1" t="s">
        <v>37</v>
      </c>
      <c r="D1297" s="1" t="str">
        <f>"9803"</f>
        <v>9803</v>
      </c>
      <c r="E1297" s="1" t="s">
        <v>32</v>
      </c>
      <c r="F1297" s="1" t="str">
        <f>"1020913925"</f>
        <v>1020913925</v>
      </c>
      <c r="G1297" s="1" t="s">
        <v>38</v>
      </c>
      <c r="H1297" s="1" t="str">
        <f t="shared" si="233"/>
        <v>20220907</v>
      </c>
      <c r="I1297" s="1" t="str">
        <f>"061757"</f>
        <v>061757</v>
      </c>
      <c r="J1297" s="1" t="s">
        <v>28</v>
      </c>
      <c r="K1297" s="1" t="s">
        <v>28</v>
      </c>
      <c r="L1297" s="1" t="str">
        <f t="shared" si="241"/>
        <v>20220907</v>
      </c>
      <c r="M1297" s="1" t="str">
        <f>"063813"</f>
        <v>063813</v>
      </c>
      <c r="N1297" s="1" t="s">
        <v>34</v>
      </c>
      <c r="O1297" s="1" t="s">
        <v>34</v>
      </c>
      <c r="P1297" s="1" t="s">
        <v>55</v>
      </c>
      <c r="Q1297" s="1">
        <v>25</v>
      </c>
      <c r="R1297" s="1">
        <v>25</v>
      </c>
      <c r="S1297" s="1">
        <v>0</v>
      </c>
      <c r="T1297" s="1">
        <v>0</v>
      </c>
      <c r="U1297" s="1">
        <v>0</v>
      </c>
      <c r="V1297" s="1" t="str">
        <f>"里程去程"</f>
        <v>里程去程</v>
      </c>
      <c r="W1297" s="1" t="str">
        <f>"0820"</f>
        <v>0820</v>
      </c>
      <c r="X1297" s="1" t="s">
        <v>35</v>
      </c>
    </row>
    <row r="1298" spans="1:24" x14ac:dyDescent="0.3">
      <c r="A1298" s="1" t="str">
        <f t="shared" si="242"/>
        <v>59823</v>
      </c>
      <c r="B1298" s="1" t="s">
        <v>36</v>
      </c>
      <c r="C1298" s="1" t="s">
        <v>37</v>
      </c>
      <c r="D1298" s="1" t="str">
        <f>"9803"</f>
        <v>9803</v>
      </c>
      <c r="E1298" s="1" t="s">
        <v>32</v>
      </c>
      <c r="F1298" s="1" t="str">
        <f>"D1AFDC4EEC2804001C00000000000000"</f>
        <v>D1AFDC4EEC2804001C00000000000000</v>
      </c>
      <c r="G1298" s="1" t="s">
        <v>58</v>
      </c>
      <c r="H1298" s="1" t="str">
        <f t="shared" si="233"/>
        <v>20220907</v>
      </c>
      <c r="I1298" s="1" t="str">
        <f>"061801"</f>
        <v>061801</v>
      </c>
      <c r="J1298" s="1" t="s">
        <v>28</v>
      </c>
      <c r="K1298" s="1" t="s">
        <v>28</v>
      </c>
      <c r="L1298" s="1" t="str">
        <f t="shared" si="241"/>
        <v>20220907</v>
      </c>
      <c r="M1298" s="1" t="str">
        <f>"063824"</f>
        <v>063824</v>
      </c>
      <c r="N1298" s="1" t="s">
        <v>34</v>
      </c>
      <c r="O1298" s="1" t="s">
        <v>34</v>
      </c>
      <c r="P1298" s="1" t="s">
        <v>55</v>
      </c>
      <c r="Q1298" s="1">
        <v>25</v>
      </c>
      <c r="R1298" s="1">
        <v>25</v>
      </c>
      <c r="S1298" s="1">
        <v>0</v>
      </c>
      <c r="T1298" s="1">
        <v>0</v>
      </c>
      <c r="U1298" s="1">
        <v>0</v>
      </c>
      <c r="V1298" s="1" t="str">
        <f>"里程去程"</f>
        <v>里程去程</v>
      </c>
      <c r="W1298" s="1" t="str">
        <f>"0020"</f>
        <v>0020</v>
      </c>
      <c r="X1298" s="1" t="s">
        <v>29</v>
      </c>
    </row>
    <row r="1299" spans="1:24" x14ac:dyDescent="0.3">
      <c r="A1299" s="1" t="str">
        <f t="shared" si="242"/>
        <v>59823</v>
      </c>
      <c r="B1299" s="1" t="s">
        <v>36</v>
      </c>
      <c r="C1299" s="1" t="s">
        <v>37</v>
      </c>
      <c r="D1299" s="1" t="str">
        <f t="shared" ref="D1299:D1305" si="243">"9806"</f>
        <v>9806</v>
      </c>
      <c r="E1299" s="1" t="s">
        <v>49</v>
      </c>
      <c r="F1299" s="1" t="str">
        <f>"887737285"</f>
        <v>887737285</v>
      </c>
      <c r="G1299" s="1" t="s">
        <v>33</v>
      </c>
      <c r="H1299" s="1" t="str">
        <f t="shared" si="233"/>
        <v>20220907</v>
      </c>
      <c r="I1299" s="1" t="str">
        <f>"072745"</f>
        <v>072745</v>
      </c>
      <c r="J1299" s="1" t="s">
        <v>28</v>
      </c>
      <c r="K1299" s="1" t="s">
        <v>28</v>
      </c>
      <c r="L1299" s="1" t="str">
        <f t="shared" si="241"/>
        <v>20220907</v>
      </c>
      <c r="M1299" s="1" t="str">
        <f>"073805"</f>
        <v>073805</v>
      </c>
      <c r="N1299" s="1" t="s">
        <v>63</v>
      </c>
      <c r="O1299" s="1" t="s">
        <v>28</v>
      </c>
      <c r="P1299" s="1" t="s">
        <v>55</v>
      </c>
      <c r="Q1299" s="1">
        <v>25</v>
      </c>
      <c r="R1299" s="1">
        <v>0</v>
      </c>
      <c r="S1299" s="1">
        <v>25</v>
      </c>
      <c r="T1299" s="1">
        <v>0</v>
      </c>
      <c r="U1299" s="1">
        <v>0</v>
      </c>
      <c r="V1299" s="1" t="str">
        <f t="shared" ref="V1299:V1305" si="244">"里程返程"</f>
        <v>里程返程</v>
      </c>
      <c r="W1299" s="1" t="str">
        <f>"0820"</f>
        <v>0820</v>
      </c>
      <c r="X1299" s="1" t="s">
        <v>35</v>
      </c>
    </row>
    <row r="1300" spans="1:24" x14ac:dyDescent="0.3">
      <c r="A1300" s="1" t="str">
        <f t="shared" si="242"/>
        <v>59823</v>
      </c>
      <c r="B1300" s="1" t="s">
        <v>36</v>
      </c>
      <c r="C1300" s="1" t="s">
        <v>37</v>
      </c>
      <c r="D1300" s="1" t="str">
        <f t="shared" si="243"/>
        <v>9806</v>
      </c>
      <c r="E1300" s="1" t="s">
        <v>49</v>
      </c>
      <c r="F1300" s="1" t="str">
        <f>"927551509"</f>
        <v>927551509</v>
      </c>
      <c r="G1300" s="1" t="s">
        <v>38</v>
      </c>
      <c r="H1300" s="1" t="str">
        <f t="shared" si="233"/>
        <v>20220907</v>
      </c>
      <c r="I1300" s="1" t="str">
        <f>"072758"</f>
        <v>072758</v>
      </c>
      <c r="J1300" s="1" t="s">
        <v>28</v>
      </c>
      <c r="K1300" s="1" t="s">
        <v>28</v>
      </c>
      <c r="L1300" s="1" t="str">
        <f t="shared" si="241"/>
        <v>20220907</v>
      </c>
      <c r="M1300" s="1" t="str">
        <f>"073818"</f>
        <v>073818</v>
      </c>
      <c r="N1300" s="1" t="s">
        <v>63</v>
      </c>
      <c r="O1300" s="1" t="s">
        <v>28</v>
      </c>
      <c r="P1300" s="1" t="s">
        <v>55</v>
      </c>
      <c r="Q1300" s="1">
        <v>25</v>
      </c>
      <c r="R1300" s="1">
        <v>0</v>
      </c>
      <c r="S1300" s="1">
        <v>25</v>
      </c>
      <c r="T1300" s="1">
        <v>0</v>
      </c>
      <c r="U1300" s="1">
        <v>0</v>
      </c>
      <c r="V1300" s="1" t="str">
        <f t="shared" si="244"/>
        <v>里程返程</v>
      </c>
      <c r="W1300" s="1" t="str">
        <f>"0820"</f>
        <v>0820</v>
      </c>
      <c r="X1300" s="1" t="s">
        <v>35</v>
      </c>
    </row>
    <row r="1301" spans="1:24" x14ac:dyDescent="0.3">
      <c r="A1301" s="1" t="str">
        <f t="shared" si="242"/>
        <v>59823</v>
      </c>
      <c r="B1301" s="1" t="s">
        <v>36</v>
      </c>
      <c r="C1301" s="1" t="s">
        <v>37</v>
      </c>
      <c r="D1301" s="1" t="str">
        <f t="shared" si="243"/>
        <v>9806</v>
      </c>
      <c r="E1301" s="1" t="s">
        <v>49</v>
      </c>
      <c r="F1301" s="1" t="str">
        <f>"652006485"</f>
        <v>652006485</v>
      </c>
      <c r="G1301" s="1" t="s">
        <v>33</v>
      </c>
      <c r="H1301" s="1" t="str">
        <f t="shared" si="233"/>
        <v>20220907</v>
      </c>
      <c r="I1301" s="1" t="str">
        <f>"072805"</f>
        <v>072805</v>
      </c>
      <c r="J1301" s="1" t="s">
        <v>28</v>
      </c>
      <c r="K1301" s="1" t="s">
        <v>28</v>
      </c>
      <c r="L1301" s="1" t="str">
        <f t="shared" si="241"/>
        <v>20220907</v>
      </c>
      <c r="M1301" s="1" t="str">
        <f>"073808"</f>
        <v>073808</v>
      </c>
      <c r="N1301" s="1" t="s">
        <v>63</v>
      </c>
      <c r="O1301" s="1" t="s">
        <v>28</v>
      </c>
      <c r="P1301" s="1" t="s">
        <v>55</v>
      </c>
      <c r="Q1301" s="1">
        <v>25</v>
      </c>
      <c r="R1301" s="1">
        <v>0</v>
      </c>
      <c r="S1301" s="1">
        <v>25</v>
      </c>
      <c r="T1301" s="1">
        <v>0</v>
      </c>
      <c r="U1301" s="1">
        <v>0</v>
      </c>
      <c r="V1301" s="1" t="str">
        <f t="shared" si="244"/>
        <v>里程返程</v>
      </c>
      <c r="W1301" s="1" t="str">
        <f>"0820"</f>
        <v>0820</v>
      </c>
      <c r="X1301" s="1" t="s">
        <v>35</v>
      </c>
    </row>
    <row r="1302" spans="1:24" x14ac:dyDescent="0.3">
      <c r="A1302" s="1" t="str">
        <f t="shared" si="242"/>
        <v>59823</v>
      </c>
      <c r="B1302" s="1" t="s">
        <v>36</v>
      </c>
      <c r="C1302" s="1" t="s">
        <v>37</v>
      </c>
      <c r="D1302" s="1" t="str">
        <f t="shared" si="243"/>
        <v>9806</v>
      </c>
      <c r="E1302" s="1" t="s">
        <v>49</v>
      </c>
      <c r="F1302" s="1" t="str">
        <f>"126D55163C880400C814002000000019"</f>
        <v>126D55163C880400C814002000000019</v>
      </c>
      <c r="G1302" s="1" t="s">
        <v>59</v>
      </c>
      <c r="H1302" s="1" t="str">
        <f t="shared" si="233"/>
        <v>20220907</v>
      </c>
      <c r="I1302" s="1" t="str">
        <f>"072817"</f>
        <v>072817</v>
      </c>
      <c r="J1302" s="1" t="s">
        <v>28</v>
      </c>
      <c r="K1302" s="1" t="s">
        <v>28</v>
      </c>
      <c r="L1302" s="1" t="str">
        <f t="shared" si="241"/>
        <v>20220907</v>
      </c>
      <c r="M1302" s="1" t="str">
        <f>"073815"</f>
        <v>073815</v>
      </c>
      <c r="N1302" s="1" t="s">
        <v>63</v>
      </c>
      <c r="O1302" s="1" t="s">
        <v>28</v>
      </c>
      <c r="P1302" s="1" t="s">
        <v>55</v>
      </c>
      <c r="Q1302" s="1">
        <v>25</v>
      </c>
      <c r="R1302" s="1">
        <v>0</v>
      </c>
      <c r="S1302" s="1">
        <v>25</v>
      </c>
      <c r="T1302" s="1">
        <v>0</v>
      </c>
      <c r="U1302" s="1">
        <v>0</v>
      </c>
      <c r="V1302" s="1" t="str">
        <f t="shared" si="244"/>
        <v>里程返程</v>
      </c>
      <c r="W1302" s="1" t="str">
        <f>"0620"</f>
        <v>0620</v>
      </c>
      <c r="X1302" s="1" t="s">
        <v>29</v>
      </c>
    </row>
    <row r="1303" spans="1:24" x14ac:dyDescent="0.3">
      <c r="A1303" s="1" t="str">
        <f t="shared" si="242"/>
        <v>59823</v>
      </c>
      <c r="B1303" s="1" t="s">
        <v>36</v>
      </c>
      <c r="C1303" s="1" t="s">
        <v>37</v>
      </c>
      <c r="D1303" s="1" t="str">
        <f t="shared" si="243"/>
        <v>9806</v>
      </c>
      <c r="E1303" s="1" t="s">
        <v>49</v>
      </c>
      <c r="F1303" s="1" t="str">
        <f>"62C93D1680880400C814002000000019"</f>
        <v>62C93D1680880400C814002000000019</v>
      </c>
      <c r="G1303" s="1" t="s">
        <v>59</v>
      </c>
      <c r="H1303" s="1" t="str">
        <f t="shared" si="233"/>
        <v>20220907</v>
      </c>
      <c r="I1303" s="1" t="str">
        <f>"072821"</f>
        <v>072821</v>
      </c>
      <c r="J1303" s="1" t="s">
        <v>28</v>
      </c>
      <c r="K1303" s="1" t="s">
        <v>28</v>
      </c>
      <c r="L1303" s="1" t="str">
        <f t="shared" si="241"/>
        <v>20220907</v>
      </c>
      <c r="M1303" s="1" t="str">
        <f>"073812"</f>
        <v>073812</v>
      </c>
      <c r="N1303" s="1" t="s">
        <v>63</v>
      </c>
      <c r="O1303" s="1" t="s">
        <v>28</v>
      </c>
      <c r="P1303" s="1" t="s">
        <v>55</v>
      </c>
      <c r="Q1303" s="1">
        <v>25</v>
      </c>
      <c r="R1303" s="1">
        <v>0</v>
      </c>
      <c r="S1303" s="1">
        <v>25</v>
      </c>
      <c r="T1303" s="1">
        <v>0</v>
      </c>
      <c r="U1303" s="1">
        <v>0</v>
      </c>
      <c r="V1303" s="1" t="str">
        <f t="shared" si="244"/>
        <v>里程返程</v>
      </c>
      <c r="W1303" s="1" t="str">
        <f>"0620"</f>
        <v>0620</v>
      </c>
      <c r="X1303" s="1" t="s">
        <v>29</v>
      </c>
    </row>
    <row r="1304" spans="1:24" x14ac:dyDescent="0.3">
      <c r="A1304" s="1" t="str">
        <f t="shared" si="242"/>
        <v>59823</v>
      </c>
      <c r="B1304" s="1" t="s">
        <v>36</v>
      </c>
      <c r="C1304" s="1" t="s">
        <v>37</v>
      </c>
      <c r="D1304" s="1" t="str">
        <f t="shared" si="243"/>
        <v>9806</v>
      </c>
      <c r="E1304" s="1" t="s">
        <v>49</v>
      </c>
      <c r="F1304" s="1" t="str">
        <f>"F238370AF7880400C810002000000016"</f>
        <v>F238370AF7880400C810002000000016</v>
      </c>
      <c r="G1304" s="1" t="s">
        <v>59</v>
      </c>
      <c r="H1304" s="1" t="str">
        <f t="shared" si="233"/>
        <v>20220907</v>
      </c>
      <c r="I1304" s="1" t="str">
        <f>"072824"</f>
        <v>072824</v>
      </c>
      <c r="J1304" s="1" t="s">
        <v>28</v>
      </c>
      <c r="K1304" s="1" t="s">
        <v>28</v>
      </c>
      <c r="L1304" s="1" t="str">
        <f t="shared" si="241"/>
        <v>20220907</v>
      </c>
      <c r="M1304" s="1" t="str">
        <f>"073824"</f>
        <v>073824</v>
      </c>
      <c r="N1304" s="1" t="s">
        <v>63</v>
      </c>
      <c r="O1304" s="1" t="s">
        <v>28</v>
      </c>
      <c r="P1304" s="1" t="s">
        <v>55</v>
      </c>
      <c r="Q1304" s="1">
        <v>25</v>
      </c>
      <c r="R1304" s="1">
        <v>0</v>
      </c>
      <c r="S1304" s="1">
        <v>25</v>
      </c>
      <c r="T1304" s="1">
        <v>0</v>
      </c>
      <c r="U1304" s="1">
        <v>0</v>
      </c>
      <c r="V1304" s="1" t="str">
        <f t="shared" si="244"/>
        <v>里程返程</v>
      </c>
      <c r="W1304" s="1" t="str">
        <f>"0620"</f>
        <v>0620</v>
      </c>
      <c r="X1304" s="1" t="s">
        <v>29</v>
      </c>
    </row>
    <row r="1305" spans="1:24" x14ac:dyDescent="0.3">
      <c r="A1305" s="1" t="str">
        <f t="shared" si="242"/>
        <v>59823</v>
      </c>
      <c r="B1305" s="1" t="s">
        <v>36</v>
      </c>
      <c r="C1305" s="1" t="s">
        <v>37</v>
      </c>
      <c r="D1305" s="1" t="str">
        <f t="shared" si="243"/>
        <v>9806</v>
      </c>
      <c r="E1305" s="1" t="s">
        <v>49</v>
      </c>
      <c r="F1305" s="1" t="str">
        <f>"B211E70246880400C834002000000015"</f>
        <v>B211E70246880400C834002000000015</v>
      </c>
      <c r="G1305" s="1" t="s">
        <v>74</v>
      </c>
      <c r="H1305" s="1" t="str">
        <f t="shared" si="233"/>
        <v>20220907</v>
      </c>
      <c r="I1305" s="1" t="str">
        <f>"073426"</f>
        <v>073426</v>
      </c>
      <c r="J1305" s="1" t="s">
        <v>101</v>
      </c>
      <c r="K1305" s="1" t="s">
        <v>28</v>
      </c>
      <c r="L1305" s="1" t="str">
        <f t="shared" si="241"/>
        <v>20220907</v>
      </c>
      <c r="M1305" s="1" t="str">
        <f>"074631"</f>
        <v>074631</v>
      </c>
      <c r="N1305" s="1" t="s">
        <v>99</v>
      </c>
      <c r="O1305" s="1" t="s">
        <v>28</v>
      </c>
      <c r="P1305" s="1" t="s">
        <v>68</v>
      </c>
      <c r="Q1305" s="1">
        <v>13</v>
      </c>
      <c r="R1305" s="1">
        <v>0</v>
      </c>
      <c r="S1305" s="1">
        <v>0</v>
      </c>
      <c r="T1305" s="1">
        <v>13</v>
      </c>
      <c r="U1305" s="1">
        <v>0</v>
      </c>
      <c r="V1305" s="1" t="str">
        <f t="shared" si="244"/>
        <v>里程返程</v>
      </c>
      <c r="W1305" s="1" t="str">
        <f>"0020"</f>
        <v>0020</v>
      </c>
      <c r="X1305" s="1" t="s">
        <v>29</v>
      </c>
    </row>
    <row r="1306" spans="1:24" x14ac:dyDescent="0.3">
      <c r="A1306" s="1" t="str">
        <f t="shared" si="242"/>
        <v>59823</v>
      </c>
      <c r="B1306" s="1" t="s">
        <v>36</v>
      </c>
      <c r="C1306" s="1" t="s">
        <v>37</v>
      </c>
      <c r="D1306" s="1" t="str">
        <f t="shared" ref="D1306:D1311" si="245">"9803"</f>
        <v>9803</v>
      </c>
      <c r="E1306" s="1" t="s">
        <v>32</v>
      </c>
      <c r="F1306" s="1" t="str">
        <f>"1198054833"</f>
        <v>1198054833</v>
      </c>
      <c r="G1306" s="1" t="s">
        <v>33</v>
      </c>
      <c r="H1306" s="1" t="str">
        <f t="shared" si="233"/>
        <v>20220907</v>
      </c>
      <c r="I1306" s="1" t="str">
        <f>"081544"</f>
        <v>081544</v>
      </c>
      <c r="J1306" s="1" t="s">
        <v>28</v>
      </c>
      <c r="K1306" s="1" t="s">
        <v>28</v>
      </c>
      <c r="L1306" s="1" t="str">
        <f t="shared" si="241"/>
        <v>20220907</v>
      </c>
      <c r="M1306" s="1" t="str">
        <f>"083212"</f>
        <v>083212</v>
      </c>
      <c r="N1306" s="1" t="s">
        <v>34</v>
      </c>
      <c r="O1306" s="1" t="s">
        <v>34</v>
      </c>
      <c r="P1306" s="1" t="s">
        <v>55</v>
      </c>
      <c r="Q1306" s="1">
        <v>25</v>
      </c>
      <c r="R1306" s="1">
        <v>25</v>
      </c>
      <c r="S1306" s="1">
        <v>0</v>
      </c>
      <c r="T1306" s="1">
        <v>0</v>
      </c>
      <c r="U1306" s="1">
        <v>0</v>
      </c>
      <c r="V1306" s="1" t="str">
        <f t="shared" ref="V1306:V1316" si="246">"里程去程"</f>
        <v>里程去程</v>
      </c>
      <c r="W1306" s="1" t="str">
        <f>"0120"</f>
        <v>0120</v>
      </c>
      <c r="X1306" s="1" t="s">
        <v>35</v>
      </c>
    </row>
    <row r="1307" spans="1:24" x14ac:dyDescent="0.3">
      <c r="A1307" s="1" t="str">
        <f t="shared" si="242"/>
        <v>59823</v>
      </c>
      <c r="B1307" s="1" t="s">
        <v>36</v>
      </c>
      <c r="C1307" s="1" t="s">
        <v>37</v>
      </c>
      <c r="D1307" s="1" t="str">
        <f t="shared" si="245"/>
        <v>9803</v>
      </c>
      <c r="E1307" s="1" t="s">
        <v>32</v>
      </c>
      <c r="F1307" s="1" t="str">
        <f>"1323666977"</f>
        <v>1323666977</v>
      </c>
      <c r="G1307" s="1" t="s">
        <v>33</v>
      </c>
      <c r="H1307" s="1" t="str">
        <f t="shared" si="233"/>
        <v>20220907</v>
      </c>
      <c r="I1307" s="1" t="str">
        <f>"094915"</f>
        <v>094915</v>
      </c>
      <c r="J1307" s="1" t="s">
        <v>28</v>
      </c>
      <c r="K1307" s="1" t="s">
        <v>28</v>
      </c>
      <c r="L1307" s="1" t="str">
        <f t="shared" si="241"/>
        <v>20220907</v>
      </c>
      <c r="M1307" s="1" t="str">
        <f>"100832"</f>
        <v>100832</v>
      </c>
      <c r="N1307" s="1" t="s">
        <v>34</v>
      </c>
      <c r="O1307" s="1" t="s">
        <v>34</v>
      </c>
      <c r="P1307" s="1" t="s">
        <v>55</v>
      </c>
      <c r="Q1307" s="1">
        <v>25</v>
      </c>
      <c r="R1307" s="1">
        <v>25</v>
      </c>
      <c r="S1307" s="1">
        <v>0</v>
      </c>
      <c r="T1307" s="1">
        <v>0</v>
      </c>
      <c r="U1307" s="1">
        <v>0</v>
      </c>
      <c r="V1307" s="1" t="str">
        <f t="shared" si="246"/>
        <v>里程去程</v>
      </c>
      <c r="W1307" s="1" t="str">
        <f>"0e20"</f>
        <v>0e20</v>
      </c>
      <c r="X1307" s="1" t="s">
        <v>35</v>
      </c>
    </row>
    <row r="1308" spans="1:24" x14ac:dyDescent="0.3">
      <c r="A1308" s="1" t="str">
        <f t="shared" si="242"/>
        <v>59823</v>
      </c>
      <c r="B1308" s="1" t="s">
        <v>36</v>
      </c>
      <c r="C1308" s="1" t="s">
        <v>37</v>
      </c>
      <c r="D1308" s="1" t="str">
        <f t="shared" si="245"/>
        <v>9803</v>
      </c>
      <c r="E1308" s="1" t="s">
        <v>32</v>
      </c>
      <c r="F1308" s="1" t="str">
        <f>"1276404305"</f>
        <v>1276404305</v>
      </c>
      <c r="G1308" s="1" t="s">
        <v>33</v>
      </c>
      <c r="H1308" s="1" t="str">
        <f t="shared" si="233"/>
        <v>20220907</v>
      </c>
      <c r="I1308" s="1" t="str">
        <f>"094917"</f>
        <v>094917</v>
      </c>
      <c r="J1308" s="1" t="s">
        <v>28</v>
      </c>
      <c r="K1308" s="1" t="s">
        <v>28</v>
      </c>
      <c r="L1308" s="1" t="str">
        <f t="shared" si="241"/>
        <v>20220907</v>
      </c>
      <c r="M1308" s="1" t="str">
        <f>"100829"</f>
        <v>100829</v>
      </c>
      <c r="N1308" s="1" t="s">
        <v>34</v>
      </c>
      <c r="O1308" s="1" t="s">
        <v>34</v>
      </c>
      <c r="P1308" s="1" t="s">
        <v>55</v>
      </c>
      <c r="Q1308" s="1">
        <v>25</v>
      </c>
      <c r="R1308" s="1">
        <v>25</v>
      </c>
      <c r="S1308" s="1">
        <v>0</v>
      </c>
      <c r="T1308" s="1">
        <v>0</v>
      </c>
      <c r="U1308" s="1">
        <v>0</v>
      </c>
      <c r="V1308" s="1" t="str">
        <f t="shared" si="246"/>
        <v>里程去程</v>
      </c>
      <c r="W1308" s="1" t="str">
        <f>"0120"</f>
        <v>0120</v>
      </c>
      <c r="X1308" s="1" t="s">
        <v>35</v>
      </c>
    </row>
    <row r="1309" spans="1:24" x14ac:dyDescent="0.3">
      <c r="A1309" s="1" t="str">
        <f t="shared" si="242"/>
        <v>59823</v>
      </c>
      <c r="B1309" s="1" t="s">
        <v>36</v>
      </c>
      <c r="C1309" s="1" t="s">
        <v>37</v>
      </c>
      <c r="D1309" s="1" t="str">
        <f t="shared" si="245"/>
        <v>9803</v>
      </c>
      <c r="E1309" s="1" t="s">
        <v>32</v>
      </c>
      <c r="F1309" s="1" t="str">
        <f>"7111150687005189"</f>
        <v>7111150687005189</v>
      </c>
      <c r="G1309" s="1" t="s">
        <v>33</v>
      </c>
      <c r="H1309" s="1" t="str">
        <f t="shared" si="233"/>
        <v>20220907</v>
      </c>
      <c r="I1309" s="1" t="str">
        <f>"094921"</f>
        <v>094921</v>
      </c>
      <c r="J1309" s="1" t="s">
        <v>28</v>
      </c>
      <c r="K1309" s="1" t="s">
        <v>28</v>
      </c>
      <c r="L1309" s="1" t="str">
        <f t="shared" si="241"/>
        <v>20220907</v>
      </c>
      <c r="M1309" s="1" t="str">
        <f>"100826"</f>
        <v>100826</v>
      </c>
      <c r="N1309" s="1" t="s">
        <v>34</v>
      </c>
      <c r="O1309" s="1" t="s">
        <v>34</v>
      </c>
      <c r="P1309" s="1" t="s">
        <v>55</v>
      </c>
      <c r="Q1309" s="1">
        <v>25</v>
      </c>
      <c r="R1309" s="1">
        <v>0</v>
      </c>
      <c r="S1309" s="1">
        <v>25</v>
      </c>
      <c r="T1309" s="1">
        <v>0</v>
      </c>
      <c r="U1309" s="1">
        <v>0</v>
      </c>
      <c r="V1309" s="1" t="str">
        <f t="shared" si="246"/>
        <v>里程去程</v>
      </c>
      <c r="W1309" s="1" t="str">
        <f>"3B3B"</f>
        <v>3B3B</v>
      </c>
      <c r="X1309" s="1" t="s">
        <v>109</v>
      </c>
    </row>
    <row r="1310" spans="1:24" x14ac:dyDescent="0.3">
      <c r="A1310" s="1" t="str">
        <f t="shared" si="242"/>
        <v>59823</v>
      </c>
      <c r="B1310" s="1" t="s">
        <v>36</v>
      </c>
      <c r="C1310" s="1" t="s">
        <v>37</v>
      </c>
      <c r="D1310" s="1" t="str">
        <f t="shared" si="245"/>
        <v>9803</v>
      </c>
      <c r="E1310" s="1" t="s">
        <v>32</v>
      </c>
      <c r="F1310" s="1" t="str">
        <f>"830679493"</f>
        <v>830679493</v>
      </c>
      <c r="G1310" s="1" t="s">
        <v>33</v>
      </c>
      <c r="H1310" s="1" t="str">
        <f t="shared" si="233"/>
        <v>20220907</v>
      </c>
      <c r="I1310" s="1" t="str">
        <f>"094928"</f>
        <v>094928</v>
      </c>
      <c r="J1310" s="1" t="s">
        <v>28</v>
      </c>
      <c r="K1310" s="1" t="s">
        <v>28</v>
      </c>
      <c r="L1310" s="1" t="str">
        <f t="shared" si="241"/>
        <v>20220907</v>
      </c>
      <c r="M1310" s="1" t="str">
        <f>"100822"</f>
        <v>100822</v>
      </c>
      <c r="N1310" s="1" t="s">
        <v>34</v>
      </c>
      <c r="O1310" s="1" t="s">
        <v>34</v>
      </c>
      <c r="P1310" s="1" t="s">
        <v>55</v>
      </c>
      <c r="Q1310" s="1">
        <v>25</v>
      </c>
      <c r="R1310" s="1">
        <v>25</v>
      </c>
      <c r="S1310" s="1">
        <v>0</v>
      </c>
      <c r="T1310" s="1">
        <v>0</v>
      </c>
      <c r="U1310" s="1">
        <v>0</v>
      </c>
      <c r="V1310" s="1" t="str">
        <f t="shared" si="246"/>
        <v>里程去程</v>
      </c>
      <c r="W1310" s="1" t="str">
        <f>"1420"</f>
        <v>1420</v>
      </c>
      <c r="X1310" s="1" t="s">
        <v>35</v>
      </c>
    </row>
    <row r="1311" spans="1:24" x14ac:dyDescent="0.3">
      <c r="A1311" s="1" t="str">
        <f t="shared" si="242"/>
        <v>59823</v>
      </c>
      <c r="B1311" s="1" t="s">
        <v>36</v>
      </c>
      <c r="C1311" s="1" t="s">
        <v>37</v>
      </c>
      <c r="D1311" s="1" t="str">
        <f t="shared" si="245"/>
        <v>9803</v>
      </c>
      <c r="E1311" s="1" t="s">
        <v>32</v>
      </c>
      <c r="F1311" s="1" t="str">
        <f>"103370081"</f>
        <v>103370081</v>
      </c>
      <c r="G1311" s="1" t="s">
        <v>33</v>
      </c>
      <c r="H1311" s="1" t="str">
        <f t="shared" si="233"/>
        <v>20220907</v>
      </c>
      <c r="I1311" s="1" t="str">
        <f>"094951"</f>
        <v>094951</v>
      </c>
      <c r="J1311" s="1" t="s">
        <v>28</v>
      </c>
      <c r="K1311" s="1" t="s">
        <v>28</v>
      </c>
      <c r="L1311" s="1" t="str">
        <f t="shared" si="241"/>
        <v>20220907</v>
      </c>
      <c r="M1311" s="1" t="str">
        <f>"095811"</f>
        <v>095811</v>
      </c>
      <c r="N1311" s="1" t="s">
        <v>46</v>
      </c>
      <c r="O1311" s="1" t="s">
        <v>28</v>
      </c>
      <c r="P1311" s="1" t="s">
        <v>55</v>
      </c>
      <c r="Q1311" s="1">
        <v>25</v>
      </c>
      <c r="R1311" s="1">
        <v>25</v>
      </c>
      <c r="S1311" s="1">
        <v>0</v>
      </c>
      <c r="T1311" s="1">
        <v>0</v>
      </c>
      <c r="U1311" s="1">
        <v>0</v>
      </c>
      <c r="V1311" s="1" t="str">
        <f t="shared" si="246"/>
        <v>里程去程</v>
      </c>
      <c r="W1311" s="1" t="str">
        <f>"1420"</f>
        <v>1420</v>
      </c>
      <c r="X1311" s="1" t="s">
        <v>35</v>
      </c>
    </row>
    <row r="1312" spans="1:24" x14ac:dyDescent="0.3">
      <c r="A1312" s="1" t="str">
        <f t="shared" si="242"/>
        <v>59823</v>
      </c>
      <c r="B1312" s="1" t="s">
        <v>36</v>
      </c>
      <c r="C1312" s="1" t="s">
        <v>37</v>
      </c>
      <c r="D1312" s="1" t="str">
        <f t="shared" ref="D1312:D1318" si="247">"9805"</f>
        <v>9805</v>
      </c>
      <c r="E1312" s="1" t="s">
        <v>57</v>
      </c>
      <c r="F1312" s="1" t="str">
        <f>"91397B33E0280400F700000000000000"</f>
        <v>91397B33E0280400F700000000000000</v>
      </c>
      <c r="G1312" s="1" t="s">
        <v>58</v>
      </c>
      <c r="H1312" s="1" t="str">
        <f t="shared" si="233"/>
        <v>20220907</v>
      </c>
      <c r="I1312" s="1" t="str">
        <f>"120723"</f>
        <v>120723</v>
      </c>
      <c r="J1312" s="1" t="s">
        <v>28</v>
      </c>
      <c r="K1312" s="1" t="s">
        <v>28</v>
      </c>
      <c r="L1312" s="1" t="str">
        <f t="shared" si="241"/>
        <v>20220907</v>
      </c>
      <c r="M1312" s="1" t="str">
        <f>"122012"</f>
        <v>122012</v>
      </c>
      <c r="N1312" s="1" t="s">
        <v>79</v>
      </c>
      <c r="O1312" s="1" t="s">
        <v>28</v>
      </c>
      <c r="P1312" s="1" t="s">
        <v>55</v>
      </c>
      <c r="Q1312" s="1">
        <v>25</v>
      </c>
      <c r="R1312" s="1">
        <v>25</v>
      </c>
      <c r="S1312" s="1">
        <v>0</v>
      </c>
      <c r="T1312" s="1">
        <v>0</v>
      </c>
      <c r="U1312" s="1">
        <v>0</v>
      </c>
      <c r="V1312" s="1" t="str">
        <f t="shared" si="246"/>
        <v>里程去程</v>
      </c>
      <c r="W1312" s="1" t="str">
        <f>"0020"</f>
        <v>0020</v>
      </c>
      <c r="X1312" s="1" t="s">
        <v>29</v>
      </c>
    </row>
    <row r="1313" spans="1:24" x14ac:dyDescent="0.3">
      <c r="A1313" s="1" t="str">
        <f t="shared" si="242"/>
        <v>59823</v>
      </c>
      <c r="B1313" s="1" t="s">
        <v>36</v>
      </c>
      <c r="C1313" s="1" t="s">
        <v>37</v>
      </c>
      <c r="D1313" s="1" t="str">
        <f t="shared" si="247"/>
        <v>9805</v>
      </c>
      <c r="E1313" s="1" t="s">
        <v>57</v>
      </c>
      <c r="F1313" s="1" t="str">
        <f>"1763251397"</f>
        <v>1763251397</v>
      </c>
      <c r="G1313" s="1" t="s">
        <v>26</v>
      </c>
      <c r="H1313" s="1" t="str">
        <f t="shared" si="233"/>
        <v>20220907</v>
      </c>
      <c r="I1313" s="1" t="str">
        <f>"121027"</f>
        <v>121027</v>
      </c>
      <c r="J1313" s="1" t="s">
        <v>28</v>
      </c>
      <c r="K1313" s="1" t="s">
        <v>28</v>
      </c>
      <c r="L1313" s="1" t="str">
        <f t="shared" si="241"/>
        <v>20220907</v>
      </c>
      <c r="M1313" s="1" t="str">
        <f>"122421"</f>
        <v>122421</v>
      </c>
      <c r="N1313" s="1" t="s">
        <v>56</v>
      </c>
      <c r="O1313" s="1" t="s">
        <v>28</v>
      </c>
      <c r="P1313" s="1" t="s">
        <v>55</v>
      </c>
      <c r="Q1313" s="1">
        <v>13</v>
      </c>
      <c r="R1313" s="1">
        <v>13</v>
      </c>
      <c r="S1313" s="1">
        <v>0</v>
      </c>
      <c r="T1313" s="1">
        <v>0</v>
      </c>
      <c r="U1313" s="1">
        <v>0</v>
      </c>
      <c r="V1313" s="1" t="str">
        <f t="shared" si="246"/>
        <v>里程去程</v>
      </c>
      <c r="W1313" s="1" t="str">
        <f>"0e20"</f>
        <v>0e20</v>
      </c>
      <c r="X1313" s="1" t="s">
        <v>35</v>
      </c>
    </row>
    <row r="1314" spans="1:24" x14ac:dyDescent="0.3">
      <c r="A1314" s="1" t="str">
        <f t="shared" si="242"/>
        <v>59823</v>
      </c>
      <c r="B1314" s="1" t="s">
        <v>36</v>
      </c>
      <c r="C1314" s="1" t="s">
        <v>37</v>
      </c>
      <c r="D1314" s="1" t="str">
        <f t="shared" si="247"/>
        <v>9805</v>
      </c>
      <c r="E1314" s="1" t="s">
        <v>57</v>
      </c>
      <c r="F1314" s="1" t="str">
        <f>"1240403989"</f>
        <v>1240403989</v>
      </c>
      <c r="G1314" s="1" t="s">
        <v>74</v>
      </c>
      <c r="H1314" s="1" t="str">
        <f t="shared" si="233"/>
        <v>20220907</v>
      </c>
      <c r="I1314" s="1" t="str">
        <f>"121030"</f>
        <v>121030</v>
      </c>
      <c r="J1314" s="1" t="s">
        <v>28</v>
      </c>
      <c r="K1314" s="1" t="s">
        <v>28</v>
      </c>
      <c r="L1314" s="1" t="str">
        <f t="shared" si="241"/>
        <v>20220907</v>
      </c>
      <c r="M1314" s="1" t="str">
        <f>"122404"</f>
        <v>122404</v>
      </c>
      <c r="N1314" s="1" t="s">
        <v>61</v>
      </c>
      <c r="O1314" s="1" t="s">
        <v>28</v>
      </c>
      <c r="P1314" s="1" t="s">
        <v>55</v>
      </c>
      <c r="Q1314" s="1">
        <v>13</v>
      </c>
      <c r="R1314" s="1">
        <v>13</v>
      </c>
      <c r="S1314" s="1">
        <v>0</v>
      </c>
      <c r="T1314" s="1">
        <v>0</v>
      </c>
      <c r="U1314" s="1">
        <v>0</v>
      </c>
      <c r="V1314" s="1" t="str">
        <f t="shared" si="246"/>
        <v>里程去程</v>
      </c>
      <c r="W1314" s="1" t="str">
        <f>"0e20"</f>
        <v>0e20</v>
      </c>
      <c r="X1314" s="1" t="s">
        <v>35</v>
      </c>
    </row>
    <row r="1315" spans="1:24" x14ac:dyDescent="0.3">
      <c r="A1315" s="1" t="str">
        <f t="shared" si="242"/>
        <v>59823</v>
      </c>
      <c r="B1315" s="1" t="s">
        <v>36</v>
      </c>
      <c r="C1315" s="1" t="s">
        <v>37</v>
      </c>
      <c r="D1315" s="1" t="str">
        <f t="shared" si="247"/>
        <v>9805</v>
      </c>
      <c r="E1315" s="1" t="s">
        <v>57</v>
      </c>
      <c r="F1315" s="1" t="str">
        <f>"1105680581"</f>
        <v>1105680581</v>
      </c>
      <c r="G1315" s="1" t="s">
        <v>38</v>
      </c>
      <c r="H1315" s="1" t="str">
        <f t="shared" si="233"/>
        <v>20220907</v>
      </c>
      <c r="I1315" s="1" t="str">
        <f>"121035"</f>
        <v>121035</v>
      </c>
      <c r="J1315" s="1" t="s">
        <v>28</v>
      </c>
      <c r="K1315" s="1" t="s">
        <v>28</v>
      </c>
      <c r="L1315" s="1" t="str">
        <f t="shared" si="241"/>
        <v>20220907</v>
      </c>
      <c r="M1315" s="1" t="str">
        <f>"122759"</f>
        <v>122759</v>
      </c>
      <c r="N1315" s="1" t="s">
        <v>52</v>
      </c>
      <c r="O1315" s="1" t="s">
        <v>52</v>
      </c>
      <c r="P1315" s="1" t="s">
        <v>55</v>
      </c>
      <c r="Q1315" s="1">
        <v>25</v>
      </c>
      <c r="R1315" s="1">
        <v>25</v>
      </c>
      <c r="S1315" s="1">
        <v>0</v>
      </c>
      <c r="T1315" s="1">
        <v>0</v>
      </c>
      <c r="U1315" s="1">
        <v>0</v>
      </c>
      <c r="V1315" s="1" t="str">
        <f t="shared" si="246"/>
        <v>里程去程</v>
      </c>
      <c r="W1315" s="1" t="str">
        <f>"1120"</f>
        <v>1120</v>
      </c>
      <c r="X1315" s="1" t="s">
        <v>35</v>
      </c>
    </row>
    <row r="1316" spans="1:24" x14ac:dyDescent="0.3">
      <c r="A1316" s="1" t="str">
        <f t="shared" si="242"/>
        <v>59823</v>
      </c>
      <c r="B1316" s="1" t="s">
        <v>36</v>
      </c>
      <c r="C1316" s="1" t="s">
        <v>37</v>
      </c>
      <c r="D1316" s="1" t="str">
        <f t="shared" si="247"/>
        <v>9805</v>
      </c>
      <c r="E1316" s="1" t="s">
        <v>57</v>
      </c>
      <c r="F1316" s="1" t="str">
        <f>"4278FF19DC880400C824002000000020"</f>
        <v>4278FF19DC880400C824002000000020</v>
      </c>
      <c r="G1316" s="1" t="s">
        <v>58</v>
      </c>
      <c r="H1316" s="1" t="str">
        <f t="shared" si="233"/>
        <v>20220907</v>
      </c>
      <c r="I1316" s="1" t="str">
        <f>"121037"</f>
        <v>121037</v>
      </c>
      <c r="J1316" s="1" t="s">
        <v>28</v>
      </c>
      <c r="K1316" s="1" t="s">
        <v>28</v>
      </c>
      <c r="L1316" s="1" t="str">
        <f t="shared" si="241"/>
        <v>20220907</v>
      </c>
      <c r="M1316" s="1" t="str">
        <f>"122757"</f>
        <v>122757</v>
      </c>
      <c r="N1316" s="1" t="s">
        <v>52</v>
      </c>
      <c r="O1316" s="1" t="s">
        <v>52</v>
      </c>
      <c r="P1316" s="1" t="s">
        <v>55</v>
      </c>
      <c r="Q1316" s="1">
        <v>25</v>
      </c>
      <c r="R1316" s="1">
        <v>25</v>
      </c>
      <c r="S1316" s="1">
        <v>0</v>
      </c>
      <c r="T1316" s="1">
        <v>0</v>
      </c>
      <c r="U1316" s="1">
        <v>0</v>
      </c>
      <c r="V1316" s="1" t="str">
        <f t="shared" si="246"/>
        <v>里程去程</v>
      </c>
      <c r="W1316" s="1" t="str">
        <f>"0020"</f>
        <v>0020</v>
      </c>
      <c r="X1316" s="1" t="s">
        <v>29</v>
      </c>
    </row>
    <row r="1317" spans="1:24" x14ac:dyDescent="0.3">
      <c r="A1317" s="1" t="str">
        <f t="shared" si="242"/>
        <v>59823</v>
      </c>
      <c r="B1317" s="1" t="s">
        <v>36</v>
      </c>
      <c r="C1317" s="1" t="s">
        <v>37</v>
      </c>
      <c r="D1317" s="1" t="str">
        <f t="shared" si="247"/>
        <v>9805</v>
      </c>
      <c r="E1317" s="1" t="s">
        <v>57</v>
      </c>
      <c r="F1317" s="1" t="str">
        <f>"1275252853"</f>
        <v>1275252853</v>
      </c>
      <c r="G1317" s="1" t="s">
        <v>33</v>
      </c>
      <c r="H1317" s="1" t="str">
        <f t="shared" si="233"/>
        <v>20220907</v>
      </c>
      <c r="I1317" s="1" t="str">
        <f>"130931"</f>
        <v>130931</v>
      </c>
      <c r="J1317" s="1" t="s">
        <v>52</v>
      </c>
      <c r="K1317" s="1" t="s">
        <v>52</v>
      </c>
      <c r="L1317" s="1" t="str">
        <f t="shared" si="241"/>
        <v>20220907</v>
      </c>
      <c r="M1317" s="1" t="str">
        <f>"131931"</f>
        <v>131931</v>
      </c>
      <c r="N1317" s="1" t="s">
        <v>46</v>
      </c>
      <c r="O1317" s="1" t="s">
        <v>28</v>
      </c>
      <c r="P1317" s="1" t="s">
        <v>55</v>
      </c>
      <c r="Q1317" s="1">
        <v>25</v>
      </c>
      <c r="R1317" s="1">
        <v>25</v>
      </c>
      <c r="S1317" s="1">
        <v>0</v>
      </c>
      <c r="T1317" s="1">
        <v>0</v>
      </c>
      <c r="U1317" s="1">
        <v>0</v>
      </c>
      <c r="V1317" s="1" t="str">
        <f>"里程返程"</f>
        <v>里程返程</v>
      </c>
      <c r="W1317" s="1" t="str">
        <f>"0820"</f>
        <v>0820</v>
      </c>
      <c r="X1317" s="1" t="s">
        <v>35</v>
      </c>
    </row>
    <row r="1318" spans="1:24" x14ac:dyDescent="0.3">
      <c r="A1318" s="1" t="str">
        <f t="shared" si="242"/>
        <v>59823</v>
      </c>
      <c r="B1318" s="1" t="s">
        <v>36</v>
      </c>
      <c r="C1318" s="1" t="s">
        <v>37</v>
      </c>
      <c r="D1318" s="1" t="str">
        <f t="shared" si="247"/>
        <v>9805</v>
      </c>
      <c r="E1318" s="1" t="s">
        <v>57</v>
      </c>
      <c r="F1318" s="1" t="str">
        <f>"2606318579"</f>
        <v>2606318579</v>
      </c>
      <c r="G1318" s="1" t="s">
        <v>33</v>
      </c>
      <c r="H1318" s="1" t="str">
        <f t="shared" si="233"/>
        <v>20220907</v>
      </c>
      <c r="I1318" s="1" t="str">
        <f>"130936"</f>
        <v>130936</v>
      </c>
      <c r="J1318" s="1" t="s">
        <v>52</v>
      </c>
      <c r="K1318" s="1" t="s">
        <v>52</v>
      </c>
      <c r="L1318" s="1" t="str">
        <f t="shared" si="241"/>
        <v>20220907</v>
      </c>
      <c r="M1318" s="1" t="str">
        <f>"131938"</f>
        <v>131938</v>
      </c>
      <c r="N1318" s="1" t="s">
        <v>46</v>
      </c>
      <c r="O1318" s="1" t="s">
        <v>28</v>
      </c>
      <c r="P1318" s="1" t="s">
        <v>55</v>
      </c>
      <c r="Q1318" s="1">
        <v>25</v>
      </c>
      <c r="R1318" s="1">
        <v>25</v>
      </c>
      <c r="S1318" s="1">
        <v>0</v>
      </c>
      <c r="T1318" s="1">
        <v>0</v>
      </c>
      <c r="U1318" s="1">
        <v>0</v>
      </c>
      <c r="V1318" s="1" t="str">
        <f>"里程返程"</f>
        <v>里程返程</v>
      </c>
      <c r="W1318" s="1" t="str">
        <f>"0820"</f>
        <v>0820</v>
      </c>
      <c r="X1318" s="1" t="s">
        <v>35</v>
      </c>
    </row>
    <row r="1319" spans="1:24" x14ac:dyDescent="0.3">
      <c r="A1319" s="1" t="str">
        <f t="shared" si="242"/>
        <v>59823</v>
      </c>
      <c r="B1319" s="1" t="s">
        <v>36</v>
      </c>
      <c r="C1319" s="1" t="s">
        <v>37</v>
      </c>
      <c r="D1319" s="1" t="str">
        <f t="shared" ref="D1319:D1329" si="248">"9803"</f>
        <v>9803</v>
      </c>
      <c r="E1319" s="1" t="s">
        <v>32</v>
      </c>
      <c r="F1319" s="1" t="str">
        <f>"1709069061"</f>
        <v>1709069061</v>
      </c>
      <c r="G1319" s="1" t="s">
        <v>33</v>
      </c>
      <c r="H1319" s="1" t="str">
        <f t="shared" si="233"/>
        <v>20220907</v>
      </c>
      <c r="I1319" s="1" t="str">
        <f>"133947"</f>
        <v>133947</v>
      </c>
      <c r="J1319" s="1" t="s">
        <v>46</v>
      </c>
      <c r="K1319" s="1" t="s">
        <v>28</v>
      </c>
      <c r="L1319" s="1" t="str">
        <f t="shared" si="241"/>
        <v>20220907</v>
      </c>
      <c r="M1319" s="1" t="str">
        <f>"134950"</f>
        <v>134950</v>
      </c>
      <c r="N1319" s="1" t="s">
        <v>34</v>
      </c>
      <c r="O1319" s="1" t="s">
        <v>34</v>
      </c>
      <c r="P1319" s="1" t="s">
        <v>55</v>
      </c>
      <c r="Q1319" s="1">
        <v>25</v>
      </c>
      <c r="R1319" s="1">
        <v>25</v>
      </c>
      <c r="S1319" s="1">
        <v>0</v>
      </c>
      <c r="T1319" s="1">
        <v>0</v>
      </c>
      <c r="U1319" s="1">
        <v>0</v>
      </c>
      <c r="V1319" s="1" t="str">
        <f>"里程去程"</f>
        <v>里程去程</v>
      </c>
      <c r="W1319" s="1" t="str">
        <f>"2020"</f>
        <v>2020</v>
      </c>
      <c r="X1319" s="1" t="s">
        <v>35</v>
      </c>
    </row>
    <row r="1320" spans="1:24" x14ac:dyDescent="0.3">
      <c r="A1320" s="1" t="str">
        <f t="shared" si="242"/>
        <v>59823</v>
      </c>
      <c r="B1320" s="1" t="s">
        <v>36</v>
      </c>
      <c r="C1320" s="1" t="s">
        <v>37</v>
      </c>
      <c r="D1320" s="1" t="str">
        <f t="shared" si="248"/>
        <v>9803</v>
      </c>
      <c r="E1320" s="1" t="s">
        <v>32</v>
      </c>
      <c r="F1320" s="1" t="str">
        <f>"0C7BD27BDE8804004751861861104907"</f>
        <v>0C7BD27BDE8804004751861861104907</v>
      </c>
      <c r="G1320" s="1" t="s">
        <v>82</v>
      </c>
      <c r="H1320" s="1" t="str">
        <f t="shared" si="233"/>
        <v>20220907</v>
      </c>
      <c r="I1320" s="1" t="str">
        <f>"135948"</f>
        <v>135948</v>
      </c>
      <c r="J1320" s="1" t="s">
        <v>34</v>
      </c>
      <c r="K1320" s="1" t="s">
        <v>34</v>
      </c>
      <c r="L1320" s="1" t="str">
        <f t="shared" si="241"/>
        <v>20220907</v>
      </c>
      <c r="M1320" s="1" t="str">
        <f>"142903"</f>
        <v>142903</v>
      </c>
      <c r="N1320" s="1" t="s">
        <v>28</v>
      </c>
      <c r="O1320" s="1" t="s">
        <v>28</v>
      </c>
      <c r="P1320" s="1" t="s">
        <v>55</v>
      </c>
      <c r="Q1320" s="1">
        <v>13</v>
      </c>
      <c r="R1320" s="1">
        <v>0</v>
      </c>
      <c r="S1320" s="1">
        <v>13</v>
      </c>
      <c r="T1320" s="1">
        <v>0</v>
      </c>
      <c r="U1320" s="1">
        <v>0</v>
      </c>
      <c r="V1320" s="1" t="str">
        <f t="shared" ref="V1320:V1329" si="249">"里程返程"</f>
        <v>里程返程</v>
      </c>
      <c r="W1320" s="1" t="str">
        <f>"1120"</f>
        <v>1120</v>
      </c>
      <c r="X1320" s="1" t="s">
        <v>29</v>
      </c>
    </row>
    <row r="1321" spans="1:24" x14ac:dyDescent="0.3">
      <c r="A1321" s="1" t="str">
        <f t="shared" si="242"/>
        <v>59823</v>
      </c>
      <c r="B1321" s="1" t="s">
        <v>36</v>
      </c>
      <c r="C1321" s="1" t="s">
        <v>37</v>
      </c>
      <c r="D1321" s="1" t="str">
        <f t="shared" si="248"/>
        <v>9803</v>
      </c>
      <c r="E1321" s="1" t="s">
        <v>32</v>
      </c>
      <c r="F1321" s="1" t="str">
        <f>"BC85D67B948804004751861861104907"</f>
        <v>BC85D67B948804004751861861104907</v>
      </c>
      <c r="G1321" s="1" t="s">
        <v>66</v>
      </c>
      <c r="H1321" s="1" t="str">
        <f t="shared" si="233"/>
        <v>20220907</v>
      </c>
      <c r="I1321" s="1" t="str">
        <f>"135952"</f>
        <v>135952</v>
      </c>
      <c r="J1321" s="1" t="s">
        <v>34</v>
      </c>
      <c r="K1321" s="1" t="s">
        <v>34</v>
      </c>
      <c r="L1321" s="1" t="str">
        <f t="shared" si="241"/>
        <v>20220907</v>
      </c>
      <c r="M1321" s="1" t="str">
        <f>"142906"</f>
        <v>142906</v>
      </c>
      <c r="N1321" s="1" t="s">
        <v>28</v>
      </c>
      <c r="O1321" s="1" t="s">
        <v>28</v>
      </c>
      <c r="P1321" s="1" t="s">
        <v>55</v>
      </c>
      <c r="Q1321" s="1">
        <v>13</v>
      </c>
      <c r="R1321" s="1">
        <v>0</v>
      </c>
      <c r="S1321" s="1">
        <v>13</v>
      </c>
      <c r="T1321" s="1">
        <v>0</v>
      </c>
      <c r="U1321" s="1">
        <v>0</v>
      </c>
      <c r="V1321" s="1" t="str">
        <f t="shared" si="249"/>
        <v>里程返程</v>
      </c>
      <c r="W1321" s="1" t="str">
        <f>"1120"</f>
        <v>1120</v>
      </c>
      <c r="X1321" s="1" t="s">
        <v>29</v>
      </c>
    </row>
    <row r="1322" spans="1:24" x14ac:dyDescent="0.3">
      <c r="A1322" s="1" t="str">
        <f t="shared" si="242"/>
        <v>59823</v>
      </c>
      <c r="B1322" s="1" t="s">
        <v>36</v>
      </c>
      <c r="C1322" s="1" t="s">
        <v>37</v>
      </c>
      <c r="D1322" s="1" t="str">
        <f t="shared" si="248"/>
        <v>9803</v>
      </c>
      <c r="E1322" s="1" t="s">
        <v>32</v>
      </c>
      <c r="F1322" s="1" t="str">
        <f>"1390617761"</f>
        <v>1390617761</v>
      </c>
      <c r="G1322" s="1" t="s">
        <v>26</v>
      </c>
      <c r="H1322" s="1" t="str">
        <f t="shared" si="233"/>
        <v>20220907</v>
      </c>
      <c r="I1322" s="1" t="str">
        <f>"140000"</f>
        <v>140000</v>
      </c>
      <c r="J1322" s="1" t="s">
        <v>34</v>
      </c>
      <c r="K1322" s="1" t="s">
        <v>34</v>
      </c>
      <c r="L1322" s="1" t="str">
        <f t="shared" si="241"/>
        <v>20220907</v>
      </c>
      <c r="M1322" s="1" t="str">
        <f>"142911"</f>
        <v>142911</v>
      </c>
      <c r="N1322" s="1" t="s">
        <v>28</v>
      </c>
      <c r="O1322" s="1" t="s">
        <v>28</v>
      </c>
      <c r="P1322" s="1" t="s">
        <v>55</v>
      </c>
      <c r="Q1322" s="1">
        <v>13</v>
      </c>
      <c r="R1322" s="1">
        <v>0</v>
      </c>
      <c r="S1322" s="1">
        <v>13</v>
      </c>
      <c r="T1322" s="1">
        <v>0</v>
      </c>
      <c r="U1322" s="1">
        <v>0</v>
      </c>
      <c r="V1322" s="1" t="str">
        <f t="shared" si="249"/>
        <v>里程返程</v>
      </c>
      <c r="W1322" s="1" t="str">
        <f>"2020"</f>
        <v>2020</v>
      </c>
      <c r="X1322" s="1" t="s">
        <v>35</v>
      </c>
    </row>
    <row r="1323" spans="1:24" x14ac:dyDescent="0.3">
      <c r="A1323" s="1" t="str">
        <f t="shared" si="242"/>
        <v>59823</v>
      </c>
      <c r="B1323" s="1" t="s">
        <v>36</v>
      </c>
      <c r="C1323" s="1" t="s">
        <v>37</v>
      </c>
      <c r="D1323" s="1" t="str">
        <f t="shared" si="248"/>
        <v>9803</v>
      </c>
      <c r="E1323" s="1" t="s">
        <v>32</v>
      </c>
      <c r="F1323" s="1" t="str">
        <f>"2697212207"</f>
        <v>2697212207</v>
      </c>
      <c r="G1323" s="1" t="s">
        <v>26</v>
      </c>
      <c r="H1323" s="1" t="str">
        <f t="shared" ref="H1323:H1386" si="250">"20220907"</f>
        <v>20220907</v>
      </c>
      <c r="I1323" s="1" t="str">
        <f>"140004"</f>
        <v>140004</v>
      </c>
      <c r="J1323" s="1" t="s">
        <v>34</v>
      </c>
      <c r="K1323" s="1" t="s">
        <v>34</v>
      </c>
      <c r="L1323" s="1" t="str">
        <f t="shared" ref="L1323:L1342" si="251">"20220907"</f>
        <v>20220907</v>
      </c>
      <c r="M1323" s="1" t="str">
        <f>"142921"</f>
        <v>142921</v>
      </c>
      <c r="N1323" s="1" t="s">
        <v>28</v>
      </c>
      <c r="O1323" s="1" t="s">
        <v>28</v>
      </c>
      <c r="P1323" s="1" t="s">
        <v>55</v>
      </c>
      <c r="Q1323" s="1">
        <v>13</v>
      </c>
      <c r="R1323" s="1">
        <v>0</v>
      </c>
      <c r="S1323" s="1">
        <v>13</v>
      </c>
      <c r="T1323" s="1">
        <v>0</v>
      </c>
      <c r="U1323" s="1">
        <v>0</v>
      </c>
      <c r="V1323" s="1" t="str">
        <f t="shared" si="249"/>
        <v>里程返程</v>
      </c>
      <c r="W1323" s="1" t="str">
        <f>"2020"</f>
        <v>2020</v>
      </c>
      <c r="X1323" s="1" t="s">
        <v>35</v>
      </c>
    </row>
    <row r="1324" spans="1:24" x14ac:dyDescent="0.3">
      <c r="A1324" s="1" t="str">
        <f t="shared" si="242"/>
        <v>59823</v>
      </c>
      <c r="B1324" s="1" t="s">
        <v>36</v>
      </c>
      <c r="C1324" s="1" t="s">
        <v>37</v>
      </c>
      <c r="D1324" s="1" t="str">
        <f t="shared" si="248"/>
        <v>9803</v>
      </c>
      <c r="E1324" s="1" t="s">
        <v>32</v>
      </c>
      <c r="F1324" s="1" t="str">
        <f>"2713752957"</f>
        <v>2713752957</v>
      </c>
      <c r="G1324" s="1" t="s">
        <v>33</v>
      </c>
      <c r="H1324" s="1" t="str">
        <f t="shared" si="250"/>
        <v>20220907</v>
      </c>
      <c r="I1324" s="1" t="str">
        <f>"140007"</f>
        <v>140007</v>
      </c>
      <c r="J1324" s="1" t="s">
        <v>34</v>
      </c>
      <c r="K1324" s="1" t="s">
        <v>34</v>
      </c>
      <c r="L1324" s="1" t="str">
        <f t="shared" si="251"/>
        <v>20220907</v>
      </c>
      <c r="M1324" s="1" t="str">
        <f>"142929"</f>
        <v>142929</v>
      </c>
      <c r="N1324" s="1" t="s">
        <v>28</v>
      </c>
      <c r="O1324" s="1" t="s">
        <v>28</v>
      </c>
      <c r="P1324" s="1" t="s">
        <v>55</v>
      </c>
      <c r="Q1324" s="1">
        <v>25</v>
      </c>
      <c r="R1324" s="1">
        <v>25</v>
      </c>
      <c r="S1324" s="1">
        <v>0</v>
      </c>
      <c r="T1324" s="1">
        <v>0</v>
      </c>
      <c r="U1324" s="1">
        <v>0</v>
      </c>
      <c r="V1324" s="1" t="str">
        <f t="shared" si="249"/>
        <v>里程返程</v>
      </c>
      <c r="W1324" s="1" t="str">
        <f>"2020"</f>
        <v>2020</v>
      </c>
      <c r="X1324" s="1" t="s">
        <v>35</v>
      </c>
    </row>
    <row r="1325" spans="1:24" x14ac:dyDescent="0.3">
      <c r="A1325" s="1" t="str">
        <f t="shared" si="242"/>
        <v>59823</v>
      </c>
      <c r="B1325" s="1" t="s">
        <v>36</v>
      </c>
      <c r="C1325" s="1" t="s">
        <v>37</v>
      </c>
      <c r="D1325" s="1" t="str">
        <f t="shared" si="248"/>
        <v>9803</v>
      </c>
      <c r="E1325" s="1" t="s">
        <v>32</v>
      </c>
      <c r="F1325" s="1" t="str">
        <f>"2621463983"</f>
        <v>2621463983</v>
      </c>
      <c r="G1325" s="1" t="s">
        <v>33</v>
      </c>
      <c r="H1325" s="1" t="str">
        <f t="shared" si="250"/>
        <v>20220907</v>
      </c>
      <c r="I1325" s="1" t="str">
        <f>"140013"</f>
        <v>140013</v>
      </c>
      <c r="J1325" s="1" t="s">
        <v>34</v>
      </c>
      <c r="K1325" s="1" t="s">
        <v>34</v>
      </c>
      <c r="L1325" s="1" t="str">
        <f t="shared" si="251"/>
        <v>20220907</v>
      </c>
      <c r="M1325" s="1" t="str">
        <f>"142926"</f>
        <v>142926</v>
      </c>
      <c r="N1325" s="1" t="s">
        <v>28</v>
      </c>
      <c r="O1325" s="1" t="s">
        <v>28</v>
      </c>
      <c r="P1325" s="1" t="s">
        <v>55</v>
      </c>
      <c r="Q1325" s="1">
        <v>25</v>
      </c>
      <c r="R1325" s="1">
        <v>25</v>
      </c>
      <c r="S1325" s="1">
        <v>0</v>
      </c>
      <c r="T1325" s="1">
        <v>0</v>
      </c>
      <c r="U1325" s="1">
        <v>0</v>
      </c>
      <c r="V1325" s="1" t="str">
        <f t="shared" si="249"/>
        <v>里程返程</v>
      </c>
      <c r="W1325" s="1" t="str">
        <f>"2020"</f>
        <v>2020</v>
      </c>
      <c r="X1325" s="1" t="s">
        <v>35</v>
      </c>
    </row>
    <row r="1326" spans="1:24" x14ac:dyDescent="0.3">
      <c r="A1326" s="1" t="str">
        <f t="shared" si="242"/>
        <v>59823</v>
      </c>
      <c r="B1326" s="1" t="s">
        <v>36</v>
      </c>
      <c r="C1326" s="1" t="s">
        <v>37</v>
      </c>
      <c r="D1326" s="1" t="str">
        <f t="shared" si="248"/>
        <v>9803</v>
      </c>
      <c r="E1326" s="1" t="s">
        <v>32</v>
      </c>
      <c r="F1326" s="1" t="str">
        <f>"242987777"</f>
        <v>242987777</v>
      </c>
      <c r="G1326" s="1" t="s">
        <v>33</v>
      </c>
      <c r="H1326" s="1" t="str">
        <f t="shared" si="250"/>
        <v>20220907</v>
      </c>
      <c r="I1326" s="1" t="str">
        <f>"140019"</f>
        <v>140019</v>
      </c>
      <c r="J1326" s="1" t="s">
        <v>34</v>
      </c>
      <c r="K1326" s="1" t="s">
        <v>34</v>
      </c>
      <c r="L1326" s="1" t="str">
        <f t="shared" si="251"/>
        <v>20220907</v>
      </c>
      <c r="M1326" s="1" t="str">
        <f>"142936"</f>
        <v>142936</v>
      </c>
      <c r="N1326" s="1" t="s">
        <v>28</v>
      </c>
      <c r="O1326" s="1" t="s">
        <v>28</v>
      </c>
      <c r="P1326" s="1" t="s">
        <v>55</v>
      </c>
      <c r="Q1326" s="1">
        <v>25</v>
      </c>
      <c r="R1326" s="1">
        <v>25</v>
      </c>
      <c r="S1326" s="1">
        <v>0</v>
      </c>
      <c r="T1326" s="1">
        <v>0</v>
      </c>
      <c r="U1326" s="1">
        <v>0</v>
      </c>
      <c r="V1326" s="1" t="str">
        <f t="shared" si="249"/>
        <v>里程返程</v>
      </c>
      <c r="W1326" s="1" t="str">
        <f>"2020"</f>
        <v>2020</v>
      </c>
      <c r="X1326" s="1" t="s">
        <v>35</v>
      </c>
    </row>
    <row r="1327" spans="1:24" x14ac:dyDescent="0.3">
      <c r="A1327" s="1" t="str">
        <f t="shared" si="242"/>
        <v>59823</v>
      </c>
      <c r="B1327" s="1" t="s">
        <v>36</v>
      </c>
      <c r="C1327" s="1" t="s">
        <v>37</v>
      </c>
      <c r="D1327" s="1" t="str">
        <f t="shared" si="248"/>
        <v>9803</v>
      </c>
      <c r="E1327" s="1" t="s">
        <v>32</v>
      </c>
      <c r="F1327" s="1" t="str">
        <f>"3193305787"</f>
        <v>3193305787</v>
      </c>
      <c r="G1327" s="1" t="s">
        <v>33</v>
      </c>
      <c r="H1327" s="1" t="str">
        <f t="shared" si="250"/>
        <v>20220907</v>
      </c>
      <c r="I1327" s="1" t="str">
        <f>"140022"</f>
        <v>140022</v>
      </c>
      <c r="J1327" s="1" t="s">
        <v>34</v>
      </c>
      <c r="K1327" s="1" t="s">
        <v>34</v>
      </c>
      <c r="L1327" s="1" t="str">
        <f t="shared" si="251"/>
        <v>20220907</v>
      </c>
      <c r="M1327" s="1" t="str">
        <f>"142932"</f>
        <v>142932</v>
      </c>
      <c r="N1327" s="1" t="s">
        <v>28</v>
      </c>
      <c r="O1327" s="1" t="s">
        <v>28</v>
      </c>
      <c r="P1327" s="1" t="s">
        <v>55</v>
      </c>
      <c r="Q1327" s="1">
        <v>25</v>
      </c>
      <c r="R1327" s="1">
        <v>25</v>
      </c>
      <c r="S1327" s="1">
        <v>0</v>
      </c>
      <c r="T1327" s="1">
        <v>0</v>
      </c>
      <c r="U1327" s="1">
        <v>0</v>
      </c>
      <c r="V1327" s="1" t="str">
        <f t="shared" si="249"/>
        <v>里程返程</v>
      </c>
      <c r="W1327" s="1" t="str">
        <f>"0120"</f>
        <v>0120</v>
      </c>
      <c r="X1327" s="1" t="s">
        <v>35</v>
      </c>
    </row>
    <row r="1328" spans="1:24" x14ac:dyDescent="0.3">
      <c r="A1328" s="1" t="str">
        <f t="shared" si="242"/>
        <v>59823</v>
      </c>
      <c r="B1328" s="1" t="s">
        <v>36</v>
      </c>
      <c r="C1328" s="1" t="s">
        <v>37</v>
      </c>
      <c r="D1328" s="1" t="str">
        <f t="shared" si="248"/>
        <v>9803</v>
      </c>
      <c r="E1328" s="1" t="s">
        <v>32</v>
      </c>
      <c r="F1328" s="1" t="str">
        <f>"E214D5123128040080CEBCD765212818"</f>
        <v>E214D5123128040080CEBCD765212818</v>
      </c>
      <c r="G1328" s="1" t="s">
        <v>59</v>
      </c>
      <c r="H1328" s="1" t="str">
        <f t="shared" si="250"/>
        <v>20220907</v>
      </c>
      <c r="I1328" s="1" t="str">
        <f>"140025"</f>
        <v>140025</v>
      </c>
      <c r="J1328" s="1" t="s">
        <v>34</v>
      </c>
      <c r="K1328" s="1" t="s">
        <v>34</v>
      </c>
      <c r="L1328" s="1" t="str">
        <f t="shared" si="251"/>
        <v>20220907</v>
      </c>
      <c r="M1328" s="1" t="str">
        <f>"142859"</f>
        <v>142859</v>
      </c>
      <c r="N1328" s="1" t="s">
        <v>28</v>
      </c>
      <c r="O1328" s="1" t="s">
        <v>28</v>
      </c>
      <c r="P1328" s="1" t="s">
        <v>55</v>
      </c>
      <c r="Q1328" s="1">
        <v>25</v>
      </c>
      <c r="R1328" s="1">
        <v>25</v>
      </c>
      <c r="S1328" s="1">
        <v>0</v>
      </c>
      <c r="T1328" s="1">
        <v>0</v>
      </c>
      <c r="U1328" s="1">
        <v>0</v>
      </c>
      <c r="V1328" s="1" t="str">
        <f t="shared" si="249"/>
        <v>里程返程</v>
      </c>
      <c r="W1328" s="1" t="str">
        <f>"0020"</f>
        <v>0020</v>
      </c>
      <c r="X1328" s="1" t="s">
        <v>29</v>
      </c>
    </row>
    <row r="1329" spans="1:24" x14ac:dyDescent="0.3">
      <c r="A1329" s="1" t="str">
        <f t="shared" si="242"/>
        <v>59823</v>
      </c>
      <c r="B1329" s="1" t="s">
        <v>36</v>
      </c>
      <c r="C1329" s="1" t="s">
        <v>37</v>
      </c>
      <c r="D1329" s="1" t="str">
        <f t="shared" si="248"/>
        <v>9803</v>
      </c>
      <c r="E1329" s="1" t="s">
        <v>32</v>
      </c>
      <c r="F1329" s="1" t="str">
        <f>"91397B33E0280400F700000000000000"</f>
        <v>91397B33E0280400F700000000000000</v>
      </c>
      <c r="G1329" s="1" t="s">
        <v>58</v>
      </c>
      <c r="H1329" s="1" t="str">
        <f t="shared" si="250"/>
        <v>20220907</v>
      </c>
      <c r="I1329" s="1" t="str">
        <f>"142217"</f>
        <v>142217</v>
      </c>
      <c r="J1329" s="1" t="s">
        <v>92</v>
      </c>
      <c r="K1329" s="1" t="s">
        <v>28</v>
      </c>
      <c r="L1329" s="1" t="str">
        <f t="shared" si="251"/>
        <v>20220907</v>
      </c>
      <c r="M1329" s="1" t="str">
        <f>"142914"</f>
        <v>142914</v>
      </c>
      <c r="N1329" s="1" t="s">
        <v>28</v>
      </c>
      <c r="O1329" s="1" t="s">
        <v>28</v>
      </c>
      <c r="P1329" s="1" t="s">
        <v>55</v>
      </c>
      <c r="Q1329" s="1">
        <v>25</v>
      </c>
      <c r="R1329" s="1">
        <v>0</v>
      </c>
      <c r="S1329" s="1">
        <v>25</v>
      </c>
      <c r="T1329" s="1">
        <v>0</v>
      </c>
      <c r="U1329" s="1">
        <v>0</v>
      </c>
      <c r="V1329" s="1" t="str">
        <f t="shared" si="249"/>
        <v>里程返程</v>
      </c>
      <c r="W1329" s="1" t="str">
        <f>"2020"</f>
        <v>2020</v>
      </c>
      <c r="X1329" s="1" t="s">
        <v>29</v>
      </c>
    </row>
    <row r="1330" spans="1:24" x14ac:dyDescent="0.3">
      <c r="A1330" s="1" t="str">
        <f t="shared" si="242"/>
        <v>59823</v>
      </c>
      <c r="B1330" s="1" t="s">
        <v>36</v>
      </c>
      <c r="C1330" s="1" t="s">
        <v>37</v>
      </c>
      <c r="D1330" s="1" t="str">
        <f t="shared" ref="D1330:D1339" si="252">"9805"</f>
        <v>9805</v>
      </c>
      <c r="E1330" s="1" t="s">
        <v>57</v>
      </c>
      <c r="F1330" s="1" t="str">
        <f>"1642508245"</f>
        <v>1642508245</v>
      </c>
      <c r="G1330" s="1" t="s">
        <v>33</v>
      </c>
      <c r="H1330" s="1" t="str">
        <f t="shared" si="250"/>
        <v>20220907</v>
      </c>
      <c r="I1330" s="1" t="str">
        <f>"151736"</f>
        <v>151736</v>
      </c>
      <c r="J1330" s="1" t="s">
        <v>28</v>
      </c>
      <c r="K1330" s="1" t="s">
        <v>28</v>
      </c>
      <c r="L1330" s="1" t="str">
        <f t="shared" si="251"/>
        <v>20220907</v>
      </c>
      <c r="M1330" s="1" t="str">
        <f>"153105"</f>
        <v>153105</v>
      </c>
      <c r="N1330" s="1" t="s">
        <v>56</v>
      </c>
      <c r="O1330" s="1" t="s">
        <v>28</v>
      </c>
      <c r="P1330" s="1" t="s">
        <v>55</v>
      </c>
      <c r="Q1330" s="1">
        <v>25</v>
      </c>
      <c r="R1330" s="1">
        <v>25</v>
      </c>
      <c r="S1330" s="1">
        <v>0</v>
      </c>
      <c r="T1330" s="1">
        <v>0</v>
      </c>
      <c r="U1330" s="1">
        <v>0</v>
      </c>
      <c r="V1330" s="1" t="str">
        <f t="shared" ref="V1330:V1341" si="253">"里程去程"</f>
        <v>里程去程</v>
      </c>
      <c r="W1330" s="1" t="str">
        <f>"1320"</f>
        <v>1320</v>
      </c>
      <c r="X1330" s="1" t="s">
        <v>35</v>
      </c>
    </row>
    <row r="1331" spans="1:24" x14ac:dyDescent="0.3">
      <c r="A1331" s="1" t="str">
        <f t="shared" si="242"/>
        <v>59823</v>
      </c>
      <c r="B1331" s="1" t="s">
        <v>36</v>
      </c>
      <c r="C1331" s="1" t="s">
        <v>37</v>
      </c>
      <c r="D1331" s="1" t="str">
        <f t="shared" si="252"/>
        <v>9805</v>
      </c>
      <c r="E1331" s="1" t="s">
        <v>57</v>
      </c>
      <c r="F1331" s="1" t="str">
        <f>"628996498"</f>
        <v>628996498</v>
      </c>
      <c r="G1331" s="1" t="s">
        <v>33</v>
      </c>
      <c r="H1331" s="1" t="str">
        <f t="shared" si="250"/>
        <v>20220907</v>
      </c>
      <c r="I1331" s="1" t="str">
        <f>"151742"</f>
        <v>151742</v>
      </c>
      <c r="J1331" s="1" t="s">
        <v>28</v>
      </c>
      <c r="K1331" s="1" t="s">
        <v>28</v>
      </c>
      <c r="L1331" s="1" t="str">
        <f t="shared" si="251"/>
        <v>20220907</v>
      </c>
      <c r="M1331" s="1" t="str">
        <f>"153705"</f>
        <v>153705</v>
      </c>
      <c r="N1331" s="1" t="s">
        <v>52</v>
      </c>
      <c r="O1331" s="1" t="s">
        <v>52</v>
      </c>
      <c r="P1331" s="1" t="s">
        <v>55</v>
      </c>
      <c r="Q1331" s="1">
        <v>25</v>
      </c>
      <c r="R1331" s="1">
        <v>25</v>
      </c>
      <c r="S1331" s="1">
        <v>0</v>
      </c>
      <c r="T1331" s="1">
        <v>0</v>
      </c>
      <c r="U1331" s="1">
        <v>0</v>
      </c>
      <c r="V1331" s="1" t="str">
        <f t="shared" si="253"/>
        <v>里程去程</v>
      </c>
      <c r="W1331" s="1" t="str">
        <f>"0120"</f>
        <v>0120</v>
      </c>
      <c r="X1331" s="1" t="s">
        <v>35</v>
      </c>
    </row>
    <row r="1332" spans="1:24" x14ac:dyDescent="0.3">
      <c r="A1332" s="1" t="str">
        <f t="shared" si="242"/>
        <v>59823</v>
      </c>
      <c r="B1332" s="1" t="s">
        <v>36</v>
      </c>
      <c r="C1332" s="1" t="s">
        <v>37</v>
      </c>
      <c r="D1332" s="1" t="str">
        <f t="shared" si="252"/>
        <v>9805</v>
      </c>
      <c r="E1332" s="1" t="s">
        <v>57</v>
      </c>
      <c r="F1332" s="1" t="str">
        <f>"2743550447"</f>
        <v>2743550447</v>
      </c>
      <c r="G1332" s="1" t="s">
        <v>33</v>
      </c>
      <c r="H1332" s="1" t="str">
        <f t="shared" si="250"/>
        <v>20220907</v>
      </c>
      <c r="I1332" s="1" t="str">
        <f>"151747"</f>
        <v>151747</v>
      </c>
      <c r="J1332" s="1" t="s">
        <v>28</v>
      </c>
      <c r="K1332" s="1" t="s">
        <v>28</v>
      </c>
      <c r="L1332" s="1" t="str">
        <f t="shared" si="251"/>
        <v>20220907</v>
      </c>
      <c r="M1332" s="1" t="str">
        <f>"153701"</f>
        <v>153701</v>
      </c>
      <c r="N1332" s="1" t="s">
        <v>52</v>
      </c>
      <c r="O1332" s="1" t="s">
        <v>52</v>
      </c>
      <c r="P1332" s="1" t="s">
        <v>55</v>
      </c>
      <c r="Q1332" s="1">
        <v>25</v>
      </c>
      <c r="R1332" s="1">
        <v>25</v>
      </c>
      <c r="S1332" s="1">
        <v>0</v>
      </c>
      <c r="T1332" s="1">
        <v>0</v>
      </c>
      <c r="U1332" s="1">
        <v>0</v>
      </c>
      <c r="V1332" s="1" t="str">
        <f t="shared" si="253"/>
        <v>里程去程</v>
      </c>
      <c r="W1332" s="1" t="str">
        <f>"1c20"</f>
        <v>1c20</v>
      </c>
      <c r="X1332" s="1" t="s">
        <v>35</v>
      </c>
    </row>
    <row r="1333" spans="1:24" x14ac:dyDescent="0.3">
      <c r="A1333" s="1" t="str">
        <f t="shared" si="242"/>
        <v>59823</v>
      </c>
      <c r="B1333" s="1" t="s">
        <v>36</v>
      </c>
      <c r="C1333" s="1" t="s">
        <v>37</v>
      </c>
      <c r="D1333" s="1" t="str">
        <f t="shared" si="252"/>
        <v>9805</v>
      </c>
      <c r="E1333" s="1" t="s">
        <v>57</v>
      </c>
      <c r="F1333" s="1" t="str">
        <f>"5214E502A1880400C834002000000015"</f>
        <v>5214E502A1880400C834002000000015</v>
      </c>
      <c r="G1333" s="1" t="s">
        <v>26</v>
      </c>
      <c r="H1333" s="1" t="str">
        <f t="shared" si="250"/>
        <v>20220907</v>
      </c>
      <c r="I1333" s="1" t="str">
        <f>"151755"</f>
        <v>151755</v>
      </c>
      <c r="J1333" s="1" t="s">
        <v>28</v>
      </c>
      <c r="K1333" s="1" t="s">
        <v>28</v>
      </c>
      <c r="L1333" s="1" t="str">
        <f t="shared" si="251"/>
        <v>20220907</v>
      </c>
      <c r="M1333" s="1" t="str">
        <f>"153004"</f>
        <v>153004</v>
      </c>
      <c r="N1333" s="1" t="s">
        <v>61</v>
      </c>
      <c r="O1333" s="1" t="s">
        <v>28</v>
      </c>
      <c r="P1333" s="1" t="s">
        <v>68</v>
      </c>
      <c r="Q1333" s="1">
        <v>13</v>
      </c>
      <c r="R1333" s="1">
        <v>0</v>
      </c>
      <c r="S1333" s="1">
        <v>0</v>
      </c>
      <c r="T1333" s="1">
        <v>13</v>
      </c>
      <c r="U1333" s="1">
        <v>0</v>
      </c>
      <c r="V1333" s="1" t="str">
        <f t="shared" si="253"/>
        <v>里程去程</v>
      </c>
      <c r="W1333" s="1" t="str">
        <f>"0020"</f>
        <v>0020</v>
      </c>
      <c r="X1333" s="1" t="s">
        <v>29</v>
      </c>
    </row>
    <row r="1334" spans="1:24" x14ac:dyDescent="0.3">
      <c r="A1334" s="1" t="str">
        <f t="shared" si="242"/>
        <v>59823</v>
      </c>
      <c r="B1334" s="1" t="s">
        <v>36</v>
      </c>
      <c r="C1334" s="1" t="s">
        <v>37</v>
      </c>
      <c r="D1334" s="1" t="str">
        <f t="shared" si="252"/>
        <v>9805</v>
      </c>
      <c r="E1334" s="1" t="s">
        <v>57</v>
      </c>
      <c r="F1334" s="1" t="str">
        <f>"1236588677"</f>
        <v>1236588677</v>
      </c>
      <c r="G1334" s="1" t="s">
        <v>26</v>
      </c>
      <c r="H1334" s="1" t="str">
        <f t="shared" si="250"/>
        <v>20220907</v>
      </c>
      <c r="I1334" s="1" t="str">
        <f>"151757"</f>
        <v>151757</v>
      </c>
      <c r="J1334" s="1" t="s">
        <v>28</v>
      </c>
      <c r="K1334" s="1" t="s">
        <v>28</v>
      </c>
      <c r="L1334" s="1" t="str">
        <f t="shared" si="251"/>
        <v>20220907</v>
      </c>
      <c r="M1334" s="1" t="str">
        <f>"153656"</f>
        <v>153656</v>
      </c>
      <c r="N1334" s="1" t="s">
        <v>52</v>
      </c>
      <c r="O1334" s="1" t="s">
        <v>52</v>
      </c>
      <c r="P1334" s="1" t="s">
        <v>55</v>
      </c>
      <c r="Q1334" s="1">
        <v>13</v>
      </c>
      <c r="R1334" s="1">
        <v>13</v>
      </c>
      <c r="S1334" s="1">
        <v>0</v>
      </c>
      <c r="T1334" s="1">
        <v>0</v>
      </c>
      <c r="U1334" s="1">
        <v>0</v>
      </c>
      <c r="V1334" s="1" t="str">
        <f t="shared" si="253"/>
        <v>里程去程</v>
      </c>
      <c r="W1334" s="1" t="str">
        <f>"0820"</f>
        <v>0820</v>
      </c>
      <c r="X1334" s="1" t="s">
        <v>35</v>
      </c>
    </row>
    <row r="1335" spans="1:24" x14ac:dyDescent="0.3">
      <c r="A1335" s="1" t="str">
        <f t="shared" si="242"/>
        <v>59823</v>
      </c>
      <c r="B1335" s="1" t="s">
        <v>36</v>
      </c>
      <c r="C1335" s="1" t="s">
        <v>37</v>
      </c>
      <c r="D1335" s="1" t="str">
        <f t="shared" si="252"/>
        <v>9805</v>
      </c>
      <c r="E1335" s="1" t="s">
        <v>57</v>
      </c>
      <c r="F1335" s="1" t="str">
        <f>"1843561681"</f>
        <v>1843561681</v>
      </c>
      <c r="G1335" s="1" t="s">
        <v>33</v>
      </c>
      <c r="H1335" s="1" t="str">
        <f t="shared" si="250"/>
        <v>20220907</v>
      </c>
      <c r="I1335" s="1" t="str">
        <f>"151809"</f>
        <v>151809</v>
      </c>
      <c r="J1335" s="1" t="s">
        <v>28</v>
      </c>
      <c r="K1335" s="1" t="s">
        <v>28</v>
      </c>
      <c r="L1335" s="1" t="str">
        <f t="shared" si="251"/>
        <v>20220907</v>
      </c>
      <c r="M1335" s="1" t="str">
        <f>"153008"</f>
        <v>153008</v>
      </c>
      <c r="N1335" s="1" t="s">
        <v>61</v>
      </c>
      <c r="O1335" s="1" t="s">
        <v>28</v>
      </c>
      <c r="P1335" s="1" t="s">
        <v>55</v>
      </c>
      <c r="Q1335" s="1">
        <v>25</v>
      </c>
      <c r="R1335" s="1">
        <v>25</v>
      </c>
      <c r="S1335" s="1">
        <v>0</v>
      </c>
      <c r="T1335" s="1">
        <v>0</v>
      </c>
      <c r="U1335" s="1">
        <v>0</v>
      </c>
      <c r="V1335" s="1" t="str">
        <f t="shared" si="253"/>
        <v>里程去程</v>
      </c>
      <c r="W1335" s="1" t="str">
        <f>"0a20"</f>
        <v>0a20</v>
      </c>
      <c r="X1335" s="1" t="s">
        <v>35</v>
      </c>
    </row>
    <row r="1336" spans="1:24" x14ac:dyDescent="0.3">
      <c r="A1336" s="1" t="str">
        <f t="shared" si="242"/>
        <v>59823</v>
      </c>
      <c r="B1336" s="1" t="s">
        <v>36</v>
      </c>
      <c r="C1336" s="1" t="s">
        <v>37</v>
      </c>
      <c r="D1336" s="1" t="str">
        <f t="shared" si="252"/>
        <v>9805</v>
      </c>
      <c r="E1336" s="1" t="s">
        <v>57</v>
      </c>
      <c r="F1336" s="1" t="str">
        <f>"F1130749AC2804001C00000000000000"</f>
        <v>F1130749AC2804001C00000000000000</v>
      </c>
      <c r="G1336" s="1" t="s">
        <v>58</v>
      </c>
      <c r="H1336" s="1" t="str">
        <f t="shared" si="250"/>
        <v>20220907</v>
      </c>
      <c r="I1336" s="1" t="str">
        <f>"151817"</f>
        <v>151817</v>
      </c>
      <c r="J1336" s="1" t="s">
        <v>28</v>
      </c>
      <c r="K1336" s="1" t="s">
        <v>28</v>
      </c>
      <c r="L1336" s="1" t="str">
        <f t="shared" si="251"/>
        <v>20220907</v>
      </c>
      <c r="M1336" s="1" t="str">
        <f>"153357"</f>
        <v>153357</v>
      </c>
      <c r="N1336" s="1" t="s">
        <v>62</v>
      </c>
      <c r="O1336" s="1" t="s">
        <v>28</v>
      </c>
      <c r="P1336" s="1" t="s">
        <v>55</v>
      </c>
      <c r="Q1336" s="1">
        <v>25</v>
      </c>
      <c r="R1336" s="1">
        <v>25</v>
      </c>
      <c r="S1336" s="1">
        <v>0</v>
      </c>
      <c r="T1336" s="1">
        <v>0</v>
      </c>
      <c r="U1336" s="1">
        <v>0</v>
      </c>
      <c r="V1336" s="1" t="str">
        <f t="shared" si="253"/>
        <v>里程去程</v>
      </c>
      <c r="W1336" s="1" t="str">
        <f>"0020"</f>
        <v>0020</v>
      </c>
      <c r="X1336" s="1" t="s">
        <v>29</v>
      </c>
    </row>
    <row r="1337" spans="1:24" x14ac:dyDescent="0.3">
      <c r="A1337" s="1" t="str">
        <f t="shared" si="242"/>
        <v>59823</v>
      </c>
      <c r="B1337" s="1" t="s">
        <v>36</v>
      </c>
      <c r="C1337" s="1" t="s">
        <v>37</v>
      </c>
      <c r="D1337" s="1" t="str">
        <f t="shared" si="252"/>
        <v>9805</v>
      </c>
      <c r="E1337" s="1" t="s">
        <v>57</v>
      </c>
      <c r="F1337" s="1" t="str">
        <f>"850332529"</f>
        <v>850332529</v>
      </c>
      <c r="G1337" s="1" t="s">
        <v>33</v>
      </c>
      <c r="H1337" s="1" t="str">
        <f t="shared" si="250"/>
        <v>20220907</v>
      </c>
      <c r="I1337" s="1" t="str">
        <f>"151822"</f>
        <v>151822</v>
      </c>
      <c r="J1337" s="1" t="s">
        <v>28</v>
      </c>
      <c r="K1337" s="1" t="s">
        <v>28</v>
      </c>
      <c r="L1337" s="1" t="str">
        <f t="shared" si="251"/>
        <v>20220907</v>
      </c>
      <c r="M1337" s="1" t="str">
        <f>"153651"</f>
        <v>153651</v>
      </c>
      <c r="N1337" s="1" t="s">
        <v>52</v>
      </c>
      <c r="O1337" s="1" t="s">
        <v>52</v>
      </c>
      <c r="P1337" s="1" t="s">
        <v>55</v>
      </c>
      <c r="Q1337" s="1">
        <v>25</v>
      </c>
      <c r="R1337" s="1">
        <v>25</v>
      </c>
      <c r="S1337" s="1">
        <v>0</v>
      </c>
      <c r="T1337" s="1">
        <v>0</v>
      </c>
      <c r="U1337" s="1">
        <v>0</v>
      </c>
      <c r="V1337" s="1" t="str">
        <f t="shared" si="253"/>
        <v>里程去程</v>
      </c>
      <c r="W1337" s="1" t="str">
        <f>"2020"</f>
        <v>2020</v>
      </c>
      <c r="X1337" s="1" t="s">
        <v>35</v>
      </c>
    </row>
    <row r="1338" spans="1:24" x14ac:dyDescent="0.3">
      <c r="A1338" s="1" t="str">
        <f t="shared" si="242"/>
        <v>59823</v>
      </c>
      <c r="B1338" s="1" t="s">
        <v>36</v>
      </c>
      <c r="C1338" s="1" t="s">
        <v>37</v>
      </c>
      <c r="D1338" s="1" t="str">
        <f t="shared" si="252"/>
        <v>9805</v>
      </c>
      <c r="E1338" s="1" t="s">
        <v>57</v>
      </c>
      <c r="F1338" s="1" t="str">
        <f>"703320721"</f>
        <v>703320721</v>
      </c>
      <c r="G1338" s="1" t="s">
        <v>33</v>
      </c>
      <c r="H1338" s="1" t="str">
        <f t="shared" si="250"/>
        <v>20220907</v>
      </c>
      <c r="I1338" s="1" t="str">
        <f>"151849"</f>
        <v>151849</v>
      </c>
      <c r="J1338" s="1" t="s">
        <v>28</v>
      </c>
      <c r="K1338" s="1" t="s">
        <v>28</v>
      </c>
      <c r="L1338" s="1" t="str">
        <f t="shared" si="251"/>
        <v>20220907</v>
      </c>
      <c r="M1338" s="1" t="str">
        <f>"152816"</f>
        <v>152816</v>
      </c>
      <c r="N1338" s="1" t="s">
        <v>46</v>
      </c>
      <c r="O1338" s="1" t="s">
        <v>28</v>
      </c>
      <c r="P1338" s="1" t="s">
        <v>55</v>
      </c>
      <c r="Q1338" s="1">
        <v>25</v>
      </c>
      <c r="R1338" s="1">
        <v>25</v>
      </c>
      <c r="S1338" s="1">
        <v>0</v>
      </c>
      <c r="T1338" s="1">
        <v>0</v>
      </c>
      <c r="U1338" s="1">
        <v>0</v>
      </c>
      <c r="V1338" s="1" t="str">
        <f t="shared" si="253"/>
        <v>里程去程</v>
      </c>
      <c r="W1338" s="1" t="str">
        <f>"1e20"</f>
        <v>1e20</v>
      </c>
      <c r="X1338" s="1" t="s">
        <v>35</v>
      </c>
    </row>
    <row r="1339" spans="1:24" x14ac:dyDescent="0.3">
      <c r="A1339" s="1" t="str">
        <f t="shared" si="242"/>
        <v>59823</v>
      </c>
      <c r="B1339" s="1" t="s">
        <v>36</v>
      </c>
      <c r="C1339" s="1" t="s">
        <v>37</v>
      </c>
      <c r="D1339" s="1" t="str">
        <f t="shared" si="252"/>
        <v>9805</v>
      </c>
      <c r="E1339" s="1" t="s">
        <v>57</v>
      </c>
      <c r="F1339" s="1" t="str">
        <f>"43470897"</f>
        <v>43470897</v>
      </c>
      <c r="G1339" s="1" t="s">
        <v>33</v>
      </c>
      <c r="H1339" s="1" t="str">
        <f t="shared" si="250"/>
        <v>20220907</v>
      </c>
      <c r="I1339" s="1" t="str">
        <f>"151851"</f>
        <v>151851</v>
      </c>
      <c r="J1339" s="1" t="s">
        <v>28</v>
      </c>
      <c r="K1339" s="1" t="s">
        <v>28</v>
      </c>
      <c r="L1339" s="1" t="str">
        <f t="shared" si="251"/>
        <v>20220907</v>
      </c>
      <c r="M1339" s="1" t="str">
        <f>"152813"</f>
        <v>152813</v>
      </c>
      <c r="N1339" s="1" t="s">
        <v>46</v>
      </c>
      <c r="O1339" s="1" t="s">
        <v>28</v>
      </c>
      <c r="P1339" s="1" t="s">
        <v>55</v>
      </c>
      <c r="Q1339" s="1">
        <v>25</v>
      </c>
      <c r="R1339" s="1">
        <v>25</v>
      </c>
      <c r="S1339" s="1">
        <v>0</v>
      </c>
      <c r="T1339" s="1">
        <v>0</v>
      </c>
      <c r="U1339" s="1">
        <v>0</v>
      </c>
      <c r="V1339" s="1" t="str">
        <f t="shared" si="253"/>
        <v>里程去程</v>
      </c>
      <c r="W1339" s="1" t="str">
        <f>"1e20"</f>
        <v>1e20</v>
      </c>
      <c r="X1339" s="1" t="s">
        <v>35</v>
      </c>
    </row>
    <row r="1340" spans="1:24" x14ac:dyDescent="0.3">
      <c r="A1340" s="1" t="str">
        <f t="shared" si="242"/>
        <v>59823</v>
      </c>
      <c r="B1340" s="1" t="s">
        <v>36</v>
      </c>
      <c r="C1340" s="1" t="s">
        <v>37</v>
      </c>
      <c r="D1340" s="1" t="str">
        <f>"9803"</f>
        <v>9803</v>
      </c>
      <c r="E1340" s="1" t="s">
        <v>32</v>
      </c>
      <c r="F1340" s="1" t="str">
        <f>"32A6FE147E28040080CEDA1449914018"</f>
        <v>32A6FE147E28040080CEDA1449914018</v>
      </c>
      <c r="G1340" s="1" t="s">
        <v>59</v>
      </c>
      <c r="H1340" s="1" t="str">
        <f t="shared" si="250"/>
        <v>20220907</v>
      </c>
      <c r="I1340" s="1" t="str">
        <f>"160030"</f>
        <v>160030</v>
      </c>
      <c r="J1340" s="1" t="s">
        <v>28</v>
      </c>
      <c r="K1340" s="1" t="s">
        <v>28</v>
      </c>
      <c r="L1340" s="1" t="str">
        <f t="shared" si="251"/>
        <v>20220907</v>
      </c>
      <c r="M1340" s="1" t="str">
        <f>"161200"</f>
        <v>161200</v>
      </c>
      <c r="N1340" s="1" t="s">
        <v>46</v>
      </c>
      <c r="O1340" s="1" t="s">
        <v>28</v>
      </c>
      <c r="P1340" s="1" t="s">
        <v>55</v>
      </c>
      <c r="Q1340" s="1">
        <v>25</v>
      </c>
      <c r="R1340" s="1">
        <v>25</v>
      </c>
      <c r="S1340" s="1">
        <v>0</v>
      </c>
      <c r="T1340" s="1">
        <v>0</v>
      </c>
      <c r="U1340" s="1">
        <v>0</v>
      </c>
      <c r="V1340" s="1" t="str">
        <f t="shared" si="253"/>
        <v>里程去程</v>
      </c>
      <c r="W1340" s="1" t="str">
        <f>"0020"</f>
        <v>0020</v>
      </c>
      <c r="X1340" s="1" t="s">
        <v>29</v>
      </c>
    </row>
    <row r="1341" spans="1:24" x14ac:dyDescent="0.3">
      <c r="A1341" s="1" t="str">
        <f t="shared" si="242"/>
        <v>59823</v>
      </c>
      <c r="B1341" s="1" t="s">
        <v>36</v>
      </c>
      <c r="C1341" s="1" t="s">
        <v>37</v>
      </c>
      <c r="D1341" s="1" t="str">
        <f>"9803"</f>
        <v>9803</v>
      </c>
      <c r="E1341" s="1" t="s">
        <v>32</v>
      </c>
      <c r="F1341" s="1" t="str">
        <f>"5CCB12E762880400468EB41545704807"</f>
        <v>5CCB12E762880400468EB41545704807</v>
      </c>
      <c r="G1341" s="1" t="s">
        <v>58</v>
      </c>
      <c r="H1341" s="1" t="str">
        <f t="shared" si="250"/>
        <v>20220907</v>
      </c>
      <c r="I1341" s="1" t="str">
        <f>"160035"</f>
        <v>160035</v>
      </c>
      <c r="J1341" s="1" t="s">
        <v>28</v>
      </c>
      <c r="K1341" s="1" t="s">
        <v>28</v>
      </c>
      <c r="L1341" s="1" t="str">
        <f t="shared" si="251"/>
        <v>20220907</v>
      </c>
      <c r="M1341" s="1" t="str">
        <f>"161120"</f>
        <v>161120</v>
      </c>
      <c r="N1341" s="1" t="s">
        <v>46</v>
      </c>
      <c r="O1341" s="1" t="s">
        <v>28</v>
      </c>
      <c r="P1341" s="1" t="s">
        <v>55</v>
      </c>
      <c r="Q1341" s="1">
        <v>25</v>
      </c>
      <c r="R1341" s="1">
        <v>25</v>
      </c>
      <c r="S1341" s="1">
        <v>0</v>
      </c>
      <c r="T1341" s="1">
        <v>0</v>
      </c>
      <c r="U1341" s="1">
        <v>0</v>
      </c>
      <c r="V1341" s="1" t="str">
        <f t="shared" si="253"/>
        <v>里程去程</v>
      </c>
      <c r="W1341" s="1" t="str">
        <f>"0020"</f>
        <v>0020</v>
      </c>
      <c r="X1341" s="1" t="s">
        <v>29</v>
      </c>
    </row>
    <row r="1342" spans="1:24" x14ac:dyDescent="0.3">
      <c r="A1342" s="1" t="str">
        <f t="shared" si="242"/>
        <v>59823</v>
      </c>
      <c r="B1342" s="1" t="s">
        <v>36</v>
      </c>
      <c r="C1342" s="1" t="s">
        <v>37</v>
      </c>
      <c r="D1342" s="1" t="str">
        <f>"9806"</f>
        <v>9806</v>
      </c>
      <c r="E1342" s="1" t="s">
        <v>49</v>
      </c>
      <c r="F1342" s="1" t="str">
        <f>"7111150687005189"</f>
        <v>7111150687005189</v>
      </c>
      <c r="G1342" s="1" t="s">
        <v>33</v>
      </c>
      <c r="H1342" s="1" t="str">
        <f t="shared" si="250"/>
        <v>20220907</v>
      </c>
      <c r="I1342" s="1" t="str">
        <f>"170030"</f>
        <v>170030</v>
      </c>
      <c r="J1342" s="1" t="s">
        <v>28</v>
      </c>
      <c r="K1342" s="1" t="s">
        <v>28</v>
      </c>
      <c r="L1342" s="1" t="str">
        <f t="shared" si="251"/>
        <v>20220907</v>
      </c>
      <c r="M1342" s="1" t="str">
        <f>"171906"</f>
        <v>171906</v>
      </c>
      <c r="N1342" s="1" t="s">
        <v>50</v>
      </c>
      <c r="O1342" s="1" t="s">
        <v>50</v>
      </c>
      <c r="P1342" s="1" t="s">
        <v>55</v>
      </c>
      <c r="Q1342" s="1">
        <v>25</v>
      </c>
      <c r="R1342" s="1">
        <v>0</v>
      </c>
      <c r="S1342" s="1">
        <v>25</v>
      </c>
      <c r="T1342" s="1">
        <v>0</v>
      </c>
      <c r="U1342" s="1">
        <v>0</v>
      </c>
      <c r="V1342" s="1" t="str">
        <f>"里程返程"</f>
        <v>里程返程</v>
      </c>
      <c r="W1342" s="1" t="str">
        <f>"3B3B"</f>
        <v>3B3B</v>
      </c>
      <c r="X1342" s="1" t="s">
        <v>109</v>
      </c>
    </row>
    <row r="1343" spans="1:24" x14ac:dyDescent="0.3">
      <c r="A1343" s="1" t="str">
        <f t="shared" si="242"/>
        <v>59823</v>
      </c>
      <c r="B1343" s="1" t="s">
        <v>36</v>
      </c>
      <c r="C1343" s="1" t="s">
        <v>37</v>
      </c>
      <c r="D1343" s="1" t="str">
        <f>"9806"</f>
        <v>9806</v>
      </c>
      <c r="E1343" s="1" t="s">
        <v>49</v>
      </c>
      <c r="F1343" s="1" t="str">
        <f>"1103653621"</f>
        <v>1103653621</v>
      </c>
      <c r="G1343" s="1" t="s">
        <v>38</v>
      </c>
      <c r="H1343" s="1" t="str">
        <f t="shared" si="250"/>
        <v>20220907</v>
      </c>
      <c r="I1343" s="1" t="str">
        <f>"172515"</f>
        <v>172515</v>
      </c>
      <c r="J1343" s="1" t="s">
        <v>76</v>
      </c>
      <c r="K1343" s="1" t="s">
        <v>28</v>
      </c>
      <c r="L1343" s="1" t="str">
        <f>""</f>
        <v/>
      </c>
      <c r="M1343" s="1" t="str">
        <f>""</f>
        <v/>
      </c>
      <c r="P1343" s="1" t="s">
        <v>88</v>
      </c>
      <c r="Q1343" s="1">
        <v>25</v>
      </c>
      <c r="R1343" s="1">
        <v>25</v>
      </c>
      <c r="S1343" s="1">
        <v>0</v>
      </c>
      <c r="T1343" s="1">
        <v>0</v>
      </c>
      <c r="U1343" s="1">
        <v>0</v>
      </c>
      <c r="V1343" s="1" t="str">
        <f>"里程去程"</f>
        <v>里程去程</v>
      </c>
      <c r="W1343" s="1" t="str">
        <f>"2120"</f>
        <v>2120</v>
      </c>
      <c r="X1343" s="1" t="s">
        <v>35</v>
      </c>
    </row>
    <row r="1344" spans="1:24" x14ac:dyDescent="0.3">
      <c r="A1344" s="1" t="str">
        <f t="shared" si="242"/>
        <v>59823</v>
      </c>
      <c r="B1344" s="1" t="s">
        <v>36</v>
      </c>
      <c r="C1344" s="1" t="s">
        <v>37</v>
      </c>
      <c r="D1344" s="1" t="str">
        <f>"9803"</f>
        <v>9803</v>
      </c>
      <c r="E1344" s="1" t="s">
        <v>32</v>
      </c>
      <c r="F1344" s="1" t="str">
        <f>"747941781"</f>
        <v>747941781</v>
      </c>
      <c r="G1344" s="1" t="s">
        <v>33</v>
      </c>
      <c r="H1344" s="1" t="str">
        <f t="shared" si="250"/>
        <v>20220907</v>
      </c>
      <c r="I1344" s="1" t="str">
        <f>"174528"</f>
        <v>174528</v>
      </c>
      <c r="J1344" s="1" t="s">
        <v>28</v>
      </c>
      <c r="K1344" s="1" t="s">
        <v>28</v>
      </c>
      <c r="L1344" s="1" t="str">
        <f t="shared" ref="L1344:L1375" si="254">"20220907"</f>
        <v>20220907</v>
      </c>
      <c r="M1344" s="1" t="str">
        <f>"180102"</f>
        <v>180102</v>
      </c>
      <c r="N1344" s="1" t="s">
        <v>93</v>
      </c>
      <c r="O1344" s="1" t="s">
        <v>28</v>
      </c>
      <c r="P1344" s="1" t="s">
        <v>55</v>
      </c>
      <c r="Q1344" s="1">
        <v>25</v>
      </c>
      <c r="R1344" s="1">
        <v>25</v>
      </c>
      <c r="S1344" s="1">
        <v>0</v>
      </c>
      <c r="T1344" s="1">
        <v>0</v>
      </c>
      <c r="U1344" s="1">
        <v>0</v>
      </c>
      <c r="V1344" s="1" t="str">
        <f>"里程去程"</f>
        <v>里程去程</v>
      </c>
      <c r="W1344" s="1" t="str">
        <f>"0120"</f>
        <v>0120</v>
      </c>
      <c r="X1344" s="1" t="s">
        <v>35</v>
      </c>
    </row>
    <row r="1345" spans="1:24" x14ac:dyDescent="0.3">
      <c r="A1345" s="1" t="str">
        <f t="shared" ref="A1345:A1376" si="255">"59825"</f>
        <v>59825</v>
      </c>
      <c r="B1345" s="1" t="s">
        <v>30</v>
      </c>
      <c r="C1345" s="1" t="s">
        <v>31</v>
      </c>
      <c r="D1345" s="1" t="str">
        <f>"9806"</f>
        <v>9806</v>
      </c>
      <c r="E1345" s="1" t="s">
        <v>49</v>
      </c>
      <c r="F1345" s="1" t="str">
        <f>"1695105317"</f>
        <v>1695105317</v>
      </c>
      <c r="G1345" s="1" t="s">
        <v>33</v>
      </c>
      <c r="H1345" s="1" t="str">
        <f t="shared" si="250"/>
        <v>20220907</v>
      </c>
      <c r="I1345" s="1" t="str">
        <f>"064852"</f>
        <v>064852</v>
      </c>
      <c r="J1345" s="1" t="s">
        <v>28</v>
      </c>
      <c r="K1345" s="1" t="s">
        <v>28</v>
      </c>
      <c r="L1345" s="1" t="str">
        <f t="shared" si="254"/>
        <v>20220907</v>
      </c>
      <c r="M1345" s="1" t="str">
        <f>"070944"</f>
        <v>070944</v>
      </c>
      <c r="N1345" s="1" t="s">
        <v>99</v>
      </c>
      <c r="O1345" s="1" t="s">
        <v>28</v>
      </c>
      <c r="P1345" s="1" t="s">
        <v>55</v>
      </c>
      <c r="Q1345" s="1">
        <v>25</v>
      </c>
      <c r="R1345" s="1">
        <v>0</v>
      </c>
      <c r="S1345" s="1">
        <v>25</v>
      </c>
      <c r="T1345" s="1">
        <v>0</v>
      </c>
      <c r="U1345" s="1">
        <v>0</v>
      </c>
      <c r="V1345" s="1" t="str">
        <f>"里程返程"</f>
        <v>里程返程</v>
      </c>
      <c r="W1345" s="1" t="str">
        <f>"0820"</f>
        <v>0820</v>
      </c>
      <c r="X1345" s="1" t="s">
        <v>35</v>
      </c>
    </row>
    <row r="1346" spans="1:24" x14ac:dyDescent="0.3">
      <c r="A1346" s="1" t="str">
        <f t="shared" si="255"/>
        <v>59825</v>
      </c>
      <c r="B1346" s="1" t="s">
        <v>30</v>
      </c>
      <c r="C1346" s="1" t="s">
        <v>31</v>
      </c>
      <c r="D1346" s="1" t="str">
        <f>"9806"</f>
        <v>9806</v>
      </c>
      <c r="E1346" s="1" t="s">
        <v>49</v>
      </c>
      <c r="F1346" s="1" t="str">
        <f>"1202E702F5880400C834002000000015"</f>
        <v>1202E702F5880400C834002000000015</v>
      </c>
      <c r="G1346" s="1" t="s">
        <v>74</v>
      </c>
      <c r="H1346" s="1" t="str">
        <f t="shared" si="250"/>
        <v>20220907</v>
      </c>
      <c r="I1346" s="1" t="str">
        <f>"065727"</f>
        <v>065727</v>
      </c>
      <c r="J1346" s="1" t="s">
        <v>101</v>
      </c>
      <c r="K1346" s="1" t="s">
        <v>28</v>
      </c>
      <c r="L1346" s="1" t="str">
        <f t="shared" si="254"/>
        <v>20220907</v>
      </c>
      <c r="M1346" s="1" t="str">
        <f>"070949"</f>
        <v>070949</v>
      </c>
      <c r="N1346" s="1" t="s">
        <v>99</v>
      </c>
      <c r="O1346" s="1" t="s">
        <v>28</v>
      </c>
      <c r="P1346" s="1" t="s">
        <v>68</v>
      </c>
      <c r="Q1346" s="1">
        <v>13</v>
      </c>
      <c r="R1346" s="1">
        <v>0</v>
      </c>
      <c r="S1346" s="1">
        <v>0</v>
      </c>
      <c r="T1346" s="1">
        <v>13</v>
      </c>
      <c r="U1346" s="1">
        <v>0</v>
      </c>
      <c r="V1346" s="1" t="str">
        <f>"里程返程"</f>
        <v>里程返程</v>
      </c>
      <c r="W1346" s="1" t="str">
        <f>"0020"</f>
        <v>0020</v>
      </c>
      <c r="X1346" s="1" t="s">
        <v>29</v>
      </c>
    </row>
    <row r="1347" spans="1:24" x14ac:dyDescent="0.3">
      <c r="A1347" s="1" t="str">
        <f t="shared" si="255"/>
        <v>59825</v>
      </c>
      <c r="B1347" s="1" t="s">
        <v>30</v>
      </c>
      <c r="C1347" s="1" t="s">
        <v>31</v>
      </c>
      <c r="D1347" s="1" t="str">
        <f>"9806"</f>
        <v>9806</v>
      </c>
      <c r="E1347" s="1" t="s">
        <v>49</v>
      </c>
      <c r="F1347" s="1" t="str">
        <f>"92771C03FA880400C834002000000015"</f>
        <v>92771C03FA880400C834002000000015</v>
      </c>
      <c r="G1347" s="1" t="s">
        <v>74</v>
      </c>
      <c r="H1347" s="1" t="str">
        <f t="shared" si="250"/>
        <v>20220907</v>
      </c>
      <c r="I1347" s="1" t="str">
        <f>"071635"</f>
        <v>071635</v>
      </c>
      <c r="J1347" s="1" t="s">
        <v>107</v>
      </c>
      <c r="K1347" s="1" t="s">
        <v>50</v>
      </c>
      <c r="L1347" s="1" t="str">
        <f t="shared" si="254"/>
        <v>20220907</v>
      </c>
      <c r="M1347" s="1" t="str">
        <f>"073204"</f>
        <v>073204</v>
      </c>
      <c r="N1347" s="1" t="s">
        <v>28</v>
      </c>
      <c r="O1347" s="1" t="s">
        <v>28</v>
      </c>
      <c r="P1347" s="1" t="s">
        <v>68</v>
      </c>
      <c r="Q1347" s="1">
        <v>13</v>
      </c>
      <c r="R1347" s="1">
        <v>0</v>
      </c>
      <c r="S1347" s="1">
        <v>0</v>
      </c>
      <c r="T1347" s="1">
        <v>13</v>
      </c>
      <c r="U1347" s="1">
        <v>0</v>
      </c>
      <c r="V1347" s="1" t="str">
        <f t="shared" ref="V1347:V1352" si="256">"里程去程"</f>
        <v>里程去程</v>
      </c>
      <c r="W1347" s="1" t="str">
        <f>"0020"</f>
        <v>0020</v>
      </c>
      <c r="X1347" s="1" t="s">
        <v>29</v>
      </c>
    </row>
    <row r="1348" spans="1:24" x14ac:dyDescent="0.3">
      <c r="A1348" s="1" t="str">
        <f t="shared" si="255"/>
        <v>59825</v>
      </c>
      <c r="B1348" s="1" t="s">
        <v>30</v>
      </c>
      <c r="C1348" s="1" t="s">
        <v>31</v>
      </c>
      <c r="D1348" s="1" t="str">
        <f t="shared" ref="D1348:D1379" si="257">"9803"</f>
        <v>9803</v>
      </c>
      <c r="E1348" s="1" t="s">
        <v>32</v>
      </c>
      <c r="F1348" s="1" t="str">
        <f>"B27A1C0FDB880400C820002000000018"</f>
        <v>B27A1C0FDB880400C820002000000018</v>
      </c>
      <c r="G1348" s="1" t="s">
        <v>58</v>
      </c>
      <c r="H1348" s="1" t="str">
        <f t="shared" si="250"/>
        <v>20220907</v>
      </c>
      <c r="I1348" s="1" t="str">
        <f>"102906"</f>
        <v>102906</v>
      </c>
      <c r="J1348" s="1" t="s">
        <v>28</v>
      </c>
      <c r="K1348" s="1" t="s">
        <v>28</v>
      </c>
      <c r="L1348" s="1" t="str">
        <f t="shared" si="254"/>
        <v>20220907</v>
      </c>
      <c r="M1348" s="1" t="str">
        <f>"104708"</f>
        <v>104708</v>
      </c>
      <c r="N1348" s="1" t="s">
        <v>34</v>
      </c>
      <c r="O1348" s="1" t="s">
        <v>34</v>
      </c>
      <c r="P1348" s="1" t="s">
        <v>55</v>
      </c>
      <c r="Q1348" s="1">
        <v>25</v>
      </c>
      <c r="R1348" s="1">
        <v>25</v>
      </c>
      <c r="S1348" s="1">
        <v>0</v>
      </c>
      <c r="T1348" s="1">
        <v>0</v>
      </c>
      <c r="U1348" s="1">
        <v>0</v>
      </c>
      <c r="V1348" s="1" t="str">
        <f t="shared" si="256"/>
        <v>里程去程</v>
      </c>
      <c r="W1348" s="1" t="str">
        <f>"0020"</f>
        <v>0020</v>
      </c>
      <c r="X1348" s="1" t="s">
        <v>29</v>
      </c>
    </row>
    <row r="1349" spans="1:24" x14ac:dyDescent="0.3">
      <c r="A1349" s="1" t="str">
        <f t="shared" si="255"/>
        <v>59825</v>
      </c>
      <c r="B1349" s="1" t="s">
        <v>30</v>
      </c>
      <c r="C1349" s="1" t="s">
        <v>31</v>
      </c>
      <c r="D1349" s="1" t="str">
        <f t="shared" si="257"/>
        <v>9803</v>
      </c>
      <c r="E1349" s="1" t="s">
        <v>32</v>
      </c>
      <c r="F1349" s="1" t="str">
        <f>"1217819445"</f>
        <v>1217819445</v>
      </c>
      <c r="G1349" s="1" t="s">
        <v>33</v>
      </c>
      <c r="H1349" s="1" t="str">
        <f t="shared" si="250"/>
        <v>20220907</v>
      </c>
      <c r="I1349" s="1" t="str">
        <f>"102914"</f>
        <v>102914</v>
      </c>
      <c r="J1349" s="1" t="s">
        <v>28</v>
      </c>
      <c r="K1349" s="1" t="s">
        <v>28</v>
      </c>
      <c r="L1349" s="1" t="str">
        <f t="shared" si="254"/>
        <v>20220907</v>
      </c>
      <c r="M1349" s="1" t="str">
        <f>"104624"</f>
        <v>104624</v>
      </c>
      <c r="N1349" s="1" t="s">
        <v>89</v>
      </c>
      <c r="O1349" s="1" t="s">
        <v>28</v>
      </c>
      <c r="P1349" s="1" t="s">
        <v>55</v>
      </c>
      <c r="Q1349" s="1">
        <v>25</v>
      </c>
      <c r="R1349" s="1">
        <v>25</v>
      </c>
      <c r="S1349" s="1">
        <v>0</v>
      </c>
      <c r="T1349" s="1">
        <v>0</v>
      </c>
      <c r="U1349" s="1">
        <v>0</v>
      </c>
      <c r="V1349" s="1" t="str">
        <f t="shared" si="256"/>
        <v>里程去程</v>
      </c>
      <c r="W1349" s="1" t="str">
        <f>"0220"</f>
        <v>0220</v>
      </c>
      <c r="X1349" s="1" t="s">
        <v>35</v>
      </c>
    </row>
    <row r="1350" spans="1:24" x14ac:dyDescent="0.3">
      <c r="A1350" s="1" t="str">
        <f t="shared" si="255"/>
        <v>59825</v>
      </c>
      <c r="B1350" s="1" t="s">
        <v>30</v>
      </c>
      <c r="C1350" s="1" t="s">
        <v>31</v>
      </c>
      <c r="D1350" s="1" t="str">
        <f t="shared" si="257"/>
        <v>9803</v>
      </c>
      <c r="E1350" s="1" t="s">
        <v>32</v>
      </c>
      <c r="F1350" s="1" t="str">
        <f>"1206768725"</f>
        <v>1206768725</v>
      </c>
      <c r="G1350" s="1" t="s">
        <v>33</v>
      </c>
      <c r="H1350" s="1" t="str">
        <f t="shared" si="250"/>
        <v>20220907</v>
      </c>
      <c r="I1350" s="1" t="str">
        <f>"102922"</f>
        <v>102922</v>
      </c>
      <c r="J1350" s="1" t="s">
        <v>28</v>
      </c>
      <c r="K1350" s="1" t="s">
        <v>28</v>
      </c>
      <c r="L1350" s="1" t="str">
        <f t="shared" si="254"/>
        <v>20220907</v>
      </c>
      <c r="M1350" s="1" t="str">
        <f>"104632"</f>
        <v>104632</v>
      </c>
      <c r="N1350" s="1" t="s">
        <v>34</v>
      </c>
      <c r="O1350" s="1" t="s">
        <v>34</v>
      </c>
      <c r="P1350" s="1" t="s">
        <v>55</v>
      </c>
      <c r="Q1350" s="1">
        <v>25</v>
      </c>
      <c r="R1350" s="1">
        <v>25</v>
      </c>
      <c r="S1350" s="1">
        <v>0</v>
      </c>
      <c r="T1350" s="1">
        <v>0</v>
      </c>
      <c r="U1350" s="1">
        <v>0</v>
      </c>
      <c r="V1350" s="1" t="str">
        <f t="shared" si="256"/>
        <v>里程去程</v>
      </c>
      <c r="W1350" s="1" t="str">
        <f>"0220"</f>
        <v>0220</v>
      </c>
      <c r="X1350" s="1" t="s">
        <v>35</v>
      </c>
    </row>
    <row r="1351" spans="1:24" x14ac:dyDescent="0.3">
      <c r="A1351" s="1" t="str">
        <f t="shared" si="255"/>
        <v>59825</v>
      </c>
      <c r="B1351" s="1" t="s">
        <v>30</v>
      </c>
      <c r="C1351" s="1" t="s">
        <v>31</v>
      </c>
      <c r="D1351" s="1" t="str">
        <f t="shared" si="257"/>
        <v>9803</v>
      </c>
      <c r="E1351" s="1" t="s">
        <v>32</v>
      </c>
      <c r="F1351" s="1" t="str">
        <f>"1673146501"</f>
        <v>1673146501</v>
      </c>
      <c r="G1351" s="1" t="s">
        <v>26</v>
      </c>
      <c r="H1351" s="1" t="str">
        <f t="shared" si="250"/>
        <v>20220907</v>
      </c>
      <c r="I1351" s="1" t="str">
        <f>"102933"</f>
        <v>102933</v>
      </c>
      <c r="J1351" s="1" t="s">
        <v>28</v>
      </c>
      <c r="K1351" s="1" t="s">
        <v>28</v>
      </c>
      <c r="L1351" s="1" t="str">
        <f t="shared" si="254"/>
        <v>20220907</v>
      </c>
      <c r="M1351" s="1" t="str">
        <f>"104703"</f>
        <v>104703</v>
      </c>
      <c r="N1351" s="1" t="s">
        <v>34</v>
      </c>
      <c r="O1351" s="1" t="s">
        <v>34</v>
      </c>
      <c r="P1351" s="1" t="s">
        <v>55</v>
      </c>
      <c r="Q1351" s="1">
        <v>13</v>
      </c>
      <c r="R1351" s="1">
        <v>13</v>
      </c>
      <c r="S1351" s="1">
        <v>0</v>
      </c>
      <c r="T1351" s="1">
        <v>0</v>
      </c>
      <c r="U1351" s="1">
        <v>0</v>
      </c>
      <c r="V1351" s="1" t="str">
        <f t="shared" si="256"/>
        <v>里程去程</v>
      </c>
      <c r="W1351" s="1" t="str">
        <f>"0820"</f>
        <v>0820</v>
      </c>
      <c r="X1351" s="1" t="s">
        <v>35</v>
      </c>
    </row>
    <row r="1352" spans="1:24" x14ac:dyDescent="0.3">
      <c r="A1352" s="1" t="str">
        <f t="shared" si="255"/>
        <v>59825</v>
      </c>
      <c r="B1352" s="1" t="s">
        <v>30</v>
      </c>
      <c r="C1352" s="1" t="s">
        <v>31</v>
      </c>
      <c r="D1352" s="1" t="str">
        <f t="shared" si="257"/>
        <v>9803</v>
      </c>
      <c r="E1352" s="1" t="s">
        <v>32</v>
      </c>
      <c r="F1352" s="1" t="str">
        <f>"1043280997"</f>
        <v>1043280997</v>
      </c>
      <c r="G1352" s="1" t="s">
        <v>26</v>
      </c>
      <c r="H1352" s="1" t="str">
        <f t="shared" si="250"/>
        <v>20220907</v>
      </c>
      <c r="I1352" s="1" t="str">
        <f>"102938"</f>
        <v>102938</v>
      </c>
      <c r="J1352" s="1" t="s">
        <v>28</v>
      </c>
      <c r="K1352" s="1" t="s">
        <v>28</v>
      </c>
      <c r="L1352" s="1" t="str">
        <f t="shared" si="254"/>
        <v>20220907</v>
      </c>
      <c r="M1352" s="1" t="str">
        <f>"104638"</f>
        <v>104638</v>
      </c>
      <c r="N1352" s="1" t="s">
        <v>34</v>
      </c>
      <c r="O1352" s="1" t="s">
        <v>34</v>
      </c>
      <c r="P1352" s="1" t="s">
        <v>55</v>
      </c>
      <c r="Q1352" s="1">
        <v>13</v>
      </c>
      <c r="R1352" s="1">
        <v>13</v>
      </c>
      <c r="S1352" s="1">
        <v>0</v>
      </c>
      <c r="T1352" s="1">
        <v>0</v>
      </c>
      <c r="U1352" s="1">
        <v>0</v>
      </c>
      <c r="V1352" s="1" t="str">
        <f t="shared" si="256"/>
        <v>里程去程</v>
      </c>
      <c r="W1352" s="1" t="str">
        <f>"0820"</f>
        <v>0820</v>
      </c>
      <c r="X1352" s="1" t="s">
        <v>35</v>
      </c>
    </row>
    <row r="1353" spans="1:24" x14ac:dyDescent="0.3">
      <c r="A1353" s="1" t="str">
        <f t="shared" si="255"/>
        <v>59825</v>
      </c>
      <c r="B1353" s="1" t="s">
        <v>30</v>
      </c>
      <c r="C1353" s="1" t="s">
        <v>31</v>
      </c>
      <c r="D1353" s="1" t="str">
        <f t="shared" si="257"/>
        <v>9803</v>
      </c>
      <c r="E1353" s="1" t="s">
        <v>32</v>
      </c>
      <c r="F1353" s="1" t="str">
        <f>"1673146501"</f>
        <v>1673146501</v>
      </c>
      <c r="G1353" s="1" t="s">
        <v>26</v>
      </c>
      <c r="H1353" s="1" t="str">
        <f t="shared" si="250"/>
        <v>20220907</v>
      </c>
      <c r="I1353" s="1" t="str">
        <f>"110145"</f>
        <v>110145</v>
      </c>
      <c r="J1353" s="1" t="s">
        <v>34</v>
      </c>
      <c r="K1353" s="1" t="s">
        <v>34</v>
      </c>
      <c r="L1353" s="1" t="str">
        <f t="shared" si="254"/>
        <v>20220907</v>
      </c>
      <c r="M1353" s="1" t="str">
        <f>"110704"</f>
        <v>110704</v>
      </c>
      <c r="N1353" s="1" t="s">
        <v>73</v>
      </c>
      <c r="O1353" s="1" t="s">
        <v>28</v>
      </c>
      <c r="P1353" s="1" t="s">
        <v>55</v>
      </c>
      <c r="Q1353" s="1">
        <v>13</v>
      </c>
      <c r="R1353" s="1">
        <v>13</v>
      </c>
      <c r="S1353" s="1">
        <v>0</v>
      </c>
      <c r="T1353" s="1">
        <v>0</v>
      </c>
      <c r="U1353" s="1">
        <v>0</v>
      </c>
      <c r="V1353" s="1" t="str">
        <f>"里程返程"</f>
        <v>里程返程</v>
      </c>
      <c r="W1353" s="1" t="str">
        <f>"2020"</f>
        <v>2020</v>
      </c>
      <c r="X1353" s="1" t="s">
        <v>35</v>
      </c>
    </row>
    <row r="1354" spans="1:24" x14ac:dyDescent="0.3">
      <c r="A1354" s="1" t="str">
        <f t="shared" si="255"/>
        <v>59825</v>
      </c>
      <c r="B1354" s="1" t="s">
        <v>30</v>
      </c>
      <c r="C1354" s="1" t="s">
        <v>31</v>
      </c>
      <c r="D1354" s="1" t="str">
        <f t="shared" si="257"/>
        <v>9803</v>
      </c>
      <c r="E1354" s="1" t="s">
        <v>32</v>
      </c>
      <c r="F1354" s="1" t="str">
        <f>"1043280997"</f>
        <v>1043280997</v>
      </c>
      <c r="G1354" s="1" t="s">
        <v>26</v>
      </c>
      <c r="H1354" s="1" t="str">
        <f t="shared" si="250"/>
        <v>20220907</v>
      </c>
      <c r="I1354" s="1" t="str">
        <f>"110148"</f>
        <v>110148</v>
      </c>
      <c r="J1354" s="1" t="s">
        <v>34</v>
      </c>
      <c r="K1354" s="1" t="s">
        <v>34</v>
      </c>
      <c r="L1354" s="1" t="str">
        <f t="shared" si="254"/>
        <v>20220907</v>
      </c>
      <c r="M1354" s="1" t="str">
        <f>"110654"</f>
        <v>110654</v>
      </c>
      <c r="N1354" s="1" t="s">
        <v>73</v>
      </c>
      <c r="O1354" s="1" t="s">
        <v>28</v>
      </c>
      <c r="P1354" s="1" t="s">
        <v>55</v>
      </c>
      <c r="Q1354" s="1">
        <v>13</v>
      </c>
      <c r="R1354" s="1">
        <v>13</v>
      </c>
      <c r="S1354" s="1">
        <v>0</v>
      </c>
      <c r="T1354" s="1">
        <v>0</v>
      </c>
      <c r="U1354" s="1">
        <v>0</v>
      </c>
      <c r="V1354" s="1" t="str">
        <f>"里程返程"</f>
        <v>里程返程</v>
      </c>
      <c r="W1354" s="1" t="str">
        <f>"2020"</f>
        <v>2020</v>
      </c>
      <c r="X1354" s="1" t="s">
        <v>35</v>
      </c>
    </row>
    <row r="1355" spans="1:24" x14ac:dyDescent="0.3">
      <c r="A1355" s="1" t="str">
        <f t="shared" si="255"/>
        <v>59825</v>
      </c>
      <c r="B1355" s="1" t="s">
        <v>30</v>
      </c>
      <c r="C1355" s="1" t="s">
        <v>31</v>
      </c>
      <c r="D1355" s="1" t="str">
        <f t="shared" si="257"/>
        <v>9803</v>
      </c>
      <c r="E1355" s="1" t="s">
        <v>32</v>
      </c>
      <c r="F1355" s="1" t="str">
        <f>"819A2D61572804001C00000000000000"</f>
        <v>819A2D61572804001C00000000000000</v>
      </c>
      <c r="G1355" s="1" t="s">
        <v>58</v>
      </c>
      <c r="H1355" s="1" t="str">
        <f t="shared" si="250"/>
        <v>20220907</v>
      </c>
      <c r="I1355" s="1" t="str">
        <f>"113301"</f>
        <v>113301</v>
      </c>
      <c r="J1355" s="1" t="s">
        <v>28</v>
      </c>
      <c r="K1355" s="1" t="s">
        <v>28</v>
      </c>
      <c r="L1355" s="1" t="str">
        <f t="shared" si="254"/>
        <v>20220907</v>
      </c>
      <c r="M1355" s="1" t="str">
        <f>"115118"</f>
        <v>115118</v>
      </c>
      <c r="N1355" s="1" t="s">
        <v>34</v>
      </c>
      <c r="O1355" s="1" t="s">
        <v>34</v>
      </c>
      <c r="P1355" s="1" t="s">
        <v>55</v>
      </c>
      <c r="Q1355" s="1">
        <v>25</v>
      </c>
      <c r="R1355" s="1">
        <v>25</v>
      </c>
      <c r="S1355" s="1">
        <v>0</v>
      </c>
      <c r="T1355" s="1">
        <v>0</v>
      </c>
      <c r="U1355" s="1">
        <v>0</v>
      </c>
      <c r="V1355" s="1" t="str">
        <f t="shared" ref="V1355:V1368" si="258">"里程去程"</f>
        <v>里程去程</v>
      </c>
      <c r="W1355" s="1" t="str">
        <f>"0020"</f>
        <v>0020</v>
      </c>
      <c r="X1355" s="1" t="s">
        <v>29</v>
      </c>
    </row>
    <row r="1356" spans="1:24" x14ac:dyDescent="0.3">
      <c r="A1356" s="1" t="str">
        <f t="shared" si="255"/>
        <v>59825</v>
      </c>
      <c r="B1356" s="1" t="s">
        <v>30</v>
      </c>
      <c r="C1356" s="1" t="s">
        <v>31</v>
      </c>
      <c r="D1356" s="1" t="str">
        <f t="shared" si="257"/>
        <v>9803</v>
      </c>
      <c r="E1356" s="1" t="s">
        <v>32</v>
      </c>
      <c r="F1356" s="1" t="str">
        <f>"779865169"</f>
        <v>779865169</v>
      </c>
      <c r="G1356" s="1" t="s">
        <v>33</v>
      </c>
      <c r="H1356" s="1" t="str">
        <f t="shared" si="250"/>
        <v>20220907</v>
      </c>
      <c r="I1356" s="1" t="str">
        <f>"113306"</f>
        <v>113306</v>
      </c>
      <c r="J1356" s="1" t="s">
        <v>28</v>
      </c>
      <c r="K1356" s="1" t="s">
        <v>28</v>
      </c>
      <c r="L1356" s="1" t="str">
        <f t="shared" si="254"/>
        <v>20220907</v>
      </c>
      <c r="M1356" s="1" t="str">
        <f>"115138"</f>
        <v>115138</v>
      </c>
      <c r="N1356" s="1" t="s">
        <v>34</v>
      </c>
      <c r="O1356" s="1" t="s">
        <v>34</v>
      </c>
      <c r="P1356" s="1" t="s">
        <v>55</v>
      </c>
      <c r="Q1356" s="1">
        <v>25</v>
      </c>
      <c r="R1356" s="1">
        <v>25</v>
      </c>
      <c r="S1356" s="1">
        <v>0</v>
      </c>
      <c r="T1356" s="1">
        <v>0</v>
      </c>
      <c r="U1356" s="1">
        <v>0</v>
      </c>
      <c r="V1356" s="1" t="str">
        <f t="shared" si="258"/>
        <v>里程去程</v>
      </c>
      <c r="W1356" s="1" t="str">
        <f>"0b20"</f>
        <v>0b20</v>
      </c>
      <c r="X1356" s="1" t="s">
        <v>35</v>
      </c>
    </row>
    <row r="1357" spans="1:24" x14ac:dyDescent="0.3">
      <c r="A1357" s="1" t="str">
        <f t="shared" si="255"/>
        <v>59825</v>
      </c>
      <c r="B1357" s="1" t="s">
        <v>30</v>
      </c>
      <c r="C1357" s="1" t="s">
        <v>31</v>
      </c>
      <c r="D1357" s="1" t="str">
        <f t="shared" si="257"/>
        <v>9803</v>
      </c>
      <c r="E1357" s="1" t="s">
        <v>32</v>
      </c>
      <c r="F1357" s="1" t="str">
        <f>"642548241"</f>
        <v>642548241</v>
      </c>
      <c r="G1357" s="1" t="s">
        <v>33</v>
      </c>
      <c r="H1357" s="1" t="str">
        <f t="shared" si="250"/>
        <v>20220907</v>
      </c>
      <c r="I1357" s="1" t="str">
        <f>"113308"</f>
        <v>113308</v>
      </c>
      <c r="J1357" s="1" t="s">
        <v>28</v>
      </c>
      <c r="K1357" s="1" t="s">
        <v>28</v>
      </c>
      <c r="L1357" s="1" t="str">
        <f t="shared" si="254"/>
        <v>20220907</v>
      </c>
      <c r="M1357" s="1" t="str">
        <f>"115105"</f>
        <v>115105</v>
      </c>
      <c r="N1357" s="1" t="s">
        <v>34</v>
      </c>
      <c r="O1357" s="1" t="s">
        <v>34</v>
      </c>
      <c r="P1357" s="1" t="s">
        <v>55</v>
      </c>
      <c r="Q1357" s="1">
        <v>25</v>
      </c>
      <c r="R1357" s="1">
        <v>25</v>
      </c>
      <c r="S1357" s="1">
        <v>0</v>
      </c>
      <c r="T1357" s="1">
        <v>0</v>
      </c>
      <c r="U1357" s="1">
        <v>0</v>
      </c>
      <c r="V1357" s="1" t="str">
        <f t="shared" si="258"/>
        <v>里程去程</v>
      </c>
      <c r="W1357" s="1" t="str">
        <f>"0120"</f>
        <v>0120</v>
      </c>
      <c r="X1357" s="1" t="s">
        <v>35</v>
      </c>
    </row>
    <row r="1358" spans="1:24" x14ac:dyDescent="0.3">
      <c r="A1358" s="1" t="str">
        <f t="shared" si="255"/>
        <v>59825</v>
      </c>
      <c r="B1358" s="1" t="s">
        <v>30</v>
      </c>
      <c r="C1358" s="1" t="s">
        <v>31</v>
      </c>
      <c r="D1358" s="1" t="str">
        <f t="shared" si="257"/>
        <v>9803</v>
      </c>
      <c r="E1358" s="1" t="s">
        <v>32</v>
      </c>
      <c r="F1358" s="1" t="str">
        <f>"2895298182"</f>
        <v>2895298182</v>
      </c>
      <c r="G1358" s="1" t="s">
        <v>33</v>
      </c>
      <c r="H1358" s="1" t="str">
        <f t="shared" si="250"/>
        <v>20220907</v>
      </c>
      <c r="I1358" s="1" t="str">
        <f>"113313"</f>
        <v>113313</v>
      </c>
      <c r="J1358" s="1" t="s">
        <v>28</v>
      </c>
      <c r="K1358" s="1" t="s">
        <v>28</v>
      </c>
      <c r="L1358" s="1" t="str">
        <f t="shared" si="254"/>
        <v>20220907</v>
      </c>
      <c r="M1358" s="1" t="str">
        <f>"115057"</f>
        <v>115057</v>
      </c>
      <c r="N1358" s="1" t="s">
        <v>34</v>
      </c>
      <c r="O1358" s="1" t="s">
        <v>34</v>
      </c>
      <c r="P1358" s="1" t="s">
        <v>55</v>
      </c>
      <c r="Q1358" s="1">
        <v>25</v>
      </c>
      <c r="R1358" s="1">
        <v>25</v>
      </c>
      <c r="S1358" s="1">
        <v>0</v>
      </c>
      <c r="T1358" s="1">
        <v>0</v>
      </c>
      <c r="U1358" s="1">
        <v>0</v>
      </c>
      <c r="V1358" s="1" t="str">
        <f t="shared" si="258"/>
        <v>里程去程</v>
      </c>
      <c r="W1358" s="1" t="str">
        <f>"0120"</f>
        <v>0120</v>
      </c>
      <c r="X1358" s="1" t="s">
        <v>35</v>
      </c>
    </row>
    <row r="1359" spans="1:24" x14ac:dyDescent="0.3">
      <c r="A1359" s="1" t="str">
        <f t="shared" si="255"/>
        <v>59825</v>
      </c>
      <c r="B1359" s="1" t="s">
        <v>30</v>
      </c>
      <c r="C1359" s="1" t="s">
        <v>31</v>
      </c>
      <c r="D1359" s="1" t="str">
        <f t="shared" si="257"/>
        <v>9803</v>
      </c>
      <c r="E1359" s="1" t="s">
        <v>32</v>
      </c>
      <c r="F1359" s="1" t="str">
        <f>"872621877"</f>
        <v>872621877</v>
      </c>
      <c r="G1359" s="1" t="s">
        <v>33</v>
      </c>
      <c r="H1359" s="1" t="str">
        <f t="shared" si="250"/>
        <v>20220907</v>
      </c>
      <c r="I1359" s="1" t="str">
        <f>"113319"</f>
        <v>113319</v>
      </c>
      <c r="J1359" s="1" t="s">
        <v>28</v>
      </c>
      <c r="K1359" s="1" t="s">
        <v>28</v>
      </c>
      <c r="L1359" s="1" t="str">
        <f t="shared" si="254"/>
        <v>20220907</v>
      </c>
      <c r="M1359" s="1" t="str">
        <f>"115125"</f>
        <v>115125</v>
      </c>
      <c r="N1359" s="1" t="s">
        <v>34</v>
      </c>
      <c r="O1359" s="1" t="s">
        <v>34</v>
      </c>
      <c r="P1359" s="1" t="s">
        <v>55</v>
      </c>
      <c r="Q1359" s="1">
        <v>25</v>
      </c>
      <c r="R1359" s="1">
        <v>25</v>
      </c>
      <c r="S1359" s="1">
        <v>0</v>
      </c>
      <c r="T1359" s="1">
        <v>0</v>
      </c>
      <c r="U1359" s="1">
        <v>0</v>
      </c>
      <c r="V1359" s="1" t="str">
        <f t="shared" si="258"/>
        <v>里程去程</v>
      </c>
      <c r="W1359" s="1" t="str">
        <f>"1920"</f>
        <v>1920</v>
      </c>
      <c r="X1359" s="1" t="s">
        <v>35</v>
      </c>
    </row>
    <row r="1360" spans="1:24" x14ac:dyDescent="0.3">
      <c r="A1360" s="1" t="str">
        <f t="shared" si="255"/>
        <v>59825</v>
      </c>
      <c r="B1360" s="1" t="s">
        <v>30</v>
      </c>
      <c r="C1360" s="1" t="s">
        <v>31</v>
      </c>
      <c r="D1360" s="1" t="str">
        <f t="shared" si="257"/>
        <v>9803</v>
      </c>
      <c r="E1360" s="1" t="s">
        <v>32</v>
      </c>
      <c r="F1360" s="1" t="str">
        <f>"E2DF431967880400C821002000000019"</f>
        <v>E2DF431967880400C821002000000019</v>
      </c>
      <c r="G1360" s="1" t="s">
        <v>59</v>
      </c>
      <c r="H1360" s="1" t="str">
        <f t="shared" si="250"/>
        <v>20220907</v>
      </c>
      <c r="I1360" s="1" t="str">
        <f>"113343"</f>
        <v>113343</v>
      </c>
      <c r="J1360" s="1" t="s">
        <v>28</v>
      </c>
      <c r="K1360" s="1" t="s">
        <v>28</v>
      </c>
      <c r="L1360" s="1" t="str">
        <f t="shared" si="254"/>
        <v>20220907</v>
      </c>
      <c r="M1360" s="1" t="str">
        <f>"115150"</f>
        <v>115150</v>
      </c>
      <c r="N1360" s="1" t="s">
        <v>34</v>
      </c>
      <c r="O1360" s="1" t="s">
        <v>34</v>
      </c>
      <c r="P1360" s="1" t="s">
        <v>55</v>
      </c>
      <c r="Q1360" s="1">
        <v>25</v>
      </c>
      <c r="R1360" s="1">
        <v>0</v>
      </c>
      <c r="S1360" s="1">
        <v>25</v>
      </c>
      <c r="T1360" s="1">
        <v>0</v>
      </c>
      <c r="U1360" s="1">
        <v>0</v>
      </c>
      <c r="V1360" s="1" t="str">
        <f t="shared" si="258"/>
        <v>里程去程</v>
      </c>
      <c r="W1360" s="1" t="str">
        <f>"0620"</f>
        <v>0620</v>
      </c>
      <c r="X1360" s="1" t="s">
        <v>29</v>
      </c>
    </row>
    <row r="1361" spans="1:24" x14ac:dyDescent="0.3">
      <c r="A1361" s="1" t="str">
        <f t="shared" si="255"/>
        <v>59825</v>
      </c>
      <c r="B1361" s="1" t="s">
        <v>30</v>
      </c>
      <c r="C1361" s="1" t="s">
        <v>31</v>
      </c>
      <c r="D1361" s="1" t="str">
        <f t="shared" si="257"/>
        <v>9803</v>
      </c>
      <c r="E1361" s="1" t="s">
        <v>32</v>
      </c>
      <c r="F1361" s="1" t="str">
        <f>"966056401"</f>
        <v>966056401</v>
      </c>
      <c r="G1361" s="1" t="s">
        <v>38</v>
      </c>
      <c r="H1361" s="1" t="str">
        <f t="shared" si="250"/>
        <v>20220907</v>
      </c>
      <c r="I1361" s="1" t="str">
        <f>"113352"</f>
        <v>113352</v>
      </c>
      <c r="J1361" s="1" t="s">
        <v>28</v>
      </c>
      <c r="K1361" s="1" t="s">
        <v>28</v>
      </c>
      <c r="L1361" s="1" t="str">
        <f t="shared" si="254"/>
        <v>20220907</v>
      </c>
      <c r="M1361" s="1" t="str">
        <f>"115145"</f>
        <v>115145</v>
      </c>
      <c r="N1361" s="1" t="s">
        <v>34</v>
      </c>
      <c r="O1361" s="1" t="s">
        <v>34</v>
      </c>
      <c r="P1361" s="1" t="s">
        <v>55</v>
      </c>
      <c r="Q1361" s="1">
        <v>25</v>
      </c>
      <c r="R1361" s="1">
        <v>25</v>
      </c>
      <c r="S1361" s="1">
        <v>0</v>
      </c>
      <c r="T1361" s="1">
        <v>0</v>
      </c>
      <c r="U1361" s="1">
        <v>0</v>
      </c>
      <c r="V1361" s="1" t="str">
        <f t="shared" si="258"/>
        <v>里程去程</v>
      </c>
      <c r="W1361" s="1" t="str">
        <f>"1c20"</f>
        <v>1c20</v>
      </c>
      <c r="X1361" s="1" t="s">
        <v>35</v>
      </c>
    </row>
    <row r="1362" spans="1:24" x14ac:dyDescent="0.3">
      <c r="A1362" s="1" t="str">
        <f t="shared" si="255"/>
        <v>59825</v>
      </c>
      <c r="B1362" s="1" t="s">
        <v>30</v>
      </c>
      <c r="C1362" s="1" t="s">
        <v>31</v>
      </c>
      <c r="D1362" s="1" t="str">
        <f t="shared" si="257"/>
        <v>9803</v>
      </c>
      <c r="E1362" s="1" t="s">
        <v>32</v>
      </c>
      <c r="F1362" s="1" t="str">
        <f>"428337217"</f>
        <v>428337217</v>
      </c>
      <c r="G1362" s="1" t="s">
        <v>33</v>
      </c>
      <c r="H1362" s="1" t="str">
        <f t="shared" si="250"/>
        <v>20220907</v>
      </c>
      <c r="I1362" s="1" t="str">
        <f>"113358"</f>
        <v>113358</v>
      </c>
      <c r="J1362" s="1" t="s">
        <v>28</v>
      </c>
      <c r="K1362" s="1" t="s">
        <v>28</v>
      </c>
      <c r="L1362" s="1" t="str">
        <f t="shared" si="254"/>
        <v>20220907</v>
      </c>
      <c r="M1362" s="1" t="str">
        <f>"115132"</f>
        <v>115132</v>
      </c>
      <c r="N1362" s="1" t="s">
        <v>34</v>
      </c>
      <c r="O1362" s="1" t="s">
        <v>34</v>
      </c>
      <c r="P1362" s="1" t="s">
        <v>55</v>
      </c>
      <c r="Q1362" s="1">
        <v>25</v>
      </c>
      <c r="R1362" s="1">
        <v>0</v>
      </c>
      <c r="S1362" s="1">
        <v>25</v>
      </c>
      <c r="T1362" s="1">
        <v>0</v>
      </c>
      <c r="U1362" s="1">
        <v>0</v>
      </c>
      <c r="V1362" s="1" t="str">
        <f t="shared" si="258"/>
        <v>里程去程</v>
      </c>
      <c r="W1362" s="1" t="str">
        <f>"0820"</f>
        <v>0820</v>
      </c>
      <c r="X1362" s="1" t="s">
        <v>35</v>
      </c>
    </row>
    <row r="1363" spans="1:24" x14ac:dyDescent="0.3">
      <c r="A1363" s="1" t="str">
        <f t="shared" si="255"/>
        <v>59825</v>
      </c>
      <c r="B1363" s="1" t="s">
        <v>30</v>
      </c>
      <c r="C1363" s="1" t="s">
        <v>31</v>
      </c>
      <c r="D1363" s="1" t="str">
        <f t="shared" si="257"/>
        <v>9803</v>
      </c>
      <c r="E1363" s="1" t="s">
        <v>32</v>
      </c>
      <c r="F1363" s="1" t="str">
        <f>"E1D276195C280400F700000000000000"</f>
        <v>E1D276195C280400F700000000000000</v>
      </c>
      <c r="G1363" s="1" t="s">
        <v>58</v>
      </c>
      <c r="H1363" s="1" t="str">
        <f t="shared" si="250"/>
        <v>20220907</v>
      </c>
      <c r="I1363" s="1" t="str">
        <f>"113401"</f>
        <v>113401</v>
      </c>
      <c r="J1363" s="1" t="s">
        <v>28</v>
      </c>
      <c r="K1363" s="1" t="s">
        <v>28</v>
      </c>
      <c r="L1363" s="1" t="str">
        <f t="shared" si="254"/>
        <v>20220907</v>
      </c>
      <c r="M1363" s="1" t="str">
        <f>"115129"</f>
        <v>115129</v>
      </c>
      <c r="N1363" s="1" t="s">
        <v>34</v>
      </c>
      <c r="O1363" s="1" t="s">
        <v>34</v>
      </c>
      <c r="P1363" s="1" t="s">
        <v>55</v>
      </c>
      <c r="Q1363" s="1">
        <v>25</v>
      </c>
      <c r="R1363" s="1">
        <v>0</v>
      </c>
      <c r="S1363" s="1">
        <v>25</v>
      </c>
      <c r="T1363" s="1">
        <v>0</v>
      </c>
      <c r="U1363" s="1">
        <v>0</v>
      </c>
      <c r="V1363" s="1" t="str">
        <f t="shared" si="258"/>
        <v>里程去程</v>
      </c>
      <c r="W1363" s="1" t="str">
        <f>"0620"</f>
        <v>0620</v>
      </c>
      <c r="X1363" s="1" t="s">
        <v>29</v>
      </c>
    </row>
    <row r="1364" spans="1:24" x14ac:dyDescent="0.3">
      <c r="A1364" s="1" t="str">
        <f t="shared" si="255"/>
        <v>59825</v>
      </c>
      <c r="B1364" s="1" t="s">
        <v>30</v>
      </c>
      <c r="C1364" s="1" t="s">
        <v>31</v>
      </c>
      <c r="D1364" s="1" t="str">
        <f t="shared" si="257"/>
        <v>9803</v>
      </c>
      <c r="E1364" s="1" t="s">
        <v>32</v>
      </c>
      <c r="F1364" s="1" t="str">
        <f>"1202584421"</f>
        <v>1202584421</v>
      </c>
      <c r="G1364" s="1" t="s">
        <v>33</v>
      </c>
      <c r="H1364" s="1" t="str">
        <f t="shared" si="250"/>
        <v>20220907</v>
      </c>
      <c r="I1364" s="1" t="str">
        <f>"113405"</f>
        <v>113405</v>
      </c>
      <c r="J1364" s="1" t="s">
        <v>28</v>
      </c>
      <c r="K1364" s="1" t="s">
        <v>28</v>
      </c>
      <c r="L1364" s="1" t="str">
        <f t="shared" si="254"/>
        <v>20220907</v>
      </c>
      <c r="M1364" s="1" t="str">
        <f>"115121"</f>
        <v>115121</v>
      </c>
      <c r="N1364" s="1" t="s">
        <v>34</v>
      </c>
      <c r="O1364" s="1" t="s">
        <v>34</v>
      </c>
      <c r="P1364" s="1" t="s">
        <v>55</v>
      </c>
      <c r="Q1364" s="1">
        <v>25</v>
      </c>
      <c r="R1364" s="1">
        <v>25</v>
      </c>
      <c r="S1364" s="1">
        <v>0</v>
      </c>
      <c r="T1364" s="1">
        <v>0</v>
      </c>
      <c r="U1364" s="1">
        <v>0</v>
      </c>
      <c r="V1364" s="1" t="str">
        <f t="shared" si="258"/>
        <v>里程去程</v>
      </c>
      <c r="W1364" s="1" t="str">
        <f>"0120"</f>
        <v>0120</v>
      </c>
      <c r="X1364" s="1" t="s">
        <v>35</v>
      </c>
    </row>
    <row r="1365" spans="1:24" x14ac:dyDescent="0.3">
      <c r="A1365" s="1" t="str">
        <f t="shared" si="255"/>
        <v>59825</v>
      </c>
      <c r="B1365" s="1" t="s">
        <v>30</v>
      </c>
      <c r="C1365" s="1" t="s">
        <v>31</v>
      </c>
      <c r="D1365" s="1" t="str">
        <f t="shared" si="257"/>
        <v>9803</v>
      </c>
      <c r="E1365" s="1" t="s">
        <v>32</v>
      </c>
      <c r="F1365" s="1" t="str">
        <f>"1502833009"</f>
        <v>1502833009</v>
      </c>
      <c r="G1365" s="1" t="s">
        <v>33</v>
      </c>
      <c r="H1365" s="1" t="str">
        <f t="shared" si="250"/>
        <v>20220907</v>
      </c>
      <c r="I1365" s="1" t="str">
        <f>"113409"</f>
        <v>113409</v>
      </c>
      <c r="J1365" s="1" t="s">
        <v>28</v>
      </c>
      <c r="K1365" s="1" t="s">
        <v>28</v>
      </c>
      <c r="L1365" s="1" t="str">
        <f t="shared" si="254"/>
        <v>20220907</v>
      </c>
      <c r="M1365" s="1" t="str">
        <f>"115113"</f>
        <v>115113</v>
      </c>
      <c r="N1365" s="1" t="s">
        <v>34</v>
      </c>
      <c r="O1365" s="1" t="s">
        <v>34</v>
      </c>
      <c r="P1365" s="1" t="s">
        <v>55</v>
      </c>
      <c r="Q1365" s="1">
        <v>25</v>
      </c>
      <c r="R1365" s="1">
        <v>25</v>
      </c>
      <c r="S1365" s="1">
        <v>0</v>
      </c>
      <c r="T1365" s="1">
        <v>0</v>
      </c>
      <c r="U1365" s="1">
        <v>0</v>
      </c>
      <c r="V1365" s="1" t="str">
        <f t="shared" si="258"/>
        <v>里程去程</v>
      </c>
      <c r="W1365" s="1" t="str">
        <f>"0120"</f>
        <v>0120</v>
      </c>
      <c r="X1365" s="1" t="s">
        <v>35</v>
      </c>
    </row>
    <row r="1366" spans="1:24" x14ac:dyDescent="0.3">
      <c r="A1366" s="1" t="str">
        <f t="shared" si="255"/>
        <v>59825</v>
      </c>
      <c r="B1366" s="1" t="s">
        <v>30</v>
      </c>
      <c r="C1366" s="1" t="s">
        <v>31</v>
      </c>
      <c r="D1366" s="1" t="str">
        <f t="shared" si="257"/>
        <v>9803</v>
      </c>
      <c r="E1366" s="1" t="s">
        <v>32</v>
      </c>
      <c r="F1366" s="1" t="str">
        <f>"658362949"</f>
        <v>658362949</v>
      </c>
      <c r="G1366" s="1" t="s">
        <v>33</v>
      </c>
      <c r="H1366" s="1" t="str">
        <f t="shared" si="250"/>
        <v>20220907</v>
      </c>
      <c r="I1366" s="1" t="str">
        <f>"113414"</f>
        <v>113414</v>
      </c>
      <c r="J1366" s="1" t="s">
        <v>28</v>
      </c>
      <c r="K1366" s="1" t="s">
        <v>28</v>
      </c>
      <c r="L1366" s="1" t="str">
        <f t="shared" si="254"/>
        <v>20220907</v>
      </c>
      <c r="M1366" s="1" t="str">
        <f>"115108"</f>
        <v>115108</v>
      </c>
      <c r="N1366" s="1" t="s">
        <v>34</v>
      </c>
      <c r="O1366" s="1" t="s">
        <v>34</v>
      </c>
      <c r="P1366" s="1" t="s">
        <v>55</v>
      </c>
      <c r="Q1366" s="1">
        <v>25</v>
      </c>
      <c r="R1366" s="1">
        <v>0</v>
      </c>
      <c r="S1366" s="1">
        <v>25</v>
      </c>
      <c r="T1366" s="1">
        <v>0</v>
      </c>
      <c r="U1366" s="1">
        <v>0</v>
      </c>
      <c r="V1366" s="1" t="str">
        <f t="shared" si="258"/>
        <v>里程去程</v>
      </c>
      <c r="W1366" s="1" t="str">
        <f>"0820"</f>
        <v>0820</v>
      </c>
      <c r="X1366" s="1" t="s">
        <v>35</v>
      </c>
    </row>
    <row r="1367" spans="1:24" x14ac:dyDescent="0.3">
      <c r="A1367" s="1" t="str">
        <f t="shared" si="255"/>
        <v>59825</v>
      </c>
      <c r="B1367" s="1" t="s">
        <v>30</v>
      </c>
      <c r="C1367" s="1" t="s">
        <v>31</v>
      </c>
      <c r="D1367" s="1" t="str">
        <f t="shared" si="257"/>
        <v>9803</v>
      </c>
      <c r="E1367" s="1" t="s">
        <v>32</v>
      </c>
      <c r="F1367" s="1" t="str">
        <f>"1038610469"</f>
        <v>1038610469</v>
      </c>
      <c r="G1367" s="1" t="s">
        <v>38</v>
      </c>
      <c r="H1367" s="1" t="str">
        <f t="shared" si="250"/>
        <v>20220907</v>
      </c>
      <c r="I1367" s="1" t="str">
        <f>"113419"</f>
        <v>113419</v>
      </c>
      <c r="J1367" s="1" t="s">
        <v>28</v>
      </c>
      <c r="K1367" s="1" t="s">
        <v>28</v>
      </c>
      <c r="L1367" s="1" t="str">
        <f t="shared" si="254"/>
        <v>20220907</v>
      </c>
      <c r="M1367" s="1" t="str">
        <f>"115135"</f>
        <v>115135</v>
      </c>
      <c r="N1367" s="1" t="s">
        <v>34</v>
      </c>
      <c r="O1367" s="1" t="s">
        <v>34</v>
      </c>
      <c r="P1367" s="1" t="s">
        <v>55</v>
      </c>
      <c r="Q1367" s="1">
        <v>25</v>
      </c>
      <c r="R1367" s="1">
        <v>25</v>
      </c>
      <c r="S1367" s="1">
        <v>0</v>
      </c>
      <c r="T1367" s="1">
        <v>0</v>
      </c>
      <c r="U1367" s="1">
        <v>0</v>
      </c>
      <c r="V1367" s="1" t="str">
        <f t="shared" si="258"/>
        <v>里程去程</v>
      </c>
      <c r="W1367" s="1" t="str">
        <f>"0820"</f>
        <v>0820</v>
      </c>
      <c r="X1367" s="1" t="s">
        <v>35</v>
      </c>
    </row>
    <row r="1368" spans="1:24" x14ac:dyDescent="0.3">
      <c r="A1368" s="1" t="str">
        <f t="shared" si="255"/>
        <v>59825</v>
      </c>
      <c r="B1368" s="1" t="s">
        <v>30</v>
      </c>
      <c r="C1368" s="1" t="s">
        <v>31</v>
      </c>
      <c r="D1368" s="1" t="str">
        <f t="shared" si="257"/>
        <v>9803</v>
      </c>
      <c r="E1368" s="1" t="s">
        <v>32</v>
      </c>
      <c r="F1368" s="1" t="str">
        <f>"245361537"</f>
        <v>245361537</v>
      </c>
      <c r="G1368" s="1" t="s">
        <v>33</v>
      </c>
      <c r="H1368" s="1" t="str">
        <f t="shared" si="250"/>
        <v>20220907</v>
      </c>
      <c r="I1368" s="1" t="str">
        <f>"114251"</f>
        <v>114251</v>
      </c>
      <c r="J1368" s="1" t="s">
        <v>46</v>
      </c>
      <c r="K1368" s="1" t="s">
        <v>28</v>
      </c>
      <c r="L1368" s="1" t="str">
        <f t="shared" si="254"/>
        <v>20220907</v>
      </c>
      <c r="M1368" s="1" t="str">
        <f>"115142"</f>
        <v>115142</v>
      </c>
      <c r="N1368" s="1" t="s">
        <v>34</v>
      </c>
      <c r="O1368" s="1" t="s">
        <v>34</v>
      </c>
      <c r="P1368" s="1" t="s">
        <v>55</v>
      </c>
      <c r="Q1368" s="1">
        <v>25</v>
      </c>
      <c r="R1368" s="1">
        <v>25</v>
      </c>
      <c r="S1368" s="1">
        <v>0</v>
      </c>
      <c r="T1368" s="1">
        <v>0</v>
      </c>
      <c r="U1368" s="1">
        <v>0</v>
      </c>
      <c r="V1368" s="1" t="str">
        <f t="shared" si="258"/>
        <v>里程去程</v>
      </c>
      <c r="W1368" s="1" t="str">
        <f>"0120"</f>
        <v>0120</v>
      </c>
      <c r="X1368" s="1" t="s">
        <v>35</v>
      </c>
    </row>
    <row r="1369" spans="1:24" x14ac:dyDescent="0.3">
      <c r="A1369" s="1" t="str">
        <f t="shared" si="255"/>
        <v>59825</v>
      </c>
      <c r="B1369" s="1" t="s">
        <v>30</v>
      </c>
      <c r="C1369" s="1" t="s">
        <v>31</v>
      </c>
      <c r="D1369" s="1" t="str">
        <f t="shared" si="257"/>
        <v>9803</v>
      </c>
      <c r="E1369" s="1" t="s">
        <v>32</v>
      </c>
      <c r="F1369" s="1" t="str">
        <f>"1261366181"</f>
        <v>1261366181</v>
      </c>
      <c r="G1369" s="1" t="s">
        <v>38</v>
      </c>
      <c r="H1369" s="1" t="str">
        <f t="shared" si="250"/>
        <v>20220907</v>
      </c>
      <c r="I1369" s="1" t="str">
        <f>"115325"</f>
        <v>115325</v>
      </c>
      <c r="J1369" s="1" t="s">
        <v>34</v>
      </c>
      <c r="K1369" s="1" t="s">
        <v>34</v>
      </c>
      <c r="L1369" s="1" t="str">
        <f t="shared" si="254"/>
        <v>20220907</v>
      </c>
      <c r="M1369" s="1" t="str">
        <f>"122809"</f>
        <v>122809</v>
      </c>
      <c r="N1369" s="1" t="s">
        <v>28</v>
      </c>
      <c r="O1369" s="1" t="s">
        <v>28</v>
      </c>
      <c r="P1369" s="1" t="s">
        <v>55</v>
      </c>
      <c r="Q1369" s="1">
        <v>25</v>
      </c>
      <c r="R1369" s="1">
        <v>25</v>
      </c>
      <c r="S1369" s="1">
        <v>0</v>
      </c>
      <c r="T1369" s="1">
        <v>0</v>
      </c>
      <c r="U1369" s="1">
        <v>0</v>
      </c>
      <c r="V1369" s="1" t="str">
        <f t="shared" ref="V1369:V1388" si="259">"里程返程"</f>
        <v>里程返程</v>
      </c>
      <c r="W1369" s="1" t="str">
        <f t="shared" ref="W1369:W1375" si="260">"2020"</f>
        <v>2020</v>
      </c>
      <c r="X1369" s="1" t="s">
        <v>35</v>
      </c>
    </row>
    <row r="1370" spans="1:24" x14ac:dyDescent="0.3">
      <c r="A1370" s="1" t="str">
        <f t="shared" si="255"/>
        <v>59825</v>
      </c>
      <c r="B1370" s="1" t="s">
        <v>30</v>
      </c>
      <c r="C1370" s="1" t="s">
        <v>31</v>
      </c>
      <c r="D1370" s="1" t="str">
        <f t="shared" si="257"/>
        <v>9803</v>
      </c>
      <c r="E1370" s="1" t="s">
        <v>32</v>
      </c>
      <c r="F1370" s="1" t="str">
        <f>"673998261"</f>
        <v>673998261</v>
      </c>
      <c r="G1370" s="1" t="s">
        <v>33</v>
      </c>
      <c r="H1370" s="1" t="str">
        <f t="shared" si="250"/>
        <v>20220907</v>
      </c>
      <c r="I1370" s="1" t="str">
        <f>"115332"</f>
        <v>115332</v>
      </c>
      <c r="J1370" s="1" t="s">
        <v>34</v>
      </c>
      <c r="K1370" s="1" t="s">
        <v>34</v>
      </c>
      <c r="L1370" s="1" t="str">
        <f t="shared" si="254"/>
        <v>20220907</v>
      </c>
      <c r="M1370" s="1" t="str">
        <f>"122734"</f>
        <v>122734</v>
      </c>
      <c r="N1370" s="1" t="s">
        <v>28</v>
      </c>
      <c r="O1370" s="1" t="s">
        <v>28</v>
      </c>
      <c r="P1370" s="1" t="s">
        <v>55</v>
      </c>
      <c r="Q1370" s="1">
        <v>25</v>
      </c>
      <c r="R1370" s="1">
        <v>25</v>
      </c>
      <c r="S1370" s="1">
        <v>0</v>
      </c>
      <c r="T1370" s="1">
        <v>0</v>
      </c>
      <c r="U1370" s="1">
        <v>0</v>
      </c>
      <c r="V1370" s="1" t="str">
        <f t="shared" si="259"/>
        <v>里程返程</v>
      </c>
      <c r="W1370" s="1" t="str">
        <f t="shared" si="260"/>
        <v>2020</v>
      </c>
      <c r="X1370" s="1" t="s">
        <v>35</v>
      </c>
    </row>
    <row r="1371" spans="1:24" x14ac:dyDescent="0.3">
      <c r="A1371" s="1" t="str">
        <f t="shared" si="255"/>
        <v>59825</v>
      </c>
      <c r="B1371" s="1" t="s">
        <v>30</v>
      </c>
      <c r="C1371" s="1" t="s">
        <v>31</v>
      </c>
      <c r="D1371" s="1" t="str">
        <f t="shared" si="257"/>
        <v>9803</v>
      </c>
      <c r="E1371" s="1" t="s">
        <v>32</v>
      </c>
      <c r="F1371" s="1" t="str">
        <f>"1711690405"</f>
        <v>1711690405</v>
      </c>
      <c r="G1371" s="1" t="s">
        <v>33</v>
      </c>
      <c r="H1371" s="1" t="str">
        <f t="shared" si="250"/>
        <v>20220907</v>
      </c>
      <c r="I1371" s="1" t="str">
        <f>"115344"</f>
        <v>115344</v>
      </c>
      <c r="J1371" s="1" t="s">
        <v>34</v>
      </c>
      <c r="K1371" s="1" t="s">
        <v>34</v>
      </c>
      <c r="L1371" s="1" t="str">
        <f t="shared" si="254"/>
        <v>20220907</v>
      </c>
      <c r="M1371" s="1" t="str">
        <f>"122828"</f>
        <v>122828</v>
      </c>
      <c r="N1371" s="1" t="s">
        <v>28</v>
      </c>
      <c r="O1371" s="1" t="s">
        <v>28</v>
      </c>
      <c r="P1371" s="1" t="s">
        <v>55</v>
      </c>
      <c r="Q1371" s="1">
        <v>25</v>
      </c>
      <c r="R1371" s="1">
        <v>25</v>
      </c>
      <c r="S1371" s="1">
        <v>0</v>
      </c>
      <c r="T1371" s="1">
        <v>0</v>
      </c>
      <c r="U1371" s="1">
        <v>0</v>
      </c>
      <c r="V1371" s="1" t="str">
        <f t="shared" si="259"/>
        <v>里程返程</v>
      </c>
      <c r="W1371" s="1" t="str">
        <f t="shared" si="260"/>
        <v>2020</v>
      </c>
      <c r="X1371" s="1" t="s">
        <v>35</v>
      </c>
    </row>
    <row r="1372" spans="1:24" x14ac:dyDescent="0.3">
      <c r="A1372" s="1" t="str">
        <f t="shared" si="255"/>
        <v>59825</v>
      </c>
      <c r="B1372" s="1" t="s">
        <v>30</v>
      </c>
      <c r="C1372" s="1" t="s">
        <v>31</v>
      </c>
      <c r="D1372" s="1" t="str">
        <f t="shared" si="257"/>
        <v>9803</v>
      </c>
      <c r="E1372" s="1" t="s">
        <v>32</v>
      </c>
      <c r="F1372" s="1" t="str">
        <f>"1112569621"</f>
        <v>1112569621</v>
      </c>
      <c r="G1372" s="1" t="s">
        <v>38</v>
      </c>
      <c r="H1372" s="1" t="str">
        <f t="shared" si="250"/>
        <v>20220907</v>
      </c>
      <c r="I1372" s="1" t="str">
        <f>"115354"</f>
        <v>115354</v>
      </c>
      <c r="J1372" s="1" t="s">
        <v>34</v>
      </c>
      <c r="K1372" s="1" t="s">
        <v>34</v>
      </c>
      <c r="L1372" s="1" t="str">
        <f t="shared" si="254"/>
        <v>20220907</v>
      </c>
      <c r="M1372" s="1" t="str">
        <f>"122834"</f>
        <v>122834</v>
      </c>
      <c r="N1372" s="1" t="s">
        <v>28</v>
      </c>
      <c r="O1372" s="1" t="s">
        <v>28</v>
      </c>
      <c r="P1372" s="1" t="s">
        <v>55</v>
      </c>
      <c r="Q1372" s="1">
        <v>25</v>
      </c>
      <c r="R1372" s="1">
        <v>25</v>
      </c>
      <c r="S1372" s="1">
        <v>0</v>
      </c>
      <c r="T1372" s="1">
        <v>0</v>
      </c>
      <c r="U1372" s="1">
        <v>0</v>
      </c>
      <c r="V1372" s="1" t="str">
        <f t="shared" si="259"/>
        <v>里程返程</v>
      </c>
      <c r="W1372" s="1" t="str">
        <f t="shared" si="260"/>
        <v>2020</v>
      </c>
      <c r="X1372" s="1" t="s">
        <v>35</v>
      </c>
    </row>
    <row r="1373" spans="1:24" x14ac:dyDescent="0.3">
      <c r="A1373" s="1" t="str">
        <f t="shared" si="255"/>
        <v>59825</v>
      </c>
      <c r="B1373" s="1" t="s">
        <v>30</v>
      </c>
      <c r="C1373" s="1" t="s">
        <v>31</v>
      </c>
      <c r="D1373" s="1" t="str">
        <f t="shared" si="257"/>
        <v>9803</v>
      </c>
      <c r="E1373" s="1" t="s">
        <v>32</v>
      </c>
      <c r="F1373" s="1" t="str">
        <f>"1693531361"</f>
        <v>1693531361</v>
      </c>
      <c r="G1373" s="1" t="s">
        <v>33</v>
      </c>
      <c r="H1373" s="1" t="str">
        <f t="shared" si="250"/>
        <v>20220907</v>
      </c>
      <c r="I1373" s="1" t="str">
        <f>"115358"</f>
        <v>115358</v>
      </c>
      <c r="J1373" s="1" t="s">
        <v>34</v>
      </c>
      <c r="K1373" s="1" t="s">
        <v>34</v>
      </c>
      <c r="L1373" s="1" t="str">
        <f t="shared" si="254"/>
        <v>20220907</v>
      </c>
      <c r="M1373" s="1" t="str">
        <f>"122825"</f>
        <v>122825</v>
      </c>
      <c r="N1373" s="1" t="s">
        <v>28</v>
      </c>
      <c r="O1373" s="1" t="s">
        <v>28</v>
      </c>
      <c r="P1373" s="1" t="s">
        <v>55</v>
      </c>
      <c r="Q1373" s="1">
        <v>25</v>
      </c>
      <c r="R1373" s="1">
        <v>25</v>
      </c>
      <c r="S1373" s="1">
        <v>0</v>
      </c>
      <c r="T1373" s="1">
        <v>0</v>
      </c>
      <c r="U1373" s="1">
        <v>0</v>
      </c>
      <c r="V1373" s="1" t="str">
        <f t="shared" si="259"/>
        <v>里程返程</v>
      </c>
      <c r="W1373" s="1" t="str">
        <f t="shared" si="260"/>
        <v>2020</v>
      </c>
      <c r="X1373" s="1" t="s">
        <v>35</v>
      </c>
    </row>
    <row r="1374" spans="1:24" x14ac:dyDescent="0.3">
      <c r="A1374" s="1" t="str">
        <f t="shared" si="255"/>
        <v>59825</v>
      </c>
      <c r="B1374" s="1" t="s">
        <v>30</v>
      </c>
      <c r="C1374" s="1" t="s">
        <v>31</v>
      </c>
      <c r="D1374" s="1" t="str">
        <f t="shared" si="257"/>
        <v>9803</v>
      </c>
      <c r="E1374" s="1" t="s">
        <v>32</v>
      </c>
      <c r="F1374" s="1" t="str">
        <f>"1110547429"</f>
        <v>1110547429</v>
      </c>
      <c r="G1374" s="1" t="s">
        <v>38</v>
      </c>
      <c r="H1374" s="1" t="str">
        <f t="shared" si="250"/>
        <v>20220907</v>
      </c>
      <c r="I1374" s="1" t="str">
        <f>"115404"</f>
        <v>115404</v>
      </c>
      <c r="J1374" s="1" t="s">
        <v>34</v>
      </c>
      <c r="K1374" s="1" t="s">
        <v>34</v>
      </c>
      <c r="L1374" s="1" t="str">
        <f t="shared" si="254"/>
        <v>20220907</v>
      </c>
      <c r="M1374" s="1" t="str">
        <f>"122822"</f>
        <v>122822</v>
      </c>
      <c r="N1374" s="1" t="s">
        <v>28</v>
      </c>
      <c r="O1374" s="1" t="s">
        <v>28</v>
      </c>
      <c r="P1374" s="1" t="s">
        <v>55</v>
      </c>
      <c r="Q1374" s="1">
        <v>25</v>
      </c>
      <c r="R1374" s="1">
        <v>25</v>
      </c>
      <c r="S1374" s="1">
        <v>0</v>
      </c>
      <c r="T1374" s="1">
        <v>0</v>
      </c>
      <c r="U1374" s="1">
        <v>0</v>
      </c>
      <c r="V1374" s="1" t="str">
        <f t="shared" si="259"/>
        <v>里程返程</v>
      </c>
      <c r="W1374" s="1" t="str">
        <f t="shared" si="260"/>
        <v>2020</v>
      </c>
      <c r="X1374" s="1" t="s">
        <v>35</v>
      </c>
    </row>
    <row r="1375" spans="1:24" x14ac:dyDescent="0.3">
      <c r="A1375" s="1" t="str">
        <f t="shared" si="255"/>
        <v>59825</v>
      </c>
      <c r="B1375" s="1" t="s">
        <v>30</v>
      </c>
      <c r="C1375" s="1" t="s">
        <v>31</v>
      </c>
      <c r="D1375" s="1" t="str">
        <f t="shared" si="257"/>
        <v>9803</v>
      </c>
      <c r="E1375" s="1" t="s">
        <v>32</v>
      </c>
      <c r="F1375" s="1" t="str">
        <f>"1110941477"</f>
        <v>1110941477</v>
      </c>
      <c r="G1375" s="1" t="s">
        <v>38</v>
      </c>
      <c r="H1375" s="1" t="str">
        <f t="shared" si="250"/>
        <v>20220907</v>
      </c>
      <c r="I1375" s="1" t="str">
        <f>"115411"</f>
        <v>115411</v>
      </c>
      <c r="J1375" s="1" t="s">
        <v>34</v>
      </c>
      <c r="K1375" s="1" t="s">
        <v>34</v>
      </c>
      <c r="L1375" s="1" t="str">
        <f t="shared" si="254"/>
        <v>20220907</v>
      </c>
      <c r="M1375" s="1" t="str">
        <f>"122815"</f>
        <v>122815</v>
      </c>
      <c r="N1375" s="1" t="s">
        <v>28</v>
      </c>
      <c r="O1375" s="1" t="s">
        <v>28</v>
      </c>
      <c r="P1375" s="1" t="s">
        <v>55</v>
      </c>
      <c r="Q1375" s="1">
        <v>25</v>
      </c>
      <c r="R1375" s="1">
        <v>25</v>
      </c>
      <c r="S1375" s="1">
        <v>0</v>
      </c>
      <c r="T1375" s="1">
        <v>0</v>
      </c>
      <c r="U1375" s="1">
        <v>0</v>
      </c>
      <c r="V1375" s="1" t="str">
        <f t="shared" si="259"/>
        <v>里程返程</v>
      </c>
      <c r="W1375" s="1" t="str">
        <f t="shared" si="260"/>
        <v>2020</v>
      </c>
      <c r="X1375" s="1" t="s">
        <v>35</v>
      </c>
    </row>
    <row r="1376" spans="1:24" x14ac:dyDescent="0.3">
      <c r="A1376" s="1" t="str">
        <f t="shared" si="255"/>
        <v>59825</v>
      </c>
      <c r="B1376" s="1" t="s">
        <v>30</v>
      </c>
      <c r="C1376" s="1" t="s">
        <v>31</v>
      </c>
      <c r="D1376" s="1" t="str">
        <f t="shared" si="257"/>
        <v>9803</v>
      </c>
      <c r="E1376" s="1" t="s">
        <v>32</v>
      </c>
      <c r="F1376" s="1" t="str">
        <f>"B21A940A36880400C810002000000016"</f>
        <v>B21A940A36880400C810002000000016</v>
      </c>
      <c r="G1376" s="1" t="s">
        <v>38</v>
      </c>
      <c r="H1376" s="1" t="str">
        <f t="shared" si="250"/>
        <v>20220907</v>
      </c>
      <c r="I1376" s="1" t="str">
        <f>"115438"</f>
        <v>115438</v>
      </c>
      <c r="J1376" s="1" t="s">
        <v>34</v>
      </c>
      <c r="K1376" s="1" t="s">
        <v>34</v>
      </c>
      <c r="L1376" s="1" t="str">
        <f>""</f>
        <v/>
      </c>
      <c r="M1376" s="1" t="str">
        <f>""</f>
        <v/>
      </c>
      <c r="P1376" s="1" t="s">
        <v>88</v>
      </c>
      <c r="Q1376" s="1">
        <v>25</v>
      </c>
      <c r="R1376" s="1">
        <v>25</v>
      </c>
      <c r="S1376" s="1">
        <v>0</v>
      </c>
      <c r="T1376" s="1">
        <v>0</v>
      </c>
      <c r="U1376" s="1">
        <v>0</v>
      </c>
      <c r="V1376" s="1" t="str">
        <f t="shared" si="259"/>
        <v>里程返程</v>
      </c>
      <c r="W1376" s="1" t="str">
        <f>"0020"</f>
        <v>0020</v>
      </c>
      <c r="X1376" s="1" t="s">
        <v>29</v>
      </c>
    </row>
    <row r="1377" spans="1:24" x14ac:dyDescent="0.3">
      <c r="A1377" s="1" t="str">
        <f t="shared" ref="A1377:A1408" si="261">"59825"</f>
        <v>59825</v>
      </c>
      <c r="B1377" s="1" t="s">
        <v>30</v>
      </c>
      <c r="C1377" s="1" t="s">
        <v>31</v>
      </c>
      <c r="D1377" s="1" t="str">
        <f t="shared" si="257"/>
        <v>9803</v>
      </c>
      <c r="E1377" s="1" t="s">
        <v>32</v>
      </c>
      <c r="F1377" s="1" t="str">
        <f>"61440B032D88040043252B4B000B050F"</f>
        <v>61440B032D88040043252B4B000B050F</v>
      </c>
      <c r="G1377" s="1" t="s">
        <v>58</v>
      </c>
      <c r="H1377" s="1" t="str">
        <f t="shared" si="250"/>
        <v>20220907</v>
      </c>
      <c r="I1377" s="1" t="str">
        <f>"115508"</f>
        <v>115508</v>
      </c>
      <c r="J1377" s="1" t="s">
        <v>34</v>
      </c>
      <c r="K1377" s="1" t="s">
        <v>34</v>
      </c>
      <c r="L1377" s="1" t="str">
        <f t="shared" ref="L1377:L1420" si="262">"20220907"</f>
        <v>20220907</v>
      </c>
      <c r="M1377" s="1" t="str">
        <f>"122747"</f>
        <v>122747</v>
      </c>
      <c r="N1377" s="1" t="s">
        <v>28</v>
      </c>
      <c r="O1377" s="1" t="s">
        <v>28</v>
      </c>
      <c r="P1377" s="1" t="s">
        <v>55</v>
      </c>
      <c r="Q1377" s="1">
        <v>25</v>
      </c>
      <c r="R1377" s="1">
        <v>25</v>
      </c>
      <c r="S1377" s="1">
        <v>0</v>
      </c>
      <c r="T1377" s="1">
        <v>0</v>
      </c>
      <c r="U1377" s="1">
        <v>0</v>
      </c>
      <c r="V1377" s="1" t="str">
        <f t="shared" si="259"/>
        <v>里程返程</v>
      </c>
      <c r="W1377" s="1" t="str">
        <f>"0020"</f>
        <v>0020</v>
      </c>
      <c r="X1377" s="1" t="s">
        <v>29</v>
      </c>
    </row>
    <row r="1378" spans="1:24" x14ac:dyDescent="0.3">
      <c r="A1378" s="1" t="str">
        <f t="shared" si="261"/>
        <v>59825</v>
      </c>
      <c r="B1378" s="1" t="s">
        <v>30</v>
      </c>
      <c r="C1378" s="1" t="s">
        <v>31</v>
      </c>
      <c r="D1378" s="1" t="str">
        <f t="shared" si="257"/>
        <v>9803</v>
      </c>
      <c r="E1378" s="1" t="s">
        <v>32</v>
      </c>
      <c r="F1378" s="1" t="str">
        <f>"1685724325"</f>
        <v>1685724325</v>
      </c>
      <c r="G1378" s="1" t="s">
        <v>33</v>
      </c>
      <c r="H1378" s="1" t="str">
        <f t="shared" si="250"/>
        <v>20220907</v>
      </c>
      <c r="I1378" s="1" t="str">
        <f>"115513"</f>
        <v>115513</v>
      </c>
      <c r="J1378" s="1" t="s">
        <v>34</v>
      </c>
      <c r="K1378" s="1" t="s">
        <v>34</v>
      </c>
      <c r="L1378" s="1" t="str">
        <f t="shared" si="262"/>
        <v>20220907</v>
      </c>
      <c r="M1378" s="1" t="str">
        <f>"122750"</f>
        <v>122750</v>
      </c>
      <c r="N1378" s="1" t="s">
        <v>28</v>
      </c>
      <c r="O1378" s="1" t="s">
        <v>28</v>
      </c>
      <c r="P1378" s="1" t="s">
        <v>55</v>
      </c>
      <c r="Q1378" s="1">
        <v>25</v>
      </c>
      <c r="R1378" s="1">
        <v>25</v>
      </c>
      <c r="S1378" s="1">
        <v>0</v>
      </c>
      <c r="T1378" s="1">
        <v>0</v>
      </c>
      <c r="U1378" s="1">
        <v>0</v>
      </c>
      <c r="V1378" s="1" t="str">
        <f t="shared" si="259"/>
        <v>里程返程</v>
      </c>
      <c r="W1378" s="1" t="str">
        <f>"2020"</f>
        <v>2020</v>
      </c>
      <c r="X1378" s="1" t="s">
        <v>35</v>
      </c>
    </row>
    <row r="1379" spans="1:24" x14ac:dyDescent="0.3">
      <c r="A1379" s="1" t="str">
        <f t="shared" si="261"/>
        <v>59825</v>
      </c>
      <c r="B1379" s="1" t="s">
        <v>30</v>
      </c>
      <c r="C1379" s="1" t="s">
        <v>31</v>
      </c>
      <c r="D1379" s="1" t="str">
        <f t="shared" si="257"/>
        <v>9803</v>
      </c>
      <c r="E1379" s="1" t="s">
        <v>32</v>
      </c>
      <c r="F1379" s="1" t="str">
        <f>"453629185"</f>
        <v>453629185</v>
      </c>
      <c r="G1379" s="1" t="s">
        <v>33</v>
      </c>
      <c r="H1379" s="1" t="str">
        <f t="shared" si="250"/>
        <v>20220907</v>
      </c>
      <c r="I1379" s="1" t="str">
        <f>"115610"</f>
        <v>115610</v>
      </c>
      <c r="J1379" s="1" t="s">
        <v>34</v>
      </c>
      <c r="K1379" s="1" t="s">
        <v>34</v>
      </c>
      <c r="L1379" s="1" t="str">
        <f t="shared" si="262"/>
        <v>20220907</v>
      </c>
      <c r="M1379" s="1" t="str">
        <f>"122812"</f>
        <v>122812</v>
      </c>
      <c r="N1379" s="1" t="s">
        <v>28</v>
      </c>
      <c r="O1379" s="1" t="s">
        <v>28</v>
      </c>
      <c r="P1379" s="1" t="s">
        <v>55</v>
      </c>
      <c r="Q1379" s="1">
        <v>25</v>
      </c>
      <c r="R1379" s="1">
        <v>25</v>
      </c>
      <c r="S1379" s="1">
        <v>0</v>
      </c>
      <c r="T1379" s="1">
        <v>0</v>
      </c>
      <c r="U1379" s="1">
        <v>0</v>
      </c>
      <c r="V1379" s="1" t="str">
        <f t="shared" si="259"/>
        <v>里程返程</v>
      </c>
      <c r="W1379" s="1" t="str">
        <f>"2020"</f>
        <v>2020</v>
      </c>
      <c r="X1379" s="1" t="s">
        <v>35</v>
      </c>
    </row>
    <row r="1380" spans="1:24" x14ac:dyDescent="0.3">
      <c r="A1380" s="1" t="str">
        <f t="shared" si="261"/>
        <v>59825</v>
      </c>
      <c r="B1380" s="1" t="s">
        <v>30</v>
      </c>
      <c r="C1380" s="1" t="s">
        <v>31</v>
      </c>
      <c r="D1380" s="1" t="str">
        <f t="shared" ref="D1380:D1414" si="263">"9803"</f>
        <v>9803</v>
      </c>
      <c r="E1380" s="1" t="s">
        <v>32</v>
      </c>
      <c r="F1380" s="1" t="str">
        <f>"480957009"</f>
        <v>480957009</v>
      </c>
      <c r="G1380" s="1" t="s">
        <v>33</v>
      </c>
      <c r="H1380" s="1" t="str">
        <f t="shared" si="250"/>
        <v>20220907</v>
      </c>
      <c r="I1380" s="1" t="str">
        <f>"115630"</f>
        <v>115630</v>
      </c>
      <c r="J1380" s="1" t="s">
        <v>34</v>
      </c>
      <c r="K1380" s="1" t="s">
        <v>34</v>
      </c>
      <c r="L1380" s="1" t="str">
        <f t="shared" si="262"/>
        <v>20220907</v>
      </c>
      <c r="M1380" s="1" t="str">
        <f>"122838"</f>
        <v>122838</v>
      </c>
      <c r="N1380" s="1" t="s">
        <v>28</v>
      </c>
      <c r="O1380" s="1" t="s">
        <v>28</v>
      </c>
      <c r="P1380" s="1" t="s">
        <v>55</v>
      </c>
      <c r="Q1380" s="1">
        <v>25</v>
      </c>
      <c r="R1380" s="1">
        <v>25</v>
      </c>
      <c r="S1380" s="1">
        <v>0</v>
      </c>
      <c r="T1380" s="1">
        <v>0</v>
      </c>
      <c r="U1380" s="1">
        <v>0</v>
      </c>
      <c r="V1380" s="1" t="str">
        <f t="shared" si="259"/>
        <v>里程返程</v>
      </c>
      <c r="W1380" s="1" t="str">
        <f>"2120"</f>
        <v>2120</v>
      </c>
      <c r="X1380" s="1" t="s">
        <v>35</v>
      </c>
    </row>
    <row r="1381" spans="1:24" x14ac:dyDescent="0.3">
      <c r="A1381" s="1" t="str">
        <f t="shared" si="261"/>
        <v>59825</v>
      </c>
      <c r="B1381" s="1" t="s">
        <v>30</v>
      </c>
      <c r="C1381" s="1" t="s">
        <v>31</v>
      </c>
      <c r="D1381" s="1" t="str">
        <f t="shared" si="263"/>
        <v>9803</v>
      </c>
      <c r="E1381" s="1" t="s">
        <v>32</v>
      </c>
      <c r="F1381" s="1" t="str">
        <f>"1407423105"</f>
        <v>1407423105</v>
      </c>
      <c r="G1381" s="1" t="s">
        <v>26</v>
      </c>
      <c r="H1381" s="1" t="str">
        <f t="shared" si="250"/>
        <v>20220907</v>
      </c>
      <c r="I1381" s="1" t="str">
        <f>"121659"</f>
        <v>121659</v>
      </c>
      <c r="J1381" s="1" t="s">
        <v>46</v>
      </c>
      <c r="K1381" s="1" t="s">
        <v>28</v>
      </c>
      <c r="L1381" s="1" t="str">
        <f t="shared" si="262"/>
        <v>20220907</v>
      </c>
      <c r="M1381" s="1" t="str">
        <f>"122756"</f>
        <v>122756</v>
      </c>
      <c r="N1381" s="1" t="s">
        <v>28</v>
      </c>
      <c r="O1381" s="1" t="s">
        <v>28</v>
      </c>
      <c r="P1381" s="1" t="s">
        <v>55</v>
      </c>
      <c r="Q1381" s="1">
        <v>13</v>
      </c>
      <c r="R1381" s="1">
        <v>0</v>
      </c>
      <c r="S1381" s="1">
        <v>13</v>
      </c>
      <c r="T1381" s="1">
        <v>0</v>
      </c>
      <c r="U1381" s="1">
        <v>0</v>
      </c>
      <c r="V1381" s="1" t="str">
        <f t="shared" si="259"/>
        <v>里程返程</v>
      </c>
      <c r="W1381" s="1" t="str">
        <f t="shared" ref="W1381:W1387" si="264">"2020"</f>
        <v>2020</v>
      </c>
      <c r="X1381" s="1" t="s">
        <v>35</v>
      </c>
    </row>
    <row r="1382" spans="1:24" x14ac:dyDescent="0.3">
      <c r="A1382" s="1" t="str">
        <f t="shared" si="261"/>
        <v>59825</v>
      </c>
      <c r="B1382" s="1" t="s">
        <v>30</v>
      </c>
      <c r="C1382" s="1" t="s">
        <v>31</v>
      </c>
      <c r="D1382" s="1" t="str">
        <f t="shared" si="263"/>
        <v>9803</v>
      </c>
      <c r="E1382" s="1" t="s">
        <v>32</v>
      </c>
      <c r="F1382" s="1" t="str">
        <f>"807647089"</f>
        <v>807647089</v>
      </c>
      <c r="G1382" s="1" t="s">
        <v>26</v>
      </c>
      <c r="H1382" s="1" t="str">
        <f t="shared" si="250"/>
        <v>20220907</v>
      </c>
      <c r="I1382" s="1" t="str">
        <f>"121703"</f>
        <v>121703</v>
      </c>
      <c r="J1382" s="1" t="s">
        <v>46</v>
      </c>
      <c r="K1382" s="1" t="s">
        <v>28</v>
      </c>
      <c r="L1382" s="1" t="str">
        <f t="shared" si="262"/>
        <v>20220907</v>
      </c>
      <c r="M1382" s="1" t="str">
        <f>"122752"</f>
        <v>122752</v>
      </c>
      <c r="N1382" s="1" t="s">
        <v>28</v>
      </c>
      <c r="O1382" s="1" t="s">
        <v>28</v>
      </c>
      <c r="P1382" s="1" t="s">
        <v>55</v>
      </c>
      <c r="Q1382" s="1">
        <v>13</v>
      </c>
      <c r="R1382" s="1">
        <v>0</v>
      </c>
      <c r="S1382" s="1">
        <v>13</v>
      </c>
      <c r="T1382" s="1">
        <v>0</v>
      </c>
      <c r="U1382" s="1">
        <v>0</v>
      </c>
      <c r="V1382" s="1" t="str">
        <f t="shared" si="259"/>
        <v>里程返程</v>
      </c>
      <c r="W1382" s="1" t="str">
        <f t="shared" si="264"/>
        <v>2020</v>
      </c>
      <c r="X1382" s="1" t="s">
        <v>35</v>
      </c>
    </row>
    <row r="1383" spans="1:24" x14ac:dyDescent="0.3">
      <c r="A1383" s="1" t="str">
        <f t="shared" si="261"/>
        <v>59825</v>
      </c>
      <c r="B1383" s="1" t="s">
        <v>30</v>
      </c>
      <c r="C1383" s="1" t="s">
        <v>31</v>
      </c>
      <c r="D1383" s="1" t="str">
        <f t="shared" si="263"/>
        <v>9803</v>
      </c>
      <c r="E1383" s="1" t="s">
        <v>32</v>
      </c>
      <c r="F1383" s="1" t="str">
        <f>"2723361871"</f>
        <v>2723361871</v>
      </c>
      <c r="G1383" s="1" t="s">
        <v>26</v>
      </c>
      <c r="H1383" s="1" t="str">
        <f t="shared" si="250"/>
        <v>20220907</v>
      </c>
      <c r="I1383" s="1" t="str">
        <f>"121707"</f>
        <v>121707</v>
      </c>
      <c r="J1383" s="1" t="s">
        <v>46</v>
      </c>
      <c r="K1383" s="1" t="s">
        <v>28</v>
      </c>
      <c r="L1383" s="1" t="str">
        <f t="shared" si="262"/>
        <v>20220907</v>
      </c>
      <c r="M1383" s="1" t="str">
        <f>"122743"</f>
        <v>122743</v>
      </c>
      <c r="N1383" s="1" t="s">
        <v>28</v>
      </c>
      <c r="O1383" s="1" t="s">
        <v>28</v>
      </c>
      <c r="P1383" s="1" t="s">
        <v>55</v>
      </c>
      <c r="Q1383" s="1">
        <v>13</v>
      </c>
      <c r="R1383" s="1">
        <v>0</v>
      </c>
      <c r="S1383" s="1">
        <v>13</v>
      </c>
      <c r="T1383" s="1">
        <v>0</v>
      </c>
      <c r="U1383" s="1">
        <v>0</v>
      </c>
      <c r="V1383" s="1" t="str">
        <f t="shared" si="259"/>
        <v>里程返程</v>
      </c>
      <c r="W1383" s="1" t="str">
        <f t="shared" si="264"/>
        <v>2020</v>
      </c>
      <c r="X1383" s="1" t="s">
        <v>35</v>
      </c>
    </row>
    <row r="1384" spans="1:24" x14ac:dyDescent="0.3">
      <c r="A1384" s="1" t="str">
        <f t="shared" si="261"/>
        <v>59825</v>
      </c>
      <c r="B1384" s="1" t="s">
        <v>30</v>
      </c>
      <c r="C1384" s="1" t="s">
        <v>31</v>
      </c>
      <c r="D1384" s="1" t="str">
        <f t="shared" si="263"/>
        <v>9803</v>
      </c>
      <c r="E1384" s="1" t="s">
        <v>32</v>
      </c>
      <c r="F1384" s="1" t="str">
        <f>"813782993"</f>
        <v>813782993</v>
      </c>
      <c r="G1384" s="1" t="s">
        <v>26</v>
      </c>
      <c r="H1384" s="1" t="str">
        <f t="shared" si="250"/>
        <v>20220907</v>
      </c>
      <c r="I1384" s="1" t="str">
        <f>"121712"</f>
        <v>121712</v>
      </c>
      <c r="J1384" s="1" t="s">
        <v>46</v>
      </c>
      <c r="K1384" s="1" t="s">
        <v>28</v>
      </c>
      <c r="L1384" s="1" t="str">
        <f t="shared" si="262"/>
        <v>20220907</v>
      </c>
      <c r="M1384" s="1" t="str">
        <f>"122740"</f>
        <v>122740</v>
      </c>
      <c r="N1384" s="1" t="s">
        <v>28</v>
      </c>
      <c r="O1384" s="1" t="s">
        <v>28</v>
      </c>
      <c r="P1384" s="1" t="s">
        <v>55</v>
      </c>
      <c r="Q1384" s="1">
        <v>13</v>
      </c>
      <c r="R1384" s="1">
        <v>0</v>
      </c>
      <c r="S1384" s="1">
        <v>13</v>
      </c>
      <c r="T1384" s="1">
        <v>0</v>
      </c>
      <c r="U1384" s="1">
        <v>0</v>
      </c>
      <c r="V1384" s="1" t="str">
        <f t="shared" si="259"/>
        <v>里程返程</v>
      </c>
      <c r="W1384" s="1" t="str">
        <f t="shared" si="264"/>
        <v>2020</v>
      </c>
      <c r="X1384" s="1" t="s">
        <v>35</v>
      </c>
    </row>
    <row r="1385" spans="1:24" x14ac:dyDescent="0.3">
      <c r="A1385" s="1" t="str">
        <f t="shared" si="261"/>
        <v>59825</v>
      </c>
      <c r="B1385" s="1" t="s">
        <v>30</v>
      </c>
      <c r="C1385" s="1" t="s">
        <v>31</v>
      </c>
      <c r="D1385" s="1" t="str">
        <f t="shared" si="263"/>
        <v>9803</v>
      </c>
      <c r="E1385" s="1" t="s">
        <v>32</v>
      </c>
      <c r="F1385" s="1" t="str">
        <f>"213519585"</f>
        <v>213519585</v>
      </c>
      <c r="G1385" s="1" t="s">
        <v>33</v>
      </c>
      <c r="H1385" s="1" t="str">
        <f t="shared" si="250"/>
        <v>20220907</v>
      </c>
      <c r="I1385" s="1" t="str">
        <f>"121716"</f>
        <v>121716</v>
      </c>
      <c r="J1385" s="1" t="s">
        <v>46</v>
      </c>
      <c r="K1385" s="1" t="s">
        <v>28</v>
      </c>
      <c r="L1385" s="1" t="str">
        <f t="shared" si="262"/>
        <v>20220907</v>
      </c>
      <c r="M1385" s="1" t="str">
        <f>"122759"</f>
        <v>122759</v>
      </c>
      <c r="N1385" s="1" t="s">
        <v>28</v>
      </c>
      <c r="O1385" s="1" t="s">
        <v>28</v>
      </c>
      <c r="P1385" s="1" t="s">
        <v>55</v>
      </c>
      <c r="Q1385" s="1">
        <v>25</v>
      </c>
      <c r="R1385" s="1">
        <v>0</v>
      </c>
      <c r="S1385" s="1">
        <v>25</v>
      </c>
      <c r="T1385" s="1">
        <v>0</v>
      </c>
      <c r="U1385" s="1">
        <v>0</v>
      </c>
      <c r="V1385" s="1" t="str">
        <f t="shared" si="259"/>
        <v>里程返程</v>
      </c>
      <c r="W1385" s="1" t="str">
        <f t="shared" si="264"/>
        <v>2020</v>
      </c>
      <c r="X1385" s="1" t="s">
        <v>35</v>
      </c>
    </row>
    <row r="1386" spans="1:24" x14ac:dyDescent="0.3">
      <c r="A1386" s="1" t="str">
        <f t="shared" si="261"/>
        <v>59825</v>
      </c>
      <c r="B1386" s="1" t="s">
        <v>30</v>
      </c>
      <c r="C1386" s="1" t="s">
        <v>31</v>
      </c>
      <c r="D1386" s="1" t="str">
        <f t="shared" si="263"/>
        <v>9803</v>
      </c>
      <c r="E1386" s="1" t="s">
        <v>32</v>
      </c>
      <c r="F1386" s="1" t="str">
        <f>"1462482513"</f>
        <v>1462482513</v>
      </c>
      <c r="G1386" s="1" t="s">
        <v>26</v>
      </c>
      <c r="H1386" s="1" t="str">
        <f t="shared" si="250"/>
        <v>20220907</v>
      </c>
      <c r="I1386" s="1" t="str">
        <f>"121719"</f>
        <v>121719</v>
      </c>
      <c r="J1386" s="1" t="s">
        <v>46</v>
      </c>
      <c r="K1386" s="1" t="s">
        <v>28</v>
      </c>
      <c r="L1386" s="1" t="str">
        <f t="shared" si="262"/>
        <v>20220907</v>
      </c>
      <c r="M1386" s="1" t="str">
        <f>"122737"</f>
        <v>122737</v>
      </c>
      <c r="N1386" s="1" t="s">
        <v>28</v>
      </c>
      <c r="O1386" s="1" t="s">
        <v>28</v>
      </c>
      <c r="P1386" s="1" t="s">
        <v>55</v>
      </c>
      <c r="Q1386" s="1">
        <v>13</v>
      </c>
      <c r="R1386" s="1">
        <v>0</v>
      </c>
      <c r="S1386" s="1">
        <v>13</v>
      </c>
      <c r="T1386" s="1">
        <v>0</v>
      </c>
      <c r="U1386" s="1">
        <v>0</v>
      </c>
      <c r="V1386" s="1" t="str">
        <f t="shared" si="259"/>
        <v>里程返程</v>
      </c>
      <c r="W1386" s="1" t="str">
        <f t="shared" si="264"/>
        <v>2020</v>
      </c>
      <c r="X1386" s="1" t="s">
        <v>35</v>
      </c>
    </row>
    <row r="1387" spans="1:24" x14ac:dyDescent="0.3">
      <c r="A1387" s="1" t="str">
        <f t="shared" si="261"/>
        <v>59825</v>
      </c>
      <c r="B1387" s="1" t="s">
        <v>30</v>
      </c>
      <c r="C1387" s="1" t="s">
        <v>31</v>
      </c>
      <c r="D1387" s="1" t="str">
        <f t="shared" si="263"/>
        <v>9803</v>
      </c>
      <c r="E1387" s="1" t="s">
        <v>32</v>
      </c>
      <c r="F1387" s="1" t="str">
        <f>"1407745041"</f>
        <v>1407745041</v>
      </c>
      <c r="G1387" s="1" t="s">
        <v>26</v>
      </c>
      <c r="H1387" s="1" t="str">
        <f t="shared" ref="H1387:H1450" si="265">"20220907"</f>
        <v>20220907</v>
      </c>
      <c r="I1387" s="1" t="str">
        <f>"121727"</f>
        <v>121727</v>
      </c>
      <c r="J1387" s="1" t="s">
        <v>46</v>
      </c>
      <c r="K1387" s="1" t="s">
        <v>28</v>
      </c>
      <c r="L1387" s="1" t="str">
        <f t="shared" si="262"/>
        <v>20220907</v>
      </c>
      <c r="M1387" s="1" t="str">
        <f>"122731"</f>
        <v>122731</v>
      </c>
      <c r="N1387" s="1" t="s">
        <v>28</v>
      </c>
      <c r="O1387" s="1" t="s">
        <v>28</v>
      </c>
      <c r="P1387" s="1" t="s">
        <v>55</v>
      </c>
      <c r="Q1387" s="1">
        <v>13</v>
      </c>
      <c r="R1387" s="1">
        <v>0</v>
      </c>
      <c r="S1387" s="1">
        <v>13</v>
      </c>
      <c r="T1387" s="1">
        <v>0</v>
      </c>
      <c r="U1387" s="1">
        <v>0</v>
      </c>
      <c r="V1387" s="1" t="str">
        <f t="shared" si="259"/>
        <v>里程返程</v>
      </c>
      <c r="W1387" s="1" t="str">
        <f t="shared" si="264"/>
        <v>2020</v>
      </c>
      <c r="X1387" s="1" t="s">
        <v>35</v>
      </c>
    </row>
    <row r="1388" spans="1:24" x14ac:dyDescent="0.3">
      <c r="A1388" s="1" t="str">
        <f t="shared" si="261"/>
        <v>59825</v>
      </c>
      <c r="B1388" s="1" t="s">
        <v>30</v>
      </c>
      <c r="C1388" s="1" t="s">
        <v>31</v>
      </c>
      <c r="D1388" s="1" t="str">
        <f t="shared" si="263"/>
        <v>9803</v>
      </c>
      <c r="E1388" s="1" t="s">
        <v>32</v>
      </c>
      <c r="F1388" s="1" t="str">
        <f>"38476097"</f>
        <v>38476097</v>
      </c>
      <c r="G1388" s="1" t="s">
        <v>33</v>
      </c>
      <c r="H1388" s="1" t="str">
        <f t="shared" si="265"/>
        <v>20220907</v>
      </c>
      <c r="I1388" s="1" t="str">
        <f>"122212"</f>
        <v>122212</v>
      </c>
      <c r="J1388" s="1" t="s">
        <v>92</v>
      </c>
      <c r="K1388" s="1" t="s">
        <v>28</v>
      </c>
      <c r="L1388" s="1" t="str">
        <f t="shared" si="262"/>
        <v>20220907</v>
      </c>
      <c r="M1388" s="1" t="str">
        <f>"122728"</f>
        <v>122728</v>
      </c>
      <c r="N1388" s="1" t="s">
        <v>28</v>
      </c>
      <c r="O1388" s="1" t="s">
        <v>28</v>
      </c>
      <c r="P1388" s="1" t="s">
        <v>55</v>
      </c>
      <c r="Q1388" s="1">
        <v>25</v>
      </c>
      <c r="R1388" s="1">
        <v>25</v>
      </c>
      <c r="S1388" s="1">
        <v>0</v>
      </c>
      <c r="T1388" s="1">
        <v>0</v>
      </c>
      <c r="U1388" s="1">
        <v>0</v>
      </c>
      <c r="V1388" s="1" t="str">
        <f t="shared" si="259"/>
        <v>里程返程</v>
      </c>
      <c r="W1388" s="1" t="str">
        <f>"0820"</f>
        <v>0820</v>
      </c>
      <c r="X1388" s="1" t="s">
        <v>35</v>
      </c>
    </row>
    <row r="1389" spans="1:24" x14ac:dyDescent="0.3">
      <c r="A1389" s="1" t="str">
        <f t="shared" si="261"/>
        <v>59825</v>
      </c>
      <c r="B1389" s="1" t="s">
        <v>30</v>
      </c>
      <c r="C1389" s="1" t="s">
        <v>31</v>
      </c>
      <c r="D1389" s="1" t="str">
        <f t="shared" si="263"/>
        <v>9803</v>
      </c>
      <c r="E1389" s="1" t="s">
        <v>32</v>
      </c>
      <c r="F1389" s="1" t="str">
        <f>"1390617761"</f>
        <v>1390617761</v>
      </c>
      <c r="G1389" s="1" t="s">
        <v>26</v>
      </c>
      <c r="H1389" s="1" t="str">
        <f t="shared" si="265"/>
        <v>20220907</v>
      </c>
      <c r="I1389" s="1" t="str">
        <f>"122859"</f>
        <v>122859</v>
      </c>
      <c r="J1389" s="1" t="s">
        <v>28</v>
      </c>
      <c r="K1389" s="1" t="s">
        <v>28</v>
      </c>
      <c r="L1389" s="1" t="str">
        <f t="shared" si="262"/>
        <v>20220907</v>
      </c>
      <c r="M1389" s="1" t="str">
        <f>"124916"</f>
        <v>124916</v>
      </c>
      <c r="N1389" s="1" t="s">
        <v>34</v>
      </c>
      <c r="O1389" s="1" t="s">
        <v>34</v>
      </c>
      <c r="P1389" s="1" t="s">
        <v>55</v>
      </c>
      <c r="Q1389" s="1">
        <v>13</v>
      </c>
      <c r="R1389" s="1">
        <v>13</v>
      </c>
      <c r="S1389" s="1">
        <v>0</v>
      </c>
      <c r="T1389" s="1">
        <v>0</v>
      </c>
      <c r="U1389" s="1">
        <v>0</v>
      </c>
      <c r="V1389" s="1" t="str">
        <f t="shared" ref="V1389:V1399" si="266">"里程去程"</f>
        <v>里程去程</v>
      </c>
      <c r="W1389" s="1" t="str">
        <f>"0220"</f>
        <v>0220</v>
      </c>
      <c r="X1389" s="1" t="s">
        <v>35</v>
      </c>
    </row>
    <row r="1390" spans="1:24" x14ac:dyDescent="0.3">
      <c r="A1390" s="1" t="str">
        <f t="shared" si="261"/>
        <v>59825</v>
      </c>
      <c r="B1390" s="1" t="s">
        <v>30</v>
      </c>
      <c r="C1390" s="1" t="s">
        <v>31</v>
      </c>
      <c r="D1390" s="1" t="str">
        <f t="shared" si="263"/>
        <v>9803</v>
      </c>
      <c r="E1390" s="1" t="s">
        <v>32</v>
      </c>
      <c r="F1390" s="1" t="str">
        <f>"2697212207"</f>
        <v>2697212207</v>
      </c>
      <c r="G1390" s="1" t="s">
        <v>26</v>
      </c>
      <c r="H1390" s="1" t="str">
        <f t="shared" si="265"/>
        <v>20220907</v>
      </c>
      <c r="I1390" s="1" t="str">
        <f>"122905"</f>
        <v>122905</v>
      </c>
      <c r="J1390" s="1" t="s">
        <v>28</v>
      </c>
      <c r="K1390" s="1" t="s">
        <v>28</v>
      </c>
      <c r="L1390" s="1" t="str">
        <f t="shared" si="262"/>
        <v>20220907</v>
      </c>
      <c r="M1390" s="1" t="str">
        <f>"124925"</f>
        <v>124925</v>
      </c>
      <c r="N1390" s="1" t="s">
        <v>34</v>
      </c>
      <c r="O1390" s="1" t="s">
        <v>34</v>
      </c>
      <c r="P1390" s="1" t="s">
        <v>55</v>
      </c>
      <c r="Q1390" s="1">
        <v>13</v>
      </c>
      <c r="R1390" s="1">
        <v>13</v>
      </c>
      <c r="S1390" s="1">
        <v>0</v>
      </c>
      <c r="T1390" s="1">
        <v>0</v>
      </c>
      <c r="U1390" s="1">
        <v>0</v>
      </c>
      <c r="V1390" s="1" t="str">
        <f t="shared" si="266"/>
        <v>里程去程</v>
      </c>
      <c r="W1390" s="1" t="str">
        <f>"0220"</f>
        <v>0220</v>
      </c>
      <c r="X1390" s="1" t="s">
        <v>35</v>
      </c>
    </row>
    <row r="1391" spans="1:24" x14ac:dyDescent="0.3">
      <c r="A1391" s="1" t="str">
        <f t="shared" si="261"/>
        <v>59825</v>
      </c>
      <c r="B1391" s="1" t="s">
        <v>30</v>
      </c>
      <c r="C1391" s="1" t="s">
        <v>110</v>
      </c>
      <c r="D1391" s="1" t="str">
        <f t="shared" si="263"/>
        <v>9803</v>
      </c>
      <c r="E1391" s="1" t="s">
        <v>32</v>
      </c>
      <c r="F1391" s="1" t="str">
        <f>"7311170772001901"</f>
        <v>7311170772001901</v>
      </c>
      <c r="G1391" s="1" t="s">
        <v>33</v>
      </c>
      <c r="H1391" s="1" t="str">
        <f t="shared" si="265"/>
        <v>20220907</v>
      </c>
      <c r="I1391" s="1" t="str">
        <f>"122909"</f>
        <v>122909</v>
      </c>
      <c r="J1391" s="1" t="s">
        <v>28</v>
      </c>
      <c r="K1391" s="1" t="s">
        <v>28</v>
      </c>
      <c r="L1391" s="1" t="str">
        <f t="shared" si="262"/>
        <v>20220907</v>
      </c>
      <c r="M1391" s="1" t="str">
        <f>"125001"</f>
        <v>125001</v>
      </c>
      <c r="N1391" s="1" t="s">
        <v>34</v>
      </c>
      <c r="O1391" s="1" t="s">
        <v>34</v>
      </c>
      <c r="P1391" s="1" t="s">
        <v>55</v>
      </c>
      <c r="Q1391" s="1">
        <v>25</v>
      </c>
      <c r="R1391" s="1">
        <v>25</v>
      </c>
      <c r="S1391" s="1">
        <v>0</v>
      </c>
      <c r="T1391" s="1">
        <v>0</v>
      </c>
      <c r="U1391" s="1">
        <v>0</v>
      </c>
      <c r="V1391" s="1" t="str">
        <f t="shared" si="266"/>
        <v>里程去程</v>
      </c>
      <c r="W1391" s="1" t="str">
        <f>"0C3B"</f>
        <v>0C3B</v>
      </c>
      <c r="X1391" s="1" t="s">
        <v>109</v>
      </c>
    </row>
    <row r="1392" spans="1:24" x14ac:dyDescent="0.3">
      <c r="A1392" s="1" t="str">
        <f t="shared" si="261"/>
        <v>59825</v>
      </c>
      <c r="B1392" s="1" t="s">
        <v>30</v>
      </c>
      <c r="C1392" s="1" t="s">
        <v>31</v>
      </c>
      <c r="D1392" s="1" t="str">
        <f t="shared" si="263"/>
        <v>9803</v>
      </c>
      <c r="E1392" s="1" t="s">
        <v>32</v>
      </c>
      <c r="F1392" s="1" t="str">
        <f>"647170821"</f>
        <v>647170821</v>
      </c>
      <c r="G1392" s="1" t="s">
        <v>33</v>
      </c>
      <c r="H1392" s="1" t="str">
        <f t="shared" si="265"/>
        <v>20220907</v>
      </c>
      <c r="I1392" s="1" t="str">
        <f>"122920"</f>
        <v>122920</v>
      </c>
      <c r="J1392" s="1" t="s">
        <v>28</v>
      </c>
      <c r="K1392" s="1" t="s">
        <v>28</v>
      </c>
      <c r="L1392" s="1" t="str">
        <f t="shared" si="262"/>
        <v>20220907</v>
      </c>
      <c r="M1392" s="1" t="str">
        <f>"124938"</f>
        <v>124938</v>
      </c>
      <c r="N1392" s="1" t="s">
        <v>34</v>
      </c>
      <c r="O1392" s="1" t="s">
        <v>34</v>
      </c>
      <c r="P1392" s="1" t="s">
        <v>55</v>
      </c>
      <c r="Q1392" s="1">
        <v>25</v>
      </c>
      <c r="R1392" s="1">
        <v>25</v>
      </c>
      <c r="S1392" s="1">
        <v>0</v>
      </c>
      <c r="T1392" s="1">
        <v>0</v>
      </c>
      <c r="U1392" s="1">
        <v>0</v>
      </c>
      <c r="V1392" s="1" t="str">
        <f t="shared" si="266"/>
        <v>里程去程</v>
      </c>
      <c r="W1392" s="1" t="str">
        <f>"2320"</f>
        <v>2320</v>
      </c>
      <c r="X1392" s="1" t="s">
        <v>35</v>
      </c>
    </row>
    <row r="1393" spans="1:24" x14ac:dyDescent="0.3">
      <c r="A1393" s="1" t="str">
        <f t="shared" si="261"/>
        <v>59825</v>
      </c>
      <c r="B1393" s="1" t="s">
        <v>30</v>
      </c>
      <c r="C1393" s="1" t="s">
        <v>31</v>
      </c>
      <c r="D1393" s="1" t="str">
        <f t="shared" si="263"/>
        <v>9803</v>
      </c>
      <c r="E1393" s="1" t="s">
        <v>32</v>
      </c>
      <c r="F1393" s="1" t="str">
        <f>"797856581"</f>
        <v>797856581</v>
      </c>
      <c r="G1393" s="1" t="s">
        <v>33</v>
      </c>
      <c r="H1393" s="1" t="str">
        <f t="shared" si="265"/>
        <v>20220907</v>
      </c>
      <c r="I1393" s="1" t="str">
        <f>"122931"</f>
        <v>122931</v>
      </c>
      <c r="J1393" s="1" t="s">
        <v>28</v>
      </c>
      <c r="K1393" s="1" t="s">
        <v>28</v>
      </c>
      <c r="L1393" s="1" t="str">
        <f t="shared" si="262"/>
        <v>20220907</v>
      </c>
      <c r="M1393" s="1" t="str">
        <f>"124946"</f>
        <v>124946</v>
      </c>
      <c r="N1393" s="1" t="s">
        <v>34</v>
      </c>
      <c r="O1393" s="1" t="s">
        <v>34</v>
      </c>
      <c r="P1393" s="1" t="s">
        <v>55</v>
      </c>
      <c r="Q1393" s="1">
        <v>25</v>
      </c>
      <c r="R1393" s="1">
        <v>25</v>
      </c>
      <c r="S1393" s="1">
        <v>0</v>
      </c>
      <c r="T1393" s="1">
        <v>0</v>
      </c>
      <c r="U1393" s="1">
        <v>0</v>
      </c>
      <c r="V1393" s="1" t="str">
        <f t="shared" si="266"/>
        <v>里程去程</v>
      </c>
      <c r="W1393" s="1" t="str">
        <f>"1920"</f>
        <v>1920</v>
      </c>
      <c r="X1393" s="1" t="s">
        <v>35</v>
      </c>
    </row>
    <row r="1394" spans="1:24" x14ac:dyDescent="0.3">
      <c r="A1394" s="1" t="str">
        <f t="shared" si="261"/>
        <v>59825</v>
      </c>
      <c r="B1394" s="1" t="s">
        <v>30</v>
      </c>
      <c r="C1394" s="1" t="s">
        <v>31</v>
      </c>
      <c r="D1394" s="1" t="str">
        <f t="shared" si="263"/>
        <v>9803</v>
      </c>
      <c r="E1394" s="1" t="s">
        <v>32</v>
      </c>
      <c r="F1394" s="1" t="str">
        <f>"1259321057"</f>
        <v>1259321057</v>
      </c>
      <c r="G1394" s="1" t="s">
        <v>33</v>
      </c>
      <c r="H1394" s="1" t="str">
        <f t="shared" si="265"/>
        <v>20220907</v>
      </c>
      <c r="I1394" s="1" t="str">
        <f>"122933"</f>
        <v>122933</v>
      </c>
      <c r="J1394" s="1" t="s">
        <v>28</v>
      </c>
      <c r="K1394" s="1" t="s">
        <v>28</v>
      </c>
      <c r="L1394" s="1" t="str">
        <f t="shared" si="262"/>
        <v>20220907</v>
      </c>
      <c r="M1394" s="1" t="str">
        <f>"124932"</f>
        <v>124932</v>
      </c>
      <c r="N1394" s="1" t="s">
        <v>34</v>
      </c>
      <c r="O1394" s="1" t="s">
        <v>34</v>
      </c>
      <c r="P1394" s="1" t="s">
        <v>55</v>
      </c>
      <c r="Q1394" s="1">
        <v>25</v>
      </c>
      <c r="R1394" s="1">
        <v>25</v>
      </c>
      <c r="S1394" s="1">
        <v>0</v>
      </c>
      <c r="T1394" s="1">
        <v>0</v>
      </c>
      <c r="U1394" s="1">
        <v>0</v>
      </c>
      <c r="V1394" s="1" t="str">
        <f t="shared" si="266"/>
        <v>里程去程</v>
      </c>
      <c r="W1394" s="1" t="str">
        <f>"0120"</f>
        <v>0120</v>
      </c>
      <c r="X1394" s="1" t="s">
        <v>35</v>
      </c>
    </row>
    <row r="1395" spans="1:24" x14ac:dyDescent="0.3">
      <c r="A1395" s="1" t="str">
        <f t="shared" si="261"/>
        <v>59825</v>
      </c>
      <c r="B1395" s="1" t="s">
        <v>30</v>
      </c>
      <c r="C1395" s="1" t="s">
        <v>31</v>
      </c>
      <c r="D1395" s="1" t="str">
        <f t="shared" si="263"/>
        <v>9803</v>
      </c>
      <c r="E1395" s="1" t="s">
        <v>32</v>
      </c>
      <c r="F1395" s="1" t="str">
        <f>"750821409"</f>
        <v>750821409</v>
      </c>
      <c r="G1395" s="1" t="s">
        <v>33</v>
      </c>
      <c r="H1395" s="1" t="str">
        <f t="shared" si="265"/>
        <v>20220907</v>
      </c>
      <c r="I1395" s="1" t="str">
        <f>"122937"</f>
        <v>122937</v>
      </c>
      <c r="J1395" s="1" t="s">
        <v>28</v>
      </c>
      <c r="K1395" s="1" t="s">
        <v>28</v>
      </c>
      <c r="L1395" s="1" t="str">
        <f t="shared" si="262"/>
        <v>20220907</v>
      </c>
      <c r="M1395" s="1" t="str">
        <f>"124928"</f>
        <v>124928</v>
      </c>
      <c r="N1395" s="1" t="s">
        <v>34</v>
      </c>
      <c r="O1395" s="1" t="s">
        <v>34</v>
      </c>
      <c r="P1395" s="1" t="s">
        <v>55</v>
      </c>
      <c r="Q1395" s="1">
        <v>25</v>
      </c>
      <c r="R1395" s="1">
        <v>25</v>
      </c>
      <c r="S1395" s="1">
        <v>0</v>
      </c>
      <c r="T1395" s="1">
        <v>0</v>
      </c>
      <c r="U1395" s="1">
        <v>0</v>
      </c>
      <c r="V1395" s="1" t="str">
        <f t="shared" si="266"/>
        <v>里程去程</v>
      </c>
      <c r="W1395" s="1" t="str">
        <f>"0120"</f>
        <v>0120</v>
      </c>
      <c r="X1395" s="1" t="s">
        <v>35</v>
      </c>
    </row>
    <row r="1396" spans="1:24" x14ac:dyDescent="0.3">
      <c r="A1396" s="1" t="str">
        <f t="shared" si="261"/>
        <v>59825</v>
      </c>
      <c r="B1396" s="1" t="s">
        <v>30</v>
      </c>
      <c r="C1396" s="1" t="s">
        <v>31</v>
      </c>
      <c r="D1396" s="1" t="str">
        <f t="shared" si="263"/>
        <v>9803</v>
      </c>
      <c r="E1396" s="1" t="s">
        <v>32</v>
      </c>
      <c r="F1396" s="1" t="str">
        <f>"3504934686"</f>
        <v>3504934686</v>
      </c>
      <c r="G1396" s="1" t="s">
        <v>33</v>
      </c>
      <c r="H1396" s="1" t="str">
        <f t="shared" si="265"/>
        <v>20220907</v>
      </c>
      <c r="I1396" s="1" t="str">
        <f>"122942"</f>
        <v>122942</v>
      </c>
      <c r="J1396" s="1" t="s">
        <v>28</v>
      </c>
      <c r="K1396" s="1" t="s">
        <v>28</v>
      </c>
      <c r="L1396" s="1" t="str">
        <f t="shared" si="262"/>
        <v>20220907</v>
      </c>
      <c r="M1396" s="1" t="str">
        <f>"124957"</f>
        <v>124957</v>
      </c>
      <c r="N1396" s="1" t="s">
        <v>34</v>
      </c>
      <c r="O1396" s="1" t="s">
        <v>34</v>
      </c>
      <c r="P1396" s="1" t="s">
        <v>55</v>
      </c>
      <c r="Q1396" s="1">
        <v>25</v>
      </c>
      <c r="R1396" s="1">
        <v>25</v>
      </c>
      <c r="S1396" s="1">
        <v>0</v>
      </c>
      <c r="T1396" s="1">
        <v>0</v>
      </c>
      <c r="U1396" s="1">
        <v>0</v>
      </c>
      <c r="V1396" s="1" t="str">
        <f t="shared" si="266"/>
        <v>里程去程</v>
      </c>
      <c r="W1396" s="1" t="str">
        <f>"0120"</f>
        <v>0120</v>
      </c>
      <c r="X1396" s="1" t="s">
        <v>35</v>
      </c>
    </row>
    <row r="1397" spans="1:24" x14ac:dyDescent="0.3">
      <c r="A1397" s="1" t="str">
        <f t="shared" si="261"/>
        <v>59825</v>
      </c>
      <c r="B1397" s="1" t="s">
        <v>30</v>
      </c>
      <c r="C1397" s="1" t="s">
        <v>31</v>
      </c>
      <c r="D1397" s="1" t="str">
        <f t="shared" si="263"/>
        <v>9803</v>
      </c>
      <c r="E1397" s="1" t="s">
        <v>32</v>
      </c>
      <c r="F1397" s="1" t="str">
        <f>"95B2CD09E3180200D200000C22400417"</f>
        <v>95B2CD09E3180200D200000C22400417</v>
      </c>
      <c r="G1397" s="1" t="s">
        <v>58</v>
      </c>
      <c r="H1397" s="1" t="str">
        <f t="shared" si="265"/>
        <v>20220907</v>
      </c>
      <c r="I1397" s="1" t="str">
        <f>"122946"</f>
        <v>122946</v>
      </c>
      <c r="J1397" s="1" t="s">
        <v>28</v>
      </c>
      <c r="K1397" s="1" t="s">
        <v>28</v>
      </c>
      <c r="L1397" s="1" t="str">
        <f t="shared" si="262"/>
        <v>20220907</v>
      </c>
      <c r="M1397" s="1" t="str">
        <f>"124941"</f>
        <v>124941</v>
      </c>
      <c r="N1397" s="1" t="s">
        <v>34</v>
      </c>
      <c r="O1397" s="1" t="s">
        <v>34</v>
      </c>
      <c r="P1397" s="1" t="s">
        <v>55</v>
      </c>
      <c r="Q1397" s="1">
        <v>25</v>
      </c>
      <c r="R1397" s="1">
        <v>25</v>
      </c>
      <c r="S1397" s="1">
        <v>0</v>
      </c>
      <c r="T1397" s="1">
        <v>0</v>
      </c>
      <c r="U1397" s="1">
        <v>0</v>
      </c>
      <c r="V1397" s="1" t="str">
        <f t="shared" si="266"/>
        <v>里程去程</v>
      </c>
      <c r="W1397" s="1" t="str">
        <f>"0020"</f>
        <v>0020</v>
      </c>
      <c r="X1397" s="1" t="s">
        <v>29</v>
      </c>
    </row>
    <row r="1398" spans="1:24" x14ac:dyDescent="0.3">
      <c r="A1398" s="1" t="str">
        <f t="shared" si="261"/>
        <v>59825</v>
      </c>
      <c r="B1398" s="1" t="s">
        <v>30</v>
      </c>
      <c r="C1398" s="1" t="s">
        <v>31</v>
      </c>
      <c r="D1398" s="1" t="str">
        <f t="shared" si="263"/>
        <v>9803</v>
      </c>
      <c r="E1398" s="1" t="s">
        <v>32</v>
      </c>
      <c r="F1398" s="1" t="str">
        <f>"972437425"</f>
        <v>972437425</v>
      </c>
      <c r="G1398" s="1" t="s">
        <v>33</v>
      </c>
      <c r="H1398" s="1" t="str">
        <f t="shared" si="265"/>
        <v>20220907</v>
      </c>
      <c r="I1398" s="1" t="str">
        <f>"122954"</f>
        <v>122954</v>
      </c>
      <c r="J1398" s="1" t="s">
        <v>28</v>
      </c>
      <c r="K1398" s="1" t="s">
        <v>28</v>
      </c>
      <c r="L1398" s="1" t="str">
        <f t="shared" si="262"/>
        <v>20220907</v>
      </c>
      <c r="M1398" s="1" t="str">
        <f>"124935"</f>
        <v>124935</v>
      </c>
      <c r="N1398" s="1" t="s">
        <v>34</v>
      </c>
      <c r="O1398" s="1" t="s">
        <v>34</v>
      </c>
      <c r="P1398" s="1" t="s">
        <v>55</v>
      </c>
      <c r="Q1398" s="1">
        <v>25</v>
      </c>
      <c r="R1398" s="1">
        <v>25</v>
      </c>
      <c r="S1398" s="1">
        <v>0</v>
      </c>
      <c r="T1398" s="1">
        <v>0</v>
      </c>
      <c r="U1398" s="1">
        <v>0</v>
      </c>
      <c r="V1398" s="1" t="str">
        <f t="shared" si="266"/>
        <v>里程去程</v>
      </c>
      <c r="W1398" s="1" t="str">
        <f>"0120"</f>
        <v>0120</v>
      </c>
      <c r="X1398" s="1" t="s">
        <v>35</v>
      </c>
    </row>
    <row r="1399" spans="1:24" x14ac:dyDescent="0.3">
      <c r="A1399" s="1" t="str">
        <f t="shared" si="261"/>
        <v>59825</v>
      </c>
      <c r="B1399" s="1" t="s">
        <v>30</v>
      </c>
      <c r="C1399" s="1" t="s">
        <v>31</v>
      </c>
      <c r="D1399" s="1" t="str">
        <f t="shared" si="263"/>
        <v>9803</v>
      </c>
      <c r="E1399" s="1" t="s">
        <v>32</v>
      </c>
      <c r="F1399" s="1" t="str">
        <f>"92CB4C0E1B880400C806002000000018"</f>
        <v>92CB4C0E1B880400C806002000000018</v>
      </c>
      <c r="G1399" s="1" t="s">
        <v>58</v>
      </c>
      <c r="H1399" s="1" t="str">
        <f t="shared" si="265"/>
        <v>20220907</v>
      </c>
      <c r="I1399" s="1" t="str">
        <f>"123006"</f>
        <v>123006</v>
      </c>
      <c r="J1399" s="1" t="s">
        <v>28</v>
      </c>
      <c r="K1399" s="1" t="s">
        <v>28</v>
      </c>
      <c r="L1399" s="1" t="str">
        <f t="shared" si="262"/>
        <v>20220907</v>
      </c>
      <c r="M1399" s="1" t="str">
        <f>"124921"</f>
        <v>124921</v>
      </c>
      <c r="N1399" s="1" t="s">
        <v>34</v>
      </c>
      <c r="O1399" s="1" t="s">
        <v>34</v>
      </c>
      <c r="P1399" s="1" t="s">
        <v>55</v>
      </c>
      <c r="Q1399" s="1">
        <v>25</v>
      </c>
      <c r="R1399" s="1">
        <v>0</v>
      </c>
      <c r="S1399" s="1">
        <v>25</v>
      </c>
      <c r="T1399" s="1">
        <v>0</v>
      </c>
      <c r="U1399" s="1">
        <v>0</v>
      </c>
      <c r="V1399" s="1" t="str">
        <f t="shared" si="266"/>
        <v>里程去程</v>
      </c>
      <c r="W1399" s="1" t="str">
        <f>"0620"</f>
        <v>0620</v>
      </c>
      <c r="X1399" s="1" t="s">
        <v>29</v>
      </c>
    </row>
    <row r="1400" spans="1:24" x14ac:dyDescent="0.3">
      <c r="A1400" s="1" t="str">
        <f t="shared" si="261"/>
        <v>59825</v>
      </c>
      <c r="B1400" s="1" t="s">
        <v>30</v>
      </c>
      <c r="C1400" s="1" t="s">
        <v>31</v>
      </c>
      <c r="D1400" s="1" t="str">
        <f t="shared" si="263"/>
        <v>9803</v>
      </c>
      <c r="E1400" s="1" t="s">
        <v>32</v>
      </c>
      <c r="F1400" s="1" t="str">
        <f>"015F4D4B588804004325BD2700050B0F"</f>
        <v>015F4D4B588804004325BD2700050B0F</v>
      </c>
      <c r="G1400" s="1" t="s">
        <v>26</v>
      </c>
      <c r="H1400" s="1" t="str">
        <f t="shared" si="265"/>
        <v>20220907</v>
      </c>
      <c r="I1400" s="1" t="str">
        <f>"125348"</f>
        <v>125348</v>
      </c>
      <c r="J1400" s="1" t="s">
        <v>34</v>
      </c>
      <c r="K1400" s="1" t="s">
        <v>34</v>
      </c>
      <c r="L1400" s="1" t="str">
        <f t="shared" si="262"/>
        <v>20220907</v>
      </c>
      <c r="M1400" s="1" t="str">
        <f>"131928"</f>
        <v>131928</v>
      </c>
      <c r="N1400" s="1" t="s">
        <v>28</v>
      </c>
      <c r="O1400" s="1" t="s">
        <v>28</v>
      </c>
      <c r="P1400" s="1" t="s">
        <v>55</v>
      </c>
      <c r="Q1400" s="1">
        <v>13</v>
      </c>
      <c r="R1400" s="1">
        <v>13</v>
      </c>
      <c r="S1400" s="1">
        <v>0</v>
      </c>
      <c r="T1400" s="1">
        <v>0</v>
      </c>
      <c r="U1400" s="1">
        <v>0</v>
      </c>
      <c r="V1400" s="1" t="str">
        <f t="shared" ref="V1400:V1414" si="267">"里程返程"</f>
        <v>里程返程</v>
      </c>
      <c r="W1400" s="1" t="str">
        <f t="shared" ref="W1400:W1407" si="268">"0020"</f>
        <v>0020</v>
      </c>
      <c r="X1400" s="1" t="s">
        <v>29</v>
      </c>
    </row>
    <row r="1401" spans="1:24" x14ac:dyDescent="0.3">
      <c r="A1401" s="1" t="str">
        <f t="shared" si="261"/>
        <v>59825</v>
      </c>
      <c r="B1401" s="1" t="s">
        <v>30</v>
      </c>
      <c r="C1401" s="1" t="s">
        <v>31</v>
      </c>
      <c r="D1401" s="1" t="str">
        <f t="shared" si="263"/>
        <v>9803</v>
      </c>
      <c r="E1401" s="1" t="s">
        <v>32</v>
      </c>
      <c r="F1401" s="1" t="str">
        <f>"29C96F1D9288040043256F350010060F"</f>
        <v>29C96F1D9288040043256F350010060F</v>
      </c>
      <c r="G1401" s="1" t="s">
        <v>58</v>
      </c>
      <c r="H1401" s="1" t="str">
        <f t="shared" si="265"/>
        <v>20220907</v>
      </c>
      <c r="I1401" s="1" t="str">
        <f>"125354"</f>
        <v>125354</v>
      </c>
      <c r="J1401" s="1" t="s">
        <v>34</v>
      </c>
      <c r="K1401" s="1" t="s">
        <v>34</v>
      </c>
      <c r="L1401" s="1" t="str">
        <f t="shared" si="262"/>
        <v>20220907</v>
      </c>
      <c r="M1401" s="1" t="str">
        <f>"131947"</f>
        <v>131947</v>
      </c>
      <c r="N1401" s="1" t="s">
        <v>28</v>
      </c>
      <c r="O1401" s="1" t="s">
        <v>28</v>
      </c>
      <c r="P1401" s="1" t="s">
        <v>55</v>
      </c>
      <c r="Q1401" s="1">
        <v>25</v>
      </c>
      <c r="R1401" s="1">
        <v>25</v>
      </c>
      <c r="S1401" s="1">
        <v>0</v>
      </c>
      <c r="T1401" s="1">
        <v>0</v>
      </c>
      <c r="U1401" s="1">
        <v>0</v>
      </c>
      <c r="V1401" s="1" t="str">
        <f t="shared" si="267"/>
        <v>里程返程</v>
      </c>
      <c r="W1401" s="1" t="str">
        <f t="shared" si="268"/>
        <v>0020</v>
      </c>
      <c r="X1401" s="1" t="s">
        <v>29</v>
      </c>
    </row>
    <row r="1402" spans="1:24" x14ac:dyDescent="0.3">
      <c r="A1402" s="1" t="str">
        <f t="shared" si="261"/>
        <v>59825</v>
      </c>
      <c r="B1402" s="1" t="s">
        <v>30</v>
      </c>
      <c r="C1402" s="1" t="s">
        <v>31</v>
      </c>
      <c r="D1402" s="1" t="str">
        <f t="shared" si="263"/>
        <v>9803</v>
      </c>
      <c r="E1402" s="1" t="s">
        <v>32</v>
      </c>
      <c r="F1402" s="1" t="str">
        <f>"D259BC112628040080CEBCD141912418"</f>
        <v>D259BC112628040080CEBCD141912418</v>
      </c>
      <c r="G1402" s="1" t="s">
        <v>59</v>
      </c>
      <c r="H1402" s="1" t="str">
        <f t="shared" si="265"/>
        <v>20220907</v>
      </c>
      <c r="I1402" s="1" t="str">
        <f>"125359"</f>
        <v>125359</v>
      </c>
      <c r="J1402" s="1" t="s">
        <v>34</v>
      </c>
      <c r="K1402" s="1" t="s">
        <v>34</v>
      </c>
      <c r="L1402" s="1" t="str">
        <f t="shared" si="262"/>
        <v>20220907</v>
      </c>
      <c r="M1402" s="1" t="str">
        <f>"131950"</f>
        <v>131950</v>
      </c>
      <c r="N1402" s="1" t="s">
        <v>28</v>
      </c>
      <c r="O1402" s="1" t="s">
        <v>28</v>
      </c>
      <c r="P1402" s="1" t="s">
        <v>55</v>
      </c>
      <c r="Q1402" s="1">
        <v>25</v>
      </c>
      <c r="R1402" s="1">
        <v>25</v>
      </c>
      <c r="S1402" s="1">
        <v>0</v>
      </c>
      <c r="T1402" s="1">
        <v>0</v>
      </c>
      <c r="U1402" s="1">
        <v>0</v>
      </c>
      <c r="V1402" s="1" t="str">
        <f t="shared" si="267"/>
        <v>里程返程</v>
      </c>
      <c r="W1402" s="1" t="str">
        <f t="shared" si="268"/>
        <v>0020</v>
      </c>
      <c r="X1402" s="1" t="s">
        <v>29</v>
      </c>
    </row>
    <row r="1403" spans="1:24" x14ac:dyDescent="0.3">
      <c r="A1403" s="1" t="str">
        <f t="shared" si="261"/>
        <v>59825</v>
      </c>
      <c r="B1403" s="1" t="s">
        <v>30</v>
      </c>
      <c r="C1403" s="1" t="s">
        <v>31</v>
      </c>
      <c r="D1403" s="1" t="str">
        <f t="shared" si="263"/>
        <v>9803</v>
      </c>
      <c r="E1403" s="1" t="s">
        <v>32</v>
      </c>
      <c r="F1403" s="1" t="str">
        <f>"22B198111A28040080CEBCD141912418"</f>
        <v>22B198111A28040080CEBCD141912418</v>
      </c>
      <c r="G1403" s="1" t="s">
        <v>59</v>
      </c>
      <c r="H1403" s="1" t="str">
        <f t="shared" si="265"/>
        <v>20220907</v>
      </c>
      <c r="I1403" s="1" t="str">
        <f>"125403"</f>
        <v>125403</v>
      </c>
      <c r="J1403" s="1" t="s">
        <v>34</v>
      </c>
      <c r="K1403" s="1" t="s">
        <v>34</v>
      </c>
      <c r="L1403" s="1" t="str">
        <f t="shared" si="262"/>
        <v>20220907</v>
      </c>
      <c r="M1403" s="1" t="str">
        <f>"131956"</f>
        <v>131956</v>
      </c>
      <c r="N1403" s="1" t="s">
        <v>28</v>
      </c>
      <c r="O1403" s="1" t="s">
        <v>28</v>
      </c>
      <c r="P1403" s="1" t="s">
        <v>55</v>
      </c>
      <c r="Q1403" s="1">
        <v>25</v>
      </c>
      <c r="R1403" s="1">
        <v>25</v>
      </c>
      <c r="S1403" s="1">
        <v>0</v>
      </c>
      <c r="T1403" s="1">
        <v>0</v>
      </c>
      <c r="U1403" s="1">
        <v>0</v>
      </c>
      <c r="V1403" s="1" t="str">
        <f t="shared" si="267"/>
        <v>里程返程</v>
      </c>
      <c r="W1403" s="1" t="str">
        <f t="shared" si="268"/>
        <v>0020</v>
      </c>
      <c r="X1403" s="1" t="s">
        <v>29</v>
      </c>
    </row>
    <row r="1404" spans="1:24" x14ac:dyDescent="0.3">
      <c r="A1404" s="1" t="str">
        <f t="shared" si="261"/>
        <v>59825</v>
      </c>
      <c r="B1404" s="1" t="s">
        <v>30</v>
      </c>
      <c r="C1404" s="1" t="s">
        <v>31</v>
      </c>
      <c r="D1404" s="1" t="str">
        <f t="shared" si="263"/>
        <v>9803</v>
      </c>
      <c r="E1404" s="1" t="s">
        <v>32</v>
      </c>
      <c r="F1404" s="1" t="str">
        <f>"02579E11DA28040080CEBCD141912418"</f>
        <v>02579E11DA28040080CEBCD141912418</v>
      </c>
      <c r="G1404" s="1" t="s">
        <v>59</v>
      </c>
      <c r="H1404" s="1" t="str">
        <f t="shared" si="265"/>
        <v>20220907</v>
      </c>
      <c r="I1404" s="1" t="str">
        <f>"125407"</f>
        <v>125407</v>
      </c>
      <c r="J1404" s="1" t="s">
        <v>34</v>
      </c>
      <c r="K1404" s="1" t="s">
        <v>34</v>
      </c>
      <c r="L1404" s="1" t="str">
        <f t="shared" si="262"/>
        <v>20220907</v>
      </c>
      <c r="M1404" s="1" t="str">
        <f>"131944"</f>
        <v>131944</v>
      </c>
      <c r="N1404" s="1" t="s">
        <v>28</v>
      </c>
      <c r="O1404" s="1" t="s">
        <v>28</v>
      </c>
      <c r="P1404" s="1" t="s">
        <v>55</v>
      </c>
      <c r="Q1404" s="1">
        <v>25</v>
      </c>
      <c r="R1404" s="1">
        <v>25</v>
      </c>
      <c r="S1404" s="1">
        <v>0</v>
      </c>
      <c r="T1404" s="1">
        <v>0</v>
      </c>
      <c r="U1404" s="1">
        <v>0</v>
      </c>
      <c r="V1404" s="1" t="str">
        <f t="shared" si="267"/>
        <v>里程返程</v>
      </c>
      <c r="W1404" s="1" t="str">
        <f t="shared" si="268"/>
        <v>0020</v>
      </c>
      <c r="X1404" s="1" t="s">
        <v>29</v>
      </c>
    </row>
    <row r="1405" spans="1:24" x14ac:dyDescent="0.3">
      <c r="A1405" s="1" t="str">
        <f t="shared" si="261"/>
        <v>59825</v>
      </c>
      <c r="B1405" s="1" t="s">
        <v>30</v>
      </c>
      <c r="C1405" s="1" t="s">
        <v>31</v>
      </c>
      <c r="D1405" s="1" t="str">
        <f t="shared" si="263"/>
        <v>9803</v>
      </c>
      <c r="E1405" s="1" t="s">
        <v>32</v>
      </c>
      <c r="F1405" s="1" t="str">
        <f>"D19825610D2804001C00000000000000"</f>
        <v>D19825610D2804001C00000000000000</v>
      </c>
      <c r="G1405" s="1" t="s">
        <v>58</v>
      </c>
      <c r="H1405" s="1" t="str">
        <f t="shared" si="265"/>
        <v>20220907</v>
      </c>
      <c r="I1405" s="1" t="str">
        <f>"125413"</f>
        <v>125413</v>
      </c>
      <c r="J1405" s="1" t="s">
        <v>34</v>
      </c>
      <c r="K1405" s="1" t="s">
        <v>34</v>
      </c>
      <c r="L1405" s="1" t="str">
        <f t="shared" si="262"/>
        <v>20220907</v>
      </c>
      <c r="M1405" s="1" t="str">
        <f>"131936"</f>
        <v>131936</v>
      </c>
      <c r="N1405" s="1" t="s">
        <v>28</v>
      </c>
      <c r="O1405" s="1" t="s">
        <v>28</v>
      </c>
      <c r="P1405" s="1" t="s">
        <v>55</v>
      </c>
      <c r="Q1405" s="1">
        <v>25</v>
      </c>
      <c r="R1405" s="1">
        <v>25</v>
      </c>
      <c r="S1405" s="1">
        <v>0</v>
      </c>
      <c r="T1405" s="1">
        <v>0</v>
      </c>
      <c r="U1405" s="1">
        <v>0</v>
      </c>
      <c r="V1405" s="1" t="str">
        <f t="shared" si="267"/>
        <v>里程返程</v>
      </c>
      <c r="W1405" s="1" t="str">
        <f t="shared" si="268"/>
        <v>0020</v>
      </c>
      <c r="X1405" s="1" t="s">
        <v>29</v>
      </c>
    </row>
    <row r="1406" spans="1:24" x14ac:dyDescent="0.3">
      <c r="A1406" s="1" t="str">
        <f t="shared" si="261"/>
        <v>59825</v>
      </c>
      <c r="B1406" s="1" t="s">
        <v>30</v>
      </c>
      <c r="C1406" s="1" t="s">
        <v>31</v>
      </c>
      <c r="D1406" s="1" t="str">
        <f t="shared" si="263"/>
        <v>9803</v>
      </c>
      <c r="E1406" s="1" t="s">
        <v>32</v>
      </c>
      <c r="F1406" s="1" t="str">
        <f>"F133C551562804001C00000000000000"</f>
        <v>F133C551562804001C00000000000000</v>
      </c>
      <c r="G1406" s="1" t="s">
        <v>58</v>
      </c>
      <c r="H1406" s="1" t="str">
        <f t="shared" si="265"/>
        <v>20220907</v>
      </c>
      <c r="I1406" s="1" t="str">
        <f>"125424"</f>
        <v>125424</v>
      </c>
      <c r="J1406" s="1" t="s">
        <v>34</v>
      </c>
      <c r="K1406" s="1" t="s">
        <v>34</v>
      </c>
      <c r="L1406" s="1" t="str">
        <f t="shared" si="262"/>
        <v>20220907</v>
      </c>
      <c r="M1406" s="1" t="str">
        <f>"132000"</f>
        <v>132000</v>
      </c>
      <c r="N1406" s="1" t="s">
        <v>28</v>
      </c>
      <c r="O1406" s="1" t="s">
        <v>28</v>
      </c>
      <c r="P1406" s="1" t="s">
        <v>55</v>
      </c>
      <c r="Q1406" s="1">
        <v>25</v>
      </c>
      <c r="R1406" s="1">
        <v>25</v>
      </c>
      <c r="S1406" s="1">
        <v>0</v>
      </c>
      <c r="T1406" s="1">
        <v>0</v>
      </c>
      <c r="U1406" s="1">
        <v>0</v>
      </c>
      <c r="V1406" s="1" t="str">
        <f t="shared" si="267"/>
        <v>里程返程</v>
      </c>
      <c r="W1406" s="1" t="str">
        <f t="shared" si="268"/>
        <v>0020</v>
      </c>
      <c r="X1406" s="1" t="s">
        <v>29</v>
      </c>
    </row>
    <row r="1407" spans="1:24" x14ac:dyDescent="0.3">
      <c r="A1407" s="1" t="str">
        <f t="shared" si="261"/>
        <v>59825</v>
      </c>
      <c r="B1407" s="1" t="s">
        <v>30</v>
      </c>
      <c r="C1407" s="1" t="s">
        <v>31</v>
      </c>
      <c r="D1407" s="1" t="str">
        <f t="shared" si="263"/>
        <v>9803</v>
      </c>
      <c r="E1407" s="1" t="s">
        <v>32</v>
      </c>
      <c r="F1407" s="1" t="str">
        <f>"523E30154928040080CED9D64D214018"</f>
        <v>523E30154928040080CED9D64D214018</v>
      </c>
      <c r="G1407" s="1" t="s">
        <v>59</v>
      </c>
      <c r="H1407" s="1" t="str">
        <f t="shared" si="265"/>
        <v>20220907</v>
      </c>
      <c r="I1407" s="1" t="str">
        <f>"125430"</f>
        <v>125430</v>
      </c>
      <c r="J1407" s="1" t="s">
        <v>34</v>
      </c>
      <c r="K1407" s="1" t="s">
        <v>34</v>
      </c>
      <c r="L1407" s="1" t="str">
        <f t="shared" si="262"/>
        <v>20220907</v>
      </c>
      <c r="M1407" s="1" t="str">
        <f>"131953"</f>
        <v>131953</v>
      </c>
      <c r="N1407" s="1" t="s">
        <v>28</v>
      </c>
      <c r="O1407" s="1" t="s">
        <v>28</v>
      </c>
      <c r="P1407" s="1" t="s">
        <v>55</v>
      </c>
      <c r="Q1407" s="1">
        <v>25</v>
      </c>
      <c r="R1407" s="1">
        <v>25</v>
      </c>
      <c r="S1407" s="1">
        <v>0</v>
      </c>
      <c r="T1407" s="1">
        <v>0</v>
      </c>
      <c r="U1407" s="1">
        <v>0</v>
      </c>
      <c r="V1407" s="1" t="str">
        <f t="shared" si="267"/>
        <v>里程返程</v>
      </c>
      <c r="W1407" s="1" t="str">
        <f t="shared" si="268"/>
        <v>0020</v>
      </c>
      <c r="X1407" s="1" t="s">
        <v>29</v>
      </c>
    </row>
    <row r="1408" spans="1:24" x14ac:dyDescent="0.3">
      <c r="A1408" s="1" t="str">
        <f t="shared" si="261"/>
        <v>59825</v>
      </c>
      <c r="B1408" s="1" t="s">
        <v>30</v>
      </c>
      <c r="C1408" s="1" t="s">
        <v>31</v>
      </c>
      <c r="D1408" s="1" t="str">
        <f t="shared" si="263"/>
        <v>9803</v>
      </c>
      <c r="E1408" s="1" t="s">
        <v>32</v>
      </c>
      <c r="F1408" s="1" t="str">
        <f>"2616910063"</f>
        <v>2616910063</v>
      </c>
      <c r="G1408" s="1" t="s">
        <v>33</v>
      </c>
      <c r="H1408" s="1" t="str">
        <f t="shared" si="265"/>
        <v>20220907</v>
      </c>
      <c r="I1408" s="1" t="str">
        <f>"125432"</f>
        <v>125432</v>
      </c>
      <c r="J1408" s="1" t="s">
        <v>34</v>
      </c>
      <c r="K1408" s="1" t="s">
        <v>34</v>
      </c>
      <c r="L1408" s="1" t="str">
        <f t="shared" si="262"/>
        <v>20220907</v>
      </c>
      <c r="M1408" s="1" t="str">
        <f>"132008"</f>
        <v>132008</v>
      </c>
      <c r="N1408" s="1" t="s">
        <v>28</v>
      </c>
      <c r="O1408" s="1" t="s">
        <v>28</v>
      </c>
      <c r="P1408" s="1" t="s">
        <v>55</v>
      </c>
      <c r="Q1408" s="1">
        <v>25</v>
      </c>
      <c r="R1408" s="1">
        <v>25</v>
      </c>
      <c r="S1408" s="1">
        <v>0</v>
      </c>
      <c r="T1408" s="1">
        <v>0</v>
      </c>
      <c r="U1408" s="1">
        <v>0</v>
      </c>
      <c r="V1408" s="1" t="str">
        <f t="shared" si="267"/>
        <v>里程返程</v>
      </c>
      <c r="W1408" s="1" t="str">
        <f>"0820"</f>
        <v>0820</v>
      </c>
      <c r="X1408" s="1" t="s">
        <v>35</v>
      </c>
    </row>
    <row r="1409" spans="1:24" x14ac:dyDescent="0.3">
      <c r="A1409" s="1" t="str">
        <f t="shared" ref="A1409:A1418" si="269">"59825"</f>
        <v>59825</v>
      </c>
      <c r="B1409" s="1" t="s">
        <v>30</v>
      </c>
      <c r="C1409" s="1" t="s">
        <v>31</v>
      </c>
      <c r="D1409" s="1" t="str">
        <f t="shared" si="263"/>
        <v>9803</v>
      </c>
      <c r="E1409" s="1" t="s">
        <v>32</v>
      </c>
      <c r="F1409" s="1" t="str">
        <f>"1673146501"</f>
        <v>1673146501</v>
      </c>
      <c r="G1409" s="1" t="s">
        <v>26</v>
      </c>
      <c r="H1409" s="1" t="str">
        <f t="shared" si="265"/>
        <v>20220907</v>
      </c>
      <c r="I1409" s="1" t="str">
        <f>"130218"</f>
        <v>130218</v>
      </c>
      <c r="J1409" s="1" t="s">
        <v>73</v>
      </c>
      <c r="K1409" s="1" t="s">
        <v>28</v>
      </c>
      <c r="L1409" s="1" t="str">
        <f t="shared" si="262"/>
        <v>20220907</v>
      </c>
      <c r="M1409" s="1" t="str">
        <f>"131921"</f>
        <v>131921</v>
      </c>
      <c r="N1409" s="1" t="s">
        <v>28</v>
      </c>
      <c r="O1409" s="1" t="s">
        <v>28</v>
      </c>
      <c r="P1409" s="1" t="s">
        <v>55</v>
      </c>
      <c r="Q1409" s="1">
        <v>13</v>
      </c>
      <c r="R1409" s="1">
        <v>13</v>
      </c>
      <c r="S1409" s="1">
        <v>0</v>
      </c>
      <c r="T1409" s="1">
        <v>0</v>
      </c>
      <c r="U1409" s="1">
        <v>0</v>
      </c>
      <c r="V1409" s="1" t="str">
        <f t="shared" si="267"/>
        <v>里程返程</v>
      </c>
      <c r="W1409" s="1" t="str">
        <f>"2020"</f>
        <v>2020</v>
      </c>
      <c r="X1409" s="1" t="s">
        <v>35</v>
      </c>
    </row>
    <row r="1410" spans="1:24" x14ac:dyDescent="0.3">
      <c r="A1410" s="1" t="str">
        <f t="shared" si="269"/>
        <v>59825</v>
      </c>
      <c r="B1410" s="1" t="s">
        <v>30</v>
      </c>
      <c r="C1410" s="1" t="s">
        <v>31</v>
      </c>
      <c r="D1410" s="1" t="str">
        <f t="shared" si="263"/>
        <v>9803</v>
      </c>
      <c r="E1410" s="1" t="s">
        <v>32</v>
      </c>
      <c r="F1410" s="1" t="str">
        <f>"1043280997"</f>
        <v>1043280997</v>
      </c>
      <c r="G1410" s="1" t="s">
        <v>26</v>
      </c>
      <c r="H1410" s="1" t="str">
        <f t="shared" si="265"/>
        <v>20220907</v>
      </c>
      <c r="I1410" s="1" t="str">
        <f>"130224"</f>
        <v>130224</v>
      </c>
      <c r="J1410" s="1" t="s">
        <v>73</v>
      </c>
      <c r="K1410" s="1" t="s">
        <v>28</v>
      </c>
      <c r="L1410" s="1" t="str">
        <f t="shared" si="262"/>
        <v>20220907</v>
      </c>
      <c r="M1410" s="1" t="str">
        <f>"131914"</f>
        <v>131914</v>
      </c>
      <c r="N1410" s="1" t="s">
        <v>28</v>
      </c>
      <c r="O1410" s="1" t="s">
        <v>28</v>
      </c>
      <c r="P1410" s="1" t="s">
        <v>55</v>
      </c>
      <c r="Q1410" s="1">
        <v>13</v>
      </c>
      <c r="R1410" s="1">
        <v>13</v>
      </c>
      <c r="S1410" s="1">
        <v>0</v>
      </c>
      <c r="T1410" s="1">
        <v>0</v>
      </c>
      <c r="U1410" s="1">
        <v>0</v>
      </c>
      <c r="V1410" s="1" t="str">
        <f t="shared" si="267"/>
        <v>里程返程</v>
      </c>
      <c r="W1410" s="1" t="str">
        <f>"2020"</f>
        <v>2020</v>
      </c>
      <c r="X1410" s="1" t="s">
        <v>35</v>
      </c>
    </row>
    <row r="1411" spans="1:24" x14ac:dyDescent="0.3">
      <c r="A1411" s="1" t="str">
        <f t="shared" si="269"/>
        <v>59825</v>
      </c>
      <c r="B1411" s="1" t="s">
        <v>30</v>
      </c>
      <c r="C1411" s="1" t="s">
        <v>31</v>
      </c>
      <c r="D1411" s="1" t="str">
        <f t="shared" si="263"/>
        <v>9803</v>
      </c>
      <c r="E1411" s="1" t="s">
        <v>32</v>
      </c>
      <c r="F1411" s="1" t="str">
        <f>"1709069061"</f>
        <v>1709069061</v>
      </c>
      <c r="G1411" s="1" t="s">
        <v>33</v>
      </c>
      <c r="H1411" s="1" t="str">
        <f t="shared" si="265"/>
        <v>20220907</v>
      </c>
      <c r="I1411" s="1" t="str">
        <f>"161224"</f>
        <v>161224</v>
      </c>
      <c r="J1411" s="1" t="s">
        <v>34</v>
      </c>
      <c r="K1411" s="1" t="s">
        <v>34</v>
      </c>
      <c r="L1411" s="1" t="str">
        <f t="shared" si="262"/>
        <v>20220907</v>
      </c>
      <c r="M1411" s="1" t="str">
        <f>"162904"</f>
        <v>162904</v>
      </c>
      <c r="N1411" s="1" t="s">
        <v>46</v>
      </c>
      <c r="O1411" s="1" t="s">
        <v>28</v>
      </c>
      <c r="P1411" s="1" t="s">
        <v>55</v>
      </c>
      <c r="Q1411" s="1">
        <v>25</v>
      </c>
      <c r="R1411" s="1">
        <v>25</v>
      </c>
      <c r="S1411" s="1">
        <v>0</v>
      </c>
      <c r="T1411" s="1">
        <v>0</v>
      </c>
      <c r="U1411" s="1">
        <v>0</v>
      </c>
      <c r="V1411" s="1" t="str">
        <f t="shared" si="267"/>
        <v>里程返程</v>
      </c>
      <c r="W1411" s="1" t="str">
        <f>"2020"</f>
        <v>2020</v>
      </c>
      <c r="X1411" s="1" t="s">
        <v>35</v>
      </c>
    </row>
    <row r="1412" spans="1:24" x14ac:dyDescent="0.3">
      <c r="A1412" s="1" t="str">
        <f t="shared" si="269"/>
        <v>59825</v>
      </c>
      <c r="B1412" s="1" t="s">
        <v>30</v>
      </c>
      <c r="C1412" s="1" t="s">
        <v>31</v>
      </c>
      <c r="D1412" s="1" t="str">
        <f t="shared" si="263"/>
        <v>9803</v>
      </c>
      <c r="E1412" s="1" t="s">
        <v>32</v>
      </c>
      <c r="F1412" s="1" t="str">
        <f>"422876705"</f>
        <v>422876705</v>
      </c>
      <c r="G1412" s="1" t="s">
        <v>33</v>
      </c>
      <c r="H1412" s="1" t="str">
        <f t="shared" si="265"/>
        <v>20220907</v>
      </c>
      <c r="I1412" s="1" t="str">
        <f>"172853"</f>
        <v>172853</v>
      </c>
      <c r="J1412" s="1" t="s">
        <v>34</v>
      </c>
      <c r="K1412" s="1" t="s">
        <v>34</v>
      </c>
      <c r="L1412" s="1" t="str">
        <f t="shared" si="262"/>
        <v>20220907</v>
      </c>
      <c r="M1412" s="1" t="str">
        <f>"175819"</f>
        <v>175819</v>
      </c>
      <c r="N1412" s="1" t="s">
        <v>95</v>
      </c>
      <c r="O1412" s="1" t="s">
        <v>28</v>
      </c>
      <c r="P1412" s="1" t="s">
        <v>55</v>
      </c>
      <c r="Q1412" s="1">
        <v>25</v>
      </c>
      <c r="R1412" s="1">
        <v>25</v>
      </c>
      <c r="S1412" s="1">
        <v>0</v>
      </c>
      <c r="T1412" s="1">
        <v>0</v>
      </c>
      <c r="U1412" s="1">
        <v>0</v>
      </c>
      <c r="V1412" s="1" t="str">
        <f t="shared" si="267"/>
        <v>里程返程</v>
      </c>
      <c r="W1412" s="1" t="str">
        <f>"2020"</f>
        <v>2020</v>
      </c>
      <c r="X1412" s="1" t="s">
        <v>35</v>
      </c>
    </row>
    <row r="1413" spans="1:24" x14ac:dyDescent="0.3">
      <c r="A1413" s="1" t="str">
        <f t="shared" si="269"/>
        <v>59825</v>
      </c>
      <c r="B1413" s="1" t="s">
        <v>30</v>
      </c>
      <c r="C1413" s="1" t="s">
        <v>31</v>
      </c>
      <c r="D1413" s="1" t="str">
        <f t="shared" si="263"/>
        <v>9803</v>
      </c>
      <c r="E1413" s="1" t="s">
        <v>32</v>
      </c>
      <c r="F1413" s="1" t="str">
        <f>"280247983"</f>
        <v>280247983</v>
      </c>
      <c r="G1413" s="1" t="s">
        <v>33</v>
      </c>
      <c r="H1413" s="1" t="str">
        <f t="shared" si="265"/>
        <v>20220907</v>
      </c>
      <c r="I1413" s="1" t="str">
        <f>"172900"</f>
        <v>172900</v>
      </c>
      <c r="J1413" s="1" t="s">
        <v>34</v>
      </c>
      <c r="K1413" s="1" t="s">
        <v>34</v>
      </c>
      <c r="L1413" s="1" t="str">
        <f t="shared" si="262"/>
        <v>20220907</v>
      </c>
      <c r="M1413" s="1" t="str">
        <f>"175821"</f>
        <v>175821</v>
      </c>
      <c r="N1413" s="1" t="s">
        <v>95</v>
      </c>
      <c r="O1413" s="1" t="s">
        <v>28</v>
      </c>
      <c r="P1413" s="1" t="s">
        <v>55</v>
      </c>
      <c r="Q1413" s="1">
        <v>25</v>
      </c>
      <c r="R1413" s="1">
        <v>25</v>
      </c>
      <c r="S1413" s="1">
        <v>0</v>
      </c>
      <c r="T1413" s="1">
        <v>0</v>
      </c>
      <c r="U1413" s="1">
        <v>0</v>
      </c>
      <c r="V1413" s="1" t="str">
        <f t="shared" si="267"/>
        <v>里程返程</v>
      </c>
      <c r="W1413" s="1" t="str">
        <f>"2020"</f>
        <v>2020</v>
      </c>
      <c r="X1413" s="1" t="s">
        <v>35</v>
      </c>
    </row>
    <row r="1414" spans="1:24" x14ac:dyDescent="0.3">
      <c r="A1414" s="1" t="str">
        <f t="shared" si="269"/>
        <v>59825</v>
      </c>
      <c r="B1414" s="1" t="s">
        <v>30</v>
      </c>
      <c r="C1414" s="1" t="s">
        <v>31</v>
      </c>
      <c r="D1414" s="1" t="str">
        <f t="shared" si="263"/>
        <v>9803</v>
      </c>
      <c r="E1414" s="1" t="s">
        <v>32</v>
      </c>
      <c r="F1414" s="1" t="str">
        <f>"1396348336"</f>
        <v>1396348336</v>
      </c>
      <c r="G1414" s="1" t="s">
        <v>33</v>
      </c>
      <c r="H1414" s="1" t="str">
        <f t="shared" si="265"/>
        <v>20220907</v>
      </c>
      <c r="I1414" s="1" t="str">
        <f>"173344"</f>
        <v>173344</v>
      </c>
      <c r="J1414" s="1" t="s">
        <v>34</v>
      </c>
      <c r="K1414" s="1" t="s">
        <v>34</v>
      </c>
      <c r="L1414" s="1" t="str">
        <f t="shared" si="262"/>
        <v>20220907</v>
      </c>
      <c r="M1414" s="1" t="str">
        <f>"175824"</f>
        <v>175824</v>
      </c>
      <c r="N1414" s="1" t="s">
        <v>95</v>
      </c>
      <c r="O1414" s="1" t="s">
        <v>28</v>
      </c>
      <c r="P1414" s="1" t="s">
        <v>55</v>
      </c>
      <c r="Q1414" s="1">
        <v>25</v>
      </c>
      <c r="R1414" s="1">
        <v>25</v>
      </c>
      <c r="S1414" s="1">
        <v>0</v>
      </c>
      <c r="T1414" s="1">
        <v>0</v>
      </c>
      <c r="U1414" s="1">
        <v>0</v>
      </c>
      <c r="V1414" s="1" t="str">
        <f t="shared" si="267"/>
        <v>里程返程</v>
      </c>
      <c r="W1414" s="1" t="str">
        <f>"0820"</f>
        <v>0820</v>
      </c>
      <c r="X1414" s="1" t="s">
        <v>35</v>
      </c>
    </row>
    <row r="1415" spans="1:24" x14ac:dyDescent="0.3">
      <c r="A1415" s="1" t="str">
        <f t="shared" si="269"/>
        <v>59825</v>
      </c>
      <c r="B1415" s="1" t="s">
        <v>30</v>
      </c>
      <c r="C1415" s="1" t="s">
        <v>31</v>
      </c>
      <c r="D1415" s="1" t="str">
        <f>"9805"</f>
        <v>9805</v>
      </c>
      <c r="E1415" s="1" t="s">
        <v>57</v>
      </c>
      <c r="F1415" s="1" t="str">
        <f>"1616863089"</f>
        <v>1616863089</v>
      </c>
      <c r="G1415" s="1" t="s">
        <v>33</v>
      </c>
      <c r="H1415" s="1" t="str">
        <f t="shared" si="265"/>
        <v>20220907</v>
      </c>
      <c r="I1415" s="1" t="str">
        <f>"180255"</f>
        <v>180255</v>
      </c>
      <c r="J1415" s="1" t="s">
        <v>28</v>
      </c>
      <c r="K1415" s="1" t="s">
        <v>28</v>
      </c>
      <c r="L1415" s="1" t="str">
        <f t="shared" si="262"/>
        <v>20220907</v>
      </c>
      <c r="M1415" s="1" t="str">
        <f>"181526"</f>
        <v>181526</v>
      </c>
      <c r="N1415" s="1" t="s">
        <v>56</v>
      </c>
      <c r="O1415" s="1" t="s">
        <v>28</v>
      </c>
      <c r="P1415" s="1" t="s">
        <v>55</v>
      </c>
      <c r="Q1415" s="1">
        <v>25</v>
      </c>
      <c r="R1415" s="1">
        <v>0</v>
      </c>
      <c r="S1415" s="1">
        <v>25</v>
      </c>
      <c r="T1415" s="1">
        <v>0</v>
      </c>
      <c r="U1415" s="1">
        <v>0</v>
      </c>
      <c r="V1415" s="1" t="str">
        <f>"里程去程"</f>
        <v>里程去程</v>
      </c>
      <c r="W1415" s="1" t="str">
        <f>"2020"</f>
        <v>2020</v>
      </c>
      <c r="X1415" s="1" t="s">
        <v>35</v>
      </c>
    </row>
    <row r="1416" spans="1:24" x14ac:dyDescent="0.3">
      <c r="A1416" s="1" t="str">
        <f t="shared" si="269"/>
        <v>59825</v>
      </c>
      <c r="B1416" s="1" t="s">
        <v>30</v>
      </c>
      <c r="C1416" s="1" t="s">
        <v>31</v>
      </c>
      <c r="D1416" s="1" t="str">
        <f>"9805"</f>
        <v>9805</v>
      </c>
      <c r="E1416" s="1" t="s">
        <v>57</v>
      </c>
      <c r="F1416" s="1" t="str">
        <f>"1000129109"</f>
        <v>1000129109</v>
      </c>
      <c r="G1416" s="1" t="s">
        <v>38</v>
      </c>
      <c r="H1416" s="1" t="str">
        <f t="shared" si="265"/>
        <v>20220907</v>
      </c>
      <c r="I1416" s="1" t="str">
        <f>"180308"</f>
        <v>180308</v>
      </c>
      <c r="J1416" s="1" t="s">
        <v>28</v>
      </c>
      <c r="K1416" s="1" t="s">
        <v>28</v>
      </c>
      <c r="L1416" s="1" t="str">
        <f t="shared" si="262"/>
        <v>20220907</v>
      </c>
      <c r="M1416" s="1" t="str">
        <f>"181522"</f>
        <v>181522</v>
      </c>
      <c r="N1416" s="1" t="s">
        <v>56</v>
      </c>
      <c r="O1416" s="1" t="s">
        <v>28</v>
      </c>
      <c r="P1416" s="1" t="s">
        <v>55</v>
      </c>
      <c r="Q1416" s="1">
        <v>25</v>
      </c>
      <c r="R1416" s="1">
        <v>0</v>
      </c>
      <c r="S1416" s="1">
        <v>25</v>
      </c>
      <c r="T1416" s="1">
        <v>0</v>
      </c>
      <c r="U1416" s="1">
        <v>0</v>
      </c>
      <c r="V1416" s="1" t="str">
        <f>"里程去程"</f>
        <v>里程去程</v>
      </c>
      <c r="W1416" s="1" t="str">
        <f>"2020"</f>
        <v>2020</v>
      </c>
      <c r="X1416" s="1" t="s">
        <v>35</v>
      </c>
    </row>
    <row r="1417" spans="1:24" x14ac:dyDescent="0.3">
      <c r="A1417" s="1" t="str">
        <f t="shared" si="269"/>
        <v>59825</v>
      </c>
      <c r="B1417" s="1" t="s">
        <v>30</v>
      </c>
      <c r="C1417" s="1" t="s">
        <v>31</v>
      </c>
      <c r="D1417" s="1" t="str">
        <f>"9805"</f>
        <v>9805</v>
      </c>
      <c r="E1417" s="1" t="s">
        <v>57</v>
      </c>
      <c r="F1417" s="1" t="str">
        <f>"1114286805"</f>
        <v>1114286805</v>
      </c>
      <c r="G1417" s="1" t="s">
        <v>26</v>
      </c>
      <c r="H1417" s="1" t="str">
        <f t="shared" si="265"/>
        <v>20220907</v>
      </c>
      <c r="I1417" s="1" t="str">
        <f>"182038"</f>
        <v>182038</v>
      </c>
      <c r="J1417" s="1" t="s">
        <v>52</v>
      </c>
      <c r="K1417" s="1" t="s">
        <v>52</v>
      </c>
      <c r="L1417" s="1" t="str">
        <f t="shared" si="262"/>
        <v>20220907</v>
      </c>
      <c r="M1417" s="1" t="str">
        <f>"183744"</f>
        <v>183744</v>
      </c>
      <c r="N1417" s="1" t="s">
        <v>95</v>
      </c>
      <c r="O1417" s="1" t="s">
        <v>28</v>
      </c>
      <c r="P1417" s="1" t="s">
        <v>55</v>
      </c>
      <c r="Q1417" s="1">
        <v>13</v>
      </c>
      <c r="R1417" s="1">
        <v>13</v>
      </c>
      <c r="S1417" s="1">
        <v>0</v>
      </c>
      <c r="T1417" s="1">
        <v>0</v>
      </c>
      <c r="U1417" s="1">
        <v>0</v>
      </c>
      <c r="V1417" s="1" t="str">
        <f>"里程返程"</f>
        <v>里程返程</v>
      </c>
      <c r="W1417" s="1" t="str">
        <f>"2120"</f>
        <v>2120</v>
      </c>
      <c r="X1417" s="1" t="s">
        <v>35</v>
      </c>
    </row>
    <row r="1418" spans="1:24" x14ac:dyDescent="0.3">
      <c r="A1418" s="1" t="str">
        <f t="shared" si="269"/>
        <v>59825</v>
      </c>
      <c r="B1418" s="1" t="s">
        <v>30</v>
      </c>
      <c r="C1418" s="1" t="s">
        <v>31</v>
      </c>
      <c r="D1418" s="1" t="str">
        <f>"9805"</f>
        <v>9805</v>
      </c>
      <c r="E1418" s="1" t="s">
        <v>57</v>
      </c>
      <c r="F1418" s="1" t="str">
        <f>"818322609"</f>
        <v>818322609</v>
      </c>
      <c r="G1418" s="1" t="s">
        <v>26</v>
      </c>
      <c r="H1418" s="1" t="str">
        <f t="shared" si="265"/>
        <v>20220907</v>
      </c>
      <c r="I1418" s="1" t="str">
        <f>"182041"</f>
        <v>182041</v>
      </c>
      <c r="J1418" s="1" t="s">
        <v>52</v>
      </c>
      <c r="K1418" s="1" t="s">
        <v>52</v>
      </c>
      <c r="L1418" s="1" t="str">
        <f t="shared" si="262"/>
        <v>20220907</v>
      </c>
      <c r="M1418" s="1" t="str">
        <f>"183742"</f>
        <v>183742</v>
      </c>
      <c r="N1418" s="1" t="s">
        <v>95</v>
      </c>
      <c r="O1418" s="1" t="s">
        <v>28</v>
      </c>
      <c r="P1418" s="1" t="s">
        <v>55</v>
      </c>
      <c r="Q1418" s="1">
        <v>13</v>
      </c>
      <c r="R1418" s="1">
        <v>13</v>
      </c>
      <c r="S1418" s="1">
        <v>0</v>
      </c>
      <c r="T1418" s="1">
        <v>0</v>
      </c>
      <c r="U1418" s="1">
        <v>0</v>
      </c>
      <c r="V1418" s="1" t="str">
        <f>"里程返程"</f>
        <v>里程返程</v>
      </c>
      <c r="W1418" s="1" t="str">
        <f>"0320"</f>
        <v>0320</v>
      </c>
      <c r="X1418" s="1" t="s">
        <v>35</v>
      </c>
    </row>
    <row r="1419" spans="1:24" x14ac:dyDescent="0.3">
      <c r="A1419" s="1" t="str">
        <f t="shared" ref="A1419:A1450" si="270">"59828"</f>
        <v>59828</v>
      </c>
      <c r="B1419" s="1" t="s">
        <v>23</v>
      </c>
      <c r="C1419" s="1" t="s">
        <v>24</v>
      </c>
      <c r="D1419" s="1" t="str">
        <f t="shared" ref="D1419:D1450" si="271">"9801"</f>
        <v>9801</v>
      </c>
      <c r="E1419" s="1" t="s">
        <v>25</v>
      </c>
      <c r="F1419" s="1" t="str">
        <f>"82D5FB02AE880400C834002000000015"</f>
        <v>82D5FB02AE880400C834002000000015</v>
      </c>
      <c r="G1419" s="1" t="s">
        <v>26</v>
      </c>
      <c r="H1419" s="1" t="str">
        <f t="shared" si="265"/>
        <v>20220907</v>
      </c>
      <c r="I1419" s="1" t="str">
        <f>"110746"</f>
        <v>110746</v>
      </c>
      <c r="J1419" s="1" t="s">
        <v>60</v>
      </c>
      <c r="K1419" s="1" t="s">
        <v>52</v>
      </c>
      <c r="L1419" s="1" t="str">
        <f t="shared" si="262"/>
        <v>20220907</v>
      </c>
      <c r="M1419" s="1" t="str">
        <f>"111406"</f>
        <v>111406</v>
      </c>
      <c r="N1419" s="1" t="s">
        <v>65</v>
      </c>
      <c r="O1419" s="1" t="s">
        <v>52</v>
      </c>
      <c r="P1419" s="1" t="s">
        <v>68</v>
      </c>
      <c r="Q1419" s="1">
        <v>13</v>
      </c>
      <c r="R1419" s="1">
        <v>0</v>
      </c>
      <c r="S1419" s="1">
        <v>0</v>
      </c>
      <c r="T1419" s="1">
        <v>13</v>
      </c>
      <c r="U1419" s="1">
        <v>0</v>
      </c>
      <c r="V1419" s="1" t="str">
        <f t="shared" ref="V1419:V1449" si="272">"里程去程"</f>
        <v>里程去程</v>
      </c>
      <c r="W1419" s="1" t="str">
        <f>"0020"</f>
        <v>0020</v>
      </c>
      <c r="X1419" s="1" t="s">
        <v>29</v>
      </c>
    </row>
    <row r="1420" spans="1:24" x14ac:dyDescent="0.3">
      <c r="A1420" s="1" t="str">
        <f t="shared" si="270"/>
        <v>59828</v>
      </c>
      <c r="B1420" s="1" t="s">
        <v>23</v>
      </c>
      <c r="C1420" s="1" t="s">
        <v>24</v>
      </c>
      <c r="D1420" s="1" t="str">
        <f t="shared" si="271"/>
        <v>9801</v>
      </c>
      <c r="E1420" s="1" t="s">
        <v>25</v>
      </c>
      <c r="F1420" s="1" t="str">
        <f>"F2F7D002D7880400C834002000000015"</f>
        <v>F2F7D002D7880400C834002000000015</v>
      </c>
      <c r="G1420" s="1" t="s">
        <v>74</v>
      </c>
      <c r="H1420" s="1" t="str">
        <f t="shared" si="265"/>
        <v>20220907</v>
      </c>
      <c r="I1420" s="1" t="str">
        <f>"110954"</f>
        <v>110954</v>
      </c>
      <c r="J1420" s="1" t="s">
        <v>51</v>
      </c>
      <c r="K1420" s="1" t="s">
        <v>52</v>
      </c>
      <c r="L1420" s="1" t="str">
        <f t="shared" si="262"/>
        <v>20220907</v>
      </c>
      <c r="M1420" s="1" t="str">
        <f>"114815"</f>
        <v>114815</v>
      </c>
      <c r="N1420" s="1" t="s">
        <v>56</v>
      </c>
      <c r="O1420" s="1" t="s">
        <v>45</v>
      </c>
      <c r="P1420" s="1" t="s">
        <v>68</v>
      </c>
      <c r="Q1420" s="1">
        <v>25</v>
      </c>
      <c r="R1420" s="1">
        <v>0</v>
      </c>
      <c r="S1420" s="1">
        <v>0</v>
      </c>
      <c r="T1420" s="1">
        <v>25</v>
      </c>
      <c r="U1420" s="1">
        <v>0</v>
      </c>
      <c r="V1420" s="1" t="str">
        <f t="shared" si="272"/>
        <v>里程去程</v>
      </c>
      <c r="W1420" s="1" t="str">
        <f>"0020"</f>
        <v>0020</v>
      </c>
      <c r="X1420" s="1" t="s">
        <v>29</v>
      </c>
    </row>
    <row r="1421" spans="1:24" x14ac:dyDescent="0.3">
      <c r="A1421" s="1" t="str">
        <f t="shared" si="270"/>
        <v>59828</v>
      </c>
      <c r="B1421" s="1" t="s">
        <v>23</v>
      </c>
      <c r="C1421" s="1" t="s">
        <v>24</v>
      </c>
      <c r="D1421" s="1" t="str">
        <f t="shared" si="271"/>
        <v>9801</v>
      </c>
      <c r="E1421" s="1" t="s">
        <v>25</v>
      </c>
      <c r="F1421" s="1" t="str">
        <f>"32780D0344880400C834002000000015"</f>
        <v>32780D0344880400C834002000000015</v>
      </c>
      <c r="G1421" s="1" t="s">
        <v>26</v>
      </c>
      <c r="H1421" s="1" t="str">
        <f t="shared" si="265"/>
        <v>20220907</v>
      </c>
      <c r="I1421" s="1" t="str">
        <f>"113406"</f>
        <v>113406</v>
      </c>
      <c r="J1421" s="1" t="s">
        <v>27</v>
      </c>
      <c r="K1421" s="1" t="s">
        <v>28</v>
      </c>
      <c r="L1421" s="1" t="str">
        <f>""</f>
        <v/>
      </c>
      <c r="M1421" s="1" t="str">
        <f>""</f>
        <v/>
      </c>
      <c r="P1421" s="1" t="s">
        <v>88</v>
      </c>
      <c r="Q1421" s="1">
        <v>13</v>
      </c>
      <c r="R1421" s="1">
        <v>0</v>
      </c>
      <c r="S1421" s="1">
        <v>0</v>
      </c>
      <c r="T1421" s="1">
        <v>13</v>
      </c>
      <c r="U1421" s="1">
        <v>0</v>
      </c>
      <c r="V1421" s="1" t="str">
        <f t="shared" si="272"/>
        <v>里程去程</v>
      </c>
      <c r="W1421" s="1" t="str">
        <f>"0020"</f>
        <v>0020</v>
      </c>
      <c r="X1421" s="1" t="s">
        <v>29</v>
      </c>
    </row>
    <row r="1422" spans="1:24" x14ac:dyDescent="0.3">
      <c r="A1422" s="1" t="str">
        <f t="shared" si="270"/>
        <v>59828</v>
      </c>
      <c r="B1422" s="1" t="s">
        <v>23</v>
      </c>
      <c r="C1422" s="1" t="s">
        <v>24</v>
      </c>
      <c r="D1422" s="1" t="str">
        <f t="shared" si="271"/>
        <v>9801</v>
      </c>
      <c r="E1422" s="1" t="s">
        <v>25</v>
      </c>
      <c r="F1422" s="1" t="str">
        <f>"828667157"</f>
        <v>828667157</v>
      </c>
      <c r="G1422" s="1" t="s">
        <v>33</v>
      </c>
      <c r="H1422" s="1" t="str">
        <f t="shared" si="265"/>
        <v>20220907</v>
      </c>
      <c r="I1422" s="1" t="str">
        <f>"113533"</f>
        <v>113533</v>
      </c>
      <c r="J1422" s="1" t="s">
        <v>27</v>
      </c>
      <c r="K1422" s="1" t="s">
        <v>28</v>
      </c>
      <c r="L1422" s="1" t="str">
        <f t="shared" ref="L1422:L1431" si="273">"20220907"</f>
        <v>20220907</v>
      </c>
      <c r="M1422" s="1" t="str">
        <f>"114900"</f>
        <v>114900</v>
      </c>
      <c r="N1422" s="1" t="s">
        <v>75</v>
      </c>
      <c r="O1422" s="1" t="s">
        <v>45</v>
      </c>
      <c r="P1422" s="1" t="s">
        <v>55</v>
      </c>
      <c r="Q1422" s="1">
        <v>25</v>
      </c>
      <c r="R1422" s="1">
        <v>25</v>
      </c>
      <c r="S1422" s="1">
        <v>0</v>
      </c>
      <c r="T1422" s="1">
        <v>0</v>
      </c>
      <c r="U1422" s="1">
        <v>0</v>
      </c>
      <c r="V1422" s="1" t="str">
        <f t="shared" si="272"/>
        <v>里程去程</v>
      </c>
      <c r="W1422" s="1" t="str">
        <f>"2020"</f>
        <v>2020</v>
      </c>
      <c r="X1422" s="1" t="s">
        <v>35</v>
      </c>
    </row>
    <row r="1423" spans="1:24" x14ac:dyDescent="0.3">
      <c r="A1423" s="1" t="str">
        <f t="shared" si="270"/>
        <v>59828</v>
      </c>
      <c r="B1423" s="1" t="s">
        <v>23</v>
      </c>
      <c r="C1423" s="1" t="s">
        <v>24</v>
      </c>
      <c r="D1423" s="1" t="str">
        <f t="shared" si="271"/>
        <v>9801</v>
      </c>
      <c r="E1423" s="1" t="s">
        <v>25</v>
      </c>
      <c r="F1423" s="1" t="str">
        <f>"F25B1B03B1880400C834002000000015"</f>
        <v>F25B1B03B1880400C834002000000015</v>
      </c>
      <c r="G1423" s="1" t="s">
        <v>26</v>
      </c>
      <c r="H1423" s="1" t="str">
        <f t="shared" si="265"/>
        <v>20220907</v>
      </c>
      <c r="I1423" s="1" t="str">
        <f>"120615"</f>
        <v>120615</v>
      </c>
      <c r="J1423" s="1" t="s">
        <v>60</v>
      </c>
      <c r="K1423" s="1" t="s">
        <v>52</v>
      </c>
      <c r="L1423" s="1" t="str">
        <f t="shared" si="273"/>
        <v>20220907</v>
      </c>
      <c r="M1423" s="1" t="str">
        <f>"123147"</f>
        <v>123147</v>
      </c>
      <c r="N1423" s="1" t="s">
        <v>70</v>
      </c>
      <c r="O1423" s="1" t="s">
        <v>28</v>
      </c>
      <c r="P1423" s="1" t="s">
        <v>68</v>
      </c>
      <c r="Q1423" s="1">
        <v>13</v>
      </c>
      <c r="R1423" s="1">
        <v>0</v>
      </c>
      <c r="S1423" s="1">
        <v>0</v>
      </c>
      <c r="T1423" s="1">
        <v>13</v>
      </c>
      <c r="U1423" s="1">
        <v>0</v>
      </c>
      <c r="V1423" s="1" t="str">
        <f t="shared" si="272"/>
        <v>里程去程</v>
      </c>
      <c r="W1423" s="1" t="str">
        <f>"0020"</f>
        <v>0020</v>
      </c>
      <c r="X1423" s="1" t="s">
        <v>29</v>
      </c>
    </row>
    <row r="1424" spans="1:24" x14ac:dyDescent="0.3">
      <c r="A1424" s="1" t="str">
        <f t="shared" si="270"/>
        <v>59828</v>
      </c>
      <c r="B1424" s="1" t="s">
        <v>23</v>
      </c>
      <c r="C1424" s="1" t="s">
        <v>24</v>
      </c>
      <c r="D1424" s="1" t="str">
        <f t="shared" si="271"/>
        <v>9801</v>
      </c>
      <c r="E1424" s="1" t="s">
        <v>25</v>
      </c>
      <c r="F1424" s="1" t="str">
        <f>"1418089217"</f>
        <v>1418089217</v>
      </c>
      <c r="G1424" s="1" t="s">
        <v>33</v>
      </c>
      <c r="H1424" s="1" t="str">
        <f t="shared" si="265"/>
        <v>20220907</v>
      </c>
      <c r="I1424" s="1" t="str">
        <f>"121805"</f>
        <v>121805</v>
      </c>
      <c r="J1424" s="1" t="s">
        <v>77</v>
      </c>
      <c r="K1424" s="1" t="s">
        <v>52</v>
      </c>
      <c r="L1424" s="1" t="str">
        <f t="shared" si="273"/>
        <v>20220907</v>
      </c>
      <c r="M1424" s="1" t="str">
        <f>"123157"</f>
        <v>123157</v>
      </c>
      <c r="N1424" s="1" t="s">
        <v>70</v>
      </c>
      <c r="O1424" s="1" t="s">
        <v>28</v>
      </c>
      <c r="P1424" s="1" t="s">
        <v>55</v>
      </c>
      <c r="Q1424" s="1">
        <v>25</v>
      </c>
      <c r="R1424" s="1">
        <v>25</v>
      </c>
      <c r="S1424" s="1">
        <v>0</v>
      </c>
      <c r="T1424" s="1">
        <v>0</v>
      </c>
      <c r="U1424" s="1">
        <v>0</v>
      </c>
      <c r="V1424" s="1" t="str">
        <f t="shared" si="272"/>
        <v>里程去程</v>
      </c>
      <c r="W1424" s="1" t="str">
        <f>"2120"</f>
        <v>2120</v>
      </c>
      <c r="X1424" s="1" t="s">
        <v>35</v>
      </c>
    </row>
    <row r="1425" spans="1:24" x14ac:dyDescent="0.3">
      <c r="A1425" s="1" t="str">
        <f t="shared" si="270"/>
        <v>59828</v>
      </c>
      <c r="B1425" s="1" t="s">
        <v>23</v>
      </c>
      <c r="C1425" s="1" t="s">
        <v>24</v>
      </c>
      <c r="D1425" s="1" t="str">
        <f t="shared" si="271"/>
        <v>9801</v>
      </c>
      <c r="E1425" s="1" t="s">
        <v>25</v>
      </c>
      <c r="F1425" s="1" t="str">
        <f>"8227D00277880400C834002000000015"</f>
        <v>8227D00277880400C834002000000015</v>
      </c>
      <c r="G1425" s="1" t="s">
        <v>26</v>
      </c>
      <c r="H1425" s="1" t="str">
        <f t="shared" si="265"/>
        <v>20220907</v>
      </c>
      <c r="I1425" s="1" t="str">
        <f>"122253"</f>
        <v>122253</v>
      </c>
      <c r="J1425" s="1" t="s">
        <v>78</v>
      </c>
      <c r="K1425" s="1" t="s">
        <v>52</v>
      </c>
      <c r="L1425" s="1" t="str">
        <f t="shared" si="273"/>
        <v>20220907</v>
      </c>
      <c r="M1425" s="1" t="str">
        <f>"123153"</f>
        <v>123153</v>
      </c>
      <c r="N1425" s="1" t="s">
        <v>70</v>
      </c>
      <c r="O1425" s="1" t="s">
        <v>28</v>
      </c>
      <c r="P1425" s="1" t="s">
        <v>68</v>
      </c>
      <c r="Q1425" s="1">
        <v>13</v>
      </c>
      <c r="R1425" s="1">
        <v>0</v>
      </c>
      <c r="S1425" s="1">
        <v>0</v>
      </c>
      <c r="T1425" s="1">
        <v>13</v>
      </c>
      <c r="U1425" s="1">
        <v>0</v>
      </c>
      <c r="V1425" s="1" t="str">
        <f t="shared" si="272"/>
        <v>里程去程</v>
      </c>
      <c r="W1425" s="1" t="str">
        <f>"0020"</f>
        <v>0020</v>
      </c>
      <c r="X1425" s="1" t="s">
        <v>29</v>
      </c>
    </row>
    <row r="1426" spans="1:24" x14ac:dyDescent="0.3">
      <c r="A1426" s="1" t="str">
        <f t="shared" si="270"/>
        <v>59828</v>
      </c>
      <c r="B1426" s="1" t="s">
        <v>23</v>
      </c>
      <c r="C1426" s="1" t="s">
        <v>24</v>
      </c>
      <c r="D1426" s="1" t="str">
        <f t="shared" si="271"/>
        <v>9801</v>
      </c>
      <c r="E1426" s="1" t="s">
        <v>25</v>
      </c>
      <c r="F1426" s="1" t="str">
        <f>"1326888401"</f>
        <v>1326888401</v>
      </c>
      <c r="G1426" s="1" t="s">
        <v>33</v>
      </c>
      <c r="H1426" s="1" t="str">
        <f t="shared" si="265"/>
        <v>20220907</v>
      </c>
      <c r="I1426" s="1" t="str">
        <f>"123216"</f>
        <v>123216</v>
      </c>
      <c r="J1426" s="1" t="s">
        <v>27</v>
      </c>
      <c r="K1426" s="1" t="s">
        <v>28</v>
      </c>
      <c r="L1426" s="1" t="str">
        <f t="shared" si="273"/>
        <v>20220907</v>
      </c>
      <c r="M1426" s="1" t="str">
        <f>"125215"</f>
        <v>125215</v>
      </c>
      <c r="N1426" s="1" t="s">
        <v>100</v>
      </c>
      <c r="O1426" s="1" t="s">
        <v>45</v>
      </c>
      <c r="P1426" s="1" t="s">
        <v>55</v>
      </c>
      <c r="Q1426" s="1">
        <v>25</v>
      </c>
      <c r="R1426" s="1">
        <v>25</v>
      </c>
      <c r="S1426" s="1">
        <v>0</v>
      </c>
      <c r="T1426" s="1">
        <v>0</v>
      </c>
      <c r="U1426" s="1">
        <v>0</v>
      </c>
      <c r="V1426" s="1" t="str">
        <f t="shared" si="272"/>
        <v>里程去程</v>
      </c>
      <c r="W1426" s="1" t="str">
        <f>"0820"</f>
        <v>0820</v>
      </c>
      <c r="X1426" s="1" t="s">
        <v>35</v>
      </c>
    </row>
    <row r="1427" spans="1:24" x14ac:dyDescent="0.3">
      <c r="A1427" s="1" t="str">
        <f t="shared" si="270"/>
        <v>59828</v>
      </c>
      <c r="B1427" s="1" t="s">
        <v>23</v>
      </c>
      <c r="C1427" s="1" t="s">
        <v>24</v>
      </c>
      <c r="D1427" s="1" t="str">
        <f t="shared" si="271"/>
        <v>9801</v>
      </c>
      <c r="E1427" s="1" t="s">
        <v>25</v>
      </c>
      <c r="F1427" s="1" t="str">
        <f>"117406257"</f>
        <v>117406257</v>
      </c>
      <c r="G1427" s="1" t="s">
        <v>33</v>
      </c>
      <c r="H1427" s="1" t="str">
        <f t="shared" si="265"/>
        <v>20220907</v>
      </c>
      <c r="I1427" s="1" t="str">
        <f>"123220"</f>
        <v>123220</v>
      </c>
      <c r="J1427" s="1" t="s">
        <v>27</v>
      </c>
      <c r="K1427" s="1" t="s">
        <v>28</v>
      </c>
      <c r="L1427" s="1" t="str">
        <f t="shared" si="273"/>
        <v>20220907</v>
      </c>
      <c r="M1427" s="1" t="str">
        <f>"125221"</f>
        <v>125221</v>
      </c>
      <c r="N1427" s="1" t="s">
        <v>100</v>
      </c>
      <c r="O1427" s="1" t="s">
        <v>45</v>
      </c>
      <c r="P1427" s="1" t="s">
        <v>55</v>
      </c>
      <c r="Q1427" s="1">
        <v>25</v>
      </c>
      <c r="R1427" s="1">
        <v>25</v>
      </c>
      <c r="S1427" s="1">
        <v>0</v>
      </c>
      <c r="T1427" s="1">
        <v>0</v>
      </c>
      <c r="U1427" s="1">
        <v>0</v>
      </c>
      <c r="V1427" s="1" t="str">
        <f t="shared" si="272"/>
        <v>里程去程</v>
      </c>
      <c r="W1427" s="1" t="str">
        <f>"0320"</f>
        <v>0320</v>
      </c>
      <c r="X1427" s="1" t="s">
        <v>35</v>
      </c>
    </row>
    <row r="1428" spans="1:24" x14ac:dyDescent="0.3">
      <c r="A1428" s="1" t="str">
        <f t="shared" si="270"/>
        <v>59828</v>
      </c>
      <c r="B1428" s="1" t="s">
        <v>23</v>
      </c>
      <c r="C1428" s="1" t="s">
        <v>24</v>
      </c>
      <c r="D1428" s="1" t="str">
        <f t="shared" si="271"/>
        <v>9801</v>
      </c>
      <c r="E1428" s="1" t="s">
        <v>25</v>
      </c>
      <c r="F1428" s="1" t="str">
        <f>"186797377"</f>
        <v>186797377</v>
      </c>
      <c r="G1428" s="1" t="s">
        <v>74</v>
      </c>
      <c r="H1428" s="1" t="str">
        <f t="shared" si="265"/>
        <v>20220907</v>
      </c>
      <c r="I1428" s="1" t="str">
        <f>"123229"</f>
        <v>123229</v>
      </c>
      <c r="J1428" s="1" t="s">
        <v>27</v>
      </c>
      <c r="K1428" s="1" t="s">
        <v>28</v>
      </c>
      <c r="L1428" s="1" t="str">
        <f t="shared" si="273"/>
        <v>20220907</v>
      </c>
      <c r="M1428" s="1" t="str">
        <f>"125548"</f>
        <v>125548</v>
      </c>
      <c r="N1428" s="1" t="s">
        <v>44</v>
      </c>
      <c r="O1428" s="1" t="s">
        <v>45</v>
      </c>
      <c r="P1428" s="1" t="s">
        <v>55</v>
      </c>
      <c r="Q1428" s="1">
        <v>13</v>
      </c>
      <c r="R1428" s="1">
        <v>13</v>
      </c>
      <c r="S1428" s="1">
        <v>0</v>
      </c>
      <c r="T1428" s="1">
        <v>0</v>
      </c>
      <c r="U1428" s="1">
        <v>0</v>
      </c>
      <c r="V1428" s="1" t="str">
        <f t="shared" si="272"/>
        <v>里程去程</v>
      </c>
      <c r="W1428" s="1" t="str">
        <f>"0120"</f>
        <v>0120</v>
      </c>
      <c r="X1428" s="1" t="s">
        <v>35</v>
      </c>
    </row>
    <row r="1429" spans="1:24" x14ac:dyDescent="0.3">
      <c r="A1429" s="1" t="str">
        <f t="shared" si="270"/>
        <v>59828</v>
      </c>
      <c r="B1429" s="1" t="s">
        <v>23</v>
      </c>
      <c r="C1429" s="1" t="s">
        <v>24</v>
      </c>
      <c r="D1429" s="1" t="str">
        <f t="shared" si="271"/>
        <v>9801</v>
      </c>
      <c r="E1429" s="1" t="s">
        <v>25</v>
      </c>
      <c r="F1429" s="1" t="str">
        <f>"189655573"</f>
        <v>189655573</v>
      </c>
      <c r="G1429" s="1" t="s">
        <v>33</v>
      </c>
      <c r="H1429" s="1" t="str">
        <f t="shared" si="265"/>
        <v>20220907</v>
      </c>
      <c r="I1429" s="1" t="str">
        <f>"123301"</f>
        <v>123301</v>
      </c>
      <c r="J1429" s="1" t="s">
        <v>27</v>
      </c>
      <c r="K1429" s="1" t="s">
        <v>28</v>
      </c>
      <c r="L1429" s="1" t="str">
        <f t="shared" si="273"/>
        <v>20220907</v>
      </c>
      <c r="M1429" s="1" t="str">
        <f>"124831"</f>
        <v>124831</v>
      </c>
      <c r="N1429" s="1" t="s">
        <v>75</v>
      </c>
      <c r="O1429" s="1" t="s">
        <v>45</v>
      </c>
      <c r="P1429" s="1" t="s">
        <v>55</v>
      </c>
      <c r="Q1429" s="1">
        <v>25</v>
      </c>
      <c r="R1429" s="1">
        <v>25</v>
      </c>
      <c r="S1429" s="1">
        <v>0</v>
      </c>
      <c r="T1429" s="1">
        <v>0</v>
      </c>
      <c r="U1429" s="1">
        <v>0</v>
      </c>
      <c r="V1429" s="1" t="str">
        <f t="shared" si="272"/>
        <v>里程去程</v>
      </c>
      <c r="W1429" s="1" t="str">
        <f>"1320"</f>
        <v>1320</v>
      </c>
      <c r="X1429" s="1" t="s">
        <v>35</v>
      </c>
    </row>
    <row r="1430" spans="1:24" x14ac:dyDescent="0.3">
      <c r="A1430" s="1" t="str">
        <f t="shared" si="270"/>
        <v>59828</v>
      </c>
      <c r="B1430" s="1" t="s">
        <v>23</v>
      </c>
      <c r="C1430" s="1" t="s">
        <v>24</v>
      </c>
      <c r="D1430" s="1" t="str">
        <f t="shared" si="271"/>
        <v>9801</v>
      </c>
      <c r="E1430" s="1" t="s">
        <v>25</v>
      </c>
      <c r="F1430" s="1" t="str">
        <f>"454988753"</f>
        <v>454988753</v>
      </c>
      <c r="G1430" s="1" t="s">
        <v>33</v>
      </c>
      <c r="H1430" s="1" t="str">
        <f t="shared" si="265"/>
        <v>20220907</v>
      </c>
      <c r="I1430" s="1" t="str">
        <f>"123326"</f>
        <v>123326</v>
      </c>
      <c r="J1430" s="1" t="s">
        <v>27</v>
      </c>
      <c r="K1430" s="1" t="s">
        <v>28</v>
      </c>
      <c r="L1430" s="1" t="str">
        <f t="shared" si="273"/>
        <v>20220907</v>
      </c>
      <c r="M1430" s="1" t="str">
        <f>"125227"</f>
        <v>125227</v>
      </c>
      <c r="N1430" s="1" t="s">
        <v>100</v>
      </c>
      <c r="O1430" s="1" t="s">
        <v>45</v>
      </c>
      <c r="P1430" s="1" t="s">
        <v>55</v>
      </c>
      <c r="Q1430" s="1">
        <v>25</v>
      </c>
      <c r="R1430" s="1">
        <v>25</v>
      </c>
      <c r="S1430" s="1">
        <v>0</v>
      </c>
      <c r="T1430" s="1">
        <v>0</v>
      </c>
      <c r="U1430" s="1">
        <v>0</v>
      </c>
      <c r="V1430" s="1" t="str">
        <f t="shared" si="272"/>
        <v>里程去程</v>
      </c>
      <c r="W1430" s="1" t="str">
        <f>"0320"</f>
        <v>0320</v>
      </c>
      <c r="X1430" s="1" t="s">
        <v>35</v>
      </c>
    </row>
    <row r="1431" spans="1:24" x14ac:dyDescent="0.3">
      <c r="A1431" s="1" t="str">
        <f t="shared" si="270"/>
        <v>59828</v>
      </c>
      <c r="B1431" s="1" t="s">
        <v>23</v>
      </c>
      <c r="C1431" s="1" t="s">
        <v>24</v>
      </c>
      <c r="D1431" s="1" t="str">
        <f t="shared" si="271"/>
        <v>9801</v>
      </c>
      <c r="E1431" s="1" t="s">
        <v>25</v>
      </c>
      <c r="F1431" s="1" t="str">
        <f>"1646182376"</f>
        <v>1646182376</v>
      </c>
      <c r="G1431" s="1" t="s">
        <v>33</v>
      </c>
      <c r="H1431" s="1" t="str">
        <f t="shared" si="265"/>
        <v>20220907</v>
      </c>
      <c r="I1431" s="1" t="str">
        <f>"123347"</f>
        <v>123347</v>
      </c>
      <c r="J1431" s="1" t="s">
        <v>27</v>
      </c>
      <c r="K1431" s="1" t="s">
        <v>28</v>
      </c>
      <c r="L1431" s="1" t="str">
        <f t="shared" si="273"/>
        <v>20220907</v>
      </c>
      <c r="M1431" s="1" t="str">
        <f>"125558"</f>
        <v>125558</v>
      </c>
      <c r="N1431" s="1" t="s">
        <v>44</v>
      </c>
      <c r="O1431" s="1" t="s">
        <v>45</v>
      </c>
      <c r="P1431" s="1" t="s">
        <v>55</v>
      </c>
      <c r="Q1431" s="1">
        <v>25</v>
      </c>
      <c r="R1431" s="1">
        <v>25</v>
      </c>
      <c r="S1431" s="1">
        <v>0</v>
      </c>
      <c r="T1431" s="1">
        <v>0</v>
      </c>
      <c r="U1431" s="1">
        <v>0</v>
      </c>
      <c r="V1431" s="1" t="str">
        <f t="shared" si="272"/>
        <v>里程去程</v>
      </c>
      <c r="W1431" s="1" t="str">
        <f>"2020"</f>
        <v>2020</v>
      </c>
      <c r="X1431" s="1" t="s">
        <v>35</v>
      </c>
    </row>
    <row r="1432" spans="1:24" x14ac:dyDescent="0.3">
      <c r="A1432" s="1" t="str">
        <f t="shared" si="270"/>
        <v>59828</v>
      </c>
      <c r="B1432" s="1" t="s">
        <v>23</v>
      </c>
      <c r="C1432" s="1" t="s">
        <v>24</v>
      </c>
      <c r="D1432" s="1" t="str">
        <f t="shared" si="271"/>
        <v>9801</v>
      </c>
      <c r="E1432" s="1" t="s">
        <v>25</v>
      </c>
      <c r="F1432" s="1" t="str">
        <f>"189655573"</f>
        <v>189655573</v>
      </c>
      <c r="G1432" s="1" t="s">
        <v>33</v>
      </c>
      <c r="H1432" s="1" t="str">
        <f t="shared" si="265"/>
        <v>20220907</v>
      </c>
      <c r="I1432" s="1" t="str">
        <f>"125224"</f>
        <v>125224</v>
      </c>
      <c r="J1432" s="1" t="s">
        <v>100</v>
      </c>
      <c r="K1432" s="1" t="s">
        <v>45</v>
      </c>
      <c r="L1432" s="1" t="str">
        <f>""</f>
        <v/>
      </c>
      <c r="M1432" s="1" t="str">
        <f>""</f>
        <v/>
      </c>
      <c r="P1432" s="1" t="s">
        <v>88</v>
      </c>
      <c r="Q1432" s="1">
        <v>25</v>
      </c>
      <c r="R1432" s="1">
        <v>25</v>
      </c>
      <c r="S1432" s="1">
        <v>0</v>
      </c>
      <c r="T1432" s="1">
        <v>0</v>
      </c>
      <c r="U1432" s="1">
        <v>0</v>
      </c>
      <c r="V1432" s="1" t="str">
        <f t="shared" si="272"/>
        <v>里程去程</v>
      </c>
      <c r="W1432" s="1" t="str">
        <f>"2020"</f>
        <v>2020</v>
      </c>
      <c r="X1432" s="1" t="s">
        <v>35</v>
      </c>
    </row>
    <row r="1433" spans="1:24" x14ac:dyDescent="0.3">
      <c r="A1433" s="1" t="str">
        <f t="shared" si="270"/>
        <v>59828</v>
      </c>
      <c r="B1433" s="1" t="s">
        <v>23</v>
      </c>
      <c r="C1433" s="1" t="s">
        <v>24</v>
      </c>
      <c r="D1433" s="1" t="str">
        <f t="shared" si="271"/>
        <v>9801</v>
      </c>
      <c r="E1433" s="1" t="s">
        <v>25</v>
      </c>
      <c r="F1433" s="1" t="str">
        <f>"1762059009"</f>
        <v>1762059009</v>
      </c>
      <c r="G1433" s="1" t="s">
        <v>33</v>
      </c>
      <c r="H1433" s="1" t="str">
        <f t="shared" si="265"/>
        <v>20220907</v>
      </c>
      <c r="I1433" s="1" t="str">
        <f>"125234"</f>
        <v>125234</v>
      </c>
      <c r="J1433" s="1" t="s">
        <v>100</v>
      </c>
      <c r="K1433" s="1" t="s">
        <v>45</v>
      </c>
      <c r="L1433" s="1" t="str">
        <f t="shared" ref="L1433:L1470" si="274">"20220907"</f>
        <v>20220907</v>
      </c>
      <c r="M1433" s="1" t="str">
        <f>"125447"</f>
        <v>125447</v>
      </c>
      <c r="N1433" s="1" t="s">
        <v>44</v>
      </c>
      <c r="O1433" s="1" t="s">
        <v>45</v>
      </c>
      <c r="P1433" s="1" t="s">
        <v>55</v>
      </c>
      <c r="Q1433" s="1">
        <v>25</v>
      </c>
      <c r="R1433" s="1">
        <v>25</v>
      </c>
      <c r="S1433" s="1">
        <v>0</v>
      </c>
      <c r="T1433" s="1">
        <v>0</v>
      </c>
      <c r="U1433" s="1">
        <v>0</v>
      </c>
      <c r="V1433" s="1" t="str">
        <f t="shared" si="272"/>
        <v>里程去程</v>
      </c>
      <c r="W1433" s="1" t="str">
        <f>"2120"</f>
        <v>2120</v>
      </c>
      <c r="X1433" s="1" t="s">
        <v>35</v>
      </c>
    </row>
    <row r="1434" spans="1:24" x14ac:dyDescent="0.3">
      <c r="A1434" s="1" t="str">
        <f t="shared" si="270"/>
        <v>59828</v>
      </c>
      <c r="B1434" s="1" t="s">
        <v>23</v>
      </c>
      <c r="C1434" s="1" t="s">
        <v>24</v>
      </c>
      <c r="D1434" s="1" t="str">
        <f t="shared" si="271"/>
        <v>9801</v>
      </c>
      <c r="E1434" s="1" t="s">
        <v>25</v>
      </c>
      <c r="F1434" s="1" t="str">
        <f>"02ECE81A1C880400C817002000000021"</f>
        <v>02ECE81A1C880400C817002000000021</v>
      </c>
      <c r="G1434" s="1" t="s">
        <v>58</v>
      </c>
      <c r="H1434" s="1" t="str">
        <f t="shared" si="265"/>
        <v>20220907</v>
      </c>
      <c r="I1434" s="1" t="str">
        <f>"125626"</f>
        <v>125626</v>
      </c>
      <c r="J1434" s="1" t="s">
        <v>52</v>
      </c>
      <c r="K1434" s="1" t="s">
        <v>52</v>
      </c>
      <c r="L1434" s="1" t="str">
        <f t="shared" si="274"/>
        <v>20220907</v>
      </c>
      <c r="M1434" s="1" t="str">
        <f>"133136"</f>
        <v>133136</v>
      </c>
      <c r="N1434" s="1" t="s">
        <v>27</v>
      </c>
      <c r="O1434" s="1" t="s">
        <v>28</v>
      </c>
      <c r="P1434" s="1" t="s">
        <v>55</v>
      </c>
      <c r="Q1434" s="1">
        <v>25</v>
      </c>
      <c r="R1434" s="1">
        <v>25</v>
      </c>
      <c r="S1434" s="1">
        <v>0</v>
      </c>
      <c r="T1434" s="1">
        <v>0</v>
      </c>
      <c r="U1434" s="1">
        <v>0</v>
      </c>
      <c r="V1434" s="1" t="str">
        <f t="shared" si="272"/>
        <v>里程去程</v>
      </c>
      <c r="W1434" s="1" t="str">
        <f>"0020"</f>
        <v>0020</v>
      </c>
      <c r="X1434" s="1" t="s">
        <v>29</v>
      </c>
    </row>
    <row r="1435" spans="1:24" x14ac:dyDescent="0.3">
      <c r="A1435" s="1" t="str">
        <f t="shared" si="270"/>
        <v>59828</v>
      </c>
      <c r="B1435" s="1" t="s">
        <v>23</v>
      </c>
      <c r="C1435" s="1" t="s">
        <v>24</v>
      </c>
      <c r="D1435" s="1" t="str">
        <f t="shared" si="271"/>
        <v>9801</v>
      </c>
      <c r="E1435" s="1" t="s">
        <v>25</v>
      </c>
      <c r="F1435" s="1" t="str">
        <f>"E1464700E08804004324714D000A080E"</f>
        <v>E1464700E08804004324714D000A080E</v>
      </c>
      <c r="G1435" s="1" t="s">
        <v>58</v>
      </c>
      <c r="H1435" s="1" t="str">
        <f t="shared" si="265"/>
        <v>20220907</v>
      </c>
      <c r="I1435" s="1" t="str">
        <f>"132442"</f>
        <v>132442</v>
      </c>
      <c r="J1435" s="1" t="s">
        <v>83</v>
      </c>
      <c r="K1435" s="1" t="s">
        <v>52</v>
      </c>
      <c r="L1435" s="1" t="str">
        <f t="shared" si="274"/>
        <v>20220907</v>
      </c>
      <c r="M1435" s="1" t="str">
        <f>"133132"</f>
        <v>133132</v>
      </c>
      <c r="N1435" s="1" t="s">
        <v>27</v>
      </c>
      <c r="O1435" s="1" t="s">
        <v>28</v>
      </c>
      <c r="P1435" s="1" t="s">
        <v>55</v>
      </c>
      <c r="Q1435" s="1">
        <v>25</v>
      </c>
      <c r="R1435" s="1">
        <v>25</v>
      </c>
      <c r="S1435" s="1">
        <v>0</v>
      </c>
      <c r="T1435" s="1">
        <v>0</v>
      </c>
      <c r="U1435" s="1">
        <v>0</v>
      </c>
      <c r="V1435" s="1" t="str">
        <f t="shared" si="272"/>
        <v>里程去程</v>
      </c>
      <c r="W1435" s="1" t="str">
        <f>"0020"</f>
        <v>0020</v>
      </c>
      <c r="X1435" s="1" t="s">
        <v>29</v>
      </c>
    </row>
    <row r="1436" spans="1:24" x14ac:dyDescent="0.3">
      <c r="A1436" s="1" t="str">
        <f t="shared" si="270"/>
        <v>59828</v>
      </c>
      <c r="B1436" s="1" t="s">
        <v>23</v>
      </c>
      <c r="C1436" s="1" t="s">
        <v>24</v>
      </c>
      <c r="D1436" s="1" t="str">
        <f t="shared" si="271"/>
        <v>9801</v>
      </c>
      <c r="E1436" s="1" t="s">
        <v>25</v>
      </c>
      <c r="F1436" s="1" t="str">
        <f>"C2333013D228040080CED9985D913018"</f>
        <v>C2333013D228040080CED9985D913018</v>
      </c>
      <c r="G1436" s="1" t="s">
        <v>58</v>
      </c>
      <c r="H1436" s="1" t="str">
        <f t="shared" si="265"/>
        <v>20220907</v>
      </c>
      <c r="I1436" s="1" t="str">
        <f>"133205"</f>
        <v>133205</v>
      </c>
      <c r="J1436" s="1" t="s">
        <v>95</v>
      </c>
      <c r="K1436" s="1" t="s">
        <v>28</v>
      </c>
      <c r="L1436" s="1" t="str">
        <f t="shared" si="274"/>
        <v>20220907</v>
      </c>
      <c r="M1436" s="1" t="str">
        <f>"135719"</f>
        <v>135719</v>
      </c>
      <c r="N1436" s="1" t="s">
        <v>44</v>
      </c>
      <c r="O1436" s="1" t="s">
        <v>45</v>
      </c>
      <c r="P1436" s="1" t="s">
        <v>55</v>
      </c>
      <c r="Q1436" s="1">
        <v>25</v>
      </c>
      <c r="R1436" s="1">
        <v>25</v>
      </c>
      <c r="S1436" s="1">
        <v>0</v>
      </c>
      <c r="T1436" s="1">
        <v>0</v>
      </c>
      <c r="U1436" s="1">
        <v>0</v>
      </c>
      <c r="V1436" s="1" t="str">
        <f t="shared" si="272"/>
        <v>里程去程</v>
      </c>
      <c r="W1436" s="1" t="str">
        <f>"0020"</f>
        <v>0020</v>
      </c>
      <c r="X1436" s="1" t="s">
        <v>29</v>
      </c>
    </row>
    <row r="1437" spans="1:24" x14ac:dyDescent="0.3">
      <c r="A1437" s="1" t="str">
        <f t="shared" si="270"/>
        <v>59828</v>
      </c>
      <c r="B1437" s="1" t="s">
        <v>23</v>
      </c>
      <c r="C1437" s="1" t="s">
        <v>24</v>
      </c>
      <c r="D1437" s="1" t="str">
        <f t="shared" si="271"/>
        <v>9801</v>
      </c>
      <c r="E1437" s="1" t="s">
        <v>25</v>
      </c>
      <c r="F1437" s="1" t="str">
        <f>"1098679157"</f>
        <v>1098679157</v>
      </c>
      <c r="G1437" s="1" t="s">
        <v>38</v>
      </c>
      <c r="H1437" s="1" t="str">
        <f t="shared" si="265"/>
        <v>20220907</v>
      </c>
      <c r="I1437" s="1" t="str">
        <f>"133222"</f>
        <v>133222</v>
      </c>
      <c r="J1437" s="1" t="s">
        <v>95</v>
      </c>
      <c r="K1437" s="1" t="s">
        <v>28</v>
      </c>
      <c r="L1437" s="1" t="str">
        <f t="shared" si="274"/>
        <v>20220907</v>
      </c>
      <c r="M1437" s="1" t="str">
        <f>"135713"</f>
        <v>135713</v>
      </c>
      <c r="N1437" s="1" t="s">
        <v>44</v>
      </c>
      <c r="O1437" s="1" t="s">
        <v>45</v>
      </c>
      <c r="P1437" s="1" t="s">
        <v>55</v>
      </c>
      <c r="Q1437" s="1">
        <v>25</v>
      </c>
      <c r="R1437" s="1">
        <v>25</v>
      </c>
      <c r="S1437" s="1">
        <v>0</v>
      </c>
      <c r="T1437" s="1">
        <v>0</v>
      </c>
      <c r="U1437" s="1">
        <v>0</v>
      </c>
      <c r="V1437" s="1" t="str">
        <f t="shared" si="272"/>
        <v>里程去程</v>
      </c>
      <c r="W1437" s="1" t="str">
        <f>"0120"</f>
        <v>0120</v>
      </c>
      <c r="X1437" s="1" t="s">
        <v>35</v>
      </c>
    </row>
    <row r="1438" spans="1:24" x14ac:dyDescent="0.3">
      <c r="A1438" s="1" t="str">
        <f t="shared" si="270"/>
        <v>59828</v>
      </c>
      <c r="B1438" s="1" t="s">
        <v>23</v>
      </c>
      <c r="C1438" s="1" t="s">
        <v>24</v>
      </c>
      <c r="D1438" s="1" t="str">
        <f t="shared" si="271"/>
        <v>9801</v>
      </c>
      <c r="E1438" s="1" t="s">
        <v>25</v>
      </c>
      <c r="F1438" s="1" t="str">
        <f>"321EF20ED0880400C820002000000018"</f>
        <v>321EF20ED0880400C820002000000018</v>
      </c>
      <c r="G1438" s="1" t="s">
        <v>59</v>
      </c>
      <c r="H1438" s="1" t="str">
        <f t="shared" si="265"/>
        <v>20220907</v>
      </c>
      <c r="I1438" s="1" t="str">
        <f>"145443"</f>
        <v>145443</v>
      </c>
      <c r="J1438" s="1" t="s">
        <v>52</v>
      </c>
      <c r="K1438" s="1" t="s">
        <v>52</v>
      </c>
      <c r="L1438" s="1" t="str">
        <f t="shared" si="274"/>
        <v>20220907</v>
      </c>
      <c r="M1438" s="1" t="str">
        <f>"153109"</f>
        <v>153109</v>
      </c>
      <c r="N1438" s="1" t="s">
        <v>70</v>
      </c>
      <c r="O1438" s="1" t="s">
        <v>28</v>
      </c>
      <c r="P1438" s="1" t="s">
        <v>55</v>
      </c>
      <c r="Q1438" s="1">
        <v>25</v>
      </c>
      <c r="R1438" s="1">
        <v>25</v>
      </c>
      <c r="S1438" s="1">
        <v>0</v>
      </c>
      <c r="T1438" s="1">
        <v>0</v>
      </c>
      <c r="U1438" s="1">
        <v>0</v>
      </c>
      <c r="V1438" s="1" t="str">
        <f t="shared" si="272"/>
        <v>里程去程</v>
      </c>
      <c r="W1438" s="1" t="str">
        <f t="shared" ref="W1438:W1443" si="275">"0020"</f>
        <v>0020</v>
      </c>
      <c r="X1438" s="1" t="s">
        <v>29</v>
      </c>
    </row>
    <row r="1439" spans="1:24" x14ac:dyDescent="0.3">
      <c r="A1439" s="1" t="str">
        <f t="shared" si="270"/>
        <v>59828</v>
      </c>
      <c r="B1439" s="1" t="s">
        <v>23</v>
      </c>
      <c r="C1439" s="1" t="s">
        <v>24</v>
      </c>
      <c r="D1439" s="1" t="str">
        <f t="shared" si="271"/>
        <v>9801</v>
      </c>
      <c r="E1439" s="1" t="s">
        <v>25</v>
      </c>
      <c r="F1439" s="1" t="str">
        <f>"F27CE6026A880400C834002000000015"</f>
        <v>F27CE6026A880400C834002000000015</v>
      </c>
      <c r="G1439" s="1" t="s">
        <v>74</v>
      </c>
      <c r="H1439" s="1" t="str">
        <f t="shared" si="265"/>
        <v>20220907</v>
      </c>
      <c r="I1439" s="1" t="str">
        <f>"145450"</f>
        <v>145450</v>
      </c>
      <c r="J1439" s="1" t="s">
        <v>52</v>
      </c>
      <c r="K1439" s="1" t="s">
        <v>52</v>
      </c>
      <c r="L1439" s="1" t="str">
        <f t="shared" si="274"/>
        <v>20220907</v>
      </c>
      <c r="M1439" s="1" t="str">
        <f>"150548"</f>
        <v>150548</v>
      </c>
      <c r="N1439" s="1" t="s">
        <v>60</v>
      </c>
      <c r="O1439" s="1" t="s">
        <v>52</v>
      </c>
      <c r="P1439" s="1" t="s">
        <v>68</v>
      </c>
      <c r="Q1439" s="1">
        <v>13</v>
      </c>
      <c r="R1439" s="1">
        <v>0</v>
      </c>
      <c r="S1439" s="1">
        <v>0</v>
      </c>
      <c r="T1439" s="1">
        <v>13</v>
      </c>
      <c r="U1439" s="1">
        <v>0</v>
      </c>
      <c r="V1439" s="1" t="str">
        <f t="shared" si="272"/>
        <v>里程去程</v>
      </c>
      <c r="W1439" s="1" t="str">
        <f t="shared" si="275"/>
        <v>0020</v>
      </c>
      <c r="X1439" s="1" t="s">
        <v>29</v>
      </c>
    </row>
    <row r="1440" spans="1:24" x14ac:dyDescent="0.3">
      <c r="A1440" s="1" t="str">
        <f t="shared" si="270"/>
        <v>59828</v>
      </c>
      <c r="B1440" s="1" t="s">
        <v>23</v>
      </c>
      <c r="C1440" s="1" t="s">
        <v>24</v>
      </c>
      <c r="D1440" s="1" t="str">
        <f t="shared" si="271"/>
        <v>9801</v>
      </c>
      <c r="E1440" s="1" t="s">
        <v>25</v>
      </c>
      <c r="F1440" s="1" t="str">
        <f>"C2F219032A880400C834002000000015"</f>
        <v>C2F219032A880400C834002000000015</v>
      </c>
      <c r="G1440" s="1" t="s">
        <v>26</v>
      </c>
      <c r="H1440" s="1" t="str">
        <f t="shared" si="265"/>
        <v>20220907</v>
      </c>
      <c r="I1440" s="1" t="str">
        <f>"150439"</f>
        <v>150439</v>
      </c>
      <c r="J1440" s="1" t="s">
        <v>86</v>
      </c>
      <c r="K1440" s="1" t="s">
        <v>52</v>
      </c>
      <c r="L1440" s="1" t="str">
        <f t="shared" si="274"/>
        <v>20220907</v>
      </c>
      <c r="M1440" s="1" t="str">
        <f>"150941"</f>
        <v>150941</v>
      </c>
      <c r="N1440" s="1" t="s">
        <v>51</v>
      </c>
      <c r="O1440" s="1" t="s">
        <v>52</v>
      </c>
      <c r="P1440" s="1" t="s">
        <v>68</v>
      </c>
      <c r="Q1440" s="1">
        <v>13</v>
      </c>
      <c r="R1440" s="1">
        <v>0</v>
      </c>
      <c r="S1440" s="1">
        <v>0</v>
      </c>
      <c r="T1440" s="1">
        <v>13</v>
      </c>
      <c r="U1440" s="1">
        <v>0</v>
      </c>
      <c r="V1440" s="1" t="str">
        <f t="shared" si="272"/>
        <v>里程去程</v>
      </c>
      <c r="W1440" s="1" t="str">
        <f t="shared" si="275"/>
        <v>0020</v>
      </c>
      <c r="X1440" s="1" t="s">
        <v>29</v>
      </c>
    </row>
    <row r="1441" spans="1:24" x14ac:dyDescent="0.3">
      <c r="A1441" s="1" t="str">
        <f t="shared" si="270"/>
        <v>59828</v>
      </c>
      <c r="B1441" s="1" t="s">
        <v>23</v>
      </c>
      <c r="C1441" s="1" t="s">
        <v>24</v>
      </c>
      <c r="D1441" s="1" t="str">
        <f t="shared" si="271"/>
        <v>9801</v>
      </c>
      <c r="E1441" s="1" t="s">
        <v>25</v>
      </c>
      <c r="F1441" s="1" t="str">
        <f>"F2C64D0E77880400C806002000000018"</f>
        <v>F2C64D0E77880400C806002000000018</v>
      </c>
      <c r="G1441" s="1" t="s">
        <v>58</v>
      </c>
      <c r="H1441" s="1" t="str">
        <f t="shared" si="265"/>
        <v>20220907</v>
      </c>
      <c r="I1441" s="1" t="str">
        <f>"150621"</f>
        <v>150621</v>
      </c>
      <c r="J1441" s="1" t="s">
        <v>60</v>
      </c>
      <c r="K1441" s="1" t="s">
        <v>52</v>
      </c>
      <c r="L1441" s="1" t="str">
        <f t="shared" si="274"/>
        <v>20220907</v>
      </c>
      <c r="M1441" s="1" t="str">
        <f>"151422"</f>
        <v>151422</v>
      </c>
      <c r="N1441" s="1" t="s">
        <v>65</v>
      </c>
      <c r="O1441" s="1" t="s">
        <v>52</v>
      </c>
      <c r="P1441" s="1" t="s">
        <v>55</v>
      </c>
      <c r="Q1441" s="1">
        <v>25</v>
      </c>
      <c r="R1441" s="1">
        <v>25</v>
      </c>
      <c r="S1441" s="1">
        <v>0</v>
      </c>
      <c r="T1441" s="1">
        <v>0</v>
      </c>
      <c r="U1441" s="1">
        <v>0</v>
      </c>
      <c r="V1441" s="1" t="str">
        <f t="shared" si="272"/>
        <v>里程去程</v>
      </c>
      <c r="W1441" s="1" t="str">
        <f t="shared" si="275"/>
        <v>0020</v>
      </c>
      <c r="X1441" s="1" t="s">
        <v>29</v>
      </c>
    </row>
    <row r="1442" spans="1:24" x14ac:dyDescent="0.3">
      <c r="A1442" s="1" t="str">
        <f t="shared" si="270"/>
        <v>59828</v>
      </c>
      <c r="B1442" s="1" t="s">
        <v>23</v>
      </c>
      <c r="C1442" s="1" t="s">
        <v>24</v>
      </c>
      <c r="D1442" s="1" t="str">
        <f t="shared" si="271"/>
        <v>9801</v>
      </c>
      <c r="E1442" s="1" t="s">
        <v>25</v>
      </c>
      <c r="F1442" s="1" t="str">
        <f>"E20CD3063B880400C838002000000015"</f>
        <v>E20CD3063B880400C838002000000015</v>
      </c>
      <c r="G1442" s="1" t="s">
        <v>26</v>
      </c>
      <c r="H1442" s="1" t="str">
        <f t="shared" si="265"/>
        <v>20220907</v>
      </c>
      <c r="I1442" s="1" t="str">
        <f>"150631"</f>
        <v>150631</v>
      </c>
      <c r="J1442" s="1" t="s">
        <v>60</v>
      </c>
      <c r="K1442" s="1" t="s">
        <v>52</v>
      </c>
      <c r="L1442" s="1" t="str">
        <f t="shared" si="274"/>
        <v>20220907</v>
      </c>
      <c r="M1442" s="1" t="str">
        <f>"153111"</f>
        <v>153111</v>
      </c>
      <c r="N1442" s="1" t="s">
        <v>70</v>
      </c>
      <c r="O1442" s="1" t="s">
        <v>28</v>
      </c>
      <c r="P1442" s="1" t="s">
        <v>68</v>
      </c>
      <c r="Q1442" s="1">
        <v>13</v>
      </c>
      <c r="R1442" s="1">
        <v>0</v>
      </c>
      <c r="S1442" s="1">
        <v>0</v>
      </c>
      <c r="T1442" s="1">
        <v>13</v>
      </c>
      <c r="U1442" s="1">
        <v>0</v>
      </c>
      <c r="V1442" s="1" t="str">
        <f t="shared" si="272"/>
        <v>里程去程</v>
      </c>
      <c r="W1442" s="1" t="str">
        <f t="shared" si="275"/>
        <v>0020</v>
      </c>
      <c r="X1442" s="1" t="s">
        <v>29</v>
      </c>
    </row>
    <row r="1443" spans="1:24" x14ac:dyDescent="0.3">
      <c r="A1443" s="1" t="str">
        <f t="shared" si="270"/>
        <v>59828</v>
      </c>
      <c r="B1443" s="1" t="s">
        <v>23</v>
      </c>
      <c r="C1443" s="1" t="s">
        <v>24</v>
      </c>
      <c r="D1443" s="1" t="str">
        <f t="shared" si="271"/>
        <v>9801</v>
      </c>
      <c r="E1443" s="1" t="s">
        <v>25</v>
      </c>
      <c r="F1443" s="1" t="str">
        <f>"C2C219031A880400C834002000000015"</f>
        <v>C2C219031A880400C834002000000015</v>
      </c>
      <c r="G1443" s="1" t="s">
        <v>74</v>
      </c>
      <c r="H1443" s="1" t="str">
        <f t="shared" si="265"/>
        <v>20220907</v>
      </c>
      <c r="I1443" s="1" t="str">
        <f>"160714"</f>
        <v>160714</v>
      </c>
      <c r="J1443" s="1" t="s">
        <v>60</v>
      </c>
      <c r="K1443" s="1" t="s">
        <v>52</v>
      </c>
      <c r="L1443" s="1" t="str">
        <f t="shared" si="274"/>
        <v>20220907</v>
      </c>
      <c r="M1443" s="1" t="str">
        <f>"161717"</f>
        <v>161717</v>
      </c>
      <c r="N1443" s="1" t="s">
        <v>80</v>
      </c>
      <c r="O1443" s="1" t="s">
        <v>52</v>
      </c>
      <c r="P1443" s="1" t="s">
        <v>68</v>
      </c>
      <c r="Q1443" s="1">
        <v>13</v>
      </c>
      <c r="R1443" s="1">
        <v>0</v>
      </c>
      <c r="S1443" s="1">
        <v>0</v>
      </c>
      <c r="T1443" s="1">
        <v>13</v>
      </c>
      <c r="U1443" s="1">
        <v>0</v>
      </c>
      <c r="V1443" s="1" t="str">
        <f t="shared" si="272"/>
        <v>里程去程</v>
      </c>
      <c r="W1443" s="1" t="str">
        <f t="shared" si="275"/>
        <v>0020</v>
      </c>
      <c r="X1443" s="1" t="s">
        <v>29</v>
      </c>
    </row>
    <row r="1444" spans="1:24" x14ac:dyDescent="0.3">
      <c r="A1444" s="1" t="str">
        <f t="shared" si="270"/>
        <v>59828</v>
      </c>
      <c r="B1444" s="1" t="s">
        <v>23</v>
      </c>
      <c r="C1444" s="1" t="s">
        <v>24</v>
      </c>
      <c r="D1444" s="1" t="str">
        <f t="shared" si="271"/>
        <v>9801</v>
      </c>
      <c r="E1444" s="1" t="s">
        <v>25</v>
      </c>
      <c r="F1444" s="1" t="str">
        <f>"894153189"</f>
        <v>894153189</v>
      </c>
      <c r="G1444" s="1" t="s">
        <v>33</v>
      </c>
      <c r="H1444" s="1" t="str">
        <f t="shared" si="265"/>
        <v>20220907</v>
      </c>
      <c r="I1444" s="1" t="str">
        <f>"161314"</f>
        <v>161314</v>
      </c>
      <c r="J1444" s="1" t="s">
        <v>72</v>
      </c>
      <c r="K1444" s="1" t="s">
        <v>52</v>
      </c>
      <c r="L1444" s="1" t="str">
        <f t="shared" si="274"/>
        <v>20220907</v>
      </c>
      <c r="M1444" s="1" t="str">
        <f>"163506"</f>
        <v>163506</v>
      </c>
      <c r="N1444" s="1" t="s">
        <v>70</v>
      </c>
      <c r="O1444" s="1" t="s">
        <v>28</v>
      </c>
      <c r="P1444" s="1" t="s">
        <v>55</v>
      </c>
      <c r="Q1444" s="1">
        <v>25</v>
      </c>
      <c r="R1444" s="1">
        <v>25</v>
      </c>
      <c r="S1444" s="1">
        <v>0</v>
      </c>
      <c r="T1444" s="1">
        <v>0</v>
      </c>
      <c r="U1444" s="1">
        <v>0</v>
      </c>
      <c r="V1444" s="1" t="str">
        <f t="shared" si="272"/>
        <v>里程去程</v>
      </c>
      <c r="W1444" s="1" t="str">
        <f>"2120"</f>
        <v>2120</v>
      </c>
      <c r="X1444" s="1" t="s">
        <v>35</v>
      </c>
    </row>
    <row r="1445" spans="1:24" x14ac:dyDescent="0.3">
      <c r="A1445" s="1" t="str">
        <f t="shared" si="270"/>
        <v>59828</v>
      </c>
      <c r="B1445" s="1" t="s">
        <v>23</v>
      </c>
      <c r="C1445" s="1" t="s">
        <v>24</v>
      </c>
      <c r="D1445" s="1" t="str">
        <f t="shared" si="271"/>
        <v>9801</v>
      </c>
      <c r="E1445" s="1" t="s">
        <v>25</v>
      </c>
      <c r="F1445" s="1" t="str">
        <f>"F2C64D0E77880400C806002000000018"</f>
        <v>F2C64D0E77880400C806002000000018</v>
      </c>
      <c r="G1445" s="1" t="s">
        <v>58</v>
      </c>
      <c r="H1445" s="1" t="str">
        <f t="shared" si="265"/>
        <v>20220907</v>
      </c>
      <c r="I1445" s="1" t="str">
        <f>"161436"</f>
        <v>161436</v>
      </c>
      <c r="J1445" s="1" t="s">
        <v>65</v>
      </c>
      <c r="K1445" s="1" t="s">
        <v>52</v>
      </c>
      <c r="L1445" s="1" t="str">
        <f t="shared" si="274"/>
        <v>20220907</v>
      </c>
      <c r="M1445" s="1" t="str">
        <f>"163510"</f>
        <v>163510</v>
      </c>
      <c r="N1445" s="1" t="s">
        <v>70</v>
      </c>
      <c r="O1445" s="1" t="s">
        <v>28</v>
      </c>
      <c r="P1445" s="1" t="s">
        <v>55</v>
      </c>
      <c r="Q1445" s="1">
        <v>25</v>
      </c>
      <c r="R1445" s="1">
        <v>25</v>
      </c>
      <c r="S1445" s="1">
        <v>0</v>
      </c>
      <c r="T1445" s="1">
        <v>0</v>
      </c>
      <c r="U1445" s="1">
        <v>0</v>
      </c>
      <c r="V1445" s="1" t="str">
        <f t="shared" si="272"/>
        <v>里程去程</v>
      </c>
      <c r="W1445" s="1" t="str">
        <f>"0020"</f>
        <v>0020</v>
      </c>
      <c r="X1445" s="1" t="s">
        <v>29</v>
      </c>
    </row>
    <row r="1446" spans="1:24" x14ac:dyDescent="0.3">
      <c r="A1446" s="1" t="str">
        <f t="shared" si="270"/>
        <v>59828</v>
      </c>
      <c r="B1446" s="1" t="s">
        <v>23</v>
      </c>
      <c r="C1446" s="1" t="s">
        <v>24</v>
      </c>
      <c r="D1446" s="1" t="str">
        <f t="shared" si="271"/>
        <v>9801</v>
      </c>
      <c r="E1446" s="1" t="s">
        <v>25</v>
      </c>
      <c r="F1446" s="1" t="str">
        <f>"1642508245"</f>
        <v>1642508245</v>
      </c>
      <c r="G1446" s="1" t="s">
        <v>33</v>
      </c>
      <c r="H1446" s="1" t="str">
        <f t="shared" si="265"/>
        <v>20220907</v>
      </c>
      <c r="I1446" s="1" t="str">
        <f>"161439"</f>
        <v>161439</v>
      </c>
      <c r="J1446" s="1" t="s">
        <v>65</v>
      </c>
      <c r="K1446" s="1" t="s">
        <v>52</v>
      </c>
      <c r="L1446" s="1" t="str">
        <f t="shared" si="274"/>
        <v>20220907</v>
      </c>
      <c r="M1446" s="1" t="str">
        <f>"162028"</f>
        <v>162028</v>
      </c>
      <c r="N1446" s="1" t="s">
        <v>77</v>
      </c>
      <c r="O1446" s="1" t="s">
        <v>52</v>
      </c>
      <c r="P1446" s="1" t="s">
        <v>55</v>
      </c>
      <c r="Q1446" s="1">
        <v>25</v>
      </c>
      <c r="R1446" s="1">
        <v>0</v>
      </c>
      <c r="S1446" s="1">
        <v>25</v>
      </c>
      <c r="T1446" s="1">
        <v>0</v>
      </c>
      <c r="U1446" s="1">
        <v>0</v>
      </c>
      <c r="V1446" s="1" t="str">
        <f t="shared" si="272"/>
        <v>里程去程</v>
      </c>
      <c r="W1446" s="1" t="str">
        <f>"2020"</f>
        <v>2020</v>
      </c>
      <c r="X1446" s="1" t="s">
        <v>35</v>
      </c>
    </row>
    <row r="1447" spans="1:24" x14ac:dyDescent="0.3">
      <c r="A1447" s="1" t="str">
        <f t="shared" si="270"/>
        <v>59828</v>
      </c>
      <c r="B1447" s="1" t="s">
        <v>23</v>
      </c>
      <c r="C1447" s="1" t="s">
        <v>24</v>
      </c>
      <c r="D1447" s="1" t="str">
        <f t="shared" si="271"/>
        <v>9801</v>
      </c>
      <c r="E1447" s="1" t="s">
        <v>25</v>
      </c>
      <c r="F1447" s="1" t="str">
        <f>"687407793"</f>
        <v>687407793</v>
      </c>
      <c r="G1447" s="1" t="s">
        <v>33</v>
      </c>
      <c r="H1447" s="1" t="str">
        <f t="shared" si="265"/>
        <v>20220907</v>
      </c>
      <c r="I1447" s="1" t="str">
        <f>"163543"</f>
        <v>163543</v>
      </c>
      <c r="J1447" s="1" t="s">
        <v>27</v>
      </c>
      <c r="K1447" s="1" t="s">
        <v>28</v>
      </c>
      <c r="L1447" s="1" t="str">
        <f t="shared" si="274"/>
        <v>20220907</v>
      </c>
      <c r="M1447" s="1" t="str">
        <f>"165629"</f>
        <v>165629</v>
      </c>
      <c r="N1447" s="1" t="s">
        <v>44</v>
      </c>
      <c r="O1447" s="1" t="s">
        <v>45</v>
      </c>
      <c r="P1447" s="1" t="s">
        <v>55</v>
      </c>
      <c r="Q1447" s="1">
        <v>25</v>
      </c>
      <c r="R1447" s="1">
        <v>25</v>
      </c>
      <c r="S1447" s="1">
        <v>0</v>
      </c>
      <c r="T1447" s="1">
        <v>0</v>
      </c>
      <c r="U1447" s="1">
        <v>0</v>
      </c>
      <c r="V1447" s="1" t="str">
        <f t="shared" si="272"/>
        <v>里程去程</v>
      </c>
      <c r="W1447" s="1" t="str">
        <f>"1920"</f>
        <v>1920</v>
      </c>
      <c r="X1447" s="1" t="s">
        <v>35</v>
      </c>
    </row>
    <row r="1448" spans="1:24" x14ac:dyDescent="0.3">
      <c r="A1448" s="1" t="str">
        <f t="shared" si="270"/>
        <v>59828</v>
      </c>
      <c r="B1448" s="1" t="s">
        <v>23</v>
      </c>
      <c r="C1448" s="1" t="s">
        <v>24</v>
      </c>
      <c r="D1448" s="1" t="str">
        <f t="shared" si="271"/>
        <v>9801</v>
      </c>
      <c r="E1448" s="1" t="s">
        <v>25</v>
      </c>
      <c r="F1448" s="1" t="str">
        <f>"1830767733"</f>
        <v>1830767733</v>
      </c>
      <c r="G1448" s="1" t="s">
        <v>33</v>
      </c>
      <c r="H1448" s="1" t="str">
        <f t="shared" si="265"/>
        <v>20220907</v>
      </c>
      <c r="I1448" s="1" t="str">
        <f>"163600"</f>
        <v>163600</v>
      </c>
      <c r="J1448" s="1" t="s">
        <v>27</v>
      </c>
      <c r="K1448" s="1" t="s">
        <v>28</v>
      </c>
      <c r="L1448" s="1" t="str">
        <f t="shared" si="274"/>
        <v>20220907</v>
      </c>
      <c r="M1448" s="1" t="str">
        <f>"165800"</f>
        <v>165800</v>
      </c>
      <c r="N1448" s="1" t="s">
        <v>44</v>
      </c>
      <c r="O1448" s="1" t="s">
        <v>45</v>
      </c>
      <c r="P1448" s="1" t="s">
        <v>55</v>
      </c>
      <c r="Q1448" s="1">
        <v>25</v>
      </c>
      <c r="R1448" s="1">
        <v>25</v>
      </c>
      <c r="S1448" s="1">
        <v>0</v>
      </c>
      <c r="T1448" s="1">
        <v>0</v>
      </c>
      <c r="U1448" s="1">
        <v>0</v>
      </c>
      <c r="V1448" s="1" t="str">
        <f t="shared" si="272"/>
        <v>里程去程</v>
      </c>
      <c r="W1448" s="1" t="str">
        <f>"0220"</f>
        <v>0220</v>
      </c>
      <c r="X1448" s="1" t="s">
        <v>35</v>
      </c>
    </row>
    <row r="1449" spans="1:24" x14ac:dyDescent="0.3">
      <c r="A1449" s="1" t="str">
        <f t="shared" si="270"/>
        <v>59828</v>
      </c>
      <c r="B1449" s="1" t="s">
        <v>23</v>
      </c>
      <c r="C1449" s="1" t="s">
        <v>24</v>
      </c>
      <c r="D1449" s="1" t="str">
        <f t="shared" si="271"/>
        <v>9801</v>
      </c>
      <c r="E1449" s="1" t="s">
        <v>25</v>
      </c>
      <c r="F1449" s="1" t="str">
        <f>"F2D14C147B28040080CED9D049713218"</f>
        <v>F2D14C147B28040080CED9D049713218</v>
      </c>
      <c r="G1449" s="1" t="s">
        <v>59</v>
      </c>
      <c r="H1449" s="1" t="str">
        <f t="shared" si="265"/>
        <v>20220907</v>
      </c>
      <c r="I1449" s="1" t="str">
        <f>"163611"</f>
        <v>163611</v>
      </c>
      <c r="J1449" s="1" t="s">
        <v>27</v>
      </c>
      <c r="K1449" s="1" t="s">
        <v>28</v>
      </c>
      <c r="L1449" s="1" t="str">
        <f t="shared" si="274"/>
        <v>20220907</v>
      </c>
      <c r="M1449" s="1" t="str">
        <f>"164821"</f>
        <v>164821</v>
      </c>
      <c r="N1449" s="1" t="s">
        <v>56</v>
      </c>
      <c r="O1449" s="1" t="s">
        <v>45</v>
      </c>
      <c r="P1449" s="1" t="s">
        <v>55</v>
      </c>
      <c r="Q1449" s="1">
        <v>25</v>
      </c>
      <c r="R1449" s="1">
        <v>0</v>
      </c>
      <c r="S1449" s="1">
        <v>25</v>
      </c>
      <c r="T1449" s="1">
        <v>0</v>
      </c>
      <c r="U1449" s="1">
        <v>0</v>
      </c>
      <c r="V1449" s="1" t="str">
        <f t="shared" si="272"/>
        <v>里程去程</v>
      </c>
      <c r="W1449" s="1" t="str">
        <f>"0620"</f>
        <v>0620</v>
      </c>
      <c r="X1449" s="1" t="s">
        <v>29</v>
      </c>
    </row>
    <row r="1450" spans="1:24" x14ac:dyDescent="0.3">
      <c r="A1450" s="1" t="str">
        <f t="shared" si="270"/>
        <v>59828</v>
      </c>
      <c r="B1450" s="1" t="s">
        <v>23</v>
      </c>
      <c r="C1450" s="1" t="s">
        <v>24</v>
      </c>
      <c r="D1450" s="1" t="str">
        <f t="shared" si="271"/>
        <v>9801</v>
      </c>
      <c r="E1450" s="1" t="s">
        <v>25</v>
      </c>
      <c r="F1450" s="1" t="str">
        <f>"026A101860880400C814002000000019"</f>
        <v>026A101860880400C814002000000019</v>
      </c>
      <c r="G1450" s="1" t="s">
        <v>59</v>
      </c>
      <c r="H1450" s="1" t="str">
        <f t="shared" si="265"/>
        <v>20220907</v>
      </c>
      <c r="I1450" s="1" t="str">
        <f>"172752"</f>
        <v>172752</v>
      </c>
      <c r="J1450" s="1" t="s">
        <v>44</v>
      </c>
      <c r="K1450" s="1" t="s">
        <v>45</v>
      </c>
      <c r="L1450" s="1" t="str">
        <f t="shared" si="274"/>
        <v>20220907</v>
      </c>
      <c r="M1450" s="1" t="str">
        <f>"175235"</f>
        <v>175235</v>
      </c>
      <c r="N1450" s="1" t="s">
        <v>28</v>
      </c>
      <c r="O1450" s="1" t="s">
        <v>28</v>
      </c>
      <c r="P1450" s="1" t="s">
        <v>55</v>
      </c>
      <c r="Q1450" s="1">
        <v>25</v>
      </c>
      <c r="R1450" s="1">
        <v>25</v>
      </c>
      <c r="S1450" s="1">
        <v>0</v>
      </c>
      <c r="T1450" s="1">
        <v>0</v>
      </c>
      <c r="U1450" s="1">
        <v>0</v>
      </c>
      <c r="V1450" s="1" t="str">
        <f t="shared" ref="V1450:V1468" si="276">"里程返程"</f>
        <v>里程返程</v>
      </c>
      <c r="W1450" s="1" t="str">
        <f>"0020"</f>
        <v>0020</v>
      </c>
      <c r="X1450" s="1" t="s">
        <v>29</v>
      </c>
    </row>
    <row r="1451" spans="1:24" x14ac:dyDescent="0.3">
      <c r="A1451" s="1" t="str">
        <f t="shared" ref="A1451:A1470" si="277">"59828"</f>
        <v>59828</v>
      </c>
      <c r="B1451" s="1" t="s">
        <v>23</v>
      </c>
      <c r="C1451" s="1" t="s">
        <v>24</v>
      </c>
      <c r="D1451" s="1" t="str">
        <f t="shared" ref="D1451:D1468" si="278">"9801"</f>
        <v>9801</v>
      </c>
      <c r="E1451" s="1" t="s">
        <v>25</v>
      </c>
      <c r="F1451" s="1" t="str">
        <f>"422AE7028D880400C834002000000015"</f>
        <v>422AE7028D880400C834002000000015</v>
      </c>
      <c r="G1451" s="1" t="s">
        <v>74</v>
      </c>
      <c r="H1451" s="1" t="str">
        <f t="shared" ref="H1451:H1470" si="279">"20220907"</f>
        <v>20220907</v>
      </c>
      <c r="I1451" s="1" t="str">
        <f>"172759"</f>
        <v>172759</v>
      </c>
      <c r="J1451" s="1" t="s">
        <v>44</v>
      </c>
      <c r="K1451" s="1" t="s">
        <v>45</v>
      </c>
      <c r="L1451" s="1" t="str">
        <f t="shared" si="274"/>
        <v>20220907</v>
      </c>
      <c r="M1451" s="1" t="str">
        <f>"175232"</f>
        <v>175232</v>
      </c>
      <c r="N1451" s="1" t="s">
        <v>28</v>
      </c>
      <c r="O1451" s="1" t="s">
        <v>28</v>
      </c>
      <c r="P1451" s="1" t="s">
        <v>68</v>
      </c>
      <c r="Q1451" s="1">
        <v>13</v>
      </c>
      <c r="R1451" s="1">
        <v>0</v>
      </c>
      <c r="S1451" s="1">
        <v>0</v>
      </c>
      <c r="T1451" s="1">
        <v>13</v>
      </c>
      <c r="U1451" s="1">
        <v>0</v>
      </c>
      <c r="V1451" s="1" t="str">
        <f t="shared" si="276"/>
        <v>里程返程</v>
      </c>
      <c r="W1451" s="1" t="str">
        <f>"0020"</f>
        <v>0020</v>
      </c>
      <c r="X1451" s="1" t="s">
        <v>29</v>
      </c>
    </row>
    <row r="1452" spans="1:24" x14ac:dyDescent="0.3">
      <c r="A1452" s="1" t="str">
        <f t="shared" si="277"/>
        <v>59828</v>
      </c>
      <c r="B1452" s="1" t="s">
        <v>23</v>
      </c>
      <c r="C1452" s="1" t="s">
        <v>24</v>
      </c>
      <c r="D1452" s="1" t="str">
        <f t="shared" si="278"/>
        <v>9801</v>
      </c>
      <c r="E1452" s="1" t="s">
        <v>25</v>
      </c>
      <c r="F1452" s="1" t="str">
        <f>"5206E702B1880400C834002000000015"</f>
        <v>5206E702B1880400C834002000000015</v>
      </c>
      <c r="G1452" s="1" t="s">
        <v>74</v>
      </c>
      <c r="H1452" s="1" t="str">
        <f t="shared" si="279"/>
        <v>20220907</v>
      </c>
      <c r="I1452" s="1" t="str">
        <f>"172805"</f>
        <v>172805</v>
      </c>
      <c r="J1452" s="1" t="s">
        <v>44</v>
      </c>
      <c r="K1452" s="1" t="s">
        <v>45</v>
      </c>
      <c r="L1452" s="1" t="str">
        <f t="shared" si="274"/>
        <v>20220907</v>
      </c>
      <c r="M1452" s="1" t="str">
        <f>"175224"</f>
        <v>175224</v>
      </c>
      <c r="N1452" s="1" t="s">
        <v>28</v>
      </c>
      <c r="O1452" s="1" t="s">
        <v>28</v>
      </c>
      <c r="P1452" s="1" t="s">
        <v>68</v>
      </c>
      <c r="Q1452" s="1">
        <v>13</v>
      </c>
      <c r="R1452" s="1">
        <v>0</v>
      </c>
      <c r="S1452" s="1">
        <v>0</v>
      </c>
      <c r="T1452" s="1">
        <v>13</v>
      </c>
      <c r="U1452" s="1">
        <v>0</v>
      </c>
      <c r="V1452" s="1" t="str">
        <f t="shared" si="276"/>
        <v>里程返程</v>
      </c>
      <c r="W1452" s="1" t="str">
        <f>"0020"</f>
        <v>0020</v>
      </c>
      <c r="X1452" s="1" t="s">
        <v>29</v>
      </c>
    </row>
    <row r="1453" spans="1:24" x14ac:dyDescent="0.3">
      <c r="A1453" s="1" t="str">
        <f t="shared" si="277"/>
        <v>59828</v>
      </c>
      <c r="B1453" s="1" t="s">
        <v>23</v>
      </c>
      <c r="C1453" s="1" t="s">
        <v>24</v>
      </c>
      <c r="D1453" s="1" t="str">
        <f t="shared" si="278"/>
        <v>9801</v>
      </c>
      <c r="E1453" s="1" t="s">
        <v>25</v>
      </c>
      <c r="F1453" s="1" t="str">
        <f>"1752749445"</f>
        <v>1752749445</v>
      </c>
      <c r="G1453" s="1" t="s">
        <v>33</v>
      </c>
      <c r="H1453" s="1" t="str">
        <f t="shared" si="279"/>
        <v>20220907</v>
      </c>
      <c r="I1453" s="1" t="str">
        <f>"172809"</f>
        <v>172809</v>
      </c>
      <c r="J1453" s="1" t="s">
        <v>44</v>
      </c>
      <c r="K1453" s="1" t="s">
        <v>45</v>
      </c>
      <c r="L1453" s="1" t="str">
        <f t="shared" si="274"/>
        <v>20220907</v>
      </c>
      <c r="M1453" s="1" t="str">
        <f>"175222"</f>
        <v>175222</v>
      </c>
      <c r="N1453" s="1" t="s">
        <v>28</v>
      </c>
      <c r="O1453" s="1" t="s">
        <v>28</v>
      </c>
      <c r="P1453" s="1" t="s">
        <v>55</v>
      </c>
      <c r="Q1453" s="1">
        <v>25</v>
      </c>
      <c r="R1453" s="1">
        <v>25</v>
      </c>
      <c r="S1453" s="1">
        <v>0</v>
      </c>
      <c r="T1453" s="1">
        <v>0</v>
      </c>
      <c r="U1453" s="1">
        <v>0</v>
      </c>
      <c r="V1453" s="1" t="str">
        <f t="shared" si="276"/>
        <v>里程返程</v>
      </c>
      <c r="W1453" s="1" t="str">
        <f>"2020"</f>
        <v>2020</v>
      </c>
      <c r="X1453" s="1" t="s">
        <v>35</v>
      </c>
    </row>
    <row r="1454" spans="1:24" x14ac:dyDescent="0.3">
      <c r="A1454" s="1" t="str">
        <f t="shared" si="277"/>
        <v>59828</v>
      </c>
      <c r="B1454" s="1" t="s">
        <v>23</v>
      </c>
      <c r="C1454" s="1" t="s">
        <v>24</v>
      </c>
      <c r="D1454" s="1" t="str">
        <f t="shared" si="278"/>
        <v>9801</v>
      </c>
      <c r="E1454" s="1" t="s">
        <v>25</v>
      </c>
      <c r="F1454" s="1" t="str">
        <f>"1103653621"</f>
        <v>1103653621</v>
      </c>
      <c r="G1454" s="1" t="s">
        <v>38</v>
      </c>
      <c r="H1454" s="1" t="str">
        <f t="shared" si="279"/>
        <v>20220907</v>
      </c>
      <c r="I1454" s="1" t="str">
        <f>"175246"</f>
        <v>175246</v>
      </c>
      <c r="J1454" s="1" t="s">
        <v>28</v>
      </c>
      <c r="K1454" s="1" t="s">
        <v>28</v>
      </c>
      <c r="L1454" s="1" t="str">
        <f t="shared" si="274"/>
        <v>20220907</v>
      </c>
      <c r="M1454" s="1" t="str">
        <f>"182352"</f>
        <v>182352</v>
      </c>
      <c r="N1454" s="1" t="s">
        <v>65</v>
      </c>
      <c r="O1454" s="1" t="s">
        <v>52</v>
      </c>
      <c r="P1454" s="1" t="s">
        <v>55</v>
      </c>
      <c r="Q1454" s="1">
        <v>25</v>
      </c>
      <c r="R1454" s="1">
        <v>0</v>
      </c>
      <c r="S1454" s="1">
        <v>25</v>
      </c>
      <c r="T1454" s="1">
        <v>0</v>
      </c>
      <c r="U1454" s="1">
        <v>0</v>
      </c>
      <c r="V1454" s="1" t="str">
        <f t="shared" si="276"/>
        <v>里程返程</v>
      </c>
      <c r="W1454" s="1" t="str">
        <f>"2020"</f>
        <v>2020</v>
      </c>
      <c r="X1454" s="1" t="s">
        <v>35</v>
      </c>
    </row>
    <row r="1455" spans="1:24" x14ac:dyDescent="0.3">
      <c r="A1455" s="1" t="str">
        <f t="shared" si="277"/>
        <v>59828</v>
      </c>
      <c r="B1455" s="1" t="s">
        <v>23</v>
      </c>
      <c r="C1455" s="1" t="s">
        <v>24</v>
      </c>
      <c r="D1455" s="1" t="str">
        <f t="shared" si="278"/>
        <v>9801</v>
      </c>
      <c r="E1455" s="1" t="s">
        <v>25</v>
      </c>
      <c r="F1455" s="1" t="str">
        <f>"1000129109"</f>
        <v>1000129109</v>
      </c>
      <c r="G1455" s="1" t="s">
        <v>38</v>
      </c>
      <c r="H1455" s="1" t="str">
        <f t="shared" si="279"/>
        <v>20220907</v>
      </c>
      <c r="I1455" s="1" t="str">
        <f>"175315"</f>
        <v>175315</v>
      </c>
      <c r="J1455" s="1" t="s">
        <v>28</v>
      </c>
      <c r="K1455" s="1" t="s">
        <v>28</v>
      </c>
      <c r="L1455" s="1" t="str">
        <f t="shared" si="274"/>
        <v>20220907</v>
      </c>
      <c r="M1455" s="1" t="str">
        <f>"175842"</f>
        <v>175842</v>
      </c>
      <c r="N1455" s="1" t="s">
        <v>41</v>
      </c>
      <c r="O1455" s="1" t="s">
        <v>28</v>
      </c>
      <c r="P1455" s="1" t="s">
        <v>55</v>
      </c>
      <c r="Q1455" s="1">
        <v>25</v>
      </c>
      <c r="R1455" s="1">
        <v>25</v>
      </c>
      <c r="S1455" s="1">
        <v>0</v>
      </c>
      <c r="T1455" s="1">
        <v>0</v>
      </c>
      <c r="U1455" s="1">
        <v>0</v>
      </c>
      <c r="V1455" s="1" t="str">
        <f t="shared" si="276"/>
        <v>里程返程</v>
      </c>
      <c r="W1455" s="1" t="str">
        <f>"0820"</f>
        <v>0820</v>
      </c>
      <c r="X1455" s="1" t="s">
        <v>35</v>
      </c>
    </row>
    <row r="1456" spans="1:24" x14ac:dyDescent="0.3">
      <c r="A1456" s="1" t="str">
        <f t="shared" si="277"/>
        <v>59828</v>
      </c>
      <c r="B1456" s="1" t="s">
        <v>23</v>
      </c>
      <c r="C1456" s="1" t="s">
        <v>24</v>
      </c>
      <c r="D1456" s="1" t="str">
        <f t="shared" si="278"/>
        <v>9801</v>
      </c>
      <c r="E1456" s="1" t="s">
        <v>25</v>
      </c>
      <c r="F1456" s="1" t="str">
        <f>"1616863089"</f>
        <v>1616863089</v>
      </c>
      <c r="G1456" s="1" t="s">
        <v>33</v>
      </c>
      <c r="H1456" s="1" t="str">
        <f t="shared" si="279"/>
        <v>20220907</v>
      </c>
      <c r="I1456" s="1" t="str">
        <f>"175325"</f>
        <v>175325</v>
      </c>
      <c r="J1456" s="1" t="s">
        <v>28</v>
      </c>
      <c r="K1456" s="1" t="s">
        <v>28</v>
      </c>
      <c r="L1456" s="1" t="str">
        <f t="shared" si="274"/>
        <v>20220907</v>
      </c>
      <c r="M1456" s="1" t="str">
        <f>"175851"</f>
        <v>175851</v>
      </c>
      <c r="N1456" s="1" t="s">
        <v>41</v>
      </c>
      <c r="O1456" s="1" t="s">
        <v>28</v>
      </c>
      <c r="P1456" s="1" t="s">
        <v>55</v>
      </c>
      <c r="Q1456" s="1">
        <v>25</v>
      </c>
      <c r="R1456" s="1">
        <v>25</v>
      </c>
      <c r="S1456" s="1">
        <v>0</v>
      </c>
      <c r="T1456" s="1">
        <v>0</v>
      </c>
      <c r="U1456" s="1">
        <v>0</v>
      </c>
      <c r="V1456" s="1" t="str">
        <f t="shared" si="276"/>
        <v>里程返程</v>
      </c>
      <c r="W1456" s="1" t="str">
        <f>"1420"</f>
        <v>1420</v>
      </c>
      <c r="X1456" s="1" t="s">
        <v>35</v>
      </c>
    </row>
    <row r="1457" spans="1:24" x14ac:dyDescent="0.3">
      <c r="A1457" s="1" t="str">
        <f t="shared" si="277"/>
        <v>59828</v>
      </c>
      <c r="B1457" s="1" t="s">
        <v>23</v>
      </c>
      <c r="C1457" s="1" t="s">
        <v>24</v>
      </c>
      <c r="D1457" s="1" t="str">
        <f t="shared" si="278"/>
        <v>9801</v>
      </c>
      <c r="E1457" s="1" t="s">
        <v>25</v>
      </c>
      <c r="F1457" s="1" t="str">
        <f>"620B781809880400C819002000000019"</f>
        <v>620B781809880400C819002000000019</v>
      </c>
      <c r="G1457" s="1" t="s">
        <v>26</v>
      </c>
      <c r="H1457" s="1" t="str">
        <f t="shared" si="279"/>
        <v>20220907</v>
      </c>
      <c r="I1457" s="1" t="str">
        <f>"175432"</f>
        <v>175432</v>
      </c>
      <c r="J1457" s="1" t="s">
        <v>28</v>
      </c>
      <c r="K1457" s="1" t="s">
        <v>28</v>
      </c>
      <c r="L1457" s="1" t="str">
        <f t="shared" si="274"/>
        <v>20220907</v>
      </c>
      <c r="M1457" s="1" t="str">
        <f>"182349"</f>
        <v>182349</v>
      </c>
      <c r="N1457" s="1" t="s">
        <v>65</v>
      </c>
      <c r="O1457" s="1" t="s">
        <v>52</v>
      </c>
      <c r="P1457" s="1" t="s">
        <v>55</v>
      </c>
      <c r="Q1457" s="1">
        <v>13</v>
      </c>
      <c r="R1457" s="1">
        <v>13</v>
      </c>
      <c r="S1457" s="1">
        <v>0</v>
      </c>
      <c r="T1457" s="1">
        <v>0</v>
      </c>
      <c r="U1457" s="1">
        <v>0</v>
      </c>
      <c r="V1457" s="1" t="str">
        <f t="shared" si="276"/>
        <v>里程返程</v>
      </c>
      <c r="W1457" s="1" t="str">
        <f>"0020"</f>
        <v>0020</v>
      </c>
      <c r="X1457" s="1" t="s">
        <v>29</v>
      </c>
    </row>
    <row r="1458" spans="1:24" x14ac:dyDescent="0.3">
      <c r="A1458" s="1" t="str">
        <f t="shared" si="277"/>
        <v>59828</v>
      </c>
      <c r="B1458" s="1" t="s">
        <v>23</v>
      </c>
      <c r="C1458" s="1" t="s">
        <v>24</v>
      </c>
      <c r="D1458" s="1" t="str">
        <f t="shared" si="278"/>
        <v>9801</v>
      </c>
      <c r="E1458" s="1" t="s">
        <v>25</v>
      </c>
      <c r="F1458" s="1" t="str">
        <f>"E130C75F492804001C00000000000000"</f>
        <v>E130C75F492804001C00000000000000</v>
      </c>
      <c r="G1458" s="1" t="s">
        <v>58</v>
      </c>
      <c r="H1458" s="1" t="str">
        <f t="shared" si="279"/>
        <v>20220907</v>
      </c>
      <c r="I1458" s="1" t="str">
        <f>"185454"</f>
        <v>185454</v>
      </c>
      <c r="J1458" s="1" t="s">
        <v>28</v>
      </c>
      <c r="K1458" s="1" t="s">
        <v>28</v>
      </c>
      <c r="L1458" s="1" t="str">
        <f t="shared" si="274"/>
        <v>20220907</v>
      </c>
      <c r="M1458" s="1" t="str">
        <f>"191511"</f>
        <v>191511</v>
      </c>
      <c r="N1458" s="1" t="s">
        <v>80</v>
      </c>
      <c r="O1458" s="1" t="s">
        <v>52</v>
      </c>
      <c r="P1458" s="1" t="s">
        <v>55</v>
      </c>
      <c r="Q1458" s="1">
        <v>25</v>
      </c>
      <c r="R1458" s="1">
        <v>0</v>
      </c>
      <c r="S1458" s="1">
        <v>25</v>
      </c>
      <c r="T1458" s="1">
        <v>0</v>
      </c>
      <c r="U1458" s="1">
        <v>0</v>
      </c>
      <c r="V1458" s="1" t="str">
        <f t="shared" si="276"/>
        <v>里程返程</v>
      </c>
      <c r="W1458" s="1" t="str">
        <f>"0620"</f>
        <v>0620</v>
      </c>
      <c r="X1458" s="1" t="s">
        <v>29</v>
      </c>
    </row>
    <row r="1459" spans="1:24" x14ac:dyDescent="0.3">
      <c r="A1459" s="1" t="str">
        <f t="shared" si="277"/>
        <v>59828</v>
      </c>
      <c r="B1459" s="1" t="s">
        <v>23</v>
      </c>
      <c r="C1459" s="1" t="s">
        <v>24</v>
      </c>
      <c r="D1459" s="1" t="str">
        <f t="shared" si="278"/>
        <v>9801</v>
      </c>
      <c r="E1459" s="1" t="s">
        <v>25</v>
      </c>
      <c r="F1459" s="1" t="str">
        <f>"629413266"</f>
        <v>629413266</v>
      </c>
      <c r="G1459" s="1" t="s">
        <v>33</v>
      </c>
      <c r="H1459" s="1" t="str">
        <f t="shared" si="279"/>
        <v>20220907</v>
      </c>
      <c r="I1459" s="1" t="str">
        <f>"185455"</f>
        <v>185455</v>
      </c>
      <c r="J1459" s="1" t="s">
        <v>28</v>
      </c>
      <c r="K1459" s="1" t="s">
        <v>28</v>
      </c>
      <c r="L1459" s="1" t="str">
        <f t="shared" si="274"/>
        <v>20220907</v>
      </c>
      <c r="M1459" s="1" t="str">
        <f>"190618"</f>
        <v>190618</v>
      </c>
      <c r="N1459" s="1" t="s">
        <v>83</v>
      </c>
      <c r="O1459" s="1" t="s">
        <v>52</v>
      </c>
      <c r="P1459" s="1" t="s">
        <v>55</v>
      </c>
      <c r="Q1459" s="1">
        <v>25</v>
      </c>
      <c r="R1459" s="1">
        <v>25</v>
      </c>
      <c r="S1459" s="1">
        <v>0</v>
      </c>
      <c r="T1459" s="1">
        <v>0</v>
      </c>
      <c r="U1459" s="1">
        <v>0</v>
      </c>
      <c r="V1459" s="1" t="str">
        <f t="shared" si="276"/>
        <v>里程返程</v>
      </c>
      <c r="W1459" s="1" t="str">
        <f>"2020"</f>
        <v>2020</v>
      </c>
      <c r="X1459" s="1" t="s">
        <v>35</v>
      </c>
    </row>
    <row r="1460" spans="1:24" x14ac:dyDescent="0.3">
      <c r="A1460" s="1" t="str">
        <f t="shared" si="277"/>
        <v>59828</v>
      </c>
      <c r="B1460" s="1" t="s">
        <v>23</v>
      </c>
      <c r="C1460" s="1" t="s">
        <v>24</v>
      </c>
      <c r="D1460" s="1" t="str">
        <f t="shared" si="278"/>
        <v>9801</v>
      </c>
      <c r="E1460" s="1" t="s">
        <v>25</v>
      </c>
      <c r="F1460" s="1" t="str">
        <f>"A15953238888040043281482000F0112"</f>
        <v>A15953238888040043281482000F0112</v>
      </c>
      <c r="G1460" s="1" t="s">
        <v>64</v>
      </c>
      <c r="H1460" s="1" t="str">
        <f t="shared" si="279"/>
        <v>20220907</v>
      </c>
      <c r="I1460" s="1" t="str">
        <f>"185554"</f>
        <v>185554</v>
      </c>
      <c r="J1460" s="1" t="s">
        <v>28</v>
      </c>
      <c r="K1460" s="1" t="s">
        <v>28</v>
      </c>
      <c r="L1460" s="1" t="str">
        <f t="shared" si="274"/>
        <v>20220907</v>
      </c>
      <c r="M1460" s="1" t="str">
        <f>"192910"</f>
        <v>192910</v>
      </c>
      <c r="N1460" s="1" t="s">
        <v>52</v>
      </c>
      <c r="O1460" s="1" t="s">
        <v>52</v>
      </c>
      <c r="P1460" s="1" t="s">
        <v>55</v>
      </c>
      <c r="Q1460" s="1">
        <v>13</v>
      </c>
      <c r="R1460" s="1">
        <v>0</v>
      </c>
      <c r="S1460" s="1">
        <v>13</v>
      </c>
      <c r="T1460" s="1">
        <v>0</v>
      </c>
      <c r="U1460" s="1">
        <v>0</v>
      </c>
      <c r="V1460" s="1" t="str">
        <f t="shared" si="276"/>
        <v>里程返程</v>
      </c>
      <c r="W1460" s="1" t="str">
        <f>"1120"</f>
        <v>1120</v>
      </c>
      <c r="X1460" s="1" t="s">
        <v>29</v>
      </c>
    </row>
    <row r="1461" spans="1:24" x14ac:dyDescent="0.3">
      <c r="A1461" s="1" t="str">
        <f t="shared" si="277"/>
        <v>59828</v>
      </c>
      <c r="B1461" s="1" t="s">
        <v>23</v>
      </c>
      <c r="C1461" s="1" t="s">
        <v>24</v>
      </c>
      <c r="D1461" s="1" t="str">
        <f t="shared" si="278"/>
        <v>9801</v>
      </c>
      <c r="E1461" s="1" t="s">
        <v>25</v>
      </c>
      <c r="F1461" s="1" t="str">
        <f>"F9B6A40FE48804004326A4E600020211"</f>
        <v>F9B6A40FE48804004326A4E600020211</v>
      </c>
      <c r="G1461" s="1" t="s">
        <v>64</v>
      </c>
      <c r="H1461" s="1" t="str">
        <f t="shared" si="279"/>
        <v>20220907</v>
      </c>
      <c r="I1461" s="1" t="str">
        <f>"185557"</f>
        <v>185557</v>
      </c>
      <c r="J1461" s="1" t="s">
        <v>28</v>
      </c>
      <c r="K1461" s="1" t="s">
        <v>28</v>
      </c>
      <c r="L1461" s="1" t="str">
        <f t="shared" si="274"/>
        <v>20220907</v>
      </c>
      <c r="M1461" s="1" t="str">
        <f>"192900"</f>
        <v>192900</v>
      </c>
      <c r="N1461" s="1" t="s">
        <v>52</v>
      </c>
      <c r="O1461" s="1" t="s">
        <v>52</v>
      </c>
      <c r="P1461" s="1" t="s">
        <v>55</v>
      </c>
      <c r="Q1461" s="1">
        <v>13</v>
      </c>
      <c r="R1461" s="1">
        <v>13</v>
      </c>
      <c r="S1461" s="1">
        <v>0</v>
      </c>
      <c r="T1461" s="1">
        <v>0</v>
      </c>
      <c r="U1461" s="1">
        <v>0</v>
      </c>
      <c r="V1461" s="1" t="str">
        <f t="shared" si="276"/>
        <v>里程返程</v>
      </c>
      <c r="W1461" s="1" t="str">
        <f>"0020"</f>
        <v>0020</v>
      </c>
      <c r="X1461" s="1" t="s">
        <v>29</v>
      </c>
    </row>
    <row r="1462" spans="1:24" x14ac:dyDescent="0.3">
      <c r="A1462" s="1" t="str">
        <f t="shared" si="277"/>
        <v>59828</v>
      </c>
      <c r="B1462" s="1" t="s">
        <v>23</v>
      </c>
      <c r="C1462" s="1" t="s">
        <v>24</v>
      </c>
      <c r="D1462" s="1" t="str">
        <f t="shared" si="278"/>
        <v>9801</v>
      </c>
      <c r="E1462" s="1" t="s">
        <v>25</v>
      </c>
      <c r="F1462" s="1" t="str">
        <f>"720BAD19CD880400C824002000000020"</f>
        <v>720BAD19CD880400C824002000000020</v>
      </c>
      <c r="G1462" s="1" t="s">
        <v>64</v>
      </c>
      <c r="H1462" s="1" t="str">
        <f t="shared" si="279"/>
        <v>20220907</v>
      </c>
      <c r="I1462" s="1" t="str">
        <f>"185605"</f>
        <v>185605</v>
      </c>
      <c r="J1462" s="1" t="s">
        <v>28</v>
      </c>
      <c r="K1462" s="1" t="s">
        <v>28</v>
      </c>
      <c r="L1462" s="1" t="str">
        <f t="shared" si="274"/>
        <v>20220907</v>
      </c>
      <c r="M1462" s="1" t="str">
        <f>"192906"</f>
        <v>192906</v>
      </c>
      <c r="N1462" s="1" t="s">
        <v>52</v>
      </c>
      <c r="O1462" s="1" t="s">
        <v>52</v>
      </c>
      <c r="P1462" s="1" t="s">
        <v>55</v>
      </c>
      <c r="Q1462" s="1">
        <v>13</v>
      </c>
      <c r="R1462" s="1">
        <v>13</v>
      </c>
      <c r="S1462" s="1">
        <v>0</v>
      </c>
      <c r="T1462" s="1">
        <v>0</v>
      </c>
      <c r="U1462" s="1">
        <v>0</v>
      </c>
      <c r="V1462" s="1" t="str">
        <f t="shared" si="276"/>
        <v>里程返程</v>
      </c>
      <c r="W1462" s="1" t="str">
        <f>"0020"</f>
        <v>0020</v>
      </c>
      <c r="X1462" s="1" t="s">
        <v>29</v>
      </c>
    </row>
    <row r="1463" spans="1:24" x14ac:dyDescent="0.3">
      <c r="A1463" s="1" t="str">
        <f t="shared" si="277"/>
        <v>59828</v>
      </c>
      <c r="B1463" s="1" t="s">
        <v>23</v>
      </c>
      <c r="C1463" s="1" t="s">
        <v>24</v>
      </c>
      <c r="D1463" s="1" t="str">
        <f t="shared" si="278"/>
        <v>9801</v>
      </c>
      <c r="E1463" s="1" t="s">
        <v>25</v>
      </c>
      <c r="F1463" s="1" t="str">
        <f>"A13C5B00C68804004324714D000D080E"</f>
        <v>A13C5B00C68804004324714D000D080E</v>
      </c>
      <c r="G1463" s="1" t="s">
        <v>26</v>
      </c>
      <c r="H1463" s="1" t="str">
        <f t="shared" si="279"/>
        <v>20220907</v>
      </c>
      <c r="I1463" s="1" t="str">
        <f>"185618"</f>
        <v>185618</v>
      </c>
      <c r="J1463" s="1" t="s">
        <v>28</v>
      </c>
      <c r="K1463" s="1" t="s">
        <v>28</v>
      </c>
      <c r="L1463" s="1" t="str">
        <f t="shared" si="274"/>
        <v>20220907</v>
      </c>
      <c r="M1463" s="1" t="str">
        <f>"192914"</f>
        <v>192914</v>
      </c>
      <c r="N1463" s="1" t="s">
        <v>52</v>
      </c>
      <c r="O1463" s="1" t="s">
        <v>52</v>
      </c>
      <c r="P1463" s="1" t="s">
        <v>55</v>
      </c>
      <c r="Q1463" s="1">
        <v>13</v>
      </c>
      <c r="R1463" s="1">
        <v>0</v>
      </c>
      <c r="S1463" s="1">
        <v>13</v>
      </c>
      <c r="T1463" s="1">
        <v>0</v>
      </c>
      <c r="U1463" s="1">
        <v>0</v>
      </c>
      <c r="V1463" s="1" t="str">
        <f t="shared" si="276"/>
        <v>里程返程</v>
      </c>
      <c r="W1463" s="1" t="str">
        <f>"1120"</f>
        <v>1120</v>
      </c>
      <c r="X1463" s="1" t="s">
        <v>29</v>
      </c>
    </row>
    <row r="1464" spans="1:24" x14ac:dyDescent="0.3">
      <c r="A1464" s="1" t="str">
        <f t="shared" si="277"/>
        <v>59828</v>
      </c>
      <c r="B1464" s="1" t="s">
        <v>23</v>
      </c>
      <c r="C1464" s="1" t="s">
        <v>24</v>
      </c>
      <c r="D1464" s="1" t="str">
        <f t="shared" si="278"/>
        <v>9801</v>
      </c>
      <c r="E1464" s="1" t="s">
        <v>25</v>
      </c>
      <c r="F1464" s="1" t="str">
        <f>"846849349"</f>
        <v>846849349</v>
      </c>
      <c r="G1464" s="1" t="s">
        <v>74</v>
      </c>
      <c r="H1464" s="1" t="str">
        <f t="shared" si="279"/>
        <v>20220907</v>
      </c>
      <c r="I1464" s="1" t="str">
        <f>"185637"</f>
        <v>185637</v>
      </c>
      <c r="J1464" s="1" t="s">
        <v>28</v>
      </c>
      <c r="K1464" s="1" t="s">
        <v>28</v>
      </c>
      <c r="L1464" s="1" t="str">
        <f t="shared" si="274"/>
        <v>20220907</v>
      </c>
      <c r="M1464" s="1" t="str">
        <f>"192651"</f>
        <v>192651</v>
      </c>
      <c r="N1464" s="1" t="s">
        <v>52</v>
      </c>
      <c r="O1464" s="1" t="s">
        <v>52</v>
      </c>
      <c r="P1464" s="1" t="s">
        <v>55</v>
      </c>
      <c r="Q1464" s="1">
        <v>13</v>
      </c>
      <c r="R1464" s="1">
        <v>13</v>
      </c>
      <c r="S1464" s="1">
        <v>0</v>
      </c>
      <c r="T1464" s="1">
        <v>0</v>
      </c>
      <c r="U1464" s="1">
        <v>0</v>
      </c>
      <c r="V1464" s="1" t="str">
        <f t="shared" si="276"/>
        <v>里程返程</v>
      </c>
      <c r="W1464" s="1" t="str">
        <f>"0c20"</f>
        <v>0c20</v>
      </c>
      <c r="X1464" s="1" t="s">
        <v>35</v>
      </c>
    </row>
    <row r="1465" spans="1:24" x14ac:dyDescent="0.3">
      <c r="A1465" s="1" t="str">
        <f t="shared" si="277"/>
        <v>59828</v>
      </c>
      <c r="B1465" s="1" t="s">
        <v>23</v>
      </c>
      <c r="C1465" s="1" t="s">
        <v>24</v>
      </c>
      <c r="D1465" s="1" t="str">
        <f t="shared" si="278"/>
        <v>9801</v>
      </c>
      <c r="E1465" s="1" t="s">
        <v>25</v>
      </c>
      <c r="F1465" s="1" t="str">
        <f>"F2CD60134C28040080CED9985D613018"</f>
        <v>F2CD60134C28040080CED9985D613018</v>
      </c>
      <c r="G1465" s="1" t="s">
        <v>59</v>
      </c>
      <c r="H1465" s="1" t="str">
        <f t="shared" si="279"/>
        <v>20220907</v>
      </c>
      <c r="I1465" s="1" t="str">
        <f>"185734"</f>
        <v>185734</v>
      </c>
      <c r="J1465" s="1" t="s">
        <v>28</v>
      </c>
      <c r="K1465" s="1" t="s">
        <v>28</v>
      </c>
      <c r="L1465" s="1" t="str">
        <f t="shared" si="274"/>
        <v>20220907</v>
      </c>
      <c r="M1465" s="1" t="str">
        <f>"193017"</f>
        <v>193017</v>
      </c>
      <c r="N1465" s="1" t="s">
        <v>52</v>
      </c>
      <c r="O1465" s="1" t="s">
        <v>52</v>
      </c>
      <c r="P1465" s="1" t="s">
        <v>55</v>
      </c>
      <c r="Q1465" s="1">
        <v>25</v>
      </c>
      <c r="R1465" s="1">
        <v>0</v>
      </c>
      <c r="S1465" s="1">
        <v>25</v>
      </c>
      <c r="T1465" s="1">
        <v>0</v>
      </c>
      <c r="U1465" s="1">
        <v>0</v>
      </c>
      <c r="V1465" s="1" t="str">
        <f t="shared" si="276"/>
        <v>里程返程</v>
      </c>
      <c r="W1465" s="1" t="str">
        <f>"0620"</f>
        <v>0620</v>
      </c>
      <c r="X1465" s="1" t="s">
        <v>29</v>
      </c>
    </row>
    <row r="1466" spans="1:24" x14ac:dyDescent="0.3">
      <c r="A1466" s="1" t="str">
        <f t="shared" si="277"/>
        <v>59828</v>
      </c>
      <c r="B1466" s="1" t="s">
        <v>23</v>
      </c>
      <c r="C1466" s="1" t="s">
        <v>24</v>
      </c>
      <c r="D1466" s="1" t="str">
        <f t="shared" si="278"/>
        <v>9801</v>
      </c>
      <c r="E1466" s="1" t="s">
        <v>25</v>
      </c>
      <c r="F1466" s="1" t="str">
        <f>"52D25E13CD28040080CED99861013018"</f>
        <v>52D25E13CD28040080CED99861013018</v>
      </c>
      <c r="G1466" s="1" t="s">
        <v>59</v>
      </c>
      <c r="H1466" s="1" t="str">
        <f t="shared" si="279"/>
        <v>20220907</v>
      </c>
      <c r="I1466" s="1" t="str">
        <f>"185737"</f>
        <v>185737</v>
      </c>
      <c r="J1466" s="1" t="s">
        <v>28</v>
      </c>
      <c r="K1466" s="1" t="s">
        <v>28</v>
      </c>
      <c r="L1466" s="1" t="str">
        <f t="shared" si="274"/>
        <v>20220907</v>
      </c>
      <c r="M1466" s="1" t="str">
        <f>"193025"</f>
        <v>193025</v>
      </c>
      <c r="N1466" s="1" t="s">
        <v>52</v>
      </c>
      <c r="O1466" s="1" t="s">
        <v>52</v>
      </c>
      <c r="P1466" s="1" t="s">
        <v>55</v>
      </c>
      <c r="Q1466" s="1">
        <v>25</v>
      </c>
      <c r="R1466" s="1">
        <v>0</v>
      </c>
      <c r="S1466" s="1">
        <v>25</v>
      </c>
      <c r="T1466" s="1">
        <v>0</v>
      </c>
      <c r="U1466" s="1">
        <v>0</v>
      </c>
      <c r="V1466" s="1" t="str">
        <f t="shared" si="276"/>
        <v>里程返程</v>
      </c>
      <c r="W1466" s="1" t="str">
        <f>"1120"</f>
        <v>1120</v>
      </c>
      <c r="X1466" s="1" t="s">
        <v>29</v>
      </c>
    </row>
    <row r="1467" spans="1:24" x14ac:dyDescent="0.3">
      <c r="A1467" s="1" t="str">
        <f t="shared" si="277"/>
        <v>59828</v>
      </c>
      <c r="B1467" s="1" t="s">
        <v>23</v>
      </c>
      <c r="C1467" s="1" t="s">
        <v>24</v>
      </c>
      <c r="D1467" s="1" t="str">
        <f t="shared" si="278"/>
        <v>9801</v>
      </c>
      <c r="E1467" s="1" t="s">
        <v>25</v>
      </c>
      <c r="F1467" s="1" t="str">
        <f>"420061133028040080CED9985D613018"</f>
        <v>420061133028040080CED9985D613018</v>
      </c>
      <c r="G1467" s="1" t="s">
        <v>59</v>
      </c>
      <c r="H1467" s="1" t="str">
        <f t="shared" si="279"/>
        <v>20220907</v>
      </c>
      <c r="I1467" s="1" t="str">
        <f>"185740"</f>
        <v>185740</v>
      </c>
      <c r="J1467" s="1" t="s">
        <v>28</v>
      </c>
      <c r="K1467" s="1" t="s">
        <v>28</v>
      </c>
      <c r="L1467" s="1" t="str">
        <f t="shared" si="274"/>
        <v>20220907</v>
      </c>
      <c r="M1467" s="1" t="str">
        <f>"193012"</f>
        <v>193012</v>
      </c>
      <c r="N1467" s="1" t="s">
        <v>52</v>
      </c>
      <c r="O1467" s="1" t="s">
        <v>52</v>
      </c>
      <c r="P1467" s="1" t="s">
        <v>55</v>
      </c>
      <c r="Q1467" s="1">
        <v>25</v>
      </c>
      <c r="R1467" s="1">
        <v>0</v>
      </c>
      <c r="S1467" s="1">
        <v>25</v>
      </c>
      <c r="T1467" s="1">
        <v>0</v>
      </c>
      <c r="U1467" s="1">
        <v>0</v>
      </c>
      <c r="V1467" s="1" t="str">
        <f t="shared" si="276"/>
        <v>里程返程</v>
      </c>
      <c r="W1467" s="1" t="str">
        <f>"1120"</f>
        <v>1120</v>
      </c>
      <c r="X1467" s="1" t="s">
        <v>29</v>
      </c>
    </row>
    <row r="1468" spans="1:24" x14ac:dyDescent="0.3">
      <c r="A1468" s="1" t="str">
        <f t="shared" si="277"/>
        <v>59828</v>
      </c>
      <c r="B1468" s="1" t="s">
        <v>23</v>
      </c>
      <c r="C1468" s="1" t="s">
        <v>24</v>
      </c>
      <c r="D1468" s="1" t="str">
        <f t="shared" si="278"/>
        <v>9801</v>
      </c>
      <c r="E1468" s="1" t="s">
        <v>25</v>
      </c>
      <c r="F1468" s="1" t="str">
        <f>"1076314997"</f>
        <v>1076314997</v>
      </c>
      <c r="G1468" s="1" t="s">
        <v>33</v>
      </c>
      <c r="H1468" s="1" t="str">
        <f t="shared" si="279"/>
        <v>20220907</v>
      </c>
      <c r="I1468" s="1" t="str">
        <f>"185839"</f>
        <v>185839</v>
      </c>
      <c r="J1468" s="1" t="s">
        <v>28</v>
      </c>
      <c r="K1468" s="1" t="s">
        <v>28</v>
      </c>
      <c r="L1468" s="1" t="str">
        <f t="shared" si="274"/>
        <v>20220907</v>
      </c>
      <c r="M1468" s="1" t="str">
        <f>"192236"</f>
        <v>192236</v>
      </c>
      <c r="N1468" s="1" t="s">
        <v>51</v>
      </c>
      <c r="O1468" s="1" t="s">
        <v>52</v>
      </c>
      <c r="P1468" s="1" t="s">
        <v>55</v>
      </c>
      <c r="Q1468" s="1">
        <v>25</v>
      </c>
      <c r="R1468" s="1">
        <v>25</v>
      </c>
      <c r="S1468" s="1">
        <v>0</v>
      </c>
      <c r="T1468" s="1">
        <v>0</v>
      </c>
      <c r="U1468" s="1">
        <v>0</v>
      </c>
      <c r="V1468" s="1" t="str">
        <f t="shared" si="276"/>
        <v>里程返程</v>
      </c>
      <c r="W1468" s="1" t="str">
        <f>"2120"</f>
        <v>2120</v>
      </c>
      <c r="X1468" s="1" t="s">
        <v>35</v>
      </c>
    </row>
    <row r="1469" spans="1:24" x14ac:dyDescent="0.3">
      <c r="A1469" s="1" t="str">
        <f t="shared" si="277"/>
        <v>59828</v>
      </c>
      <c r="B1469" s="1" t="s">
        <v>23</v>
      </c>
      <c r="C1469" s="1" t="s">
        <v>24</v>
      </c>
      <c r="D1469" s="1" t="str">
        <f>"9805"</f>
        <v>9805</v>
      </c>
      <c r="E1469" s="1" t="s">
        <v>57</v>
      </c>
      <c r="F1469" s="1" t="str">
        <f>"1407755601"</f>
        <v>1407755601</v>
      </c>
      <c r="G1469" s="1" t="s">
        <v>26</v>
      </c>
      <c r="H1469" s="1" t="str">
        <f t="shared" si="279"/>
        <v>20220907</v>
      </c>
      <c r="I1469" s="1" t="str">
        <f>"211746"</f>
        <v>211746</v>
      </c>
      <c r="J1469" s="1" t="s">
        <v>28</v>
      </c>
      <c r="K1469" s="1" t="s">
        <v>28</v>
      </c>
      <c r="L1469" s="1" t="str">
        <f t="shared" si="274"/>
        <v>20220907</v>
      </c>
      <c r="M1469" s="1" t="str">
        <f>"212912"</f>
        <v>212912</v>
      </c>
      <c r="N1469" s="1" t="s">
        <v>46</v>
      </c>
      <c r="O1469" s="1" t="s">
        <v>28</v>
      </c>
      <c r="P1469" s="1" t="s">
        <v>55</v>
      </c>
      <c r="Q1469" s="1">
        <v>13</v>
      </c>
      <c r="R1469" s="1">
        <v>13</v>
      </c>
      <c r="S1469" s="1">
        <v>0</v>
      </c>
      <c r="T1469" s="1">
        <v>0</v>
      </c>
      <c r="U1469" s="1">
        <v>0</v>
      </c>
      <c r="V1469" s="1" t="str">
        <f t="shared" ref="V1469:V1475" si="280">"里程去程"</f>
        <v>里程去程</v>
      </c>
      <c r="W1469" s="1" t="str">
        <f>"0120"</f>
        <v>0120</v>
      </c>
      <c r="X1469" s="1" t="s">
        <v>35</v>
      </c>
    </row>
    <row r="1470" spans="1:24" x14ac:dyDescent="0.3">
      <c r="A1470" s="1" t="str">
        <f t="shared" si="277"/>
        <v>59828</v>
      </c>
      <c r="B1470" s="1" t="s">
        <v>23</v>
      </c>
      <c r="C1470" s="1" t="s">
        <v>24</v>
      </c>
      <c r="D1470" s="1" t="str">
        <f>"9805"</f>
        <v>9805</v>
      </c>
      <c r="E1470" s="1" t="s">
        <v>57</v>
      </c>
      <c r="F1470" s="1" t="str">
        <f>"805069765"</f>
        <v>805069765</v>
      </c>
      <c r="G1470" s="1" t="s">
        <v>33</v>
      </c>
      <c r="H1470" s="1" t="str">
        <f t="shared" si="279"/>
        <v>20220907</v>
      </c>
      <c r="I1470" s="1" t="str">
        <f>"211813"</f>
        <v>211813</v>
      </c>
      <c r="J1470" s="1" t="s">
        <v>28</v>
      </c>
      <c r="K1470" s="1" t="s">
        <v>28</v>
      </c>
      <c r="L1470" s="1" t="str">
        <f t="shared" si="274"/>
        <v>20220907</v>
      </c>
      <c r="M1470" s="1" t="str">
        <f>"213530"</f>
        <v>213530</v>
      </c>
      <c r="N1470" s="1" t="s">
        <v>52</v>
      </c>
      <c r="O1470" s="1" t="s">
        <v>52</v>
      </c>
      <c r="P1470" s="1" t="s">
        <v>55</v>
      </c>
      <c r="Q1470" s="1">
        <v>25</v>
      </c>
      <c r="R1470" s="1">
        <v>25</v>
      </c>
      <c r="S1470" s="1">
        <v>0</v>
      </c>
      <c r="T1470" s="1">
        <v>0</v>
      </c>
      <c r="U1470" s="1">
        <v>0</v>
      </c>
      <c r="V1470" s="1" t="str">
        <f t="shared" si="280"/>
        <v>里程去程</v>
      </c>
      <c r="W1470" s="1" t="str">
        <f>"1c20"</f>
        <v>1c20</v>
      </c>
      <c r="X1470" s="1" t="s">
        <v>35</v>
      </c>
    </row>
    <row r="1471" spans="1:24" x14ac:dyDescent="0.3">
      <c r="A1471" s="1" t="str">
        <f t="shared" ref="A1471:A1502" si="281">"59809"</f>
        <v>59809</v>
      </c>
      <c r="B1471" s="1" t="s">
        <v>42</v>
      </c>
      <c r="C1471" s="1" t="s">
        <v>43</v>
      </c>
      <c r="D1471" s="1" t="str">
        <f t="shared" ref="D1471:D1502" si="282">"9801"</f>
        <v>9801</v>
      </c>
      <c r="E1471" s="1" t="s">
        <v>25</v>
      </c>
      <c r="F1471" s="1" t="str">
        <f>"E130C75F492804001C00000000000000"</f>
        <v>E130C75F492804001C00000000000000</v>
      </c>
      <c r="G1471" s="1" t="s">
        <v>58</v>
      </c>
      <c r="H1471" s="1" t="str">
        <f t="shared" ref="H1471:H1534" si="283">"20220908"</f>
        <v>20220908</v>
      </c>
      <c r="I1471" s="1" t="str">
        <f>"061001"</f>
        <v>061001</v>
      </c>
      <c r="J1471" s="1" t="s">
        <v>52</v>
      </c>
      <c r="K1471" s="1" t="s">
        <v>52</v>
      </c>
      <c r="L1471" s="1" t="str">
        <f t="shared" ref="L1471:L1502" si="284">"20220908"</f>
        <v>20220908</v>
      </c>
      <c r="M1471" s="1" t="str">
        <f>"061647"</f>
        <v>061647</v>
      </c>
      <c r="N1471" s="1" t="s">
        <v>86</v>
      </c>
      <c r="O1471" s="1" t="s">
        <v>52</v>
      </c>
      <c r="P1471" s="1" t="s">
        <v>55</v>
      </c>
      <c r="Q1471" s="1">
        <v>25</v>
      </c>
      <c r="R1471" s="1">
        <v>25</v>
      </c>
      <c r="S1471" s="1">
        <v>0</v>
      </c>
      <c r="T1471" s="1">
        <v>0</v>
      </c>
      <c r="U1471" s="1">
        <v>0</v>
      </c>
      <c r="V1471" s="1" t="str">
        <f t="shared" si="280"/>
        <v>里程去程</v>
      </c>
      <c r="W1471" s="1" t="str">
        <f>"0020"</f>
        <v>0020</v>
      </c>
      <c r="X1471" s="1" t="s">
        <v>29</v>
      </c>
    </row>
    <row r="1472" spans="1:24" x14ac:dyDescent="0.3">
      <c r="A1472" s="1" t="str">
        <f t="shared" si="281"/>
        <v>59809</v>
      </c>
      <c r="B1472" s="1" t="s">
        <v>42</v>
      </c>
      <c r="C1472" s="1" t="s">
        <v>43</v>
      </c>
      <c r="D1472" s="1" t="str">
        <f t="shared" si="282"/>
        <v>9801</v>
      </c>
      <c r="E1472" s="1" t="s">
        <v>25</v>
      </c>
      <c r="F1472" s="1" t="str">
        <f>"D2EDC500FA880400C801002000000015"</f>
        <v>D2EDC500FA880400C801002000000015</v>
      </c>
      <c r="G1472" s="1" t="s">
        <v>58</v>
      </c>
      <c r="H1472" s="1" t="str">
        <f t="shared" si="283"/>
        <v>20220908</v>
      </c>
      <c r="I1472" s="1" t="str">
        <f>"061739"</f>
        <v>061739</v>
      </c>
      <c r="J1472" s="1" t="s">
        <v>52</v>
      </c>
      <c r="K1472" s="1" t="s">
        <v>52</v>
      </c>
      <c r="L1472" s="1" t="str">
        <f t="shared" si="284"/>
        <v>20220908</v>
      </c>
      <c r="M1472" s="1" t="str">
        <f>"070202"</f>
        <v>070202</v>
      </c>
      <c r="N1472" s="1" t="s">
        <v>65</v>
      </c>
      <c r="O1472" s="1" t="s">
        <v>52</v>
      </c>
      <c r="P1472" s="1" t="s">
        <v>55</v>
      </c>
      <c r="Q1472" s="1">
        <v>25</v>
      </c>
      <c r="R1472" s="1">
        <v>25</v>
      </c>
      <c r="S1472" s="1">
        <v>0</v>
      </c>
      <c r="T1472" s="1">
        <v>0</v>
      </c>
      <c r="U1472" s="1">
        <v>0</v>
      </c>
      <c r="V1472" s="1" t="str">
        <f t="shared" si="280"/>
        <v>里程去程</v>
      </c>
      <c r="W1472" s="1" t="str">
        <f>"0020"</f>
        <v>0020</v>
      </c>
      <c r="X1472" s="1" t="s">
        <v>29</v>
      </c>
    </row>
    <row r="1473" spans="1:24" x14ac:dyDescent="0.3">
      <c r="A1473" s="1" t="str">
        <f t="shared" si="281"/>
        <v>59809</v>
      </c>
      <c r="B1473" s="1" t="s">
        <v>42</v>
      </c>
      <c r="C1473" s="1" t="s">
        <v>43</v>
      </c>
      <c r="D1473" s="1" t="str">
        <f t="shared" si="282"/>
        <v>9801</v>
      </c>
      <c r="E1473" s="1" t="s">
        <v>25</v>
      </c>
      <c r="F1473" s="1" t="str">
        <f>"1752749445"</f>
        <v>1752749445</v>
      </c>
      <c r="G1473" s="1" t="s">
        <v>33</v>
      </c>
      <c r="H1473" s="1" t="str">
        <f t="shared" si="283"/>
        <v>20220908</v>
      </c>
      <c r="I1473" s="1" t="str">
        <f>"063009"</f>
        <v>063009</v>
      </c>
      <c r="J1473" s="1" t="s">
        <v>52</v>
      </c>
      <c r="K1473" s="1" t="s">
        <v>52</v>
      </c>
      <c r="L1473" s="1" t="str">
        <f t="shared" si="284"/>
        <v>20220908</v>
      </c>
      <c r="M1473" s="1" t="str">
        <f>"065405"</f>
        <v>065405</v>
      </c>
      <c r="N1473" s="1" t="s">
        <v>72</v>
      </c>
      <c r="O1473" s="1" t="s">
        <v>52</v>
      </c>
      <c r="P1473" s="1" t="s">
        <v>55</v>
      </c>
      <c r="Q1473" s="1">
        <v>25</v>
      </c>
      <c r="R1473" s="1">
        <v>0</v>
      </c>
      <c r="S1473" s="1">
        <v>25</v>
      </c>
      <c r="T1473" s="1">
        <v>0</v>
      </c>
      <c r="U1473" s="1">
        <v>0</v>
      </c>
      <c r="V1473" s="1" t="str">
        <f t="shared" si="280"/>
        <v>里程去程</v>
      </c>
      <c r="W1473" s="1" t="str">
        <f>"0820"</f>
        <v>0820</v>
      </c>
      <c r="X1473" s="1" t="s">
        <v>35</v>
      </c>
    </row>
    <row r="1474" spans="1:24" x14ac:dyDescent="0.3">
      <c r="A1474" s="1" t="str">
        <f t="shared" si="281"/>
        <v>59809</v>
      </c>
      <c r="B1474" s="1" t="s">
        <v>42</v>
      </c>
      <c r="C1474" s="1" t="s">
        <v>43</v>
      </c>
      <c r="D1474" s="1" t="str">
        <f t="shared" si="282"/>
        <v>9801</v>
      </c>
      <c r="E1474" s="1" t="s">
        <v>25</v>
      </c>
      <c r="F1474" s="1" t="str">
        <f>"026A101860880400C814002000000019"</f>
        <v>026A101860880400C814002000000019</v>
      </c>
      <c r="G1474" s="1" t="s">
        <v>59</v>
      </c>
      <c r="H1474" s="1" t="str">
        <f t="shared" si="283"/>
        <v>20220908</v>
      </c>
      <c r="I1474" s="1" t="str">
        <f>"063407"</f>
        <v>063407</v>
      </c>
      <c r="J1474" s="1" t="s">
        <v>52</v>
      </c>
      <c r="K1474" s="1" t="s">
        <v>52</v>
      </c>
      <c r="L1474" s="1" t="str">
        <f t="shared" si="284"/>
        <v>20220908</v>
      </c>
      <c r="M1474" s="1" t="str">
        <f>"065455"</f>
        <v>065455</v>
      </c>
      <c r="N1474" s="1" t="s">
        <v>65</v>
      </c>
      <c r="O1474" s="1" t="s">
        <v>52</v>
      </c>
      <c r="P1474" s="1" t="s">
        <v>55</v>
      </c>
      <c r="Q1474" s="1">
        <v>25</v>
      </c>
      <c r="R1474" s="1">
        <v>0</v>
      </c>
      <c r="S1474" s="1">
        <v>25</v>
      </c>
      <c r="T1474" s="1">
        <v>0</v>
      </c>
      <c r="U1474" s="1">
        <v>0</v>
      </c>
      <c r="V1474" s="1" t="str">
        <f t="shared" si="280"/>
        <v>里程去程</v>
      </c>
      <c r="W1474" s="1" t="str">
        <f>"0620"</f>
        <v>0620</v>
      </c>
      <c r="X1474" s="1" t="s">
        <v>29</v>
      </c>
    </row>
    <row r="1475" spans="1:24" x14ac:dyDescent="0.3">
      <c r="A1475" s="1" t="str">
        <f t="shared" si="281"/>
        <v>59809</v>
      </c>
      <c r="B1475" s="1" t="s">
        <v>42</v>
      </c>
      <c r="C1475" s="1" t="s">
        <v>43</v>
      </c>
      <c r="D1475" s="1" t="str">
        <f t="shared" si="282"/>
        <v>9801</v>
      </c>
      <c r="E1475" s="1" t="s">
        <v>25</v>
      </c>
      <c r="F1475" s="1" t="str">
        <f>"269636433"</f>
        <v>269636433</v>
      </c>
      <c r="G1475" s="1" t="s">
        <v>33</v>
      </c>
      <c r="H1475" s="1" t="str">
        <f t="shared" si="283"/>
        <v>20220908</v>
      </c>
      <c r="I1475" s="1" t="str">
        <f>"063909"</f>
        <v>063909</v>
      </c>
      <c r="J1475" s="1" t="s">
        <v>52</v>
      </c>
      <c r="K1475" s="1" t="s">
        <v>52</v>
      </c>
      <c r="L1475" s="1" t="str">
        <f t="shared" si="284"/>
        <v>20220908</v>
      </c>
      <c r="M1475" s="1" t="str">
        <f>"070151"</f>
        <v>070151</v>
      </c>
      <c r="N1475" s="1" t="s">
        <v>65</v>
      </c>
      <c r="O1475" s="1" t="s">
        <v>52</v>
      </c>
      <c r="P1475" s="1" t="s">
        <v>55</v>
      </c>
      <c r="Q1475" s="1">
        <v>25</v>
      </c>
      <c r="R1475" s="1">
        <v>25</v>
      </c>
      <c r="S1475" s="1">
        <v>0</v>
      </c>
      <c r="T1475" s="1">
        <v>0</v>
      </c>
      <c r="U1475" s="1">
        <v>0</v>
      </c>
      <c r="V1475" s="1" t="str">
        <f t="shared" si="280"/>
        <v>里程去程</v>
      </c>
      <c r="W1475" s="1" t="str">
        <f>"2120"</f>
        <v>2120</v>
      </c>
      <c r="X1475" s="1" t="s">
        <v>35</v>
      </c>
    </row>
    <row r="1476" spans="1:24" x14ac:dyDescent="0.3">
      <c r="A1476" s="1" t="str">
        <f t="shared" si="281"/>
        <v>59809</v>
      </c>
      <c r="B1476" s="1" t="s">
        <v>42</v>
      </c>
      <c r="C1476" s="1" t="s">
        <v>43</v>
      </c>
      <c r="D1476" s="1" t="str">
        <f t="shared" si="282"/>
        <v>9801</v>
      </c>
      <c r="E1476" s="1" t="s">
        <v>25</v>
      </c>
      <c r="F1476" s="1" t="str">
        <f>"679685533"</f>
        <v>679685533</v>
      </c>
      <c r="G1476" s="1" t="s">
        <v>26</v>
      </c>
      <c r="H1476" s="1" t="str">
        <f t="shared" si="283"/>
        <v>20220908</v>
      </c>
      <c r="I1476" s="1" t="str">
        <f>"070234"</f>
        <v>070234</v>
      </c>
      <c r="J1476" s="1" t="s">
        <v>44</v>
      </c>
      <c r="K1476" s="1" t="s">
        <v>45</v>
      </c>
      <c r="L1476" s="1" t="str">
        <f t="shared" si="284"/>
        <v>20220908</v>
      </c>
      <c r="M1476" s="1" t="str">
        <f>"072522"</f>
        <v>072522</v>
      </c>
      <c r="N1476" s="1" t="s">
        <v>28</v>
      </c>
      <c r="O1476" s="1" t="s">
        <v>28</v>
      </c>
      <c r="P1476" s="1" t="s">
        <v>55</v>
      </c>
      <c r="Q1476" s="1">
        <v>13</v>
      </c>
      <c r="R1476" s="1">
        <v>13</v>
      </c>
      <c r="S1476" s="1">
        <v>0</v>
      </c>
      <c r="T1476" s="1">
        <v>0</v>
      </c>
      <c r="U1476" s="1">
        <v>0</v>
      </c>
      <c r="V1476" s="1" t="str">
        <f t="shared" ref="V1476:V1489" si="285">"里程返程"</f>
        <v>里程返程</v>
      </c>
      <c r="W1476" s="1" t="str">
        <f>"2120"</f>
        <v>2120</v>
      </c>
      <c r="X1476" s="1" t="s">
        <v>35</v>
      </c>
    </row>
    <row r="1477" spans="1:24" x14ac:dyDescent="0.3">
      <c r="A1477" s="1" t="str">
        <f t="shared" si="281"/>
        <v>59809</v>
      </c>
      <c r="B1477" s="1" t="s">
        <v>42</v>
      </c>
      <c r="C1477" s="1" t="s">
        <v>43</v>
      </c>
      <c r="D1477" s="1" t="str">
        <f t="shared" si="282"/>
        <v>9801</v>
      </c>
      <c r="E1477" s="1" t="s">
        <v>25</v>
      </c>
      <c r="F1477" s="1" t="str">
        <f>"1620340437"</f>
        <v>1620340437</v>
      </c>
      <c r="G1477" s="1" t="s">
        <v>26</v>
      </c>
      <c r="H1477" s="1" t="str">
        <f t="shared" si="283"/>
        <v>20220908</v>
      </c>
      <c r="I1477" s="1" t="str">
        <f>"070242"</f>
        <v>070242</v>
      </c>
      <c r="J1477" s="1" t="s">
        <v>44</v>
      </c>
      <c r="K1477" s="1" t="s">
        <v>45</v>
      </c>
      <c r="L1477" s="1" t="str">
        <f t="shared" si="284"/>
        <v>20220908</v>
      </c>
      <c r="M1477" s="1" t="str">
        <f>"072512"</f>
        <v>072512</v>
      </c>
      <c r="N1477" s="1" t="s">
        <v>28</v>
      </c>
      <c r="O1477" s="1" t="s">
        <v>28</v>
      </c>
      <c r="P1477" s="1" t="s">
        <v>55</v>
      </c>
      <c r="Q1477" s="1">
        <v>13</v>
      </c>
      <c r="R1477" s="1">
        <v>13</v>
      </c>
      <c r="S1477" s="1">
        <v>0</v>
      </c>
      <c r="T1477" s="1">
        <v>0</v>
      </c>
      <c r="U1477" s="1">
        <v>0</v>
      </c>
      <c r="V1477" s="1" t="str">
        <f t="shared" si="285"/>
        <v>里程返程</v>
      </c>
      <c r="W1477" s="1" t="str">
        <f>"2120"</f>
        <v>2120</v>
      </c>
      <c r="X1477" s="1" t="s">
        <v>35</v>
      </c>
    </row>
    <row r="1478" spans="1:24" x14ac:dyDescent="0.3">
      <c r="A1478" s="1" t="str">
        <f t="shared" si="281"/>
        <v>59809</v>
      </c>
      <c r="B1478" s="1" t="s">
        <v>42</v>
      </c>
      <c r="C1478" s="1" t="s">
        <v>43</v>
      </c>
      <c r="D1478" s="1" t="str">
        <f t="shared" si="282"/>
        <v>9801</v>
      </c>
      <c r="E1478" s="1" t="s">
        <v>25</v>
      </c>
      <c r="F1478" s="1" t="str">
        <f>"269636433"</f>
        <v>269636433</v>
      </c>
      <c r="G1478" s="1" t="s">
        <v>33</v>
      </c>
      <c r="H1478" s="1" t="str">
        <f t="shared" si="283"/>
        <v>20220908</v>
      </c>
      <c r="I1478" s="1" t="str">
        <f>"070248"</f>
        <v>070248</v>
      </c>
      <c r="J1478" s="1" t="s">
        <v>44</v>
      </c>
      <c r="K1478" s="1" t="s">
        <v>45</v>
      </c>
      <c r="L1478" s="1" t="str">
        <f t="shared" si="284"/>
        <v>20220908</v>
      </c>
      <c r="M1478" s="1" t="str">
        <f>"071548"</f>
        <v>071548</v>
      </c>
      <c r="N1478" s="1" t="s">
        <v>56</v>
      </c>
      <c r="O1478" s="1" t="s">
        <v>45</v>
      </c>
      <c r="P1478" s="1" t="s">
        <v>55</v>
      </c>
      <c r="Q1478" s="1">
        <v>25</v>
      </c>
      <c r="R1478" s="1">
        <v>25</v>
      </c>
      <c r="S1478" s="1">
        <v>0</v>
      </c>
      <c r="T1478" s="1">
        <v>0</v>
      </c>
      <c r="U1478" s="1">
        <v>0</v>
      </c>
      <c r="V1478" s="1" t="str">
        <f t="shared" si="285"/>
        <v>里程返程</v>
      </c>
      <c r="W1478" s="1" t="str">
        <f>"2020"</f>
        <v>2020</v>
      </c>
      <c r="X1478" s="1" t="s">
        <v>35</v>
      </c>
    </row>
    <row r="1479" spans="1:24" x14ac:dyDescent="0.3">
      <c r="A1479" s="1" t="str">
        <f t="shared" si="281"/>
        <v>59809</v>
      </c>
      <c r="B1479" s="1" t="s">
        <v>42</v>
      </c>
      <c r="C1479" s="1" t="s">
        <v>43</v>
      </c>
      <c r="D1479" s="1" t="str">
        <f t="shared" si="282"/>
        <v>9801</v>
      </c>
      <c r="E1479" s="1" t="s">
        <v>25</v>
      </c>
      <c r="F1479" s="1" t="str">
        <f>"D257BD023A880400C834002000000015"</f>
        <v>D257BD023A880400C834002000000015</v>
      </c>
      <c r="G1479" s="1" t="s">
        <v>74</v>
      </c>
      <c r="H1479" s="1" t="str">
        <f t="shared" si="283"/>
        <v>20220908</v>
      </c>
      <c r="I1479" s="1" t="str">
        <f>"072529"</f>
        <v>072529</v>
      </c>
      <c r="J1479" s="1" t="s">
        <v>28</v>
      </c>
      <c r="K1479" s="1" t="s">
        <v>28</v>
      </c>
      <c r="L1479" s="1" t="str">
        <f t="shared" si="284"/>
        <v>20220908</v>
      </c>
      <c r="M1479" s="1" t="str">
        <f>"073505"</f>
        <v>073505</v>
      </c>
      <c r="N1479" s="1" t="s">
        <v>67</v>
      </c>
      <c r="O1479" s="1" t="s">
        <v>52</v>
      </c>
      <c r="P1479" s="1" t="s">
        <v>68</v>
      </c>
      <c r="Q1479" s="1">
        <v>13</v>
      </c>
      <c r="R1479" s="1">
        <v>0</v>
      </c>
      <c r="S1479" s="1">
        <v>0</v>
      </c>
      <c r="T1479" s="1">
        <v>13</v>
      </c>
      <c r="U1479" s="1">
        <v>0</v>
      </c>
      <c r="V1479" s="1" t="str">
        <f t="shared" si="285"/>
        <v>里程返程</v>
      </c>
      <c r="W1479" s="1" t="str">
        <f>"0020"</f>
        <v>0020</v>
      </c>
      <c r="X1479" s="1" t="s">
        <v>29</v>
      </c>
    </row>
    <row r="1480" spans="1:24" x14ac:dyDescent="0.3">
      <c r="A1480" s="1" t="str">
        <f t="shared" si="281"/>
        <v>59809</v>
      </c>
      <c r="B1480" s="1" t="s">
        <v>42</v>
      </c>
      <c r="C1480" s="1" t="s">
        <v>43</v>
      </c>
      <c r="D1480" s="1" t="str">
        <f t="shared" si="282"/>
        <v>9801</v>
      </c>
      <c r="E1480" s="1" t="s">
        <v>25</v>
      </c>
      <c r="F1480" s="1" t="str">
        <f>"1654839936"</f>
        <v>1654839936</v>
      </c>
      <c r="G1480" s="1" t="s">
        <v>33</v>
      </c>
      <c r="H1480" s="1" t="str">
        <f t="shared" si="283"/>
        <v>20220908</v>
      </c>
      <c r="I1480" s="1" t="str">
        <f>"072536"</f>
        <v>072536</v>
      </c>
      <c r="J1480" s="1" t="s">
        <v>28</v>
      </c>
      <c r="K1480" s="1" t="s">
        <v>28</v>
      </c>
      <c r="L1480" s="1" t="str">
        <f t="shared" si="284"/>
        <v>20220908</v>
      </c>
      <c r="M1480" s="1" t="str">
        <f>"074757"</f>
        <v>074757</v>
      </c>
      <c r="N1480" s="1" t="s">
        <v>65</v>
      </c>
      <c r="O1480" s="1" t="s">
        <v>52</v>
      </c>
      <c r="P1480" s="1" t="s">
        <v>55</v>
      </c>
      <c r="Q1480" s="1">
        <v>25</v>
      </c>
      <c r="R1480" s="1">
        <v>0</v>
      </c>
      <c r="S1480" s="1">
        <v>25</v>
      </c>
      <c r="T1480" s="1">
        <v>0</v>
      </c>
      <c r="U1480" s="1">
        <v>0</v>
      </c>
      <c r="V1480" s="1" t="str">
        <f t="shared" si="285"/>
        <v>里程返程</v>
      </c>
      <c r="W1480" s="1" t="str">
        <f>"0820"</f>
        <v>0820</v>
      </c>
      <c r="X1480" s="1" t="s">
        <v>35</v>
      </c>
    </row>
    <row r="1481" spans="1:24" x14ac:dyDescent="0.3">
      <c r="A1481" s="1" t="str">
        <f t="shared" si="281"/>
        <v>59809</v>
      </c>
      <c r="B1481" s="1" t="s">
        <v>42</v>
      </c>
      <c r="C1481" s="1" t="s">
        <v>43</v>
      </c>
      <c r="D1481" s="1" t="str">
        <f t="shared" si="282"/>
        <v>9801</v>
      </c>
      <c r="E1481" s="1" t="s">
        <v>25</v>
      </c>
      <c r="F1481" s="1" t="str">
        <f>"F282E40195880400C821002000000015"</f>
        <v>F282E40195880400C821002000000015</v>
      </c>
      <c r="G1481" s="1" t="s">
        <v>58</v>
      </c>
      <c r="H1481" s="1" t="str">
        <f t="shared" si="283"/>
        <v>20220908</v>
      </c>
      <c r="I1481" s="1" t="str">
        <f>"072538"</f>
        <v>072538</v>
      </c>
      <c r="J1481" s="1" t="s">
        <v>28</v>
      </c>
      <c r="K1481" s="1" t="s">
        <v>28</v>
      </c>
      <c r="L1481" s="1" t="str">
        <f t="shared" si="284"/>
        <v>20220908</v>
      </c>
      <c r="M1481" s="1" t="str">
        <f>"074754"</f>
        <v>074754</v>
      </c>
      <c r="N1481" s="1" t="s">
        <v>65</v>
      </c>
      <c r="O1481" s="1" t="s">
        <v>52</v>
      </c>
      <c r="P1481" s="1" t="s">
        <v>55</v>
      </c>
      <c r="Q1481" s="1">
        <v>25</v>
      </c>
      <c r="R1481" s="1">
        <v>0</v>
      </c>
      <c r="S1481" s="1">
        <v>25</v>
      </c>
      <c r="T1481" s="1">
        <v>0</v>
      </c>
      <c r="U1481" s="1">
        <v>0</v>
      </c>
      <c r="V1481" s="1" t="str">
        <f t="shared" si="285"/>
        <v>里程返程</v>
      </c>
      <c r="W1481" s="1" t="str">
        <f>"0620"</f>
        <v>0620</v>
      </c>
      <c r="X1481" s="1" t="s">
        <v>29</v>
      </c>
    </row>
    <row r="1482" spans="1:24" x14ac:dyDescent="0.3">
      <c r="A1482" s="1" t="str">
        <f t="shared" si="281"/>
        <v>59809</v>
      </c>
      <c r="B1482" s="1" t="s">
        <v>42</v>
      </c>
      <c r="C1482" s="1" t="s">
        <v>43</v>
      </c>
      <c r="D1482" s="1" t="str">
        <f t="shared" si="282"/>
        <v>9801</v>
      </c>
      <c r="E1482" s="1" t="s">
        <v>25</v>
      </c>
      <c r="F1482" s="1" t="str">
        <f>"623A1B0340880400C834002000000015"</f>
        <v>623A1B0340880400C834002000000015</v>
      </c>
      <c r="G1482" s="1" t="s">
        <v>26</v>
      </c>
      <c r="H1482" s="1" t="str">
        <f t="shared" si="283"/>
        <v>20220908</v>
      </c>
      <c r="I1482" s="1" t="str">
        <f>"072544"</f>
        <v>072544</v>
      </c>
      <c r="J1482" s="1" t="s">
        <v>28</v>
      </c>
      <c r="K1482" s="1" t="s">
        <v>28</v>
      </c>
      <c r="L1482" s="1" t="str">
        <f t="shared" si="284"/>
        <v>20220908</v>
      </c>
      <c r="M1482" s="1" t="str">
        <f>"075600"</f>
        <v>075600</v>
      </c>
      <c r="N1482" s="1" t="s">
        <v>60</v>
      </c>
      <c r="O1482" s="1" t="s">
        <v>52</v>
      </c>
      <c r="P1482" s="1" t="s">
        <v>68</v>
      </c>
      <c r="Q1482" s="1">
        <v>13</v>
      </c>
      <c r="R1482" s="1">
        <v>0</v>
      </c>
      <c r="S1482" s="1">
        <v>0</v>
      </c>
      <c r="T1482" s="1">
        <v>13</v>
      </c>
      <c r="U1482" s="1">
        <v>0</v>
      </c>
      <c r="V1482" s="1" t="str">
        <f t="shared" si="285"/>
        <v>里程返程</v>
      </c>
      <c r="W1482" s="1" t="str">
        <f>"0020"</f>
        <v>0020</v>
      </c>
      <c r="X1482" s="1" t="s">
        <v>29</v>
      </c>
    </row>
    <row r="1483" spans="1:24" x14ac:dyDescent="0.3">
      <c r="A1483" s="1" t="str">
        <f t="shared" si="281"/>
        <v>59809</v>
      </c>
      <c r="B1483" s="1" t="s">
        <v>42</v>
      </c>
      <c r="C1483" s="1" t="s">
        <v>43</v>
      </c>
      <c r="D1483" s="1" t="str">
        <f t="shared" si="282"/>
        <v>9801</v>
      </c>
      <c r="E1483" s="1" t="s">
        <v>25</v>
      </c>
      <c r="F1483" s="1" t="str">
        <f>"82730F18E6880400C814002000000019"</f>
        <v>82730F18E6880400C814002000000019</v>
      </c>
      <c r="G1483" s="1" t="s">
        <v>59</v>
      </c>
      <c r="H1483" s="1" t="str">
        <f t="shared" si="283"/>
        <v>20220908</v>
      </c>
      <c r="I1483" s="1" t="str">
        <f>"072546"</f>
        <v>072546</v>
      </c>
      <c r="J1483" s="1" t="s">
        <v>28</v>
      </c>
      <c r="K1483" s="1" t="s">
        <v>28</v>
      </c>
      <c r="L1483" s="1" t="str">
        <f t="shared" si="284"/>
        <v>20220908</v>
      </c>
      <c r="M1483" s="1" t="str">
        <f>"075009"</f>
        <v>075009</v>
      </c>
      <c r="N1483" s="1" t="s">
        <v>72</v>
      </c>
      <c r="O1483" s="1" t="s">
        <v>52</v>
      </c>
      <c r="P1483" s="1" t="s">
        <v>55</v>
      </c>
      <c r="Q1483" s="1">
        <v>25</v>
      </c>
      <c r="R1483" s="1">
        <v>0</v>
      </c>
      <c r="S1483" s="1">
        <v>25</v>
      </c>
      <c r="T1483" s="1">
        <v>0</v>
      </c>
      <c r="U1483" s="1">
        <v>0</v>
      </c>
      <c r="V1483" s="1" t="str">
        <f t="shared" si="285"/>
        <v>里程返程</v>
      </c>
      <c r="W1483" s="1" t="str">
        <f>"0620"</f>
        <v>0620</v>
      </c>
      <c r="X1483" s="1" t="s">
        <v>29</v>
      </c>
    </row>
    <row r="1484" spans="1:24" x14ac:dyDescent="0.3">
      <c r="A1484" s="1" t="str">
        <f t="shared" si="281"/>
        <v>59809</v>
      </c>
      <c r="B1484" s="1" t="s">
        <v>42</v>
      </c>
      <c r="C1484" s="1" t="s">
        <v>43</v>
      </c>
      <c r="D1484" s="1" t="str">
        <f t="shared" si="282"/>
        <v>9801</v>
      </c>
      <c r="E1484" s="1" t="s">
        <v>25</v>
      </c>
      <c r="F1484" s="1" t="str">
        <f>"62F00B1881880400C814002000000019"</f>
        <v>62F00B1881880400C814002000000019</v>
      </c>
      <c r="G1484" s="1" t="s">
        <v>59</v>
      </c>
      <c r="H1484" s="1" t="str">
        <f t="shared" si="283"/>
        <v>20220908</v>
      </c>
      <c r="I1484" s="1" t="str">
        <f>"072549"</f>
        <v>072549</v>
      </c>
      <c r="J1484" s="1" t="s">
        <v>28</v>
      </c>
      <c r="K1484" s="1" t="s">
        <v>28</v>
      </c>
      <c r="L1484" s="1" t="str">
        <f t="shared" si="284"/>
        <v>20220908</v>
      </c>
      <c r="M1484" s="1" t="str">
        <f>"075010"</f>
        <v>075010</v>
      </c>
      <c r="N1484" s="1" t="s">
        <v>72</v>
      </c>
      <c r="O1484" s="1" t="s">
        <v>52</v>
      </c>
      <c r="P1484" s="1" t="s">
        <v>55</v>
      </c>
      <c r="Q1484" s="1">
        <v>25</v>
      </c>
      <c r="R1484" s="1">
        <v>0</v>
      </c>
      <c r="S1484" s="1">
        <v>25</v>
      </c>
      <c r="T1484" s="1">
        <v>0</v>
      </c>
      <c r="U1484" s="1">
        <v>0</v>
      </c>
      <c r="V1484" s="1" t="str">
        <f t="shared" si="285"/>
        <v>里程返程</v>
      </c>
      <c r="W1484" s="1" t="str">
        <f>"0620"</f>
        <v>0620</v>
      </c>
      <c r="X1484" s="1" t="s">
        <v>29</v>
      </c>
    </row>
    <row r="1485" spans="1:24" x14ac:dyDescent="0.3">
      <c r="A1485" s="1" t="str">
        <f t="shared" si="281"/>
        <v>59809</v>
      </c>
      <c r="B1485" s="1" t="s">
        <v>42</v>
      </c>
      <c r="C1485" s="1" t="s">
        <v>43</v>
      </c>
      <c r="D1485" s="1" t="str">
        <f t="shared" si="282"/>
        <v>9801</v>
      </c>
      <c r="E1485" s="1" t="s">
        <v>25</v>
      </c>
      <c r="F1485" s="1" t="str">
        <f>"894153189"</f>
        <v>894153189</v>
      </c>
      <c r="G1485" s="1" t="s">
        <v>33</v>
      </c>
      <c r="H1485" s="1" t="str">
        <f t="shared" si="283"/>
        <v>20220908</v>
      </c>
      <c r="I1485" s="1" t="str">
        <f>"072556"</f>
        <v>072556</v>
      </c>
      <c r="J1485" s="1" t="s">
        <v>28</v>
      </c>
      <c r="K1485" s="1" t="s">
        <v>28</v>
      </c>
      <c r="L1485" s="1" t="str">
        <f t="shared" si="284"/>
        <v>20220908</v>
      </c>
      <c r="M1485" s="1" t="str">
        <f>"075012"</f>
        <v>075012</v>
      </c>
      <c r="N1485" s="1" t="s">
        <v>72</v>
      </c>
      <c r="O1485" s="1" t="s">
        <v>52</v>
      </c>
      <c r="P1485" s="1" t="s">
        <v>55</v>
      </c>
      <c r="Q1485" s="1">
        <v>25</v>
      </c>
      <c r="R1485" s="1">
        <v>0</v>
      </c>
      <c r="S1485" s="1">
        <v>25</v>
      </c>
      <c r="T1485" s="1">
        <v>0</v>
      </c>
      <c r="U1485" s="1">
        <v>0</v>
      </c>
      <c r="V1485" s="1" t="str">
        <f t="shared" si="285"/>
        <v>里程返程</v>
      </c>
      <c r="W1485" s="1" t="str">
        <f>"0820"</f>
        <v>0820</v>
      </c>
      <c r="X1485" s="1" t="s">
        <v>35</v>
      </c>
    </row>
    <row r="1486" spans="1:24" x14ac:dyDescent="0.3">
      <c r="A1486" s="1" t="str">
        <f t="shared" si="281"/>
        <v>59809</v>
      </c>
      <c r="B1486" s="1" t="s">
        <v>42</v>
      </c>
      <c r="C1486" s="1" t="s">
        <v>43</v>
      </c>
      <c r="D1486" s="1" t="str">
        <f t="shared" si="282"/>
        <v>9801</v>
      </c>
      <c r="E1486" s="1" t="s">
        <v>25</v>
      </c>
      <c r="F1486" s="1" t="str">
        <f>"F2F7D002D7880400C834002000000015"</f>
        <v>F2F7D002D7880400C834002000000015</v>
      </c>
      <c r="G1486" s="1" t="s">
        <v>74</v>
      </c>
      <c r="H1486" s="1" t="str">
        <f t="shared" si="283"/>
        <v>20220908</v>
      </c>
      <c r="I1486" s="1" t="str">
        <f>"073613"</f>
        <v>073613</v>
      </c>
      <c r="J1486" s="1" t="s">
        <v>67</v>
      </c>
      <c r="K1486" s="1" t="s">
        <v>52</v>
      </c>
      <c r="L1486" s="1" t="str">
        <f t="shared" si="284"/>
        <v>20220908</v>
      </c>
      <c r="M1486" s="1" t="str">
        <f>"075800"</f>
        <v>075800</v>
      </c>
      <c r="N1486" s="1" t="s">
        <v>52</v>
      </c>
      <c r="O1486" s="1" t="s">
        <v>52</v>
      </c>
      <c r="P1486" s="1" t="s">
        <v>68</v>
      </c>
      <c r="Q1486" s="1">
        <v>13</v>
      </c>
      <c r="R1486" s="1">
        <v>0</v>
      </c>
      <c r="S1486" s="1">
        <v>0</v>
      </c>
      <c r="T1486" s="1">
        <v>13</v>
      </c>
      <c r="U1486" s="1">
        <v>0</v>
      </c>
      <c r="V1486" s="1" t="str">
        <f t="shared" si="285"/>
        <v>里程返程</v>
      </c>
      <c r="W1486" s="1" t="str">
        <f>"0020"</f>
        <v>0020</v>
      </c>
      <c r="X1486" s="1" t="s">
        <v>29</v>
      </c>
    </row>
    <row r="1487" spans="1:24" x14ac:dyDescent="0.3">
      <c r="A1487" s="1" t="str">
        <f t="shared" si="281"/>
        <v>59809</v>
      </c>
      <c r="B1487" s="1" t="s">
        <v>42</v>
      </c>
      <c r="C1487" s="1" t="s">
        <v>43</v>
      </c>
      <c r="D1487" s="1" t="str">
        <f t="shared" si="282"/>
        <v>9801</v>
      </c>
      <c r="E1487" s="1" t="s">
        <v>25</v>
      </c>
      <c r="F1487" s="1" t="str">
        <f>"1725435766"</f>
        <v>1725435766</v>
      </c>
      <c r="G1487" s="1" t="s">
        <v>26</v>
      </c>
      <c r="H1487" s="1" t="str">
        <f t="shared" si="283"/>
        <v>20220908</v>
      </c>
      <c r="I1487" s="1" t="str">
        <f>"073921"</f>
        <v>073921</v>
      </c>
      <c r="J1487" s="1" t="s">
        <v>69</v>
      </c>
      <c r="K1487" s="1" t="s">
        <v>52</v>
      </c>
      <c r="L1487" s="1" t="str">
        <f t="shared" si="284"/>
        <v>20220908</v>
      </c>
      <c r="M1487" s="1" t="str">
        <f>"075247"</f>
        <v>075247</v>
      </c>
      <c r="N1487" s="1" t="s">
        <v>51</v>
      </c>
      <c r="O1487" s="1" t="s">
        <v>52</v>
      </c>
      <c r="P1487" s="1" t="s">
        <v>55</v>
      </c>
      <c r="Q1487" s="1">
        <v>13</v>
      </c>
      <c r="R1487" s="1">
        <v>13</v>
      </c>
      <c r="S1487" s="1">
        <v>0</v>
      </c>
      <c r="T1487" s="1">
        <v>0</v>
      </c>
      <c r="U1487" s="1">
        <v>0</v>
      </c>
      <c r="V1487" s="1" t="str">
        <f t="shared" si="285"/>
        <v>里程返程</v>
      </c>
      <c r="W1487" s="1" t="str">
        <f>"2120"</f>
        <v>2120</v>
      </c>
      <c r="X1487" s="1" t="s">
        <v>35</v>
      </c>
    </row>
    <row r="1488" spans="1:24" x14ac:dyDescent="0.3">
      <c r="A1488" s="1" t="str">
        <f t="shared" si="281"/>
        <v>59809</v>
      </c>
      <c r="B1488" s="1" t="s">
        <v>42</v>
      </c>
      <c r="C1488" s="1" t="s">
        <v>43</v>
      </c>
      <c r="D1488" s="1" t="str">
        <f t="shared" si="282"/>
        <v>9801</v>
      </c>
      <c r="E1488" s="1" t="s">
        <v>25</v>
      </c>
      <c r="F1488" s="1" t="str">
        <f>"1261360A4F880400C810002000000016"</f>
        <v>1261360A4F880400C810002000000016</v>
      </c>
      <c r="G1488" s="1" t="s">
        <v>59</v>
      </c>
      <c r="H1488" s="1" t="str">
        <f t="shared" si="283"/>
        <v>20220908</v>
      </c>
      <c r="I1488" s="1" t="str">
        <f>"074227"</f>
        <v>074227</v>
      </c>
      <c r="J1488" s="1" t="s">
        <v>69</v>
      </c>
      <c r="K1488" s="1" t="s">
        <v>52</v>
      </c>
      <c r="L1488" s="1" t="str">
        <f t="shared" si="284"/>
        <v>20220908</v>
      </c>
      <c r="M1488" s="1" t="str">
        <f>"074745"</f>
        <v>074745</v>
      </c>
      <c r="N1488" s="1" t="s">
        <v>65</v>
      </c>
      <c r="O1488" s="1" t="s">
        <v>52</v>
      </c>
      <c r="P1488" s="1" t="s">
        <v>55</v>
      </c>
      <c r="Q1488" s="1">
        <v>25</v>
      </c>
      <c r="R1488" s="1">
        <v>25</v>
      </c>
      <c r="S1488" s="1">
        <v>0</v>
      </c>
      <c r="T1488" s="1">
        <v>0</v>
      </c>
      <c r="U1488" s="1">
        <v>0</v>
      </c>
      <c r="V1488" s="1" t="str">
        <f t="shared" si="285"/>
        <v>里程返程</v>
      </c>
      <c r="W1488" s="1" t="str">
        <f>"0020"</f>
        <v>0020</v>
      </c>
      <c r="X1488" s="1" t="s">
        <v>29</v>
      </c>
    </row>
    <row r="1489" spans="1:24" x14ac:dyDescent="0.3">
      <c r="A1489" s="1" t="str">
        <f t="shared" si="281"/>
        <v>59809</v>
      </c>
      <c r="B1489" s="1" t="s">
        <v>42</v>
      </c>
      <c r="C1489" s="1" t="s">
        <v>43</v>
      </c>
      <c r="D1489" s="1" t="str">
        <f t="shared" si="282"/>
        <v>9801</v>
      </c>
      <c r="E1489" s="1" t="s">
        <v>25</v>
      </c>
      <c r="F1489" s="1" t="str">
        <f>"1759959808"</f>
        <v>1759959808</v>
      </c>
      <c r="G1489" s="1" t="s">
        <v>33</v>
      </c>
      <c r="H1489" s="1" t="str">
        <f t="shared" si="283"/>
        <v>20220908</v>
      </c>
      <c r="I1489" s="1" t="str">
        <f>"074506"</f>
        <v>074506</v>
      </c>
      <c r="J1489" s="1" t="s">
        <v>80</v>
      </c>
      <c r="K1489" s="1" t="s">
        <v>52</v>
      </c>
      <c r="L1489" s="1" t="str">
        <f t="shared" si="284"/>
        <v>20220908</v>
      </c>
      <c r="M1489" s="1" t="str">
        <f>"075604"</f>
        <v>075604</v>
      </c>
      <c r="N1489" s="1" t="s">
        <v>60</v>
      </c>
      <c r="O1489" s="1" t="s">
        <v>52</v>
      </c>
      <c r="P1489" s="1" t="s">
        <v>55</v>
      </c>
      <c r="Q1489" s="1">
        <v>25</v>
      </c>
      <c r="R1489" s="1">
        <v>25</v>
      </c>
      <c r="S1489" s="1">
        <v>0</v>
      </c>
      <c r="T1489" s="1">
        <v>0</v>
      </c>
      <c r="U1489" s="1">
        <v>0</v>
      </c>
      <c r="V1489" s="1" t="str">
        <f t="shared" si="285"/>
        <v>里程返程</v>
      </c>
      <c r="W1489" s="1" t="str">
        <f>"2020"</f>
        <v>2020</v>
      </c>
      <c r="X1489" s="1" t="s">
        <v>35</v>
      </c>
    </row>
    <row r="1490" spans="1:24" x14ac:dyDescent="0.3">
      <c r="A1490" s="1" t="str">
        <f t="shared" si="281"/>
        <v>59809</v>
      </c>
      <c r="B1490" s="1" t="s">
        <v>42</v>
      </c>
      <c r="C1490" s="1" t="s">
        <v>43</v>
      </c>
      <c r="D1490" s="1" t="str">
        <f t="shared" si="282"/>
        <v>9801</v>
      </c>
      <c r="E1490" s="1" t="s">
        <v>25</v>
      </c>
      <c r="F1490" s="1" t="str">
        <f>"F2F7D002D7880400C834002000000015"</f>
        <v>F2F7D002D7880400C834002000000015</v>
      </c>
      <c r="G1490" s="1" t="s">
        <v>74</v>
      </c>
      <c r="H1490" s="1" t="str">
        <f t="shared" si="283"/>
        <v>20220908</v>
      </c>
      <c r="I1490" s="1" t="str">
        <f>"080026"</f>
        <v>080026</v>
      </c>
      <c r="J1490" s="1" t="s">
        <v>52</v>
      </c>
      <c r="K1490" s="1" t="s">
        <v>52</v>
      </c>
      <c r="L1490" s="1" t="str">
        <f t="shared" si="284"/>
        <v>20220908</v>
      </c>
      <c r="M1490" s="1" t="str">
        <f>"084657"</f>
        <v>084657</v>
      </c>
      <c r="N1490" s="1" t="s">
        <v>56</v>
      </c>
      <c r="O1490" s="1" t="s">
        <v>45</v>
      </c>
      <c r="P1490" s="1" t="s">
        <v>68</v>
      </c>
      <c r="Q1490" s="1">
        <v>25</v>
      </c>
      <c r="R1490" s="1">
        <v>0</v>
      </c>
      <c r="S1490" s="1">
        <v>0</v>
      </c>
      <c r="T1490" s="1">
        <v>25</v>
      </c>
      <c r="U1490" s="1">
        <v>0</v>
      </c>
      <c r="V1490" s="1" t="str">
        <f>"里程去程"</f>
        <v>里程去程</v>
      </c>
      <c r="W1490" s="1" t="str">
        <f>"0020"</f>
        <v>0020</v>
      </c>
      <c r="X1490" s="1" t="s">
        <v>29</v>
      </c>
    </row>
    <row r="1491" spans="1:24" x14ac:dyDescent="0.3">
      <c r="A1491" s="1" t="str">
        <f t="shared" si="281"/>
        <v>59809</v>
      </c>
      <c r="B1491" s="1" t="s">
        <v>42</v>
      </c>
      <c r="C1491" s="1" t="s">
        <v>43</v>
      </c>
      <c r="D1491" s="1" t="str">
        <f t="shared" si="282"/>
        <v>9801</v>
      </c>
      <c r="E1491" s="1" t="s">
        <v>25</v>
      </c>
      <c r="F1491" s="1" t="str">
        <f>"32780D0344880400C834002000000015"</f>
        <v>32780D0344880400C834002000000015</v>
      </c>
      <c r="G1491" s="1" t="s">
        <v>26</v>
      </c>
      <c r="H1491" s="1" t="str">
        <f t="shared" si="283"/>
        <v>20220908</v>
      </c>
      <c r="I1491" s="1" t="str">
        <f>"083611"</f>
        <v>083611</v>
      </c>
      <c r="J1491" s="1" t="s">
        <v>27</v>
      </c>
      <c r="K1491" s="1" t="s">
        <v>28</v>
      </c>
      <c r="L1491" s="1" t="str">
        <f t="shared" si="284"/>
        <v>20220908</v>
      </c>
      <c r="M1491" s="1" t="str">
        <f>"084535"</f>
        <v>084535</v>
      </c>
      <c r="N1491" s="1" t="s">
        <v>56</v>
      </c>
      <c r="O1491" s="1" t="s">
        <v>45</v>
      </c>
      <c r="P1491" s="1" t="s">
        <v>68</v>
      </c>
      <c r="Q1491" s="1">
        <v>13</v>
      </c>
      <c r="R1491" s="1">
        <v>0</v>
      </c>
      <c r="S1491" s="1">
        <v>0</v>
      </c>
      <c r="T1491" s="1">
        <v>13</v>
      </c>
      <c r="U1491" s="1">
        <v>0</v>
      </c>
      <c r="V1491" s="1" t="str">
        <f>"里程去程"</f>
        <v>里程去程</v>
      </c>
      <c r="W1491" s="1" t="str">
        <f>"0020"</f>
        <v>0020</v>
      </c>
      <c r="X1491" s="1" t="s">
        <v>29</v>
      </c>
    </row>
    <row r="1492" spans="1:24" x14ac:dyDescent="0.3">
      <c r="A1492" s="1" t="str">
        <f t="shared" si="281"/>
        <v>59809</v>
      </c>
      <c r="B1492" s="1" t="s">
        <v>42</v>
      </c>
      <c r="C1492" s="1" t="s">
        <v>43</v>
      </c>
      <c r="D1492" s="1" t="str">
        <f t="shared" si="282"/>
        <v>9801</v>
      </c>
      <c r="E1492" s="1" t="s">
        <v>25</v>
      </c>
      <c r="F1492" s="1" t="str">
        <f>"269636433"</f>
        <v>269636433</v>
      </c>
      <c r="G1492" s="1" t="s">
        <v>33</v>
      </c>
      <c r="H1492" s="1" t="str">
        <f t="shared" si="283"/>
        <v>20220908</v>
      </c>
      <c r="I1492" s="1" t="str">
        <f>"084541"</f>
        <v>084541</v>
      </c>
      <c r="J1492" s="1" t="s">
        <v>56</v>
      </c>
      <c r="K1492" s="1" t="s">
        <v>45</v>
      </c>
      <c r="L1492" s="1" t="str">
        <f t="shared" si="284"/>
        <v>20220908</v>
      </c>
      <c r="M1492" s="1" t="str">
        <f>"085552"</f>
        <v>085552</v>
      </c>
      <c r="N1492" s="1" t="s">
        <v>44</v>
      </c>
      <c r="O1492" s="1" t="s">
        <v>45</v>
      </c>
      <c r="P1492" s="1" t="s">
        <v>55</v>
      </c>
      <c r="Q1492" s="1">
        <v>25</v>
      </c>
      <c r="R1492" s="1">
        <v>25</v>
      </c>
      <c r="S1492" s="1">
        <v>0</v>
      </c>
      <c r="T1492" s="1">
        <v>0</v>
      </c>
      <c r="U1492" s="1">
        <v>0</v>
      </c>
      <c r="V1492" s="1" t="str">
        <f>"里程去程"</f>
        <v>里程去程</v>
      </c>
      <c r="W1492" s="1" t="str">
        <f>"2020"</f>
        <v>2020</v>
      </c>
      <c r="X1492" s="1" t="s">
        <v>35</v>
      </c>
    </row>
    <row r="1493" spans="1:24" x14ac:dyDescent="0.3">
      <c r="A1493" s="1" t="str">
        <f t="shared" si="281"/>
        <v>59809</v>
      </c>
      <c r="B1493" s="1" t="s">
        <v>42</v>
      </c>
      <c r="C1493" s="1" t="s">
        <v>43</v>
      </c>
      <c r="D1493" s="1" t="str">
        <f t="shared" si="282"/>
        <v>9801</v>
      </c>
      <c r="E1493" s="1" t="s">
        <v>25</v>
      </c>
      <c r="F1493" s="1" t="str">
        <f>"E213BD024E880400C834002000000015"</f>
        <v>E213BD024E880400C834002000000015</v>
      </c>
      <c r="G1493" s="1" t="s">
        <v>74</v>
      </c>
      <c r="H1493" s="1" t="str">
        <f t="shared" si="283"/>
        <v>20220908</v>
      </c>
      <c r="I1493" s="1" t="str">
        <f>"093401"</f>
        <v>093401</v>
      </c>
      <c r="J1493" s="1" t="s">
        <v>27</v>
      </c>
      <c r="K1493" s="1" t="s">
        <v>28</v>
      </c>
      <c r="L1493" s="1" t="str">
        <f t="shared" si="284"/>
        <v>20220908</v>
      </c>
      <c r="M1493" s="1" t="str">
        <f>"094446"</f>
        <v>094446</v>
      </c>
      <c r="N1493" s="1" t="s">
        <v>56</v>
      </c>
      <c r="O1493" s="1" t="s">
        <v>45</v>
      </c>
      <c r="P1493" s="1" t="s">
        <v>68</v>
      </c>
      <c r="Q1493" s="1">
        <v>13</v>
      </c>
      <c r="R1493" s="1">
        <v>0</v>
      </c>
      <c r="S1493" s="1">
        <v>0</v>
      </c>
      <c r="T1493" s="1">
        <v>13</v>
      </c>
      <c r="U1493" s="1">
        <v>0</v>
      </c>
      <c r="V1493" s="1" t="str">
        <f>"里程去程"</f>
        <v>里程去程</v>
      </c>
      <c r="W1493" s="1" t="str">
        <f>"0020"</f>
        <v>0020</v>
      </c>
      <c r="X1493" s="1" t="s">
        <v>29</v>
      </c>
    </row>
    <row r="1494" spans="1:24" x14ac:dyDescent="0.3">
      <c r="A1494" s="1" t="str">
        <f t="shared" si="281"/>
        <v>59809</v>
      </c>
      <c r="B1494" s="1" t="s">
        <v>42</v>
      </c>
      <c r="C1494" s="1" t="s">
        <v>43</v>
      </c>
      <c r="D1494" s="1" t="str">
        <f t="shared" si="282"/>
        <v>9801</v>
      </c>
      <c r="E1494" s="1" t="s">
        <v>25</v>
      </c>
      <c r="F1494" s="1" t="str">
        <f>"82D5FB02AE880400C834002000000015"</f>
        <v>82D5FB02AE880400C834002000000015</v>
      </c>
      <c r="G1494" s="1" t="s">
        <v>26</v>
      </c>
      <c r="H1494" s="1" t="str">
        <f t="shared" si="283"/>
        <v>20220908</v>
      </c>
      <c r="I1494" s="1" t="str">
        <f>"122615"</f>
        <v>122615</v>
      </c>
      <c r="J1494" s="1" t="s">
        <v>44</v>
      </c>
      <c r="K1494" s="1" t="s">
        <v>45</v>
      </c>
      <c r="L1494" s="1" t="str">
        <f t="shared" si="284"/>
        <v>20220908</v>
      </c>
      <c r="M1494" s="1" t="str">
        <f>"123210"</f>
        <v>123210</v>
      </c>
      <c r="N1494" s="1" t="s">
        <v>44</v>
      </c>
      <c r="O1494" s="1" t="s">
        <v>45</v>
      </c>
      <c r="P1494" s="1" t="s">
        <v>68</v>
      </c>
      <c r="Q1494" s="1">
        <v>13</v>
      </c>
      <c r="R1494" s="1">
        <v>0</v>
      </c>
      <c r="S1494" s="1">
        <v>0</v>
      </c>
      <c r="T1494" s="1">
        <v>13</v>
      </c>
      <c r="U1494" s="1">
        <v>0</v>
      </c>
      <c r="V1494" s="1" t="str">
        <f t="shared" ref="V1494:V1525" si="286">"里程返程"</f>
        <v>里程返程</v>
      </c>
      <c r="W1494" s="1" t="str">
        <f>"0020"</f>
        <v>0020</v>
      </c>
      <c r="X1494" s="1" t="s">
        <v>29</v>
      </c>
    </row>
    <row r="1495" spans="1:24" x14ac:dyDescent="0.3">
      <c r="A1495" s="1" t="str">
        <f t="shared" si="281"/>
        <v>59809</v>
      </c>
      <c r="B1495" s="1" t="s">
        <v>42</v>
      </c>
      <c r="C1495" s="1" t="s">
        <v>43</v>
      </c>
      <c r="D1495" s="1" t="str">
        <f t="shared" si="282"/>
        <v>9801</v>
      </c>
      <c r="E1495" s="1" t="s">
        <v>25</v>
      </c>
      <c r="F1495" s="1" t="str">
        <f>"1618801701"</f>
        <v>1618801701</v>
      </c>
      <c r="G1495" s="1" t="s">
        <v>26</v>
      </c>
      <c r="H1495" s="1" t="str">
        <f t="shared" si="283"/>
        <v>20220908</v>
      </c>
      <c r="I1495" s="1" t="str">
        <f>"125243"</f>
        <v>125243</v>
      </c>
      <c r="J1495" s="1" t="s">
        <v>28</v>
      </c>
      <c r="K1495" s="1" t="s">
        <v>28</v>
      </c>
      <c r="L1495" s="1" t="str">
        <f t="shared" si="284"/>
        <v>20220908</v>
      </c>
      <c r="M1495" s="1" t="str">
        <f>"131928"</f>
        <v>131928</v>
      </c>
      <c r="N1495" s="1" t="s">
        <v>60</v>
      </c>
      <c r="O1495" s="1" t="s">
        <v>52</v>
      </c>
      <c r="P1495" s="1" t="s">
        <v>55</v>
      </c>
      <c r="Q1495" s="1">
        <v>13</v>
      </c>
      <c r="R1495" s="1">
        <v>0</v>
      </c>
      <c r="S1495" s="1">
        <v>13</v>
      </c>
      <c r="T1495" s="1">
        <v>0</v>
      </c>
      <c r="U1495" s="1">
        <v>0</v>
      </c>
      <c r="V1495" s="1" t="str">
        <f t="shared" si="286"/>
        <v>里程返程</v>
      </c>
      <c r="W1495" s="1" t="str">
        <f>"2020"</f>
        <v>2020</v>
      </c>
      <c r="X1495" s="1" t="s">
        <v>35</v>
      </c>
    </row>
    <row r="1496" spans="1:24" x14ac:dyDescent="0.3">
      <c r="A1496" s="1" t="str">
        <f t="shared" si="281"/>
        <v>59809</v>
      </c>
      <c r="B1496" s="1" t="s">
        <v>42</v>
      </c>
      <c r="C1496" s="1" t="s">
        <v>43</v>
      </c>
      <c r="D1496" s="1" t="str">
        <f t="shared" si="282"/>
        <v>9801</v>
      </c>
      <c r="E1496" s="1" t="s">
        <v>25</v>
      </c>
      <c r="F1496" s="1" t="str">
        <f>"3758288823"</f>
        <v>3758288823</v>
      </c>
      <c r="G1496" s="1" t="s">
        <v>33</v>
      </c>
      <c r="H1496" s="1" t="str">
        <f t="shared" si="283"/>
        <v>20220908</v>
      </c>
      <c r="I1496" s="1" t="str">
        <f>"125254"</f>
        <v>125254</v>
      </c>
      <c r="J1496" s="1" t="s">
        <v>28</v>
      </c>
      <c r="K1496" s="1" t="s">
        <v>28</v>
      </c>
      <c r="L1496" s="1" t="str">
        <f t="shared" si="284"/>
        <v>20220908</v>
      </c>
      <c r="M1496" s="1" t="str">
        <f>"132027"</f>
        <v>132027</v>
      </c>
      <c r="N1496" s="1" t="s">
        <v>86</v>
      </c>
      <c r="O1496" s="1" t="s">
        <v>52</v>
      </c>
      <c r="P1496" s="1" t="s">
        <v>55</v>
      </c>
      <c r="Q1496" s="1">
        <v>25</v>
      </c>
      <c r="R1496" s="1">
        <v>25</v>
      </c>
      <c r="S1496" s="1">
        <v>0</v>
      </c>
      <c r="T1496" s="1">
        <v>0</v>
      </c>
      <c r="U1496" s="1">
        <v>0</v>
      </c>
      <c r="V1496" s="1" t="str">
        <f t="shared" si="286"/>
        <v>里程返程</v>
      </c>
      <c r="W1496" s="1" t="str">
        <f>"0120"</f>
        <v>0120</v>
      </c>
      <c r="X1496" s="1" t="s">
        <v>35</v>
      </c>
    </row>
    <row r="1497" spans="1:24" x14ac:dyDescent="0.3">
      <c r="A1497" s="1" t="str">
        <f t="shared" si="281"/>
        <v>59809</v>
      </c>
      <c r="B1497" s="1" t="s">
        <v>42</v>
      </c>
      <c r="C1497" s="1" t="s">
        <v>43</v>
      </c>
      <c r="D1497" s="1" t="str">
        <f t="shared" si="282"/>
        <v>9801</v>
      </c>
      <c r="E1497" s="1" t="s">
        <v>25</v>
      </c>
      <c r="F1497" s="1" t="str">
        <f>"1199359025"</f>
        <v>1199359025</v>
      </c>
      <c r="G1497" s="1" t="s">
        <v>33</v>
      </c>
      <c r="H1497" s="1" t="str">
        <f t="shared" si="283"/>
        <v>20220908</v>
      </c>
      <c r="I1497" s="1" t="str">
        <f>"125259"</f>
        <v>125259</v>
      </c>
      <c r="J1497" s="1" t="s">
        <v>28</v>
      </c>
      <c r="K1497" s="1" t="s">
        <v>28</v>
      </c>
      <c r="L1497" s="1" t="str">
        <f t="shared" si="284"/>
        <v>20220908</v>
      </c>
      <c r="M1497" s="1" t="str">
        <f>"130941"</f>
        <v>130941</v>
      </c>
      <c r="N1497" s="1" t="s">
        <v>77</v>
      </c>
      <c r="O1497" s="1" t="s">
        <v>52</v>
      </c>
      <c r="P1497" s="1" t="s">
        <v>55</v>
      </c>
      <c r="Q1497" s="1">
        <v>25</v>
      </c>
      <c r="R1497" s="1">
        <v>25</v>
      </c>
      <c r="S1497" s="1">
        <v>0</v>
      </c>
      <c r="T1497" s="1">
        <v>0</v>
      </c>
      <c r="U1497" s="1">
        <v>0</v>
      </c>
      <c r="V1497" s="1" t="str">
        <f t="shared" si="286"/>
        <v>里程返程</v>
      </c>
      <c r="W1497" s="1" t="str">
        <f>"0120"</f>
        <v>0120</v>
      </c>
      <c r="X1497" s="1" t="s">
        <v>35</v>
      </c>
    </row>
    <row r="1498" spans="1:24" x14ac:dyDescent="0.3">
      <c r="A1498" s="1" t="str">
        <f t="shared" si="281"/>
        <v>59809</v>
      </c>
      <c r="B1498" s="1" t="s">
        <v>42</v>
      </c>
      <c r="C1498" s="1" t="s">
        <v>43</v>
      </c>
      <c r="D1498" s="1" t="str">
        <f t="shared" si="282"/>
        <v>9801</v>
      </c>
      <c r="E1498" s="1" t="s">
        <v>25</v>
      </c>
      <c r="F1498" s="1" t="str">
        <f>"5264B50281880400C834002000000015"</f>
        <v>5264B50281880400C834002000000015</v>
      </c>
      <c r="G1498" s="1" t="s">
        <v>59</v>
      </c>
      <c r="H1498" s="1" t="str">
        <f t="shared" si="283"/>
        <v>20220908</v>
      </c>
      <c r="I1498" s="1" t="str">
        <f>"125305"</f>
        <v>125305</v>
      </c>
      <c r="J1498" s="1" t="s">
        <v>28</v>
      </c>
      <c r="K1498" s="1" t="s">
        <v>28</v>
      </c>
      <c r="L1498" s="1" t="str">
        <f t="shared" si="284"/>
        <v>20220908</v>
      </c>
      <c r="M1498" s="1" t="str">
        <f>"131436"</f>
        <v>131436</v>
      </c>
      <c r="N1498" s="1" t="s">
        <v>65</v>
      </c>
      <c r="O1498" s="1" t="s">
        <v>52</v>
      </c>
      <c r="P1498" s="1" t="s">
        <v>55</v>
      </c>
      <c r="Q1498" s="1">
        <v>25</v>
      </c>
      <c r="R1498" s="1">
        <v>25</v>
      </c>
      <c r="S1498" s="1">
        <v>0</v>
      </c>
      <c r="T1498" s="1">
        <v>0</v>
      </c>
      <c r="U1498" s="1">
        <v>0</v>
      </c>
      <c r="V1498" s="1" t="str">
        <f t="shared" si="286"/>
        <v>里程返程</v>
      </c>
      <c r="W1498" s="1" t="str">
        <f>"0020"</f>
        <v>0020</v>
      </c>
      <c r="X1498" s="1" t="s">
        <v>29</v>
      </c>
    </row>
    <row r="1499" spans="1:24" x14ac:dyDescent="0.3">
      <c r="A1499" s="1" t="str">
        <f t="shared" si="281"/>
        <v>59809</v>
      </c>
      <c r="B1499" s="1" t="s">
        <v>42</v>
      </c>
      <c r="C1499" s="1" t="s">
        <v>43</v>
      </c>
      <c r="D1499" s="1" t="str">
        <f t="shared" si="282"/>
        <v>9801</v>
      </c>
      <c r="E1499" s="1" t="s">
        <v>25</v>
      </c>
      <c r="F1499" s="1" t="str">
        <f>"C268F5055A880400C838002000000015"</f>
        <v>C268F5055A880400C838002000000015</v>
      </c>
      <c r="G1499" s="1" t="s">
        <v>26</v>
      </c>
      <c r="H1499" s="1" t="str">
        <f t="shared" si="283"/>
        <v>20220908</v>
      </c>
      <c r="I1499" s="1" t="str">
        <f>"125309"</f>
        <v>125309</v>
      </c>
      <c r="J1499" s="1" t="s">
        <v>28</v>
      </c>
      <c r="K1499" s="1" t="s">
        <v>28</v>
      </c>
      <c r="L1499" s="1" t="str">
        <f t="shared" si="284"/>
        <v>20220908</v>
      </c>
      <c r="M1499" s="1" t="str">
        <f>"131434"</f>
        <v>131434</v>
      </c>
      <c r="N1499" s="1" t="s">
        <v>65</v>
      </c>
      <c r="O1499" s="1" t="s">
        <v>52</v>
      </c>
      <c r="P1499" s="1" t="s">
        <v>68</v>
      </c>
      <c r="Q1499" s="1">
        <v>13</v>
      </c>
      <c r="R1499" s="1">
        <v>0</v>
      </c>
      <c r="S1499" s="1">
        <v>0</v>
      </c>
      <c r="T1499" s="1">
        <v>13</v>
      </c>
      <c r="U1499" s="1">
        <v>0</v>
      </c>
      <c r="V1499" s="1" t="str">
        <f t="shared" si="286"/>
        <v>里程返程</v>
      </c>
      <c r="W1499" s="1" t="str">
        <f>"0020"</f>
        <v>0020</v>
      </c>
      <c r="X1499" s="1" t="s">
        <v>29</v>
      </c>
    </row>
    <row r="1500" spans="1:24" x14ac:dyDescent="0.3">
      <c r="A1500" s="1" t="str">
        <f t="shared" si="281"/>
        <v>59809</v>
      </c>
      <c r="B1500" s="1" t="s">
        <v>42</v>
      </c>
      <c r="C1500" s="1" t="s">
        <v>43</v>
      </c>
      <c r="D1500" s="1" t="str">
        <f t="shared" si="282"/>
        <v>9801</v>
      </c>
      <c r="E1500" s="1" t="s">
        <v>25</v>
      </c>
      <c r="F1500" s="1" t="str">
        <f>"719292309"</f>
        <v>719292309</v>
      </c>
      <c r="G1500" s="1" t="s">
        <v>33</v>
      </c>
      <c r="H1500" s="1" t="str">
        <f t="shared" si="283"/>
        <v>20220908</v>
      </c>
      <c r="I1500" s="1" t="str">
        <f>"125312"</f>
        <v>125312</v>
      </c>
      <c r="J1500" s="1" t="s">
        <v>28</v>
      </c>
      <c r="K1500" s="1" t="s">
        <v>28</v>
      </c>
      <c r="L1500" s="1" t="str">
        <f t="shared" si="284"/>
        <v>20220908</v>
      </c>
      <c r="M1500" s="1" t="str">
        <f>"131441"</f>
        <v>131441</v>
      </c>
      <c r="N1500" s="1" t="s">
        <v>65</v>
      </c>
      <c r="O1500" s="1" t="s">
        <v>52</v>
      </c>
      <c r="P1500" s="1" t="s">
        <v>55</v>
      </c>
      <c r="Q1500" s="1">
        <v>25</v>
      </c>
      <c r="R1500" s="1">
        <v>0</v>
      </c>
      <c r="S1500" s="1">
        <v>25</v>
      </c>
      <c r="T1500" s="1">
        <v>0</v>
      </c>
      <c r="U1500" s="1">
        <v>0</v>
      </c>
      <c r="V1500" s="1" t="str">
        <f t="shared" si="286"/>
        <v>里程返程</v>
      </c>
      <c r="W1500" s="1" t="str">
        <f>"0820"</f>
        <v>0820</v>
      </c>
      <c r="X1500" s="1" t="s">
        <v>35</v>
      </c>
    </row>
    <row r="1501" spans="1:24" x14ac:dyDescent="0.3">
      <c r="A1501" s="1" t="str">
        <f t="shared" si="281"/>
        <v>59809</v>
      </c>
      <c r="B1501" s="1" t="s">
        <v>42</v>
      </c>
      <c r="C1501" s="1" t="s">
        <v>43</v>
      </c>
      <c r="D1501" s="1" t="str">
        <f t="shared" si="282"/>
        <v>9801</v>
      </c>
      <c r="E1501" s="1" t="s">
        <v>25</v>
      </c>
      <c r="F1501" s="1" t="str">
        <f>"1051179569"</f>
        <v>1051179569</v>
      </c>
      <c r="G1501" s="1" t="s">
        <v>33</v>
      </c>
      <c r="H1501" s="1" t="str">
        <f t="shared" si="283"/>
        <v>20220908</v>
      </c>
      <c r="I1501" s="1" t="str">
        <f>"125314"</f>
        <v>125314</v>
      </c>
      <c r="J1501" s="1" t="s">
        <v>28</v>
      </c>
      <c r="K1501" s="1" t="s">
        <v>28</v>
      </c>
      <c r="L1501" s="1" t="str">
        <f t="shared" si="284"/>
        <v>20220908</v>
      </c>
      <c r="M1501" s="1" t="str">
        <f>"131439"</f>
        <v>131439</v>
      </c>
      <c r="N1501" s="1" t="s">
        <v>65</v>
      </c>
      <c r="O1501" s="1" t="s">
        <v>52</v>
      </c>
      <c r="P1501" s="1" t="s">
        <v>55</v>
      </c>
      <c r="Q1501" s="1">
        <v>25</v>
      </c>
      <c r="R1501" s="1">
        <v>25</v>
      </c>
      <c r="S1501" s="1">
        <v>0</v>
      </c>
      <c r="T1501" s="1">
        <v>0</v>
      </c>
      <c r="U1501" s="1">
        <v>0</v>
      </c>
      <c r="V1501" s="1" t="str">
        <f t="shared" si="286"/>
        <v>里程返程</v>
      </c>
      <c r="W1501" s="1" t="str">
        <f>"1420"</f>
        <v>1420</v>
      </c>
      <c r="X1501" s="1" t="s">
        <v>35</v>
      </c>
    </row>
    <row r="1502" spans="1:24" x14ac:dyDescent="0.3">
      <c r="A1502" s="1" t="str">
        <f t="shared" si="281"/>
        <v>59809</v>
      </c>
      <c r="B1502" s="1" t="s">
        <v>42</v>
      </c>
      <c r="C1502" s="1" t="s">
        <v>43</v>
      </c>
      <c r="D1502" s="1" t="str">
        <f t="shared" si="282"/>
        <v>9801</v>
      </c>
      <c r="E1502" s="1" t="s">
        <v>25</v>
      </c>
      <c r="F1502" s="1" t="str">
        <f>"FA9D016305880400C18514D041904512"</f>
        <v>FA9D016305880400C18514D041904512</v>
      </c>
      <c r="G1502" s="1" t="s">
        <v>64</v>
      </c>
      <c r="H1502" s="1" t="str">
        <f t="shared" si="283"/>
        <v>20220908</v>
      </c>
      <c r="I1502" s="1" t="str">
        <f>"125426"</f>
        <v>125426</v>
      </c>
      <c r="J1502" s="1" t="s">
        <v>28</v>
      </c>
      <c r="K1502" s="1" t="s">
        <v>28</v>
      </c>
      <c r="L1502" s="1" t="str">
        <f t="shared" si="284"/>
        <v>20220908</v>
      </c>
      <c r="M1502" s="1" t="str">
        <f>"132419"</f>
        <v>132419</v>
      </c>
      <c r="N1502" s="1" t="s">
        <v>52</v>
      </c>
      <c r="O1502" s="1" t="s">
        <v>52</v>
      </c>
      <c r="P1502" s="1" t="s">
        <v>55</v>
      </c>
      <c r="Q1502" s="1">
        <v>13</v>
      </c>
      <c r="R1502" s="1">
        <v>13</v>
      </c>
      <c r="S1502" s="1">
        <v>0</v>
      </c>
      <c r="T1502" s="1">
        <v>0</v>
      </c>
      <c r="U1502" s="1">
        <v>0</v>
      </c>
      <c r="V1502" s="1" t="str">
        <f t="shared" si="286"/>
        <v>里程返程</v>
      </c>
      <c r="W1502" s="1" t="str">
        <f>"0020"</f>
        <v>0020</v>
      </c>
      <c r="X1502" s="1" t="s">
        <v>29</v>
      </c>
    </row>
    <row r="1503" spans="1:24" x14ac:dyDescent="0.3">
      <c r="A1503" s="1" t="str">
        <f t="shared" ref="A1503:A1527" si="287">"59809"</f>
        <v>59809</v>
      </c>
      <c r="B1503" s="1" t="s">
        <v>42</v>
      </c>
      <c r="C1503" s="1" t="s">
        <v>43</v>
      </c>
      <c r="D1503" s="1" t="str">
        <f t="shared" ref="D1503:D1534" si="288">"9801"</f>
        <v>9801</v>
      </c>
      <c r="E1503" s="1" t="s">
        <v>25</v>
      </c>
      <c r="F1503" s="1" t="str">
        <f>"32BD1E1889880400C819002000000019"</f>
        <v>32BD1E1889880400C819002000000019</v>
      </c>
      <c r="G1503" s="1" t="s">
        <v>64</v>
      </c>
      <c r="H1503" s="1" t="str">
        <f t="shared" si="283"/>
        <v>20220908</v>
      </c>
      <c r="I1503" s="1" t="str">
        <f>"125429"</f>
        <v>125429</v>
      </c>
      <c r="J1503" s="1" t="s">
        <v>28</v>
      </c>
      <c r="K1503" s="1" t="s">
        <v>28</v>
      </c>
      <c r="L1503" s="1" t="str">
        <f t="shared" ref="L1503:L1534" si="289">"20220908"</f>
        <v>20220908</v>
      </c>
      <c r="M1503" s="1" t="str">
        <f>"132415"</f>
        <v>132415</v>
      </c>
      <c r="N1503" s="1" t="s">
        <v>52</v>
      </c>
      <c r="O1503" s="1" t="s">
        <v>52</v>
      </c>
      <c r="P1503" s="1" t="s">
        <v>55</v>
      </c>
      <c r="Q1503" s="1">
        <v>13</v>
      </c>
      <c r="R1503" s="1">
        <v>13</v>
      </c>
      <c r="S1503" s="1">
        <v>0</v>
      </c>
      <c r="T1503" s="1">
        <v>0</v>
      </c>
      <c r="U1503" s="1">
        <v>0</v>
      </c>
      <c r="V1503" s="1" t="str">
        <f t="shared" si="286"/>
        <v>里程返程</v>
      </c>
      <c r="W1503" s="1" t="str">
        <f>"0020"</f>
        <v>0020</v>
      </c>
      <c r="X1503" s="1" t="s">
        <v>29</v>
      </c>
    </row>
    <row r="1504" spans="1:24" x14ac:dyDescent="0.3">
      <c r="A1504" s="1" t="str">
        <f t="shared" si="287"/>
        <v>59809</v>
      </c>
      <c r="B1504" s="1" t="s">
        <v>42</v>
      </c>
      <c r="C1504" s="1" t="s">
        <v>43</v>
      </c>
      <c r="D1504" s="1" t="str">
        <f t="shared" si="288"/>
        <v>9801</v>
      </c>
      <c r="E1504" s="1" t="s">
        <v>25</v>
      </c>
      <c r="F1504" s="1" t="str">
        <f>"0222A4199D880400C824002000000020"</f>
        <v>0222A4199D880400C824002000000020</v>
      </c>
      <c r="G1504" s="1" t="s">
        <v>64</v>
      </c>
      <c r="H1504" s="1" t="str">
        <f t="shared" si="283"/>
        <v>20220908</v>
      </c>
      <c r="I1504" s="1" t="str">
        <f>"125559"</f>
        <v>125559</v>
      </c>
      <c r="J1504" s="1" t="s">
        <v>28</v>
      </c>
      <c r="K1504" s="1" t="s">
        <v>28</v>
      </c>
      <c r="L1504" s="1" t="str">
        <f t="shared" si="289"/>
        <v>20220908</v>
      </c>
      <c r="M1504" s="1" t="str">
        <f>"131432"</f>
        <v>131432</v>
      </c>
      <c r="N1504" s="1" t="s">
        <v>65</v>
      </c>
      <c r="O1504" s="1" t="s">
        <v>52</v>
      </c>
      <c r="P1504" s="1" t="s">
        <v>55</v>
      </c>
      <c r="Q1504" s="1">
        <v>13</v>
      </c>
      <c r="R1504" s="1">
        <v>13</v>
      </c>
      <c r="S1504" s="1">
        <v>0</v>
      </c>
      <c r="T1504" s="1">
        <v>0</v>
      </c>
      <c r="U1504" s="1">
        <v>0</v>
      </c>
      <c r="V1504" s="1" t="str">
        <f t="shared" si="286"/>
        <v>里程返程</v>
      </c>
      <c r="W1504" s="1" t="str">
        <f>"0020"</f>
        <v>0020</v>
      </c>
      <c r="X1504" s="1" t="s">
        <v>29</v>
      </c>
    </row>
    <row r="1505" spans="1:24" x14ac:dyDescent="0.3">
      <c r="A1505" s="1" t="str">
        <f t="shared" si="287"/>
        <v>59809</v>
      </c>
      <c r="B1505" s="1" t="s">
        <v>42</v>
      </c>
      <c r="C1505" s="1" t="s">
        <v>43</v>
      </c>
      <c r="D1505" s="1" t="str">
        <f t="shared" si="288"/>
        <v>9801</v>
      </c>
      <c r="E1505" s="1" t="s">
        <v>25</v>
      </c>
      <c r="F1505" s="1" t="str">
        <f>"E220D10211880400C834002000000015"</f>
        <v>E220D10211880400C834002000000015</v>
      </c>
      <c r="G1505" s="1" t="s">
        <v>74</v>
      </c>
      <c r="H1505" s="1" t="str">
        <f t="shared" si="283"/>
        <v>20220908</v>
      </c>
      <c r="I1505" s="1" t="str">
        <f>"131142"</f>
        <v>131142</v>
      </c>
      <c r="J1505" s="1" t="s">
        <v>97</v>
      </c>
      <c r="K1505" s="1" t="s">
        <v>52</v>
      </c>
      <c r="L1505" s="1" t="str">
        <f t="shared" si="289"/>
        <v>20220908</v>
      </c>
      <c r="M1505" s="1" t="str">
        <f>"131400"</f>
        <v>131400</v>
      </c>
      <c r="N1505" s="1" t="s">
        <v>65</v>
      </c>
      <c r="O1505" s="1" t="s">
        <v>52</v>
      </c>
      <c r="P1505" s="1" t="s">
        <v>68</v>
      </c>
      <c r="Q1505" s="1">
        <v>13</v>
      </c>
      <c r="R1505" s="1">
        <v>0</v>
      </c>
      <c r="S1505" s="1">
        <v>0</v>
      </c>
      <c r="T1505" s="1">
        <v>13</v>
      </c>
      <c r="U1505" s="1">
        <v>0</v>
      </c>
      <c r="V1505" s="1" t="str">
        <f t="shared" si="286"/>
        <v>里程返程</v>
      </c>
      <c r="W1505" s="1" t="str">
        <f>"0020"</f>
        <v>0020</v>
      </c>
      <c r="X1505" s="1" t="s">
        <v>29</v>
      </c>
    </row>
    <row r="1506" spans="1:24" x14ac:dyDescent="0.3">
      <c r="A1506" s="1" t="str">
        <f t="shared" si="287"/>
        <v>59809</v>
      </c>
      <c r="B1506" s="1" t="s">
        <v>42</v>
      </c>
      <c r="C1506" s="1" t="s">
        <v>43</v>
      </c>
      <c r="D1506" s="1" t="str">
        <f t="shared" si="288"/>
        <v>9801</v>
      </c>
      <c r="E1506" s="1" t="s">
        <v>25</v>
      </c>
      <c r="F1506" s="1" t="str">
        <f>"43470897"</f>
        <v>43470897</v>
      </c>
      <c r="G1506" s="1" t="s">
        <v>33</v>
      </c>
      <c r="H1506" s="1" t="str">
        <f t="shared" si="283"/>
        <v>20220908</v>
      </c>
      <c r="I1506" s="1" t="str">
        <f>"142739"</f>
        <v>142739</v>
      </c>
      <c r="J1506" s="1" t="s">
        <v>44</v>
      </c>
      <c r="K1506" s="1" t="s">
        <v>45</v>
      </c>
      <c r="L1506" s="1" t="str">
        <f t="shared" si="289"/>
        <v>20220908</v>
      </c>
      <c r="M1506" s="1" t="str">
        <f>"143523"</f>
        <v>143523</v>
      </c>
      <c r="N1506" s="1" t="s">
        <v>91</v>
      </c>
      <c r="O1506" s="1" t="s">
        <v>45</v>
      </c>
      <c r="P1506" s="1" t="s">
        <v>55</v>
      </c>
      <c r="Q1506" s="1">
        <v>25</v>
      </c>
      <c r="R1506" s="1">
        <v>25</v>
      </c>
      <c r="S1506" s="1">
        <v>0</v>
      </c>
      <c r="T1506" s="1">
        <v>0</v>
      </c>
      <c r="U1506" s="1">
        <v>0</v>
      </c>
      <c r="V1506" s="1" t="str">
        <f t="shared" si="286"/>
        <v>里程返程</v>
      </c>
      <c r="W1506" s="1" t="str">
        <f>"2020"</f>
        <v>2020</v>
      </c>
      <c r="X1506" s="1" t="s">
        <v>35</v>
      </c>
    </row>
    <row r="1507" spans="1:24" x14ac:dyDescent="0.3">
      <c r="A1507" s="1" t="str">
        <f t="shared" si="287"/>
        <v>59809</v>
      </c>
      <c r="B1507" s="1" t="s">
        <v>42</v>
      </c>
      <c r="C1507" s="1" t="s">
        <v>43</v>
      </c>
      <c r="D1507" s="1" t="str">
        <f t="shared" si="288"/>
        <v>9801</v>
      </c>
      <c r="E1507" s="1" t="s">
        <v>25</v>
      </c>
      <c r="F1507" s="1" t="str">
        <f>"F2D14C147B28040080CED9D049713218"</f>
        <v>F2D14C147B28040080CED9D049713218</v>
      </c>
      <c r="G1507" s="1" t="s">
        <v>59</v>
      </c>
      <c r="H1507" s="1" t="str">
        <f t="shared" si="283"/>
        <v>20220908</v>
      </c>
      <c r="I1507" s="1" t="str">
        <f>"143707"</f>
        <v>143707</v>
      </c>
      <c r="J1507" s="1" t="s">
        <v>75</v>
      </c>
      <c r="K1507" s="1" t="s">
        <v>45</v>
      </c>
      <c r="L1507" s="1" t="str">
        <f t="shared" si="289"/>
        <v>20220908</v>
      </c>
      <c r="M1507" s="1" t="str">
        <f>"145126"</f>
        <v>145126</v>
      </c>
      <c r="N1507" s="1" t="s">
        <v>28</v>
      </c>
      <c r="O1507" s="1" t="s">
        <v>28</v>
      </c>
      <c r="P1507" s="1" t="s">
        <v>55</v>
      </c>
      <c r="Q1507" s="1">
        <v>25</v>
      </c>
      <c r="R1507" s="1">
        <v>25</v>
      </c>
      <c r="S1507" s="1">
        <v>0</v>
      </c>
      <c r="T1507" s="1">
        <v>0</v>
      </c>
      <c r="U1507" s="1">
        <v>0</v>
      </c>
      <c r="V1507" s="1" t="str">
        <f t="shared" si="286"/>
        <v>里程返程</v>
      </c>
      <c r="W1507" s="1" t="str">
        <f>"0020"</f>
        <v>0020</v>
      </c>
      <c r="X1507" s="1" t="s">
        <v>29</v>
      </c>
    </row>
    <row r="1508" spans="1:24" x14ac:dyDescent="0.3">
      <c r="A1508" s="1" t="str">
        <f t="shared" si="287"/>
        <v>59809</v>
      </c>
      <c r="B1508" s="1" t="s">
        <v>42</v>
      </c>
      <c r="C1508" s="1" t="s">
        <v>43</v>
      </c>
      <c r="D1508" s="1" t="str">
        <f t="shared" si="288"/>
        <v>9801</v>
      </c>
      <c r="E1508" s="1" t="s">
        <v>25</v>
      </c>
      <c r="F1508" s="1" t="str">
        <f>"1042647013"</f>
        <v>1042647013</v>
      </c>
      <c r="G1508" s="1" t="s">
        <v>33</v>
      </c>
      <c r="H1508" s="1" t="str">
        <f t="shared" si="283"/>
        <v>20220908</v>
      </c>
      <c r="I1508" s="1" t="str">
        <f>"144213"</f>
        <v>144213</v>
      </c>
      <c r="J1508" s="1" t="s">
        <v>45</v>
      </c>
      <c r="K1508" s="1" t="s">
        <v>45</v>
      </c>
      <c r="L1508" s="1" t="str">
        <f t="shared" si="289"/>
        <v>20220908</v>
      </c>
      <c r="M1508" s="1" t="str">
        <f>"145130"</f>
        <v>145130</v>
      </c>
      <c r="N1508" s="1" t="s">
        <v>28</v>
      </c>
      <c r="O1508" s="1" t="s">
        <v>28</v>
      </c>
      <c r="P1508" s="1" t="s">
        <v>55</v>
      </c>
      <c r="Q1508" s="1">
        <v>25</v>
      </c>
      <c r="R1508" s="1">
        <v>0</v>
      </c>
      <c r="S1508" s="1">
        <v>25</v>
      </c>
      <c r="T1508" s="1">
        <v>0</v>
      </c>
      <c r="U1508" s="1">
        <v>0</v>
      </c>
      <c r="V1508" s="1" t="str">
        <f t="shared" si="286"/>
        <v>里程返程</v>
      </c>
      <c r="W1508" s="1" t="str">
        <f>"2020"</f>
        <v>2020</v>
      </c>
      <c r="X1508" s="1" t="s">
        <v>35</v>
      </c>
    </row>
    <row r="1509" spans="1:24" x14ac:dyDescent="0.3">
      <c r="A1509" s="1" t="str">
        <f t="shared" si="287"/>
        <v>59809</v>
      </c>
      <c r="B1509" s="1" t="s">
        <v>42</v>
      </c>
      <c r="C1509" s="1" t="s">
        <v>43</v>
      </c>
      <c r="D1509" s="1" t="str">
        <f t="shared" si="288"/>
        <v>9801</v>
      </c>
      <c r="E1509" s="1" t="s">
        <v>25</v>
      </c>
      <c r="F1509" s="1" t="str">
        <f>"B2EF0D0151880400C806002000000015"</f>
        <v>B2EF0D0151880400C806002000000015</v>
      </c>
      <c r="G1509" s="1" t="s">
        <v>82</v>
      </c>
      <c r="H1509" s="1" t="str">
        <f t="shared" si="283"/>
        <v>20220908</v>
      </c>
      <c r="I1509" s="1" t="str">
        <f>"144215"</f>
        <v>144215</v>
      </c>
      <c r="J1509" s="1" t="s">
        <v>45</v>
      </c>
      <c r="K1509" s="1" t="s">
        <v>45</v>
      </c>
      <c r="L1509" s="1" t="str">
        <f t="shared" si="289"/>
        <v>20220908</v>
      </c>
      <c r="M1509" s="1" t="str">
        <f>"145120"</f>
        <v>145120</v>
      </c>
      <c r="N1509" s="1" t="s">
        <v>28</v>
      </c>
      <c r="O1509" s="1" t="s">
        <v>28</v>
      </c>
      <c r="P1509" s="1" t="s">
        <v>55</v>
      </c>
      <c r="Q1509" s="1">
        <v>13</v>
      </c>
      <c r="R1509" s="1">
        <v>0</v>
      </c>
      <c r="S1509" s="1">
        <v>13</v>
      </c>
      <c r="T1509" s="1">
        <v>0</v>
      </c>
      <c r="U1509" s="1">
        <v>0</v>
      </c>
      <c r="V1509" s="1" t="str">
        <f t="shared" si="286"/>
        <v>里程返程</v>
      </c>
      <c r="W1509" s="1" t="str">
        <f>"2020"</f>
        <v>2020</v>
      </c>
      <c r="X1509" s="1" t="s">
        <v>29</v>
      </c>
    </row>
    <row r="1510" spans="1:24" x14ac:dyDescent="0.3">
      <c r="A1510" s="1" t="str">
        <f t="shared" si="287"/>
        <v>59809</v>
      </c>
      <c r="B1510" s="1" t="s">
        <v>42</v>
      </c>
      <c r="C1510" s="1" t="s">
        <v>43</v>
      </c>
      <c r="D1510" s="1" t="str">
        <f t="shared" si="288"/>
        <v>9801</v>
      </c>
      <c r="E1510" s="1" t="s">
        <v>25</v>
      </c>
      <c r="F1510" s="1" t="str">
        <f>"1295491569"</f>
        <v>1295491569</v>
      </c>
      <c r="G1510" s="1" t="s">
        <v>33</v>
      </c>
      <c r="H1510" s="1" t="str">
        <f t="shared" si="283"/>
        <v>20220908</v>
      </c>
      <c r="I1510" s="1" t="str">
        <f>"145216"</f>
        <v>145216</v>
      </c>
      <c r="J1510" s="1" t="s">
        <v>28</v>
      </c>
      <c r="K1510" s="1" t="s">
        <v>28</v>
      </c>
      <c r="L1510" s="1" t="str">
        <f t="shared" si="289"/>
        <v>20220908</v>
      </c>
      <c r="M1510" s="1" t="str">
        <f>"152134"</f>
        <v>152134</v>
      </c>
      <c r="N1510" s="1" t="s">
        <v>52</v>
      </c>
      <c r="O1510" s="1" t="s">
        <v>52</v>
      </c>
      <c r="P1510" s="1" t="s">
        <v>55</v>
      </c>
      <c r="Q1510" s="1">
        <v>25</v>
      </c>
      <c r="R1510" s="1">
        <v>25</v>
      </c>
      <c r="S1510" s="1">
        <v>0</v>
      </c>
      <c r="T1510" s="1">
        <v>0</v>
      </c>
      <c r="U1510" s="1">
        <v>0</v>
      </c>
      <c r="V1510" s="1" t="str">
        <f t="shared" si="286"/>
        <v>里程返程</v>
      </c>
      <c r="W1510" s="1" t="str">
        <f>"0220"</f>
        <v>0220</v>
      </c>
      <c r="X1510" s="1" t="s">
        <v>35</v>
      </c>
    </row>
    <row r="1511" spans="1:24" x14ac:dyDescent="0.3">
      <c r="A1511" s="1" t="str">
        <f t="shared" si="287"/>
        <v>59809</v>
      </c>
      <c r="B1511" s="1" t="s">
        <v>42</v>
      </c>
      <c r="C1511" s="1" t="s">
        <v>43</v>
      </c>
      <c r="D1511" s="1" t="str">
        <f t="shared" si="288"/>
        <v>9801</v>
      </c>
      <c r="E1511" s="1" t="s">
        <v>25</v>
      </c>
      <c r="F1511" s="1" t="str">
        <f>"514908465"</f>
        <v>514908465</v>
      </c>
      <c r="G1511" s="1" t="s">
        <v>96</v>
      </c>
      <c r="H1511" s="1" t="str">
        <f t="shared" si="283"/>
        <v>20220908</v>
      </c>
      <c r="I1511" s="1" t="str">
        <f>"145220"</f>
        <v>145220</v>
      </c>
      <c r="J1511" s="1" t="s">
        <v>28</v>
      </c>
      <c r="K1511" s="1" t="s">
        <v>28</v>
      </c>
      <c r="L1511" s="1" t="str">
        <f t="shared" si="289"/>
        <v>20220908</v>
      </c>
      <c r="M1511" s="1" t="str">
        <f>"152132"</f>
        <v>152132</v>
      </c>
      <c r="N1511" s="1" t="s">
        <v>52</v>
      </c>
      <c r="O1511" s="1" t="s">
        <v>52</v>
      </c>
      <c r="P1511" s="1" t="s">
        <v>55</v>
      </c>
      <c r="Q1511" s="1">
        <v>13</v>
      </c>
      <c r="R1511" s="1">
        <v>13</v>
      </c>
      <c r="S1511" s="1">
        <v>0</v>
      </c>
      <c r="T1511" s="1">
        <v>0</v>
      </c>
      <c r="U1511" s="1">
        <v>0</v>
      </c>
      <c r="V1511" s="1" t="str">
        <f t="shared" si="286"/>
        <v>里程返程</v>
      </c>
      <c r="W1511" s="1" t="str">
        <f>"0120"</f>
        <v>0120</v>
      </c>
      <c r="X1511" s="1" t="s">
        <v>35</v>
      </c>
    </row>
    <row r="1512" spans="1:24" x14ac:dyDescent="0.3">
      <c r="A1512" s="1" t="str">
        <f t="shared" si="287"/>
        <v>59809</v>
      </c>
      <c r="B1512" s="1" t="s">
        <v>42</v>
      </c>
      <c r="C1512" s="1" t="s">
        <v>43</v>
      </c>
      <c r="D1512" s="1" t="str">
        <f t="shared" si="288"/>
        <v>9801</v>
      </c>
      <c r="E1512" s="1" t="s">
        <v>25</v>
      </c>
      <c r="F1512" s="1" t="str">
        <f>"451284209"</f>
        <v>451284209</v>
      </c>
      <c r="G1512" s="1" t="s">
        <v>33</v>
      </c>
      <c r="H1512" s="1" t="str">
        <f t="shared" si="283"/>
        <v>20220908</v>
      </c>
      <c r="I1512" s="1" t="str">
        <f>"145222"</f>
        <v>145222</v>
      </c>
      <c r="J1512" s="1" t="s">
        <v>28</v>
      </c>
      <c r="K1512" s="1" t="s">
        <v>28</v>
      </c>
      <c r="L1512" s="1" t="str">
        <f t="shared" si="289"/>
        <v>20220908</v>
      </c>
      <c r="M1512" s="1" t="str">
        <f>"152125"</f>
        <v>152125</v>
      </c>
      <c r="N1512" s="1" t="s">
        <v>52</v>
      </c>
      <c r="O1512" s="1" t="s">
        <v>52</v>
      </c>
      <c r="P1512" s="1" t="s">
        <v>55</v>
      </c>
      <c r="Q1512" s="1">
        <v>25</v>
      </c>
      <c r="R1512" s="1">
        <v>25</v>
      </c>
      <c r="S1512" s="1">
        <v>0</v>
      </c>
      <c r="T1512" s="1">
        <v>0</v>
      </c>
      <c r="U1512" s="1">
        <v>0</v>
      </c>
      <c r="V1512" s="1" t="str">
        <f t="shared" si="286"/>
        <v>里程返程</v>
      </c>
      <c r="W1512" s="1" t="str">
        <f>"0120"</f>
        <v>0120</v>
      </c>
      <c r="X1512" s="1" t="s">
        <v>35</v>
      </c>
    </row>
    <row r="1513" spans="1:24" x14ac:dyDescent="0.3">
      <c r="A1513" s="1" t="str">
        <f t="shared" si="287"/>
        <v>59809</v>
      </c>
      <c r="B1513" s="1" t="s">
        <v>42</v>
      </c>
      <c r="C1513" s="1" t="s">
        <v>43</v>
      </c>
      <c r="D1513" s="1" t="str">
        <f t="shared" si="288"/>
        <v>9801</v>
      </c>
      <c r="E1513" s="1" t="s">
        <v>25</v>
      </c>
      <c r="F1513" s="1" t="str">
        <f>"72C56518CA880400C819002000000019"</f>
        <v>72C56518CA880400C819002000000019</v>
      </c>
      <c r="G1513" s="1" t="s">
        <v>64</v>
      </c>
      <c r="H1513" s="1" t="str">
        <f t="shared" si="283"/>
        <v>20220908</v>
      </c>
      <c r="I1513" s="1" t="str">
        <f>"153219"</f>
        <v>153219</v>
      </c>
      <c r="J1513" s="1" t="s">
        <v>44</v>
      </c>
      <c r="K1513" s="1" t="s">
        <v>45</v>
      </c>
      <c r="L1513" s="1" t="str">
        <f t="shared" si="289"/>
        <v>20220908</v>
      </c>
      <c r="M1513" s="1" t="str">
        <f>"154949"</f>
        <v>154949</v>
      </c>
      <c r="N1513" s="1" t="s">
        <v>28</v>
      </c>
      <c r="O1513" s="1" t="s">
        <v>28</v>
      </c>
      <c r="P1513" s="1" t="s">
        <v>55</v>
      </c>
      <c r="Q1513" s="1">
        <v>13</v>
      </c>
      <c r="R1513" s="1">
        <v>13</v>
      </c>
      <c r="S1513" s="1">
        <v>0</v>
      </c>
      <c r="T1513" s="1">
        <v>0</v>
      </c>
      <c r="U1513" s="1">
        <v>0</v>
      </c>
      <c r="V1513" s="1" t="str">
        <f t="shared" si="286"/>
        <v>里程返程</v>
      </c>
      <c r="W1513" s="1" t="str">
        <f>"0020"</f>
        <v>0020</v>
      </c>
      <c r="X1513" s="1" t="s">
        <v>29</v>
      </c>
    </row>
    <row r="1514" spans="1:24" x14ac:dyDescent="0.3">
      <c r="A1514" s="1" t="str">
        <f t="shared" si="287"/>
        <v>59809</v>
      </c>
      <c r="B1514" s="1" t="s">
        <v>42</v>
      </c>
      <c r="C1514" s="1" t="s">
        <v>43</v>
      </c>
      <c r="D1514" s="1" t="str">
        <f t="shared" si="288"/>
        <v>9801</v>
      </c>
      <c r="E1514" s="1" t="s">
        <v>25</v>
      </c>
      <c r="F1514" s="1" t="str">
        <f>"915D49038688040043252B4B0015050F"</f>
        <v>915D49038688040043252B4B0015050F</v>
      </c>
      <c r="G1514" s="1" t="s">
        <v>64</v>
      </c>
      <c r="H1514" s="1" t="str">
        <f t="shared" si="283"/>
        <v>20220908</v>
      </c>
      <c r="I1514" s="1" t="str">
        <f>"153221"</f>
        <v>153221</v>
      </c>
      <c r="J1514" s="1" t="s">
        <v>44</v>
      </c>
      <c r="K1514" s="1" t="s">
        <v>45</v>
      </c>
      <c r="L1514" s="1" t="str">
        <f t="shared" si="289"/>
        <v>20220908</v>
      </c>
      <c r="M1514" s="1" t="str">
        <f>"154941"</f>
        <v>154941</v>
      </c>
      <c r="N1514" s="1" t="s">
        <v>28</v>
      </c>
      <c r="O1514" s="1" t="s">
        <v>28</v>
      </c>
      <c r="P1514" s="1" t="s">
        <v>55</v>
      </c>
      <c r="Q1514" s="1">
        <v>13</v>
      </c>
      <c r="R1514" s="1">
        <v>13</v>
      </c>
      <c r="S1514" s="1">
        <v>0</v>
      </c>
      <c r="T1514" s="1">
        <v>0</v>
      </c>
      <c r="U1514" s="1">
        <v>0</v>
      </c>
      <c r="V1514" s="1" t="str">
        <f t="shared" si="286"/>
        <v>里程返程</v>
      </c>
      <c r="W1514" s="1" t="str">
        <f>"0020"</f>
        <v>0020</v>
      </c>
      <c r="X1514" s="1" t="s">
        <v>29</v>
      </c>
    </row>
    <row r="1515" spans="1:24" x14ac:dyDescent="0.3">
      <c r="A1515" s="1" t="str">
        <f t="shared" si="287"/>
        <v>59809</v>
      </c>
      <c r="B1515" s="1" t="s">
        <v>42</v>
      </c>
      <c r="C1515" s="1" t="s">
        <v>43</v>
      </c>
      <c r="D1515" s="1" t="str">
        <f t="shared" si="288"/>
        <v>9801</v>
      </c>
      <c r="E1515" s="1" t="s">
        <v>25</v>
      </c>
      <c r="F1515" s="1" t="str">
        <f>"141890191"</f>
        <v>141890191</v>
      </c>
      <c r="G1515" s="1" t="s">
        <v>33</v>
      </c>
      <c r="H1515" s="1" t="str">
        <f t="shared" si="283"/>
        <v>20220908</v>
      </c>
      <c r="I1515" s="1" t="str">
        <f>"153403"</f>
        <v>153403</v>
      </c>
      <c r="J1515" s="1" t="s">
        <v>100</v>
      </c>
      <c r="K1515" s="1" t="s">
        <v>45</v>
      </c>
      <c r="L1515" s="1" t="str">
        <f t="shared" si="289"/>
        <v>20220908</v>
      </c>
      <c r="M1515" s="1" t="str">
        <f>"154945"</f>
        <v>154945</v>
      </c>
      <c r="N1515" s="1" t="s">
        <v>28</v>
      </c>
      <c r="O1515" s="1" t="s">
        <v>28</v>
      </c>
      <c r="P1515" s="1" t="s">
        <v>55</v>
      </c>
      <c r="Q1515" s="1">
        <v>25</v>
      </c>
      <c r="R1515" s="1">
        <v>25</v>
      </c>
      <c r="S1515" s="1">
        <v>0</v>
      </c>
      <c r="T1515" s="1">
        <v>0</v>
      </c>
      <c r="U1515" s="1">
        <v>0</v>
      </c>
      <c r="V1515" s="1" t="str">
        <f t="shared" si="286"/>
        <v>里程返程</v>
      </c>
      <c r="W1515" s="1" t="str">
        <f>"0120"</f>
        <v>0120</v>
      </c>
      <c r="X1515" s="1" t="s">
        <v>35</v>
      </c>
    </row>
    <row r="1516" spans="1:24" x14ac:dyDescent="0.3">
      <c r="A1516" s="1" t="str">
        <f t="shared" si="287"/>
        <v>59809</v>
      </c>
      <c r="B1516" s="1" t="s">
        <v>42</v>
      </c>
      <c r="C1516" s="1" t="s">
        <v>43</v>
      </c>
      <c r="D1516" s="1" t="str">
        <f t="shared" si="288"/>
        <v>9801</v>
      </c>
      <c r="E1516" s="1" t="s">
        <v>25</v>
      </c>
      <c r="F1516" s="1" t="str">
        <f>"620B781809880400C819002000000019"</f>
        <v>620B781809880400C819002000000019</v>
      </c>
      <c r="G1516" s="1" t="s">
        <v>26</v>
      </c>
      <c r="H1516" s="1" t="str">
        <f t="shared" si="283"/>
        <v>20220908</v>
      </c>
      <c r="I1516" s="1" t="str">
        <f>"153833"</f>
        <v>153833</v>
      </c>
      <c r="J1516" s="1" t="s">
        <v>75</v>
      </c>
      <c r="K1516" s="1" t="s">
        <v>45</v>
      </c>
      <c r="L1516" s="1" t="str">
        <f t="shared" si="289"/>
        <v>20220908</v>
      </c>
      <c r="M1516" s="1" t="str">
        <f>"154955"</f>
        <v>154955</v>
      </c>
      <c r="N1516" s="1" t="s">
        <v>28</v>
      </c>
      <c r="O1516" s="1" t="s">
        <v>28</v>
      </c>
      <c r="P1516" s="1" t="s">
        <v>55</v>
      </c>
      <c r="Q1516" s="1">
        <v>13</v>
      </c>
      <c r="R1516" s="1">
        <v>13</v>
      </c>
      <c r="S1516" s="1">
        <v>0</v>
      </c>
      <c r="T1516" s="1">
        <v>0</v>
      </c>
      <c r="U1516" s="1">
        <v>0</v>
      </c>
      <c r="V1516" s="1" t="str">
        <f t="shared" si="286"/>
        <v>里程返程</v>
      </c>
      <c r="W1516" s="1" t="str">
        <f>"0020"</f>
        <v>0020</v>
      </c>
      <c r="X1516" s="1" t="s">
        <v>29</v>
      </c>
    </row>
    <row r="1517" spans="1:24" x14ac:dyDescent="0.3">
      <c r="A1517" s="1" t="str">
        <f t="shared" si="287"/>
        <v>59809</v>
      </c>
      <c r="B1517" s="1" t="s">
        <v>42</v>
      </c>
      <c r="C1517" s="1" t="s">
        <v>43</v>
      </c>
      <c r="D1517" s="1" t="str">
        <f t="shared" si="288"/>
        <v>9801</v>
      </c>
      <c r="E1517" s="1" t="s">
        <v>25</v>
      </c>
      <c r="F1517" s="1" t="str">
        <f>"7227E702B0880400C834002000000015"</f>
        <v>7227E702B0880400C834002000000015</v>
      </c>
      <c r="G1517" s="1" t="s">
        <v>74</v>
      </c>
      <c r="H1517" s="1" t="str">
        <f t="shared" si="283"/>
        <v>20220908</v>
      </c>
      <c r="I1517" s="1" t="str">
        <f>"161035"</f>
        <v>161035</v>
      </c>
      <c r="J1517" s="1" t="s">
        <v>80</v>
      </c>
      <c r="K1517" s="1" t="s">
        <v>52</v>
      </c>
      <c r="L1517" s="1" t="str">
        <f t="shared" si="289"/>
        <v>20220908</v>
      </c>
      <c r="M1517" s="1" t="str">
        <f>"162520"</f>
        <v>162520</v>
      </c>
      <c r="N1517" s="1" t="s">
        <v>52</v>
      </c>
      <c r="O1517" s="1" t="s">
        <v>52</v>
      </c>
      <c r="P1517" s="1" t="s">
        <v>68</v>
      </c>
      <c r="Q1517" s="1">
        <v>13</v>
      </c>
      <c r="R1517" s="1">
        <v>0</v>
      </c>
      <c r="S1517" s="1">
        <v>0</v>
      </c>
      <c r="T1517" s="1">
        <v>13</v>
      </c>
      <c r="U1517" s="1">
        <v>0</v>
      </c>
      <c r="V1517" s="1" t="str">
        <f t="shared" si="286"/>
        <v>里程返程</v>
      </c>
      <c r="W1517" s="1" t="str">
        <f>"0020"</f>
        <v>0020</v>
      </c>
      <c r="X1517" s="1" t="s">
        <v>29</v>
      </c>
    </row>
    <row r="1518" spans="1:24" x14ac:dyDescent="0.3">
      <c r="A1518" s="1" t="str">
        <f t="shared" si="287"/>
        <v>59809</v>
      </c>
      <c r="B1518" s="1" t="s">
        <v>42</v>
      </c>
      <c r="C1518" s="1" t="s">
        <v>43</v>
      </c>
      <c r="D1518" s="1" t="str">
        <f t="shared" si="288"/>
        <v>9801</v>
      </c>
      <c r="E1518" s="1" t="s">
        <v>25</v>
      </c>
      <c r="F1518" s="1" t="str">
        <f>"82D5FB02AE880400C834002000000015"</f>
        <v>82D5FB02AE880400C834002000000015</v>
      </c>
      <c r="G1518" s="1" t="s">
        <v>26</v>
      </c>
      <c r="H1518" s="1" t="str">
        <f t="shared" si="283"/>
        <v>20220908</v>
      </c>
      <c r="I1518" s="1" t="str">
        <f>"161455"</f>
        <v>161455</v>
      </c>
      <c r="J1518" s="1" t="s">
        <v>72</v>
      </c>
      <c r="K1518" s="1" t="s">
        <v>52</v>
      </c>
      <c r="L1518" s="1" t="str">
        <f t="shared" si="289"/>
        <v>20220908</v>
      </c>
      <c r="M1518" s="1" t="str">
        <f>"161851"</f>
        <v>161851</v>
      </c>
      <c r="N1518" s="1" t="s">
        <v>51</v>
      </c>
      <c r="O1518" s="1" t="s">
        <v>52</v>
      </c>
      <c r="P1518" s="1" t="s">
        <v>68</v>
      </c>
      <c r="Q1518" s="1">
        <v>13</v>
      </c>
      <c r="R1518" s="1">
        <v>0</v>
      </c>
      <c r="S1518" s="1">
        <v>0</v>
      </c>
      <c r="T1518" s="1">
        <v>13</v>
      </c>
      <c r="U1518" s="1">
        <v>0</v>
      </c>
      <c r="V1518" s="1" t="str">
        <f t="shared" si="286"/>
        <v>里程返程</v>
      </c>
      <c r="W1518" s="1" t="str">
        <f>"0020"</f>
        <v>0020</v>
      </c>
      <c r="X1518" s="1" t="s">
        <v>29</v>
      </c>
    </row>
    <row r="1519" spans="1:24" x14ac:dyDescent="0.3">
      <c r="A1519" s="1" t="str">
        <f t="shared" si="287"/>
        <v>59809</v>
      </c>
      <c r="B1519" s="1" t="s">
        <v>42</v>
      </c>
      <c r="C1519" s="1" t="s">
        <v>43</v>
      </c>
      <c r="D1519" s="1" t="str">
        <f t="shared" si="288"/>
        <v>9801</v>
      </c>
      <c r="E1519" s="1" t="s">
        <v>25</v>
      </c>
      <c r="F1519" s="1" t="str">
        <f>"30261F5C55880400468F74D84D102411"</f>
        <v>30261F5C55880400468F74D84D102411</v>
      </c>
      <c r="G1519" s="1" t="s">
        <v>59</v>
      </c>
      <c r="H1519" s="1" t="str">
        <f t="shared" si="283"/>
        <v>20220908</v>
      </c>
      <c r="I1519" s="1" t="str">
        <f>"162604"</f>
        <v>162604</v>
      </c>
      <c r="J1519" s="1" t="s">
        <v>44</v>
      </c>
      <c r="K1519" s="1" t="s">
        <v>45</v>
      </c>
      <c r="L1519" s="1" t="str">
        <f t="shared" si="289"/>
        <v>20220908</v>
      </c>
      <c r="M1519" s="1" t="str">
        <f>"165150"</f>
        <v>165150</v>
      </c>
      <c r="N1519" s="1" t="s">
        <v>84</v>
      </c>
      <c r="O1519" s="1" t="s">
        <v>28</v>
      </c>
      <c r="P1519" s="1" t="s">
        <v>55</v>
      </c>
      <c r="Q1519" s="1">
        <v>25</v>
      </c>
      <c r="R1519" s="1">
        <v>0</v>
      </c>
      <c r="S1519" s="1">
        <v>25</v>
      </c>
      <c r="T1519" s="1">
        <v>0</v>
      </c>
      <c r="U1519" s="1">
        <v>0</v>
      </c>
      <c r="V1519" s="1" t="str">
        <f t="shared" si="286"/>
        <v>里程返程</v>
      </c>
      <c r="W1519" s="1" t="str">
        <f>"1120"</f>
        <v>1120</v>
      </c>
      <c r="X1519" s="1" t="s">
        <v>29</v>
      </c>
    </row>
    <row r="1520" spans="1:24" x14ac:dyDescent="0.3">
      <c r="A1520" s="1" t="str">
        <f t="shared" si="287"/>
        <v>59809</v>
      </c>
      <c r="B1520" s="1" t="s">
        <v>42</v>
      </c>
      <c r="C1520" s="1" t="s">
        <v>43</v>
      </c>
      <c r="D1520" s="1" t="str">
        <f t="shared" si="288"/>
        <v>9801</v>
      </c>
      <c r="E1520" s="1" t="s">
        <v>25</v>
      </c>
      <c r="F1520" s="1" t="str">
        <f>"1106211637"</f>
        <v>1106211637</v>
      </c>
      <c r="G1520" s="1" t="s">
        <v>33</v>
      </c>
      <c r="H1520" s="1" t="str">
        <f t="shared" si="283"/>
        <v>20220908</v>
      </c>
      <c r="I1520" s="1" t="str">
        <f>"162615"</f>
        <v>162615</v>
      </c>
      <c r="J1520" s="1" t="s">
        <v>44</v>
      </c>
      <c r="K1520" s="1" t="s">
        <v>45</v>
      </c>
      <c r="L1520" s="1" t="str">
        <f t="shared" si="289"/>
        <v>20220908</v>
      </c>
      <c r="M1520" s="1" t="str">
        <f>"163616"</f>
        <v>163616</v>
      </c>
      <c r="N1520" s="1" t="s">
        <v>91</v>
      </c>
      <c r="O1520" s="1" t="s">
        <v>45</v>
      </c>
      <c r="P1520" s="1" t="s">
        <v>55</v>
      </c>
      <c r="Q1520" s="1">
        <v>25</v>
      </c>
      <c r="R1520" s="1">
        <v>25</v>
      </c>
      <c r="S1520" s="1">
        <v>0</v>
      </c>
      <c r="T1520" s="1">
        <v>0</v>
      </c>
      <c r="U1520" s="1">
        <v>0</v>
      </c>
      <c r="V1520" s="1" t="str">
        <f t="shared" si="286"/>
        <v>里程返程</v>
      </c>
      <c r="W1520" s="1" t="str">
        <f>"2020"</f>
        <v>2020</v>
      </c>
      <c r="X1520" s="1" t="s">
        <v>35</v>
      </c>
    </row>
    <row r="1521" spans="1:24" x14ac:dyDescent="0.3">
      <c r="A1521" s="1" t="str">
        <f t="shared" si="287"/>
        <v>59809</v>
      </c>
      <c r="B1521" s="1" t="s">
        <v>42</v>
      </c>
      <c r="C1521" s="1" t="s">
        <v>43</v>
      </c>
      <c r="D1521" s="1" t="str">
        <f t="shared" si="288"/>
        <v>9801</v>
      </c>
      <c r="E1521" s="1" t="s">
        <v>25</v>
      </c>
      <c r="F1521" s="1" t="str">
        <f>"215348806"</f>
        <v>215348806</v>
      </c>
      <c r="G1521" s="1" t="s">
        <v>33</v>
      </c>
      <c r="H1521" s="1" t="str">
        <f t="shared" si="283"/>
        <v>20220908</v>
      </c>
      <c r="I1521" s="1" t="str">
        <f>"162618"</f>
        <v>162618</v>
      </c>
      <c r="J1521" s="1" t="s">
        <v>44</v>
      </c>
      <c r="K1521" s="1" t="s">
        <v>45</v>
      </c>
      <c r="L1521" s="1" t="str">
        <f t="shared" si="289"/>
        <v>20220908</v>
      </c>
      <c r="M1521" s="1" t="str">
        <f>"163614"</f>
        <v>163614</v>
      </c>
      <c r="N1521" s="1" t="s">
        <v>91</v>
      </c>
      <c r="O1521" s="1" t="s">
        <v>45</v>
      </c>
      <c r="P1521" s="1" t="s">
        <v>55</v>
      </c>
      <c r="Q1521" s="1">
        <v>25</v>
      </c>
      <c r="R1521" s="1">
        <v>25</v>
      </c>
      <c r="S1521" s="1">
        <v>0</v>
      </c>
      <c r="T1521" s="1">
        <v>0</v>
      </c>
      <c r="U1521" s="1">
        <v>0</v>
      </c>
      <c r="V1521" s="1" t="str">
        <f t="shared" si="286"/>
        <v>里程返程</v>
      </c>
      <c r="W1521" s="1" t="str">
        <f>"2020"</f>
        <v>2020</v>
      </c>
      <c r="X1521" s="1" t="s">
        <v>35</v>
      </c>
    </row>
    <row r="1522" spans="1:24" x14ac:dyDescent="0.3">
      <c r="A1522" s="1" t="str">
        <f t="shared" si="287"/>
        <v>59809</v>
      </c>
      <c r="B1522" s="1" t="s">
        <v>42</v>
      </c>
      <c r="C1522" s="1" t="s">
        <v>43</v>
      </c>
      <c r="D1522" s="1" t="str">
        <f t="shared" si="288"/>
        <v>9801</v>
      </c>
      <c r="E1522" s="1" t="s">
        <v>25</v>
      </c>
      <c r="F1522" s="1" t="str">
        <f>"951251349"</f>
        <v>951251349</v>
      </c>
      <c r="G1522" s="1" t="s">
        <v>74</v>
      </c>
      <c r="H1522" s="1" t="str">
        <f t="shared" si="283"/>
        <v>20220908</v>
      </c>
      <c r="I1522" s="1" t="str">
        <f>"162621"</f>
        <v>162621</v>
      </c>
      <c r="J1522" s="1" t="s">
        <v>44</v>
      </c>
      <c r="K1522" s="1" t="s">
        <v>45</v>
      </c>
      <c r="L1522" s="1" t="str">
        <f t="shared" si="289"/>
        <v>20220908</v>
      </c>
      <c r="M1522" s="1" t="str">
        <f>"163603"</f>
        <v>163603</v>
      </c>
      <c r="N1522" s="1" t="s">
        <v>91</v>
      </c>
      <c r="O1522" s="1" t="s">
        <v>45</v>
      </c>
      <c r="P1522" s="1" t="s">
        <v>55</v>
      </c>
      <c r="Q1522" s="1">
        <v>13</v>
      </c>
      <c r="R1522" s="1">
        <v>0</v>
      </c>
      <c r="S1522" s="1">
        <v>13</v>
      </c>
      <c r="T1522" s="1">
        <v>0</v>
      </c>
      <c r="U1522" s="1">
        <v>0</v>
      </c>
      <c r="V1522" s="1" t="str">
        <f t="shared" si="286"/>
        <v>里程返程</v>
      </c>
      <c r="W1522" s="1" t="str">
        <f>"2020"</f>
        <v>2020</v>
      </c>
      <c r="X1522" s="1" t="s">
        <v>35</v>
      </c>
    </row>
    <row r="1523" spans="1:24" x14ac:dyDescent="0.3">
      <c r="A1523" s="1" t="str">
        <f t="shared" si="287"/>
        <v>59809</v>
      </c>
      <c r="B1523" s="1" t="s">
        <v>42</v>
      </c>
      <c r="C1523" s="1" t="s">
        <v>43</v>
      </c>
      <c r="D1523" s="1" t="str">
        <f t="shared" si="288"/>
        <v>9801</v>
      </c>
      <c r="E1523" s="1" t="s">
        <v>25</v>
      </c>
      <c r="F1523" s="1" t="str">
        <f>"1741442421"</f>
        <v>1741442421</v>
      </c>
      <c r="G1523" s="1" t="s">
        <v>102</v>
      </c>
      <c r="H1523" s="1" t="str">
        <f t="shared" si="283"/>
        <v>20220908</v>
      </c>
      <c r="I1523" s="1" t="str">
        <f>"162623"</f>
        <v>162623</v>
      </c>
      <c r="J1523" s="1" t="s">
        <v>44</v>
      </c>
      <c r="K1523" s="1" t="s">
        <v>45</v>
      </c>
      <c r="L1523" s="1" t="str">
        <f t="shared" si="289"/>
        <v>20220908</v>
      </c>
      <c r="M1523" s="1" t="str">
        <f>"163606"</f>
        <v>163606</v>
      </c>
      <c r="N1523" s="1" t="s">
        <v>91</v>
      </c>
      <c r="O1523" s="1" t="s">
        <v>45</v>
      </c>
      <c r="P1523" s="1" t="s">
        <v>55</v>
      </c>
      <c r="Q1523" s="1">
        <v>13</v>
      </c>
      <c r="R1523" s="1">
        <v>13</v>
      </c>
      <c r="S1523" s="1">
        <v>0</v>
      </c>
      <c r="T1523" s="1">
        <v>0</v>
      </c>
      <c r="U1523" s="1">
        <v>0</v>
      </c>
      <c r="V1523" s="1" t="str">
        <f t="shared" si="286"/>
        <v>里程返程</v>
      </c>
      <c r="W1523" s="1" t="str">
        <f>"2020"</f>
        <v>2020</v>
      </c>
      <c r="X1523" s="1" t="s">
        <v>35</v>
      </c>
    </row>
    <row r="1524" spans="1:24" x14ac:dyDescent="0.3">
      <c r="A1524" s="1" t="str">
        <f t="shared" si="287"/>
        <v>59809</v>
      </c>
      <c r="B1524" s="1" t="s">
        <v>42</v>
      </c>
      <c r="C1524" s="1" t="s">
        <v>43</v>
      </c>
      <c r="D1524" s="1" t="str">
        <f t="shared" si="288"/>
        <v>9801</v>
      </c>
      <c r="E1524" s="1" t="s">
        <v>25</v>
      </c>
      <c r="F1524" s="1" t="str">
        <f>"3022637810"</f>
        <v>3022637810</v>
      </c>
      <c r="G1524" s="1" t="s">
        <v>33</v>
      </c>
      <c r="H1524" s="1" t="str">
        <f t="shared" si="283"/>
        <v>20220908</v>
      </c>
      <c r="I1524" s="1" t="str">
        <f>"163441"</f>
        <v>163441</v>
      </c>
      <c r="J1524" s="1" t="s">
        <v>100</v>
      </c>
      <c r="K1524" s="1" t="s">
        <v>45</v>
      </c>
      <c r="L1524" s="1" t="str">
        <f t="shared" si="289"/>
        <v>20220908</v>
      </c>
      <c r="M1524" s="1" t="str">
        <f>"165147"</f>
        <v>165147</v>
      </c>
      <c r="N1524" s="1" t="s">
        <v>84</v>
      </c>
      <c r="O1524" s="1" t="s">
        <v>28</v>
      </c>
      <c r="P1524" s="1" t="s">
        <v>55</v>
      </c>
      <c r="Q1524" s="1">
        <v>25</v>
      </c>
      <c r="R1524" s="1">
        <v>25</v>
      </c>
      <c r="S1524" s="1">
        <v>0</v>
      </c>
      <c r="T1524" s="1">
        <v>0</v>
      </c>
      <c r="U1524" s="1">
        <v>0</v>
      </c>
      <c r="V1524" s="1" t="str">
        <f t="shared" si="286"/>
        <v>里程返程</v>
      </c>
      <c r="W1524" s="1" t="str">
        <f>"2120"</f>
        <v>2120</v>
      </c>
      <c r="X1524" s="1" t="s">
        <v>35</v>
      </c>
    </row>
    <row r="1525" spans="1:24" x14ac:dyDescent="0.3">
      <c r="A1525" s="1" t="str">
        <f t="shared" si="287"/>
        <v>59809</v>
      </c>
      <c r="B1525" s="1" t="s">
        <v>42</v>
      </c>
      <c r="C1525" s="1" t="s">
        <v>43</v>
      </c>
      <c r="D1525" s="1" t="str">
        <f t="shared" si="288"/>
        <v>9801</v>
      </c>
      <c r="E1525" s="1" t="s">
        <v>25</v>
      </c>
      <c r="F1525" s="1" t="str">
        <f>"81291869D92804001C00000000000000"</f>
        <v>81291869D92804001C00000000000000</v>
      </c>
      <c r="G1525" s="1" t="s">
        <v>58</v>
      </c>
      <c r="H1525" s="1" t="str">
        <f t="shared" si="283"/>
        <v>20220908</v>
      </c>
      <c r="I1525" s="1" t="str">
        <f>"164018"</f>
        <v>164018</v>
      </c>
      <c r="J1525" s="1" t="s">
        <v>56</v>
      </c>
      <c r="K1525" s="1" t="s">
        <v>45</v>
      </c>
      <c r="L1525" s="1" t="str">
        <f t="shared" si="289"/>
        <v>20220908</v>
      </c>
      <c r="M1525" s="1" t="str">
        <f>"165155"</f>
        <v>165155</v>
      </c>
      <c r="N1525" s="1" t="s">
        <v>84</v>
      </c>
      <c r="O1525" s="1" t="s">
        <v>28</v>
      </c>
      <c r="P1525" s="1" t="s">
        <v>55</v>
      </c>
      <c r="Q1525" s="1">
        <v>25</v>
      </c>
      <c r="R1525" s="1">
        <v>25</v>
      </c>
      <c r="S1525" s="1">
        <v>0</v>
      </c>
      <c r="T1525" s="1">
        <v>0</v>
      </c>
      <c r="U1525" s="1">
        <v>0</v>
      </c>
      <c r="V1525" s="1" t="str">
        <f t="shared" si="286"/>
        <v>里程返程</v>
      </c>
      <c r="W1525" s="1" t="str">
        <f>"0020"</f>
        <v>0020</v>
      </c>
      <c r="X1525" s="1" t="s">
        <v>29</v>
      </c>
    </row>
    <row r="1526" spans="1:24" x14ac:dyDescent="0.3">
      <c r="A1526" s="1" t="str">
        <f t="shared" si="287"/>
        <v>59809</v>
      </c>
      <c r="B1526" s="1" t="s">
        <v>42</v>
      </c>
      <c r="C1526" s="1" t="s">
        <v>43</v>
      </c>
      <c r="D1526" s="1" t="str">
        <f t="shared" si="288"/>
        <v>9801</v>
      </c>
      <c r="E1526" s="1" t="s">
        <v>25</v>
      </c>
      <c r="F1526" s="1" t="str">
        <f>"814099985"</f>
        <v>814099985</v>
      </c>
      <c r="G1526" s="1" t="s">
        <v>26</v>
      </c>
      <c r="H1526" s="1" t="str">
        <f t="shared" si="283"/>
        <v>20220908</v>
      </c>
      <c r="I1526" s="1" t="str">
        <f>"165227"</f>
        <v>165227</v>
      </c>
      <c r="J1526" s="1" t="s">
        <v>85</v>
      </c>
      <c r="K1526" s="1" t="s">
        <v>28</v>
      </c>
      <c r="L1526" s="1" t="str">
        <f t="shared" si="289"/>
        <v>20220908</v>
      </c>
      <c r="M1526" s="1" t="str">
        <f>"170639"</f>
        <v>170639</v>
      </c>
      <c r="N1526" s="1" t="s">
        <v>69</v>
      </c>
      <c r="O1526" s="1" t="s">
        <v>52</v>
      </c>
      <c r="P1526" s="1" t="s">
        <v>55</v>
      </c>
      <c r="Q1526" s="1">
        <v>13</v>
      </c>
      <c r="R1526" s="1">
        <v>0</v>
      </c>
      <c r="S1526" s="1">
        <v>13</v>
      </c>
      <c r="T1526" s="1">
        <v>0</v>
      </c>
      <c r="U1526" s="1">
        <v>0</v>
      </c>
      <c r="V1526" s="1" t="str">
        <f t="shared" ref="V1526:V1551" si="290">"里程返程"</f>
        <v>里程返程</v>
      </c>
      <c r="W1526" s="1" t="str">
        <f>"0820"</f>
        <v>0820</v>
      </c>
      <c r="X1526" s="1" t="s">
        <v>35</v>
      </c>
    </row>
    <row r="1527" spans="1:24" x14ac:dyDescent="0.3">
      <c r="A1527" s="1" t="str">
        <f t="shared" si="287"/>
        <v>59809</v>
      </c>
      <c r="B1527" s="1" t="s">
        <v>42</v>
      </c>
      <c r="C1527" s="1" t="s">
        <v>43</v>
      </c>
      <c r="D1527" s="1" t="str">
        <f t="shared" si="288"/>
        <v>9801</v>
      </c>
      <c r="E1527" s="1" t="s">
        <v>25</v>
      </c>
      <c r="F1527" s="1" t="str">
        <f>"252079535"</f>
        <v>252079535</v>
      </c>
      <c r="G1527" s="1" t="s">
        <v>26</v>
      </c>
      <c r="H1527" s="1" t="str">
        <f t="shared" si="283"/>
        <v>20220908</v>
      </c>
      <c r="I1527" s="1" t="str">
        <f>"165230"</f>
        <v>165230</v>
      </c>
      <c r="J1527" s="1" t="s">
        <v>85</v>
      </c>
      <c r="K1527" s="1" t="s">
        <v>28</v>
      </c>
      <c r="L1527" s="1" t="str">
        <f t="shared" si="289"/>
        <v>20220908</v>
      </c>
      <c r="M1527" s="1" t="str">
        <f>"170636"</f>
        <v>170636</v>
      </c>
      <c r="N1527" s="1" t="s">
        <v>69</v>
      </c>
      <c r="O1527" s="1" t="s">
        <v>52</v>
      </c>
      <c r="P1527" s="1" t="s">
        <v>55</v>
      </c>
      <c r="Q1527" s="1">
        <v>13</v>
      </c>
      <c r="R1527" s="1">
        <v>0</v>
      </c>
      <c r="S1527" s="1">
        <v>13</v>
      </c>
      <c r="T1527" s="1">
        <v>0</v>
      </c>
      <c r="U1527" s="1">
        <v>0</v>
      </c>
      <c r="V1527" s="1" t="str">
        <f t="shared" si="290"/>
        <v>里程返程</v>
      </c>
      <c r="W1527" s="1" t="str">
        <f>"0820"</f>
        <v>0820</v>
      </c>
      <c r="X1527" s="1" t="s">
        <v>35</v>
      </c>
    </row>
    <row r="1528" spans="1:24" x14ac:dyDescent="0.3">
      <c r="A1528" s="1" t="str">
        <f t="shared" ref="A1528:A1559" si="291">"59822"</f>
        <v>59822</v>
      </c>
      <c r="B1528" s="1" t="s">
        <v>39</v>
      </c>
      <c r="C1528" s="1" t="s">
        <v>40</v>
      </c>
      <c r="D1528" s="1" t="str">
        <f t="shared" si="288"/>
        <v>9801</v>
      </c>
      <c r="E1528" s="1" t="s">
        <v>25</v>
      </c>
      <c r="F1528" s="1" t="str">
        <f>"F29BD102BA880400C834002000000015"</f>
        <v>F29BD102BA880400C834002000000015</v>
      </c>
      <c r="G1528" s="1" t="s">
        <v>26</v>
      </c>
      <c r="H1528" s="1" t="str">
        <f t="shared" si="283"/>
        <v>20220908</v>
      </c>
      <c r="I1528" s="1" t="str">
        <f>"083206"</f>
        <v>083206</v>
      </c>
      <c r="J1528" s="1" t="s">
        <v>44</v>
      </c>
      <c r="K1528" s="1" t="s">
        <v>45</v>
      </c>
      <c r="L1528" s="1" t="str">
        <f t="shared" si="289"/>
        <v>20220908</v>
      </c>
      <c r="M1528" s="1" t="str">
        <f>"085040"</f>
        <v>085040</v>
      </c>
      <c r="N1528" s="1" t="s">
        <v>28</v>
      </c>
      <c r="O1528" s="1" t="s">
        <v>28</v>
      </c>
      <c r="P1528" s="1" t="s">
        <v>68</v>
      </c>
      <c r="Q1528" s="1">
        <v>13</v>
      </c>
      <c r="R1528" s="1">
        <v>0</v>
      </c>
      <c r="S1528" s="1">
        <v>0</v>
      </c>
      <c r="T1528" s="1">
        <v>13</v>
      </c>
      <c r="U1528" s="1">
        <v>0</v>
      </c>
      <c r="V1528" s="1" t="str">
        <f t="shared" si="290"/>
        <v>里程返程</v>
      </c>
      <c r="W1528" s="1" t="str">
        <f>"0020"</f>
        <v>0020</v>
      </c>
      <c r="X1528" s="1" t="s">
        <v>29</v>
      </c>
    </row>
    <row r="1529" spans="1:24" x14ac:dyDescent="0.3">
      <c r="A1529" s="1" t="str">
        <f t="shared" si="291"/>
        <v>59822</v>
      </c>
      <c r="B1529" s="1" t="s">
        <v>39</v>
      </c>
      <c r="C1529" s="1" t="s">
        <v>40</v>
      </c>
      <c r="D1529" s="1" t="str">
        <f t="shared" si="288"/>
        <v>9801</v>
      </c>
      <c r="E1529" s="1" t="s">
        <v>25</v>
      </c>
      <c r="F1529" s="1" t="str">
        <f>"1843561681"</f>
        <v>1843561681</v>
      </c>
      <c r="G1529" s="1" t="s">
        <v>33</v>
      </c>
      <c r="H1529" s="1" t="str">
        <f t="shared" si="283"/>
        <v>20220908</v>
      </c>
      <c r="I1529" s="1" t="str">
        <f>"084148"</f>
        <v>084148</v>
      </c>
      <c r="J1529" s="1" t="s">
        <v>61</v>
      </c>
      <c r="K1529" s="1" t="s">
        <v>45</v>
      </c>
      <c r="L1529" s="1" t="str">
        <f t="shared" si="289"/>
        <v>20220908</v>
      </c>
      <c r="M1529" s="1" t="str">
        <f>"085057"</f>
        <v>085057</v>
      </c>
      <c r="N1529" s="1" t="s">
        <v>28</v>
      </c>
      <c r="O1529" s="1" t="s">
        <v>28</v>
      </c>
      <c r="P1529" s="1" t="s">
        <v>55</v>
      </c>
      <c r="Q1529" s="1">
        <v>25</v>
      </c>
      <c r="R1529" s="1">
        <v>25</v>
      </c>
      <c r="S1529" s="1">
        <v>0</v>
      </c>
      <c r="T1529" s="1">
        <v>0</v>
      </c>
      <c r="U1529" s="1">
        <v>0</v>
      </c>
      <c r="V1529" s="1" t="str">
        <f t="shared" si="290"/>
        <v>里程返程</v>
      </c>
      <c r="W1529" s="1" t="str">
        <f>"2020"</f>
        <v>2020</v>
      </c>
      <c r="X1529" s="1" t="s">
        <v>35</v>
      </c>
    </row>
    <row r="1530" spans="1:24" x14ac:dyDescent="0.3">
      <c r="A1530" s="1" t="str">
        <f t="shared" si="291"/>
        <v>59822</v>
      </c>
      <c r="B1530" s="1" t="s">
        <v>39</v>
      </c>
      <c r="C1530" s="1" t="s">
        <v>40</v>
      </c>
      <c r="D1530" s="1" t="str">
        <f t="shared" si="288"/>
        <v>9801</v>
      </c>
      <c r="E1530" s="1" t="s">
        <v>25</v>
      </c>
      <c r="F1530" s="1" t="str">
        <f>"285817872"</f>
        <v>285817872</v>
      </c>
      <c r="G1530" s="1" t="s">
        <v>33</v>
      </c>
      <c r="H1530" s="1" t="str">
        <f t="shared" si="283"/>
        <v>20220908</v>
      </c>
      <c r="I1530" s="1" t="str">
        <f>"095314"</f>
        <v>095314</v>
      </c>
      <c r="J1530" s="1" t="s">
        <v>28</v>
      </c>
      <c r="K1530" s="1" t="s">
        <v>28</v>
      </c>
      <c r="L1530" s="1" t="str">
        <f t="shared" si="289"/>
        <v>20220908</v>
      </c>
      <c r="M1530" s="1" t="str">
        <f>"101723"</f>
        <v>101723</v>
      </c>
      <c r="N1530" s="1" t="s">
        <v>60</v>
      </c>
      <c r="O1530" s="1" t="s">
        <v>52</v>
      </c>
      <c r="P1530" s="1" t="s">
        <v>55</v>
      </c>
      <c r="Q1530" s="1">
        <v>25</v>
      </c>
      <c r="R1530" s="1">
        <v>0</v>
      </c>
      <c r="S1530" s="1">
        <v>25</v>
      </c>
      <c r="T1530" s="1">
        <v>0</v>
      </c>
      <c r="U1530" s="1">
        <v>0</v>
      </c>
      <c r="V1530" s="1" t="str">
        <f t="shared" si="290"/>
        <v>里程返程</v>
      </c>
      <c r="W1530" s="1" t="str">
        <f>"0820"</f>
        <v>0820</v>
      </c>
      <c r="X1530" s="1" t="s">
        <v>35</v>
      </c>
    </row>
    <row r="1531" spans="1:24" x14ac:dyDescent="0.3">
      <c r="A1531" s="1" t="str">
        <f t="shared" si="291"/>
        <v>59822</v>
      </c>
      <c r="B1531" s="1" t="s">
        <v>39</v>
      </c>
      <c r="C1531" s="1" t="s">
        <v>40</v>
      </c>
      <c r="D1531" s="1" t="str">
        <f t="shared" si="288"/>
        <v>9801</v>
      </c>
      <c r="E1531" s="1" t="s">
        <v>25</v>
      </c>
      <c r="F1531" s="1" t="str">
        <f>"637592050"</f>
        <v>637592050</v>
      </c>
      <c r="G1531" s="1" t="s">
        <v>33</v>
      </c>
      <c r="H1531" s="1" t="str">
        <f t="shared" si="283"/>
        <v>20220908</v>
      </c>
      <c r="I1531" s="1" t="str">
        <f>"095318"</f>
        <v>095318</v>
      </c>
      <c r="J1531" s="1" t="s">
        <v>28</v>
      </c>
      <c r="K1531" s="1" t="s">
        <v>28</v>
      </c>
      <c r="L1531" s="1" t="str">
        <f t="shared" si="289"/>
        <v>20220908</v>
      </c>
      <c r="M1531" s="1" t="str">
        <f>"102056"</f>
        <v>102056</v>
      </c>
      <c r="N1531" s="1" t="s">
        <v>52</v>
      </c>
      <c r="O1531" s="1" t="s">
        <v>52</v>
      </c>
      <c r="P1531" s="1" t="s">
        <v>55</v>
      </c>
      <c r="Q1531" s="1">
        <v>25</v>
      </c>
      <c r="R1531" s="1">
        <v>25</v>
      </c>
      <c r="S1531" s="1">
        <v>0</v>
      </c>
      <c r="T1531" s="1">
        <v>0</v>
      </c>
      <c r="U1531" s="1">
        <v>0</v>
      </c>
      <c r="V1531" s="1" t="str">
        <f t="shared" si="290"/>
        <v>里程返程</v>
      </c>
      <c r="W1531" s="1" t="str">
        <f>"0220"</f>
        <v>0220</v>
      </c>
      <c r="X1531" s="1" t="s">
        <v>35</v>
      </c>
    </row>
    <row r="1532" spans="1:24" x14ac:dyDescent="0.3">
      <c r="A1532" s="1" t="str">
        <f t="shared" si="291"/>
        <v>59822</v>
      </c>
      <c r="B1532" s="1" t="s">
        <v>39</v>
      </c>
      <c r="C1532" s="1" t="s">
        <v>40</v>
      </c>
      <c r="D1532" s="1" t="str">
        <f t="shared" si="288"/>
        <v>9801</v>
      </c>
      <c r="E1532" s="1" t="s">
        <v>25</v>
      </c>
      <c r="F1532" s="1" t="str">
        <f>"211863265"</f>
        <v>211863265</v>
      </c>
      <c r="G1532" s="1" t="s">
        <v>33</v>
      </c>
      <c r="H1532" s="1" t="str">
        <f t="shared" si="283"/>
        <v>20220908</v>
      </c>
      <c r="I1532" s="1" t="str">
        <f>"095321"</f>
        <v>095321</v>
      </c>
      <c r="J1532" s="1" t="s">
        <v>28</v>
      </c>
      <c r="K1532" s="1" t="s">
        <v>28</v>
      </c>
      <c r="L1532" s="1" t="str">
        <f t="shared" si="289"/>
        <v>20220908</v>
      </c>
      <c r="M1532" s="1" t="str">
        <f>"100200"</f>
        <v>100200</v>
      </c>
      <c r="N1532" s="1" t="s">
        <v>83</v>
      </c>
      <c r="O1532" s="1" t="s">
        <v>52</v>
      </c>
      <c r="P1532" s="1" t="s">
        <v>55</v>
      </c>
      <c r="Q1532" s="1">
        <v>25</v>
      </c>
      <c r="R1532" s="1">
        <v>25</v>
      </c>
      <c r="S1532" s="1">
        <v>0</v>
      </c>
      <c r="T1532" s="1">
        <v>0</v>
      </c>
      <c r="U1532" s="1">
        <v>0</v>
      </c>
      <c r="V1532" s="1" t="str">
        <f t="shared" si="290"/>
        <v>里程返程</v>
      </c>
      <c r="W1532" s="1" t="str">
        <f>"0320"</f>
        <v>0320</v>
      </c>
      <c r="X1532" s="1" t="s">
        <v>35</v>
      </c>
    </row>
    <row r="1533" spans="1:24" x14ac:dyDescent="0.3">
      <c r="A1533" s="1" t="str">
        <f t="shared" si="291"/>
        <v>59822</v>
      </c>
      <c r="B1533" s="1" t="s">
        <v>39</v>
      </c>
      <c r="C1533" s="1" t="s">
        <v>40</v>
      </c>
      <c r="D1533" s="1" t="str">
        <f t="shared" si="288"/>
        <v>9801</v>
      </c>
      <c r="E1533" s="1" t="s">
        <v>25</v>
      </c>
      <c r="F1533" s="1" t="str">
        <f>"3603658323"</f>
        <v>3603658323</v>
      </c>
      <c r="G1533" s="1" t="s">
        <v>33</v>
      </c>
      <c r="H1533" s="1" t="str">
        <f t="shared" si="283"/>
        <v>20220908</v>
      </c>
      <c r="I1533" s="1" t="str">
        <f>"095325"</f>
        <v>095325</v>
      </c>
      <c r="J1533" s="1" t="s">
        <v>28</v>
      </c>
      <c r="K1533" s="1" t="s">
        <v>28</v>
      </c>
      <c r="L1533" s="1" t="str">
        <f t="shared" si="289"/>
        <v>20220908</v>
      </c>
      <c r="M1533" s="1" t="str">
        <f>"102102"</f>
        <v>102102</v>
      </c>
      <c r="N1533" s="1" t="s">
        <v>52</v>
      </c>
      <c r="O1533" s="1" t="s">
        <v>52</v>
      </c>
      <c r="P1533" s="1" t="s">
        <v>55</v>
      </c>
      <c r="Q1533" s="1">
        <v>25</v>
      </c>
      <c r="R1533" s="1">
        <v>25</v>
      </c>
      <c r="S1533" s="1">
        <v>0</v>
      </c>
      <c r="T1533" s="1">
        <v>0</v>
      </c>
      <c r="U1533" s="1">
        <v>0</v>
      </c>
      <c r="V1533" s="1" t="str">
        <f t="shared" si="290"/>
        <v>里程返程</v>
      </c>
      <c r="W1533" s="1" t="str">
        <f>"0220"</f>
        <v>0220</v>
      </c>
      <c r="X1533" s="1" t="s">
        <v>35</v>
      </c>
    </row>
    <row r="1534" spans="1:24" x14ac:dyDescent="0.3">
      <c r="A1534" s="1" t="str">
        <f t="shared" si="291"/>
        <v>59822</v>
      </c>
      <c r="B1534" s="1" t="s">
        <v>39</v>
      </c>
      <c r="C1534" s="1" t="s">
        <v>40</v>
      </c>
      <c r="D1534" s="1" t="str">
        <f t="shared" si="288"/>
        <v>9801</v>
      </c>
      <c r="E1534" s="1" t="s">
        <v>25</v>
      </c>
      <c r="F1534" s="1" t="str">
        <f>"723C61042B880400C838002000000015"</f>
        <v>723C61042B880400C838002000000015</v>
      </c>
      <c r="G1534" s="1" t="s">
        <v>58</v>
      </c>
      <c r="H1534" s="1" t="str">
        <f t="shared" si="283"/>
        <v>20220908</v>
      </c>
      <c r="I1534" s="1" t="str">
        <f>"095331"</f>
        <v>095331</v>
      </c>
      <c r="J1534" s="1" t="s">
        <v>28</v>
      </c>
      <c r="K1534" s="1" t="s">
        <v>28</v>
      </c>
      <c r="L1534" s="1" t="str">
        <f t="shared" si="289"/>
        <v>20220908</v>
      </c>
      <c r="M1534" s="1" t="str">
        <f>"101230"</f>
        <v>101230</v>
      </c>
      <c r="N1534" s="1" t="s">
        <v>65</v>
      </c>
      <c r="O1534" s="1" t="s">
        <v>52</v>
      </c>
      <c r="P1534" s="1" t="s">
        <v>55</v>
      </c>
      <c r="Q1534" s="1">
        <v>25</v>
      </c>
      <c r="R1534" s="1">
        <v>25</v>
      </c>
      <c r="S1534" s="1">
        <v>0</v>
      </c>
      <c r="T1534" s="1">
        <v>0</v>
      </c>
      <c r="U1534" s="1">
        <v>0</v>
      </c>
      <c r="V1534" s="1" t="str">
        <f t="shared" si="290"/>
        <v>里程返程</v>
      </c>
      <c r="W1534" s="1" t="str">
        <f>"0020"</f>
        <v>0020</v>
      </c>
      <c r="X1534" s="1" t="s">
        <v>29</v>
      </c>
    </row>
    <row r="1535" spans="1:24" x14ac:dyDescent="0.3">
      <c r="A1535" s="1" t="str">
        <f t="shared" si="291"/>
        <v>59822</v>
      </c>
      <c r="B1535" s="1" t="s">
        <v>39</v>
      </c>
      <c r="C1535" s="1" t="s">
        <v>40</v>
      </c>
      <c r="D1535" s="1" t="str">
        <f t="shared" ref="D1535:D1549" si="292">"9801"</f>
        <v>9801</v>
      </c>
      <c r="E1535" s="1" t="s">
        <v>25</v>
      </c>
      <c r="F1535" s="1" t="str">
        <f>"85F9C75FE4880400C821002000000014"</f>
        <v>85F9C75FE4880400C821002000000014</v>
      </c>
      <c r="G1535" s="1" t="s">
        <v>64</v>
      </c>
      <c r="H1535" s="1" t="str">
        <f t="shared" ref="H1535:H1598" si="293">"20220908"</f>
        <v>20220908</v>
      </c>
      <c r="I1535" s="1" t="str">
        <f>"095341"</f>
        <v>095341</v>
      </c>
      <c r="J1535" s="1" t="s">
        <v>28</v>
      </c>
      <c r="K1535" s="1" t="s">
        <v>28</v>
      </c>
      <c r="L1535" s="1" t="str">
        <f t="shared" ref="L1535:L1566" si="294">"20220908"</f>
        <v>20220908</v>
      </c>
      <c r="M1535" s="1" t="str">
        <f>"102105"</f>
        <v>102105</v>
      </c>
      <c r="N1535" s="1" t="s">
        <v>52</v>
      </c>
      <c r="O1535" s="1" t="s">
        <v>52</v>
      </c>
      <c r="P1535" s="1" t="s">
        <v>55</v>
      </c>
      <c r="Q1535" s="1">
        <v>13</v>
      </c>
      <c r="R1535" s="1">
        <v>13</v>
      </c>
      <c r="S1535" s="1">
        <v>0</v>
      </c>
      <c r="T1535" s="1">
        <v>0</v>
      </c>
      <c r="U1535" s="1">
        <v>0</v>
      </c>
      <c r="V1535" s="1" t="str">
        <f t="shared" si="290"/>
        <v>里程返程</v>
      </c>
      <c r="W1535" s="1" t="str">
        <f>"0020"</f>
        <v>0020</v>
      </c>
      <c r="X1535" s="1" t="s">
        <v>29</v>
      </c>
    </row>
    <row r="1536" spans="1:24" x14ac:dyDescent="0.3">
      <c r="A1536" s="1" t="str">
        <f t="shared" si="291"/>
        <v>59822</v>
      </c>
      <c r="B1536" s="1" t="s">
        <v>39</v>
      </c>
      <c r="C1536" s="1" t="s">
        <v>40</v>
      </c>
      <c r="D1536" s="1" t="str">
        <f t="shared" si="292"/>
        <v>9801</v>
      </c>
      <c r="E1536" s="1" t="s">
        <v>25</v>
      </c>
      <c r="F1536" s="1" t="str">
        <f>"987447221"</f>
        <v>987447221</v>
      </c>
      <c r="G1536" s="1" t="s">
        <v>33</v>
      </c>
      <c r="H1536" s="1" t="str">
        <f t="shared" si="293"/>
        <v>20220908</v>
      </c>
      <c r="I1536" s="1" t="str">
        <f>"103942"</f>
        <v>103942</v>
      </c>
      <c r="J1536" s="1" t="s">
        <v>75</v>
      </c>
      <c r="K1536" s="1" t="s">
        <v>45</v>
      </c>
      <c r="L1536" s="1" t="str">
        <f t="shared" si="294"/>
        <v>20220908</v>
      </c>
      <c r="M1536" s="1" t="str">
        <f>"105110"</f>
        <v>105110</v>
      </c>
      <c r="N1536" s="1" t="s">
        <v>28</v>
      </c>
      <c r="O1536" s="1" t="s">
        <v>28</v>
      </c>
      <c r="P1536" s="1" t="s">
        <v>55</v>
      </c>
      <c r="Q1536" s="1">
        <v>25</v>
      </c>
      <c r="R1536" s="1">
        <v>25</v>
      </c>
      <c r="S1536" s="1">
        <v>0</v>
      </c>
      <c r="T1536" s="1">
        <v>0</v>
      </c>
      <c r="U1536" s="1">
        <v>0</v>
      </c>
      <c r="V1536" s="1" t="str">
        <f t="shared" si="290"/>
        <v>里程返程</v>
      </c>
      <c r="W1536" s="1" t="str">
        <f>"0820"</f>
        <v>0820</v>
      </c>
      <c r="X1536" s="1" t="s">
        <v>35</v>
      </c>
    </row>
    <row r="1537" spans="1:24" x14ac:dyDescent="0.3">
      <c r="A1537" s="1" t="str">
        <f t="shared" si="291"/>
        <v>59822</v>
      </c>
      <c r="B1537" s="1" t="s">
        <v>39</v>
      </c>
      <c r="C1537" s="1" t="s">
        <v>40</v>
      </c>
      <c r="D1537" s="1" t="str">
        <f t="shared" si="292"/>
        <v>9801</v>
      </c>
      <c r="E1537" s="1" t="s">
        <v>25</v>
      </c>
      <c r="F1537" s="1" t="str">
        <f>"796100817"</f>
        <v>796100817</v>
      </c>
      <c r="G1537" s="1" t="s">
        <v>33</v>
      </c>
      <c r="H1537" s="1" t="str">
        <f t="shared" si="293"/>
        <v>20220908</v>
      </c>
      <c r="I1537" s="1" t="str">
        <f>"103944"</f>
        <v>103944</v>
      </c>
      <c r="J1537" s="1" t="s">
        <v>75</v>
      </c>
      <c r="K1537" s="1" t="s">
        <v>45</v>
      </c>
      <c r="L1537" s="1" t="str">
        <f t="shared" si="294"/>
        <v>20220908</v>
      </c>
      <c r="M1537" s="1" t="str">
        <f>"104428"</f>
        <v>104428</v>
      </c>
      <c r="N1537" s="1" t="s">
        <v>79</v>
      </c>
      <c r="O1537" s="1" t="s">
        <v>45</v>
      </c>
      <c r="P1537" s="1" t="s">
        <v>55</v>
      </c>
      <c r="Q1537" s="1">
        <v>25</v>
      </c>
      <c r="R1537" s="1">
        <v>25</v>
      </c>
      <c r="S1537" s="1">
        <v>0</v>
      </c>
      <c r="T1537" s="1">
        <v>0</v>
      </c>
      <c r="U1537" s="1">
        <v>0</v>
      </c>
      <c r="V1537" s="1" t="str">
        <f t="shared" si="290"/>
        <v>里程返程</v>
      </c>
      <c r="W1537" s="1" t="str">
        <f>"0c20"</f>
        <v>0c20</v>
      </c>
      <c r="X1537" s="1" t="s">
        <v>35</v>
      </c>
    </row>
    <row r="1538" spans="1:24" x14ac:dyDescent="0.3">
      <c r="A1538" s="1" t="str">
        <f t="shared" si="291"/>
        <v>59822</v>
      </c>
      <c r="B1538" s="1" t="s">
        <v>39</v>
      </c>
      <c r="C1538" s="1" t="s">
        <v>40</v>
      </c>
      <c r="D1538" s="1" t="str">
        <f t="shared" si="292"/>
        <v>9801</v>
      </c>
      <c r="E1538" s="1" t="s">
        <v>25</v>
      </c>
      <c r="F1538" s="1" t="str">
        <f>"B126CE6A332804001C00000000000000"</f>
        <v>B126CE6A332804001C00000000000000</v>
      </c>
      <c r="G1538" s="1" t="s">
        <v>58</v>
      </c>
      <c r="H1538" s="1" t="str">
        <f t="shared" si="293"/>
        <v>20220908</v>
      </c>
      <c r="I1538" s="1" t="str">
        <f>"105124"</f>
        <v>105124</v>
      </c>
      <c r="J1538" s="1" t="s">
        <v>28</v>
      </c>
      <c r="K1538" s="1" t="s">
        <v>28</v>
      </c>
      <c r="L1538" s="1" t="str">
        <f t="shared" si="294"/>
        <v>20220908</v>
      </c>
      <c r="M1538" s="1" t="str">
        <f>"110234"</f>
        <v>110234</v>
      </c>
      <c r="N1538" s="1" t="s">
        <v>84</v>
      </c>
      <c r="O1538" s="1" t="s">
        <v>28</v>
      </c>
      <c r="P1538" s="1" t="s">
        <v>55</v>
      </c>
      <c r="Q1538" s="1">
        <v>25</v>
      </c>
      <c r="R1538" s="1">
        <v>0</v>
      </c>
      <c r="S1538" s="1">
        <v>25</v>
      </c>
      <c r="T1538" s="1">
        <v>0</v>
      </c>
      <c r="U1538" s="1">
        <v>0</v>
      </c>
      <c r="V1538" s="1" t="str">
        <f t="shared" si="290"/>
        <v>里程返程</v>
      </c>
      <c r="W1538" s="1" t="str">
        <f>"0620"</f>
        <v>0620</v>
      </c>
      <c r="X1538" s="1" t="s">
        <v>29</v>
      </c>
    </row>
    <row r="1539" spans="1:24" x14ac:dyDescent="0.3">
      <c r="A1539" s="1" t="str">
        <f t="shared" si="291"/>
        <v>59822</v>
      </c>
      <c r="B1539" s="1" t="s">
        <v>39</v>
      </c>
      <c r="C1539" s="1" t="s">
        <v>40</v>
      </c>
      <c r="D1539" s="1" t="str">
        <f t="shared" si="292"/>
        <v>9801</v>
      </c>
      <c r="E1539" s="1" t="s">
        <v>25</v>
      </c>
      <c r="F1539" s="1" t="str">
        <f>"82D53B167A880400C814002000000019"</f>
        <v>82D53B167A880400C814002000000019</v>
      </c>
      <c r="G1539" s="1" t="s">
        <v>59</v>
      </c>
      <c r="H1539" s="1" t="str">
        <f t="shared" si="293"/>
        <v>20220908</v>
      </c>
      <c r="I1539" s="1" t="str">
        <f>"105140"</f>
        <v>105140</v>
      </c>
      <c r="J1539" s="1" t="s">
        <v>28</v>
      </c>
      <c r="K1539" s="1" t="s">
        <v>28</v>
      </c>
      <c r="L1539" s="1" t="str">
        <f t="shared" si="294"/>
        <v>20220908</v>
      </c>
      <c r="M1539" s="1" t="str">
        <f>"112658"</f>
        <v>112658</v>
      </c>
      <c r="N1539" s="1" t="s">
        <v>52</v>
      </c>
      <c r="O1539" s="1" t="s">
        <v>52</v>
      </c>
      <c r="P1539" s="1" t="s">
        <v>55</v>
      </c>
      <c r="Q1539" s="1">
        <v>25</v>
      </c>
      <c r="R1539" s="1">
        <v>25</v>
      </c>
      <c r="S1539" s="1">
        <v>0</v>
      </c>
      <c r="T1539" s="1">
        <v>0</v>
      </c>
      <c r="U1539" s="1">
        <v>0</v>
      </c>
      <c r="V1539" s="1" t="str">
        <f t="shared" si="290"/>
        <v>里程返程</v>
      </c>
      <c r="W1539" s="1" t="str">
        <f>"0020"</f>
        <v>0020</v>
      </c>
      <c r="X1539" s="1" t="s">
        <v>29</v>
      </c>
    </row>
    <row r="1540" spans="1:24" x14ac:dyDescent="0.3">
      <c r="A1540" s="1" t="str">
        <f t="shared" si="291"/>
        <v>59822</v>
      </c>
      <c r="B1540" s="1" t="s">
        <v>39</v>
      </c>
      <c r="C1540" s="1" t="s">
        <v>40</v>
      </c>
      <c r="D1540" s="1" t="str">
        <f t="shared" si="292"/>
        <v>9801</v>
      </c>
      <c r="E1540" s="1" t="s">
        <v>25</v>
      </c>
      <c r="F1540" s="1" t="str">
        <f>"255254385"</f>
        <v>255254385</v>
      </c>
      <c r="G1540" s="1" t="s">
        <v>33</v>
      </c>
      <c r="H1540" s="1" t="str">
        <f t="shared" si="293"/>
        <v>20220908</v>
      </c>
      <c r="I1540" s="1" t="str">
        <f>"105150"</f>
        <v>105150</v>
      </c>
      <c r="J1540" s="1" t="s">
        <v>28</v>
      </c>
      <c r="K1540" s="1" t="s">
        <v>28</v>
      </c>
      <c r="L1540" s="1" t="str">
        <f t="shared" si="294"/>
        <v>20220908</v>
      </c>
      <c r="M1540" s="1" t="str">
        <f>"111749"</f>
        <v>111749</v>
      </c>
      <c r="N1540" s="1" t="s">
        <v>65</v>
      </c>
      <c r="O1540" s="1" t="s">
        <v>52</v>
      </c>
      <c r="P1540" s="1" t="s">
        <v>55</v>
      </c>
      <c r="Q1540" s="1">
        <v>25</v>
      </c>
      <c r="R1540" s="1">
        <v>0</v>
      </c>
      <c r="S1540" s="1">
        <v>25</v>
      </c>
      <c r="T1540" s="1">
        <v>0</v>
      </c>
      <c r="U1540" s="1">
        <v>0</v>
      </c>
      <c r="V1540" s="1" t="str">
        <f t="shared" si="290"/>
        <v>里程返程</v>
      </c>
      <c r="W1540" s="1" t="str">
        <f>"0820"</f>
        <v>0820</v>
      </c>
      <c r="X1540" s="1" t="s">
        <v>35</v>
      </c>
    </row>
    <row r="1541" spans="1:24" x14ac:dyDescent="0.3">
      <c r="A1541" s="1" t="str">
        <f t="shared" si="291"/>
        <v>59822</v>
      </c>
      <c r="B1541" s="1" t="s">
        <v>39</v>
      </c>
      <c r="C1541" s="1" t="s">
        <v>40</v>
      </c>
      <c r="D1541" s="1" t="str">
        <f t="shared" si="292"/>
        <v>9801</v>
      </c>
      <c r="E1541" s="1" t="s">
        <v>25</v>
      </c>
      <c r="F1541" s="1" t="str">
        <f>"1218018517"</f>
        <v>1218018517</v>
      </c>
      <c r="G1541" s="1" t="s">
        <v>38</v>
      </c>
      <c r="H1541" s="1" t="str">
        <f t="shared" si="293"/>
        <v>20220908</v>
      </c>
      <c r="I1541" s="1" t="str">
        <f>"105157"</f>
        <v>105157</v>
      </c>
      <c r="J1541" s="1" t="s">
        <v>28</v>
      </c>
      <c r="K1541" s="1" t="s">
        <v>28</v>
      </c>
      <c r="L1541" s="1" t="str">
        <f t="shared" si="294"/>
        <v>20220908</v>
      </c>
      <c r="M1541" s="1" t="str">
        <f>"112640"</f>
        <v>112640</v>
      </c>
      <c r="N1541" s="1" t="s">
        <v>52</v>
      </c>
      <c r="O1541" s="1" t="s">
        <v>52</v>
      </c>
      <c r="P1541" s="1" t="s">
        <v>55</v>
      </c>
      <c r="Q1541" s="1">
        <v>25</v>
      </c>
      <c r="R1541" s="1">
        <v>0</v>
      </c>
      <c r="S1541" s="1">
        <v>25</v>
      </c>
      <c r="T1541" s="1">
        <v>0</v>
      </c>
      <c r="U1541" s="1">
        <v>0</v>
      </c>
      <c r="V1541" s="1" t="str">
        <f t="shared" si="290"/>
        <v>里程返程</v>
      </c>
      <c r="W1541" s="1" t="str">
        <f>"0820"</f>
        <v>0820</v>
      </c>
      <c r="X1541" s="1" t="s">
        <v>35</v>
      </c>
    </row>
    <row r="1542" spans="1:24" x14ac:dyDescent="0.3">
      <c r="A1542" s="1" t="str">
        <f t="shared" si="291"/>
        <v>59822</v>
      </c>
      <c r="B1542" s="1" t="s">
        <v>39</v>
      </c>
      <c r="C1542" s="1" t="s">
        <v>40</v>
      </c>
      <c r="D1542" s="1" t="str">
        <f t="shared" si="292"/>
        <v>9801</v>
      </c>
      <c r="E1542" s="1" t="s">
        <v>25</v>
      </c>
      <c r="F1542" s="1" t="str">
        <f>"893959765"</f>
        <v>893959765</v>
      </c>
      <c r="G1542" s="1" t="s">
        <v>26</v>
      </c>
      <c r="H1542" s="1" t="str">
        <f t="shared" si="293"/>
        <v>20220908</v>
      </c>
      <c r="I1542" s="1" t="str">
        <f>"105630"</f>
        <v>105630</v>
      </c>
      <c r="J1542" s="1" t="s">
        <v>28</v>
      </c>
      <c r="K1542" s="1" t="s">
        <v>28</v>
      </c>
      <c r="L1542" s="1" t="str">
        <f t="shared" si="294"/>
        <v>20220908</v>
      </c>
      <c r="M1542" s="1" t="str">
        <f>"110307"</f>
        <v>110307</v>
      </c>
      <c r="N1542" s="1" t="s">
        <v>84</v>
      </c>
      <c r="O1542" s="1" t="s">
        <v>28</v>
      </c>
      <c r="P1542" s="1" t="s">
        <v>55</v>
      </c>
      <c r="Q1542" s="1">
        <v>13</v>
      </c>
      <c r="R1542" s="1">
        <v>0</v>
      </c>
      <c r="S1542" s="1">
        <v>13</v>
      </c>
      <c r="T1542" s="1">
        <v>0</v>
      </c>
      <c r="U1542" s="1">
        <v>0</v>
      </c>
      <c r="V1542" s="1" t="str">
        <f t="shared" si="290"/>
        <v>里程返程</v>
      </c>
      <c r="W1542" s="1" t="str">
        <f>"0820"</f>
        <v>0820</v>
      </c>
      <c r="X1542" s="1" t="s">
        <v>35</v>
      </c>
    </row>
    <row r="1543" spans="1:24" x14ac:dyDescent="0.3">
      <c r="A1543" s="1" t="str">
        <f t="shared" si="291"/>
        <v>59822</v>
      </c>
      <c r="B1543" s="1" t="s">
        <v>39</v>
      </c>
      <c r="C1543" s="1" t="s">
        <v>40</v>
      </c>
      <c r="D1543" s="1" t="str">
        <f t="shared" si="292"/>
        <v>9801</v>
      </c>
      <c r="E1543" s="1" t="s">
        <v>25</v>
      </c>
      <c r="F1543" s="1" t="str">
        <f>"186664769"</f>
        <v>186664769</v>
      </c>
      <c r="G1543" s="1" t="s">
        <v>33</v>
      </c>
      <c r="H1543" s="1" t="str">
        <f t="shared" si="293"/>
        <v>20220908</v>
      </c>
      <c r="I1543" s="1" t="str">
        <f>"105657"</f>
        <v>105657</v>
      </c>
      <c r="J1543" s="1" t="s">
        <v>28</v>
      </c>
      <c r="K1543" s="1" t="s">
        <v>28</v>
      </c>
      <c r="L1543" s="1" t="str">
        <f t="shared" si="294"/>
        <v>20220908</v>
      </c>
      <c r="M1543" s="1" t="str">
        <f>"110454"</f>
        <v>110454</v>
      </c>
      <c r="N1543" s="1" t="s">
        <v>83</v>
      </c>
      <c r="O1543" s="1" t="s">
        <v>52</v>
      </c>
      <c r="P1543" s="1" t="s">
        <v>55</v>
      </c>
      <c r="Q1543" s="1">
        <v>25</v>
      </c>
      <c r="R1543" s="1">
        <v>25</v>
      </c>
      <c r="S1543" s="1">
        <v>0</v>
      </c>
      <c r="T1543" s="1">
        <v>0</v>
      </c>
      <c r="U1543" s="1">
        <v>0</v>
      </c>
      <c r="V1543" s="1" t="str">
        <f t="shared" si="290"/>
        <v>里程返程</v>
      </c>
      <c r="W1543" s="1" t="str">
        <f>"0120"</f>
        <v>0120</v>
      </c>
      <c r="X1543" s="1" t="s">
        <v>35</v>
      </c>
    </row>
    <row r="1544" spans="1:24" x14ac:dyDescent="0.3">
      <c r="A1544" s="1" t="str">
        <f t="shared" si="291"/>
        <v>59822</v>
      </c>
      <c r="B1544" s="1" t="s">
        <v>39</v>
      </c>
      <c r="C1544" s="1" t="s">
        <v>40</v>
      </c>
      <c r="D1544" s="1" t="str">
        <f t="shared" si="292"/>
        <v>9801</v>
      </c>
      <c r="E1544" s="1" t="s">
        <v>25</v>
      </c>
      <c r="F1544" s="1" t="str">
        <f>"1396348336"</f>
        <v>1396348336</v>
      </c>
      <c r="G1544" s="1" t="s">
        <v>33</v>
      </c>
      <c r="H1544" s="1" t="str">
        <f t="shared" si="293"/>
        <v>20220908</v>
      </c>
      <c r="I1544" s="1" t="str">
        <f>"105837"</f>
        <v>105837</v>
      </c>
      <c r="J1544" s="1" t="s">
        <v>41</v>
      </c>
      <c r="K1544" s="1" t="s">
        <v>28</v>
      </c>
      <c r="L1544" s="1" t="str">
        <f t="shared" si="294"/>
        <v>20220908</v>
      </c>
      <c r="M1544" s="1" t="str">
        <f>"112655"</f>
        <v>112655</v>
      </c>
      <c r="N1544" s="1" t="s">
        <v>52</v>
      </c>
      <c r="O1544" s="1" t="s">
        <v>52</v>
      </c>
      <c r="P1544" s="1" t="s">
        <v>55</v>
      </c>
      <c r="Q1544" s="1">
        <v>25</v>
      </c>
      <c r="R1544" s="1">
        <v>25</v>
      </c>
      <c r="S1544" s="1">
        <v>0</v>
      </c>
      <c r="T1544" s="1">
        <v>0</v>
      </c>
      <c r="U1544" s="1">
        <v>0</v>
      </c>
      <c r="V1544" s="1" t="str">
        <f t="shared" si="290"/>
        <v>里程返程</v>
      </c>
      <c r="W1544" s="1" t="str">
        <f>"2020"</f>
        <v>2020</v>
      </c>
      <c r="X1544" s="1" t="s">
        <v>35</v>
      </c>
    </row>
    <row r="1545" spans="1:24" x14ac:dyDescent="0.3">
      <c r="A1545" s="1" t="str">
        <f t="shared" si="291"/>
        <v>59822</v>
      </c>
      <c r="B1545" s="1" t="s">
        <v>39</v>
      </c>
      <c r="C1545" s="1" t="s">
        <v>40</v>
      </c>
      <c r="D1545" s="1" t="str">
        <f t="shared" si="292"/>
        <v>9801</v>
      </c>
      <c r="E1545" s="1" t="s">
        <v>25</v>
      </c>
      <c r="F1545" s="1" t="str">
        <f>"211863265"</f>
        <v>211863265</v>
      </c>
      <c r="G1545" s="1" t="s">
        <v>33</v>
      </c>
      <c r="H1545" s="1" t="str">
        <f t="shared" si="293"/>
        <v>20220908</v>
      </c>
      <c r="I1545" s="1" t="str">
        <f>"110502"</f>
        <v>110502</v>
      </c>
      <c r="J1545" s="1" t="s">
        <v>83</v>
      </c>
      <c r="K1545" s="1" t="s">
        <v>52</v>
      </c>
      <c r="L1545" s="1" t="str">
        <f t="shared" si="294"/>
        <v>20220908</v>
      </c>
      <c r="M1545" s="1" t="str">
        <f>"111358"</f>
        <v>111358</v>
      </c>
      <c r="N1545" s="1" t="s">
        <v>80</v>
      </c>
      <c r="O1545" s="1" t="s">
        <v>52</v>
      </c>
      <c r="P1545" s="1" t="s">
        <v>55</v>
      </c>
      <c r="Q1545" s="1">
        <v>25</v>
      </c>
      <c r="R1545" s="1">
        <v>25</v>
      </c>
      <c r="S1545" s="1">
        <v>0</v>
      </c>
      <c r="T1545" s="1">
        <v>0</v>
      </c>
      <c r="U1545" s="1">
        <v>0</v>
      </c>
      <c r="V1545" s="1" t="str">
        <f t="shared" si="290"/>
        <v>里程返程</v>
      </c>
      <c r="W1545" s="1" t="str">
        <f>"2020"</f>
        <v>2020</v>
      </c>
      <c r="X1545" s="1" t="s">
        <v>35</v>
      </c>
    </row>
    <row r="1546" spans="1:24" x14ac:dyDescent="0.3">
      <c r="A1546" s="1" t="str">
        <f t="shared" si="291"/>
        <v>59822</v>
      </c>
      <c r="B1546" s="1" t="s">
        <v>39</v>
      </c>
      <c r="C1546" s="1" t="s">
        <v>40</v>
      </c>
      <c r="D1546" s="1" t="str">
        <f t="shared" si="292"/>
        <v>9801</v>
      </c>
      <c r="E1546" s="1" t="s">
        <v>25</v>
      </c>
      <c r="F1546" s="1" t="str">
        <f>"1000129109"</f>
        <v>1000129109</v>
      </c>
      <c r="G1546" s="1" t="s">
        <v>38</v>
      </c>
      <c r="H1546" s="1" t="str">
        <f t="shared" si="293"/>
        <v>20220908</v>
      </c>
      <c r="I1546" s="1" t="str">
        <f>"114244"</f>
        <v>114244</v>
      </c>
      <c r="J1546" s="1" t="s">
        <v>75</v>
      </c>
      <c r="K1546" s="1" t="s">
        <v>45</v>
      </c>
      <c r="L1546" s="1" t="str">
        <f t="shared" si="294"/>
        <v>20220908</v>
      </c>
      <c r="M1546" s="1" t="str">
        <f>"115607"</f>
        <v>115607</v>
      </c>
      <c r="N1546" s="1" t="s">
        <v>28</v>
      </c>
      <c r="O1546" s="1" t="s">
        <v>28</v>
      </c>
      <c r="P1546" s="1" t="s">
        <v>55</v>
      </c>
      <c r="Q1546" s="1">
        <v>25</v>
      </c>
      <c r="R1546" s="1">
        <v>25</v>
      </c>
      <c r="S1546" s="1">
        <v>0</v>
      </c>
      <c r="T1546" s="1">
        <v>0</v>
      </c>
      <c r="U1546" s="1">
        <v>0</v>
      </c>
      <c r="V1546" s="1" t="str">
        <f t="shared" si="290"/>
        <v>里程返程</v>
      </c>
      <c r="W1546" s="1" t="str">
        <f>"2020"</f>
        <v>2020</v>
      </c>
      <c r="X1546" s="1" t="s">
        <v>35</v>
      </c>
    </row>
    <row r="1547" spans="1:24" x14ac:dyDescent="0.3">
      <c r="A1547" s="1" t="str">
        <f t="shared" si="291"/>
        <v>59822</v>
      </c>
      <c r="B1547" s="1" t="s">
        <v>39</v>
      </c>
      <c r="C1547" s="1" t="s">
        <v>40</v>
      </c>
      <c r="D1547" s="1" t="str">
        <f t="shared" si="292"/>
        <v>9801</v>
      </c>
      <c r="E1547" s="1" t="s">
        <v>25</v>
      </c>
      <c r="F1547" s="1" t="str">
        <f>"1616863089"</f>
        <v>1616863089</v>
      </c>
      <c r="G1547" s="1" t="s">
        <v>33</v>
      </c>
      <c r="H1547" s="1" t="str">
        <f t="shared" si="293"/>
        <v>20220908</v>
      </c>
      <c r="I1547" s="1" t="str">
        <f>"114246"</f>
        <v>114246</v>
      </c>
      <c r="J1547" s="1" t="s">
        <v>75</v>
      </c>
      <c r="K1547" s="1" t="s">
        <v>45</v>
      </c>
      <c r="L1547" s="1" t="str">
        <f t="shared" si="294"/>
        <v>20220908</v>
      </c>
      <c r="M1547" s="1" t="str">
        <f>"115605"</f>
        <v>115605</v>
      </c>
      <c r="N1547" s="1" t="s">
        <v>28</v>
      </c>
      <c r="O1547" s="1" t="s">
        <v>28</v>
      </c>
      <c r="P1547" s="1" t="s">
        <v>55</v>
      </c>
      <c r="Q1547" s="1">
        <v>25</v>
      </c>
      <c r="R1547" s="1">
        <v>25</v>
      </c>
      <c r="S1547" s="1">
        <v>0</v>
      </c>
      <c r="T1547" s="1">
        <v>0</v>
      </c>
      <c r="U1547" s="1">
        <v>0</v>
      </c>
      <c r="V1547" s="1" t="str">
        <f t="shared" si="290"/>
        <v>里程返程</v>
      </c>
      <c r="W1547" s="1" t="str">
        <f>"2020"</f>
        <v>2020</v>
      </c>
      <c r="X1547" s="1" t="s">
        <v>35</v>
      </c>
    </row>
    <row r="1548" spans="1:24" x14ac:dyDescent="0.3">
      <c r="A1548" s="1" t="str">
        <f t="shared" si="291"/>
        <v>59822</v>
      </c>
      <c r="B1548" s="1" t="s">
        <v>39</v>
      </c>
      <c r="C1548" s="1" t="s">
        <v>40</v>
      </c>
      <c r="D1548" s="1" t="str">
        <f t="shared" si="292"/>
        <v>9801</v>
      </c>
      <c r="E1548" s="1" t="s">
        <v>25</v>
      </c>
      <c r="F1548" s="1" t="str">
        <f>"12F4D00234880400C834002000000015"</f>
        <v>12F4D00234880400C834002000000015</v>
      </c>
      <c r="G1548" s="1" t="s">
        <v>74</v>
      </c>
      <c r="H1548" s="1" t="str">
        <f t="shared" si="293"/>
        <v>20220908</v>
      </c>
      <c r="I1548" s="1" t="str">
        <f>"115720"</f>
        <v>115720</v>
      </c>
      <c r="J1548" s="1" t="s">
        <v>28</v>
      </c>
      <c r="K1548" s="1" t="s">
        <v>28</v>
      </c>
      <c r="L1548" s="1" t="str">
        <f t="shared" si="294"/>
        <v>20220908</v>
      </c>
      <c r="M1548" s="1" t="str">
        <f>"121303"</f>
        <v>121303</v>
      </c>
      <c r="N1548" s="1" t="s">
        <v>97</v>
      </c>
      <c r="O1548" s="1" t="s">
        <v>52</v>
      </c>
      <c r="P1548" s="1" t="s">
        <v>68</v>
      </c>
      <c r="Q1548" s="1">
        <v>13</v>
      </c>
      <c r="R1548" s="1">
        <v>0</v>
      </c>
      <c r="S1548" s="1">
        <v>0</v>
      </c>
      <c r="T1548" s="1">
        <v>13</v>
      </c>
      <c r="U1548" s="1">
        <v>0</v>
      </c>
      <c r="V1548" s="1" t="str">
        <f t="shared" si="290"/>
        <v>里程返程</v>
      </c>
      <c r="W1548" s="1" t="str">
        <f>"0020"</f>
        <v>0020</v>
      </c>
      <c r="X1548" s="1" t="s">
        <v>29</v>
      </c>
    </row>
    <row r="1549" spans="1:24" x14ac:dyDescent="0.3">
      <c r="A1549" s="1" t="str">
        <f t="shared" si="291"/>
        <v>59822</v>
      </c>
      <c r="B1549" s="1" t="s">
        <v>39</v>
      </c>
      <c r="C1549" s="1" t="s">
        <v>40</v>
      </c>
      <c r="D1549" s="1" t="str">
        <f t="shared" si="292"/>
        <v>9801</v>
      </c>
      <c r="E1549" s="1" t="s">
        <v>25</v>
      </c>
      <c r="F1549" s="1" t="str">
        <f>"82D5FB02AE880400C834002000000015"</f>
        <v>82D5FB02AE880400C834002000000015</v>
      </c>
      <c r="G1549" s="1" t="s">
        <v>26</v>
      </c>
      <c r="H1549" s="1" t="str">
        <f t="shared" si="293"/>
        <v>20220908</v>
      </c>
      <c r="I1549" s="1" t="str">
        <f>"121904"</f>
        <v>121904</v>
      </c>
      <c r="J1549" s="1" t="s">
        <v>51</v>
      </c>
      <c r="K1549" s="1" t="s">
        <v>52</v>
      </c>
      <c r="L1549" s="1" t="str">
        <f t="shared" si="294"/>
        <v>20220908</v>
      </c>
      <c r="M1549" s="1" t="str">
        <f>"122403"</f>
        <v>122403</v>
      </c>
      <c r="N1549" s="1" t="s">
        <v>52</v>
      </c>
      <c r="O1549" s="1" t="s">
        <v>52</v>
      </c>
      <c r="P1549" s="1" t="s">
        <v>68</v>
      </c>
      <c r="Q1549" s="1">
        <v>13</v>
      </c>
      <c r="R1549" s="1">
        <v>0</v>
      </c>
      <c r="S1549" s="1">
        <v>0</v>
      </c>
      <c r="T1549" s="1">
        <v>13</v>
      </c>
      <c r="U1549" s="1">
        <v>0</v>
      </c>
      <c r="V1549" s="1" t="str">
        <f t="shared" si="290"/>
        <v>里程返程</v>
      </c>
      <c r="W1549" s="1" t="str">
        <f>"0020"</f>
        <v>0020</v>
      </c>
      <c r="X1549" s="1" t="s">
        <v>29</v>
      </c>
    </row>
    <row r="1550" spans="1:24" x14ac:dyDescent="0.3">
      <c r="A1550" s="1" t="str">
        <f t="shared" si="291"/>
        <v>59822</v>
      </c>
      <c r="B1550" s="1" t="s">
        <v>39</v>
      </c>
      <c r="C1550" s="1" t="s">
        <v>40</v>
      </c>
      <c r="D1550" s="1" t="str">
        <f>"9805"</f>
        <v>9805</v>
      </c>
      <c r="E1550" s="1" t="s">
        <v>57</v>
      </c>
      <c r="F1550" s="1" t="str">
        <f>"A14B2A33F38804004325B8B800130B0F"</f>
        <v>A14B2A33F38804004325B8B800130B0F</v>
      </c>
      <c r="G1550" s="1" t="s">
        <v>64</v>
      </c>
      <c r="H1550" s="1" t="str">
        <f t="shared" si="293"/>
        <v>20220908</v>
      </c>
      <c r="I1550" s="1" t="str">
        <f>"133410"</f>
        <v>133410</v>
      </c>
      <c r="J1550" s="1" t="s">
        <v>62</v>
      </c>
      <c r="K1550" s="1" t="s">
        <v>28</v>
      </c>
      <c r="L1550" s="1" t="str">
        <f t="shared" si="294"/>
        <v>20220908</v>
      </c>
      <c r="M1550" s="1" t="str">
        <f>"134848"</f>
        <v>134848</v>
      </c>
      <c r="N1550" s="1" t="s">
        <v>28</v>
      </c>
      <c r="O1550" s="1" t="s">
        <v>28</v>
      </c>
      <c r="P1550" s="1" t="s">
        <v>55</v>
      </c>
      <c r="Q1550" s="1">
        <v>13</v>
      </c>
      <c r="R1550" s="1">
        <v>0</v>
      </c>
      <c r="S1550" s="1">
        <v>13</v>
      </c>
      <c r="T1550" s="1">
        <v>0</v>
      </c>
      <c r="U1550" s="1">
        <v>0</v>
      </c>
      <c r="V1550" s="1" t="str">
        <f t="shared" si="290"/>
        <v>里程返程</v>
      </c>
      <c r="W1550" s="1" t="str">
        <f>"1120"</f>
        <v>1120</v>
      </c>
      <c r="X1550" s="1" t="s">
        <v>29</v>
      </c>
    </row>
    <row r="1551" spans="1:24" x14ac:dyDescent="0.3">
      <c r="A1551" s="1" t="str">
        <f t="shared" si="291"/>
        <v>59822</v>
      </c>
      <c r="B1551" s="1" t="s">
        <v>39</v>
      </c>
      <c r="C1551" s="1" t="s">
        <v>40</v>
      </c>
      <c r="D1551" s="1" t="str">
        <f>"9805"</f>
        <v>9805</v>
      </c>
      <c r="E1551" s="1" t="s">
        <v>57</v>
      </c>
      <c r="F1551" s="1" t="str">
        <f>"FAFF46337088040047C12B9499001607"</f>
        <v>FAFF46337088040047C12B9499001607</v>
      </c>
      <c r="G1551" s="1" t="s">
        <v>58</v>
      </c>
      <c r="H1551" s="1" t="str">
        <f t="shared" si="293"/>
        <v>20220908</v>
      </c>
      <c r="I1551" s="1" t="str">
        <f>"133617"</f>
        <v>133617</v>
      </c>
      <c r="J1551" s="1" t="s">
        <v>103</v>
      </c>
      <c r="K1551" s="1" t="s">
        <v>28</v>
      </c>
      <c r="L1551" s="1" t="str">
        <f t="shared" si="294"/>
        <v>20220908</v>
      </c>
      <c r="M1551" s="1" t="str">
        <f>"134852"</f>
        <v>134852</v>
      </c>
      <c r="N1551" s="1" t="s">
        <v>28</v>
      </c>
      <c r="O1551" s="1" t="s">
        <v>28</v>
      </c>
      <c r="P1551" s="1" t="s">
        <v>55</v>
      </c>
      <c r="Q1551" s="1">
        <v>25</v>
      </c>
      <c r="R1551" s="1">
        <v>25</v>
      </c>
      <c r="S1551" s="1">
        <v>0</v>
      </c>
      <c r="T1551" s="1">
        <v>0</v>
      </c>
      <c r="U1551" s="1">
        <v>0</v>
      </c>
      <c r="V1551" s="1" t="str">
        <f t="shared" si="290"/>
        <v>里程返程</v>
      </c>
      <c r="W1551" s="1" t="str">
        <f>"0020"</f>
        <v>0020</v>
      </c>
      <c r="X1551" s="1" t="s">
        <v>29</v>
      </c>
    </row>
    <row r="1552" spans="1:24" x14ac:dyDescent="0.3">
      <c r="A1552" s="1" t="str">
        <f t="shared" si="291"/>
        <v>59822</v>
      </c>
      <c r="B1552" s="1" t="s">
        <v>39</v>
      </c>
      <c r="C1552" s="1" t="s">
        <v>40</v>
      </c>
      <c r="D1552" s="1" t="str">
        <f>"9805"</f>
        <v>9805</v>
      </c>
      <c r="E1552" s="1" t="s">
        <v>57</v>
      </c>
      <c r="F1552" s="1" t="str">
        <f>"1692892881"</f>
        <v>1692892881</v>
      </c>
      <c r="G1552" s="1" t="s">
        <v>33</v>
      </c>
      <c r="H1552" s="1" t="str">
        <f t="shared" si="293"/>
        <v>20220908</v>
      </c>
      <c r="I1552" s="1" t="str">
        <f>"142739"</f>
        <v>142739</v>
      </c>
      <c r="J1552" s="1" t="s">
        <v>28</v>
      </c>
      <c r="K1552" s="1" t="s">
        <v>28</v>
      </c>
      <c r="L1552" s="1" t="str">
        <f t="shared" si="294"/>
        <v>20220908</v>
      </c>
      <c r="M1552" s="1" t="str">
        <f>"144536"</f>
        <v>144536</v>
      </c>
      <c r="N1552" s="1" t="s">
        <v>52</v>
      </c>
      <c r="O1552" s="1" t="s">
        <v>52</v>
      </c>
      <c r="P1552" s="1" t="s">
        <v>55</v>
      </c>
      <c r="Q1552" s="1">
        <v>25</v>
      </c>
      <c r="R1552" s="1">
        <v>25</v>
      </c>
      <c r="S1552" s="1">
        <v>0</v>
      </c>
      <c r="T1552" s="1">
        <v>0</v>
      </c>
      <c r="U1552" s="1">
        <v>0</v>
      </c>
      <c r="V1552" s="1" t="str">
        <f>"里程去程"</f>
        <v>里程去程</v>
      </c>
      <c r="W1552" s="1" t="str">
        <f>"0920"</f>
        <v>0920</v>
      </c>
      <c r="X1552" s="1" t="s">
        <v>35</v>
      </c>
    </row>
    <row r="1553" spans="1:24" x14ac:dyDescent="0.3">
      <c r="A1553" s="1" t="str">
        <f t="shared" si="291"/>
        <v>59822</v>
      </c>
      <c r="B1553" s="1" t="s">
        <v>39</v>
      </c>
      <c r="C1553" s="1" t="s">
        <v>40</v>
      </c>
      <c r="D1553" s="1" t="str">
        <f>"9805"</f>
        <v>9805</v>
      </c>
      <c r="E1553" s="1" t="s">
        <v>57</v>
      </c>
      <c r="F1553" s="1" t="str">
        <f>"435168033"</f>
        <v>435168033</v>
      </c>
      <c r="G1553" s="1" t="s">
        <v>33</v>
      </c>
      <c r="H1553" s="1" t="str">
        <f t="shared" si="293"/>
        <v>20220908</v>
      </c>
      <c r="I1553" s="1" t="str">
        <f>"143016"</f>
        <v>143016</v>
      </c>
      <c r="J1553" s="1" t="s">
        <v>28</v>
      </c>
      <c r="K1553" s="1" t="s">
        <v>28</v>
      </c>
      <c r="L1553" s="1" t="str">
        <f t="shared" si="294"/>
        <v>20220908</v>
      </c>
      <c r="M1553" s="1" t="str">
        <f>"144100"</f>
        <v>144100</v>
      </c>
      <c r="N1553" s="1" t="s">
        <v>46</v>
      </c>
      <c r="O1553" s="1" t="s">
        <v>28</v>
      </c>
      <c r="P1553" s="1" t="s">
        <v>55</v>
      </c>
      <c r="Q1553" s="1">
        <v>25</v>
      </c>
      <c r="R1553" s="1">
        <v>25</v>
      </c>
      <c r="S1553" s="1">
        <v>0</v>
      </c>
      <c r="T1553" s="1">
        <v>0</v>
      </c>
      <c r="U1553" s="1">
        <v>0</v>
      </c>
      <c r="V1553" s="1" t="str">
        <f>"里程去程"</f>
        <v>里程去程</v>
      </c>
      <c r="W1553" s="1" t="str">
        <f>"0620"</f>
        <v>0620</v>
      </c>
      <c r="X1553" s="1" t="s">
        <v>35</v>
      </c>
    </row>
    <row r="1554" spans="1:24" x14ac:dyDescent="0.3">
      <c r="A1554" s="1" t="str">
        <f t="shared" si="291"/>
        <v>59822</v>
      </c>
      <c r="B1554" s="1" t="s">
        <v>39</v>
      </c>
      <c r="C1554" s="1" t="s">
        <v>40</v>
      </c>
      <c r="D1554" s="1" t="str">
        <f t="shared" ref="D1554:D1574" si="295">"9803"</f>
        <v>9803</v>
      </c>
      <c r="E1554" s="1" t="s">
        <v>32</v>
      </c>
      <c r="F1554" s="1" t="str">
        <f>"70636337"</f>
        <v>70636337</v>
      </c>
      <c r="G1554" s="1" t="s">
        <v>33</v>
      </c>
      <c r="H1554" s="1" t="str">
        <f t="shared" si="293"/>
        <v>20220908</v>
      </c>
      <c r="I1554" s="1" t="str">
        <f>"152829"</f>
        <v>152829</v>
      </c>
      <c r="J1554" s="1" t="s">
        <v>34</v>
      </c>
      <c r="K1554" s="1" t="s">
        <v>34</v>
      </c>
      <c r="L1554" s="1" t="str">
        <f t="shared" si="294"/>
        <v>20220908</v>
      </c>
      <c r="M1554" s="1" t="str">
        <f>"160813"</f>
        <v>160813</v>
      </c>
      <c r="N1554" s="1" t="s">
        <v>28</v>
      </c>
      <c r="O1554" s="1" t="s">
        <v>28</v>
      </c>
      <c r="P1554" s="1" t="s">
        <v>55</v>
      </c>
      <c r="Q1554" s="1">
        <v>25</v>
      </c>
      <c r="R1554" s="1">
        <v>25</v>
      </c>
      <c r="S1554" s="1">
        <v>0</v>
      </c>
      <c r="T1554" s="1">
        <v>0</v>
      </c>
      <c r="U1554" s="1">
        <v>0</v>
      </c>
      <c r="V1554" s="1" t="str">
        <f t="shared" ref="V1554:V1575" si="296">"里程返程"</f>
        <v>里程返程</v>
      </c>
      <c r="W1554" s="1" t="str">
        <f>"2020"</f>
        <v>2020</v>
      </c>
      <c r="X1554" s="1" t="s">
        <v>35</v>
      </c>
    </row>
    <row r="1555" spans="1:24" x14ac:dyDescent="0.3">
      <c r="A1555" s="1" t="str">
        <f t="shared" si="291"/>
        <v>59822</v>
      </c>
      <c r="B1555" s="1" t="s">
        <v>39</v>
      </c>
      <c r="C1555" s="1" t="s">
        <v>40</v>
      </c>
      <c r="D1555" s="1" t="str">
        <f t="shared" si="295"/>
        <v>9803</v>
      </c>
      <c r="E1555" s="1" t="s">
        <v>32</v>
      </c>
      <c r="F1555" s="1" t="str">
        <f>"1175266597"</f>
        <v>1175266597</v>
      </c>
      <c r="G1555" s="1" t="s">
        <v>33</v>
      </c>
      <c r="H1555" s="1" t="str">
        <f t="shared" si="293"/>
        <v>20220908</v>
      </c>
      <c r="I1555" s="1" t="str">
        <f>"152833"</f>
        <v>152833</v>
      </c>
      <c r="J1555" s="1" t="s">
        <v>34</v>
      </c>
      <c r="K1555" s="1" t="s">
        <v>34</v>
      </c>
      <c r="L1555" s="1" t="str">
        <f t="shared" si="294"/>
        <v>20220908</v>
      </c>
      <c r="M1555" s="1" t="str">
        <f>"160950"</f>
        <v>160950</v>
      </c>
      <c r="N1555" s="1" t="s">
        <v>28</v>
      </c>
      <c r="O1555" s="1" t="s">
        <v>28</v>
      </c>
      <c r="P1555" s="1" t="s">
        <v>55</v>
      </c>
      <c r="Q1555" s="1">
        <v>25</v>
      </c>
      <c r="R1555" s="1">
        <v>25</v>
      </c>
      <c r="S1555" s="1">
        <v>0</v>
      </c>
      <c r="T1555" s="1">
        <v>0</v>
      </c>
      <c r="U1555" s="1">
        <v>0</v>
      </c>
      <c r="V1555" s="1" t="str">
        <f t="shared" si="296"/>
        <v>里程返程</v>
      </c>
      <c r="W1555" s="1" t="str">
        <f>"2020"</f>
        <v>2020</v>
      </c>
      <c r="X1555" s="1" t="s">
        <v>35</v>
      </c>
    </row>
    <row r="1556" spans="1:24" x14ac:dyDescent="0.3">
      <c r="A1556" s="1" t="str">
        <f t="shared" si="291"/>
        <v>59822</v>
      </c>
      <c r="B1556" s="1" t="s">
        <v>39</v>
      </c>
      <c r="C1556" s="1" t="s">
        <v>40</v>
      </c>
      <c r="D1556" s="1" t="str">
        <f t="shared" si="295"/>
        <v>9803</v>
      </c>
      <c r="E1556" s="1" t="s">
        <v>32</v>
      </c>
      <c r="F1556" s="1" t="str">
        <f>"3483596874"</f>
        <v>3483596874</v>
      </c>
      <c r="G1556" s="1" t="s">
        <v>33</v>
      </c>
      <c r="H1556" s="1" t="str">
        <f t="shared" si="293"/>
        <v>20220908</v>
      </c>
      <c r="I1556" s="1" t="str">
        <f>"152849"</f>
        <v>152849</v>
      </c>
      <c r="J1556" s="1" t="s">
        <v>34</v>
      </c>
      <c r="K1556" s="1" t="s">
        <v>34</v>
      </c>
      <c r="L1556" s="1" t="str">
        <f t="shared" si="294"/>
        <v>20220908</v>
      </c>
      <c r="M1556" s="1" t="str">
        <f>"161015"</f>
        <v>161015</v>
      </c>
      <c r="N1556" s="1" t="s">
        <v>28</v>
      </c>
      <c r="O1556" s="1" t="s">
        <v>28</v>
      </c>
      <c r="P1556" s="1" t="s">
        <v>55</v>
      </c>
      <c r="Q1556" s="1">
        <v>25</v>
      </c>
      <c r="R1556" s="1">
        <v>25</v>
      </c>
      <c r="S1556" s="1">
        <v>0</v>
      </c>
      <c r="T1556" s="1">
        <v>0</v>
      </c>
      <c r="U1556" s="1">
        <v>0</v>
      </c>
      <c r="V1556" s="1" t="str">
        <f t="shared" si="296"/>
        <v>里程返程</v>
      </c>
      <c r="W1556" s="1" t="str">
        <f>"2020"</f>
        <v>2020</v>
      </c>
      <c r="X1556" s="1" t="s">
        <v>35</v>
      </c>
    </row>
    <row r="1557" spans="1:24" x14ac:dyDescent="0.3">
      <c r="A1557" s="1" t="str">
        <f t="shared" si="291"/>
        <v>59822</v>
      </c>
      <c r="B1557" s="1" t="s">
        <v>39</v>
      </c>
      <c r="C1557" s="1" t="s">
        <v>40</v>
      </c>
      <c r="D1557" s="1" t="str">
        <f t="shared" si="295"/>
        <v>9803</v>
      </c>
      <c r="E1557" s="1" t="s">
        <v>32</v>
      </c>
      <c r="F1557" s="1" t="str">
        <f>"1018891765"</f>
        <v>1018891765</v>
      </c>
      <c r="G1557" s="1" t="s">
        <v>38</v>
      </c>
      <c r="H1557" s="1" t="str">
        <f t="shared" si="293"/>
        <v>20220908</v>
      </c>
      <c r="I1557" s="1" t="str">
        <f>"152851"</f>
        <v>152851</v>
      </c>
      <c r="J1557" s="1" t="s">
        <v>34</v>
      </c>
      <c r="K1557" s="1" t="s">
        <v>34</v>
      </c>
      <c r="L1557" s="1" t="str">
        <f t="shared" si="294"/>
        <v>20220908</v>
      </c>
      <c r="M1557" s="1" t="str">
        <f>"160816"</f>
        <v>160816</v>
      </c>
      <c r="N1557" s="1" t="s">
        <v>28</v>
      </c>
      <c r="O1557" s="1" t="s">
        <v>28</v>
      </c>
      <c r="P1557" s="1" t="s">
        <v>55</v>
      </c>
      <c r="Q1557" s="1">
        <v>25</v>
      </c>
      <c r="R1557" s="1">
        <v>25</v>
      </c>
      <c r="S1557" s="1">
        <v>0</v>
      </c>
      <c r="T1557" s="1">
        <v>0</v>
      </c>
      <c r="U1557" s="1">
        <v>0</v>
      </c>
      <c r="V1557" s="1" t="str">
        <f t="shared" si="296"/>
        <v>里程返程</v>
      </c>
      <c r="W1557" s="1" t="str">
        <f>"2020"</f>
        <v>2020</v>
      </c>
      <c r="X1557" s="1" t="s">
        <v>35</v>
      </c>
    </row>
    <row r="1558" spans="1:24" x14ac:dyDescent="0.3">
      <c r="A1558" s="1" t="str">
        <f t="shared" si="291"/>
        <v>59822</v>
      </c>
      <c r="B1558" s="1" t="s">
        <v>39</v>
      </c>
      <c r="C1558" s="1" t="s">
        <v>40</v>
      </c>
      <c r="D1558" s="1" t="str">
        <f t="shared" si="295"/>
        <v>9803</v>
      </c>
      <c r="E1558" s="1" t="s">
        <v>32</v>
      </c>
      <c r="F1558" s="1" t="str">
        <f>"31AF1326AB8804004328091300160212"</f>
        <v>31AF1326AB8804004328091300160212</v>
      </c>
      <c r="G1558" s="1" t="s">
        <v>58</v>
      </c>
      <c r="H1558" s="1" t="str">
        <f t="shared" si="293"/>
        <v>20220908</v>
      </c>
      <c r="I1558" s="1" t="str">
        <f>"152859"</f>
        <v>152859</v>
      </c>
      <c r="J1558" s="1" t="s">
        <v>34</v>
      </c>
      <c r="K1558" s="1" t="s">
        <v>34</v>
      </c>
      <c r="L1558" s="1" t="str">
        <f t="shared" si="294"/>
        <v>20220908</v>
      </c>
      <c r="M1558" s="1" t="str">
        <f>"160939"</f>
        <v>160939</v>
      </c>
      <c r="N1558" s="1" t="s">
        <v>28</v>
      </c>
      <c r="O1558" s="1" t="s">
        <v>28</v>
      </c>
      <c r="P1558" s="1" t="s">
        <v>55</v>
      </c>
      <c r="Q1558" s="1">
        <v>25</v>
      </c>
      <c r="R1558" s="1">
        <v>25</v>
      </c>
      <c r="S1558" s="1">
        <v>0</v>
      </c>
      <c r="T1558" s="1">
        <v>0</v>
      </c>
      <c r="U1558" s="1">
        <v>0</v>
      </c>
      <c r="V1558" s="1" t="str">
        <f t="shared" si="296"/>
        <v>里程返程</v>
      </c>
      <c r="W1558" s="1" t="str">
        <f>"0020"</f>
        <v>0020</v>
      </c>
      <c r="X1558" s="1" t="s">
        <v>29</v>
      </c>
    </row>
    <row r="1559" spans="1:24" x14ac:dyDescent="0.3">
      <c r="A1559" s="1" t="str">
        <f t="shared" si="291"/>
        <v>59822</v>
      </c>
      <c r="B1559" s="1" t="s">
        <v>39</v>
      </c>
      <c r="C1559" s="1" t="s">
        <v>40</v>
      </c>
      <c r="D1559" s="1" t="str">
        <f t="shared" si="295"/>
        <v>9803</v>
      </c>
      <c r="E1559" s="1" t="s">
        <v>32</v>
      </c>
      <c r="F1559" s="1" t="str">
        <f>"966651601"</f>
        <v>966651601</v>
      </c>
      <c r="G1559" s="1" t="s">
        <v>38</v>
      </c>
      <c r="H1559" s="1" t="str">
        <f t="shared" si="293"/>
        <v>20220908</v>
      </c>
      <c r="I1559" s="1" t="str">
        <f>"152907"</f>
        <v>152907</v>
      </c>
      <c r="J1559" s="1" t="s">
        <v>34</v>
      </c>
      <c r="K1559" s="1" t="s">
        <v>34</v>
      </c>
      <c r="L1559" s="1" t="str">
        <f t="shared" si="294"/>
        <v>20220908</v>
      </c>
      <c r="M1559" s="1" t="str">
        <f>"160955"</f>
        <v>160955</v>
      </c>
      <c r="N1559" s="1" t="s">
        <v>28</v>
      </c>
      <c r="O1559" s="1" t="s">
        <v>28</v>
      </c>
      <c r="P1559" s="1" t="s">
        <v>55</v>
      </c>
      <c r="Q1559" s="1">
        <v>25</v>
      </c>
      <c r="R1559" s="1">
        <v>25</v>
      </c>
      <c r="S1559" s="1">
        <v>0</v>
      </c>
      <c r="T1559" s="1">
        <v>0</v>
      </c>
      <c r="U1559" s="1">
        <v>0</v>
      </c>
      <c r="V1559" s="1" t="str">
        <f t="shared" si="296"/>
        <v>里程返程</v>
      </c>
      <c r="W1559" s="1" t="str">
        <f>"0920"</f>
        <v>0920</v>
      </c>
      <c r="X1559" s="1" t="s">
        <v>35</v>
      </c>
    </row>
    <row r="1560" spans="1:24" x14ac:dyDescent="0.3">
      <c r="A1560" s="1" t="str">
        <f t="shared" ref="A1560:A1589" si="297">"59822"</f>
        <v>59822</v>
      </c>
      <c r="B1560" s="1" t="s">
        <v>39</v>
      </c>
      <c r="C1560" s="1" t="s">
        <v>40</v>
      </c>
      <c r="D1560" s="1" t="str">
        <f t="shared" si="295"/>
        <v>9803</v>
      </c>
      <c r="E1560" s="1" t="s">
        <v>32</v>
      </c>
      <c r="F1560" s="1" t="str">
        <f>"1826055157"</f>
        <v>1826055157</v>
      </c>
      <c r="G1560" s="1" t="s">
        <v>33</v>
      </c>
      <c r="H1560" s="1" t="str">
        <f t="shared" si="293"/>
        <v>20220908</v>
      </c>
      <c r="I1560" s="1" t="str">
        <f>"153118"</f>
        <v>153118</v>
      </c>
      <c r="J1560" s="1" t="s">
        <v>34</v>
      </c>
      <c r="K1560" s="1" t="s">
        <v>34</v>
      </c>
      <c r="L1560" s="1" t="str">
        <f t="shared" si="294"/>
        <v>20220908</v>
      </c>
      <c r="M1560" s="1" t="str">
        <f>"161004"</f>
        <v>161004</v>
      </c>
      <c r="N1560" s="1" t="s">
        <v>28</v>
      </c>
      <c r="O1560" s="1" t="s">
        <v>28</v>
      </c>
      <c r="P1560" s="1" t="s">
        <v>55</v>
      </c>
      <c r="Q1560" s="1">
        <v>25</v>
      </c>
      <c r="R1560" s="1">
        <v>25</v>
      </c>
      <c r="S1560" s="1">
        <v>0</v>
      </c>
      <c r="T1560" s="1">
        <v>0</v>
      </c>
      <c r="U1560" s="1">
        <v>0</v>
      </c>
      <c r="V1560" s="1" t="str">
        <f t="shared" si="296"/>
        <v>里程返程</v>
      </c>
      <c r="W1560" s="1" t="str">
        <f>"0120"</f>
        <v>0120</v>
      </c>
      <c r="X1560" s="1" t="s">
        <v>35</v>
      </c>
    </row>
    <row r="1561" spans="1:24" x14ac:dyDescent="0.3">
      <c r="A1561" s="1" t="str">
        <f t="shared" si="297"/>
        <v>59822</v>
      </c>
      <c r="B1561" s="1" t="s">
        <v>39</v>
      </c>
      <c r="C1561" s="1" t="s">
        <v>40</v>
      </c>
      <c r="D1561" s="1" t="str">
        <f t="shared" si="295"/>
        <v>9803</v>
      </c>
      <c r="E1561" s="1" t="s">
        <v>32</v>
      </c>
      <c r="F1561" s="1" t="str">
        <f>"1142958901"</f>
        <v>1142958901</v>
      </c>
      <c r="G1561" s="1" t="s">
        <v>38</v>
      </c>
      <c r="H1561" s="1" t="str">
        <f t="shared" si="293"/>
        <v>20220908</v>
      </c>
      <c r="I1561" s="1" t="str">
        <f>"153120"</f>
        <v>153120</v>
      </c>
      <c r="J1561" s="1" t="s">
        <v>34</v>
      </c>
      <c r="K1561" s="1" t="s">
        <v>34</v>
      </c>
      <c r="L1561" s="1" t="str">
        <f t="shared" si="294"/>
        <v>20220908</v>
      </c>
      <c r="M1561" s="1" t="str">
        <f>"160943"</f>
        <v>160943</v>
      </c>
      <c r="N1561" s="1" t="s">
        <v>28</v>
      </c>
      <c r="O1561" s="1" t="s">
        <v>28</v>
      </c>
      <c r="P1561" s="1" t="s">
        <v>55</v>
      </c>
      <c r="Q1561" s="1">
        <v>25</v>
      </c>
      <c r="R1561" s="1">
        <v>25</v>
      </c>
      <c r="S1561" s="1">
        <v>0</v>
      </c>
      <c r="T1561" s="1">
        <v>0</v>
      </c>
      <c r="U1561" s="1">
        <v>0</v>
      </c>
      <c r="V1561" s="1" t="str">
        <f t="shared" si="296"/>
        <v>里程返程</v>
      </c>
      <c r="W1561" s="1" t="str">
        <f>"0120"</f>
        <v>0120</v>
      </c>
      <c r="X1561" s="1" t="s">
        <v>35</v>
      </c>
    </row>
    <row r="1562" spans="1:24" x14ac:dyDescent="0.3">
      <c r="A1562" s="1" t="str">
        <f t="shared" si="297"/>
        <v>59822</v>
      </c>
      <c r="B1562" s="1" t="s">
        <v>39</v>
      </c>
      <c r="C1562" s="1" t="s">
        <v>40</v>
      </c>
      <c r="D1562" s="1" t="str">
        <f t="shared" si="295"/>
        <v>9803</v>
      </c>
      <c r="E1562" s="1" t="s">
        <v>32</v>
      </c>
      <c r="F1562" s="1" t="str">
        <f>"1033148913"</f>
        <v>1033148913</v>
      </c>
      <c r="G1562" s="1" t="s">
        <v>33</v>
      </c>
      <c r="H1562" s="1" t="str">
        <f t="shared" si="293"/>
        <v>20220908</v>
      </c>
      <c r="I1562" s="1" t="str">
        <f>"153323"</f>
        <v>153323</v>
      </c>
      <c r="J1562" s="1" t="s">
        <v>34</v>
      </c>
      <c r="K1562" s="1" t="s">
        <v>34</v>
      </c>
      <c r="L1562" s="1" t="str">
        <f t="shared" si="294"/>
        <v>20220908</v>
      </c>
      <c r="M1562" s="1" t="str">
        <f>"160928"</f>
        <v>160928</v>
      </c>
      <c r="N1562" s="1" t="s">
        <v>28</v>
      </c>
      <c r="O1562" s="1" t="s">
        <v>28</v>
      </c>
      <c r="P1562" s="1" t="s">
        <v>55</v>
      </c>
      <c r="Q1562" s="1">
        <v>25</v>
      </c>
      <c r="R1562" s="1">
        <v>25</v>
      </c>
      <c r="S1562" s="1">
        <v>0</v>
      </c>
      <c r="T1562" s="1">
        <v>0</v>
      </c>
      <c r="U1562" s="1">
        <v>0</v>
      </c>
      <c r="V1562" s="1" t="str">
        <f t="shared" si="296"/>
        <v>里程返程</v>
      </c>
      <c r="W1562" s="1" t="str">
        <f>"2020"</f>
        <v>2020</v>
      </c>
      <c r="X1562" s="1" t="s">
        <v>35</v>
      </c>
    </row>
    <row r="1563" spans="1:24" x14ac:dyDescent="0.3">
      <c r="A1563" s="1" t="str">
        <f t="shared" si="297"/>
        <v>59822</v>
      </c>
      <c r="B1563" s="1" t="s">
        <v>39</v>
      </c>
      <c r="C1563" s="1" t="s">
        <v>40</v>
      </c>
      <c r="D1563" s="1" t="str">
        <f t="shared" si="295"/>
        <v>9803</v>
      </c>
      <c r="E1563" s="1" t="s">
        <v>32</v>
      </c>
      <c r="F1563" s="1" t="str">
        <f>"1276404305"</f>
        <v>1276404305</v>
      </c>
      <c r="G1563" s="1" t="s">
        <v>33</v>
      </c>
      <c r="H1563" s="1" t="str">
        <f t="shared" si="293"/>
        <v>20220908</v>
      </c>
      <c r="I1563" s="1" t="str">
        <f>"153333"</f>
        <v>153333</v>
      </c>
      <c r="J1563" s="1" t="s">
        <v>34</v>
      </c>
      <c r="K1563" s="1" t="s">
        <v>34</v>
      </c>
      <c r="L1563" s="1" t="str">
        <f t="shared" si="294"/>
        <v>20220908</v>
      </c>
      <c r="M1563" s="1" t="str">
        <f>"160829"</f>
        <v>160829</v>
      </c>
      <c r="N1563" s="1" t="s">
        <v>28</v>
      </c>
      <c r="O1563" s="1" t="s">
        <v>28</v>
      </c>
      <c r="P1563" s="1" t="s">
        <v>55</v>
      </c>
      <c r="Q1563" s="1">
        <v>25</v>
      </c>
      <c r="R1563" s="1">
        <v>25</v>
      </c>
      <c r="S1563" s="1">
        <v>0</v>
      </c>
      <c r="T1563" s="1">
        <v>0</v>
      </c>
      <c r="U1563" s="1">
        <v>0</v>
      </c>
      <c r="V1563" s="1" t="str">
        <f t="shared" si="296"/>
        <v>里程返程</v>
      </c>
      <c r="W1563" s="1" t="str">
        <f>"2020"</f>
        <v>2020</v>
      </c>
      <c r="X1563" s="1" t="s">
        <v>35</v>
      </c>
    </row>
    <row r="1564" spans="1:24" x14ac:dyDescent="0.3">
      <c r="A1564" s="1" t="str">
        <f t="shared" si="297"/>
        <v>59822</v>
      </c>
      <c r="B1564" s="1" t="s">
        <v>39</v>
      </c>
      <c r="C1564" s="1" t="s">
        <v>40</v>
      </c>
      <c r="D1564" s="1" t="str">
        <f t="shared" si="295"/>
        <v>9803</v>
      </c>
      <c r="E1564" s="1" t="s">
        <v>32</v>
      </c>
      <c r="F1564" s="1" t="str">
        <f>"1323666977"</f>
        <v>1323666977</v>
      </c>
      <c r="G1564" s="1" t="s">
        <v>33</v>
      </c>
      <c r="H1564" s="1" t="str">
        <f t="shared" si="293"/>
        <v>20220908</v>
      </c>
      <c r="I1564" s="1" t="str">
        <f>"153336"</f>
        <v>153336</v>
      </c>
      <c r="J1564" s="1" t="s">
        <v>34</v>
      </c>
      <c r="K1564" s="1" t="s">
        <v>34</v>
      </c>
      <c r="L1564" s="1" t="str">
        <f t="shared" si="294"/>
        <v>20220908</v>
      </c>
      <c r="M1564" s="1" t="str">
        <f>"160856"</f>
        <v>160856</v>
      </c>
      <c r="N1564" s="1" t="s">
        <v>28</v>
      </c>
      <c r="O1564" s="1" t="s">
        <v>28</v>
      </c>
      <c r="P1564" s="1" t="s">
        <v>55</v>
      </c>
      <c r="Q1564" s="1">
        <v>25</v>
      </c>
      <c r="R1564" s="1">
        <v>25</v>
      </c>
      <c r="S1564" s="1">
        <v>0</v>
      </c>
      <c r="T1564" s="1">
        <v>0</v>
      </c>
      <c r="U1564" s="1">
        <v>0</v>
      </c>
      <c r="V1564" s="1" t="str">
        <f t="shared" si="296"/>
        <v>里程返程</v>
      </c>
      <c r="W1564" s="1" t="str">
        <f>"2020"</f>
        <v>2020</v>
      </c>
      <c r="X1564" s="1" t="s">
        <v>35</v>
      </c>
    </row>
    <row r="1565" spans="1:24" x14ac:dyDescent="0.3">
      <c r="A1565" s="1" t="str">
        <f t="shared" si="297"/>
        <v>59822</v>
      </c>
      <c r="B1565" s="1" t="s">
        <v>39</v>
      </c>
      <c r="C1565" s="1" t="s">
        <v>40</v>
      </c>
      <c r="D1565" s="1" t="str">
        <f t="shared" si="295"/>
        <v>9803</v>
      </c>
      <c r="E1565" s="1" t="s">
        <v>32</v>
      </c>
      <c r="F1565" s="1" t="str">
        <f>"3350359466"</f>
        <v>3350359466</v>
      </c>
      <c r="G1565" s="1" t="s">
        <v>33</v>
      </c>
      <c r="H1565" s="1" t="str">
        <f t="shared" si="293"/>
        <v>20220908</v>
      </c>
      <c r="I1565" s="1" t="str">
        <f>"153622"</f>
        <v>153622</v>
      </c>
      <c r="J1565" s="1" t="s">
        <v>34</v>
      </c>
      <c r="K1565" s="1" t="s">
        <v>34</v>
      </c>
      <c r="L1565" s="1" t="str">
        <f t="shared" si="294"/>
        <v>20220908</v>
      </c>
      <c r="M1565" s="1" t="str">
        <f>"160907"</f>
        <v>160907</v>
      </c>
      <c r="N1565" s="1" t="s">
        <v>28</v>
      </c>
      <c r="O1565" s="1" t="s">
        <v>28</v>
      </c>
      <c r="P1565" s="1" t="s">
        <v>55</v>
      </c>
      <c r="Q1565" s="1">
        <v>25</v>
      </c>
      <c r="R1565" s="1">
        <v>25</v>
      </c>
      <c r="S1565" s="1">
        <v>0</v>
      </c>
      <c r="T1565" s="1">
        <v>0</v>
      </c>
      <c r="U1565" s="1">
        <v>0</v>
      </c>
      <c r="V1565" s="1" t="str">
        <f t="shared" si="296"/>
        <v>里程返程</v>
      </c>
      <c r="W1565" s="1" t="str">
        <f>"2020"</f>
        <v>2020</v>
      </c>
      <c r="X1565" s="1" t="s">
        <v>35</v>
      </c>
    </row>
    <row r="1566" spans="1:24" x14ac:dyDescent="0.3">
      <c r="A1566" s="1" t="str">
        <f t="shared" si="297"/>
        <v>59822</v>
      </c>
      <c r="B1566" s="1" t="s">
        <v>39</v>
      </c>
      <c r="C1566" s="1" t="s">
        <v>40</v>
      </c>
      <c r="D1566" s="1" t="str">
        <f t="shared" si="295"/>
        <v>9803</v>
      </c>
      <c r="E1566" s="1" t="s">
        <v>32</v>
      </c>
      <c r="F1566" s="1" t="str">
        <f>"1675428869"</f>
        <v>1675428869</v>
      </c>
      <c r="G1566" s="1" t="s">
        <v>33</v>
      </c>
      <c r="H1566" s="1" t="str">
        <f t="shared" si="293"/>
        <v>20220908</v>
      </c>
      <c r="I1566" s="1" t="str">
        <f>"153630"</f>
        <v>153630</v>
      </c>
      <c r="J1566" s="1" t="s">
        <v>34</v>
      </c>
      <c r="K1566" s="1" t="s">
        <v>34</v>
      </c>
      <c r="L1566" s="1" t="str">
        <f t="shared" si="294"/>
        <v>20220908</v>
      </c>
      <c r="M1566" s="1" t="str">
        <f>"160909"</f>
        <v>160909</v>
      </c>
      <c r="N1566" s="1" t="s">
        <v>28</v>
      </c>
      <c r="O1566" s="1" t="s">
        <v>28</v>
      </c>
      <c r="P1566" s="1" t="s">
        <v>55</v>
      </c>
      <c r="Q1566" s="1">
        <v>25</v>
      </c>
      <c r="R1566" s="1">
        <v>25</v>
      </c>
      <c r="S1566" s="1">
        <v>0</v>
      </c>
      <c r="T1566" s="1">
        <v>0</v>
      </c>
      <c r="U1566" s="1">
        <v>0</v>
      </c>
      <c r="V1566" s="1" t="str">
        <f t="shared" si="296"/>
        <v>里程返程</v>
      </c>
      <c r="W1566" s="1" t="str">
        <f>"2020"</f>
        <v>2020</v>
      </c>
      <c r="X1566" s="1" t="s">
        <v>35</v>
      </c>
    </row>
    <row r="1567" spans="1:24" x14ac:dyDescent="0.3">
      <c r="A1567" s="1" t="str">
        <f t="shared" si="297"/>
        <v>59822</v>
      </c>
      <c r="B1567" s="1" t="s">
        <v>39</v>
      </c>
      <c r="C1567" s="1" t="s">
        <v>40</v>
      </c>
      <c r="D1567" s="1" t="str">
        <f t="shared" si="295"/>
        <v>9803</v>
      </c>
      <c r="E1567" s="1" t="s">
        <v>32</v>
      </c>
      <c r="F1567" s="1" t="str">
        <f>"288904303"</f>
        <v>288904303</v>
      </c>
      <c r="G1567" s="1" t="s">
        <v>33</v>
      </c>
      <c r="H1567" s="1" t="str">
        <f t="shared" si="293"/>
        <v>20220908</v>
      </c>
      <c r="I1567" s="1" t="str">
        <f>"153654"</f>
        <v>153654</v>
      </c>
      <c r="J1567" s="1" t="s">
        <v>34</v>
      </c>
      <c r="K1567" s="1" t="s">
        <v>34</v>
      </c>
      <c r="L1567" s="1" t="str">
        <f t="shared" ref="L1567:L1598" si="298">"20220908"</f>
        <v>20220908</v>
      </c>
      <c r="M1567" s="1" t="str">
        <f>"160913"</f>
        <v>160913</v>
      </c>
      <c r="N1567" s="1" t="s">
        <v>28</v>
      </c>
      <c r="O1567" s="1" t="s">
        <v>28</v>
      </c>
      <c r="P1567" s="1" t="s">
        <v>55</v>
      </c>
      <c r="Q1567" s="1">
        <v>25</v>
      </c>
      <c r="R1567" s="1">
        <v>25</v>
      </c>
      <c r="S1567" s="1">
        <v>0</v>
      </c>
      <c r="T1567" s="1">
        <v>0</v>
      </c>
      <c r="U1567" s="1">
        <v>0</v>
      </c>
      <c r="V1567" s="1" t="str">
        <f t="shared" si="296"/>
        <v>里程返程</v>
      </c>
      <c r="W1567" s="1" t="str">
        <f>"0120"</f>
        <v>0120</v>
      </c>
      <c r="X1567" s="1" t="s">
        <v>35</v>
      </c>
    </row>
    <row r="1568" spans="1:24" x14ac:dyDescent="0.3">
      <c r="A1568" s="1" t="str">
        <f t="shared" si="297"/>
        <v>59822</v>
      </c>
      <c r="B1568" s="1" t="s">
        <v>39</v>
      </c>
      <c r="C1568" s="1" t="s">
        <v>40</v>
      </c>
      <c r="D1568" s="1" t="str">
        <f t="shared" si="295"/>
        <v>9803</v>
      </c>
      <c r="E1568" s="1" t="s">
        <v>32</v>
      </c>
      <c r="F1568" s="1" t="str">
        <f>"850027953"</f>
        <v>850027953</v>
      </c>
      <c r="G1568" s="1" t="s">
        <v>33</v>
      </c>
      <c r="H1568" s="1" t="str">
        <f t="shared" si="293"/>
        <v>20220908</v>
      </c>
      <c r="I1568" s="1" t="str">
        <f>"153709"</f>
        <v>153709</v>
      </c>
      <c r="J1568" s="1" t="s">
        <v>34</v>
      </c>
      <c r="K1568" s="1" t="s">
        <v>34</v>
      </c>
      <c r="L1568" s="1" t="str">
        <f t="shared" si="298"/>
        <v>20220908</v>
      </c>
      <c r="M1568" s="1" t="str">
        <f>"160925"</f>
        <v>160925</v>
      </c>
      <c r="N1568" s="1" t="s">
        <v>28</v>
      </c>
      <c r="O1568" s="1" t="s">
        <v>28</v>
      </c>
      <c r="P1568" s="1" t="s">
        <v>55</v>
      </c>
      <c r="Q1568" s="1">
        <v>25</v>
      </c>
      <c r="R1568" s="1">
        <v>25</v>
      </c>
      <c r="S1568" s="1">
        <v>0</v>
      </c>
      <c r="T1568" s="1">
        <v>0</v>
      </c>
      <c r="U1568" s="1">
        <v>0</v>
      </c>
      <c r="V1568" s="1" t="str">
        <f t="shared" si="296"/>
        <v>里程返程</v>
      </c>
      <c r="W1568" s="1" t="str">
        <f>"2020"</f>
        <v>2020</v>
      </c>
      <c r="X1568" s="1" t="s">
        <v>35</v>
      </c>
    </row>
    <row r="1569" spans="1:24" x14ac:dyDescent="0.3">
      <c r="A1569" s="1" t="str">
        <f t="shared" si="297"/>
        <v>59822</v>
      </c>
      <c r="B1569" s="1" t="s">
        <v>39</v>
      </c>
      <c r="C1569" s="1" t="s">
        <v>40</v>
      </c>
      <c r="D1569" s="1" t="str">
        <f t="shared" si="295"/>
        <v>9803</v>
      </c>
      <c r="E1569" s="1" t="s">
        <v>32</v>
      </c>
      <c r="F1569" s="1" t="str">
        <f>"975029425"</f>
        <v>975029425</v>
      </c>
      <c r="G1569" s="1" t="s">
        <v>33</v>
      </c>
      <c r="H1569" s="1" t="str">
        <f t="shared" si="293"/>
        <v>20220908</v>
      </c>
      <c r="I1569" s="1" t="str">
        <f>"153727"</f>
        <v>153727</v>
      </c>
      <c r="J1569" s="1" t="s">
        <v>34</v>
      </c>
      <c r="K1569" s="1" t="s">
        <v>34</v>
      </c>
      <c r="L1569" s="1" t="str">
        <f t="shared" si="298"/>
        <v>20220908</v>
      </c>
      <c r="M1569" s="1" t="str">
        <f>"160922"</f>
        <v>160922</v>
      </c>
      <c r="N1569" s="1" t="s">
        <v>28</v>
      </c>
      <c r="O1569" s="1" t="s">
        <v>28</v>
      </c>
      <c r="P1569" s="1" t="s">
        <v>55</v>
      </c>
      <c r="Q1569" s="1">
        <v>25</v>
      </c>
      <c r="R1569" s="1">
        <v>25</v>
      </c>
      <c r="S1569" s="1">
        <v>0</v>
      </c>
      <c r="T1569" s="1">
        <v>0</v>
      </c>
      <c r="U1569" s="1">
        <v>0</v>
      </c>
      <c r="V1569" s="1" t="str">
        <f t="shared" si="296"/>
        <v>里程返程</v>
      </c>
      <c r="W1569" s="1" t="str">
        <f>"2020"</f>
        <v>2020</v>
      </c>
      <c r="X1569" s="1" t="s">
        <v>35</v>
      </c>
    </row>
    <row r="1570" spans="1:24" x14ac:dyDescent="0.3">
      <c r="A1570" s="1" t="str">
        <f t="shared" si="297"/>
        <v>59822</v>
      </c>
      <c r="B1570" s="1" t="s">
        <v>39</v>
      </c>
      <c r="C1570" s="1" t="s">
        <v>40</v>
      </c>
      <c r="D1570" s="1" t="str">
        <f t="shared" si="295"/>
        <v>9803</v>
      </c>
      <c r="E1570" s="1" t="s">
        <v>32</v>
      </c>
      <c r="F1570" s="1" t="str">
        <f>"398492369"</f>
        <v>398492369</v>
      </c>
      <c r="G1570" s="1" t="s">
        <v>33</v>
      </c>
      <c r="H1570" s="1" t="str">
        <f t="shared" si="293"/>
        <v>20220908</v>
      </c>
      <c r="I1570" s="1" t="str">
        <f>"153743"</f>
        <v>153743</v>
      </c>
      <c r="J1570" s="1" t="s">
        <v>34</v>
      </c>
      <c r="K1570" s="1" t="s">
        <v>34</v>
      </c>
      <c r="L1570" s="1" t="str">
        <f t="shared" si="298"/>
        <v>20220908</v>
      </c>
      <c r="M1570" s="1" t="str">
        <f>"160842"</f>
        <v>160842</v>
      </c>
      <c r="N1570" s="1" t="s">
        <v>28</v>
      </c>
      <c r="O1570" s="1" t="s">
        <v>28</v>
      </c>
      <c r="P1570" s="1" t="s">
        <v>55</v>
      </c>
      <c r="Q1570" s="1">
        <v>25</v>
      </c>
      <c r="R1570" s="1">
        <v>25</v>
      </c>
      <c r="S1570" s="1">
        <v>0</v>
      </c>
      <c r="T1570" s="1">
        <v>0</v>
      </c>
      <c r="U1570" s="1">
        <v>0</v>
      </c>
      <c r="V1570" s="1" t="str">
        <f t="shared" si="296"/>
        <v>里程返程</v>
      </c>
      <c r="W1570" s="1" t="str">
        <f>"2020"</f>
        <v>2020</v>
      </c>
      <c r="X1570" s="1" t="s">
        <v>35</v>
      </c>
    </row>
    <row r="1571" spans="1:24" x14ac:dyDescent="0.3">
      <c r="A1571" s="1" t="str">
        <f t="shared" si="297"/>
        <v>59822</v>
      </c>
      <c r="B1571" s="1" t="s">
        <v>39</v>
      </c>
      <c r="C1571" s="1" t="s">
        <v>40</v>
      </c>
      <c r="D1571" s="1" t="str">
        <f t="shared" si="295"/>
        <v>9803</v>
      </c>
      <c r="E1571" s="1" t="s">
        <v>32</v>
      </c>
      <c r="F1571" s="1" t="str">
        <f>"1057136789"</f>
        <v>1057136789</v>
      </c>
      <c r="G1571" s="1" t="s">
        <v>33</v>
      </c>
      <c r="H1571" s="1" t="str">
        <f t="shared" si="293"/>
        <v>20220908</v>
      </c>
      <c r="I1571" s="1" t="str">
        <f>"153745"</f>
        <v>153745</v>
      </c>
      <c r="J1571" s="1" t="s">
        <v>34</v>
      </c>
      <c r="K1571" s="1" t="s">
        <v>34</v>
      </c>
      <c r="L1571" s="1" t="str">
        <f t="shared" si="298"/>
        <v>20220908</v>
      </c>
      <c r="M1571" s="1" t="str">
        <f>"160900"</f>
        <v>160900</v>
      </c>
      <c r="N1571" s="1" t="s">
        <v>28</v>
      </c>
      <c r="O1571" s="1" t="s">
        <v>28</v>
      </c>
      <c r="P1571" s="1" t="s">
        <v>55</v>
      </c>
      <c r="Q1571" s="1">
        <v>25</v>
      </c>
      <c r="R1571" s="1">
        <v>25</v>
      </c>
      <c r="S1571" s="1">
        <v>0</v>
      </c>
      <c r="T1571" s="1">
        <v>0</v>
      </c>
      <c r="U1571" s="1">
        <v>0</v>
      </c>
      <c r="V1571" s="1" t="str">
        <f t="shared" si="296"/>
        <v>里程返程</v>
      </c>
      <c r="W1571" s="1" t="str">
        <f>"2320"</f>
        <v>2320</v>
      </c>
      <c r="X1571" s="1" t="s">
        <v>35</v>
      </c>
    </row>
    <row r="1572" spans="1:24" x14ac:dyDescent="0.3">
      <c r="A1572" s="1" t="str">
        <f t="shared" si="297"/>
        <v>59822</v>
      </c>
      <c r="B1572" s="1" t="s">
        <v>39</v>
      </c>
      <c r="C1572" s="1" t="s">
        <v>40</v>
      </c>
      <c r="D1572" s="1" t="str">
        <f t="shared" si="295"/>
        <v>9803</v>
      </c>
      <c r="E1572" s="1" t="s">
        <v>32</v>
      </c>
      <c r="F1572" s="1" t="str">
        <f>"1708779173"</f>
        <v>1708779173</v>
      </c>
      <c r="G1572" s="1" t="s">
        <v>33</v>
      </c>
      <c r="H1572" s="1" t="str">
        <f t="shared" si="293"/>
        <v>20220908</v>
      </c>
      <c r="I1572" s="1" t="str">
        <f>"153758"</f>
        <v>153758</v>
      </c>
      <c r="J1572" s="1" t="s">
        <v>34</v>
      </c>
      <c r="K1572" s="1" t="s">
        <v>34</v>
      </c>
      <c r="L1572" s="1" t="str">
        <f t="shared" si="298"/>
        <v>20220908</v>
      </c>
      <c r="M1572" s="1" t="str">
        <f>"160839"</f>
        <v>160839</v>
      </c>
      <c r="N1572" s="1" t="s">
        <v>28</v>
      </c>
      <c r="O1572" s="1" t="s">
        <v>28</v>
      </c>
      <c r="P1572" s="1" t="s">
        <v>55</v>
      </c>
      <c r="Q1572" s="1">
        <v>25</v>
      </c>
      <c r="R1572" s="1">
        <v>25</v>
      </c>
      <c r="S1572" s="1">
        <v>0</v>
      </c>
      <c r="T1572" s="1">
        <v>0</v>
      </c>
      <c r="U1572" s="1">
        <v>0</v>
      </c>
      <c r="V1572" s="1" t="str">
        <f t="shared" si="296"/>
        <v>里程返程</v>
      </c>
      <c r="W1572" s="1" t="str">
        <f>"2020"</f>
        <v>2020</v>
      </c>
      <c r="X1572" s="1" t="s">
        <v>35</v>
      </c>
    </row>
    <row r="1573" spans="1:24" x14ac:dyDescent="0.3">
      <c r="A1573" s="1" t="str">
        <f t="shared" si="297"/>
        <v>59822</v>
      </c>
      <c r="B1573" s="1" t="s">
        <v>39</v>
      </c>
      <c r="C1573" s="1" t="s">
        <v>40</v>
      </c>
      <c r="D1573" s="1" t="str">
        <f t="shared" si="295"/>
        <v>9803</v>
      </c>
      <c r="E1573" s="1" t="s">
        <v>32</v>
      </c>
      <c r="F1573" s="1" t="str">
        <f>"1056901797"</f>
        <v>1056901797</v>
      </c>
      <c r="G1573" s="1" t="s">
        <v>33</v>
      </c>
      <c r="H1573" s="1" t="str">
        <f t="shared" si="293"/>
        <v>20220908</v>
      </c>
      <c r="I1573" s="1" t="str">
        <f>"153851"</f>
        <v>153851</v>
      </c>
      <c r="J1573" s="1" t="s">
        <v>34</v>
      </c>
      <c r="K1573" s="1" t="s">
        <v>34</v>
      </c>
      <c r="L1573" s="1" t="str">
        <f t="shared" si="298"/>
        <v>20220908</v>
      </c>
      <c r="M1573" s="1" t="str">
        <f>"160823"</f>
        <v>160823</v>
      </c>
      <c r="N1573" s="1" t="s">
        <v>28</v>
      </c>
      <c r="O1573" s="1" t="s">
        <v>28</v>
      </c>
      <c r="P1573" s="1" t="s">
        <v>55</v>
      </c>
      <c r="Q1573" s="1">
        <v>25</v>
      </c>
      <c r="R1573" s="1">
        <v>25</v>
      </c>
      <c r="S1573" s="1">
        <v>0</v>
      </c>
      <c r="T1573" s="1">
        <v>0</v>
      </c>
      <c r="U1573" s="1">
        <v>0</v>
      </c>
      <c r="V1573" s="1" t="str">
        <f t="shared" si="296"/>
        <v>里程返程</v>
      </c>
      <c r="W1573" s="1" t="str">
        <f>"2020"</f>
        <v>2020</v>
      </c>
      <c r="X1573" s="1" t="s">
        <v>35</v>
      </c>
    </row>
    <row r="1574" spans="1:24" x14ac:dyDescent="0.3">
      <c r="A1574" s="1" t="str">
        <f t="shared" si="297"/>
        <v>59822</v>
      </c>
      <c r="B1574" s="1" t="s">
        <v>39</v>
      </c>
      <c r="C1574" s="1" t="s">
        <v>40</v>
      </c>
      <c r="D1574" s="1" t="str">
        <f t="shared" si="295"/>
        <v>9803</v>
      </c>
      <c r="E1574" s="1" t="s">
        <v>32</v>
      </c>
      <c r="F1574" s="1" t="str">
        <f>"F51EA29CD588040043265ABE00160710"</f>
        <v>F51EA29CD588040043265ABE00160710</v>
      </c>
      <c r="G1574" s="1" t="s">
        <v>59</v>
      </c>
      <c r="H1574" s="1" t="str">
        <f t="shared" si="293"/>
        <v>20220908</v>
      </c>
      <c r="I1574" s="1" t="str">
        <f>"153855"</f>
        <v>153855</v>
      </c>
      <c r="J1574" s="1" t="s">
        <v>34</v>
      </c>
      <c r="K1574" s="1" t="s">
        <v>34</v>
      </c>
      <c r="L1574" s="1" t="str">
        <f t="shared" si="298"/>
        <v>20220908</v>
      </c>
      <c r="M1574" s="1" t="str">
        <f>"160821"</f>
        <v>160821</v>
      </c>
      <c r="N1574" s="1" t="s">
        <v>28</v>
      </c>
      <c r="O1574" s="1" t="s">
        <v>28</v>
      </c>
      <c r="P1574" s="1" t="s">
        <v>55</v>
      </c>
      <c r="Q1574" s="1">
        <v>25</v>
      </c>
      <c r="R1574" s="1">
        <v>25</v>
      </c>
      <c r="S1574" s="1">
        <v>0</v>
      </c>
      <c r="T1574" s="1">
        <v>0</v>
      </c>
      <c r="U1574" s="1">
        <v>0</v>
      </c>
      <c r="V1574" s="1" t="str">
        <f t="shared" si="296"/>
        <v>里程返程</v>
      </c>
      <c r="W1574" s="1" t="str">
        <f>"0020"</f>
        <v>0020</v>
      </c>
      <c r="X1574" s="1" t="s">
        <v>29</v>
      </c>
    </row>
    <row r="1575" spans="1:24" x14ac:dyDescent="0.3">
      <c r="A1575" s="1" t="str">
        <f t="shared" si="297"/>
        <v>59822</v>
      </c>
      <c r="B1575" s="1" t="s">
        <v>39</v>
      </c>
      <c r="C1575" s="1" t="s">
        <v>40</v>
      </c>
      <c r="D1575" s="1" t="str">
        <f>"9806"</f>
        <v>9806</v>
      </c>
      <c r="E1575" s="1" t="s">
        <v>49</v>
      </c>
      <c r="F1575" s="1" t="str">
        <f>"3483596874"</f>
        <v>3483596874</v>
      </c>
      <c r="G1575" s="1" t="s">
        <v>33</v>
      </c>
      <c r="H1575" s="1" t="str">
        <f t="shared" si="293"/>
        <v>20220908</v>
      </c>
      <c r="I1575" s="1" t="str">
        <f>"161042"</f>
        <v>161042</v>
      </c>
      <c r="J1575" s="1" t="s">
        <v>28</v>
      </c>
      <c r="K1575" s="1" t="s">
        <v>28</v>
      </c>
      <c r="L1575" s="1" t="str">
        <f t="shared" si="298"/>
        <v>20220908</v>
      </c>
      <c r="M1575" s="1" t="str">
        <f>"162818"</f>
        <v>162818</v>
      </c>
      <c r="N1575" s="1" t="s">
        <v>107</v>
      </c>
      <c r="O1575" s="1" t="s">
        <v>50</v>
      </c>
      <c r="P1575" s="1" t="s">
        <v>55</v>
      </c>
      <c r="Q1575" s="1">
        <v>25</v>
      </c>
      <c r="R1575" s="1">
        <v>0</v>
      </c>
      <c r="S1575" s="1">
        <v>25</v>
      </c>
      <c r="T1575" s="1">
        <v>0</v>
      </c>
      <c r="U1575" s="1">
        <v>0</v>
      </c>
      <c r="V1575" s="1" t="str">
        <f t="shared" si="296"/>
        <v>里程返程</v>
      </c>
      <c r="W1575" s="1" t="str">
        <f>"2020"</f>
        <v>2020</v>
      </c>
      <c r="X1575" s="1" t="s">
        <v>35</v>
      </c>
    </row>
    <row r="1576" spans="1:24" x14ac:dyDescent="0.3">
      <c r="A1576" s="1" t="str">
        <f t="shared" si="297"/>
        <v>59822</v>
      </c>
      <c r="B1576" s="1" t="s">
        <v>39</v>
      </c>
      <c r="C1576" s="1" t="s">
        <v>40</v>
      </c>
      <c r="D1576" s="1" t="str">
        <f>"9806"</f>
        <v>9806</v>
      </c>
      <c r="E1576" s="1" t="s">
        <v>49</v>
      </c>
      <c r="F1576" s="1" t="str">
        <f>"1695105317"</f>
        <v>1695105317</v>
      </c>
      <c r="G1576" s="1" t="s">
        <v>33</v>
      </c>
      <c r="H1576" s="1" t="str">
        <f t="shared" si="293"/>
        <v>20220908</v>
      </c>
      <c r="I1576" s="1" t="str">
        <f>"163406"</f>
        <v>163406</v>
      </c>
      <c r="J1576" s="1" t="s">
        <v>76</v>
      </c>
      <c r="K1576" s="1" t="s">
        <v>28</v>
      </c>
      <c r="L1576" s="1" t="str">
        <f t="shared" si="298"/>
        <v>20220908</v>
      </c>
      <c r="M1576" s="1" t="str">
        <f>"165151"</f>
        <v>165151</v>
      </c>
      <c r="N1576" s="1" t="s">
        <v>28</v>
      </c>
      <c r="O1576" s="1" t="s">
        <v>28</v>
      </c>
      <c r="P1576" s="1" t="s">
        <v>55</v>
      </c>
      <c r="Q1576" s="1">
        <v>25</v>
      </c>
      <c r="R1576" s="1">
        <v>25</v>
      </c>
      <c r="S1576" s="1">
        <v>0</v>
      </c>
      <c r="T1576" s="1">
        <v>0</v>
      </c>
      <c r="U1576" s="1">
        <v>0</v>
      </c>
      <c r="V1576" s="1" t="str">
        <f>"里程去程"</f>
        <v>里程去程</v>
      </c>
      <c r="W1576" s="1" t="str">
        <f>"2020"</f>
        <v>2020</v>
      </c>
      <c r="X1576" s="1" t="s">
        <v>35</v>
      </c>
    </row>
    <row r="1577" spans="1:24" x14ac:dyDescent="0.3">
      <c r="A1577" s="1" t="str">
        <f t="shared" si="297"/>
        <v>59822</v>
      </c>
      <c r="B1577" s="1" t="s">
        <v>39</v>
      </c>
      <c r="C1577" s="1" t="s">
        <v>40</v>
      </c>
      <c r="D1577" s="1" t="str">
        <f>"9806"</f>
        <v>9806</v>
      </c>
      <c r="E1577" s="1" t="s">
        <v>49</v>
      </c>
      <c r="F1577" s="1" t="str">
        <f>"22C8DE1B2F880400C822002000000021"</f>
        <v>22C8DE1B2F880400C822002000000021</v>
      </c>
      <c r="G1577" s="1" t="s">
        <v>58</v>
      </c>
      <c r="H1577" s="1" t="str">
        <f t="shared" si="293"/>
        <v>20220908</v>
      </c>
      <c r="I1577" s="1" t="str">
        <f>"163415"</f>
        <v>163415</v>
      </c>
      <c r="J1577" s="1" t="s">
        <v>76</v>
      </c>
      <c r="K1577" s="1" t="s">
        <v>28</v>
      </c>
      <c r="L1577" s="1" t="str">
        <f t="shared" si="298"/>
        <v>20220908</v>
      </c>
      <c r="M1577" s="1" t="str">
        <f>"165157"</f>
        <v>165157</v>
      </c>
      <c r="N1577" s="1" t="s">
        <v>28</v>
      </c>
      <c r="O1577" s="1" t="s">
        <v>28</v>
      </c>
      <c r="P1577" s="1" t="s">
        <v>55</v>
      </c>
      <c r="Q1577" s="1">
        <v>25</v>
      </c>
      <c r="R1577" s="1">
        <v>25</v>
      </c>
      <c r="S1577" s="1">
        <v>0</v>
      </c>
      <c r="T1577" s="1">
        <v>0</v>
      </c>
      <c r="U1577" s="1">
        <v>0</v>
      </c>
      <c r="V1577" s="1" t="str">
        <f>"里程去程"</f>
        <v>里程去程</v>
      </c>
      <c r="W1577" s="1" t="str">
        <f>"0020"</f>
        <v>0020</v>
      </c>
      <c r="X1577" s="1" t="s">
        <v>29</v>
      </c>
    </row>
    <row r="1578" spans="1:24" x14ac:dyDescent="0.3">
      <c r="A1578" s="1" t="str">
        <f t="shared" si="297"/>
        <v>59822</v>
      </c>
      <c r="B1578" s="1" t="s">
        <v>39</v>
      </c>
      <c r="C1578" s="1" t="s">
        <v>40</v>
      </c>
      <c r="D1578" s="1" t="str">
        <f>"9806"</f>
        <v>9806</v>
      </c>
      <c r="E1578" s="1" t="s">
        <v>49</v>
      </c>
      <c r="F1578" s="1" t="str">
        <f>"1645182069"</f>
        <v>1645182069</v>
      </c>
      <c r="G1578" s="1" t="s">
        <v>33</v>
      </c>
      <c r="H1578" s="1" t="str">
        <f t="shared" si="293"/>
        <v>20220908</v>
      </c>
      <c r="I1578" s="1" t="str">
        <f>"164221"</f>
        <v>164221</v>
      </c>
      <c r="J1578" s="1" t="s">
        <v>105</v>
      </c>
      <c r="K1578" s="1" t="s">
        <v>28</v>
      </c>
      <c r="L1578" s="1" t="str">
        <f t="shared" si="298"/>
        <v>20220908</v>
      </c>
      <c r="M1578" s="1" t="str">
        <f>"165102"</f>
        <v>165102</v>
      </c>
      <c r="N1578" s="1" t="s">
        <v>28</v>
      </c>
      <c r="O1578" s="1" t="s">
        <v>28</v>
      </c>
      <c r="P1578" s="1" t="s">
        <v>55</v>
      </c>
      <c r="Q1578" s="1">
        <v>25</v>
      </c>
      <c r="R1578" s="1">
        <v>25</v>
      </c>
      <c r="S1578" s="1">
        <v>0</v>
      </c>
      <c r="T1578" s="1">
        <v>0</v>
      </c>
      <c r="U1578" s="1">
        <v>0</v>
      </c>
      <c r="V1578" s="1" t="str">
        <f>"里程去程"</f>
        <v>里程去程</v>
      </c>
      <c r="W1578" s="1" t="str">
        <f>"2020"</f>
        <v>2020</v>
      </c>
      <c r="X1578" s="1" t="s">
        <v>35</v>
      </c>
    </row>
    <row r="1579" spans="1:24" x14ac:dyDescent="0.3">
      <c r="A1579" s="1" t="str">
        <f t="shared" si="297"/>
        <v>59822</v>
      </c>
      <c r="B1579" s="1" t="s">
        <v>39</v>
      </c>
      <c r="C1579" s="1" t="s">
        <v>40</v>
      </c>
      <c r="D1579" s="1" t="str">
        <f>"9806"</f>
        <v>9806</v>
      </c>
      <c r="E1579" s="1" t="s">
        <v>49</v>
      </c>
      <c r="F1579" s="1" t="str">
        <f>"1055537829"</f>
        <v>1055537829</v>
      </c>
      <c r="G1579" s="1" t="s">
        <v>33</v>
      </c>
      <c r="H1579" s="1" t="str">
        <f t="shared" si="293"/>
        <v>20220908</v>
      </c>
      <c r="I1579" s="1" t="str">
        <f>"164450"</f>
        <v>164450</v>
      </c>
      <c r="J1579" s="1" t="s">
        <v>98</v>
      </c>
      <c r="K1579" s="1" t="s">
        <v>28</v>
      </c>
      <c r="L1579" s="1" t="str">
        <f t="shared" si="298"/>
        <v>20220908</v>
      </c>
      <c r="M1579" s="1" t="str">
        <f>"165149"</f>
        <v>165149</v>
      </c>
      <c r="N1579" s="1" t="s">
        <v>28</v>
      </c>
      <c r="O1579" s="1" t="s">
        <v>28</v>
      </c>
      <c r="P1579" s="1" t="s">
        <v>55</v>
      </c>
      <c r="Q1579" s="1">
        <v>25</v>
      </c>
      <c r="R1579" s="1">
        <v>25</v>
      </c>
      <c r="S1579" s="1">
        <v>0</v>
      </c>
      <c r="T1579" s="1">
        <v>0</v>
      </c>
      <c r="U1579" s="1">
        <v>0</v>
      </c>
      <c r="V1579" s="1" t="str">
        <f>"里程去程"</f>
        <v>里程去程</v>
      </c>
      <c r="W1579" s="1" t="str">
        <f>"0820"</f>
        <v>0820</v>
      </c>
      <c r="X1579" s="1" t="s">
        <v>35</v>
      </c>
    </row>
    <row r="1580" spans="1:24" x14ac:dyDescent="0.3">
      <c r="A1580" s="1" t="str">
        <f t="shared" si="297"/>
        <v>59822</v>
      </c>
      <c r="B1580" s="1" t="s">
        <v>39</v>
      </c>
      <c r="C1580" s="1" t="s">
        <v>40</v>
      </c>
      <c r="D1580" s="1" t="str">
        <f t="shared" ref="D1580:D1586" si="299">"9801"</f>
        <v>9801</v>
      </c>
      <c r="E1580" s="1" t="s">
        <v>25</v>
      </c>
      <c r="F1580" s="1" t="str">
        <f>"927305013"</f>
        <v>927305013</v>
      </c>
      <c r="G1580" s="1" t="s">
        <v>38</v>
      </c>
      <c r="H1580" s="1" t="str">
        <f t="shared" si="293"/>
        <v>20220908</v>
      </c>
      <c r="I1580" s="1" t="str">
        <f>"185824"</f>
        <v>185824</v>
      </c>
      <c r="J1580" s="1" t="s">
        <v>44</v>
      </c>
      <c r="K1580" s="1" t="s">
        <v>45</v>
      </c>
      <c r="L1580" s="1" t="str">
        <f t="shared" si="298"/>
        <v>20220908</v>
      </c>
      <c r="M1580" s="1" t="str">
        <f>"192142"</f>
        <v>192142</v>
      </c>
      <c r="N1580" s="1" t="s">
        <v>28</v>
      </c>
      <c r="O1580" s="1" t="s">
        <v>28</v>
      </c>
      <c r="P1580" s="1" t="s">
        <v>55</v>
      </c>
      <c r="Q1580" s="1">
        <v>25</v>
      </c>
      <c r="R1580" s="1">
        <v>0</v>
      </c>
      <c r="S1580" s="1">
        <v>25</v>
      </c>
      <c r="T1580" s="1">
        <v>0</v>
      </c>
      <c r="U1580" s="1">
        <v>0</v>
      </c>
      <c r="V1580" s="1" t="str">
        <f t="shared" ref="V1580:V1593" si="300">"里程返程"</f>
        <v>里程返程</v>
      </c>
      <c r="W1580" s="1" t="str">
        <f>"2120"</f>
        <v>2120</v>
      </c>
      <c r="X1580" s="1" t="s">
        <v>35</v>
      </c>
    </row>
    <row r="1581" spans="1:24" x14ac:dyDescent="0.3">
      <c r="A1581" s="1" t="str">
        <f t="shared" si="297"/>
        <v>59822</v>
      </c>
      <c r="B1581" s="1" t="s">
        <v>39</v>
      </c>
      <c r="C1581" s="1" t="s">
        <v>40</v>
      </c>
      <c r="D1581" s="1" t="str">
        <f t="shared" si="299"/>
        <v>9801</v>
      </c>
      <c r="E1581" s="1" t="s">
        <v>25</v>
      </c>
      <c r="F1581" s="1" t="str">
        <f>"712543297"</f>
        <v>712543297</v>
      </c>
      <c r="G1581" s="1" t="s">
        <v>33</v>
      </c>
      <c r="H1581" s="1" t="str">
        <f t="shared" si="293"/>
        <v>20220908</v>
      </c>
      <c r="I1581" s="1" t="str">
        <f>"190414"</f>
        <v>190414</v>
      </c>
      <c r="J1581" s="1" t="s">
        <v>100</v>
      </c>
      <c r="K1581" s="1" t="s">
        <v>45</v>
      </c>
      <c r="L1581" s="1" t="str">
        <f t="shared" si="298"/>
        <v>20220908</v>
      </c>
      <c r="M1581" s="1" t="str">
        <f>"192150"</f>
        <v>192150</v>
      </c>
      <c r="N1581" s="1" t="s">
        <v>28</v>
      </c>
      <c r="O1581" s="1" t="s">
        <v>28</v>
      </c>
      <c r="P1581" s="1" t="s">
        <v>55</v>
      </c>
      <c r="Q1581" s="1">
        <v>25</v>
      </c>
      <c r="R1581" s="1">
        <v>25</v>
      </c>
      <c r="S1581" s="1">
        <v>0</v>
      </c>
      <c r="T1581" s="1">
        <v>0</v>
      </c>
      <c r="U1581" s="1">
        <v>0</v>
      </c>
      <c r="V1581" s="1" t="str">
        <f t="shared" si="300"/>
        <v>里程返程</v>
      </c>
      <c r="W1581" s="1" t="str">
        <f>"2020"</f>
        <v>2020</v>
      </c>
      <c r="X1581" s="1" t="s">
        <v>35</v>
      </c>
    </row>
    <row r="1582" spans="1:24" x14ac:dyDescent="0.3">
      <c r="A1582" s="1" t="str">
        <f t="shared" si="297"/>
        <v>59822</v>
      </c>
      <c r="B1582" s="1" t="s">
        <v>39</v>
      </c>
      <c r="C1582" s="1" t="s">
        <v>40</v>
      </c>
      <c r="D1582" s="1" t="str">
        <f t="shared" si="299"/>
        <v>9801</v>
      </c>
      <c r="E1582" s="1" t="s">
        <v>25</v>
      </c>
      <c r="F1582" s="1" t="str">
        <f>"F1E90C3B2F280400F700000000000000"</f>
        <v>F1E90C3B2F280400F700000000000000</v>
      </c>
      <c r="G1582" s="1" t="s">
        <v>58</v>
      </c>
      <c r="H1582" s="1" t="str">
        <f t="shared" si="293"/>
        <v>20220908</v>
      </c>
      <c r="I1582" s="1" t="str">
        <f>"190952"</f>
        <v>190952</v>
      </c>
      <c r="J1582" s="1" t="s">
        <v>56</v>
      </c>
      <c r="K1582" s="1" t="s">
        <v>45</v>
      </c>
      <c r="L1582" s="1" t="str">
        <f t="shared" si="298"/>
        <v>20220908</v>
      </c>
      <c r="M1582" s="1" t="str">
        <f>"192147"</f>
        <v>192147</v>
      </c>
      <c r="N1582" s="1" t="s">
        <v>28</v>
      </c>
      <c r="O1582" s="1" t="s">
        <v>28</v>
      </c>
      <c r="P1582" s="1" t="s">
        <v>55</v>
      </c>
      <c r="Q1582" s="1">
        <v>25</v>
      </c>
      <c r="R1582" s="1">
        <v>25</v>
      </c>
      <c r="S1582" s="1">
        <v>0</v>
      </c>
      <c r="T1582" s="1">
        <v>0</v>
      </c>
      <c r="U1582" s="1">
        <v>0</v>
      </c>
      <c r="V1582" s="1" t="str">
        <f t="shared" si="300"/>
        <v>里程返程</v>
      </c>
      <c r="W1582" s="1" t="str">
        <f>"0020"</f>
        <v>0020</v>
      </c>
      <c r="X1582" s="1" t="s">
        <v>29</v>
      </c>
    </row>
    <row r="1583" spans="1:24" x14ac:dyDescent="0.3">
      <c r="A1583" s="1" t="str">
        <f t="shared" si="297"/>
        <v>59822</v>
      </c>
      <c r="B1583" s="1" t="s">
        <v>39</v>
      </c>
      <c r="C1583" s="1" t="s">
        <v>40</v>
      </c>
      <c r="D1583" s="1" t="str">
        <f t="shared" si="299"/>
        <v>9801</v>
      </c>
      <c r="E1583" s="1" t="s">
        <v>25</v>
      </c>
      <c r="F1583" s="1" t="str">
        <f>"1092211217"</f>
        <v>1092211217</v>
      </c>
      <c r="G1583" s="1" t="s">
        <v>33</v>
      </c>
      <c r="H1583" s="1" t="str">
        <f t="shared" si="293"/>
        <v>20220908</v>
      </c>
      <c r="I1583" s="1" t="str">
        <f>"192156"</f>
        <v>192156</v>
      </c>
      <c r="J1583" s="1" t="s">
        <v>28</v>
      </c>
      <c r="K1583" s="1" t="s">
        <v>28</v>
      </c>
      <c r="L1583" s="1" t="str">
        <f t="shared" si="298"/>
        <v>20220908</v>
      </c>
      <c r="M1583" s="1" t="str">
        <f>"193856"</f>
        <v>193856</v>
      </c>
      <c r="N1583" s="1" t="s">
        <v>77</v>
      </c>
      <c r="O1583" s="1" t="s">
        <v>52</v>
      </c>
      <c r="P1583" s="1" t="s">
        <v>55</v>
      </c>
      <c r="Q1583" s="1">
        <v>25</v>
      </c>
      <c r="R1583" s="1">
        <v>25</v>
      </c>
      <c r="S1583" s="1">
        <v>0</v>
      </c>
      <c r="T1583" s="1">
        <v>0</v>
      </c>
      <c r="U1583" s="1">
        <v>0</v>
      </c>
      <c r="V1583" s="1" t="str">
        <f t="shared" si="300"/>
        <v>里程返程</v>
      </c>
      <c r="W1583" s="1" t="str">
        <f>"0120"</f>
        <v>0120</v>
      </c>
      <c r="X1583" s="1" t="s">
        <v>35</v>
      </c>
    </row>
    <row r="1584" spans="1:24" x14ac:dyDescent="0.3">
      <c r="A1584" s="1" t="str">
        <f t="shared" si="297"/>
        <v>59822</v>
      </c>
      <c r="B1584" s="1" t="s">
        <v>39</v>
      </c>
      <c r="C1584" s="1" t="s">
        <v>40</v>
      </c>
      <c r="D1584" s="1" t="str">
        <f t="shared" si="299"/>
        <v>9801</v>
      </c>
      <c r="E1584" s="1" t="s">
        <v>25</v>
      </c>
      <c r="F1584" s="1" t="str">
        <f>"A2BC920A86880400C810002000000016"</f>
        <v>A2BC920A86880400C810002000000016</v>
      </c>
      <c r="G1584" s="1" t="s">
        <v>59</v>
      </c>
      <c r="H1584" s="1" t="str">
        <f t="shared" si="293"/>
        <v>20220908</v>
      </c>
      <c r="I1584" s="1" t="str">
        <f>"192200"</f>
        <v>192200</v>
      </c>
      <c r="J1584" s="1" t="s">
        <v>28</v>
      </c>
      <c r="K1584" s="1" t="s">
        <v>28</v>
      </c>
      <c r="L1584" s="1" t="str">
        <f t="shared" si="298"/>
        <v>20220908</v>
      </c>
      <c r="M1584" s="1" t="str">
        <f>"194758"</f>
        <v>194758</v>
      </c>
      <c r="N1584" s="1" t="s">
        <v>72</v>
      </c>
      <c r="O1584" s="1" t="s">
        <v>52</v>
      </c>
      <c r="P1584" s="1" t="s">
        <v>55</v>
      </c>
      <c r="Q1584" s="1">
        <v>25</v>
      </c>
      <c r="R1584" s="1">
        <v>25</v>
      </c>
      <c r="S1584" s="1">
        <v>0</v>
      </c>
      <c r="T1584" s="1">
        <v>0</v>
      </c>
      <c r="U1584" s="1">
        <v>0</v>
      </c>
      <c r="V1584" s="1" t="str">
        <f t="shared" si="300"/>
        <v>里程返程</v>
      </c>
      <c r="W1584" s="1" t="str">
        <f>"0020"</f>
        <v>0020</v>
      </c>
      <c r="X1584" s="1" t="s">
        <v>29</v>
      </c>
    </row>
    <row r="1585" spans="1:24" x14ac:dyDescent="0.3">
      <c r="A1585" s="1" t="str">
        <f t="shared" si="297"/>
        <v>59822</v>
      </c>
      <c r="B1585" s="1" t="s">
        <v>39</v>
      </c>
      <c r="C1585" s="1" t="s">
        <v>40</v>
      </c>
      <c r="D1585" s="1" t="str">
        <f t="shared" si="299"/>
        <v>9801</v>
      </c>
      <c r="E1585" s="1" t="s">
        <v>25</v>
      </c>
      <c r="F1585" s="1" t="str">
        <f>"3549984228"</f>
        <v>3549984228</v>
      </c>
      <c r="G1585" s="1" t="s">
        <v>33</v>
      </c>
      <c r="H1585" s="1" t="str">
        <f t="shared" si="293"/>
        <v>20220908</v>
      </c>
      <c r="I1585" s="1" t="str">
        <f>"192248"</f>
        <v>192248</v>
      </c>
      <c r="J1585" s="1" t="s">
        <v>28</v>
      </c>
      <c r="K1585" s="1" t="s">
        <v>28</v>
      </c>
      <c r="L1585" s="1" t="str">
        <f t="shared" si="298"/>
        <v>20220908</v>
      </c>
      <c r="M1585" s="1" t="str">
        <f>"194601"</f>
        <v>194601</v>
      </c>
      <c r="N1585" s="1" t="s">
        <v>65</v>
      </c>
      <c r="O1585" s="1" t="s">
        <v>52</v>
      </c>
      <c r="P1585" s="1" t="s">
        <v>55</v>
      </c>
      <c r="Q1585" s="1">
        <v>25</v>
      </c>
      <c r="R1585" s="1">
        <v>25</v>
      </c>
      <c r="S1585" s="1">
        <v>0</v>
      </c>
      <c r="T1585" s="1">
        <v>0</v>
      </c>
      <c r="U1585" s="1">
        <v>0</v>
      </c>
      <c r="V1585" s="1" t="str">
        <f t="shared" si="300"/>
        <v>里程返程</v>
      </c>
      <c r="W1585" s="1" t="str">
        <f>"0120"</f>
        <v>0120</v>
      </c>
      <c r="X1585" s="1" t="s">
        <v>35</v>
      </c>
    </row>
    <row r="1586" spans="1:24" x14ac:dyDescent="0.3">
      <c r="A1586" s="1" t="str">
        <f t="shared" si="297"/>
        <v>59822</v>
      </c>
      <c r="B1586" s="1" t="s">
        <v>39</v>
      </c>
      <c r="C1586" s="1" t="s">
        <v>40</v>
      </c>
      <c r="D1586" s="1" t="str">
        <f t="shared" si="299"/>
        <v>9801</v>
      </c>
      <c r="E1586" s="1" t="s">
        <v>25</v>
      </c>
      <c r="F1586" s="1" t="str">
        <f>"F2931A0378880400C834002000000015"</f>
        <v>F2931A0378880400C834002000000015</v>
      </c>
      <c r="G1586" s="1" t="s">
        <v>74</v>
      </c>
      <c r="H1586" s="1" t="str">
        <f t="shared" si="293"/>
        <v>20220908</v>
      </c>
      <c r="I1586" s="1" t="str">
        <f>"194235"</f>
        <v>194235</v>
      </c>
      <c r="J1586" s="1" t="s">
        <v>80</v>
      </c>
      <c r="K1586" s="1" t="s">
        <v>52</v>
      </c>
      <c r="L1586" s="1" t="str">
        <f t="shared" si="298"/>
        <v>20220908</v>
      </c>
      <c r="M1586" s="1" t="str">
        <f>"194549"</f>
        <v>194549</v>
      </c>
      <c r="N1586" s="1" t="s">
        <v>65</v>
      </c>
      <c r="O1586" s="1" t="s">
        <v>52</v>
      </c>
      <c r="P1586" s="1" t="s">
        <v>68</v>
      </c>
      <c r="Q1586" s="1">
        <v>13</v>
      </c>
      <c r="R1586" s="1">
        <v>0</v>
      </c>
      <c r="S1586" s="1">
        <v>0</v>
      </c>
      <c r="T1586" s="1">
        <v>13</v>
      </c>
      <c r="U1586" s="1">
        <v>0</v>
      </c>
      <c r="V1586" s="1" t="str">
        <f t="shared" si="300"/>
        <v>里程返程</v>
      </c>
      <c r="W1586" s="1" t="str">
        <f>"0020"</f>
        <v>0020</v>
      </c>
      <c r="X1586" s="1" t="s">
        <v>29</v>
      </c>
    </row>
    <row r="1587" spans="1:24" x14ac:dyDescent="0.3">
      <c r="A1587" s="1" t="str">
        <f t="shared" si="297"/>
        <v>59822</v>
      </c>
      <c r="B1587" s="1" t="s">
        <v>39</v>
      </c>
      <c r="C1587" s="1" t="s">
        <v>40</v>
      </c>
      <c r="D1587" s="1" t="str">
        <f>"9805"</f>
        <v>9805</v>
      </c>
      <c r="E1587" s="1" t="s">
        <v>57</v>
      </c>
      <c r="F1587" s="1" t="str">
        <f>"4184053EFE280400F700000000000000"</f>
        <v>4184053EFE280400F700000000000000</v>
      </c>
      <c r="G1587" s="1" t="s">
        <v>58</v>
      </c>
      <c r="H1587" s="1" t="str">
        <f t="shared" si="293"/>
        <v>20220908</v>
      </c>
      <c r="I1587" s="1" t="str">
        <f>"195614"</f>
        <v>195614</v>
      </c>
      <c r="J1587" s="1" t="s">
        <v>52</v>
      </c>
      <c r="K1587" s="1" t="s">
        <v>52</v>
      </c>
      <c r="L1587" s="1" t="str">
        <f t="shared" si="298"/>
        <v>20220908</v>
      </c>
      <c r="M1587" s="1" t="str">
        <f>"201753"</f>
        <v>201753</v>
      </c>
      <c r="N1587" s="1" t="s">
        <v>28</v>
      </c>
      <c r="O1587" s="1" t="s">
        <v>28</v>
      </c>
      <c r="P1587" s="1" t="s">
        <v>55</v>
      </c>
      <c r="Q1587" s="1">
        <v>25</v>
      </c>
      <c r="R1587" s="1">
        <v>25</v>
      </c>
      <c r="S1587" s="1">
        <v>0</v>
      </c>
      <c r="T1587" s="1">
        <v>0</v>
      </c>
      <c r="U1587" s="1">
        <v>0</v>
      </c>
      <c r="V1587" s="1" t="str">
        <f t="shared" si="300"/>
        <v>里程返程</v>
      </c>
      <c r="W1587" s="1" t="str">
        <f>"0020"</f>
        <v>0020</v>
      </c>
      <c r="X1587" s="1" t="s">
        <v>29</v>
      </c>
    </row>
    <row r="1588" spans="1:24" x14ac:dyDescent="0.3">
      <c r="A1588" s="1" t="str">
        <f t="shared" si="297"/>
        <v>59822</v>
      </c>
      <c r="B1588" s="1" t="s">
        <v>39</v>
      </c>
      <c r="C1588" s="1" t="s">
        <v>40</v>
      </c>
      <c r="D1588" s="1" t="str">
        <f>"9805"</f>
        <v>9805</v>
      </c>
      <c r="E1588" s="1" t="s">
        <v>57</v>
      </c>
      <c r="F1588" s="1" t="str">
        <f>"1C4FA159AB880400475955D141303607"</f>
        <v>1C4FA159AB880400475955D141303607</v>
      </c>
      <c r="G1588" s="1" t="s">
        <v>58</v>
      </c>
      <c r="H1588" s="1" t="str">
        <f t="shared" si="293"/>
        <v>20220908</v>
      </c>
      <c r="I1588" s="1" t="str">
        <f>"195633"</f>
        <v>195633</v>
      </c>
      <c r="J1588" s="1" t="s">
        <v>52</v>
      </c>
      <c r="K1588" s="1" t="s">
        <v>52</v>
      </c>
      <c r="L1588" s="1" t="str">
        <f t="shared" si="298"/>
        <v>20220908</v>
      </c>
      <c r="M1588" s="1" t="str">
        <f>"201757"</f>
        <v>201757</v>
      </c>
      <c r="N1588" s="1" t="s">
        <v>28</v>
      </c>
      <c r="O1588" s="1" t="s">
        <v>28</v>
      </c>
      <c r="P1588" s="1" t="s">
        <v>55</v>
      </c>
      <c r="Q1588" s="1">
        <v>25</v>
      </c>
      <c r="R1588" s="1">
        <v>0</v>
      </c>
      <c r="S1588" s="1">
        <v>25</v>
      </c>
      <c r="T1588" s="1">
        <v>0</v>
      </c>
      <c r="U1588" s="1">
        <v>0</v>
      </c>
      <c r="V1588" s="1" t="str">
        <f t="shared" si="300"/>
        <v>里程返程</v>
      </c>
      <c r="W1588" s="1" t="str">
        <f>"1120"</f>
        <v>1120</v>
      </c>
      <c r="X1588" s="1" t="s">
        <v>29</v>
      </c>
    </row>
    <row r="1589" spans="1:24" x14ac:dyDescent="0.3">
      <c r="A1589" s="1" t="str">
        <f t="shared" si="297"/>
        <v>59822</v>
      </c>
      <c r="B1589" s="1" t="s">
        <v>39</v>
      </c>
      <c r="C1589" s="1" t="s">
        <v>40</v>
      </c>
      <c r="D1589" s="1" t="str">
        <f>"9805"</f>
        <v>9805</v>
      </c>
      <c r="E1589" s="1" t="s">
        <v>57</v>
      </c>
      <c r="F1589" s="1" t="str">
        <f>"A412015AED280400D200000100000000"</f>
        <v>A412015AED280400D200000100000000</v>
      </c>
      <c r="G1589" s="1" t="s">
        <v>58</v>
      </c>
      <c r="H1589" s="1" t="str">
        <f t="shared" si="293"/>
        <v>20220908</v>
      </c>
      <c r="I1589" s="1" t="str">
        <f>"200018"</f>
        <v>200018</v>
      </c>
      <c r="J1589" s="1" t="s">
        <v>52</v>
      </c>
      <c r="K1589" s="1" t="s">
        <v>52</v>
      </c>
      <c r="L1589" s="1" t="str">
        <f t="shared" si="298"/>
        <v>20220908</v>
      </c>
      <c r="M1589" s="1" t="str">
        <f>"201750"</f>
        <v>201750</v>
      </c>
      <c r="N1589" s="1" t="s">
        <v>28</v>
      </c>
      <c r="O1589" s="1" t="s">
        <v>28</v>
      </c>
      <c r="P1589" s="1" t="s">
        <v>55</v>
      </c>
      <c r="Q1589" s="1">
        <v>25</v>
      </c>
      <c r="R1589" s="1">
        <v>0</v>
      </c>
      <c r="S1589" s="1">
        <v>25</v>
      </c>
      <c r="T1589" s="1">
        <v>0</v>
      </c>
      <c r="U1589" s="1">
        <v>0</v>
      </c>
      <c r="V1589" s="1" t="str">
        <f t="shared" si="300"/>
        <v>里程返程</v>
      </c>
      <c r="W1589" s="1" t="str">
        <f>"2020"</f>
        <v>2020</v>
      </c>
      <c r="X1589" s="1" t="s">
        <v>29</v>
      </c>
    </row>
    <row r="1590" spans="1:24" x14ac:dyDescent="0.3">
      <c r="A1590" s="1" t="str">
        <f t="shared" ref="A1590:A1621" si="301">"59825"</f>
        <v>59825</v>
      </c>
      <c r="B1590" s="1" t="s">
        <v>30</v>
      </c>
      <c r="C1590" s="1" t="s">
        <v>31</v>
      </c>
      <c r="D1590" s="1" t="str">
        <f>"9806"</f>
        <v>9806</v>
      </c>
      <c r="E1590" s="1" t="s">
        <v>49</v>
      </c>
      <c r="F1590" s="1" t="str">
        <f>"1695105317"</f>
        <v>1695105317</v>
      </c>
      <c r="G1590" s="1" t="s">
        <v>33</v>
      </c>
      <c r="H1590" s="1" t="str">
        <f t="shared" si="293"/>
        <v>20220908</v>
      </c>
      <c r="I1590" s="1" t="str">
        <f>"064728"</f>
        <v>064728</v>
      </c>
      <c r="J1590" s="1" t="s">
        <v>28</v>
      </c>
      <c r="K1590" s="1" t="s">
        <v>28</v>
      </c>
      <c r="L1590" s="1" t="str">
        <f t="shared" si="298"/>
        <v>20220908</v>
      </c>
      <c r="M1590" s="1" t="str">
        <f>"070704"</f>
        <v>070704</v>
      </c>
      <c r="N1590" s="1" t="s">
        <v>99</v>
      </c>
      <c r="O1590" s="1" t="s">
        <v>28</v>
      </c>
      <c r="P1590" s="1" t="s">
        <v>55</v>
      </c>
      <c r="Q1590" s="1">
        <v>25</v>
      </c>
      <c r="R1590" s="1">
        <v>0</v>
      </c>
      <c r="S1590" s="1">
        <v>25</v>
      </c>
      <c r="T1590" s="1">
        <v>0</v>
      </c>
      <c r="U1590" s="1">
        <v>0</v>
      </c>
      <c r="V1590" s="1" t="str">
        <f t="shared" si="300"/>
        <v>里程返程</v>
      </c>
      <c r="W1590" s="1" t="str">
        <f>"0820"</f>
        <v>0820</v>
      </c>
      <c r="X1590" s="1" t="s">
        <v>35</v>
      </c>
    </row>
    <row r="1591" spans="1:24" x14ac:dyDescent="0.3">
      <c r="A1591" s="1" t="str">
        <f t="shared" si="301"/>
        <v>59825</v>
      </c>
      <c r="B1591" s="1" t="s">
        <v>30</v>
      </c>
      <c r="C1591" s="1" t="s">
        <v>31</v>
      </c>
      <c r="D1591" s="1" t="str">
        <f>"9806"</f>
        <v>9806</v>
      </c>
      <c r="E1591" s="1" t="s">
        <v>49</v>
      </c>
      <c r="F1591" s="1" t="str">
        <f>"5294A50063880400C801002000000015"</f>
        <v>5294A50063880400C801002000000015</v>
      </c>
      <c r="G1591" s="1" t="s">
        <v>58</v>
      </c>
      <c r="H1591" s="1" t="str">
        <f t="shared" si="293"/>
        <v>20220908</v>
      </c>
      <c r="I1591" s="1" t="str">
        <f>"064755"</f>
        <v>064755</v>
      </c>
      <c r="J1591" s="1" t="s">
        <v>28</v>
      </c>
      <c r="K1591" s="1" t="s">
        <v>28</v>
      </c>
      <c r="L1591" s="1" t="str">
        <f t="shared" si="298"/>
        <v>20220908</v>
      </c>
      <c r="M1591" s="1" t="str">
        <f>"070702"</f>
        <v>070702</v>
      </c>
      <c r="N1591" s="1" t="s">
        <v>99</v>
      </c>
      <c r="O1591" s="1" t="s">
        <v>28</v>
      </c>
      <c r="P1591" s="1" t="s">
        <v>55</v>
      </c>
      <c r="Q1591" s="1">
        <v>25</v>
      </c>
      <c r="R1591" s="1">
        <v>0</v>
      </c>
      <c r="S1591" s="1">
        <v>25</v>
      </c>
      <c r="T1591" s="1">
        <v>0</v>
      </c>
      <c r="U1591" s="1">
        <v>0</v>
      </c>
      <c r="V1591" s="1" t="str">
        <f t="shared" si="300"/>
        <v>里程返程</v>
      </c>
      <c r="W1591" s="1" t="str">
        <f>"0620"</f>
        <v>0620</v>
      </c>
      <c r="X1591" s="1" t="s">
        <v>29</v>
      </c>
    </row>
    <row r="1592" spans="1:24" x14ac:dyDescent="0.3">
      <c r="A1592" s="1" t="str">
        <f t="shared" si="301"/>
        <v>59825</v>
      </c>
      <c r="B1592" s="1" t="s">
        <v>30</v>
      </c>
      <c r="C1592" s="1" t="s">
        <v>31</v>
      </c>
      <c r="D1592" s="1" t="str">
        <f>"9806"</f>
        <v>9806</v>
      </c>
      <c r="E1592" s="1" t="s">
        <v>49</v>
      </c>
      <c r="F1592" s="1" t="str">
        <f>"B211E70246880400C834002000000015"</f>
        <v>B211E70246880400C834002000000015</v>
      </c>
      <c r="G1592" s="1" t="s">
        <v>74</v>
      </c>
      <c r="H1592" s="1" t="str">
        <f t="shared" si="293"/>
        <v>20220908</v>
      </c>
      <c r="I1592" s="1" t="str">
        <f>"065538"</f>
        <v>065538</v>
      </c>
      <c r="J1592" s="1" t="s">
        <v>101</v>
      </c>
      <c r="K1592" s="1" t="s">
        <v>28</v>
      </c>
      <c r="L1592" s="1" t="str">
        <f t="shared" si="298"/>
        <v>20220908</v>
      </c>
      <c r="M1592" s="1" t="str">
        <f>"070706"</f>
        <v>070706</v>
      </c>
      <c r="N1592" s="1" t="s">
        <v>99</v>
      </c>
      <c r="O1592" s="1" t="s">
        <v>28</v>
      </c>
      <c r="P1592" s="1" t="s">
        <v>68</v>
      </c>
      <c r="Q1592" s="1">
        <v>13</v>
      </c>
      <c r="R1592" s="1">
        <v>0</v>
      </c>
      <c r="S1592" s="1">
        <v>0</v>
      </c>
      <c r="T1592" s="1">
        <v>13</v>
      </c>
      <c r="U1592" s="1">
        <v>0</v>
      </c>
      <c r="V1592" s="1" t="str">
        <f t="shared" si="300"/>
        <v>里程返程</v>
      </c>
      <c r="W1592" s="1" t="str">
        <f>"0020"</f>
        <v>0020</v>
      </c>
      <c r="X1592" s="1" t="s">
        <v>29</v>
      </c>
    </row>
    <row r="1593" spans="1:24" x14ac:dyDescent="0.3">
      <c r="A1593" s="1" t="str">
        <f t="shared" si="301"/>
        <v>59825</v>
      </c>
      <c r="B1593" s="1" t="s">
        <v>30</v>
      </c>
      <c r="C1593" s="1" t="s">
        <v>31</v>
      </c>
      <c r="D1593" s="1" t="str">
        <f>"9806"</f>
        <v>9806</v>
      </c>
      <c r="E1593" s="1" t="s">
        <v>49</v>
      </c>
      <c r="F1593" s="1" t="str">
        <f>"1202E702F5880400C834002000000015"</f>
        <v>1202E702F5880400C834002000000015</v>
      </c>
      <c r="G1593" s="1" t="s">
        <v>74</v>
      </c>
      <c r="H1593" s="1" t="str">
        <f t="shared" si="293"/>
        <v>20220908</v>
      </c>
      <c r="I1593" s="1" t="str">
        <f>"065547"</f>
        <v>065547</v>
      </c>
      <c r="J1593" s="1" t="s">
        <v>101</v>
      </c>
      <c r="K1593" s="1" t="s">
        <v>28</v>
      </c>
      <c r="L1593" s="1" t="str">
        <f t="shared" si="298"/>
        <v>20220908</v>
      </c>
      <c r="M1593" s="1" t="str">
        <f>"070711"</f>
        <v>070711</v>
      </c>
      <c r="N1593" s="1" t="s">
        <v>99</v>
      </c>
      <c r="O1593" s="1" t="s">
        <v>28</v>
      </c>
      <c r="P1593" s="1" t="s">
        <v>68</v>
      </c>
      <c r="Q1593" s="1">
        <v>13</v>
      </c>
      <c r="R1593" s="1">
        <v>0</v>
      </c>
      <c r="S1593" s="1">
        <v>0</v>
      </c>
      <c r="T1593" s="1">
        <v>13</v>
      </c>
      <c r="U1593" s="1">
        <v>0</v>
      </c>
      <c r="V1593" s="1" t="str">
        <f t="shared" si="300"/>
        <v>里程返程</v>
      </c>
      <c r="W1593" s="1" t="str">
        <f>"0020"</f>
        <v>0020</v>
      </c>
      <c r="X1593" s="1" t="s">
        <v>29</v>
      </c>
    </row>
    <row r="1594" spans="1:24" x14ac:dyDescent="0.3">
      <c r="A1594" s="1" t="str">
        <f t="shared" si="301"/>
        <v>59825</v>
      </c>
      <c r="B1594" s="1" t="s">
        <v>30</v>
      </c>
      <c r="C1594" s="1" t="s">
        <v>31</v>
      </c>
      <c r="D1594" s="1" t="str">
        <f>"9806"</f>
        <v>9806</v>
      </c>
      <c r="E1594" s="1" t="s">
        <v>49</v>
      </c>
      <c r="F1594" s="1" t="str">
        <f>"92771C03FA880400C834002000000015"</f>
        <v>92771C03FA880400C834002000000015</v>
      </c>
      <c r="G1594" s="1" t="s">
        <v>74</v>
      </c>
      <c r="H1594" s="1" t="str">
        <f t="shared" si="293"/>
        <v>20220908</v>
      </c>
      <c r="I1594" s="1" t="str">
        <f>"071301"</f>
        <v>071301</v>
      </c>
      <c r="J1594" s="1" t="s">
        <v>107</v>
      </c>
      <c r="K1594" s="1" t="s">
        <v>50</v>
      </c>
      <c r="L1594" s="1" t="str">
        <f t="shared" si="298"/>
        <v>20220908</v>
      </c>
      <c r="M1594" s="1" t="str">
        <f>"072935"</f>
        <v>072935</v>
      </c>
      <c r="N1594" s="1" t="s">
        <v>28</v>
      </c>
      <c r="O1594" s="1" t="s">
        <v>28</v>
      </c>
      <c r="P1594" s="1" t="s">
        <v>68</v>
      </c>
      <c r="Q1594" s="1">
        <v>13</v>
      </c>
      <c r="R1594" s="1">
        <v>0</v>
      </c>
      <c r="S1594" s="1">
        <v>0</v>
      </c>
      <c r="T1594" s="1">
        <v>13</v>
      </c>
      <c r="U1594" s="1">
        <v>0</v>
      </c>
      <c r="V1594" s="1" t="str">
        <f t="shared" ref="V1594:V1616" si="302">"里程去程"</f>
        <v>里程去程</v>
      </c>
      <c r="W1594" s="1" t="str">
        <f>"0020"</f>
        <v>0020</v>
      </c>
      <c r="X1594" s="1" t="s">
        <v>29</v>
      </c>
    </row>
    <row r="1595" spans="1:24" x14ac:dyDescent="0.3">
      <c r="A1595" s="1" t="str">
        <f t="shared" si="301"/>
        <v>59825</v>
      </c>
      <c r="B1595" s="1" t="s">
        <v>30</v>
      </c>
      <c r="C1595" s="1" t="s">
        <v>31</v>
      </c>
      <c r="D1595" s="1" t="str">
        <f t="shared" ref="D1595:D1626" si="303">"9803"</f>
        <v>9803</v>
      </c>
      <c r="E1595" s="1" t="s">
        <v>32</v>
      </c>
      <c r="F1595" s="1" t="str">
        <f>"1111838357"</f>
        <v>1111838357</v>
      </c>
      <c r="G1595" s="1" t="s">
        <v>38</v>
      </c>
      <c r="H1595" s="1" t="str">
        <f t="shared" si="293"/>
        <v>20220908</v>
      </c>
      <c r="I1595" s="1" t="str">
        <f>"083045"</f>
        <v>083045</v>
      </c>
      <c r="J1595" s="1" t="s">
        <v>28</v>
      </c>
      <c r="K1595" s="1" t="s">
        <v>28</v>
      </c>
      <c r="L1595" s="1" t="str">
        <f t="shared" si="298"/>
        <v>20220908</v>
      </c>
      <c r="M1595" s="1" t="str">
        <f>"085113"</f>
        <v>085113</v>
      </c>
      <c r="N1595" s="1" t="s">
        <v>34</v>
      </c>
      <c r="O1595" s="1" t="s">
        <v>34</v>
      </c>
      <c r="P1595" s="1" t="s">
        <v>55</v>
      </c>
      <c r="Q1595" s="1">
        <v>25</v>
      </c>
      <c r="R1595" s="1">
        <v>25</v>
      </c>
      <c r="S1595" s="1">
        <v>0</v>
      </c>
      <c r="T1595" s="1">
        <v>0</v>
      </c>
      <c r="U1595" s="1">
        <v>0</v>
      </c>
      <c r="V1595" s="1" t="str">
        <f t="shared" si="302"/>
        <v>里程去程</v>
      </c>
      <c r="W1595" s="1" t="str">
        <f>"0020"</f>
        <v>0020</v>
      </c>
      <c r="X1595" s="1" t="s">
        <v>35</v>
      </c>
    </row>
    <row r="1596" spans="1:24" x14ac:dyDescent="0.3">
      <c r="A1596" s="1" t="str">
        <f t="shared" si="301"/>
        <v>59825</v>
      </c>
      <c r="B1596" s="1" t="s">
        <v>30</v>
      </c>
      <c r="C1596" s="1" t="s">
        <v>31</v>
      </c>
      <c r="D1596" s="1" t="str">
        <f t="shared" si="303"/>
        <v>9803</v>
      </c>
      <c r="E1596" s="1" t="s">
        <v>32</v>
      </c>
      <c r="F1596" s="1" t="str">
        <f>"1435480657"</f>
        <v>1435480657</v>
      </c>
      <c r="G1596" s="1" t="s">
        <v>33</v>
      </c>
      <c r="H1596" s="1" t="str">
        <f t="shared" si="293"/>
        <v>20220908</v>
      </c>
      <c r="I1596" s="1" t="str">
        <f>"083047"</f>
        <v>083047</v>
      </c>
      <c r="J1596" s="1" t="s">
        <v>28</v>
      </c>
      <c r="K1596" s="1" t="s">
        <v>28</v>
      </c>
      <c r="L1596" s="1" t="str">
        <f t="shared" si="298"/>
        <v>20220908</v>
      </c>
      <c r="M1596" s="1" t="str">
        <f>"085111"</f>
        <v>085111</v>
      </c>
      <c r="N1596" s="1" t="s">
        <v>34</v>
      </c>
      <c r="O1596" s="1" t="s">
        <v>34</v>
      </c>
      <c r="P1596" s="1" t="s">
        <v>55</v>
      </c>
      <c r="Q1596" s="1">
        <v>25</v>
      </c>
      <c r="R1596" s="1">
        <v>25</v>
      </c>
      <c r="S1596" s="1">
        <v>0</v>
      </c>
      <c r="T1596" s="1">
        <v>0</v>
      </c>
      <c r="U1596" s="1">
        <v>0</v>
      </c>
      <c r="V1596" s="1" t="str">
        <f t="shared" si="302"/>
        <v>里程去程</v>
      </c>
      <c r="W1596" s="1" t="str">
        <f>"0b20"</f>
        <v>0b20</v>
      </c>
      <c r="X1596" s="1" t="s">
        <v>35</v>
      </c>
    </row>
    <row r="1597" spans="1:24" x14ac:dyDescent="0.3">
      <c r="A1597" s="1" t="str">
        <f t="shared" si="301"/>
        <v>59825</v>
      </c>
      <c r="B1597" s="1" t="s">
        <v>30</v>
      </c>
      <c r="C1597" s="1" t="s">
        <v>31</v>
      </c>
      <c r="D1597" s="1" t="str">
        <f t="shared" si="303"/>
        <v>9803</v>
      </c>
      <c r="E1597" s="1" t="s">
        <v>32</v>
      </c>
      <c r="F1597" s="1" t="str">
        <f>"A15953238888040043281482000F0112"</f>
        <v>A15953238888040043281482000F0112</v>
      </c>
      <c r="G1597" s="1" t="s">
        <v>64</v>
      </c>
      <c r="H1597" s="1" t="str">
        <f t="shared" si="293"/>
        <v>20220908</v>
      </c>
      <c r="I1597" s="1" t="str">
        <f>"083103"</f>
        <v>083103</v>
      </c>
      <c r="J1597" s="1" t="s">
        <v>28</v>
      </c>
      <c r="K1597" s="1" t="s">
        <v>28</v>
      </c>
      <c r="L1597" s="1" t="str">
        <f t="shared" si="298"/>
        <v>20220908</v>
      </c>
      <c r="M1597" s="1" t="str">
        <f>"084126"</f>
        <v>084126</v>
      </c>
      <c r="N1597" s="1" t="s">
        <v>46</v>
      </c>
      <c r="O1597" s="1" t="s">
        <v>28</v>
      </c>
      <c r="P1597" s="1" t="s">
        <v>55</v>
      </c>
      <c r="Q1597" s="1">
        <v>13</v>
      </c>
      <c r="R1597" s="1">
        <v>13</v>
      </c>
      <c r="S1597" s="1">
        <v>0</v>
      </c>
      <c r="T1597" s="1">
        <v>0</v>
      </c>
      <c r="U1597" s="1">
        <v>0</v>
      </c>
      <c r="V1597" s="1" t="str">
        <f t="shared" si="302"/>
        <v>里程去程</v>
      </c>
      <c r="W1597" s="1" t="str">
        <f>"0020"</f>
        <v>0020</v>
      </c>
      <c r="X1597" s="1" t="s">
        <v>29</v>
      </c>
    </row>
    <row r="1598" spans="1:24" x14ac:dyDescent="0.3">
      <c r="A1598" s="1" t="str">
        <f t="shared" si="301"/>
        <v>59825</v>
      </c>
      <c r="B1598" s="1" t="s">
        <v>30</v>
      </c>
      <c r="C1598" s="1" t="s">
        <v>31</v>
      </c>
      <c r="D1598" s="1" t="str">
        <f t="shared" si="303"/>
        <v>9803</v>
      </c>
      <c r="E1598" s="1" t="s">
        <v>32</v>
      </c>
      <c r="F1598" s="1" t="str">
        <f>"A13C5B00C68804004324714D000D080E"</f>
        <v>A13C5B00C68804004324714D000D080E</v>
      </c>
      <c r="G1598" s="1" t="s">
        <v>26</v>
      </c>
      <c r="H1598" s="1" t="str">
        <f t="shared" si="293"/>
        <v>20220908</v>
      </c>
      <c r="I1598" s="1" t="str">
        <f>"083112"</f>
        <v>083112</v>
      </c>
      <c r="J1598" s="1" t="s">
        <v>28</v>
      </c>
      <c r="K1598" s="1" t="s">
        <v>28</v>
      </c>
      <c r="L1598" s="1" t="str">
        <f t="shared" si="298"/>
        <v>20220908</v>
      </c>
      <c r="M1598" s="1" t="str">
        <f>"084131"</f>
        <v>084131</v>
      </c>
      <c r="N1598" s="1" t="s">
        <v>46</v>
      </c>
      <c r="O1598" s="1" t="s">
        <v>28</v>
      </c>
      <c r="P1598" s="1" t="s">
        <v>55</v>
      </c>
      <c r="Q1598" s="1">
        <v>13</v>
      </c>
      <c r="R1598" s="1">
        <v>13</v>
      </c>
      <c r="S1598" s="1">
        <v>0</v>
      </c>
      <c r="T1598" s="1">
        <v>0</v>
      </c>
      <c r="U1598" s="1">
        <v>0</v>
      </c>
      <c r="V1598" s="1" t="str">
        <f t="shared" si="302"/>
        <v>里程去程</v>
      </c>
      <c r="W1598" s="1" t="str">
        <f>"0020"</f>
        <v>0020</v>
      </c>
      <c r="X1598" s="1" t="s">
        <v>29</v>
      </c>
    </row>
    <row r="1599" spans="1:24" x14ac:dyDescent="0.3">
      <c r="A1599" s="1" t="str">
        <f t="shared" si="301"/>
        <v>59825</v>
      </c>
      <c r="B1599" s="1" t="s">
        <v>30</v>
      </c>
      <c r="C1599" s="1" t="s">
        <v>31</v>
      </c>
      <c r="D1599" s="1" t="str">
        <f t="shared" si="303"/>
        <v>9803</v>
      </c>
      <c r="E1599" s="1" t="s">
        <v>32</v>
      </c>
      <c r="F1599" s="1" t="str">
        <f>"F9B6A40FE48804004326A4E600020211"</f>
        <v>F9B6A40FE48804004326A4E600020211</v>
      </c>
      <c r="G1599" s="1" t="s">
        <v>64</v>
      </c>
      <c r="H1599" s="1" t="str">
        <f t="shared" ref="H1599:H1662" si="304">"20220908"</f>
        <v>20220908</v>
      </c>
      <c r="I1599" s="1" t="str">
        <f>"083119"</f>
        <v>083119</v>
      </c>
      <c r="J1599" s="1" t="s">
        <v>28</v>
      </c>
      <c r="K1599" s="1" t="s">
        <v>28</v>
      </c>
      <c r="L1599" s="1" t="str">
        <f t="shared" ref="L1599:L1630" si="305">"20220908"</f>
        <v>20220908</v>
      </c>
      <c r="M1599" s="1" t="str">
        <f>"085055"</f>
        <v>085055</v>
      </c>
      <c r="N1599" s="1" t="s">
        <v>34</v>
      </c>
      <c r="O1599" s="1" t="s">
        <v>34</v>
      </c>
      <c r="P1599" s="1" t="s">
        <v>55</v>
      </c>
      <c r="Q1599" s="1">
        <v>13</v>
      </c>
      <c r="R1599" s="1">
        <v>13</v>
      </c>
      <c r="S1599" s="1">
        <v>0</v>
      </c>
      <c r="T1599" s="1">
        <v>0</v>
      </c>
      <c r="U1599" s="1">
        <v>0</v>
      </c>
      <c r="V1599" s="1" t="str">
        <f t="shared" si="302"/>
        <v>里程去程</v>
      </c>
      <c r="W1599" s="1" t="str">
        <f>"0020"</f>
        <v>0020</v>
      </c>
      <c r="X1599" s="1" t="s">
        <v>29</v>
      </c>
    </row>
    <row r="1600" spans="1:24" x14ac:dyDescent="0.3">
      <c r="A1600" s="1" t="str">
        <f t="shared" si="301"/>
        <v>59825</v>
      </c>
      <c r="B1600" s="1" t="s">
        <v>30</v>
      </c>
      <c r="C1600" s="1" t="s">
        <v>31</v>
      </c>
      <c r="D1600" s="1" t="str">
        <f t="shared" si="303"/>
        <v>9803</v>
      </c>
      <c r="E1600" s="1" t="s">
        <v>32</v>
      </c>
      <c r="F1600" s="1" t="str">
        <f>"720BAD19CD880400C824002000000020"</f>
        <v>720BAD19CD880400C824002000000020</v>
      </c>
      <c r="G1600" s="1" t="s">
        <v>64</v>
      </c>
      <c r="H1600" s="1" t="str">
        <f t="shared" si="304"/>
        <v>20220908</v>
      </c>
      <c r="I1600" s="1" t="str">
        <f>"083138"</f>
        <v>083138</v>
      </c>
      <c r="J1600" s="1" t="s">
        <v>28</v>
      </c>
      <c r="K1600" s="1" t="s">
        <v>28</v>
      </c>
      <c r="L1600" s="1" t="str">
        <f t="shared" si="305"/>
        <v>20220908</v>
      </c>
      <c r="M1600" s="1" t="str">
        <f>"085036"</f>
        <v>085036</v>
      </c>
      <c r="N1600" s="1" t="s">
        <v>89</v>
      </c>
      <c r="O1600" s="1" t="s">
        <v>28</v>
      </c>
      <c r="P1600" s="1" t="s">
        <v>55</v>
      </c>
      <c r="Q1600" s="1">
        <v>13</v>
      </c>
      <c r="R1600" s="1">
        <v>13</v>
      </c>
      <c r="S1600" s="1">
        <v>0</v>
      </c>
      <c r="T1600" s="1">
        <v>0</v>
      </c>
      <c r="U1600" s="1">
        <v>0</v>
      </c>
      <c r="V1600" s="1" t="str">
        <f t="shared" si="302"/>
        <v>里程去程</v>
      </c>
      <c r="W1600" s="1" t="str">
        <f>"0020"</f>
        <v>0020</v>
      </c>
      <c r="X1600" s="1" t="s">
        <v>29</v>
      </c>
    </row>
    <row r="1601" spans="1:24" x14ac:dyDescent="0.3">
      <c r="A1601" s="1" t="str">
        <f t="shared" si="301"/>
        <v>59825</v>
      </c>
      <c r="B1601" s="1" t="s">
        <v>30</v>
      </c>
      <c r="C1601" s="1" t="s">
        <v>31</v>
      </c>
      <c r="D1601" s="1" t="str">
        <f t="shared" si="303"/>
        <v>9803</v>
      </c>
      <c r="E1601" s="1" t="s">
        <v>32</v>
      </c>
      <c r="F1601" s="1" t="str">
        <f>"662441813"</f>
        <v>662441813</v>
      </c>
      <c r="G1601" s="1" t="s">
        <v>33</v>
      </c>
      <c r="H1601" s="1" t="str">
        <f t="shared" si="304"/>
        <v>20220908</v>
      </c>
      <c r="I1601" s="1" t="str">
        <f>"102327"</f>
        <v>102327</v>
      </c>
      <c r="J1601" s="1" t="s">
        <v>28</v>
      </c>
      <c r="K1601" s="1" t="s">
        <v>28</v>
      </c>
      <c r="L1601" s="1" t="str">
        <f t="shared" si="305"/>
        <v>20220908</v>
      </c>
      <c r="M1601" s="1" t="str">
        <f>"104931"</f>
        <v>104931</v>
      </c>
      <c r="N1601" s="1" t="s">
        <v>34</v>
      </c>
      <c r="O1601" s="1" t="s">
        <v>34</v>
      </c>
      <c r="P1601" s="1" t="s">
        <v>55</v>
      </c>
      <c r="Q1601" s="1">
        <v>25</v>
      </c>
      <c r="R1601" s="1">
        <v>25</v>
      </c>
      <c r="S1601" s="1">
        <v>0</v>
      </c>
      <c r="T1601" s="1">
        <v>0</v>
      </c>
      <c r="U1601" s="1">
        <v>0</v>
      </c>
      <c r="V1601" s="1" t="str">
        <f t="shared" si="302"/>
        <v>里程去程</v>
      </c>
      <c r="W1601" s="1" t="str">
        <f>"0120"</f>
        <v>0120</v>
      </c>
      <c r="X1601" s="1" t="s">
        <v>35</v>
      </c>
    </row>
    <row r="1602" spans="1:24" x14ac:dyDescent="0.3">
      <c r="A1602" s="1" t="str">
        <f t="shared" si="301"/>
        <v>59825</v>
      </c>
      <c r="B1602" s="1" t="s">
        <v>30</v>
      </c>
      <c r="C1602" s="1" t="s">
        <v>31</v>
      </c>
      <c r="D1602" s="1" t="str">
        <f t="shared" si="303"/>
        <v>9803</v>
      </c>
      <c r="E1602" s="1" t="s">
        <v>32</v>
      </c>
      <c r="F1602" s="1" t="str">
        <f>"B239C5145A880400C840002000000018"</f>
        <v>B239C5145A880400C840002000000018</v>
      </c>
      <c r="G1602" s="1" t="s">
        <v>58</v>
      </c>
      <c r="H1602" s="1" t="str">
        <f t="shared" si="304"/>
        <v>20220908</v>
      </c>
      <c r="I1602" s="1" t="str">
        <f>"102348"</f>
        <v>102348</v>
      </c>
      <c r="J1602" s="1" t="s">
        <v>28</v>
      </c>
      <c r="K1602" s="1" t="s">
        <v>28</v>
      </c>
      <c r="L1602" s="1" t="str">
        <f t="shared" si="305"/>
        <v>20220908</v>
      </c>
      <c r="M1602" s="1" t="str">
        <f>"104929"</f>
        <v>104929</v>
      </c>
      <c r="N1602" s="1" t="s">
        <v>34</v>
      </c>
      <c r="O1602" s="1" t="s">
        <v>34</v>
      </c>
      <c r="P1602" s="1" t="s">
        <v>55</v>
      </c>
      <c r="Q1602" s="1">
        <v>25</v>
      </c>
      <c r="R1602" s="1">
        <v>25</v>
      </c>
      <c r="S1602" s="1">
        <v>0</v>
      </c>
      <c r="T1602" s="1">
        <v>0</v>
      </c>
      <c r="U1602" s="1">
        <v>0</v>
      </c>
      <c r="V1602" s="1" t="str">
        <f t="shared" si="302"/>
        <v>里程去程</v>
      </c>
      <c r="W1602" s="1" t="str">
        <f>"0020"</f>
        <v>0020</v>
      </c>
      <c r="X1602" s="1" t="s">
        <v>29</v>
      </c>
    </row>
    <row r="1603" spans="1:24" x14ac:dyDescent="0.3">
      <c r="A1603" s="1" t="str">
        <f t="shared" si="301"/>
        <v>59825</v>
      </c>
      <c r="B1603" s="1" t="s">
        <v>30</v>
      </c>
      <c r="C1603" s="1" t="s">
        <v>31</v>
      </c>
      <c r="D1603" s="1" t="str">
        <f t="shared" si="303"/>
        <v>9803</v>
      </c>
      <c r="E1603" s="1" t="s">
        <v>32</v>
      </c>
      <c r="F1603" s="1" t="str">
        <f>"1018678581"</f>
        <v>1018678581</v>
      </c>
      <c r="G1603" s="1" t="s">
        <v>38</v>
      </c>
      <c r="H1603" s="1" t="str">
        <f t="shared" si="304"/>
        <v>20220908</v>
      </c>
      <c r="I1603" s="1" t="str">
        <f>"102404"</f>
        <v>102404</v>
      </c>
      <c r="J1603" s="1" t="s">
        <v>28</v>
      </c>
      <c r="K1603" s="1" t="s">
        <v>28</v>
      </c>
      <c r="L1603" s="1" t="str">
        <f t="shared" si="305"/>
        <v>20220908</v>
      </c>
      <c r="M1603" s="1" t="str">
        <f>"105033"</f>
        <v>105033</v>
      </c>
      <c r="N1603" s="1" t="s">
        <v>34</v>
      </c>
      <c r="O1603" s="1" t="s">
        <v>34</v>
      </c>
      <c r="P1603" s="1" t="s">
        <v>55</v>
      </c>
      <c r="Q1603" s="1">
        <v>25</v>
      </c>
      <c r="R1603" s="1">
        <v>0</v>
      </c>
      <c r="S1603" s="1">
        <v>25</v>
      </c>
      <c r="T1603" s="1">
        <v>0</v>
      </c>
      <c r="U1603" s="1">
        <v>0</v>
      </c>
      <c r="V1603" s="1" t="str">
        <f t="shared" si="302"/>
        <v>里程去程</v>
      </c>
      <c r="W1603" s="1" t="str">
        <f>"0820"</f>
        <v>0820</v>
      </c>
      <c r="X1603" s="1" t="s">
        <v>35</v>
      </c>
    </row>
    <row r="1604" spans="1:24" x14ac:dyDescent="0.3">
      <c r="A1604" s="1" t="str">
        <f t="shared" si="301"/>
        <v>59825</v>
      </c>
      <c r="B1604" s="1" t="s">
        <v>30</v>
      </c>
      <c r="C1604" s="1" t="s">
        <v>31</v>
      </c>
      <c r="D1604" s="1" t="str">
        <f t="shared" si="303"/>
        <v>9803</v>
      </c>
      <c r="E1604" s="1" t="s">
        <v>32</v>
      </c>
      <c r="F1604" s="1" t="str">
        <f>"939312229"</f>
        <v>939312229</v>
      </c>
      <c r="G1604" s="1" t="s">
        <v>38</v>
      </c>
      <c r="H1604" s="1" t="str">
        <f t="shared" si="304"/>
        <v>20220908</v>
      </c>
      <c r="I1604" s="1" t="str">
        <f>"102412"</f>
        <v>102412</v>
      </c>
      <c r="J1604" s="1" t="s">
        <v>28</v>
      </c>
      <c r="K1604" s="1" t="s">
        <v>28</v>
      </c>
      <c r="L1604" s="1" t="str">
        <f t="shared" si="305"/>
        <v>20220908</v>
      </c>
      <c r="M1604" s="1" t="str">
        <f>"105024"</f>
        <v>105024</v>
      </c>
      <c r="N1604" s="1" t="s">
        <v>34</v>
      </c>
      <c r="O1604" s="1" t="s">
        <v>34</v>
      </c>
      <c r="P1604" s="1" t="s">
        <v>55</v>
      </c>
      <c r="Q1604" s="1">
        <v>25</v>
      </c>
      <c r="R1604" s="1">
        <v>25</v>
      </c>
      <c r="S1604" s="1">
        <v>0</v>
      </c>
      <c r="T1604" s="1">
        <v>0</v>
      </c>
      <c r="U1604" s="1">
        <v>0</v>
      </c>
      <c r="V1604" s="1" t="str">
        <f t="shared" si="302"/>
        <v>里程去程</v>
      </c>
      <c r="W1604" s="1" t="str">
        <f>"0c20"</f>
        <v>0c20</v>
      </c>
      <c r="X1604" s="1" t="s">
        <v>35</v>
      </c>
    </row>
    <row r="1605" spans="1:24" x14ac:dyDescent="0.3">
      <c r="A1605" s="1" t="str">
        <f t="shared" si="301"/>
        <v>59825</v>
      </c>
      <c r="B1605" s="1" t="s">
        <v>30</v>
      </c>
      <c r="C1605" s="1" t="s">
        <v>31</v>
      </c>
      <c r="D1605" s="1" t="str">
        <f t="shared" si="303"/>
        <v>9803</v>
      </c>
      <c r="E1605" s="1" t="s">
        <v>32</v>
      </c>
      <c r="F1605" s="1" t="str">
        <f>"81B09D3894280400F700000000000000"</f>
        <v>81B09D3894280400F700000000000000</v>
      </c>
      <c r="G1605" s="1" t="s">
        <v>58</v>
      </c>
      <c r="H1605" s="1" t="str">
        <f t="shared" si="304"/>
        <v>20220908</v>
      </c>
      <c r="I1605" s="1" t="str">
        <f>"102418"</f>
        <v>102418</v>
      </c>
      <c r="J1605" s="1" t="s">
        <v>28</v>
      </c>
      <c r="K1605" s="1" t="s">
        <v>28</v>
      </c>
      <c r="L1605" s="1" t="str">
        <f t="shared" si="305"/>
        <v>20220908</v>
      </c>
      <c r="M1605" s="1" t="str">
        <f>"105026"</f>
        <v>105026</v>
      </c>
      <c r="N1605" s="1" t="s">
        <v>34</v>
      </c>
      <c r="O1605" s="1" t="s">
        <v>34</v>
      </c>
      <c r="P1605" s="1" t="s">
        <v>55</v>
      </c>
      <c r="Q1605" s="1">
        <v>25</v>
      </c>
      <c r="R1605" s="1">
        <v>25</v>
      </c>
      <c r="S1605" s="1">
        <v>0</v>
      </c>
      <c r="T1605" s="1">
        <v>0</v>
      </c>
      <c r="U1605" s="1">
        <v>0</v>
      </c>
      <c r="V1605" s="1" t="str">
        <f t="shared" si="302"/>
        <v>里程去程</v>
      </c>
      <c r="W1605" s="1" t="str">
        <f>"0020"</f>
        <v>0020</v>
      </c>
      <c r="X1605" s="1" t="s">
        <v>29</v>
      </c>
    </row>
    <row r="1606" spans="1:24" x14ac:dyDescent="0.3">
      <c r="A1606" s="1" t="str">
        <f t="shared" si="301"/>
        <v>59825</v>
      </c>
      <c r="B1606" s="1" t="s">
        <v>30</v>
      </c>
      <c r="C1606" s="1" t="s">
        <v>31</v>
      </c>
      <c r="D1606" s="1" t="str">
        <f t="shared" si="303"/>
        <v>9803</v>
      </c>
      <c r="E1606" s="1" t="s">
        <v>32</v>
      </c>
      <c r="F1606" s="1" t="str">
        <f>"1072787941"</f>
        <v>1072787941</v>
      </c>
      <c r="G1606" s="1" t="s">
        <v>33</v>
      </c>
      <c r="H1606" s="1" t="str">
        <f t="shared" si="304"/>
        <v>20220908</v>
      </c>
      <c r="I1606" s="1" t="str">
        <f>"102444"</f>
        <v>102444</v>
      </c>
      <c r="J1606" s="1" t="s">
        <v>28</v>
      </c>
      <c r="K1606" s="1" t="s">
        <v>28</v>
      </c>
      <c r="L1606" s="1" t="str">
        <f t="shared" si="305"/>
        <v>20220908</v>
      </c>
      <c r="M1606" s="1" t="str">
        <f>"104956"</f>
        <v>104956</v>
      </c>
      <c r="N1606" s="1" t="s">
        <v>34</v>
      </c>
      <c r="O1606" s="1" t="s">
        <v>34</v>
      </c>
      <c r="P1606" s="1" t="s">
        <v>55</v>
      </c>
      <c r="Q1606" s="1">
        <v>25</v>
      </c>
      <c r="R1606" s="1">
        <v>25</v>
      </c>
      <c r="S1606" s="1">
        <v>0</v>
      </c>
      <c r="T1606" s="1">
        <v>0</v>
      </c>
      <c r="U1606" s="1">
        <v>0</v>
      </c>
      <c r="V1606" s="1" t="str">
        <f t="shared" si="302"/>
        <v>里程去程</v>
      </c>
      <c r="W1606" s="1" t="str">
        <f>"0e20"</f>
        <v>0e20</v>
      </c>
      <c r="X1606" s="1" t="s">
        <v>35</v>
      </c>
    </row>
    <row r="1607" spans="1:24" x14ac:dyDescent="0.3">
      <c r="A1607" s="1" t="str">
        <f t="shared" si="301"/>
        <v>59825</v>
      </c>
      <c r="B1607" s="1" t="s">
        <v>30</v>
      </c>
      <c r="C1607" s="1" t="s">
        <v>31</v>
      </c>
      <c r="D1607" s="1" t="str">
        <f t="shared" si="303"/>
        <v>9803</v>
      </c>
      <c r="E1607" s="1" t="s">
        <v>32</v>
      </c>
      <c r="F1607" s="1" t="str">
        <f>"79353813"</f>
        <v>79353813</v>
      </c>
      <c r="G1607" s="1" t="s">
        <v>33</v>
      </c>
      <c r="H1607" s="1" t="str">
        <f t="shared" si="304"/>
        <v>20220908</v>
      </c>
      <c r="I1607" s="1" t="str">
        <f>"102448"</f>
        <v>102448</v>
      </c>
      <c r="J1607" s="1" t="s">
        <v>28</v>
      </c>
      <c r="K1607" s="1" t="s">
        <v>28</v>
      </c>
      <c r="L1607" s="1" t="str">
        <f t="shared" si="305"/>
        <v>20220908</v>
      </c>
      <c r="M1607" s="1" t="str">
        <f>"105116"</f>
        <v>105116</v>
      </c>
      <c r="N1607" s="1" t="s">
        <v>34</v>
      </c>
      <c r="O1607" s="1" t="s">
        <v>34</v>
      </c>
      <c r="P1607" s="1" t="s">
        <v>55</v>
      </c>
      <c r="Q1607" s="1">
        <v>25</v>
      </c>
      <c r="R1607" s="1">
        <v>25</v>
      </c>
      <c r="S1607" s="1">
        <v>0</v>
      </c>
      <c r="T1607" s="1">
        <v>0</v>
      </c>
      <c r="U1607" s="1">
        <v>0</v>
      </c>
      <c r="V1607" s="1" t="str">
        <f t="shared" si="302"/>
        <v>里程去程</v>
      </c>
      <c r="W1607" s="1" t="str">
        <f>"0120"</f>
        <v>0120</v>
      </c>
      <c r="X1607" s="1" t="s">
        <v>35</v>
      </c>
    </row>
    <row r="1608" spans="1:24" x14ac:dyDescent="0.3">
      <c r="A1608" s="1" t="str">
        <f t="shared" si="301"/>
        <v>59825</v>
      </c>
      <c r="B1608" s="1" t="s">
        <v>30</v>
      </c>
      <c r="C1608" s="1" t="s">
        <v>31</v>
      </c>
      <c r="D1608" s="1" t="str">
        <f t="shared" si="303"/>
        <v>9803</v>
      </c>
      <c r="E1608" s="1" t="s">
        <v>32</v>
      </c>
      <c r="F1608" s="1" t="str">
        <f>"1298558337"</f>
        <v>1298558337</v>
      </c>
      <c r="G1608" s="1" t="s">
        <v>33</v>
      </c>
      <c r="H1608" s="1" t="str">
        <f t="shared" si="304"/>
        <v>20220908</v>
      </c>
      <c r="I1608" s="1" t="str">
        <f>"102458"</f>
        <v>102458</v>
      </c>
      <c r="J1608" s="1" t="s">
        <v>28</v>
      </c>
      <c r="K1608" s="1" t="s">
        <v>28</v>
      </c>
      <c r="L1608" s="1" t="str">
        <f t="shared" si="305"/>
        <v>20220908</v>
      </c>
      <c r="M1608" s="1" t="str">
        <f>"105042"</f>
        <v>105042</v>
      </c>
      <c r="N1608" s="1" t="s">
        <v>34</v>
      </c>
      <c r="O1608" s="1" t="s">
        <v>34</v>
      </c>
      <c r="P1608" s="1" t="s">
        <v>55</v>
      </c>
      <c r="Q1608" s="1">
        <v>25</v>
      </c>
      <c r="R1608" s="1">
        <v>25</v>
      </c>
      <c r="S1608" s="1">
        <v>0</v>
      </c>
      <c r="T1608" s="1">
        <v>0</v>
      </c>
      <c r="U1608" s="1">
        <v>0</v>
      </c>
      <c r="V1608" s="1" t="str">
        <f t="shared" si="302"/>
        <v>里程去程</v>
      </c>
      <c r="W1608" s="1" t="str">
        <f>"0c20"</f>
        <v>0c20</v>
      </c>
      <c r="X1608" s="1" t="s">
        <v>35</v>
      </c>
    </row>
    <row r="1609" spans="1:24" x14ac:dyDescent="0.3">
      <c r="A1609" s="1" t="str">
        <f t="shared" si="301"/>
        <v>59825</v>
      </c>
      <c r="B1609" s="1" t="s">
        <v>30</v>
      </c>
      <c r="C1609" s="1" t="s">
        <v>31</v>
      </c>
      <c r="D1609" s="1" t="str">
        <f t="shared" si="303"/>
        <v>9803</v>
      </c>
      <c r="E1609" s="1" t="s">
        <v>32</v>
      </c>
      <c r="F1609" s="1" t="str">
        <f>"1124559617"</f>
        <v>1124559617</v>
      </c>
      <c r="G1609" s="1" t="s">
        <v>33</v>
      </c>
      <c r="H1609" s="1" t="str">
        <f t="shared" si="304"/>
        <v>20220908</v>
      </c>
      <c r="I1609" s="1" t="str">
        <f>"102502"</f>
        <v>102502</v>
      </c>
      <c r="J1609" s="1" t="s">
        <v>28</v>
      </c>
      <c r="K1609" s="1" t="s">
        <v>28</v>
      </c>
      <c r="L1609" s="1" t="str">
        <f t="shared" si="305"/>
        <v>20220908</v>
      </c>
      <c r="M1609" s="1" t="str">
        <f>"104920"</f>
        <v>104920</v>
      </c>
      <c r="N1609" s="1" t="s">
        <v>34</v>
      </c>
      <c r="O1609" s="1" t="s">
        <v>34</v>
      </c>
      <c r="P1609" s="1" t="s">
        <v>55</v>
      </c>
      <c r="Q1609" s="1">
        <v>25</v>
      </c>
      <c r="R1609" s="1">
        <v>25</v>
      </c>
      <c r="S1609" s="1">
        <v>0</v>
      </c>
      <c r="T1609" s="1">
        <v>0</v>
      </c>
      <c r="U1609" s="1">
        <v>0</v>
      </c>
      <c r="V1609" s="1" t="str">
        <f t="shared" si="302"/>
        <v>里程去程</v>
      </c>
      <c r="W1609" s="1" t="str">
        <f>"0320"</f>
        <v>0320</v>
      </c>
      <c r="X1609" s="1" t="s">
        <v>35</v>
      </c>
    </row>
    <row r="1610" spans="1:24" x14ac:dyDescent="0.3">
      <c r="A1610" s="1" t="str">
        <f t="shared" si="301"/>
        <v>59825</v>
      </c>
      <c r="B1610" s="1" t="s">
        <v>30</v>
      </c>
      <c r="C1610" s="1" t="s">
        <v>31</v>
      </c>
      <c r="D1610" s="1" t="str">
        <f t="shared" si="303"/>
        <v>9803</v>
      </c>
      <c r="E1610" s="1" t="s">
        <v>32</v>
      </c>
      <c r="F1610" s="1" t="str">
        <f>"1249333201"</f>
        <v>1249333201</v>
      </c>
      <c r="G1610" s="1" t="s">
        <v>33</v>
      </c>
      <c r="H1610" s="1" t="str">
        <f t="shared" si="304"/>
        <v>20220908</v>
      </c>
      <c r="I1610" s="1" t="str">
        <f>"102507"</f>
        <v>102507</v>
      </c>
      <c r="J1610" s="1" t="s">
        <v>28</v>
      </c>
      <c r="K1610" s="1" t="s">
        <v>28</v>
      </c>
      <c r="L1610" s="1" t="str">
        <f t="shared" si="305"/>
        <v>20220908</v>
      </c>
      <c r="M1610" s="1" t="str">
        <f>"104915"</f>
        <v>104915</v>
      </c>
      <c r="N1610" s="1" t="s">
        <v>34</v>
      </c>
      <c r="O1610" s="1" t="s">
        <v>34</v>
      </c>
      <c r="P1610" s="1" t="s">
        <v>55</v>
      </c>
      <c r="Q1610" s="1">
        <v>25</v>
      </c>
      <c r="R1610" s="1">
        <v>25</v>
      </c>
      <c r="S1610" s="1">
        <v>0</v>
      </c>
      <c r="T1610" s="1">
        <v>0</v>
      </c>
      <c r="U1610" s="1">
        <v>0</v>
      </c>
      <c r="V1610" s="1" t="str">
        <f t="shared" si="302"/>
        <v>里程去程</v>
      </c>
      <c r="W1610" s="1" t="str">
        <f>"0320"</f>
        <v>0320</v>
      </c>
      <c r="X1610" s="1" t="s">
        <v>35</v>
      </c>
    </row>
    <row r="1611" spans="1:24" x14ac:dyDescent="0.3">
      <c r="A1611" s="1" t="str">
        <f t="shared" si="301"/>
        <v>59825</v>
      </c>
      <c r="B1611" s="1" t="s">
        <v>30</v>
      </c>
      <c r="C1611" s="1" t="s">
        <v>31</v>
      </c>
      <c r="D1611" s="1" t="str">
        <f t="shared" si="303"/>
        <v>9803</v>
      </c>
      <c r="E1611" s="1" t="s">
        <v>32</v>
      </c>
      <c r="F1611" s="1" t="str">
        <f>"1840931793"</f>
        <v>1840931793</v>
      </c>
      <c r="G1611" s="1" t="s">
        <v>33</v>
      </c>
      <c r="H1611" s="1" t="str">
        <f t="shared" si="304"/>
        <v>20220908</v>
      </c>
      <c r="I1611" s="1" t="str">
        <f>"102523"</f>
        <v>102523</v>
      </c>
      <c r="J1611" s="1" t="s">
        <v>28</v>
      </c>
      <c r="K1611" s="1" t="s">
        <v>28</v>
      </c>
      <c r="L1611" s="1" t="str">
        <f t="shared" si="305"/>
        <v>20220908</v>
      </c>
      <c r="M1611" s="1" t="str">
        <f>"105020"</f>
        <v>105020</v>
      </c>
      <c r="N1611" s="1" t="s">
        <v>34</v>
      </c>
      <c r="O1611" s="1" t="s">
        <v>34</v>
      </c>
      <c r="P1611" s="1" t="s">
        <v>55</v>
      </c>
      <c r="Q1611" s="1">
        <v>25</v>
      </c>
      <c r="R1611" s="1">
        <v>25</v>
      </c>
      <c r="S1611" s="1">
        <v>0</v>
      </c>
      <c r="T1611" s="1">
        <v>0</v>
      </c>
      <c r="U1611" s="1">
        <v>0</v>
      </c>
      <c r="V1611" s="1" t="str">
        <f t="shared" si="302"/>
        <v>里程去程</v>
      </c>
      <c r="W1611" s="1" t="str">
        <f>"0620"</f>
        <v>0620</v>
      </c>
      <c r="X1611" s="1" t="s">
        <v>35</v>
      </c>
    </row>
    <row r="1612" spans="1:24" x14ac:dyDescent="0.3">
      <c r="A1612" s="1" t="str">
        <f t="shared" si="301"/>
        <v>59825</v>
      </c>
      <c r="B1612" s="1" t="s">
        <v>30</v>
      </c>
      <c r="C1612" s="1" t="s">
        <v>31</v>
      </c>
      <c r="D1612" s="1" t="str">
        <f t="shared" si="303"/>
        <v>9803</v>
      </c>
      <c r="E1612" s="1" t="s">
        <v>32</v>
      </c>
      <c r="F1612" s="1" t="str">
        <f>"518F05568D2804001C00000000000000"</f>
        <v>518F05568D2804001C00000000000000</v>
      </c>
      <c r="G1612" s="1" t="s">
        <v>58</v>
      </c>
      <c r="H1612" s="1" t="str">
        <f t="shared" si="304"/>
        <v>20220908</v>
      </c>
      <c r="I1612" s="1" t="str">
        <f>"102530"</f>
        <v>102530</v>
      </c>
      <c r="J1612" s="1" t="s">
        <v>28</v>
      </c>
      <c r="K1612" s="1" t="s">
        <v>28</v>
      </c>
      <c r="L1612" s="1" t="str">
        <f t="shared" si="305"/>
        <v>20220908</v>
      </c>
      <c r="M1612" s="1" t="str">
        <f>"105015"</f>
        <v>105015</v>
      </c>
      <c r="N1612" s="1" t="s">
        <v>34</v>
      </c>
      <c r="O1612" s="1" t="s">
        <v>34</v>
      </c>
      <c r="P1612" s="1" t="s">
        <v>55</v>
      </c>
      <c r="Q1612" s="1">
        <v>25</v>
      </c>
      <c r="R1612" s="1">
        <v>25</v>
      </c>
      <c r="S1612" s="1">
        <v>0</v>
      </c>
      <c r="T1612" s="1">
        <v>0</v>
      </c>
      <c r="U1612" s="1">
        <v>0</v>
      </c>
      <c r="V1612" s="1" t="str">
        <f t="shared" si="302"/>
        <v>里程去程</v>
      </c>
      <c r="W1612" s="1" t="str">
        <f>"0020"</f>
        <v>0020</v>
      </c>
      <c r="X1612" s="1" t="s">
        <v>29</v>
      </c>
    </row>
    <row r="1613" spans="1:24" x14ac:dyDescent="0.3">
      <c r="A1613" s="1" t="str">
        <f t="shared" si="301"/>
        <v>59825</v>
      </c>
      <c r="B1613" s="1" t="s">
        <v>30</v>
      </c>
      <c r="C1613" s="1" t="s">
        <v>31</v>
      </c>
      <c r="D1613" s="1" t="str">
        <f t="shared" si="303"/>
        <v>9803</v>
      </c>
      <c r="E1613" s="1" t="s">
        <v>32</v>
      </c>
      <c r="F1613" s="1" t="str">
        <f>"1055957541"</f>
        <v>1055957541</v>
      </c>
      <c r="G1613" s="1" t="s">
        <v>38</v>
      </c>
      <c r="H1613" s="1" t="str">
        <f t="shared" si="304"/>
        <v>20220908</v>
      </c>
      <c r="I1613" s="1" t="str">
        <f>"102542"</f>
        <v>102542</v>
      </c>
      <c r="J1613" s="1" t="s">
        <v>28</v>
      </c>
      <c r="K1613" s="1" t="s">
        <v>28</v>
      </c>
      <c r="L1613" s="1" t="str">
        <f t="shared" si="305"/>
        <v>20220908</v>
      </c>
      <c r="M1613" s="1" t="str">
        <f>"105005"</f>
        <v>105005</v>
      </c>
      <c r="N1613" s="1" t="s">
        <v>34</v>
      </c>
      <c r="O1613" s="1" t="s">
        <v>34</v>
      </c>
      <c r="P1613" s="1" t="s">
        <v>55</v>
      </c>
      <c r="Q1613" s="1">
        <v>25</v>
      </c>
      <c r="R1613" s="1">
        <v>25</v>
      </c>
      <c r="S1613" s="1">
        <v>0</v>
      </c>
      <c r="T1613" s="1">
        <v>0</v>
      </c>
      <c r="U1613" s="1">
        <v>0</v>
      </c>
      <c r="V1613" s="1" t="str">
        <f t="shared" si="302"/>
        <v>里程去程</v>
      </c>
      <c r="W1613" s="1" t="str">
        <f>"2320"</f>
        <v>2320</v>
      </c>
      <c r="X1613" s="1" t="s">
        <v>35</v>
      </c>
    </row>
    <row r="1614" spans="1:24" x14ac:dyDescent="0.3">
      <c r="A1614" s="1" t="str">
        <f t="shared" si="301"/>
        <v>59825</v>
      </c>
      <c r="B1614" s="1" t="s">
        <v>30</v>
      </c>
      <c r="C1614" s="1" t="s">
        <v>31</v>
      </c>
      <c r="D1614" s="1" t="str">
        <f t="shared" si="303"/>
        <v>9803</v>
      </c>
      <c r="E1614" s="1" t="s">
        <v>32</v>
      </c>
      <c r="F1614" s="1" t="str">
        <f>"314810817"</f>
        <v>314810817</v>
      </c>
      <c r="G1614" s="1" t="s">
        <v>33</v>
      </c>
      <c r="H1614" s="1" t="str">
        <f t="shared" si="304"/>
        <v>20220908</v>
      </c>
      <c r="I1614" s="1" t="str">
        <f>"102608"</f>
        <v>102608</v>
      </c>
      <c r="J1614" s="1" t="s">
        <v>28</v>
      </c>
      <c r="K1614" s="1" t="s">
        <v>28</v>
      </c>
      <c r="L1614" s="1" t="str">
        <f t="shared" si="305"/>
        <v>20220908</v>
      </c>
      <c r="M1614" s="1" t="str">
        <f>"104935"</f>
        <v>104935</v>
      </c>
      <c r="N1614" s="1" t="s">
        <v>34</v>
      </c>
      <c r="O1614" s="1" t="s">
        <v>34</v>
      </c>
      <c r="P1614" s="1" t="s">
        <v>55</v>
      </c>
      <c r="Q1614" s="1">
        <v>25</v>
      </c>
      <c r="R1614" s="1">
        <v>0</v>
      </c>
      <c r="S1614" s="1">
        <v>25</v>
      </c>
      <c r="T1614" s="1">
        <v>0</v>
      </c>
      <c r="U1614" s="1">
        <v>0</v>
      </c>
      <c r="V1614" s="1" t="str">
        <f t="shared" si="302"/>
        <v>里程去程</v>
      </c>
      <c r="W1614" s="1" t="str">
        <f>"0820"</f>
        <v>0820</v>
      </c>
      <c r="X1614" s="1" t="s">
        <v>35</v>
      </c>
    </row>
    <row r="1615" spans="1:24" x14ac:dyDescent="0.3">
      <c r="A1615" s="1" t="str">
        <f t="shared" si="301"/>
        <v>59825</v>
      </c>
      <c r="B1615" s="1" t="s">
        <v>30</v>
      </c>
      <c r="C1615" s="1" t="s">
        <v>31</v>
      </c>
      <c r="D1615" s="1" t="str">
        <f t="shared" si="303"/>
        <v>9803</v>
      </c>
      <c r="E1615" s="1" t="s">
        <v>32</v>
      </c>
      <c r="F1615" s="1" t="str">
        <f>"737664257"</f>
        <v>737664257</v>
      </c>
      <c r="G1615" s="1" t="s">
        <v>33</v>
      </c>
      <c r="H1615" s="1" t="str">
        <f t="shared" si="304"/>
        <v>20220908</v>
      </c>
      <c r="I1615" s="1" t="str">
        <f>"102618"</f>
        <v>102618</v>
      </c>
      <c r="J1615" s="1" t="s">
        <v>28</v>
      </c>
      <c r="K1615" s="1" t="s">
        <v>28</v>
      </c>
      <c r="L1615" s="1" t="str">
        <f t="shared" si="305"/>
        <v>20220908</v>
      </c>
      <c r="M1615" s="1" t="str">
        <f>"104943"</f>
        <v>104943</v>
      </c>
      <c r="N1615" s="1" t="s">
        <v>34</v>
      </c>
      <c r="O1615" s="1" t="s">
        <v>34</v>
      </c>
      <c r="P1615" s="1" t="s">
        <v>55</v>
      </c>
      <c r="Q1615" s="1">
        <v>25</v>
      </c>
      <c r="R1615" s="1">
        <v>0</v>
      </c>
      <c r="S1615" s="1">
        <v>25</v>
      </c>
      <c r="T1615" s="1">
        <v>0</v>
      </c>
      <c r="U1615" s="1">
        <v>0</v>
      </c>
      <c r="V1615" s="1" t="str">
        <f t="shared" si="302"/>
        <v>里程去程</v>
      </c>
      <c r="W1615" s="1" t="str">
        <f>"0820"</f>
        <v>0820</v>
      </c>
      <c r="X1615" s="1" t="s">
        <v>35</v>
      </c>
    </row>
    <row r="1616" spans="1:24" x14ac:dyDescent="0.3">
      <c r="A1616" s="1" t="str">
        <f t="shared" si="301"/>
        <v>59825</v>
      </c>
      <c r="B1616" s="1" t="s">
        <v>30</v>
      </c>
      <c r="C1616" s="1" t="s">
        <v>31</v>
      </c>
      <c r="D1616" s="1" t="str">
        <f t="shared" si="303"/>
        <v>9803</v>
      </c>
      <c r="E1616" s="1" t="s">
        <v>32</v>
      </c>
      <c r="F1616" s="1" t="str">
        <f>"881187073"</f>
        <v>881187073</v>
      </c>
      <c r="G1616" s="1" t="s">
        <v>33</v>
      </c>
      <c r="H1616" s="1" t="str">
        <f t="shared" si="304"/>
        <v>20220908</v>
      </c>
      <c r="I1616" s="1" t="str">
        <f>"102640"</f>
        <v>102640</v>
      </c>
      <c r="J1616" s="1" t="s">
        <v>28</v>
      </c>
      <c r="K1616" s="1" t="s">
        <v>28</v>
      </c>
      <c r="L1616" s="1" t="str">
        <f t="shared" si="305"/>
        <v>20220908</v>
      </c>
      <c r="M1616" s="1" t="str">
        <f>"104922"</f>
        <v>104922</v>
      </c>
      <c r="N1616" s="1" t="s">
        <v>34</v>
      </c>
      <c r="O1616" s="1" t="s">
        <v>34</v>
      </c>
      <c r="P1616" s="1" t="s">
        <v>55</v>
      </c>
      <c r="Q1616" s="1">
        <v>25</v>
      </c>
      <c r="R1616" s="1">
        <v>25</v>
      </c>
      <c r="S1616" s="1">
        <v>0</v>
      </c>
      <c r="T1616" s="1">
        <v>0</v>
      </c>
      <c r="U1616" s="1">
        <v>0</v>
      </c>
      <c r="V1616" s="1" t="str">
        <f t="shared" si="302"/>
        <v>里程去程</v>
      </c>
      <c r="W1616" s="1" t="str">
        <f>"0120"</f>
        <v>0120</v>
      </c>
      <c r="X1616" s="1" t="s">
        <v>35</v>
      </c>
    </row>
    <row r="1617" spans="1:24" x14ac:dyDescent="0.3">
      <c r="A1617" s="1" t="str">
        <f t="shared" si="301"/>
        <v>59825</v>
      </c>
      <c r="B1617" s="1" t="s">
        <v>30</v>
      </c>
      <c r="C1617" s="1" t="s">
        <v>31</v>
      </c>
      <c r="D1617" s="1" t="str">
        <f t="shared" si="303"/>
        <v>9803</v>
      </c>
      <c r="E1617" s="1" t="s">
        <v>32</v>
      </c>
      <c r="F1617" s="1" t="str">
        <f>"703320721"</f>
        <v>703320721</v>
      </c>
      <c r="G1617" s="1" t="s">
        <v>33</v>
      </c>
      <c r="H1617" s="1" t="str">
        <f t="shared" si="304"/>
        <v>20220908</v>
      </c>
      <c r="I1617" s="1" t="str">
        <f>"110658"</f>
        <v>110658</v>
      </c>
      <c r="J1617" s="1" t="s">
        <v>73</v>
      </c>
      <c r="K1617" s="1" t="s">
        <v>28</v>
      </c>
      <c r="L1617" s="1" t="str">
        <f t="shared" si="305"/>
        <v>20220908</v>
      </c>
      <c r="M1617" s="1" t="str">
        <f>"112934"</f>
        <v>112934</v>
      </c>
      <c r="N1617" s="1" t="s">
        <v>28</v>
      </c>
      <c r="O1617" s="1" t="s">
        <v>28</v>
      </c>
      <c r="P1617" s="1" t="s">
        <v>55</v>
      </c>
      <c r="Q1617" s="1">
        <v>25</v>
      </c>
      <c r="R1617" s="1">
        <v>25</v>
      </c>
      <c r="S1617" s="1">
        <v>0</v>
      </c>
      <c r="T1617" s="1">
        <v>0</v>
      </c>
      <c r="U1617" s="1">
        <v>0</v>
      </c>
      <c r="V1617" s="1" t="str">
        <f>"里程返程"</f>
        <v>里程返程</v>
      </c>
      <c r="W1617" s="1" t="str">
        <f>"2020"</f>
        <v>2020</v>
      </c>
      <c r="X1617" s="1" t="s">
        <v>35</v>
      </c>
    </row>
    <row r="1618" spans="1:24" x14ac:dyDescent="0.3">
      <c r="A1618" s="1" t="str">
        <f t="shared" si="301"/>
        <v>59825</v>
      </c>
      <c r="B1618" s="1" t="s">
        <v>30</v>
      </c>
      <c r="C1618" s="1" t="s">
        <v>31</v>
      </c>
      <c r="D1618" s="1" t="str">
        <f t="shared" si="303"/>
        <v>9803</v>
      </c>
      <c r="E1618" s="1" t="s">
        <v>32</v>
      </c>
      <c r="F1618" s="1" t="str">
        <f>"43470897"</f>
        <v>43470897</v>
      </c>
      <c r="G1618" s="1" t="s">
        <v>33</v>
      </c>
      <c r="H1618" s="1" t="str">
        <f t="shared" si="304"/>
        <v>20220908</v>
      </c>
      <c r="I1618" s="1" t="str">
        <f>"110702"</f>
        <v>110702</v>
      </c>
      <c r="J1618" s="1" t="s">
        <v>73</v>
      </c>
      <c r="K1618" s="1" t="s">
        <v>28</v>
      </c>
      <c r="L1618" s="1" t="str">
        <f t="shared" si="305"/>
        <v>20220908</v>
      </c>
      <c r="M1618" s="1" t="str">
        <f>"112949"</f>
        <v>112949</v>
      </c>
      <c r="N1618" s="1" t="s">
        <v>28</v>
      </c>
      <c r="O1618" s="1" t="s">
        <v>28</v>
      </c>
      <c r="P1618" s="1" t="s">
        <v>55</v>
      </c>
      <c r="Q1618" s="1">
        <v>25</v>
      </c>
      <c r="R1618" s="1">
        <v>25</v>
      </c>
      <c r="S1618" s="1">
        <v>0</v>
      </c>
      <c r="T1618" s="1">
        <v>0</v>
      </c>
      <c r="U1618" s="1">
        <v>0</v>
      </c>
      <c r="V1618" s="1" t="str">
        <f>"里程返程"</f>
        <v>里程返程</v>
      </c>
      <c r="W1618" s="1" t="str">
        <f>"2020"</f>
        <v>2020</v>
      </c>
      <c r="X1618" s="1" t="s">
        <v>35</v>
      </c>
    </row>
    <row r="1619" spans="1:24" x14ac:dyDescent="0.3">
      <c r="A1619" s="1" t="str">
        <f t="shared" si="301"/>
        <v>59825</v>
      </c>
      <c r="B1619" s="1" t="s">
        <v>30</v>
      </c>
      <c r="C1619" s="1" t="s">
        <v>31</v>
      </c>
      <c r="D1619" s="1" t="str">
        <f t="shared" si="303"/>
        <v>9803</v>
      </c>
      <c r="E1619" s="1" t="s">
        <v>32</v>
      </c>
      <c r="F1619" s="1" t="str">
        <f>"72DFC0127F28040080CEBCD765212818"</f>
        <v>72DFC0127F28040080CEBCD765212818</v>
      </c>
      <c r="G1619" s="1" t="s">
        <v>59</v>
      </c>
      <c r="H1619" s="1" t="str">
        <f t="shared" si="304"/>
        <v>20220908</v>
      </c>
      <c r="I1619" s="1" t="str">
        <f>"113009"</f>
        <v>113009</v>
      </c>
      <c r="J1619" s="1" t="s">
        <v>28</v>
      </c>
      <c r="K1619" s="1" t="s">
        <v>28</v>
      </c>
      <c r="L1619" s="1" t="str">
        <f t="shared" si="305"/>
        <v>20220908</v>
      </c>
      <c r="M1619" s="1" t="str">
        <f>"115241"</f>
        <v>115241</v>
      </c>
      <c r="N1619" s="1" t="s">
        <v>34</v>
      </c>
      <c r="O1619" s="1" t="s">
        <v>34</v>
      </c>
      <c r="P1619" s="1" t="s">
        <v>55</v>
      </c>
      <c r="Q1619" s="1">
        <v>25</v>
      </c>
      <c r="R1619" s="1">
        <v>25</v>
      </c>
      <c r="S1619" s="1">
        <v>0</v>
      </c>
      <c r="T1619" s="1">
        <v>0</v>
      </c>
      <c r="U1619" s="1">
        <v>0</v>
      </c>
      <c r="V1619" s="1" t="str">
        <f t="shared" ref="V1619:V1634" si="306">"里程去程"</f>
        <v>里程去程</v>
      </c>
      <c r="W1619" s="1" t="str">
        <f>"0020"</f>
        <v>0020</v>
      </c>
      <c r="X1619" s="1" t="s">
        <v>29</v>
      </c>
    </row>
    <row r="1620" spans="1:24" x14ac:dyDescent="0.3">
      <c r="A1620" s="1" t="str">
        <f t="shared" si="301"/>
        <v>59825</v>
      </c>
      <c r="B1620" s="1" t="s">
        <v>30</v>
      </c>
      <c r="C1620" s="1" t="s">
        <v>31</v>
      </c>
      <c r="D1620" s="1" t="str">
        <f t="shared" si="303"/>
        <v>9803</v>
      </c>
      <c r="E1620" s="1" t="s">
        <v>32</v>
      </c>
      <c r="F1620" s="1" t="str">
        <f>"E242B51603880400C814002000000019"</f>
        <v>E242B51603880400C814002000000019</v>
      </c>
      <c r="G1620" s="1" t="s">
        <v>58</v>
      </c>
      <c r="H1620" s="1" t="str">
        <f t="shared" si="304"/>
        <v>20220908</v>
      </c>
      <c r="I1620" s="1" t="str">
        <f>"113026"</f>
        <v>113026</v>
      </c>
      <c r="J1620" s="1" t="s">
        <v>28</v>
      </c>
      <c r="K1620" s="1" t="s">
        <v>28</v>
      </c>
      <c r="L1620" s="1" t="str">
        <f t="shared" si="305"/>
        <v>20220908</v>
      </c>
      <c r="M1620" s="1" t="str">
        <f>"115219"</f>
        <v>115219</v>
      </c>
      <c r="N1620" s="1" t="s">
        <v>34</v>
      </c>
      <c r="O1620" s="1" t="s">
        <v>34</v>
      </c>
      <c r="P1620" s="1" t="s">
        <v>55</v>
      </c>
      <c r="Q1620" s="1">
        <v>25</v>
      </c>
      <c r="R1620" s="1">
        <v>25</v>
      </c>
      <c r="S1620" s="1">
        <v>0</v>
      </c>
      <c r="T1620" s="1">
        <v>0</v>
      </c>
      <c r="U1620" s="1">
        <v>0</v>
      </c>
      <c r="V1620" s="1" t="str">
        <f t="shared" si="306"/>
        <v>里程去程</v>
      </c>
      <c r="W1620" s="1" t="str">
        <f>"0020"</f>
        <v>0020</v>
      </c>
      <c r="X1620" s="1" t="s">
        <v>29</v>
      </c>
    </row>
    <row r="1621" spans="1:24" x14ac:dyDescent="0.3">
      <c r="A1621" s="1" t="str">
        <f t="shared" si="301"/>
        <v>59825</v>
      </c>
      <c r="B1621" s="1" t="s">
        <v>30</v>
      </c>
      <c r="C1621" s="1" t="s">
        <v>31</v>
      </c>
      <c r="D1621" s="1" t="str">
        <f t="shared" si="303"/>
        <v>9803</v>
      </c>
      <c r="E1621" s="1" t="s">
        <v>32</v>
      </c>
      <c r="F1621" s="1" t="str">
        <f>"1760368197"</f>
        <v>1760368197</v>
      </c>
      <c r="G1621" s="1" t="s">
        <v>33</v>
      </c>
      <c r="H1621" s="1" t="str">
        <f t="shared" si="304"/>
        <v>20220908</v>
      </c>
      <c r="I1621" s="1" t="str">
        <f>"113047"</f>
        <v>113047</v>
      </c>
      <c r="J1621" s="1" t="s">
        <v>28</v>
      </c>
      <c r="K1621" s="1" t="s">
        <v>28</v>
      </c>
      <c r="L1621" s="1" t="str">
        <f t="shared" si="305"/>
        <v>20220908</v>
      </c>
      <c r="M1621" s="1" t="str">
        <f>"115313"</f>
        <v>115313</v>
      </c>
      <c r="N1621" s="1" t="s">
        <v>34</v>
      </c>
      <c r="O1621" s="1" t="s">
        <v>34</v>
      </c>
      <c r="P1621" s="1" t="s">
        <v>55</v>
      </c>
      <c r="Q1621" s="1">
        <v>25</v>
      </c>
      <c r="R1621" s="1">
        <v>25</v>
      </c>
      <c r="S1621" s="1">
        <v>0</v>
      </c>
      <c r="T1621" s="1">
        <v>0</v>
      </c>
      <c r="U1621" s="1">
        <v>0</v>
      </c>
      <c r="V1621" s="1" t="str">
        <f t="shared" si="306"/>
        <v>里程去程</v>
      </c>
      <c r="W1621" s="1" t="str">
        <f>"0e20"</f>
        <v>0e20</v>
      </c>
      <c r="X1621" s="1" t="s">
        <v>35</v>
      </c>
    </row>
    <row r="1622" spans="1:24" x14ac:dyDescent="0.3">
      <c r="A1622" s="1" t="str">
        <f t="shared" ref="A1622:A1653" si="307">"59825"</f>
        <v>59825</v>
      </c>
      <c r="B1622" s="1" t="s">
        <v>30</v>
      </c>
      <c r="C1622" s="1" t="s">
        <v>31</v>
      </c>
      <c r="D1622" s="1" t="str">
        <f t="shared" si="303"/>
        <v>9803</v>
      </c>
      <c r="E1622" s="1" t="s">
        <v>32</v>
      </c>
      <c r="F1622" s="1" t="str">
        <f>"1262200421"</f>
        <v>1262200421</v>
      </c>
      <c r="G1622" s="1" t="s">
        <v>33</v>
      </c>
      <c r="H1622" s="1" t="str">
        <f t="shared" si="304"/>
        <v>20220908</v>
      </c>
      <c r="I1622" s="1" t="str">
        <f>"113053"</f>
        <v>113053</v>
      </c>
      <c r="J1622" s="1" t="s">
        <v>28</v>
      </c>
      <c r="K1622" s="1" t="s">
        <v>28</v>
      </c>
      <c r="L1622" s="1" t="str">
        <f t="shared" si="305"/>
        <v>20220908</v>
      </c>
      <c r="M1622" s="1" t="str">
        <f>"115309"</f>
        <v>115309</v>
      </c>
      <c r="N1622" s="1" t="s">
        <v>34</v>
      </c>
      <c r="O1622" s="1" t="s">
        <v>34</v>
      </c>
      <c r="P1622" s="1" t="s">
        <v>55</v>
      </c>
      <c r="Q1622" s="1">
        <v>25</v>
      </c>
      <c r="R1622" s="1">
        <v>25</v>
      </c>
      <c r="S1622" s="1">
        <v>0</v>
      </c>
      <c r="T1622" s="1">
        <v>0</v>
      </c>
      <c r="U1622" s="1">
        <v>0</v>
      </c>
      <c r="V1622" s="1" t="str">
        <f t="shared" si="306"/>
        <v>里程去程</v>
      </c>
      <c r="W1622" s="1" t="str">
        <f>"0e20"</f>
        <v>0e20</v>
      </c>
      <c r="X1622" s="1" t="s">
        <v>35</v>
      </c>
    </row>
    <row r="1623" spans="1:24" x14ac:dyDescent="0.3">
      <c r="A1623" s="1" t="str">
        <f t="shared" si="307"/>
        <v>59825</v>
      </c>
      <c r="B1623" s="1" t="s">
        <v>30</v>
      </c>
      <c r="C1623" s="1" t="s">
        <v>31</v>
      </c>
      <c r="D1623" s="1" t="str">
        <f t="shared" si="303"/>
        <v>9803</v>
      </c>
      <c r="E1623" s="1" t="s">
        <v>32</v>
      </c>
      <c r="F1623" s="1" t="str">
        <f>"616030033"</f>
        <v>616030033</v>
      </c>
      <c r="G1623" s="1" t="s">
        <v>33</v>
      </c>
      <c r="H1623" s="1" t="str">
        <f t="shared" si="304"/>
        <v>20220908</v>
      </c>
      <c r="I1623" s="1" t="str">
        <f>"113116"</f>
        <v>113116</v>
      </c>
      <c r="J1623" s="1" t="s">
        <v>28</v>
      </c>
      <c r="K1623" s="1" t="s">
        <v>28</v>
      </c>
      <c r="L1623" s="1" t="str">
        <f t="shared" si="305"/>
        <v>20220908</v>
      </c>
      <c r="M1623" s="1" t="str">
        <f>"115320"</f>
        <v>115320</v>
      </c>
      <c r="N1623" s="1" t="s">
        <v>34</v>
      </c>
      <c r="O1623" s="1" t="s">
        <v>34</v>
      </c>
      <c r="P1623" s="1" t="s">
        <v>55</v>
      </c>
      <c r="Q1623" s="1">
        <v>25</v>
      </c>
      <c r="R1623" s="1">
        <v>25</v>
      </c>
      <c r="S1623" s="1">
        <v>0</v>
      </c>
      <c r="T1623" s="1">
        <v>0</v>
      </c>
      <c r="U1623" s="1">
        <v>0</v>
      </c>
      <c r="V1623" s="1" t="str">
        <f t="shared" si="306"/>
        <v>里程去程</v>
      </c>
      <c r="W1623" s="1" t="str">
        <f>"0320"</f>
        <v>0320</v>
      </c>
      <c r="X1623" s="1" t="s">
        <v>35</v>
      </c>
    </row>
    <row r="1624" spans="1:24" x14ac:dyDescent="0.3">
      <c r="A1624" s="1" t="str">
        <f t="shared" si="307"/>
        <v>59825</v>
      </c>
      <c r="B1624" s="1" t="s">
        <v>30</v>
      </c>
      <c r="C1624" s="1" t="s">
        <v>31</v>
      </c>
      <c r="D1624" s="1" t="str">
        <f t="shared" si="303"/>
        <v>9803</v>
      </c>
      <c r="E1624" s="1" t="s">
        <v>32</v>
      </c>
      <c r="F1624" s="1" t="str">
        <f>"1207456357"</f>
        <v>1207456357</v>
      </c>
      <c r="G1624" s="1" t="s">
        <v>38</v>
      </c>
      <c r="H1624" s="1" t="str">
        <f t="shared" si="304"/>
        <v>20220908</v>
      </c>
      <c r="I1624" s="1" t="str">
        <f>"113122"</f>
        <v>113122</v>
      </c>
      <c r="J1624" s="1" t="s">
        <v>28</v>
      </c>
      <c r="K1624" s="1" t="s">
        <v>28</v>
      </c>
      <c r="L1624" s="1" t="str">
        <f t="shared" si="305"/>
        <v>20220908</v>
      </c>
      <c r="M1624" s="1" t="str">
        <f>"115243"</f>
        <v>115243</v>
      </c>
      <c r="N1624" s="1" t="s">
        <v>34</v>
      </c>
      <c r="O1624" s="1" t="s">
        <v>34</v>
      </c>
      <c r="P1624" s="1" t="s">
        <v>55</v>
      </c>
      <c r="Q1624" s="1">
        <v>25</v>
      </c>
      <c r="R1624" s="1">
        <v>25</v>
      </c>
      <c r="S1624" s="1">
        <v>0</v>
      </c>
      <c r="T1624" s="1">
        <v>0</v>
      </c>
      <c r="U1624" s="1">
        <v>0</v>
      </c>
      <c r="V1624" s="1" t="str">
        <f t="shared" si="306"/>
        <v>里程去程</v>
      </c>
      <c r="W1624" s="1" t="str">
        <f>"1c20"</f>
        <v>1c20</v>
      </c>
      <c r="X1624" s="1" t="s">
        <v>35</v>
      </c>
    </row>
    <row r="1625" spans="1:24" x14ac:dyDescent="0.3">
      <c r="A1625" s="1" t="str">
        <f t="shared" si="307"/>
        <v>59825</v>
      </c>
      <c r="B1625" s="1" t="s">
        <v>30</v>
      </c>
      <c r="C1625" s="1" t="s">
        <v>31</v>
      </c>
      <c r="D1625" s="1" t="str">
        <f t="shared" si="303"/>
        <v>9803</v>
      </c>
      <c r="E1625" s="1" t="s">
        <v>32</v>
      </c>
      <c r="F1625" s="1" t="str">
        <f>"1204410949"</f>
        <v>1204410949</v>
      </c>
      <c r="G1625" s="1" t="s">
        <v>38</v>
      </c>
      <c r="H1625" s="1" t="str">
        <f t="shared" si="304"/>
        <v>20220908</v>
      </c>
      <c r="I1625" s="1" t="str">
        <f>"113132"</f>
        <v>113132</v>
      </c>
      <c r="J1625" s="1" t="s">
        <v>28</v>
      </c>
      <c r="K1625" s="1" t="s">
        <v>28</v>
      </c>
      <c r="L1625" s="1" t="str">
        <f t="shared" si="305"/>
        <v>20220908</v>
      </c>
      <c r="M1625" s="1" t="str">
        <f>"115233"</f>
        <v>115233</v>
      </c>
      <c r="N1625" s="1" t="s">
        <v>34</v>
      </c>
      <c r="O1625" s="1" t="s">
        <v>34</v>
      </c>
      <c r="P1625" s="1" t="s">
        <v>55</v>
      </c>
      <c r="Q1625" s="1">
        <v>25</v>
      </c>
      <c r="R1625" s="1">
        <v>25</v>
      </c>
      <c r="S1625" s="1">
        <v>0</v>
      </c>
      <c r="T1625" s="1">
        <v>0</v>
      </c>
      <c r="U1625" s="1">
        <v>0</v>
      </c>
      <c r="V1625" s="1" t="str">
        <f t="shared" si="306"/>
        <v>里程去程</v>
      </c>
      <c r="W1625" s="1" t="str">
        <f>"1c20"</f>
        <v>1c20</v>
      </c>
      <c r="X1625" s="1" t="s">
        <v>35</v>
      </c>
    </row>
    <row r="1626" spans="1:24" x14ac:dyDescent="0.3">
      <c r="A1626" s="1" t="str">
        <f t="shared" si="307"/>
        <v>59825</v>
      </c>
      <c r="B1626" s="1" t="s">
        <v>30</v>
      </c>
      <c r="C1626" s="1" t="s">
        <v>31</v>
      </c>
      <c r="D1626" s="1" t="str">
        <f t="shared" si="303"/>
        <v>9803</v>
      </c>
      <c r="E1626" s="1" t="s">
        <v>32</v>
      </c>
      <c r="F1626" s="1" t="str">
        <f>"1203799509"</f>
        <v>1203799509</v>
      </c>
      <c r="G1626" s="1" t="s">
        <v>38</v>
      </c>
      <c r="H1626" s="1" t="str">
        <f t="shared" si="304"/>
        <v>20220908</v>
      </c>
      <c r="I1626" s="1" t="str">
        <f>"113136"</f>
        <v>113136</v>
      </c>
      <c r="J1626" s="1" t="s">
        <v>28</v>
      </c>
      <c r="K1626" s="1" t="s">
        <v>28</v>
      </c>
      <c r="L1626" s="1" t="str">
        <f t="shared" si="305"/>
        <v>20220908</v>
      </c>
      <c r="M1626" s="1" t="str">
        <f>"115236"</f>
        <v>115236</v>
      </c>
      <c r="N1626" s="1" t="s">
        <v>34</v>
      </c>
      <c r="O1626" s="1" t="s">
        <v>34</v>
      </c>
      <c r="P1626" s="1" t="s">
        <v>55</v>
      </c>
      <c r="Q1626" s="1">
        <v>25</v>
      </c>
      <c r="R1626" s="1">
        <v>25</v>
      </c>
      <c r="S1626" s="1">
        <v>0</v>
      </c>
      <c r="T1626" s="1">
        <v>0</v>
      </c>
      <c r="U1626" s="1">
        <v>0</v>
      </c>
      <c r="V1626" s="1" t="str">
        <f t="shared" si="306"/>
        <v>里程去程</v>
      </c>
      <c r="W1626" s="1" t="str">
        <f>"0220"</f>
        <v>0220</v>
      </c>
      <c r="X1626" s="1" t="s">
        <v>35</v>
      </c>
    </row>
    <row r="1627" spans="1:24" x14ac:dyDescent="0.3">
      <c r="A1627" s="1" t="str">
        <f t="shared" si="307"/>
        <v>59825</v>
      </c>
      <c r="B1627" s="1" t="s">
        <v>30</v>
      </c>
      <c r="C1627" s="1" t="s">
        <v>31</v>
      </c>
      <c r="D1627" s="1" t="str">
        <f t="shared" ref="D1627:D1658" si="308">"9803"</f>
        <v>9803</v>
      </c>
      <c r="E1627" s="1" t="s">
        <v>32</v>
      </c>
      <c r="F1627" s="1" t="str">
        <f>"1203662405"</f>
        <v>1203662405</v>
      </c>
      <c r="G1627" s="1" t="s">
        <v>38</v>
      </c>
      <c r="H1627" s="1" t="str">
        <f t="shared" si="304"/>
        <v>20220908</v>
      </c>
      <c r="I1627" s="1" t="str">
        <f>"113139"</f>
        <v>113139</v>
      </c>
      <c r="J1627" s="1" t="s">
        <v>28</v>
      </c>
      <c r="K1627" s="1" t="s">
        <v>28</v>
      </c>
      <c r="L1627" s="1" t="str">
        <f t="shared" si="305"/>
        <v>20220908</v>
      </c>
      <c r="M1627" s="1" t="str">
        <f>"115227"</f>
        <v>115227</v>
      </c>
      <c r="N1627" s="1" t="s">
        <v>34</v>
      </c>
      <c r="O1627" s="1" t="s">
        <v>34</v>
      </c>
      <c r="P1627" s="1" t="s">
        <v>55</v>
      </c>
      <c r="Q1627" s="1">
        <v>25</v>
      </c>
      <c r="R1627" s="1">
        <v>25</v>
      </c>
      <c r="S1627" s="1">
        <v>0</v>
      </c>
      <c r="T1627" s="1">
        <v>0</v>
      </c>
      <c r="U1627" s="1">
        <v>0</v>
      </c>
      <c r="V1627" s="1" t="str">
        <f t="shared" si="306"/>
        <v>里程去程</v>
      </c>
      <c r="W1627" s="1" t="str">
        <f>"1c20"</f>
        <v>1c20</v>
      </c>
      <c r="X1627" s="1" t="s">
        <v>35</v>
      </c>
    </row>
    <row r="1628" spans="1:24" x14ac:dyDescent="0.3">
      <c r="A1628" s="1" t="str">
        <f t="shared" si="307"/>
        <v>59825</v>
      </c>
      <c r="B1628" s="1" t="s">
        <v>30</v>
      </c>
      <c r="C1628" s="1" t="s">
        <v>31</v>
      </c>
      <c r="D1628" s="1" t="str">
        <f t="shared" si="308"/>
        <v>9803</v>
      </c>
      <c r="E1628" s="1" t="s">
        <v>32</v>
      </c>
      <c r="F1628" s="1" t="str">
        <f>"1210347605"</f>
        <v>1210347605</v>
      </c>
      <c r="G1628" s="1" t="s">
        <v>38</v>
      </c>
      <c r="H1628" s="1" t="str">
        <f t="shared" si="304"/>
        <v>20220908</v>
      </c>
      <c r="I1628" s="1" t="str">
        <f>"113142"</f>
        <v>113142</v>
      </c>
      <c r="J1628" s="1" t="s">
        <v>28</v>
      </c>
      <c r="K1628" s="1" t="s">
        <v>28</v>
      </c>
      <c r="L1628" s="1" t="str">
        <f t="shared" si="305"/>
        <v>20220908</v>
      </c>
      <c r="M1628" s="1" t="str">
        <f>"115230"</f>
        <v>115230</v>
      </c>
      <c r="N1628" s="1" t="s">
        <v>34</v>
      </c>
      <c r="O1628" s="1" t="s">
        <v>34</v>
      </c>
      <c r="P1628" s="1" t="s">
        <v>55</v>
      </c>
      <c r="Q1628" s="1">
        <v>25</v>
      </c>
      <c r="R1628" s="1">
        <v>25</v>
      </c>
      <c r="S1628" s="1">
        <v>0</v>
      </c>
      <c r="T1628" s="1">
        <v>0</v>
      </c>
      <c r="U1628" s="1">
        <v>0</v>
      </c>
      <c r="V1628" s="1" t="str">
        <f t="shared" si="306"/>
        <v>里程去程</v>
      </c>
      <c r="W1628" s="1" t="str">
        <f>"0220"</f>
        <v>0220</v>
      </c>
      <c r="X1628" s="1" t="s">
        <v>35</v>
      </c>
    </row>
    <row r="1629" spans="1:24" x14ac:dyDescent="0.3">
      <c r="A1629" s="1" t="str">
        <f t="shared" si="307"/>
        <v>59825</v>
      </c>
      <c r="B1629" s="1" t="s">
        <v>30</v>
      </c>
      <c r="C1629" s="1" t="s">
        <v>31</v>
      </c>
      <c r="D1629" s="1" t="str">
        <f t="shared" si="308"/>
        <v>9803</v>
      </c>
      <c r="E1629" s="1" t="s">
        <v>32</v>
      </c>
      <c r="F1629" s="1" t="str">
        <f>"2712738991"</f>
        <v>2712738991</v>
      </c>
      <c r="G1629" s="1" t="s">
        <v>33</v>
      </c>
      <c r="H1629" s="1" t="str">
        <f t="shared" si="304"/>
        <v>20220908</v>
      </c>
      <c r="I1629" s="1" t="str">
        <f>"113203"</f>
        <v>113203</v>
      </c>
      <c r="J1629" s="1" t="s">
        <v>28</v>
      </c>
      <c r="K1629" s="1" t="s">
        <v>28</v>
      </c>
      <c r="L1629" s="1" t="str">
        <f t="shared" si="305"/>
        <v>20220908</v>
      </c>
      <c r="M1629" s="1" t="str">
        <f>"115110"</f>
        <v>115110</v>
      </c>
      <c r="N1629" s="1" t="s">
        <v>89</v>
      </c>
      <c r="O1629" s="1" t="s">
        <v>28</v>
      </c>
      <c r="P1629" s="1" t="s">
        <v>55</v>
      </c>
      <c r="Q1629" s="1">
        <v>25</v>
      </c>
      <c r="R1629" s="1">
        <v>25</v>
      </c>
      <c r="S1629" s="1">
        <v>0</v>
      </c>
      <c r="T1629" s="1">
        <v>0</v>
      </c>
      <c r="U1629" s="1">
        <v>0</v>
      </c>
      <c r="V1629" s="1" t="str">
        <f t="shared" si="306"/>
        <v>里程去程</v>
      </c>
      <c r="W1629" s="1" t="str">
        <f>"2020"</f>
        <v>2020</v>
      </c>
      <c r="X1629" s="1" t="s">
        <v>35</v>
      </c>
    </row>
    <row r="1630" spans="1:24" x14ac:dyDescent="0.3">
      <c r="A1630" s="1" t="str">
        <f t="shared" si="307"/>
        <v>59825</v>
      </c>
      <c r="B1630" s="1" t="s">
        <v>30</v>
      </c>
      <c r="C1630" s="1" t="s">
        <v>31</v>
      </c>
      <c r="D1630" s="1" t="str">
        <f t="shared" si="308"/>
        <v>9803</v>
      </c>
      <c r="E1630" s="1" t="s">
        <v>32</v>
      </c>
      <c r="F1630" s="1" t="str">
        <f>"713021729"</f>
        <v>713021729</v>
      </c>
      <c r="G1630" s="1" t="s">
        <v>33</v>
      </c>
      <c r="H1630" s="1" t="str">
        <f t="shared" si="304"/>
        <v>20220908</v>
      </c>
      <c r="I1630" s="1" t="str">
        <f>"113228"</f>
        <v>113228</v>
      </c>
      <c r="J1630" s="1" t="s">
        <v>28</v>
      </c>
      <c r="K1630" s="1" t="s">
        <v>28</v>
      </c>
      <c r="L1630" s="1" t="str">
        <f t="shared" si="305"/>
        <v>20220908</v>
      </c>
      <c r="M1630" s="1" t="str">
        <f>"115249"</f>
        <v>115249</v>
      </c>
      <c r="N1630" s="1" t="s">
        <v>34</v>
      </c>
      <c r="O1630" s="1" t="s">
        <v>34</v>
      </c>
      <c r="P1630" s="1" t="s">
        <v>55</v>
      </c>
      <c r="Q1630" s="1">
        <v>25</v>
      </c>
      <c r="R1630" s="1">
        <v>25</v>
      </c>
      <c r="S1630" s="1">
        <v>0</v>
      </c>
      <c r="T1630" s="1">
        <v>0</v>
      </c>
      <c r="U1630" s="1">
        <v>0</v>
      </c>
      <c r="V1630" s="1" t="str">
        <f t="shared" si="306"/>
        <v>里程去程</v>
      </c>
      <c r="W1630" s="1" t="str">
        <f>"0120"</f>
        <v>0120</v>
      </c>
      <c r="X1630" s="1" t="s">
        <v>35</v>
      </c>
    </row>
    <row r="1631" spans="1:24" x14ac:dyDescent="0.3">
      <c r="A1631" s="1" t="str">
        <f t="shared" si="307"/>
        <v>59825</v>
      </c>
      <c r="B1631" s="1" t="s">
        <v>30</v>
      </c>
      <c r="C1631" s="1" t="s">
        <v>31</v>
      </c>
      <c r="D1631" s="1" t="str">
        <f t="shared" si="308"/>
        <v>9803</v>
      </c>
      <c r="E1631" s="1" t="s">
        <v>32</v>
      </c>
      <c r="F1631" s="1" t="str">
        <f>"1252635681"</f>
        <v>1252635681</v>
      </c>
      <c r="G1631" s="1" t="s">
        <v>33</v>
      </c>
      <c r="H1631" s="1" t="str">
        <f t="shared" si="304"/>
        <v>20220908</v>
      </c>
      <c r="I1631" s="1" t="str">
        <f>"113241"</f>
        <v>113241</v>
      </c>
      <c r="J1631" s="1" t="s">
        <v>28</v>
      </c>
      <c r="K1631" s="1" t="s">
        <v>28</v>
      </c>
      <c r="L1631" s="1" t="str">
        <f t="shared" ref="L1631:L1638" si="309">"20220908"</f>
        <v>20220908</v>
      </c>
      <c r="M1631" s="1" t="str">
        <f>"115246"</f>
        <v>115246</v>
      </c>
      <c r="N1631" s="1" t="s">
        <v>34</v>
      </c>
      <c r="O1631" s="1" t="s">
        <v>34</v>
      </c>
      <c r="P1631" s="1" t="s">
        <v>55</v>
      </c>
      <c r="Q1631" s="1">
        <v>25</v>
      </c>
      <c r="R1631" s="1">
        <v>25</v>
      </c>
      <c r="S1631" s="1">
        <v>0</v>
      </c>
      <c r="T1631" s="1">
        <v>0</v>
      </c>
      <c r="U1631" s="1">
        <v>0</v>
      </c>
      <c r="V1631" s="1" t="str">
        <f t="shared" si="306"/>
        <v>里程去程</v>
      </c>
      <c r="W1631" s="1" t="str">
        <f>"0820"</f>
        <v>0820</v>
      </c>
      <c r="X1631" s="1" t="s">
        <v>35</v>
      </c>
    </row>
    <row r="1632" spans="1:24" x14ac:dyDescent="0.3">
      <c r="A1632" s="1" t="str">
        <f t="shared" si="307"/>
        <v>59825</v>
      </c>
      <c r="B1632" s="1" t="s">
        <v>30</v>
      </c>
      <c r="C1632" s="1" t="s">
        <v>31</v>
      </c>
      <c r="D1632" s="1" t="str">
        <f t="shared" si="308"/>
        <v>9803</v>
      </c>
      <c r="E1632" s="1" t="s">
        <v>32</v>
      </c>
      <c r="F1632" s="1" t="str">
        <f>"1217B519A9880400C824002000000020"</f>
        <v>1217B519A9880400C824002000000020</v>
      </c>
      <c r="G1632" s="1" t="s">
        <v>58</v>
      </c>
      <c r="H1632" s="1" t="str">
        <f t="shared" si="304"/>
        <v>20220908</v>
      </c>
      <c r="I1632" s="1" t="str">
        <f>"113249"</f>
        <v>113249</v>
      </c>
      <c r="J1632" s="1" t="s">
        <v>28</v>
      </c>
      <c r="K1632" s="1" t="s">
        <v>28</v>
      </c>
      <c r="L1632" s="1" t="str">
        <f t="shared" si="309"/>
        <v>20220908</v>
      </c>
      <c r="M1632" s="1" t="str">
        <f>"115301"</f>
        <v>115301</v>
      </c>
      <c r="N1632" s="1" t="s">
        <v>34</v>
      </c>
      <c r="O1632" s="1" t="s">
        <v>34</v>
      </c>
      <c r="P1632" s="1" t="s">
        <v>55</v>
      </c>
      <c r="Q1632" s="1">
        <v>25</v>
      </c>
      <c r="R1632" s="1">
        <v>25</v>
      </c>
      <c r="S1632" s="1">
        <v>0</v>
      </c>
      <c r="T1632" s="1">
        <v>0</v>
      </c>
      <c r="U1632" s="1">
        <v>0</v>
      </c>
      <c r="V1632" s="1" t="str">
        <f t="shared" si="306"/>
        <v>里程去程</v>
      </c>
      <c r="W1632" s="1" t="str">
        <f>"0020"</f>
        <v>0020</v>
      </c>
      <c r="X1632" s="1" t="s">
        <v>29</v>
      </c>
    </row>
    <row r="1633" spans="1:24" x14ac:dyDescent="0.3">
      <c r="A1633" s="1" t="str">
        <f t="shared" si="307"/>
        <v>59825</v>
      </c>
      <c r="B1633" s="1" t="s">
        <v>30</v>
      </c>
      <c r="C1633" s="1" t="s">
        <v>31</v>
      </c>
      <c r="D1633" s="1" t="str">
        <f t="shared" si="308"/>
        <v>9803</v>
      </c>
      <c r="E1633" s="1" t="s">
        <v>32</v>
      </c>
      <c r="F1633" s="1" t="str">
        <f>"2129298890"</f>
        <v>2129298890</v>
      </c>
      <c r="G1633" s="1" t="s">
        <v>33</v>
      </c>
      <c r="H1633" s="1" t="str">
        <f t="shared" si="304"/>
        <v>20220908</v>
      </c>
      <c r="I1633" s="1" t="str">
        <f>"113302"</f>
        <v>113302</v>
      </c>
      <c r="J1633" s="1" t="s">
        <v>28</v>
      </c>
      <c r="K1633" s="1" t="s">
        <v>28</v>
      </c>
      <c r="L1633" s="1" t="str">
        <f t="shared" si="309"/>
        <v>20220908</v>
      </c>
      <c r="M1633" s="1" t="str">
        <f>"115253"</f>
        <v>115253</v>
      </c>
      <c r="N1633" s="1" t="s">
        <v>34</v>
      </c>
      <c r="O1633" s="1" t="s">
        <v>34</v>
      </c>
      <c r="P1633" s="1" t="s">
        <v>55</v>
      </c>
      <c r="Q1633" s="1">
        <v>25</v>
      </c>
      <c r="R1633" s="1">
        <v>25</v>
      </c>
      <c r="S1633" s="1">
        <v>0</v>
      </c>
      <c r="T1633" s="1">
        <v>0</v>
      </c>
      <c r="U1633" s="1">
        <v>0</v>
      </c>
      <c r="V1633" s="1" t="str">
        <f t="shared" si="306"/>
        <v>里程去程</v>
      </c>
      <c r="W1633" s="1" t="str">
        <f>"0120"</f>
        <v>0120</v>
      </c>
      <c r="X1633" s="1" t="s">
        <v>35</v>
      </c>
    </row>
    <row r="1634" spans="1:24" x14ac:dyDescent="0.3">
      <c r="A1634" s="1" t="str">
        <f t="shared" si="307"/>
        <v>59825</v>
      </c>
      <c r="B1634" s="1" t="s">
        <v>30</v>
      </c>
      <c r="C1634" s="1" t="s">
        <v>31</v>
      </c>
      <c r="D1634" s="1" t="str">
        <f t="shared" si="308"/>
        <v>9803</v>
      </c>
      <c r="E1634" s="1" t="s">
        <v>32</v>
      </c>
      <c r="F1634" s="1" t="str">
        <f>"218489889"</f>
        <v>218489889</v>
      </c>
      <c r="G1634" s="1" t="s">
        <v>33</v>
      </c>
      <c r="H1634" s="1" t="str">
        <f t="shared" si="304"/>
        <v>20220908</v>
      </c>
      <c r="I1634" s="1" t="str">
        <f>"113323"</f>
        <v>113323</v>
      </c>
      <c r="J1634" s="1" t="s">
        <v>28</v>
      </c>
      <c r="K1634" s="1" t="s">
        <v>28</v>
      </c>
      <c r="L1634" s="1" t="str">
        <f t="shared" si="309"/>
        <v>20220908</v>
      </c>
      <c r="M1634" s="1" t="str">
        <f>"115340"</f>
        <v>115340</v>
      </c>
      <c r="N1634" s="1" t="s">
        <v>34</v>
      </c>
      <c r="O1634" s="1" t="s">
        <v>34</v>
      </c>
      <c r="P1634" s="1" t="s">
        <v>55</v>
      </c>
      <c r="Q1634" s="1">
        <v>25</v>
      </c>
      <c r="R1634" s="1">
        <v>25</v>
      </c>
      <c r="S1634" s="1">
        <v>0</v>
      </c>
      <c r="T1634" s="1">
        <v>0</v>
      </c>
      <c r="U1634" s="1">
        <v>0</v>
      </c>
      <c r="V1634" s="1" t="str">
        <f t="shared" si="306"/>
        <v>里程去程</v>
      </c>
      <c r="W1634" s="1" t="str">
        <f>"0320"</f>
        <v>0320</v>
      </c>
      <c r="X1634" s="1" t="s">
        <v>35</v>
      </c>
    </row>
    <row r="1635" spans="1:24" x14ac:dyDescent="0.3">
      <c r="A1635" s="1" t="str">
        <f t="shared" si="307"/>
        <v>59825</v>
      </c>
      <c r="B1635" s="1" t="s">
        <v>30</v>
      </c>
      <c r="C1635" s="1" t="s">
        <v>31</v>
      </c>
      <c r="D1635" s="1" t="str">
        <f t="shared" si="308"/>
        <v>9803</v>
      </c>
      <c r="E1635" s="1" t="s">
        <v>32</v>
      </c>
      <c r="F1635" s="1" t="str">
        <f>"720BAD19CD880400C824002000000020"</f>
        <v>720BAD19CD880400C824002000000020</v>
      </c>
      <c r="G1635" s="1" t="s">
        <v>64</v>
      </c>
      <c r="H1635" s="1" t="str">
        <f t="shared" si="304"/>
        <v>20220908</v>
      </c>
      <c r="I1635" s="1" t="str">
        <f>"115507"</f>
        <v>115507</v>
      </c>
      <c r="J1635" s="1" t="s">
        <v>34</v>
      </c>
      <c r="K1635" s="1" t="s">
        <v>34</v>
      </c>
      <c r="L1635" s="1" t="str">
        <f t="shared" si="309"/>
        <v>20220908</v>
      </c>
      <c r="M1635" s="1" t="str">
        <f>"123024"</f>
        <v>123024</v>
      </c>
      <c r="N1635" s="1" t="s">
        <v>28</v>
      </c>
      <c r="O1635" s="1" t="s">
        <v>28</v>
      </c>
      <c r="P1635" s="1" t="s">
        <v>55</v>
      </c>
      <c r="Q1635" s="1">
        <v>13</v>
      </c>
      <c r="R1635" s="1">
        <v>13</v>
      </c>
      <c r="S1635" s="1">
        <v>0</v>
      </c>
      <c r="T1635" s="1">
        <v>0</v>
      </c>
      <c r="U1635" s="1">
        <v>0</v>
      </c>
      <c r="V1635" s="1" t="str">
        <f>"里程返程"</f>
        <v>里程返程</v>
      </c>
      <c r="W1635" s="1" t="str">
        <f>"0020"</f>
        <v>0020</v>
      </c>
      <c r="X1635" s="1" t="s">
        <v>29</v>
      </c>
    </row>
    <row r="1636" spans="1:24" x14ac:dyDescent="0.3">
      <c r="A1636" s="1" t="str">
        <f t="shared" si="307"/>
        <v>59825</v>
      </c>
      <c r="B1636" s="1" t="s">
        <v>30</v>
      </c>
      <c r="C1636" s="1" t="s">
        <v>31</v>
      </c>
      <c r="D1636" s="1" t="str">
        <f t="shared" si="308"/>
        <v>9803</v>
      </c>
      <c r="E1636" s="1" t="s">
        <v>32</v>
      </c>
      <c r="F1636" s="1" t="str">
        <f>"F9B6A40FE48804004326A4E600020211"</f>
        <v>F9B6A40FE48804004326A4E600020211</v>
      </c>
      <c r="G1636" s="1" t="s">
        <v>64</v>
      </c>
      <c r="H1636" s="1" t="str">
        <f t="shared" si="304"/>
        <v>20220908</v>
      </c>
      <c r="I1636" s="1" t="str">
        <f>"115511"</f>
        <v>115511</v>
      </c>
      <c r="J1636" s="1" t="s">
        <v>34</v>
      </c>
      <c r="K1636" s="1" t="s">
        <v>34</v>
      </c>
      <c r="L1636" s="1" t="str">
        <f t="shared" si="309"/>
        <v>20220908</v>
      </c>
      <c r="M1636" s="1" t="str">
        <f>"123013"</f>
        <v>123013</v>
      </c>
      <c r="N1636" s="1" t="s">
        <v>28</v>
      </c>
      <c r="O1636" s="1" t="s">
        <v>28</v>
      </c>
      <c r="P1636" s="1" t="s">
        <v>55</v>
      </c>
      <c r="Q1636" s="1">
        <v>13</v>
      </c>
      <c r="R1636" s="1">
        <v>13</v>
      </c>
      <c r="S1636" s="1">
        <v>0</v>
      </c>
      <c r="T1636" s="1">
        <v>0</v>
      </c>
      <c r="U1636" s="1">
        <v>0</v>
      </c>
      <c r="V1636" s="1" t="str">
        <f>"里程返程"</f>
        <v>里程返程</v>
      </c>
      <c r="W1636" s="1" t="str">
        <f>"0020"</f>
        <v>0020</v>
      </c>
      <c r="X1636" s="1" t="s">
        <v>29</v>
      </c>
    </row>
    <row r="1637" spans="1:24" x14ac:dyDescent="0.3">
      <c r="A1637" s="1" t="str">
        <f t="shared" si="307"/>
        <v>59825</v>
      </c>
      <c r="B1637" s="1" t="s">
        <v>30</v>
      </c>
      <c r="C1637" s="1" t="s">
        <v>31</v>
      </c>
      <c r="D1637" s="1" t="str">
        <f t="shared" si="308"/>
        <v>9803</v>
      </c>
      <c r="E1637" s="1" t="s">
        <v>32</v>
      </c>
      <c r="F1637" s="1" t="str">
        <f>"4516459C8A88040043265ABE00070710"</f>
        <v>4516459C8A88040043265ABE00070710</v>
      </c>
      <c r="G1637" s="1" t="s">
        <v>64</v>
      </c>
      <c r="H1637" s="1" t="str">
        <f t="shared" si="304"/>
        <v>20220908</v>
      </c>
      <c r="I1637" s="1" t="str">
        <f>"115514"</f>
        <v>115514</v>
      </c>
      <c r="J1637" s="1" t="s">
        <v>34</v>
      </c>
      <c r="K1637" s="1" t="s">
        <v>34</v>
      </c>
      <c r="L1637" s="1" t="str">
        <f t="shared" si="309"/>
        <v>20220908</v>
      </c>
      <c r="M1637" s="1" t="str">
        <f>"121612"</f>
        <v>121612</v>
      </c>
      <c r="N1637" s="1" t="s">
        <v>46</v>
      </c>
      <c r="O1637" s="1" t="s">
        <v>28</v>
      </c>
      <c r="P1637" s="1" t="s">
        <v>55</v>
      </c>
      <c r="Q1637" s="1">
        <v>13</v>
      </c>
      <c r="R1637" s="1">
        <v>13</v>
      </c>
      <c r="S1637" s="1">
        <v>0</v>
      </c>
      <c r="T1637" s="1">
        <v>0</v>
      </c>
      <c r="U1637" s="1">
        <v>0</v>
      </c>
      <c r="V1637" s="1" t="str">
        <f>"里程返程"</f>
        <v>里程返程</v>
      </c>
      <c r="W1637" s="1" t="str">
        <f>"0020"</f>
        <v>0020</v>
      </c>
      <c r="X1637" s="1" t="s">
        <v>29</v>
      </c>
    </row>
    <row r="1638" spans="1:24" x14ac:dyDescent="0.3">
      <c r="A1638" s="1" t="str">
        <f t="shared" si="307"/>
        <v>59825</v>
      </c>
      <c r="B1638" s="1" t="s">
        <v>30</v>
      </c>
      <c r="C1638" s="1" t="s">
        <v>31</v>
      </c>
      <c r="D1638" s="1" t="str">
        <f t="shared" si="308"/>
        <v>9803</v>
      </c>
      <c r="E1638" s="1" t="s">
        <v>32</v>
      </c>
      <c r="F1638" s="1" t="str">
        <f>"821EA21927880400C824002000000020"</f>
        <v>821EA21927880400C824002000000020</v>
      </c>
      <c r="G1638" s="1" t="s">
        <v>64</v>
      </c>
      <c r="H1638" s="1" t="str">
        <f t="shared" si="304"/>
        <v>20220908</v>
      </c>
      <c r="I1638" s="1" t="str">
        <f>"115519"</f>
        <v>115519</v>
      </c>
      <c r="J1638" s="1" t="s">
        <v>34</v>
      </c>
      <c r="K1638" s="1" t="s">
        <v>34</v>
      </c>
      <c r="L1638" s="1" t="str">
        <f t="shared" si="309"/>
        <v>20220908</v>
      </c>
      <c r="M1638" s="1" t="str">
        <f>"121545"</f>
        <v>121545</v>
      </c>
      <c r="N1638" s="1" t="s">
        <v>46</v>
      </c>
      <c r="O1638" s="1" t="s">
        <v>28</v>
      </c>
      <c r="P1638" s="1" t="s">
        <v>55</v>
      </c>
      <c r="Q1638" s="1">
        <v>13</v>
      </c>
      <c r="R1638" s="1">
        <v>13</v>
      </c>
      <c r="S1638" s="1">
        <v>0</v>
      </c>
      <c r="T1638" s="1">
        <v>0</v>
      </c>
      <c r="U1638" s="1">
        <v>0</v>
      </c>
      <c r="V1638" s="1" t="str">
        <f>"里程返程"</f>
        <v>里程返程</v>
      </c>
      <c r="W1638" s="1" t="str">
        <f>"0020"</f>
        <v>0020</v>
      </c>
      <c r="X1638" s="1" t="s">
        <v>29</v>
      </c>
    </row>
    <row r="1639" spans="1:24" x14ac:dyDescent="0.3">
      <c r="A1639" s="1" t="str">
        <f t="shared" si="307"/>
        <v>59825</v>
      </c>
      <c r="B1639" s="1" t="s">
        <v>30</v>
      </c>
      <c r="C1639" s="1" t="s">
        <v>31</v>
      </c>
      <c r="D1639" s="1" t="str">
        <f t="shared" si="308"/>
        <v>9803</v>
      </c>
      <c r="E1639" s="1" t="s">
        <v>32</v>
      </c>
      <c r="F1639" s="1" t="str">
        <f>"2712738991"</f>
        <v>2712738991</v>
      </c>
      <c r="G1639" s="1" t="s">
        <v>33</v>
      </c>
      <c r="H1639" s="1" t="str">
        <f t="shared" si="304"/>
        <v>20220908</v>
      </c>
      <c r="I1639" s="1" t="str">
        <f>"120046"</f>
        <v>120046</v>
      </c>
      <c r="J1639" s="1" t="s">
        <v>34</v>
      </c>
      <c r="K1639" s="1" t="s">
        <v>34</v>
      </c>
      <c r="L1639" s="1" t="str">
        <f>""</f>
        <v/>
      </c>
      <c r="M1639" s="1" t="str">
        <f>""</f>
        <v/>
      </c>
      <c r="P1639" s="1" t="s">
        <v>88</v>
      </c>
      <c r="Q1639" s="1">
        <v>25</v>
      </c>
      <c r="R1639" s="1">
        <v>25</v>
      </c>
      <c r="S1639" s="1">
        <v>0</v>
      </c>
      <c r="T1639" s="1">
        <v>0</v>
      </c>
      <c r="U1639" s="1">
        <v>0</v>
      </c>
      <c r="V1639" s="1" t="str">
        <f>"里程返程"</f>
        <v>里程返程</v>
      </c>
      <c r="W1639" s="1" t="str">
        <f>"2020"</f>
        <v>2020</v>
      </c>
      <c r="X1639" s="1" t="s">
        <v>35</v>
      </c>
    </row>
    <row r="1640" spans="1:24" x14ac:dyDescent="0.3">
      <c r="A1640" s="1" t="str">
        <f t="shared" si="307"/>
        <v>59825</v>
      </c>
      <c r="B1640" s="1" t="s">
        <v>30</v>
      </c>
      <c r="C1640" s="1" t="s">
        <v>31</v>
      </c>
      <c r="D1640" s="1" t="str">
        <f t="shared" si="308"/>
        <v>9803</v>
      </c>
      <c r="E1640" s="1" t="s">
        <v>32</v>
      </c>
      <c r="F1640" s="1" t="str">
        <f>"1123924641"</f>
        <v>1123924641</v>
      </c>
      <c r="G1640" s="1" t="s">
        <v>33</v>
      </c>
      <c r="H1640" s="1" t="str">
        <f t="shared" si="304"/>
        <v>20220908</v>
      </c>
      <c r="I1640" s="1" t="str">
        <f>"123100"</f>
        <v>123100</v>
      </c>
      <c r="J1640" s="1" t="s">
        <v>28</v>
      </c>
      <c r="K1640" s="1" t="s">
        <v>28</v>
      </c>
      <c r="L1640" s="1" t="str">
        <f t="shared" ref="L1640:L1671" si="310">"20220908"</f>
        <v>20220908</v>
      </c>
      <c r="M1640" s="1" t="str">
        <f>"125328"</f>
        <v>125328</v>
      </c>
      <c r="N1640" s="1" t="s">
        <v>34</v>
      </c>
      <c r="O1640" s="1" t="s">
        <v>34</v>
      </c>
      <c r="P1640" s="1" t="s">
        <v>55</v>
      </c>
      <c r="Q1640" s="1">
        <v>25</v>
      </c>
      <c r="R1640" s="1">
        <v>25</v>
      </c>
      <c r="S1640" s="1">
        <v>0</v>
      </c>
      <c r="T1640" s="1">
        <v>0</v>
      </c>
      <c r="U1640" s="1">
        <v>0</v>
      </c>
      <c r="V1640" s="1" t="str">
        <f t="shared" ref="V1640:V1647" si="311">"里程去程"</f>
        <v>里程去程</v>
      </c>
      <c r="W1640" s="1" t="str">
        <f>"0c20"</f>
        <v>0c20</v>
      </c>
      <c r="X1640" s="1" t="s">
        <v>35</v>
      </c>
    </row>
    <row r="1641" spans="1:24" x14ac:dyDescent="0.3">
      <c r="A1641" s="1" t="str">
        <f t="shared" si="307"/>
        <v>59825</v>
      </c>
      <c r="B1641" s="1" t="s">
        <v>30</v>
      </c>
      <c r="C1641" s="1" t="s">
        <v>31</v>
      </c>
      <c r="D1641" s="1" t="str">
        <f t="shared" si="308"/>
        <v>9803</v>
      </c>
      <c r="E1641" s="1" t="s">
        <v>32</v>
      </c>
      <c r="F1641" s="1" t="str">
        <f>"638116175"</f>
        <v>638116175</v>
      </c>
      <c r="G1641" s="1" t="s">
        <v>33</v>
      </c>
      <c r="H1641" s="1" t="str">
        <f t="shared" si="304"/>
        <v>20220908</v>
      </c>
      <c r="I1641" s="1" t="str">
        <f>"123105"</f>
        <v>123105</v>
      </c>
      <c r="J1641" s="1" t="s">
        <v>28</v>
      </c>
      <c r="K1641" s="1" t="s">
        <v>28</v>
      </c>
      <c r="L1641" s="1" t="str">
        <f t="shared" si="310"/>
        <v>20220908</v>
      </c>
      <c r="M1641" s="1" t="str">
        <f>"125324"</f>
        <v>125324</v>
      </c>
      <c r="N1641" s="1" t="s">
        <v>34</v>
      </c>
      <c r="O1641" s="1" t="s">
        <v>34</v>
      </c>
      <c r="P1641" s="1" t="s">
        <v>55</v>
      </c>
      <c r="Q1641" s="1">
        <v>25</v>
      </c>
      <c r="R1641" s="1">
        <v>25</v>
      </c>
      <c r="S1641" s="1">
        <v>0</v>
      </c>
      <c r="T1641" s="1">
        <v>0</v>
      </c>
      <c r="U1641" s="1">
        <v>0</v>
      </c>
      <c r="V1641" s="1" t="str">
        <f t="shared" si="311"/>
        <v>里程去程</v>
      </c>
      <c r="W1641" s="1" t="str">
        <f>"0c20"</f>
        <v>0c20</v>
      </c>
      <c r="X1641" s="1" t="s">
        <v>35</v>
      </c>
    </row>
    <row r="1642" spans="1:24" x14ac:dyDescent="0.3">
      <c r="A1642" s="1" t="str">
        <f t="shared" si="307"/>
        <v>59825</v>
      </c>
      <c r="B1642" s="1" t="s">
        <v>30</v>
      </c>
      <c r="C1642" s="1" t="s">
        <v>31</v>
      </c>
      <c r="D1642" s="1" t="str">
        <f t="shared" si="308"/>
        <v>9803</v>
      </c>
      <c r="E1642" s="1" t="s">
        <v>32</v>
      </c>
      <c r="F1642" s="1" t="str">
        <f>"723142805"</f>
        <v>723142805</v>
      </c>
      <c r="G1642" s="1" t="s">
        <v>33</v>
      </c>
      <c r="H1642" s="1" t="str">
        <f t="shared" si="304"/>
        <v>20220908</v>
      </c>
      <c r="I1642" s="1" t="str">
        <f>"123110"</f>
        <v>123110</v>
      </c>
      <c r="J1642" s="1" t="s">
        <v>28</v>
      </c>
      <c r="K1642" s="1" t="s">
        <v>28</v>
      </c>
      <c r="L1642" s="1" t="str">
        <f t="shared" si="310"/>
        <v>20220908</v>
      </c>
      <c r="M1642" s="1" t="str">
        <f>"125336"</f>
        <v>125336</v>
      </c>
      <c r="N1642" s="1" t="s">
        <v>34</v>
      </c>
      <c r="O1642" s="1" t="s">
        <v>34</v>
      </c>
      <c r="P1642" s="1" t="s">
        <v>55</v>
      </c>
      <c r="Q1642" s="1">
        <v>25</v>
      </c>
      <c r="R1642" s="1">
        <v>0</v>
      </c>
      <c r="S1642" s="1">
        <v>25</v>
      </c>
      <c r="T1642" s="1">
        <v>0</v>
      </c>
      <c r="U1642" s="1">
        <v>0</v>
      </c>
      <c r="V1642" s="1" t="str">
        <f t="shared" si="311"/>
        <v>里程去程</v>
      </c>
      <c r="W1642" s="1" t="str">
        <f>"0820"</f>
        <v>0820</v>
      </c>
      <c r="X1642" s="1" t="s">
        <v>35</v>
      </c>
    </row>
    <row r="1643" spans="1:24" x14ac:dyDescent="0.3">
      <c r="A1643" s="1" t="str">
        <f t="shared" si="307"/>
        <v>59825</v>
      </c>
      <c r="B1643" s="1" t="s">
        <v>30</v>
      </c>
      <c r="C1643" s="1" t="s">
        <v>31</v>
      </c>
      <c r="D1643" s="1" t="str">
        <f t="shared" si="308"/>
        <v>9803</v>
      </c>
      <c r="E1643" s="1" t="s">
        <v>32</v>
      </c>
      <c r="F1643" s="1" t="str">
        <f>"1138425013"</f>
        <v>1138425013</v>
      </c>
      <c r="G1643" s="1" t="s">
        <v>33</v>
      </c>
      <c r="H1643" s="1" t="str">
        <f t="shared" si="304"/>
        <v>20220908</v>
      </c>
      <c r="I1643" s="1" t="str">
        <f>"123116"</f>
        <v>123116</v>
      </c>
      <c r="J1643" s="1" t="s">
        <v>28</v>
      </c>
      <c r="K1643" s="1" t="s">
        <v>28</v>
      </c>
      <c r="L1643" s="1" t="str">
        <f t="shared" si="310"/>
        <v>20220908</v>
      </c>
      <c r="M1643" s="1" t="str">
        <f>"125333"</f>
        <v>125333</v>
      </c>
      <c r="N1643" s="1" t="s">
        <v>34</v>
      </c>
      <c r="O1643" s="1" t="s">
        <v>34</v>
      </c>
      <c r="P1643" s="1" t="s">
        <v>55</v>
      </c>
      <c r="Q1643" s="1">
        <v>25</v>
      </c>
      <c r="R1643" s="1">
        <v>0</v>
      </c>
      <c r="S1643" s="1">
        <v>25</v>
      </c>
      <c r="T1643" s="1">
        <v>0</v>
      </c>
      <c r="U1643" s="1">
        <v>0</v>
      </c>
      <c r="V1643" s="1" t="str">
        <f t="shared" si="311"/>
        <v>里程去程</v>
      </c>
      <c r="W1643" s="1" t="str">
        <f>"0820"</f>
        <v>0820</v>
      </c>
      <c r="X1643" s="1" t="s">
        <v>35</v>
      </c>
    </row>
    <row r="1644" spans="1:24" x14ac:dyDescent="0.3">
      <c r="A1644" s="1" t="str">
        <f t="shared" si="307"/>
        <v>59825</v>
      </c>
      <c r="B1644" s="1" t="s">
        <v>30</v>
      </c>
      <c r="C1644" s="1" t="s">
        <v>31</v>
      </c>
      <c r="D1644" s="1" t="str">
        <f t="shared" si="308"/>
        <v>9803</v>
      </c>
      <c r="E1644" s="1" t="s">
        <v>32</v>
      </c>
      <c r="F1644" s="1" t="str">
        <f>"E1C1343A2E2804001C00000000000000"</f>
        <v>E1C1343A2E2804001C00000000000000</v>
      </c>
      <c r="G1644" s="1" t="s">
        <v>58</v>
      </c>
      <c r="H1644" s="1" t="str">
        <f t="shared" si="304"/>
        <v>20220908</v>
      </c>
      <c r="I1644" s="1" t="str">
        <f>"123123"</f>
        <v>123123</v>
      </c>
      <c r="J1644" s="1" t="s">
        <v>28</v>
      </c>
      <c r="K1644" s="1" t="s">
        <v>28</v>
      </c>
      <c r="L1644" s="1" t="str">
        <f t="shared" si="310"/>
        <v>20220908</v>
      </c>
      <c r="M1644" s="1" t="str">
        <f>"125318"</f>
        <v>125318</v>
      </c>
      <c r="N1644" s="1" t="s">
        <v>34</v>
      </c>
      <c r="O1644" s="1" t="s">
        <v>34</v>
      </c>
      <c r="P1644" s="1" t="s">
        <v>55</v>
      </c>
      <c r="Q1644" s="1">
        <v>25</v>
      </c>
      <c r="R1644" s="1">
        <v>25</v>
      </c>
      <c r="S1644" s="1">
        <v>0</v>
      </c>
      <c r="T1644" s="1">
        <v>0</v>
      </c>
      <c r="U1644" s="1">
        <v>0</v>
      </c>
      <c r="V1644" s="1" t="str">
        <f t="shared" si="311"/>
        <v>里程去程</v>
      </c>
      <c r="W1644" s="1" t="str">
        <f>"0020"</f>
        <v>0020</v>
      </c>
      <c r="X1644" s="1" t="s">
        <v>29</v>
      </c>
    </row>
    <row r="1645" spans="1:24" x14ac:dyDescent="0.3">
      <c r="A1645" s="1" t="str">
        <f t="shared" si="307"/>
        <v>59825</v>
      </c>
      <c r="B1645" s="1" t="s">
        <v>30</v>
      </c>
      <c r="C1645" s="1" t="s">
        <v>31</v>
      </c>
      <c r="D1645" s="1" t="str">
        <f t="shared" si="308"/>
        <v>9803</v>
      </c>
      <c r="E1645" s="1" t="s">
        <v>32</v>
      </c>
      <c r="F1645" s="1" t="str">
        <f>"848982305"</f>
        <v>848982305</v>
      </c>
      <c r="G1645" s="1" t="s">
        <v>33</v>
      </c>
      <c r="H1645" s="1" t="str">
        <f t="shared" si="304"/>
        <v>20220908</v>
      </c>
      <c r="I1645" s="1" t="str">
        <f>"123127"</f>
        <v>123127</v>
      </c>
      <c r="J1645" s="1" t="s">
        <v>28</v>
      </c>
      <c r="K1645" s="1" t="s">
        <v>28</v>
      </c>
      <c r="L1645" s="1" t="str">
        <f t="shared" si="310"/>
        <v>20220908</v>
      </c>
      <c r="M1645" s="1" t="str">
        <f>"125322"</f>
        <v>125322</v>
      </c>
      <c r="N1645" s="1" t="s">
        <v>34</v>
      </c>
      <c r="O1645" s="1" t="s">
        <v>34</v>
      </c>
      <c r="P1645" s="1" t="s">
        <v>55</v>
      </c>
      <c r="Q1645" s="1">
        <v>25</v>
      </c>
      <c r="R1645" s="1">
        <v>25</v>
      </c>
      <c r="S1645" s="1">
        <v>0</v>
      </c>
      <c r="T1645" s="1">
        <v>0</v>
      </c>
      <c r="U1645" s="1">
        <v>0</v>
      </c>
      <c r="V1645" s="1" t="str">
        <f t="shared" si="311"/>
        <v>里程去程</v>
      </c>
      <c r="W1645" s="1" t="str">
        <f>"0120"</f>
        <v>0120</v>
      </c>
      <c r="X1645" s="1" t="s">
        <v>35</v>
      </c>
    </row>
    <row r="1646" spans="1:24" x14ac:dyDescent="0.3">
      <c r="A1646" s="1" t="str">
        <f t="shared" si="307"/>
        <v>59825</v>
      </c>
      <c r="B1646" s="1" t="s">
        <v>30</v>
      </c>
      <c r="C1646" s="1" t="s">
        <v>31</v>
      </c>
      <c r="D1646" s="1" t="str">
        <f t="shared" si="308"/>
        <v>9803</v>
      </c>
      <c r="E1646" s="1" t="s">
        <v>32</v>
      </c>
      <c r="F1646" s="1" t="str">
        <f>"A15953238888040043281482000F0112"</f>
        <v>A15953238888040043281482000F0112</v>
      </c>
      <c r="G1646" s="1" t="s">
        <v>64</v>
      </c>
      <c r="H1646" s="1" t="str">
        <f t="shared" si="304"/>
        <v>20220908</v>
      </c>
      <c r="I1646" s="1" t="str">
        <f>"124442"</f>
        <v>124442</v>
      </c>
      <c r="J1646" s="1" t="s">
        <v>46</v>
      </c>
      <c r="K1646" s="1" t="s">
        <v>28</v>
      </c>
      <c r="L1646" s="1" t="str">
        <f t="shared" si="310"/>
        <v>20220908</v>
      </c>
      <c r="M1646" s="1" t="str">
        <f>"125313"</f>
        <v>125313</v>
      </c>
      <c r="N1646" s="1" t="s">
        <v>34</v>
      </c>
      <c r="O1646" s="1" t="s">
        <v>34</v>
      </c>
      <c r="P1646" s="1" t="s">
        <v>55</v>
      </c>
      <c r="Q1646" s="1">
        <v>13</v>
      </c>
      <c r="R1646" s="1">
        <v>13</v>
      </c>
      <c r="S1646" s="1">
        <v>0</v>
      </c>
      <c r="T1646" s="1">
        <v>0</v>
      </c>
      <c r="U1646" s="1">
        <v>0</v>
      </c>
      <c r="V1646" s="1" t="str">
        <f t="shared" si="311"/>
        <v>里程去程</v>
      </c>
      <c r="W1646" s="1" t="str">
        <f>"0020"</f>
        <v>0020</v>
      </c>
      <c r="X1646" s="1" t="s">
        <v>29</v>
      </c>
    </row>
    <row r="1647" spans="1:24" x14ac:dyDescent="0.3">
      <c r="A1647" s="1" t="str">
        <f t="shared" si="307"/>
        <v>59825</v>
      </c>
      <c r="B1647" s="1" t="s">
        <v>30</v>
      </c>
      <c r="C1647" s="1" t="s">
        <v>31</v>
      </c>
      <c r="D1647" s="1" t="str">
        <f t="shared" si="308"/>
        <v>9803</v>
      </c>
      <c r="E1647" s="1" t="s">
        <v>32</v>
      </c>
      <c r="F1647" s="1" t="str">
        <f>"A13C5B00C68804004324714D000D080E"</f>
        <v>A13C5B00C68804004324714D000D080E</v>
      </c>
      <c r="G1647" s="1" t="s">
        <v>26</v>
      </c>
      <c r="H1647" s="1" t="str">
        <f t="shared" si="304"/>
        <v>20220908</v>
      </c>
      <c r="I1647" s="1" t="str">
        <f>"124454"</f>
        <v>124454</v>
      </c>
      <c r="J1647" s="1" t="s">
        <v>46</v>
      </c>
      <c r="K1647" s="1" t="s">
        <v>28</v>
      </c>
      <c r="L1647" s="1" t="str">
        <f t="shared" si="310"/>
        <v>20220908</v>
      </c>
      <c r="M1647" s="1" t="str">
        <f>"125305"</f>
        <v>125305</v>
      </c>
      <c r="N1647" s="1" t="s">
        <v>34</v>
      </c>
      <c r="O1647" s="1" t="s">
        <v>34</v>
      </c>
      <c r="P1647" s="1" t="s">
        <v>55</v>
      </c>
      <c r="Q1647" s="1">
        <v>13</v>
      </c>
      <c r="R1647" s="1">
        <v>13</v>
      </c>
      <c r="S1647" s="1">
        <v>0</v>
      </c>
      <c r="T1647" s="1">
        <v>0</v>
      </c>
      <c r="U1647" s="1">
        <v>0</v>
      </c>
      <c r="V1647" s="1" t="str">
        <f t="shared" si="311"/>
        <v>里程去程</v>
      </c>
      <c r="W1647" s="1" t="str">
        <f>"0020"</f>
        <v>0020</v>
      </c>
      <c r="X1647" s="1" t="s">
        <v>29</v>
      </c>
    </row>
    <row r="1648" spans="1:24" x14ac:dyDescent="0.3">
      <c r="A1648" s="1" t="str">
        <f t="shared" si="307"/>
        <v>59825</v>
      </c>
      <c r="B1648" s="1" t="s">
        <v>30</v>
      </c>
      <c r="C1648" s="1" t="s">
        <v>31</v>
      </c>
      <c r="D1648" s="1" t="str">
        <f t="shared" si="308"/>
        <v>9803</v>
      </c>
      <c r="E1648" s="1" t="s">
        <v>32</v>
      </c>
      <c r="F1648" s="1" t="str">
        <f>"3818428366"</f>
        <v>3818428366</v>
      </c>
      <c r="G1648" s="1" t="s">
        <v>33</v>
      </c>
      <c r="H1648" s="1" t="str">
        <f t="shared" si="304"/>
        <v>20220908</v>
      </c>
      <c r="I1648" s="1" t="str">
        <f>"125450"</f>
        <v>125450</v>
      </c>
      <c r="J1648" s="1" t="s">
        <v>34</v>
      </c>
      <c r="K1648" s="1" t="s">
        <v>34</v>
      </c>
      <c r="L1648" s="1" t="str">
        <f t="shared" si="310"/>
        <v>20220908</v>
      </c>
      <c r="M1648" s="1" t="str">
        <f>"132133"</f>
        <v>132133</v>
      </c>
      <c r="N1648" s="1" t="s">
        <v>28</v>
      </c>
      <c r="O1648" s="1" t="s">
        <v>28</v>
      </c>
      <c r="P1648" s="1" t="s">
        <v>55</v>
      </c>
      <c r="Q1648" s="1">
        <v>25</v>
      </c>
      <c r="R1648" s="1">
        <v>25</v>
      </c>
      <c r="S1648" s="1">
        <v>0</v>
      </c>
      <c r="T1648" s="1">
        <v>0</v>
      </c>
      <c r="U1648" s="1">
        <v>0</v>
      </c>
      <c r="V1648" s="1" t="str">
        <f t="shared" ref="V1648:V1657" si="312">"里程返程"</f>
        <v>里程返程</v>
      </c>
      <c r="W1648" s="1" t="str">
        <f>"2020"</f>
        <v>2020</v>
      </c>
      <c r="X1648" s="1" t="s">
        <v>35</v>
      </c>
    </row>
    <row r="1649" spans="1:24" x14ac:dyDescent="0.3">
      <c r="A1649" s="1" t="str">
        <f t="shared" si="307"/>
        <v>59825</v>
      </c>
      <c r="B1649" s="1" t="s">
        <v>30</v>
      </c>
      <c r="C1649" s="1" t="s">
        <v>31</v>
      </c>
      <c r="D1649" s="1" t="str">
        <f t="shared" si="308"/>
        <v>9803</v>
      </c>
      <c r="E1649" s="1" t="s">
        <v>32</v>
      </c>
      <c r="F1649" s="1" t="str">
        <f>"D722CE467D8804004324AD6B00160B0E"</f>
        <v>D722CE467D8804004324AD6B00160B0E</v>
      </c>
      <c r="G1649" s="1" t="s">
        <v>58</v>
      </c>
      <c r="H1649" s="1" t="str">
        <f t="shared" si="304"/>
        <v>20220908</v>
      </c>
      <c r="I1649" s="1" t="str">
        <f>"125459"</f>
        <v>125459</v>
      </c>
      <c r="J1649" s="1" t="s">
        <v>34</v>
      </c>
      <c r="K1649" s="1" t="s">
        <v>34</v>
      </c>
      <c r="L1649" s="1" t="str">
        <f t="shared" si="310"/>
        <v>20220908</v>
      </c>
      <c r="M1649" s="1" t="str">
        <f>"132136"</f>
        <v>132136</v>
      </c>
      <c r="N1649" s="1" t="s">
        <v>28</v>
      </c>
      <c r="O1649" s="1" t="s">
        <v>28</v>
      </c>
      <c r="P1649" s="1" t="s">
        <v>55</v>
      </c>
      <c r="Q1649" s="1">
        <v>25</v>
      </c>
      <c r="R1649" s="1">
        <v>25</v>
      </c>
      <c r="S1649" s="1">
        <v>0</v>
      </c>
      <c r="T1649" s="1">
        <v>0</v>
      </c>
      <c r="U1649" s="1">
        <v>0</v>
      </c>
      <c r="V1649" s="1" t="str">
        <f t="shared" si="312"/>
        <v>里程返程</v>
      </c>
      <c r="W1649" s="1" t="str">
        <f>"0020"</f>
        <v>0020</v>
      </c>
      <c r="X1649" s="1" t="s">
        <v>29</v>
      </c>
    </row>
    <row r="1650" spans="1:24" x14ac:dyDescent="0.3">
      <c r="A1650" s="1" t="str">
        <f t="shared" si="307"/>
        <v>59825</v>
      </c>
      <c r="B1650" s="1" t="s">
        <v>30</v>
      </c>
      <c r="C1650" s="1" t="s">
        <v>31</v>
      </c>
      <c r="D1650" s="1" t="str">
        <f t="shared" si="308"/>
        <v>9803</v>
      </c>
      <c r="E1650" s="1" t="s">
        <v>32</v>
      </c>
      <c r="F1650" s="1" t="str">
        <f>"1237466321"</f>
        <v>1237466321</v>
      </c>
      <c r="G1650" s="1" t="s">
        <v>33</v>
      </c>
      <c r="H1650" s="1" t="str">
        <f t="shared" si="304"/>
        <v>20220908</v>
      </c>
      <c r="I1650" s="1" t="str">
        <f>"125515"</f>
        <v>125515</v>
      </c>
      <c r="J1650" s="1" t="s">
        <v>34</v>
      </c>
      <c r="K1650" s="1" t="s">
        <v>34</v>
      </c>
      <c r="L1650" s="1" t="str">
        <f t="shared" si="310"/>
        <v>20220908</v>
      </c>
      <c r="M1650" s="1" t="str">
        <f>"132114"</f>
        <v>132114</v>
      </c>
      <c r="N1650" s="1" t="s">
        <v>28</v>
      </c>
      <c r="O1650" s="1" t="s">
        <v>28</v>
      </c>
      <c r="P1650" s="1" t="s">
        <v>55</v>
      </c>
      <c r="Q1650" s="1">
        <v>25</v>
      </c>
      <c r="R1650" s="1">
        <v>25</v>
      </c>
      <c r="S1650" s="1">
        <v>0</v>
      </c>
      <c r="T1650" s="1">
        <v>0</v>
      </c>
      <c r="U1650" s="1">
        <v>0</v>
      </c>
      <c r="V1650" s="1" t="str">
        <f t="shared" si="312"/>
        <v>里程返程</v>
      </c>
      <c r="W1650" s="1" t="str">
        <f>"2020"</f>
        <v>2020</v>
      </c>
      <c r="X1650" s="1" t="s">
        <v>35</v>
      </c>
    </row>
    <row r="1651" spans="1:24" x14ac:dyDescent="0.3">
      <c r="A1651" s="1" t="str">
        <f t="shared" si="307"/>
        <v>59825</v>
      </c>
      <c r="B1651" s="1" t="s">
        <v>30</v>
      </c>
      <c r="C1651" s="1" t="s">
        <v>31</v>
      </c>
      <c r="D1651" s="1" t="str">
        <f t="shared" si="308"/>
        <v>9803</v>
      </c>
      <c r="E1651" s="1" t="s">
        <v>32</v>
      </c>
      <c r="F1651" s="1" t="str">
        <f>"821EA21927880400C824002000000020"</f>
        <v>821EA21927880400C824002000000020</v>
      </c>
      <c r="G1651" s="1" t="s">
        <v>64</v>
      </c>
      <c r="H1651" s="1" t="str">
        <f t="shared" si="304"/>
        <v>20220908</v>
      </c>
      <c r="I1651" s="1" t="str">
        <f>"131249"</f>
        <v>131249</v>
      </c>
      <c r="J1651" s="1" t="s">
        <v>46</v>
      </c>
      <c r="K1651" s="1" t="s">
        <v>28</v>
      </c>
      <c r="L1651" s="1" t="str">
        <f t="shared" si="310"/>
        <v>20220908</v>
      </c>
      <c r="M1651" s="1" t="str">
        <f>"132129"</f>
        <v>132129</v>
      </c>
      <c r="N1651" s="1" t="s">
        <v>28</v>
      </c>
      <c r="O1651" s="1" t="s">
        <v>28</v>
      </c>
      <c r="P1651" s="1" t="s">
        <v>55</v>
      </c>
      <c r="Q1651" s="1">
        <v>13</v>
      </c>
      <c r="R1651" s="1">
        <v>13</v>
      </c>
      <c r="S1651" s="1">
        <v>0</v>
      </c>
      <c r="T1651" s="1">
        <v>0</v>
      </c>
      <c r="U1651" s="1">
        <v>0</v>
      </c>
      <c r="V1651" s="1" t="str">
        <f t="shared" si="312"/>
        <v>里程返程</v>
      </c>
      <c r="W1651" s="1" t="str">
        <f>"0020"</f>
        <v>0020</v>
      </c>
      <c r="X1651" s="1" t="s">
        <v>29</v>
      </c>
    </row>
    <row r="1652" spans="1:24" x14ac:dyDescent="0.3">
      <c r="A1652" s="1" t="str">
        <f t="shared" si="307"/>
        <v>59825</v>
      </c>
      <c r="B1652" s="1" t="s">
        <v>30</v>
      </c>
      <c r="C1652" s="1" t="s">
        <v>31</v>
      </c>
      <c r="D1652" s="1" t="str">
        <f t="shared" si="308"/>
        <v>9803</v>
      </c>
      <c r="E1652" s="1" t="s">
        <v>32</v>
      </c>
      <c r="F1652" s="1" t="str">
        <f>"4516459C8A88040043265ABE00070710"</f>
        <v>4516459C8A88040043265ABE00070710</v>
      </c>
      <c r="G1652" s="1" t="s">
        <v>64</v>
      </c>
      <c r="H1652" s="1" t="str">
        <f t="shared" si="304"/>
        <v>20220908</v>
      </c>
      <c r="I1652" s="1" t="str">
        <f>"131252"</f>
        <v>131252</v>
      </c>
      <c r="J1652" s="1" t="s">
        <v>46</v>
      </c>
      <c r="K1652" s="1" t="s">
        <v>28</v>
      </c>
      <c r="L1652" s="1" t="str">
        <f t="shared" si="310"/>
        <v>20220908</v>
      </c>
      <c r="M1652" s="1" t="str">
        <f>"132127"</f>
        <v>132127</v>
      </c>
      <c r="N1652" s="1" t="s">
        <v>28</v>
      </c>
      <c r="O1652" s="1" t="s">
        <v>28</v>
      </c>
      <c r="P1652" s="1" t="s">
        <v>55</v>
      </c>
      <c r="Q1652" s="1">
        <v>13</v>
      </c>
      <c r="R1652" s="1">
        <v>13</v>
      </c>
      <c r="S1652" s="1">
        <v>0</v>
      </c>
      <c r="T1652" s="1">
        <v>0</v>
      </c>
      <c r="U1652" s="1">
        <v>0</v>
      </c>
      <c r="V1652" s="1" t="str">
        <f t="shared" si="312"/>
        <v>里程返程</v>
      </c>
      <c r="W1652" s="1" t="str">
        <f>"0020"</f>
        <v>0020</v>
      </c>
      <c r="X1652" s="1" t="s">
        <v>29</v>
      </c>
    </row>
    <row r="1653" spans="1:24" x14ac:dyDescent="0.3">
      <c r="A1653" s="1" t="str">
        <f t="shared" si="307"/>
        <v>59825</v>
      </c>
      <c r="B1653" s="1" t="s">
        <v>30</v>
      </c>
      <c r="C1653" s="1" t="s">
        <v>31</v>
      </c>
      <c r="D1653" s="1" t="str">
        <f t="shared" si="308"/>
        <v>9803</v>
      </c>
      <c r="E1653" s="1" t="s">
        <v>32</v>
      </c>
      <c r="F1653" s="1" t="str">
        <f>"166467105"</f>
        <v>166467105</v>
      </c>
      <c r="G1653" s="1" t="s">
        <v>33</v>
      </c>
      <c r="H1653" s="1" t="str">
        <f t="shared" si="304"/>
        <v>20220908</v>
      </c>
      <c r="I1653" s="1" t="str">
        <f>"160502"</f>
        <v>160502</v>
      </c>
      <c r="J1653" s="1" t="s">
        <v>34</v>
      </c>
      <c r="K1653" s="1" t="s">
        <v>34</v>
      </c>
      <c r="L1653" s="1" t="str">
        <f t="shared" si="310"/>
        <v>20220908</v>
      </c>
      <c r="M1653" s="1" t="str">
        <f>"163939"</f>
        <v>163939</v>
      </c>
      <c r="N1653" s="1" t="s">
        <v>28</v>
      </c>
      <c r="O1653" s="1" t="s">
        <v>28</v>
      </c>
      <c r="P1653" s="1" t="s">
        <v>55</v>
      </c>
      <c r="Q1653" s="1">
        <v>25</v>
      </c>
      <c r="R1653" s="1">
        <v>25</v>
      </c>
      <c r="S1653" s="1">
        <v>0</v>
      </c>
      <c r="T1653" s="1">
        <v>0</v>
      </c>
      <c r="U1653" s="1">
        <v>0</v>
      </c>
      <c r="V1653" s="1" t="str">
        <f t="shared" si="312"/>
        <v>里程返程</v>
      </c>
      <c r="W1653" s="1" t="str">
        <f>"0120"</f>
        <v>0120</v>
      </c>
      <c r="X1653" s="1" t="s">
        <v>35</v>
      </c>
    </row>
    <row r="1654" spans="1:24" x14ac:dyDescent="0.3">
      <c r="A1654" s="1" t="str">
        <f t="shared" ref="A1654:A1661" si="313">"59825"</f>
        <v>59825</v>
      </c>
      <c r="B1654" s="1" t="s">
        <v>30</v>
      </c>
      <c r="C1654" s="1" t="s">
        <v>31</v>
      </c>
      <c r="D1654" s="1" t="str">
        <f t="shared" si="308"/>
        <v>9803</v>
      </c>
      <c r="E1654" s="1" t="s">
        <v>32</v>
      </c>
      <c r="F1654" s="1" t="str">
        <f>"F5D4234A4828040081996114000E3620"</f>
        <v>F5D4234A4828040081996114000E3620</v>
      </c>
      <c r="G1654" s="1" t="s">
        <v>58</v>
      </c>
      <c r="H1654" s="1" t="str">
        <f t="shared" si="304"/>
        <v>20220908</v>
      </c>
      <c r="I1654" s="1" t="str">
        <f>"160520"</f>
        <v>160520</v>
      </c>
      <c r="J1654" s="1" t="s">
        <v>34</v>
      </c>
      <c r="K1654" s="1" t="s">
        <v>34</v>
      </c>
      <c r="L1654" s="1" t="str">
        <f t="shared" si="310"/>
        <v>20220908</v>
      </c>
      <c r="M1654" s="1" t="str">
        <f>"163955"</f>
        <v>163955</v>
      </c>
      <c r="N1654" s="1" t="s">
        <v>28</v>
      </c>
      <c r="O1654" s="1" t="s">
        <v>28</v>
      </c>
      <c r="P1654" s="1" t="s">
        <v>55</v>
      </c>
      <c r="Q1654" s="1">
        <v>25</v>
      </c>
      <c r="R1654" s="1">
        <v>25</v>
      </c>
      <c r="S1654" s="1">
        <v>0</v>
      </c>
      <c r="T1654" s="1">
        <v>0</v>
      </c>
      <c r="U1654" s="1">
        <v>0</v>
      </c>
      <c r="V1654" s="1" t="str">
        <f t="shared" si="312"/>
        <v>里程返程</v>
      </c>
      <c r="W1654" s="1" t="str">
        <f>"0020"</f>
        <v>0020</v>
      </c>
      <c r="X1654" s="1" t="s">
        <v>29</v>
      </c>
    </row>
    <row r="1655" spans="1:24" x14ac:dyDescent="0.3">
      <c r="A1655" s="1" t="str">
        <f t="shared" si="313"/>
        <v>59825</v>
      </c>
      <c r="B1655" s="1" t="s">
        <v>30</v>
      </c>
      <c r="C1655" s="1" t="s">
        <v>31</v>
      </c>
      <c r="D1655" s="1" t="str">
        <f t="shared" si="308"/>
        <v>9803</v>
      </c>
      <c r="E1655" s="1" t="s">
        <v>32</v>
      </c>
      <c r="F1655" s="1" t="str">
        <f>"A145DF152E280400F700000000000000"</f>
        <v>A145DF152E280400F700000000000000</v>
      </c>
      <c r="G1655" s="1" t="s">
        <v>58</v>
      </c>
      <c r="H1655" s="1" t="str">
        <f t="shared" si="304"/>
        <v>20220908</v>
      </c>
      <c r="I1655" s="1" t="str">
        <f>"160525"</f>
        <v>160525</v>
      </c>
      <c r="J1655" s="1" t="s">
        <v>34</v>
      </c>
      <c r="K1655" s="1" t="s">
        <v>34</v>
      </c>
      <c r="L1655" s="1" t="str">
        <f t="shared" si="310"/>
        <v>20220908</v>
      </c>
      <c r="M1655" s="1" t="str">
        <f>"162616"</f>
        <v>162616</v>
      </c>
      <c r="N1655" s="1" t="s">
        <v>46</v>
      </c>
      <c r="O1655" s="1" t="s">
        <v>28</v>
      </c>
      <c r="P1655" s="1" t="s">
        <v>55</v>
      </c>
      <c r="Q1655" s="1">
        <v>25</v>
      </c>
      <c r="R1655" s="1">
        <v>25</v>
      </c>
      <c r="S1655" s="1">
        <v>0</v>
      </c>
      <c r="T1655" s="1">
        <v>0</v>
      </c>
      <c r="U1655" s="1">
        <v>0</v>
      </c>
      <c r="V1655" s="1" t="str">
        <f t="shared" si="312"/>
        <v>里程返程</v>
      </c>
      <c r="W1655" s="1" t="str">
        <f>"0020"</f>
        <v>0020</v>
      </c>
      <c r="X1655" s="1" t="s">
        <v>29</v>
      </c>
    </row>
    <row r="1656" spans="1:24" x14ac:dyDescent="0.3">
      <c r="A1656" s="1" t="str">
        <f t="shared" si="313"/>
        <v>59825</v>
      </c>
      <c r="B1656" s="1" t="s">
        <v>30</v>
      </c>
      <c r="C1656" s="1" t="s">
        <v>31</v>
      </c>
      <c r="D1656" s="1" t="str">
        <f t="shared" si="308"/>
        <v>9803</v>
      </c>
      <c r="E1656" s="1" t="s">
        <v>32</v>
      </c>
      <c r="F1656" s="1" t="str">
        <f>"958742017"</f>
        <v>958742017</v>
      </c>
      <c r="G1656" s="1" t="s">
        <v>33</v>
      </c>
      <c r="H1656" s="1" t="str">
        <f t="shared" si="304"/>
        <v>20220908</v>
      </c>
      <c r="I1656" s="1" t="str">
        <f>"160533"</f>
        <v>160533</v>
      </c>
      <c r="J1656" s="1" t="s">
        <v>34</v>
      </c>
      <c r="K1656" s="1" t="s">
        <v>34</v>
      </c>
      <c r="L1656" s="1" t="str">
        <f t="shared" si="310"/>
        <v>20220908</v>
      </c>
      <c r="M1656" s="1" t="str">
        <f>"163950"</f>
        <v>163950</v>
      </c>
      <c r="N1656" s="1" t="s">
        <v>28</v>
      </c>
      <c r="O1656" s="1" t="s">
        <v>28</v>
      </c>
      <c r="P1656" s="1" t="s">
        <v>55</v>
      </c>
      <c r="Q1656" s="1">
        <v>25</v>
      </c>
      <c r="R1656" s="1">
        <v>25</v>
      </c>
      <c r="S1656" s="1">
        <v>0</v>
      </c>
      <c r="T1656" s="1">
        <v>0</v>
      </c>
      <c r="U1656" s="1">
        <v>0</v>
      </c>
      <c r="V1656" s="1" t="str">
        <f t="shared" si="312"/>
        <v>里程返程</v>
      </c>
      <c r="W1656" s="1" t="str">
        <f>"0120"</f>
        <v>0120</v>
      </c>
      <c r="X1656" s="1" t="s">
        <v>35</v>
      </c>
    </row>
    <row r="1657" spans="1:24" x14ac:dyDescent="0.3">
      <c r="A1657" s="1" t="str">
        <f t="shared" si="313"/>
        <v>59825</v>
      </c>
      <c r="B1657" s="1" t="s">
        <v>30</v>
      </c>
      <c r="C1657" s="1" t="s">
        <v>31</v>
      </c>
      <c r="D1657" s="1" t="str">
        <f t="shared" si="308"/>
        <v>9803</v>
      </c>
      <c r="E1657" s="1" t="s">
        <v>32</v>
      </c>
      <c r="F1657" s="1" t="str">
        <f>"1709069061"</f>
        <v>1709069061</v>
      </c>
      <c r="G1657" s="1" t="s">
        <v>33</v>
      </c>
      <c r="H1657" s="1" t="str">
        <f t="shared" si="304"/>
        <v>20220908</v>
      </c>
      <c r="I1657" s="1" t="str">
        <f>"160710"</f>
        <v>160710</v>
      </c>
      <c r="J1657" s="1" t="s">
        <v>34</v>
      </c>
      <c r="K1657" s="1" t="s">
        <v>34</v>
      </c>
      <c r="L1657" s="1" t="str">
        <f t="shared" si="310"/>
        <v>20220908</v>
      </c>
      <c r="M1657" s="1" t="str">
        <f>"162609"</f>
        <v>162609</v>
      </c>
      <c r="N1657" s="1" t="s">
        <v>46</v>
      </c>
      <c r="O1657" s="1" t="s">
        <v>28</v>
      </c>
      <c r="P1657" s="1" t="s">
        <v>55</v>
      </c>
      <c r="Q1657" s="1">
        <v>25</v>
      </c>
      <c r="R1657" s="1">
        <v>25</v>
      </c>
      <c r="S1657" s="1">
        <v>0</v>
      </c>
      <c r="T1657" s="1">
        <v>0</v>
      </c>
      <c r="U1657" s="1">
        <v>0</v>
      </c>
      <c r="V1657" s="1" t="str">
        <f t="shared" si="312"/>
        <v>里程返程</v>
      </c>
      <c r="W1657" s="1" t="str">
        <f>"2020"</f>
        <v>2020</v>
      </c>
      <c r="X1657" s="1" t="s">
        <v>35</v>
      </c>
    </row>
    <row r="1658" spans="1:24" x14ac:dyDescent="0.3">
      <c r="A1658" s="1" t="str">
        <f t="shared" si="313"/>
        <v>59825</v>
      </c>
      <c r="B1658" s="1" t="s">
        <v>30</v>
      </c>
      <c r="C1658" s="1" t="s">
        <v>31</v>
      </c>
      <c r="D1658" s="1" t="str">
        <f t="shared" si="308"/>
        <v>9803</v>
      </c>
      <c r="E1658" s="1" t="s">
        <v>32</v>
      </c>
      <c r="F1658" s="1" t="str">
        <f>"1301713825"</f>
        <v>1301713825</v>
      </c>
      <c r="G1658" s="1" t="s">
        <v>33</v>
      </c>
      <c r="H1658" s="1" t="str">
        <f t="shared" si="304"/>
        <v>20220908</v>
      </c>
      <c r="I1658" s="1" t="str">
        <f>"164021"</f>
        <v>164021</v>
      </c>
      <c r="J1658" s="1" t="s">
        <v>28</v>
      </c>
      <c r="K1658" s="1" t="s">
        <v>28</v>
      </c>
      <c r="L1658" s="1" t="str">
        <f t="shared" si="310"/>
        <v>20220908</v>
      </c>
      <c r="M1658" s="1" t="str">
        <f>"165429"</f>
        <v>165429</v>
      </c>
      <c r="N1658" s="1" t="s">
        <v>46</v>
      </c>
      <c r="O1658" s="1" t="s">
        <v>28</v>
      </c>
      <c r="P1658" s="1" t="s">
        <v>55</v>
      </c>
      <c r="Q1658" s="1">
        <v>25</v>
      </c>
      <c r="R1658" s="1">
        <v>25</v>
      </c>
      <c r="S1658" s="1">
        <v>0</v>
      </c>
      <c r="T1658" s="1">
        <v>0</v>
      </c>
      <c r="U1658" s="1">
        <v>0</v>
      </c>
      <c r="V1658" s="1" t="str">
        <f>"里程去程"</f>
        <v>里程去程</v>
      </c>
      <c r="W1658" s="1" t="str">
        <f>"0120"</f>
        <v>0120</v>
      </c>
      <c r="X1658" s="1" t="s">
        <v>35</v>
      </c>
    </row>
    <row r="1659" spans="1:24" x14ac:dyDescent="0.3">
      <c r="A1659" s="1" t="str">
        <f t="shared" si="313"/>
        <v>59825</v>
      </c>
      <c r="B1659" s="1" t="s">
        <v>30</v>
      </c>
      <c r="C1659" s="1" t="s">
        <v>31</v>
      </c>
      <c r="D1659" s="1" t="str">
        <f>"9805"</f>
        <v>9805</v>
      </c>
      <c r="E1659" s="1" t="s">
        <v>57</v>
      </c>
      <c r="F1659" s="1" t="str">
        <f>"72EE3F16B5880400C814002000000019"</f>
        <v>72EE3F16B5880400C814002000000019</v>
      </c>
      <c r="G1659" s="1" t="s">
        <v>59</v>
      </c>
      <c r="H1659" s="1" t="str">
        <f t="shared" si="304"/>
        <v>20220908</v>
      </c>
      <c r="I1659" s="1" t="str">
        <f>"181935"</f>
        <v>181935</v>
      </c>
      <c r="J1659" s="1" t="s">
        <v>52</v>
      </c>
      <c r="K1659" s="1" t="s">
        <v>52</v>
      </c>
      <c r="L1659" s="1" t="str">
        <f t="shared" si="310"/>
        <v>20220908</v>
      </c>
      <c r="M1659" s="1" t="str">
        <f>"184120"</f>
        <v>184120</v>
      </c>
      <c r="N1659" s="1" t="s">
        <v>28</v>
      </c>
      <c r="O1659" s="1" t="s">
        <v>28</v>
      </c>
      <c r="P1659" s="1" t="s">
        <v>55</v>
      </c>
      <c r="Q1659" s="1">
        <v>25</v>
      </c>
      <c r="R1659" s="1">
        <v>25</v>
      </c>
      <c r="S1659" s="1">
        <v>0</v>
      </c>
      <c r="T1659" s="1">
        <v>0</v>
      </c>
      <c r="U1659" s="1">
        <v>0</v>
      </c>
      <c r="V1659" s="1" t="str">
        <f>"里程返程"</f>
        <v>里程返程</v>
      </c>
      <c r="W1659" s="1" t="str">
        <f>"0020"</f>
        <v>0020</v>
      </c>
      <c r="X1659" s="1" t="s">
        <v>29</v>
      </c>
    </row>
    <row r="1660" spans="1:24" x14ac:dyDescent="0.3">
      <c r="A1660" s="1" t="str">
        <f t="shared" si="313"/>
        <v>59825</v>
      </c>
      <c r="B1660" s="1" t="s">
        <v>30</v>
      </c>
      <c r="C1660" s="1" t="s">
        <v>31</v>
      </c>
      <c r="D1660" s="1" t="str">
        <f>"9805"</f>
        <v>9805</v>
      </c>
      <c r="E1660" s="1" t="s">
        <v>57</v>
      </c>
      <c r="F1660" s="1" t="str">
        <f>"B114110FBB280400F700000000000000"</f>
        <v>B114110FBB280400F700000000000000</v>
      </c>
      <c r="G1660" s="1" t="s">
        <v>58</v>
      </c>
      <c r="H1660" s="1" t="str">
        <f t="shared" si="304"/>
        <v>20220908</v>
      </c>
      <c r="I1660" s="1" t="str">
        <f>"182601"</f>
        <v>182601</v>
      </c>
      <c r="J1660" s="1" t="s">
        <v>62</v>
      </c>
      <c r="K1660" s="1" t="s">
        <v>28</v>
      </c>
      <c r="L1660" s="1" t="str">
        <f t="shared" si="310"/>
        <v>20220908</v>
      </c>
      <c r="M1660" s="1" t="str">
        <f>"184118"</f>
        <v>184118</v>
      </c>
      <c r="N1660" s="1" t="s">
        <v>28</v>
      </c>
      <c r="O1660" s="1" t="s">
        <v>28</v>
      </c>
      <c r="P1660" s="1" t="s">
        <v>55</v>
      </c>
      <c r="Q1660" s="1">
        <v>25</v>
      </c>
      <c r="R1660" s="1">
        <v>25</v>
      </c>
      <c r="S1660" s="1">
        <v>0</v>
      </c>
      <c r="T1660" s="1">
        <v>0</v>
      </c>
      <c r="U1660" s="1">
        <v>0</v>
      </c>
      <c r="V1660" s="1" t="str">
        <f>"里程返程"</f>
        <v>里程返程</v>
      </c>
      <c r="W1660" s="1" t="str">
        <f>"0020"</f>
        <v>0020</v>
      </c>
      <c r="X1660" s="1" t="s">
        <v>29</v>
      </c>
    </row>
    <row r="1661" spans="1:24" x14ac:dyDescent="0.3">
      <c r="A1661" s="1" t="str">
        <f t="shared" si="313"/>
        <v>59825</v>
      </c>
      <c r="B1661" s="1" t="s">
        <v>30</v>
      </c>
      <c r="C1661" s="1" t="s">
        <v>31</v>
      </c>
      <c r="D1661" s="1" t="str">
        <f>"9805"</f>
        <v>9805</v>
      </c>
      <c r="E1661" s="1" t="s">
        <v>57</v>
      </c>
      <c r="F1661" s="1" t="str">
        <f>"A2C0F30998880400C810002000000016"</f>
        <v>A2C0F30998880400C810002000000016</v>
      </c>
      <c r="G1661" s="1" t="s">
        <v>59</v>
      </c>
      <c r="H1661" s="1" t="str">
        <f t="shared" si="304"/>
        <v>20220908</v>
      </c>
      <c r="I1661" s="1" t="str">
        <f>"183242"</f>
        <v>183242</v>
      </c>
      <c r="J1661" s="1" t="s">
        <v>46</v>
      </c>
      <c r="K1661" s="1" t="s">
        <v>28</v>
      </c>
      <c r="L1661" s="1" t="str">
        <f t="shared" si="310"/>
        <v>20220908</v>
      </c>
      <c r="M1661" s="1" t="str">
        <f>"184124"</f>
        <v>184124</v>
      </c>
      <c r="N1661" s="1" t="s">
        <v>28</v>
      </c>
      <c r="O1661" s="1" t="s">
        <v>28</v>
      </c>
      <c r="P1661" s="1" t="s">
        <v>55</v>
      </c>
      <c r="Q1661" s="1">
        <v>25</v>
      </c>
      <c r="R1661" s="1">
        <v>25</v>
      </c>
      <c r="S1661" s="1">
        <v>0</v>
      </c>
      <c r="T1661" s="1">
        <v>0</v>
      </c>
      <c r="U1661" s="1">
        <v>0</v>
      </c>
      <c r="V1661" s="1" t="str">
        <f>"里程返程"</f>
        <v>里程返程</v>
      </c>
      <c r="W1661" s="1" t="str">
        <f>"0020"</f>
        <v>0020</v>
      </c>
      <c r="X1661" s="1" t="s">
        <v>29</v>
      </c>
    </row>
    <row r="1662" spans="1:24" x14ac:dyDescent="0.3">
      <c r="A1662" s="1" t="str">
        <f t="shared" ref="A1662:A1709" si="314">"59828"</f>
        <v>59828</v>
      </c>
      <c r="B1662" s="1" t="s">
        <v>23</v>
      </c>
      <c r="C1662" s="1" t="s">
        <v>24</v>
      </c>
      <c r="D1662" s="1" t="str">
        <f>"9805"</f>
        <v>9805</v>
      </c>
      <c r="E1662" s="1" t="s">
        <v>57</v>
      </c>
      <c r="F1662" s="1" t="str">
        <f>"F29BD102BA880400C834002000000015"</f>
        <v>F29BD102BA880400C834002000000015</v>
      </c>
      <c r="G1662" s="1" t="s">
        <v>26</v>
      </c>
      <c r="H1662" s="1" t="str">
        <f t="shared" si="304"/>
        <v>20220908</v>
      </c>
      <c r="I1662" s="1" t="str">
        <f>"104059"</f>
        <v>104059</v>
      </c>
      <c r="J1662" s="1" t="s">
        <v>28</v>
      </c>
      <c r="K1662" s="1" t="s">
        <v>28</v>
      </c>
      <c r="L1662" s="1" t="str">
        <f t="shared" si="310"/>
        <v>20220908</v>
      </c>
      <c r="M1662" s="1" t="str">
        <f>"105339"</f>
        <v>105339</v>
      </c>
      <c r="N1662" s="1" t="s">
        <v>62</v>
      </c>
      <c r="O1662" s="1" t="s">
        <v>28</v>
      </c>
      <c r="P1662" s="1" t="s">
        <v>68</v>
      </c>
      <c r="Q1662" s="1">
        <v>13</v>
      </c>
      <c r="R1662" s="1">
        <v>0</v>
      </c>
      <c r="S1662" s="1">
        <v>0</v>
      </c>
      <c r="T1662" s="1">
        <v>13</v>
      </c>
      <c r="U1662" s="1">
        <v>0</v>
      </c>
      <c r="V1662" s="1" t="str">
        <f t="shared" ref="V1662:V1691" si="315">"里程去程"</f>
        <v>里程去程</v>
      </c>
      <c r="W1662" s="1" t="str">
        <f>"0020"</f>
        <v>0020</v>
      </c>
      <c r="X1662" s="1" t="s">
        <v>29</v>
      </c>
    </row>
    <row r="1663" spans="1:24" x14ac:dyDescent="0.3">
      <c r="A1663" s="1" t="str">
        <f t="shared" si="314"/>
        <v>59828</v>
      </c>
      <c r="B1663" s="1" t="s">
        <v>23</v>
      </c>
      <c r="C1663" s="1" t="s">
        <v>24</v>
      </c>
      <c r="D1663" s="1" t="str">
        <f t="shared" ref="D1663:D1708" si="316">"9801"</f>
        <v>9801</v>
      </c>
      <c r="E1663" s="1" t="s">
        <v>25</v>
      </c>
      <c r="F1663" s="1" t="str">
        <f>"269636433"</f>
        <v>269636433</v>
      </c>
      <c r="G1663" s="1" t="s">
        <v>33</v>
      </c>
      <c r="H1663" s="1" t="str">
        <f t="shared" ref="H1663:H1726" si="317">"20220908"</f>
        <v>20220908</v>
      </c>
      <c r="I1663" s="1" t="str">
        <f>"105709"</f>
        <v>105709</v>
      </c>
      <c r="J1663" s="1" t="s">
        <v>52</v>
      </c>
      <c r="K1663" s="1" t="s">
        <v>52</v>
      </c>
      <c r="L1663" s="1" t="str">
        <f t="shared" si="310"/>
        <v>20220908</v>
      </c>
      <c r="M1663" s="1" t="str">
        <f>"112744"</f>
        <v>112744</v>
      </c>
      <c r="N1663" s="1" t="s">
        <v>84</v>
      </c>
      <c r="O1663" s="1" t="s">
        <v>28</v>
      </c>
      <c r="P1663" s="1" t="s">
        <v>55</v>
      </c>
      <c r="Q1663" s="1">
        <v>25</v>
      </c>
      <c r="R1663" s="1">
        <v>25</v>
      </c>
      <c r="S1663" s="1">
        <v>0</v>
      </c>
      <c r="T1663" s="1">
        <v>0</v>
      </c>
      <c r="U1663" s="1">
        <v>0</v>
      </c>
      <c r="V1663" s="1" t="str">
        <f t="shared" si="315"/>
        <v>里程去程</v>
      </c>
      <c r="W1663" s="1" t="str">
        <f>"2020"</f>
        <v>2020</v>
      </c>
      <c r="X1663" s="1" t="s">
        <v>35</v>
      </c>
    </row>
    <row r="1664" spans="1:24" x14ac:dyDescent="0.3">
      <c r="A1664" s="1" t="str">
        <f t="shared" si="314"/>
        <v>59828</v>
      </c>
      <c r="B1664" s="1" t="s">
        <v>23</v>
      </c>
      <c r="C1664" s="1" t="s">
        <v>24</v>
      </c>
      <c r="D1664" s="1" t="str">
        <f t="shared" si="316"/>
        <v>9801</v>
      </c>
      <c r="E1664" s="1" t="s">
        <v>25</v>
      </c>
      <c r="F1664" s="1" t="str">
        <f>"32780D0344880400C834002000000015"</f>
        <v>32780D0344880400C834002000000015</v>
      </c>
      <c r="G1664" s="1" t="s">
        <v>26</v>
      </c>
      <c r="H1664" s="1" t="str">
        <f t="shared" si="317"/>
        <v>20220908</v>
      </c>
      <c r="I1664" s="1" t="str">
        <f>"105723"</f>
        <v>105723</v>
      </c>
      <c r="J1664" s="1" t="s">
        <v>52</v>
      </c>
      <c r="K1664" s="1" t="s">
        <v>52</v>
      </c>
      <c r="L1664" s="1" t="str">
        <f t="shared" si="310"/>
        <v>20220908</v>
      </c>
      <c r="M1664" s="1" t="str">
        <f>"113221"</f>
        <v>113221</v>
      </c>
      <c r="N1664" s="1" t="s">
        <v>70</v>
      </c>
      <c r="O1664" s="1" t="s">
        <v>28</v>
      </c>
      <c r="P1664" s="1" t="s">
        <v>68</v>
      </c>
      <c r="Q1664" s="1">
        <v>13</v>
      </c>
      <c r="R1664" s="1">
        <v>0</v>
      </c>
      <c r="S1664" s="1">
        <v>0</v>
      </c>
      <c r="T1664" s="1">
        <v>13</v>
      </c>
      <c r="U1664" s="1">
        <v>0</v>
      </c>
      <c r="V1664" s="1" t="str">
        <f t="shared" si="315"/>
        <v>里程去程</v>
      </c>
      <c r="W1664" s="1" t="str">
        <f>"0020"</f>
        <v>0020</v>
      </c>
      <c r="X1664" s="1" t="s">
        <v>29</v>
      </c>
    </row>
    <row r="1665" spans="1:24" x14ac:dyDescent="0.3">
      <c r="A1665" s="1" t="str">
        <f t="shared" si="314"/>
        <v>59828</v>
      </c>
      <c r="B1665" s="1" t="s">
        <v>23</v>
      </c>
      <c r="C1665" s="1" t="s">
        <v>24</v>
      </c>
      <c r="D1665" s="1" t="str">
        <f t="shared" si="316"/>
        <v>9801</v>
      </c>
      <c r="E1665" s="1" t="s">
        <v>25</v>
      </c>
      <c r="F1665" s="1" t="str">
        <f>"1725435766"</f>
        <v>1725435766</v>
      </c>
      <c r="G1665" s="1" t="s">
        <v>26</v>
      </c>
      <c r="H1665" s="1" t="str">
        <f t="shared" si="317"/>
        <v>20220908</v>
      </c>
      <c r="I1665" s="1" t="str">
        <f>"110825"</f>
        <v>110825</v>
      </c>
      <c r="J1665" s="1" t="s">
        <v>51</v>
      </c>
      <c r="K1665" s="1" t="s">
        <v>52</v>
      </c>
      <c r="L1665" s="1" t="str">
        <f t="shared" si="310"/>
        <v>20220908</v>
      </c>
      <c r="M1665" s="1" t="str">
        <f>"112022"</f>
        <v>112022</v>
      </c>
      <c r="N1665" s="1" t="s">
        <v>69</v>
      </c>
      <c r="O1665" s="1" t="s">
        <v>52</v>
      </c>
      <c r="P1665" s="1" t="s">
        <v>55</v>
      </c>
      <c r="Q1665" s="1">
        <v>13</v>
      </c>
      <c r="R1665" s="1">
        <v>0</v>
      </c>
      <c r="S1665" s="1">
        <v>13</v>
      </c>
      <c r="T1665" s="1">
        <v>0</v>
      </c>
      <c r="U1665" s="1">
        <v>0</v>
      </c>
      <c r="V1665" s="1" t="str">
        <f t="shared" si="315"/>
        <v>里程去程</v>
      </c>
      <c r="W1665" s="1" t="str">
        <f>"2020"</f>
        <v>2020</v>
      </c>
      <c r="X1665" s="1" t="s">
        <v>35</v>
      </c>
    </row>
    <row r="1666" spans="1:24" x14ac:dyDescent="0.3">
      <c r="A1666" s="1" t="str">
        <f t="shared" si="314"/>
        <v>59828</v>
      </c>
      <c r="B1666" s="1" t="s">
        <v>23</v>
      </c>
      <c r="C1666" s="1" t="s">
        <v>24</v>
      </c>
      <c r="D1666" s="1" t="str">
        <f t="shared" si="316"/>
        <v>9801</v>
      </c>
      <c r="E1666" s="1" t="s">
        <v>25</v>
      </c>
      <c r="F1666" s="1" t="str">
        <f>"703320721"</f>
        <v>703320721</v>
      </c>
      <c r="G1666" s="1" t="s">
        <v>33</v>
      </c>
      <c r="H1666" s="1" t="str">
        <f t="shared" si="317"/>
        <v>20220908</v>
      </c>
      <c r="I1666" s="1" t="str">
        <f>"113412"</f>
        <v>113412</v>
      </c>
      <c r="J1666" s="1" t="s">
        <v>27</v>
      </c>
      <c r="K1666" s="1" t="s">
        <v>28</v>
      </c>
      <c r="L1666" s="1" t="str">
        <f t="shared" si="310"/>
        <v>20220908</v>
      </c>
      <c r="M1666" s="1" t="str">
        <f>"115854"</f>
        <v>115854</v>
      </c>
      <c r="N1666" s="1" t="s">
        <v>44</v>
      </c>
      <c r="O1666" s="1" t="s">
        <v>45</v>
      </c>
      <c r="P1666" s="1" t="s">
        <v>55</v>
      </c>
      <c r="Q1666" s="1">
        <v>25</v>
      </c>
      <c r="R1666" s="1">
        <v>0</v>
      </c>
      <c r="S1666" s="1">
        <v>25</v>
      </c>
      <c r="T1666" s="1">
        <v>0</v>
      </c>
      <c r="U1666" s="1">
        <v>0</v>
      </c>
      <c r="V1666" s="1" t="str">
        <f t="shared" si="315"/>
        <v>里程去程</v>
      </c>
      <c r="W1666" s="1" t="str">
        <f>"2020"</f>
        <v>2020</v>
      </c>
      <c r="X1666" s="1" t="s">
        <v>35</v>
      </c>
    </row>
    <row r="1667" spans="1:24" x14ac:dyDescent="0.3">
      <c r="A1667" s="1" t="str">
        <f t="shared" si="314"/>
        <v>59828</v>
      </c>
      <c r="B1667" s="1" t="s">
        <v>23</v>
      </c>
      <c r="C1667" s="1" t="s">
        <v>24</v>
      </c>
      <c r="D1667" s="1" t="str">
        <f t="shared" si="316"/>
        <v>9801</v>
      </c>
      <c r="E1667" s="1" t="s">
        <v>25</v>
      </c>
      <c r="F1667" s="1" t="str">
        <f>"1653854752"</f>
        <v>1653854752</v>
      </c>
      <c r="G1667" s="1" t="s">
        <v>33</v>
      </c>
      <c r="H1667" s="1" t="str">
        <f t="shared" si="317"/>
        <v>20220908</v>
      </c>
      <c r="I1667" s="1" t="str">
        <f>"113420"</f>
        <v>113420</v>
      </c>
      <c r="J1667" s="1" t="s">
        <v>27</v>
      </c>
      <c r="K1667" s="1" t="s">
        <v>28</v>
      </c>
      <c r="L1667" s="1" t="str">
        <f t="shared" si="310"/>
        <v>20220908</v>
      </c>
      <c r="M1667" s="1" t="str">
        <f>"114821"</f>
        <v>114821</v>
      </c>
      <c r="N1667" s="1" t="s">
        <v>56</v>
      </c>
      <c r="O1667" s="1" t="s">
        <v>45</v>
      </c>
      <c r="P1667" s="1" t="s">
        <v>55</v>
      </c>
      <c r="Q1667" s="1">
        <v>25</v>
      </c>
      <c r="R1667" s="1">
        <v>25</v>
      </c>
      <c r="S1667" s="1">
        <v>0</v>
      </c>
      <c r="T1667" s="1">
        <v>0</v>
      </c>
      <c r="U1667" s="1">
        <v>0</v>
      </c>
      <c r="V1667" s="1" t="str">
        <f t="shared" si="315"/>
        <v>里程去程</v>
      </c>
      <c r="W1667" s="1" t="str">
        <f>"0120"</f>
        <v>0120</v>
      </c>
      <c r="X1667" s="1" t="s">
        <v>35</v>
      </c>
    </row>
    <row r="1668" spans="1:24" x14ac:dyDescent="0.3">
      <c r="A1668" s="1" t="str">
        <f t="shared" si="314"/>
        <v>59828</v>
      </c>
      <c r="B1668" s="1" t="s">
        <v>23</v>
      </c>
      <c r="C1668" s="1" t="s">
        <v>24</v>
      </c>
      <c r="D1668" s="1" t="str">
        <f t="shared" si="316"/>
        <v>9801</v>
      </c>
      <c r="E1668" s="1" t="s">
        <v>25</v>
      </c>
      <c r="F1668" s="1" t="str">
        <f>"43470897"</f>
        <v>43470897</v>
      </c>
      <c r="G1668" s="1" t="s">
        <v>33</v>
      </c>
      <c r="H1668" s="1" t="str">
        <f t="shared" si="317"/>
        <v>20220908</v>
      </c>
      <c r="I1668" s="1" t="str">
        <f>"113424"</f>
        <v>113424</v>
      </c>
      <c r="J1668" s="1" t="s">
        <v>27</v>
      </c>
      <c r="K1668" s="1" t="s">
        <v>28</v>
      </c>
      <c r="L1668" s="1" t="str">
        <f t="shared" si="310"/>
        <v>20220908</v>
      </c>
      <c r="M1668" s="1" t="str">
        <f>"115849"</f>
        <v>115849</v>
      </c>
      <c r="N1668" s="1" t="s">
        <v>44</v>
      </c>
      <c r="O1668" s="1" t="s">
        <v>45</v>
      </c>
      <c r="P1668" s="1" t="s">
        <v>55</v>
      </c>
      <c r="Q1668" s="1">
        <v>25</v>
      </c>
      <c r="R1668" s="1">
        <v>0</v>
      </c>
      <c r="S1668" s="1">
        <v>25</v>
      </c>
      <c r="T1668" s="1">
        <v>0</v>
      </c>
      <c r="U1668" s="1">
        <v>0</v>
      </c>
      <c r="V1668" s="1" t="str">
        <f t="shared" si="315"/>
        <v>里程去程</v>
      </c>
      <c r="W1668" s="1" t="str">
        <f>"2020"</f>
        <v>2020</v>
      </c>
      <c r="X1668" s="1" t="s">
        <v>35</v>
      </c>
    </row>
    <row r="1669" spans="1:24" x14ac:dyDescent="0.3">
      <c r="A1669" s="1" t="str">
        <f t="shared" si="314"/>
        <v>59828</v>
      </c>
      <c r="B1669" s="1" t="s">
        <v>23</v>
      </c>
      <c r="C1669" s="1" t="s">
        <v>24</v>
      </c>
      <c r="D1669" s="1" t="str">
        <f t="shared" si="316"/>
        <v>9801</v>
      </c>
      <c r="E1669" s="1" t="s">
        <v>25</v>
      </c>
      <c r="F1669" s="1" t="str">
        <f>"1454364865"</f>
        <v>1454364865</v>
      </c>
      <c r="G1669" s="1" t="s">
        <v>33</v>
      </c>
      <c r="H1669" s="1" t="str">
        <f t="shared" si="317"/>
        <v>20220908</v>
      </c>
      <c r="I1669" s="1" t="str">
        <f>"113504"</f>
        <v>113504</v>
      </c>
      <c r="J1669" s="1" t="s">
        <v>27</v>
      </c>
      <c r="K1669" s="1" t="s">
        <v>28</v>
      </c>
      <c r="L1669" s="1" t="str">
        <f t="shared" si="310"/>
        <v>20220908</v>
      </c>
      <c r="M1669" s="1" t="str">
        <f>"114607"</f>
        <v>114607</v>
      </c>
      <c r="N1669" s="1" t="s">
        <v>61</v>
      </c>
      <c r="O1669" s="1" t="s">
        <v>45</v>
      </c>
      <c r="P1669" s="1" t="s">
        <v>55</v>
      </c>
      <c r="Q1669" s="1">
        <v>25</v>
      </c>
      <c r="R1669" s="1">
        <v>0</v>
      </c>
      <c r="S1669" s="1">
        <v>25</v>
      </c>
      <c r="T1669" s="1">
        <v>0</v>
      </c>
      <c r="U1669" s="1">
        <v>0</v>
      </c>
      <c r="V1669" s="1" t="str">
        <f t="shared" si="315"/>
        <v>里程去程</v>
      </c>
      <c r="W1669" s="1" t="str">
        <f>"0820"</f>
        <v>0820</v>
      </c>
      <c r="X1669" s="1" t="s">
        <v>35</v>
      </c>
    </row>
    <row r="1670" spans="1:24" x14ac:dyDescent="0.3">
      <c r="A1670" s="1" t="str">
        <f t="shared" si="314"/>
        <v>59828</v>
      </c>
      <c r="B1670" s="1" t="s">
        <v>23</v>
      </c>
      <c r="C1670" s="1" t="s">
        <v>24</v>
      </c>
      <c r="D1670" s="1" t="str">
        <f t="shared" si="316"/>
        <v>9801</v>
      </c>
      <c r="E1670" s="1" t="s">
        <v>25</v>
      </c>
      <c r="F1670" s="1" t="str">
        <f>"1618801701"</f>
        <v>1618801701</v>
      </c>
      <c r="G1670" s="1" t="s">
        <v>26</v>
      </c>
      <c r="H1670" s="1" t="str">
        <f t="shared" si="317"/>
        <v>20220908</v>
      </c>
      <c r="I1670" s="1" t="str">
        <f>"120623"</f>
        <v>120623</v>
      </c>
      <c r="J1670" s="1" t="s">
        <v>60</v>
      </c>
      <c r="K1670" s="1" t="s">
        <v>52</v>
      </c>
      <c r="L1670" s="1" t="str">
        <f t="shared" si="310"/>
        <v>20220908</v>
      </c>
      <c r="M1670" s="1" t="str">
        <f>"123514"</f>
        <v>123514</v>
      </c>
      <c r="N1670" s="1" t="s">
        <v>70</v>
      </c>
      <c r="O1670" s="1" t="s">
        <v>28</v>
      </c>
      <c r="P1670" s="1" t="s">
        <v>55</v>
      </c>
      <c r="Q1670" s="1">
        <v>13</v>
      </c>
      <c r="R1670" s="1">
        <v>13</v>
      </c>
      <c r="S1670" s="1">
        <v>0</v>
      </c>
      <c r="T1670" s="1">
        <v>0</v>
      </c>
      <c r="U1670" s="1">
        <v>0</v>
      </c>
      <c r="V1670" s="1" t="str">
        <f t="shared" si="315"/>
        <v>里程去程</v>
      </c>
      <c r="W1670" s="1" t="str">
        <f>"0e20"</f>
        <v>0e20</v>
      </c>
      <c r="X1670" s="1" t="s">
        <v>35</v>
      </c>
    </row>
    <row r="1671" spans="1:24" x14ac:dyDescent="0.3">
      <c r="A1671" s="1" t="str">
        <f t="shared" si="314"/>
        <v>59828</v>
      </c>
      <c r="B1671" s="1" t="s">
        <v>23</v>
      </c>
      <c r="C1671" s="1" t="s">
        <v>24</v>
      </c>
      <c r="D1671" s="1" t="str">
        <f t="shared" si="316"/>
        <v>9801</v>
      </c>
      <c r="E1671" s="1" t="s">
        <v>25</v>
      </c>
      <c r="F1671" s="1" t="str">
        <f>"F25B1B03B1880400C834002000000015"</f>
        <v>F25B1B03B1880400C834002000000015</v>
      </c>
      <c r="G1671" s="1" t="s">
        <v>26</v>
      </c>
      <c r="H1671" s="1" t="str">
        <f t="shared" si="317"/>
        <v>20220908</v>
      </c>
      <c r="I1671" s="1" t="str">
        <f>"120632"</f>
        <v>120632</v>
      </c>
      <c r="J1671" s="1" t="s">
        <v>60</v>
      </c>
      <c r="K1671" s="1" t="s">
        <v>52</v>
      </c>
      <c r="L1671" s="1" t="str">
        <f t="shared" si="310"/>
        <v>20220908</v>
      </c>
      <c r="M1671" s="1" t="str">
        <f>"123516"</f>
        <v>123516</v>
      </c>
      <c r="N1671" s="1" t="s">
        <v>70</v>
      </c>
      <c r="O1671" s="1" t="s">
        <v>28</v>
      </c>
      <c r="P1671" s="1" t="s">
        <v>68</v>
      </c>
      <c r="Q1671" s="1">
        <v>13</v>
      </c>
      <c r="R1671" s="1">
        <v>0</v>
      </c>
      <c r="S1671" s="1">
        <v>0</v>
      </c>
      <c r="T1671" s="1">
        <v>13</v>
      </c>
      <c r="U1671" s="1">
        <v>0</v>
      </c>
      <c r="V1671" s="1" t="str">
        <f t="shared" si="315"/>
        <v>里程去程</v>
      </c>
      <c r="W1671" s="1" t="str">
        <f>"0020"</f>
        <v>0020</v>
      </c>
      <c r="X1671" s="1" t="s">
        <v>29</v>
      </c>
    </row>
    <row r="1672" spans="1:24" x14ac:dyDescent="0.3">
      <c r="A1672" s="1" t="str">
        <f t="shared" si="314"/>
        <v>59828</v>
      </c>
      <c r="B1672" s="1" t="s">
        <v>23</v>
      </c>
      <c r="C1672" s="1" t="s">
        <v>24</v>
      </c>
      <c r="D1672" s="1" t="str">
        <f t="shared" si="316"/>
        <v>9801</v>
      </c>
      <c r="E1672" s="1" t="s">
        <v>25</v>
      </c>
      <c r="F1672" s="1" t="str">
        <f>"03A6A9454988040048B994D749703809"</f>
        <v>03A6A9454988040048B994D749703809</v>
      </c>
      <c r="G1672" s="1" t="s">
        <v>64</v>
      </c>
      <c r="H1672" s="1" t="str">
        <f t="shared" si="317"/>
        <v>20220908</v>
      </c>
      <c r="I1672" s="1" t="str">
        <f>"122626"</f>
        <v>122626</v>
      </c>
      <c r="J1672" s="1" t="s">
        <v>67</v>
      </c>
      <c r="K1672" s="1" t="s">
        <v>52</v>
      </c>
      <c r="L1672" s="1" t="str">
        <f t="shared" ref="L1672:L1703" si="318">"20220908"</f>
        <v>20220908</v>
      </c>
      <c r="M1672" s="1" t="str">
        <f>"123520"</f>
        <v>123520</v>
      </c>
      <c r="N1672" s="1" t="s">
        <v>70</v>
      </c>
      <c r="O1672" s="1" t="s">
        <v>28</v>
      </c>
      <c r="P1672" s="1" t="s">
        <v>55</v>
      </c>
      <c r="Q1672" s="1">
        <v>13</v>
      </c>
      <c r="R1672" s="1">
        <v>13</v>
      </c>
      <c r="S1672" s="1">
        <v>0</v>
      </c>
      <c r="T1672" s="1">
        <v>0</v>
      </c>
      <c r="U1672" s="1">
        <v>0</v>
      </c>
      <c r="V1672" s="1" t="str">
        <f t="shared" si="315"/>
        <v>里程去程</v>
      </c>
      <c r="W1672" s="1" t="str">
        <f>"0020"</f>
        <v>0020</v>
      </c>
      <c r="X1672" s="1" t="s">
        <v>29</v>
      </c>
    </row>
    <row r="1673" spans="1:24" x14ac:dyDescent="0.3">
      <c r="A1673" s="1" t="str">
        <f t="shared" si="314"/>
        <v>59828</v>
      </c>
      <c r="B1673" s="1" t="s">
        <v>23</v>
      </c>
      <c r="C1673" s="1" t="s">
        <v>24</v>
      </c>
      <c r="D1673" s="1" t="str">
        <f t="shared" si="316"/>
        <v>9801</v>
      </c>
      <c r="E1673" s="1" t="s">
        <v>25</v>
      </c>
      <c r="F1673" s="1" t="str">
        <f>"7511161438009850"</f>
        <v>7511161438009850</v>
      </c>
      <c r="G1673" s="1" t="s">
        <v>33</v>
      </c>
      <c r="H1673" s="1" t="str">
        <f t="shared" si="317"/>
        <v>20220908</v>
      </c>
      <c r="I1673" s="1" t="str">
        <f>"123532"</f>
        <v>123532</v>
      </c>
      <c r="J1673" s="1" t="s">
        <v>27</v>
      </c>
      <c r="K1673" s="1" t="s">
        <v>28</v>
      </c>
      <c r="L1673" s="1" t="str">
        <f t="shared" si="318"/>
        <v>20220908</v>
      </c>
      <c r="M1673" s="1" t="str">
        <f>"125518"</f>
        <v>125518</v>
      </c>
      <c r="N1673" s="1" t="s">
        <v>100</v>
      </c>
      <c r="O1673" s="1" t="s">
        <v>45</v>
      </c>
      <c r="P1673" s="1" t="s">
        <v>55</v>
      </c>
      <c r="Q1673" s="1">
        <v>25</v>
      </c>
      <c r="R1673" s="1">
        <v>25</v>
      </c>
      <c r="S1673" s="1">
        <v>0</v>
      </c>
      <c r="T1673" s="1">
        <v>0</v>
      </c>
      <c r="U1673" s="1">
        <v>0</v>
      </c>
      <c r="V1673" s="1" t="str">
        <f t="shared" si="315"/>
        <v>里程去程</v>
      </c>
      <c r="W1673" s="1" t="str">
        <f>"3B8B"</f>
        <v>3B8B</v>
      </c>
      <c r="X1673" s="1" t="s">
        <v>109</v>
      </c>
    </row>
    <row r="1674" spans="1:24" x14ac:dyDescent="0.3">
      <c r="A1674" s="1" t="str">
        <f t="shared" si="314"/>
        <v>59828</v>
      </c>
      <c r="B1674" s="1" t="s">
        <v>23</v>
      </c>
      <c r="C1674" s="1" t="s">
        <v>24</v>
      </c>
      <c r="D1674" s="1" t="str">
        <f t="shared" si="316"/>
        <v>9801</v>
      </c>
      <c r="E1674" s="1" t="s">
        <v>25</v>
      </c>
      <c r="F1674" s="1" t="str">
        <f>"951251349"</f>
        <v>951251349</v>
      </c>
      <c r="G1674" s="1" t="s">
        <v>74</v>
      </c>
      <c r="H1674" s="1" t="str">
        <f t="shared" si="317"/>
        <v>20220908</v>
      </c>
      <c r="I1674" s="1" t="str">
        <f>"123533"</f>
        <v>123533</v>
      </c>
      <c r="J1674" s="1" t="s">
        <v>27</v>
      </c>
      <c r="K1674" s="1" t="s">
        <v>28</v>
      </c>
      <c r="L1674" s="1" t="str">
        <f t="shared" si="318"/>
        <v>20220908</v>
      </c>
      <c r="M1674" s="1" t="str">
        <f>"125859"</f>
        <v>125859</v>
      </c>
      <c r="N1674" s="1" t="s">
        <v>44</v>
      </c>
      <c r="O1674" s="1" t="s">
        <v>45</v>
      </c>
      <c r="P1674" s="1" t="s">
        <v>55</v>
      </c>
      <c r="Q1674" s="1">
        <v>13</v>
      </c>
      <c r="R1674" s="1">
        <v>13</v>
      </c>
      <c r="S1674" s="1">
        <v>0</v>
      </c>
      <c r="T1674" s="1">
        <v>0</v>
      </c>
      <c r="U1674" s="1">
        <v>0</v>
      </c>
      <c r="V1674" s="1" t="str">
        <f t="shared" si="315"/>
        <v>里程去程</v>
      </c>
      <c r="W1674" s="1" t="str">
        <f>"0c20"</f>
        <v>0c20</v>
      </c>
      <c r="X1674" s="1" t="s">
        <v>35</v>
      </c>
    </row>
    <row r="1675" spans="1:24" x14ac:dyDescent="0.3">
      <c r="A1675" s="1" t="str">
        <f t="shared" si="314"/>
        <v>59828</v>
      </c>
      <c r="B1675" s="1" t="s">
        <v>23</v>
      </c>
      <c r="C1675" s="1" t="s">
        <v>24</v>
      </c>
      <c r="D1675" s="1" t="str">
        <f t="shared" si="316"/>
        <v>9801</v>
      </c>
      <c r="E1675" s="1" t="s">
        <v>25</v>
      </c>
      <c r="F1675" s="1" t="str">
        <f>"1741442421"</f>
        <v>1741442421</v>
      </c>
      <c r="G1675" s="1" t="s">
        <v>102</v>
      </c>
      <c r="H1675" s="1" t="str">
        <f t="shared" si="317"/>
        <v>20220908</v>
      </c>
      <c r="I1675" s="1" t="str">
        <f>"123537"</f>
        <v>123537</v>
      </c>
      <c r="J1675" s="1" t="s">
        <v>27</v>
      </c>
      <c r="K1675" s="1" t="s">
        <v>28</v>
      </c>
      <c r="L1675" s="1" t="str">
        <f t="shared" si="318"/>
        <v>20220908</v>
      </c>
      <c r="M1675" s="1" t="str">
        <f>"125903"</f>
        <v>125903</v>
      </c>
      <c r="N1675" s="1" t="s">
        <v>44</v>
      </c>
      <c r="O1675" s="1" t="s">
        <v>45</v>
      </c>
      <c r="P1675" s="1" t="s">
        <v>55</v>
      </c>
      <c r="Q1675" s="1">
        <v>13</v>
      </c>
      <c r="R1675" s="1">
        <v>13</v>
      </c>
      <c r="S1675" s="1">
        <v>0</v>
      </c>
      <c r="T1675" s="1">
        <v>0</v>
      </c>
      <c r="U1675" s="1">
        <v>0</v>
      </c>
      <c r="V1675" s="1" t="str">
        <f t="shared" si="315"/>
        <v>里程去程</v>
      </c>
      <c r="W1675" s="1" t="str">
        <f>"0c20"</f>
        <v>0c20</v>
      </c>
      <c r="X1675" s="1" t="s">
        <v>35</v>
      </c>
    </row>
    <row r="1676" spans="1:24" x14ac:dyDescent="0.3">
      <c r="A1676" s="1" t="str">
        <f t="shared" si="314"/>
        <v>59828</v>
      </c>
      <c r="B1676" s="1" t="s">
        <v>23</v>
      </c>
      <c r="C1676" s="1" t="s">
        <v>24</v>
      </c>
      <c r="D1676" s="1" t="str">
        <f t="shared" si="316"/>
        <v>9801</v>
      </c>
      <c r="E1676" s="1" t="s">
        <v>25</v>
      </c>
      <c r="F1676" s="1" t="str">
        <f>"1328778177"</f>
        <v>1328778177</v>
      </c>
      <c r="G1676" s="1" t="s">
        <v>33</v>
      </c>
      <c r="H1676" s="1" t="str">
        <f t="shared" si="317"/>
        <v>20220908</v>
      </c>
      <c r="I1676" s="1" t="str">
        <f>"123548"</f>
        <v>123548</v>
      </c>
      <c r="J1676" s="1" t="s">
        <v>27</v>
      </c>
      <c r="K1676" s="1" t="s">
        <v>28</v>
      </c>
      <c r="L1676" s="1" t="str">
        <f t="shared" si="318"/>
        <v>20220908</v>
      </c>
      <c r="M1676" s="1" t="str">
        <f>"125856"</f>
        <v>125856</v>
      </c>
      <c r="N1676" s="1" t="s">
        <v>44</v>
      </c>
      <c r="O1676" s="1" t="s">
        <v>45</v>
      </c>
      <c r="P1676" s="1" t="s">
        <v>55</v>
      </c>
      <c r="Q1676" s="1">
        <v>25</v>
      </c>
      <c r="R1676" s="1">
        <v>25</v>
      </c>
      <c r="S1676" s="1">
        <v>0</v>
      </c>
      <c r="T1676" s="1">
        <v>0</v>
      </c>
      <c r="U1676" s="1">
        <v>0</v>
      </c>
      <c r="V1676" s="1" t="str">
        <f t="shared" si="315"/>
        <v>里程去程</v>
      </c>
      <c r="W1676" s="1" t="str">
        <f>"1420"</f>
        <v>1420</v>
      </c>
      <c r="X1676" s="1" t="s">
        <v>35</v>
      </c>
    </row>
    <row r="1677" spans="1:24" x14ac:dyDescent="0.3">
      <c r="A1677" s="1" t="str">
        <f t="shared" si="314"/>
        <v>59828</v>
      </c>
      <c r="B1677" s="1" t="s">
        <v>23</v>
      </c>
      <c r="C1677" s="1" t="s">
        <v>24</v>
      </c>
      <c r="D1677" s="1" t="str">
        <f t="shared" si="316"/>
        <v>9801</v>
      </c>
      <c r="E1677" s="1" t="s">
        <v>25</v>
      </c>
      <c r="F1677" s="1" t="str">
        <f>"903825701"</f>
        <v>903825701</v>
      </c>
      <c r="G1677" s="1" t="s">
        <v>33</v>
      </c>
      <c r="H1677" s="1" t="str">
        <f t="shared" si="317"/>
        <v>20220908</v>
      </c>
      <c r="I1677" s="1" t="str">
        <f>"123549"</f>
        <v>123549</v>
      </c>
      <c r="J1677" s="1" t="s">
        <v>27</v>
      </c>
      <c r="K1677" s="1" t="s">
        <v>28</v>
      </c>
      <c r="L1677" s="1" t="str">
        <f t="shared" si="318"/>
        <v>20220908</v>
      </c>
      <c r="M1677" s="1" t="str">
        <f>"125530"</f>
        <v>125530</v>
      </c>
      <c r="N1677" s="1" t="s">
        <v>100</v>
      </c>
      <c r="O1677" s="1" t="s">
        <v>45</v>
      </c>
      <c r="P1677" s="1" t="s">
        <v>55</v>
      </c>
      <c r="Q1677" s="1">
        <v>25</v>
      </c>
      <c r="R1677" s="1">
        <v>0</v>
      </c>
      <c r="S1677" s="1">
        <v>25</v>
      </c>
      <c r="T1677" s="1">
        <v>0</v>
      </c>
      <c r="U1677" s="1">
        <v>0</v>
      </c>
      <c r="V1677" s="1" t="str">
        <f t="shared" si="315"/>
        <v>里程去程</v>
      </c>
      <c r="W1677" s="1" t="str">
        <f>"0820"</f>
        <v>0820</v>
      </c>
      <c r="X1677" s="1" t="s">
        <v>35</v>
      </c>
    </row>
    <row r="1678" spans="1:24" x14ac:dyDescent="0.3">
      <c r="A1678" s="1" t="str">
        <f t="shared" si="314"/>
        <v>59828</v>
      </c>
      <c r="B1678" s="1" t="s">
        <v>23</v>
      </c>
      <c r="C1678" s="1" t="s">
        <v>24</v>
      </c>
      <c r="D1678" s="1" t="str">
        <f t="shared" si="316"/>
        <v>9801</v>
      </c>
      <c r="E1678" s="1" t="s">
        <v>25</v>
      </c>
      <c r="F1678" s="1" t="str">
        <f>"1106211637"</f>
        <v>1106211637</v>
      </c>
      <c r="G1678" s="1" t="s">
        <v>33</v>
      </c>
      <c r="H1678" s="1" t="str">
        <f t="shared" si="317"/>
        <v>20220908</v>
      </c>
      <c r="I1678" s="1" t="str">
        <f>"133342"</f>
        <v>133342</v>
      </c>
      <c r="J1678" s="1" t="s">
        <v>95</v>
      </c>
      <c r="K1678" s="1" t="s">
        <v>28</v>
      </c>
      <c r="L1678" s="1" t="str">
        <f t="shared" si="318"/>
        <v>20220908</v>
      </c>
      <c r="M1678" s="1" t="str">
        <f>"135421"</f>
        <v>135421</v>
      </c>
      <c r="N1678" s="1" t="s">
        <v>44</v>
      </c>
      <c r="O1678" s="1" t="s">
        <v>45</v>
      </c>
      <c r="P1678" s="1" t="s">
        <v>55</v>
      </c>
      <c r="Q1678" s="1">
        <v>25</v>
      </c>
      <c r="R1678" s="1">
        <v>25</v>
      </c>
      <c r="S1678" s="1">
        <v>0</v>
      </c>
      <c r="T1678" s="1">
        <v>0</v>
      </c>
      <c r="U1678" s="1">
        <v>0</v>
      </c>
      <c r="V1678" s="1" t="str">
        <f t="shared" si="315"/>
        <v>里程去程</v>
      </c>
      <c r="W1678" s="1" t="str">
        <f>"0820"</f>
        <v>0820</v>
      </c>
      <c r="X1678" s="1" t="s">
        <v>35</v>
      </c>
    </row>
    <row r="1679" spans="1:24" x14ac:dyDescent="0.3">
      <c r="A1679" s="1" t="str">
        <f t="shared" si="314"/>
        <v>59828</v>
      </c>
      <c r="B1679" s="1" t="s">
        <v>23</v>
      </c>
      <c r="C1679" s="1" t="s">
        <v>24</v>
      </c>
      <c r="D1679" s="1" t="str">
        <f t="shared" si="316"/>
        <v>9801</v>
      </c>
      <c r="E1679" s="1" t="s">
        <v>25</v>
      </c>
      <c r="F1679" s="1" t="str">
        <f>"215348806"</f>
        <v>215348806</v>
      </c>
      <c r="G1679" s="1" t="s">
        <v>33</v>
      </c>
      <c r="H1679" s="1" t="str">
        <f t="shared" si="317"/>
        <v>20220908</v>
      </c>
      <c r="I1679" s="1" t="str">
        <f>"133355"</f>
        <v>133355</v>
      </c>
      <c r="J1679" s="1" t="s">
        <v>95</v>
      </c>
      <c r="K1679" s="1" t="s">
        <v>28</v>
      </c>
      <c r="L1679" s="1" t="str">
        <f t="shared" si="318"/>
        <v>20220908</v>
      </c>
      <c r="M1679" s="1" t="str">
        <f>"135426"</f>
        <v>135426</v>
      </c>
      <c r="N1679" s="1" t="s">
        <v>44</v>
      </c>
      <c r="O1679" s="1" t="s">
        <v>45</v>
      </c>
      <c r="P1679" s="1" t="s">
        <v>55</v>
      </c>
      <c r="Q1679" s="1">
        <v>25</v>
      </c>
      <c r="R1679" s="1">
        <v>25</v>
      </c>
      <c r="S1679" s="1">
        <v>0</v>
      </c>
      <c r="T1679" s="1">
        <v>0</v>
      </c>
      <c r="U1679" s="1">
        <v>0</v>
      </c>
      <c r="V1679" s="1" t="str">
        <f t="shared" si="315"/>
        <v>里程去程</v>
      </c>
      <c r="W1679" s="1" t="str">
        <f>"0120"</f>
        <v>0120</v>
      </c>
      <c r="X1679" s="1" t="s">
        <v>35</v>
      </c>
    </row>
    <row r="1680" spans="1:24" x14ac:dyDescent="0.3">
      <c r="A1680" s="1" t="str">
        <f t="shared" si="314"/>
        <v>59828</v>
      </c>
      <c r="B1680" s="1" t="s">
        <v>23</v>
      </c>
      <c r="C1680" s="1" t="s">
        <v>24</v>
      </c>
      <c r="D1680" s="1" t="str">
        <f t="shared" si="316"/>
        <v>9801</v>
      </c>
      <c r="E1680" s="1" t="s">
        <v>25</v>
      </c>
      <c r="F1680" s="1" t="str">
        <f>"3113876214"</f>
        <v>3113876214</v>
      </c>
      <c r="G1680" s="1" t="s">
        <v>33</v>
      </c>
      <c r="H1680" s="1" t="str">
        <f t="shared" si="317"/>
        <v>20220908</v>
      </c>
      <c r="I1680" s="1" t="str">
        <f>"133411"</f>
        <v>133411</v>
      </c>
      <c r="J1680" s="1" t="s">
        <v>95</v>
      </c>
      <c r="K1680" s="1" t="s">
        <v>28</v>
      </c>
      <c r="L1680" s="1" t="str">
        <f t="shared" si="318"/>
        <v>20220908</v>
      </c>
      <c r="M1680" s="1" t="str">
        <f>"135127"</f>
        <v>135127</v>
      </c>
      <c r="N1680" s="1" t="s">
        <v>44</v>
      </c>
      <c r="O1680" s="1" t="s">
        <v>45</v>
      </c>
      <c r="P1680" s="1" t="s">
        <v>55</v>
      </c>
      <c r="Q1680" s="1">
        <v>25</v>
      </c>
      <c r="R1680" s="1">
        <v>25</v>
      </c>
      <c r="S1680" s="1">
        <v>0</v>
      </c>
      <c r="T1680" s="1">
        <v>0</v>
      </c>
      <c r="U1680" s="1">
        <v>0</v>
      </c>
      <c r="V1680" s="1" t="str">
        <f t="shared" si="315"/>
        <v>里程去程</v>
      </c>
      <c r="W1680" s="1" t="str">
        <f>"0120"</f>
        <v>0120</v>
      </c>
      <c r="X1680" s="1" t="s">
        <v>35</v>
      </c>
    </row>
    <row r="1681" spans="1:24" x14ac:dyDescent="0.3">
      <c r="A1681" s="1" t="str">
        <f t="shared" si="314"/>
        <v>59828</v>
      </c>
      <c r="B1681" s="1" t="s">
        <v>23</v>
      </c>
      <c r="C1681" s="1" t="s">
        <v>24</v>
      </c>
      <c r="D1681" s="1" t="str">
        <f t="shared" si="316"/>
        <v>9801</v>
      </c>
      <c r="E1681" s="1" t="s">
        <v>25</v>
      </c>
      <c r="F1681" s="1" t="str">
        <f>"72C56518CA880400C819002000000019"</f>
        <v>72C56518CA880400C819002000000019</v>
      </c>
      <c r="G1681" s="1" t="s">
        <v>64</v>
      </c>
      <c r="H1681" s="1" t="str">
        <f t="shared" si="317"/>
        <v>20220908</v>
      </c>
      <c r="I1681" s="1" t="str">
        <f>"133420"</f>
        <v>133420</v>
      </c>
      <c r="J1681" s="1" t="s">
        <v>95</v>
      </c>
      <c r="K1681" s="1" t="s">
        <v>28</v>
      </c>
      <c r="L1681" s="1" t="str">
        <f t="shared" si="318"/>
        <v>20220908</v>
      </c>
      <c r="M1681" s="1" t="str">
        <f>"135124"</f>
        <v>135124</v>
      </c>
      <c r="N1681" s="1" t="s">
        <v>44</v>
      </c>
      <c r="O1681" s="1" t="s">
        <v>45</v>
      </c>
      <c r="P1681" s="1" t="s">
        <v>55</v>
      </c>
      <c r="Q1681" s="1">
        <v>13</v>
      </c>
      <c r="R1681" s="1">
        <v>13</v>
      </c>
      <c r="S1681" s="1">
        <v>0</v>
      </c>
      <c r="T1681" s="1">
        <v>0</v>
      </c>
      <c r="U1681" s="1">
        <v>0</v>
      </c>
      <c r="V1681" s="1" t="str">
        <f t="shared" si="315"/>
        <v>里程去程</v>
      </c>
      <c r="W1681" s="1" t="str">
        <f>"0020"</f>
        <v>0020</v>
      </c>
      <c r="X1681" s="1" t="s">
        <v>29</v>
      </c>
    </row>
    <row r="1682" spans="1:24" x14ac:dyDescent="0.3">
      <c r="A1682" s="1" t="str">
        <f t="shared" si="314"/>
        <v>59828</v>
      </c>
      <c r="B1682" s="1" t="s">
        <v>23</v>
      </c>
      <c r="C1682" s="1" t="s">
        <v>24</v>
      </c>
      <c r="D1682" s="1" t="str">
        <f t="shared" si="316"/>
        <v>9801</v>
      </c>
      <c r="E1682" s="1" t="s">
        <v>25</v>
      </c>
      <c r="F1682" s="1" t="str">
        <f>"915D49038688040043252B4B0015050F"</f>
        <v>915D49038688040043252B4B0015050F</v>
      </c>
      <c r="G1682" s="1" t="s">
        <v>64</v>
      </c>
      <c r="H1682" s="1" t="str">
        <f t="shared" si="317"/>
        <v>20220908</v>
      </c>
      <c r="I1682" s="1" t="str">
        <f>"133423"</f>
        <v>133423</v>
      </c>
      <c r="J1682" s="1" t="s">
        <v>95</v>
      </c>
      <c r="K1682" s="1" t="s">
        <v>28</v>
      </c>
      <c r="L1682" s="1" t="str">
        <f t="shared" si="318"/>
        <v>20220908</v>
      </c>
      <c r="M1682" s="1" t="str">
        <f>"135121"</f>
        <v>135121</v>
      </c>
      <c r="N1682" s="1" t="s">
        <v>44</v>
      </c>
      <c r="O1682" s="1" t="s">
        <v>45</v>
      </c>
      <c r="P1682" s="1" t="s">
        <v>55</v>
      </c>
      <c r="Q1682" s="1">
        <v>13</v>
      </c>
      <c r="R1682" s="1">
        <v>13</v>
      </c>
      <c r="S1682" s="1">
        <v>0</v>
      </c>
      <c r="T1682" s="1">
        <v>0</v>
      </c>
      <c r="U1682" s="1">
        <v>0</v>
      </c>
      <c r="V1682" s="1" t="str">
        <f t="shared" si="315"/>
        <v>里程去程</v>
      </c>
      <c r="W1682" s="1" t="str">
        <f>"0020"</f>
        <v>0020</v>
      </c>
      <c r="X1682" s="1" t="s">
        <v>29</v>
      </c>
    </row>
    <row r="1683" spans="1:24" x14ac:dyDescent="0.3">
      <c r="A1683" s="1" t="str">
        <f t="shared" si="314"/>
        <v>59828</v>
      </c>
      <c r="B1683" s="1" t="s">
        <v>23</v>
      </c>
      <c r="C1683" s="1" t="s">
        <v>24</v>
      </c>
      <c r="D1683" s="1" t="str">
        <f t="shared" si="316"/>
        <v>9801</v>
      </c>
      <c r="E1683" s="1" t="s">
        <v>25</v>
      </c>
      <c r="F1683" s="1" t="str">
        <f>"1218018517"</f>
        <v>1218018517</v>
      </c>
      <c r="G1683" s="1" t="s">
        <v>38</v>
      </c>
      <c r="H1683" s="1" t="str">
        <f t="shared" si="317"/>
        <v>20220908</v>
      </c>
      <c r="I1683" s="1" t="str">
        <f>"145856"</f>
        <v>145856</v>
      </c>
      <c r="J1683" s="1" t="s">
        <v>52</v>
      </c>
      <c r="K1683" s="1" t="s">
        <v>52</v>
      </c>
      <c r="L1683" s="1" t="str">
        <f t="shared" si="318"/>
        <v>20220908</v>
      </c>
      <c r="M1683" s="1" t="str">
        <f>"153540"</f>
        <v>153540</v>
      </c>
      <c r="N1683" s="1" t="s">
        <v>70</v>
      </c>
      <c r="O1683" s="1" t="s">
        <v>28</v>
      </c>
      <c r="P1683" s="1" t="s">
        <v>55</v>
      </c>
      <c r="Q1683" s="1">
        <v>25</v>
      </c>
      <c r="R1683" s="1">
        <v>0</v>
      </c>
      <c r="S1683" s="1">
        <v>25</v>
      </c>
      <c r="T1683" s="1">
        <v>0</v>
      </c>
      <c r="U1683" s="1">
        <v>0</v>
      </c>
      <c r="V1683" s="1" t="str">
        <f t="shared" si="315"/>
        <v>里程去程</v>
      </c>
      <c r="W1683" s="1" t="str">
        <f>"2120"</f>
        <v>2120</v>
      </c>
      <c r="X1683" s="1" t="s">
        <v>35</v>
      </c>
    </row>
    <row r="1684" spans="1:24" x14ac:dyDescent="0.3">
      <c r="A1684" s="1" t="str">
        <f t="shared" si="314"/>
        <v>59828</v>
      </c>
      <c r="B1684" s="1" t="s">
        <v>23</v>
      </c>
      <c r="C1684" s="1" t="s">
        <v>24</v>
      </c>
      <c r="D1684" s="1" t="str">
        <f t="shared" si="316"/>
        <v>9801</v>
      </c>
      <c r="E1684" s="1" t="s">
        <v>25</v>
      </c>
      <c r="F1684" s="1" t="str">
        <f>"F27CE6026A880400C834002000000015"</f>
        <v>F27CE6026A880400C834002000000015</v>
      </c>
      <c r="G1684" s="1" t="s">
        <v>74</v>
      </c>
      <c r="H1684" s="1" t="str">
        <f t="shared" si="317"/>
        <v>20220908</v>
      </c>
      <c r="I1684" s="1" t="str">
        <f>"145926"</f>
        <v>145926</v>
      </c>
      <c r="J1684" s="1" t="s">
        <v>52</v>
      </c>
      <c r="K1684" s="1" t="s">
        <v>52</v>
      </c>
      <c r="L1684" s="1" t="str">
        <f t="shared" si="318"/>
        <v>20220908</v>
      </c>
      <c r="M1684" s="1" t="str">
        <f>"150809"</f>
        <v>150809</v>
      </c>
      <c r="N1684" s="1" t="s">
        <v>60</v>
      </c>
      <c r="O1684" s="1" t="s">
        <v>52</v>
      </c>
      <c r="P1684" s="1" t="s">
        <v>68</v>
      </c>
      <c r="Q1684" s="1">
        <v>13</v>
      </c>
      <c r="R1684" s="1">
        <v>0</v>
      </c>
      <c r="S1684" s="1">
        <v>0</v>
      </c>
      <c r="T1684" s="1">
        <v>13</v>
      </c>
      <c r="U1684" s="1">
        <v>0</v>
      </c>
      <c r="V1684" s="1" t="str">
        <f t="shared" si="315"/>
        <v>里程去程</v>
      </c>
      <c r="W1684" s="1" t="str">
        <f>"0020"</f>
        <v>0020</v>
      </c>
      <c r="X1684" s="1" t="s">
        <v>29</v>
      </c>
    </row>
    <row r="1685" spans="1:24" x14ac:dyDescent="0.3">
      <c r="A1685" s="1" t="str">
        <f t="shared" si="314"/>
        <v>59828</v>
      </c>
      <c r="B1685" s="1" t="s">
        <v>23</v>
      </c>
      <c r="C1685" s="1" t="s">
        <v>24</v>
      </c>
      <c r="D1685" s="1" t="str">
        <f t="shared" si="316"/>
        <v>9801</v>
      </c>
      <c r="E1685" s="1" t="s">
        <v>25</v>
      </c>
      <c r="F1685" s="1" t="str">
        <f>"1672262368"</f>
        <v>1672262368</v>
      </c>
      <c r="G1685" s="1" t="s">
        <v>26</v>
      </c>
      <c r="H1685" s="1" t="str">
        <f t="shared" si="317"/>
        <v>20220908</v>
      </c>
      <c r="I1685" s="1" t="str">
        <f>"153550"</f>
        <v>153550</v>
      </c>
      <c r="J1685" s="1" t="s">
        <v>27</v>
      </c>
      <c r="K1685" s="1" t="s">
        <v>28</v>
      </c>
      <c r="L1685" s="1" t="str">
        <f t="shared" si="318"/>
        <v>20220908</v>
      </c>
      <c r="M1685" s="1" t="str">
        <f>"155058"</f>
        <v>155058</v>
      </c>
      <c r="N1685" s="1" t="s">
        <v>75</v>
      </c>
      <c r="O1685" s="1" t="s">
        <v>45</v>
      </c>
      <c r="P1685" s="1" t="s">
        <v>55</v>
      </c>
      <c r="Q1685" s="1">
        <v>13</v>
      </c>
      <c r="R1685" s="1">
        <v>13</v>
      </c>
      <c r="S1685" s="1">
        <v>0</v>
      </c>
      <c r="T1685" s="1">
        <v>0</v>
      </c>
      <c r="U1685" s="1">
        <v>0</v>
      </c>
      <c r="V1685" s="1" t="str">
        <f t="shared" si="315"/>
        <v>里程去程</v>
      </c>
      <c r="W1685" s="1" t="str">
        <f>"0220"</f>
        <v>0220</v>
      </c>
      <c r="X1685" s="1" t="s">
        <v>35</v>
      </c>
    </row>
    <row r="1686" spans="1:24" x14ac:dyDescent="0.3">
      <c r="A1686" s="1" t="str">
        <f t="shared" si="314"/>
        <v>59828</v>
      </c>
      <c r="B1686" s="1" t="s">
        <v>23</v>
      </c>
      <c r="C1686" s="1" t="s">
        <v>24</v>
      </c>
      <c r="D1686" s="1" t="str">
        <f t="shared" si="316"/>
        <v>9801</v>
      </c>
      <c r="E1686" s="1" t="s">
        <v>25</v>
      </c>
      <c r="F1686" s="1" t="str">
        <f>"F2F7D002D7880400C834002000000015"</f>
        <v>F2F7D002D7880400C834002000000015</v>
      </c>
      <c r="G1686" s="1" t="s">
        <v>74</v>
      </c>
      <c r="H1686" s="1" t="str">
        <f t="shared" si="317"/>
        <v>20220908</v>
      </c>
      <c r="I1686" s="1" t="str">
        <f>"155210"</f>
        <v>155210</v>
      </c>
      <c r="J1686" s="1" t="s">
        <v>75</v>
      </c>
      <c r="K1686" s="1" t="s">
        <v>45</v>
      </c>
      <c r="L1686" s="1" t="str">
        <f t="shared" si="318"/>
        <v>20220908</v>
      </c>
      <c r="M1686" s="1" t="str">
        <f>"155755"</f>
        <v>155755</v>
      </c>
      <c r="N1686" s="1" t="s">
        <v>44</v>
      </c>
      <c r="O1686" s="1" t="s">
        <v>45</v>
      </c>
      <c r="P1686" s="1" t="s">
        <v>68</v>
      </c>
      <c r="Q1686" s="1">
        <v>13</v>
      </c>
      <c r="R1686" s="1">
        <v>0</v>
      </c>
      <c r="S1686" s="1">
        <v>0</v>
      </c>
      <c r="T1686" s="1">
        <v>13</v>
      </c>
      <c r="U1686" s="1">
        <v>0</v>
      </c>
      <c r="V1686" s="1" t="str">
        <f t="shared" si="315"/>
        <v>里程去程</v>
      </c>
      <c r="W1686" s="1" t="str">
        <f>"0020"</f>
        <v>0020</v>
      </c>
      <c r="X1686" s="1" t="s">
        <v>29</v>
      </c>
    </row>
    <row r="1687" spans="1:24" x14ac:dyDescent="0.3">
      <c r="A1687" s="1" t="str">
        <f t="shared" si="314"/>
        <v>59828</v>
      </c>
      <c r="B1687" s="1" t="s">
        <v>23</v>
      </c>
      <c r="C1687" s="1" t="s">
        <v>24</v>
      </c>
      <c r="D1687" s="1" t="str">
        <f t="shared" si="316"/>
        <v>9801</v>
      </c>
      <c r="E1687" s="1" t="s">
        <v>25</v>
      </c>
      <c r="F1687" s="1" t="str">
        <f>"F2F7D002D7880400C834002000000015"</f>
        <v>F2F7D002D7880400C834002000000015</v>
      </c>
      <c r="G1687" s="1" t="s">
        <v>74</v>
      </c>
      <c r="H1687" s="1" t="str">
        <f t="shared" si="317"/>
        <v>20220908</v>
      </c>
      <c r="I1687" s="1" t="str">
        <f>"160106"</f>
        <v>160106</v>
      </c>
      <c r="J1687" s="1" t="s">
        <v>52</v>
      </c>
      <c r="K1687" s="1" t="s">
        <v>52</v>
      </c>
      <c r="L1687" s="1" t="str">
        <f t="shared" si="318"/>
        <v>20220908</v>
      </c>
      <c r="M1687" s="1" t="str">
        <f>"162534"</f>
        <v>162534</v>
      </c>
      <c r="N1687" s="1" t="s">
        <v>78</v>
      </c>
      <c r="O1687" s="1" t="s">
        <v>52</v>
      </c>
      <c r="P1687" s="1" t="s">
        <v>68</v>
      </c>
      <c r="Q1687" s="1">
        <v>13</v>
      </c>
      <c r="R1687" s="1">
        <v>0</v>
      </c>
      <c r="S1687" s="1">
        <v>0</v>
      </c>
      <c r="T1687" s="1">
        <v>13</v>
      </c>
      <c r="U1687" s="1">
        <v>0</v>
      </c>
      <c r="V1687" s="1" t="str">
        <f t="shared" si="315"/>
        <v>里程去程</v>
      </c>
      <c r="W1687" s="1" t="str">
        <f>"0020"</f>
        <v>0020</v>
      </c>
      <c r="X1687" s="1" t="s">
        <v>29</v>
      </c>
    </row>
    <row r="1688" spans="1:24" x14ac:dyDescent="0.3">
      <c r="A1688" s="1" t="str">
        <f t="shared" si="314"/>
        <v>59828</v>
      </c>
      <c r="B1688" s="1" t="s">
        <v>23</v>
      </c>
      <c r="C1688" s="1" t="s">
        <v>24</v>
      </c>
      <c r="D1688" s="1" t="str">
        <f t="shared" si="316"/>
        <v>9801</v>
      </c>
      <c r="E1688" s="1" t="s">
        <v>25</v>
      </c>
      <c r="F1688" s="1" t="str">
        <f>"C2C219031A880400C834002000000015"</f>
        <v>C2C219031A880400C834002000000015</v>
      </c>
      <c r="G1688" s="1" t="s">
        <v>74</v>
      </c>
      <c r="H1688" s="1" t="str">
        <f t="shared" si="317"/>
        <v>20220908</v>
      </c>
      <c r="I1688" s="1" t="str">
        <f>"160717"</f>
        <v>160717</v>
      </c>
      <c r="J1688" s="1" t="s">
        <v>60</v>
      </c>
      <c r="K1688" s="1" t="s">
        <v>52</v>
      </c>
      <c r="L1688" s="1" t="str">
        <f t="shared" si="318"/>
        <v>20220908</v>
      </c>
      <c r="M1688" s="1" t="str">
        <f>"161754"</f>
        <v>161754</v>
      </c>
      <c r="N1688" s="1" t="s">
        <v>80</v>
      </c>
      <c r="O1688" s="1" t="s">
        <v>52</v>
      </c>
      <c r="P1688" s="1" t="s">
        <v>68</v>
      </c>
      <c r="Q1688" s="1">
        <v>13</v>
      </c>
      <c r="R1688" s="1">
        <v>0</v>
      </c>
      <c r="S1688" s="1">
        <v>0</v>
      </c>
      <c r="T1688" s="1">
        <v>13</v>
      </c>
      <c r="U1688" s="1">
        <v>0</v>
      </c>
      <c r="V1688" s="1" t="str">
        <f t="shared" si="315"/>
        <v>里程去程</v>
      </c>
      <c r="W1688" s="1" t="str">
        <f>"0020"</f>
        <v>0020</v>
      </c>
      <c r="X1688" s="1" t="s">
        <v>29</v>
      </c>
    </row>
    <row r="1689" spans="1:24" x14ac:dyDescent="0.3">
      <c r="A1689" s="1" t="str">
        <f t="shared" si="314"/>
        <v>59828</v>
      </c>
      <c r="B1689" s="1" t="s">
        <v>23</v>
      </c>
      <c r="C1689" s="1" t="s">
        <v>24</v>
      </c>
      <c r="D1689" s="1" t="str">
        <f t="shared" si="316"/>
        <v>9801</v>
      </c>
      <c r="E1689" s="1" t="s">
        <v>25</v>
      </c>
      <c r="F1689" s="1" t="str">
        <f>"894153189"</f>
        <v>894153189</v>
      </c>
      <c r="G1689" s="1" t="s">
        <v>33</v>
      </c>
      <c r="H1689" s="1" t="str">
        <f t="shared" si="317"/>
        <v>20220908</v>
      </c>
      <c r="I1689" s="1" t="str">
        <f>"161320"</f>
        <v>161320</v>
      </c>
      <c r="J1689" s="1" t="s">
        <v>72</v>
      </c>
      <c r="K1689" s="1" t="s">
        <v>52</v>
      </c>
      <c r="L1689" s="1" t="str">
        <f t="shared" si="318"/>
        <v>20220908</v>
      </c>
      <c r="M1689" s="1" t="str">
        <f>"163624"</f>
        <v>163624</v>
      </c>
      <c r="N1689" s="1" t="s">
        <v>70</v>
      </c>
      <c r="O1689" s="1" t="s">
        <v>28</v>
      </c>
      <c r="P1689" s="1" t="s">
        <v>55</v>
      </c>
      <c r="Q1689" s="1">
        <v>25</v>
      </c>
      <c r="R1689" s="1">
        <v>25</v>
      </c>
      <c r="S1689" s="1">
        <v>0</v>
      </c>
      <c r="T1689" s="1">
        <v>0</v>
      </c>
      <c r="U1689" s="1">
        <v>0</v>
      </c>
      <c r="V1689" s="1" t="str">
        <f t="shared" si="315"/>
        <v>里程去程</v>
      </c>
      <c r="W1689" s="1" t="str">
        <f>"2020"</f>
        <v>2020</v>
      </c>
      <c r="X1689" s="1" t="s">
        <v>35</v>
      </c>
    </row>
    <row r="1690" spans="1:24" x14ac:dyDescent="0.3">
      <c r="A1690" s="1" t="str">
        <f t="shared" si="314"/>
        <v>59828</v>
      </c>
      <c r="B1690" s="1" t="s">
        <v>23</v>
      </c>
      <c r="C1690" s="1" t="s">
        <v>24</v>
      </c>
      <c r="D1690" s="1" t="str">
        <f t="shared" si="316"/>
        <v>9801</v>
      </c>
      <c r="E1690" s="1" t="s">
        <v>25</v>
      </c>
      <c r="F1690" s="1" t="str">
        <f>"1323878753"</f>
        <v>1323878753</v>
      </c>
      <c r="G1690" s="1" t="s">
        <v>33</v>
      </c>
      <c r="H1690" s="1" t="str">
        <f t="shared" si="317"/>
        <v>20220908</v>
      </c>
      <c r="I1690" s="1" t="str">
        <f>"163652"</f>
        <v>163652</v>
      </c>
      <c r="J1690" s="1" t="s">
        <v>27</v>
      </c>
      <c r="K1690" s="1" t="s">
        <v>28</v>
      </c>
      <c r="L1690" s="1" t="str">
        <f t="shared" si="318"/>
        <v>20220908</v>
      </c>
      <c r="M1690" s="1" t="str">
        <f>"164505"</f>
        <v>164505</v>
      </c>
      <c r="N1690" s="1" t="s">
        <v>79</v>
      </c>
      <c r="O1690" s="1" t="s">
        <v>45</v>
      </c>
      <c r="P1690" s="1" t="s">
        <v>55</v>
      </c>
      <c r="Q1690" s="1">
        <v>25</v>
      </c>
      <c r="R1690" s="1">
        <v>0</v>
      </c>
      <c r="S1690" s="1">
        <v>25</v>
      </c>
      <c r="T1690" s="1">
        <v>0</v>
      </c>
      <c r="U1690" s="1">
        <v>0</v>
      </c>
      <c r="V1690" s="1" t="str">
        <f t="shared" si="315"/>
        <v>里程去程</v>
      </c>
      <c r="W1690" s="1" t="str">
        <f>"0820"</f>
        <v>0820</v>
      </c>
      <c r="X1690" s="1" t="s">
        <v>35</v>
      </c>
    </row>
    <row r="1691" spans="1:24" x14ac:dyDescent="0.3">
      <c r="A1691" s="1" t="str">
        <f t="shared" si="314"/>
        <v>59828</v>
      </c>
      <c r="B1691" s="1" t="s">
        <v>23</v>
      </c>
      <c r="C1691" s="1" t="s">
        <v>24</v>
      </c>
      <c r="D1691" s="1" t="str">
        <f t="shared" si="316"/>
        <v>9801</v>
      </c>
      <c r="E1691" s="1" t="s">
        <v>25</v>
      </c>
      <c r="F1691" s="1" t="str">
        <f>"72BFE5022A880400C834002000000015"</f>
        <v>72BFE5022A880400C834002000000015</v>
      </c>
      <c r="G1691" s="1" t="s">
        <v>26</v>
      </c>
      <c r="H1691" s="1" t="str">
        <f t="shared" si="317"/>
        <v>20220908</v>
      </c>
      <c r="I1691" s="1" t="str">
        <f>"163658"</f>
        <v>163658</v>
      </c>
      <c r="J1691" s="1" t="s">
        <v>27</v>
      </c>
      <c r="K1691" s="1" t="s">
        <v>28</v>
      </c>
      <c r="L1691" s="1" t="str">
        <f t="shared" si="318"/>
        <v>20220908</v>
      </c>
      <c r="M1691" s="1" t="str">
        <f>"164911"</f>
        <v>164911</v>
      </c>
      <c r="N1691" s="1" t="s">
        <v>61</v>
      </c>
      <c r="O1691" s="1" t="s">
        <v>45</v>
      </c>
      <c r="P1691" s="1" t="s">
        <v>68</v>
      </c>
      <c r="Q1691" s="1">
        <v>13</v>
      </c>
      <c r="R1691" s="1">
        <v>0</v>
      </c>
      <c r="S1691" s="1">
        <v>0</v>
      </c>
      <c r="T1691" s="1">
        <v>13</v>
      </c>
      <c r="U1691" s="1">
        <v>0</v>
      </c>
      <c r="V1691" s="1" t="str">
        <f t="shared" si="315"/>
        <v>里程去程</v>
      </c>
      <c r="W1691" s="1" t="str">
        <f>"0020"</f>
        <v>0020</v>
      </c>
      <c r="X1691" s="1" t="s">
        <v>29</v>
      </c>
    </row>
    <row r="1692" spans="1:24" x14ac:dyDescent="0.3">
      <c r="A1692" s="1" t="str">
        <f t="shared" si="314"/>
        <v>59828</v>
      </c>
      <c r="B1692" s="1" t="s">
        <v>23</v>
      </c>
      <c r="C1692" s="1" t="s">
        <v>24</v>
      </c>
      <c r="D1692" s="1" t="str">
        <f t="shared" si="316"/>
        <v>9801</v>
      </c>
      <c r="E1692" s="1" t="s">
        <v>25</v>
      </c>
      <c r="F1692" s="1" t="str">
        <f>"1073273029"</f>
        <v>1073273029</v>
      </c>
      <c r="G1692" s="1" t="s">
        <v>33</v>
      </c>
      <c r="H1692" s="1" t="str">
        <f t="shared" si="317"/>
        <v>20220908</v>
      </c>
      <c r="I1692" s="1" t="str">
        <f>"172801"</f>
        <v>172801</v>
      </c>
      <c r="J1692" s="1" t="s">
        <v>44</v>
      </c>
      <c r="K1692" s="1" t="s">
        <v>45</v>
      </c>
      <c r="L1692" s="1" t="str">
        <f t="shared" si="318"/>
        <v>20220908</v>
      </c>
      <c r="M1692" s="1" t="str">
        <f>"175507"</f>
        <v>175507</v>
      </c>
      <c r="N1692" s="1" t="s">
        <v>28</v>
      </c>
      <c r="O1692" s="1" t="s">
        <v>28</v>
      </c>
      <c r="P1692" s="1" t="s">
        <v>55</v>
      </c>
      <c r="Q1692" s="1">
        <v>25</v>
      </c>
      <c r="R1692" s="1">
        <v>25</v>
      </c>
      <c r="S1692" s="1">
        <v>0</v>
      </c>
      <c r="T1692" s="1">
        <v>0</v>
      </c>
      <c r="U1692" s="1">
        <v>0</v>
      </c>
      <c r="V1692" s="1" t="str">
        <f t="shared" ref="V1692:V1703" si="319">"里程返程"</f>
        <v>里程返程</v>
      </c>
      <c r="W1692" s="1" t="str">
        <f>"0820"</f>
        <v>0820</v>
      </c>
      <c r="X1692" s="1" t="s">
        <v>35</v>
      </c>
    </row>
    <row r="1693" spans="1:24" x14ac:dyDescent="0.3">
      <c r="A1693" s="1" t="str">
        <f t="shared" si="314"/>
        <v>59828</v>
      </c>
      <c r="B1693" s="1" t="s">
        <v>23</v>
      </c>
      <c r="C1693" s="1" t="s">
        <v>24</v>
      </c>
      <c r="D1693" s="1" t="str">
        <f t="shared" si="316"/>
        <v>9801</v>
      </c>
      <c r="E1693" s="1" t="s">
        <v>25</v>
      </c>
      <c r="F1693" s="1" t="str">
        <f>"514908465"</f>
        <v>514908465</v>
      </c>
      <c r="G1693" s="1" t="s">
        <v>96</v>
      </c>
      <c r="H1693" s="1" t="str">
        <f t="shared" si="317"/>
        <v>20220908</v>
      </c>
      <c r="I1693" s="1" t="str">
        <f>"172806"</f>
        <v>172806</v>
      </c>
      <c r="J1693" s="1" t="s">
        <v>44</v>
      </c>
      <c r="K1693" s="1" t="s">
        <v>45</v>
      </c>
      <c r="L1693" s="1" t="str">
        <f t="shared" si="318"/>
        <v>20220908</v>
      </c>
      <c r="M1693" s="1" t="str">
        <f>"175522"</f>
        <v>175522</v>
      </c>
      <c r="N1693" s="1" t="s">
        <v>28</v>
      </c>
      <c r="O1693" s="1" t="s">
        <v>28</v>
      </c>
      <c r="P1693" s="1" t="s">
        <v>55</v>
      </c>
      <c r="Q1693" s="1">
        <v>13</v>
      </c>
      <c r="R1693" s="1">
        <v>13</v>
      </c>
      <c r="S1693" s="1">
        <v>0</v>
      </c>
      <c r="T1693" s="1">
        <v>0</v>
      </c>
      <c r="U1693" s="1">
        <v>0</v>
      </c>
      <c r="V1693" s="1" t="str">
        <f t="shared" si="319"/>
        <v>里程返程</v>
      </c>
      <c r="W1693" s="1" t="str">
        <f>"2020"</f>
        <v>2020</v>
      </c>
      <c r="X1693" s="1" t="s">
        <v>35</v>
      </c>
    </row>
    <row r="1694" spans="1:24" x14ac:dyDescent="0.3">
      <c r="A1694" s="1" t="str">
        <f t="shared" si="314"/>
        <v>59828</v>
      </c>
      <c r="B1694" s="1" t="s">
        <v>23</v>
      </c>
      <c r="C1694" s="1" t="s">
        <v>24</v>
      </c>
      <c r="D1694" s="1" t="str">
        <f t="shared" si="316"/>
        <v>9801</v>
      </c>
      <c r="E1694" s="1" t="s">
        <v>25</v>
      </c>
      <c r="F1694" s="1" t="str">
        <f>"1295491569"</f>
        <v>1295491569</v>
      </c>
      <c r="G1694" s="1" t="s">
        <v>33</v>
      </c>
      <c r="H1694" s="1" t="str">
        <f t="shared" si="317"/>
        <v>20220908</v>
      </c>
      <c r="I1694" s="1" t="str">
        <f>"172808"</f>
        <v>172808</v>
      </c>
      <c r="J1694" s="1" t="s">
        <v>44</v>
      </c>
      <c r="K1694" s="1" t="s">
        <v>45</v>
      </c>
      <c r="L1694" s="1" t="str">
        <f t="shared" si="318"/>
        <v>20220908</v>
      </c>
      <c r="M1694" s="1" t="str">
        <f>"175518"</f>
        <v>175518</v>
      </c>
      <c r="N1694" s="1" t="s">
        <v>28</v>
      </c>
      <c r="O1694" s="1" t="s">
        <v>28</v>
      </c>
      <c r="P1694" s="1" t="s">
        <v>55</v>
      </c>
      <c r="Q1694" s="1">
        <v>25</v>
      </c>
      <c r="R1694" s="1">
        <v>25</v>
      </c>
      <c r="S1694" s="1">
        <v>0</v>
      </c>
      <c r="T1694" s="1">
        <v>0</v>
      </c>
      <c r="U1694" s="1">
        <v>0</v>
      </c>
      <c r="V1694" s="1" t="str">
        <f t="shared" si="319"/>
        <v>里程返程</v>
      </c>
      <c r="W1694" s="1" t="str">
        <f>"2020"</f>
        <v>2020</v>
      </c>
      <c r="X1694" s="1" t="s">
        <v>35</v>
      </c>
    </row>
    <row r="1695" spans="1:24" x14ac:dyDescent="0.3">
      <c r="A1695" s="1" t="str">
        <f t="shared" si="314"/>
        <v>59828</v>
      </c>
      <c r="B1695" s="1" t="s">
        <v>23</v>
      </c>
      <c r="C1695" s="1" t="s">
        <v>24</v>
      </c>
      <c r="D1695" s="1" t="str">
        <f t="shared" si="316"/>
        <v>9801</v>
      </c>
      <c r="E1695" s="1" t="s">
        <v>25</v>
      </c>
      <c r="F1695" s="1" t="str">
        <f>"451284209"</f>
        <v>451284209</v>
      </c>
      <c r="G1695" s="1" t="s">
        <v>33</v>
      </c>
      <c r="H1695" s="1" t="str">
        <f t="shared" si="317"/>
        <v>20220908</v>
      </c>
      <c r="I1695" s="1" t="str">
        <f>"172816"</f>
        <v>172816</v>
      </c>
      <c r="J1695" s="1" t="s">
        <v>44</v>
      </c>
      <c r="K1695" s="1" t="s">
        <v>45</v>
      </c>
      <c r="L1695" s="1" t="str">
        <f t="shared" si="318"/>
        <v>20220908</v>
      </c>
      <c r="M1695" s="1" t="str">
        <f>"175524"</f>
        <v>175524</v>
      </c>
      <c r="N1695" s="1" t="s">
        <v>28</v>
      </c>
      <c r="O1695" s="1" t="s">
        <v>28</v>
      </c>
      <c r="P1695" s="1" t="s">
        <v>55</v>
      </c>
      <c r="Q1695" s="1">
        <v>25</v>
      </c>
      <c r="R1695" s="1">
        <v>25</v>
      </c>
      <c r="S1695" s="1">
        <v>0</v>
      </c>
      <c r="T1695" s="1">
        <v>0</v>
      </c>
      <c r="U1695" s="1">
        <v>0</v>
      </c>
      <c r="V1695" s="1" t="str">
        <f t="shared" si="319"/>
        <v>里程返程</v>
      </c>
      <c r="W1695" s="1" t="str">
        <f>"2020"</f>
        <v>2020</v>
      </c>
      <c r="X1695" s="1" t="s">
        <v>35</v>
      </c>
    </row>
    <row r="1696" spans="1:24" x14ac:dyDescent="0.3">
      <c r="A1696" s="1" t="str">
        <f t="shared" si="314"/>
        <v>59828</v>
      </c>
      <c r="B1696" s="1" t="s">
        <v>23</v>
      </c>
      <c r="C1696" s="1" t="s">
        <v>24</v>
      </c>
      <c r="D1696" s="1" t="str">
        <f t="shared" si="316"/>
        <v>9801</v>
      </c>
      <c r="E1696" s="1" t="s">
        <v>25</v>
      </c>
      <c r="F1696" s="1" t="str">
        <f>"422AE7028D880400C834002000000015"</f>
        <v>422AE7028D880400C834002000000015</v>
      </c>
      <c r="G1696" s="1" t="s">
        <v>74</v>
      </c>
      <c r="H1696" s="1" t="str">
        <f t="shared" si="317"/>
        <v>20220908</v>
      </c>
      <c r="I1696" s="1" t="str">
        <f>"172825"</f>
        <v>172825</v>
      </c>
      <c r="J1696" s="1" t="s">
        <v>44</v>
      </c>
      <c r="K1696" s="1" t="s">
        <v>45</v>
      </c>
      <c r="L1696" s="1" t="str">
        <f t="shared" si="318"/>
        <v>20220908</v>
      </c>
      <c r="M1696" s="1" t="str">
        <f>"175513"</f>
        <v>175513</v>
      </c>
      <c r="N1696" s="1" t="s">
        <v>28</v>
      </c>
      <c r="O1696" s="1" t="s">
        <v>28</v>
      </c>
      <c r="P1696" s="1" t="s">
        <v>68</v>
      </c>
      <c r="Q1696" s="1">
        <v>13</v>
      </c>
      <c r="R1696" s="1">
        <v>0</v>
      </c>
      <c r="S1696" s="1">
        <v>0</v>
      </c>
      <c r="T1696" s="1">
        <v>13</v>
      </c>
      <c r="U1696" s="1">
        <v>0</v>
      </c>
      <c r="V1696" s="1" t="str">
        <f t="shared" si="319"/>
        <v>里程返程</v>
      </c>
      <c r="W1696" s="1" t="str">
        <f>"0020"</f>
        <v>0020</v>
      </c>
      <c r="X1696" s="1" t="s">
        <v>29</v>
      </c>
    </row>
    <row r="1697" spans="1:24" x14ac:dyDescent="0.3">
      <c r="A1697" s="1" t="str">
        <f t="shared" si="314"/>
        <v>59828</v>
      </c>
      <c r="B1697" s="1" t="s">
        <v>23</v>
      </c>
      <c r="C1697" s="1" t="s">
        <v>24</v>
      </c>
      <c r="D1697" s="1" t="str">
        <f t="shared" si="316"/>
        <v>9801</v>
      </c>
      <c r="E1697" s="1" t="s">
        <v>25</v>
      </c>
      <c r="F1697" s="1" t="str">
        <f>"B211381B80880400C817002000000021"</f>
        <v>B211381B80880400C817002000000021</v>
      </c>
      <c r="G1697" s="1" t="s">
        <v>59</v>
      </c>
      <c r="H1697" s="1" t="str">
        <f t="shared" si="317"/>
        <v>20220908</v>
      </c>
      <c r="I1697" s="1" t="str">
        <f>"172832"</f>
        <v>172832</v>
      </c>
      <c r="J1697" s="1" t="s">
        <v>44</v>
      </c>
      <c r="K1697" s="1" t="s">
        <v>45</v>
      </c>
      <c r="L1697" s="1" t="str">
        <f t="shared" si="318"/>
        <v>20220908</v>
      </c>
      <c r="M1697" s="1" t="str">
        <f>"175505"</f>
        <v>175505</v>
      </c>
      <c r="N1697" s="1" t="s">
        <v>28</v>
      </c>
      <c r="O1697" s="1" t="s">
        <v>28</v>
      </c>
      <c r="P1697" s="1" t="s">
        <v>55</v>
      </c>
      <c r="Q1697" s="1">
        <v>25</v>
      </c>
      <c r="R1697" s="1">
        <v>25</v>
      </c>
      <c r="S1697" s="1">
        <v>0</v>
      </c>
      <c r="T1697" s="1">
        <v>0</v>
      </c>
      <c r="U1697" s="1">
        <v>0</v>
      </c>
      <c r="V1697" s="1" t="str">
        <f t="shared" si="319"/>
        <v>里程返程</v>
      </c>
      <c r="W1697" s="1" t="str">
        <f>"0020"</f>
        <v>0020</v>
      </c>
      <c r="X1697" s="1" t="s">
        <v>29</v>
      </c>
    </row>
    <row r="1698" spans="1:24" x14ac:dyDescent="0.3">
      <c r="A1698" s="1" t="str">
        <f t="shared" si="314"/>
        <v>59828</v>
      </c>
      <c r="B1698" s="1" t="s">
        <v>23</v>
      </c>
      <c r="C1698" s="1" t="s">
        <v>24</v>
      </c>
      <c r="D1698" s="1" t="str">
        <f t="shared" si="316"/>
        <v>9801</v>
      </c>
      <c r="E1698" s="1" t="s">
        <v>25</v>
      </c>
      <c r="F1698" s="1" t="str">
        <f>"A412015AED280400D200000100000000"</f>
        <v>A412015AED280400D200000100000000</v>
      </c>
      <c r="G1698" s="1" t="s">
        <v>58</v>
      </c>
      <c r="H1698" s="1" t="str">
        <f t="shared" si="317"/>
        <v>20220908</v>
      </c>
      <c r="I1698" s="1" t="str">
        <f>"175546"</f>
        <v>175546</v>
      </c>
      <c r="J1698" s="1" t="s">
        <v>28</v>
      </c>
      <c r="K1698" s="1" t="s">
        <v>28</v>
      </c>
      <c r="L1698" s="1" t="str">
        <f t="shared" si="318"/>
        <v>20220908</v>
      </c>
      <c r="M1698" s="1" t="str">
        <f>"183111"</f>
        <v>183111</v>
      </c>
      <c r="N1698" s="1" t="s">
        <v>52</v>
      </c>
      <c r="O1698" s="1" t="s">
        <v>52</v>
      </c>
      <c r="P1698" s="1" t="s">
        <v>55</v>
      </c>
      <c r="Q1698" s="1">
        <v>25</v>
      </c>
      <c r="R1698" s="1">
        <v>25</v>
      </c>
      <c r="S1698" s="1">
        <v>0</v>
      </c>
      <c r="T1698" s="1">
        <v>0</v>
      </c>
      <c r="U1698" s="1">
        <v>0</v>
      </c>
      <c r="V1698" s="1" t="str">
        <f t="shared" si="319"/>
        <v>里程返程</v>
      </c>
      <c r="W1698" s="1" t="str">
        <f>"0020"</f>
        <v>0020</v>
      </c>
      <c r="X1698" s="1" t="s">
        <v>29</v>
      </c>
    </row>
    <row r="1699" spans="1:24" x14ac:dyDescent="0.3">
      <c r="A1699" s="1" t="str">
        <f t="shared" si="314"/>
        <v>59828</v>
      </c>
      <c r="B1699" s="1" t="s">
        <v>23</v>
      </c>
      <c r="C1699" s="1" t="s">
        <v>24</v>
      </c>
      <c r="D1699" s="1" t="str">
        <f t="shared" si="316"/>
        <v>9801</v>
      </c>
      <c r="E1699" s="1" t="s">
        <v>25</v>
      </c>
      <c r="F1699" s="1" t="str">
        <f>"1045288053"</f>
        <v>1045288053</v>
      </c>
      <c r="G1699" s="1" t="s">
        <v>33</v>
      </c>
      <c r="H1699" s="1" t="str">
        <f t="shared" si="317"/>
        <v>20220908</v>
      </c>
      <c r="I1699" s="1" t="str">
        <f>"175548"</f>
        <v>175548</v>
      </c>
      <c r="J1699" s="1" t="s">
        <v>28</v>
      </c>
      <c r="K1699" s="1" t="s">
        <v>28</v>
      </c>
      <c r="L1699" s="1" t="str">
        <f t="shared" si="318"/>
        <v>20220908</v>
      </c>
      <c r="M1699" s="1" t="str">
        <f>"182803"</f>
        <v>182803</v>
      </c>
      <c r="N1699" s="1" t="s">
        <v>86</v>
      </c>
      <c r="O1699" s="1" t="s">
        <v>52</v>
      </c>
      <c r="P1699" s="1" t="s">
        <v>55</v>
      </c>
      <c r="Q1699" s="1">
        <v>25</v>
      </c>
      <c r="R1699" s="1">
        <v>25</v>
      </c>
      <c r="S1699" s="1">
        <v>0</v>
      </c>
      <c r="T1699" s="1">
        <v>0</v>
      </c>
      <c r="U1699" s="1">
        <v>0</v>
      </c>
      <c r="V1699" s="1" t="str">
        <f t="shared" si="319"/>
        <v>里程返程</v>
      </c>
      <c r="W1699" s="1" t="str">
        <f>"0120"</f>
        <v>0120</v>
      </c>
      <c r="X1699" s="1" t="s">
        <v>35</v>
      </c>
    </row>
    <row r="1700" spans="1:24" x14ac:dyDescent="0.3">
      <c r="A1700" s="1" t="str">
        <f t="shared" si="314"/>
        <v>59828</v>
      </c>
      <c r="B1700" s="1" t="s">
        <v>23</v>
      </c>
      <c r="C1700" s="1" t="s">
        <v>24</v>
      </c>
      <c r="D1700" s="1" t="str">
        <f t="shared" si="316"/>
        <v>9801</v>
      </c>
      <c r="E1700" s="1" t="s">
        <v>25</v>
      </c>
      <c r="F1700" s="1" t="str">
        <f>"480882305"</f>
        <v>480882305</v>
      </c>
      <c r="G1700" s="1" t="s">
        <v>33</v>
      </c>
      <c r="H1700" s="1" t="str">
        <f t="shared" si="317"/>
        <v>20220908</v>
      </c>
      <c r="I1700" s="1" t="str">
        <f>"185444"</f>
        <v>185444</v>
      </c>
      <c r="J1700" s="1" t="s">
        <v>28</v>
      </c>
      <c r="K1700" s="1" t="s">
        <v>28</v>
      </c>
      <c r="L1700" s="1" t="str">
        <f t="shared" si="318"/>
        <v>20220908</v>
      </c>
      <c r="M1700" s="1" t="str">
        <f>"192246"</f>
        <v>192246</v>
      </c>
      <c r="N1700" s="1" t="s">
        <v>52</v>
      </c>
      <c r="O1700" s="1" t="s">
        <v>52</v>
      </c>
      <c r="P1700" s="1" t="s">
        <v>55</v>
      </c>
      <c r="Q1700" s="1">
        <v>25</v>
      </c>
      <c r="R1700" s="1">
        <v>25</v>
      </c>
      <c r="S1700" s="1">
        <v>0</v>
      </c>
      <c r="T1700" s="1">
        <v>0</v>
      </c>
      <c r="U1700" s="1">
        <v>0</v>
      </c>
      <c r="V1700" s="1" t="str">
        <f t="shared" si="319"/>
        <v>里程返程</v>
      </c>
      <c r="W1700" s="1" t="str">
        <f>"0120"</f>
        <v>0120</v>
      </c>
      <c r="X1700" s="1" t="s">
        <v>35</v>
      </c>
    </row>
    <row r="1701" spans="1:24" x14ac:dyDescent="0.3">
      <c r="A1701" s="1" t="str">
        <f t="shared" si="314"/>
        <v>59828</v>
      </c>
      <c r="B1701" s="1" t="s">
        <v>23</v>
      </c>
      <c r="C1701" s="1" t="s">
        <v>24</v>
      </c>
      <c r="D1701" s="1" t="str">
        <f t="shared" si="316"/>
        <v>9801</v>
      </c>
      <c r="E1701" s="1" t="s">
        <v>25</v>
      </c>
      <c r="F1701" s="1" t="str">
        <f>"167398225"</f>
        <v>167398225</v>
      </c>
      <c r="G1701" s="1" t="s">
        <v>33</v>
      </c>
      <c r="H1701" s="1" t="str">
        <f t="shared" si="317"/>
        <v>20220908</v>
      </c>
      <c r="I1701" s="1" t="str">
        <f>"185450"</f>
        <v>185450</v>
      </c>
      <c r="J1701" s="1" t="s">
        <v>28</v>
      </c>
      <c r="K1701" s="1" t="s">
        <v>28</v>
      </c>
      <c r="L1701" s="1" t="str">
        <f t="shared" si="318"/>
        <v>20220908</v>
      </c>
      <c r="M1701" s="1" t="str">
        <f>"192241"</f>
        <v>192241</v>
      </c>
      <c r="N1701" s="1" t="s">
        <v>52</v>
      </c>
      <c r="O1701" s="1" t="s">
        <v>52</v>
      </c>
      <c r="P1701" s="1" t="s">
        <v>55</v>
      </c>
      <c r="Q1701" s="1">
        <v>25</v>
      </c>
      <c r="R1701" s="1">
        <v>25</v>
      </c>
      <c r="S1701" s="1">
        <v>0</v>
      </c>
      <c r="T1701" s="1">
        <v>0</v>
      </c>
      <c r="U1701" s="1">
        <v>0</v>
      </c>
      <c r="V1701" s="1" t="str">
        <f t="shared" si="319"/>
        <v>里程返程</v>
      </c>
      <c r="W1701" s="1" t="str">
        <f>"2020"</f>
        <v>2020</v>
      </c>
      <c r="X1701" s="1" t="s">
        <v>35</v>
      </c>
    </row>
    <row r="1702" spans="1:24" x14ac:dyDescent="0.3">
      <c r="A1702" s="1" t="str">
        <f t="shared" si="314"/>
        <v>59828</v>
      </c>
      <c r="B1702" s="1" t="s">
        <v>23</v>
      </c>
      <c r="C1702" s="1" t="s">
        <v>24</v>
      </c>
      <c r="D1702" s="1" t="str">
        <f t="shared" si="316"/>
        <v>9801</v>
      </c>
      <c r="E1702" s="1" t="s">
        <v>25</v>
      </c>
      <c r="F1702" s="1" t="str">
        <f>"943998773"</f>
        <v>943998773</v>
      </c>
      <c r="G1702" s="1" t="s">
        <v>38</v>
      </c>
      <c r="H1702" s="1" t="str">
        <f t="shared" si="317"/>
        <v>20220908</v>
      </c>
      <c r="I1702" s="1" t="str">
        <f>"185453"</f>
        <v>185453</v>
      </c>
      <c r="J1702" s="1" t="s">
        <v>28</v>
      </c>
      <c r="K1702" s="1" t="s">
        <v>28</v>
      </c>
      <c r="L1702" s="1" t="str">
        <f t="shared" si="318"/>
        <v>20220908</v>
      </c>
      <c r="M1702" s="1" t="str">
        <f>"191047"</f>
        <v>191047</v>
      </c>
      <c r="N1702" s="1" t="s">
        <v>80</v>
      </c>
      <c r="O1702" s="1" t="s">
        <v>52</v>
      </c>
      <c r="P1702" s="1" t="s">
        <v>55</v>
      </c>
      <c r="Q1702" s="1">
        <v>25</v>
      </c>
      <c r="R1702" s="1">
        <v>0</v>
      </c>
      <c r="S1702" s="1">
        <v>25</v>
      </c>
      <c r="T1702" s="1">
        <v>0</v>
      </c>
      <c r="U1702" s="1">
        <v>0</v>
      </c>
      <c r="V1702" s="1" t="str">
        <f t="shared" si="319"/>
        <v>里程返程</v>
      </c>
      <c r="W1702" s="1" t="str">
        <f>"0820"</f>
        <v>0820</v>
      </c>
      <c r="X1702" s="1" t="s">
        <v>35</v>
      </c>
    </row>
    <row r="1703" spans="1:24" x14ac:dyDescent="0.3">
      <c r="A1703" s="1" t="str">
        <f t="shared" si="314"/>
        <v>59828</v>
      </c>
      <c r="B1703" s="1" t="s">
        <v>23</v>
      </c>
      <c r="C1703" s="1" t="s">
        <v>24</v>
      </c>
      <c r="D1703" s="1" t="str">
        <f t="shared" si="316"/>
        <v>9801</v>
      </c>
      <c r="E1703" s="1" t="s">
        <v>25</v>
      </c>
      <c r="F1703" s="1" t="str">
        <f>"941819429"</f>
        <v>941819429</v>
      </c>
      <c r="G1703" s="1" t="s">
        <v>33</v>
      </c>
      <c r="H1703" s="1" t="str">
        <f t="shared" si="317"/>
        <v>20220908</v>
      </c>
      <c r="I1703" s="1" t="str">
        <f>"185455"</f>
        <v>185455</v>
      </c>
      <c r="J1703" s="1" t="s">
        <v>28</v>
      </c>
      <c r="K1703" s="1" t="s">
        <v>28</v>
      </c>
      <c r="L1703" s="1" t="str">
        <f t="shared" si="318"/>
        <v>20220908</v>
      </c>
      <c r="M1703" s="1" t="str">
        <f>"191208"</f>
        <v>191208</v>
      </c>
      <c r="N1703" s="1" t="s">
        <v>97</v>
      </c>
      <c r="O1703" s="1" t="s">
        <v>52</v>
      </c>
      <c r="P1703" s="1" t="s">
        <v>55</v>
      </c>
      <c r="Q1703" s="1">
        <v>25</v>
      </c>
      <c r="R1703" s="1">
        <v>25</v>
      </c>
      <c r="S1703" s="1">
        <v>0</v>
      </c>
      <c r="T1703" s="1">
        <v>0</v>
      </c>
      <c r="U1703" s="1">
        <v>0</v>
      </c>
      <c r="V1703" s="1" t="str">
        <f t="shared" si="319"/>
        <v>里程返程</v>
      </c>
      <c r="W1703" s="1" t="str">
        <f>"0820"</f>
        <v>0820</v>
      </c>
      <c r="X1703" s="1" t="s">
        <v>35</v>
      </c>
    </row>
    <row r="1704" spans="1:24" x14ac:dyDescent="0.3">
      <c r="A1704" s="1" t="str">
        <f t="shared" si="314"/>
        <v>59828</v>
      </c>
      <c r="B1704" s="1" t="s">
        <v>23</v>
      </c>
      <c r="C1704" s="1" t="s">
        <v>24</v>
      </c>
      <c r="D1704" s="1" t="str">
        <f t="shared" si="316"/>
        <v>9801</v>
      </c>
      <c r="E1704" s="1" t="s">
        <v>25</v>
      </c>
      <c r="F1704" s="1" t="str">
        <f>"1078180449"</f>
        <v>1078180449</v>
      </c>
      <c r="G1704" s="1" t="s">
        <v>33</v>
      </c>
      <c r="H1704" s="1" t="str">
        <f t="shared" si="317"/>
        <v>20220908</v>
      </c>
      <c r="I1704" s="1" t="str">
        <f>"201533"</f>
        <v>201533</v>
      </c>
      <c r="J1704" s="1" t="s">
        <v>80</v>
      </c>
      <c r="K1704" s="1" t="s">
        <v>52</v>
      </c>
      <c r="L1704" s="1" t="str">
        <f t="shared" ref="L1704:L1735" si="320">"20220908"</f>
        <v>20220908</v>
      </c>
      <c r="M1704" s="1" t="str">
        <f>"202604"</f>
        <v>202604</v>
      </c>
      <c r="N1704" s="1" t="s">
        <v>83</v>
      </c>
      <c r="O1704" s="1" t="s">
        <v>52</v>
      </c>
      <c r="P1704" s="1" t="s">
        <v>55</v>
      </c>
      <c r="Q1704" s="1">
        <v>25</v>
      </c>
      <c r="R1704" s="1">
        <v>25</v>
      </c>
      <c r="S1704" s="1">
        <v>0</v>
      </c>
      <c r="T1704" s="1">
        <v>0</v>
      </c>
      <c r="U1704" s="1">
        <v>0</v>
      </c>
      <c r="V1704" s="1" t="str">
        <f>"里程去程"</f>
        <v>里程去程</v>
      </c>
      <c r="W1704" s="1" t="str">
        <f>"0e20"</f>
        <v>0e20</v>
      </c>
      <c r="X1704" s="1" t="s">
        <v>35</v>
      </c>
    </row>
    <row r="1705" spans="1:24" x14ac:dyDescent="0.3">
      <c r="A1705" s="1" t="str">
        <f t="shared" si="314"/>
        <v>59828</v>
      </c>
      <c r="B1705" s="1" t="s">
        <v>23</v>
      </c>
      <c r="C1705" s="1" t="s">
        <v>24</v>
      </c>
      <c r="D1705" s="1" t="str">
        <f t="shared" si="316"/>
        <v>9801</v>
      </c>
      <c r="E1705" s="1" t="s">
        <v>25</v>
      </c>
      <c r="F1705" s="1" t="str">
        <f>"118200821"</f>
        <v>118200821</v>
      </c>
      <c r="G1705" s="1" t="s">
        <v>33</v>
      </c>
      <c r="H1705" s="1" t="str">
        <f t="shared" si="317"/>
        <v>20220908</v>
      </c>
      <c r="I1705" s="1" t="str">
        <f>"201536"</f>
        <v>201536</v>
      </c>
      <c r="J1705" s="1" t="s">
        <v>80</v>
      </c>
      <c r="K1705" s="1" t="s">
        <v>52</v>
      </c>
      <c r="L1705" s="1" t="str">
        <f t="shared" si="320"/>
        <v>20220908</v>
      </c>
      <c r="M1705" s="1" t="str">
        <f>"202601"</f>
        <v>202601</v>
      </c>
      <c r="N1705" s="1" t="s">
        <v>83</v>
      </c>
      <c r="O1705" s="1" t="s">
        <v>52</v>
      </c>
      <c r="P1705" s="1" t="s">
        <v>55</v>
      </c>
      <c r="Q1705" s="1">
        <v>25</v>
      </c>
      <c r="R1705" s="1">
        <v>25</v>
      </c>
      <c r="S1705" s="1">
        <v>0</v>
      </c>
      <c r="T1705" s="1">
        <v>0</v>
      </c>
      <c r="U1705" s="1">
        <v>0</v>
      </c>
      <c r="V1705" s="1" t="str">
        <f>"里程去程"</f>
        <v>里程去程</v>
      </c>
      <c r="W1705" s="1" t="str">
        <f>"0820"</f>
        <v>0820</v>
      </c>
      <c r="X1705" s="1" t="s">
        <v>35</v>
      </c>
    </row>
    <row r="1706" spans="1:24" x14ac:dyDescent="0.3">
      <c r="A1706" s="1" t="str">
        <f t="shared" si="314"/>
        <v>59828</v>
      </c>
      <c r="B1706" s="1" t="s">
        <v>23</v>
      </c>
      <c r="C1706" s="1" t="s">
        <v>24</v>
      </c>
      <c r="D1706" s="1" t="str">
        <f t="shared" si="316"/>
        <v>9801</v>
      </c>
      <c r="E1706" s="1" t="s">
        <v>25</v>
      </c>
      <c r="F1706" s="1" t="str">
        <f>"1113090661"</f>
        <v>1113090661</v>
      </c>
      <c r="G1706" s="1" t="s">
        <v>38</v>
      </c>
      <c r="H1706" s="1" t="str">
        <f t="shared" si="317"/>
        <v>20220908</v>
      </c>
      <c r="I1706" s="1" t="str">
        <f>"203303"</f>
        <v>203303</v>
      </c>
      <c r="J1706" s="1" t="s">
        <v>27</v>
      </c>
      <c r="K1706" s="1" t="s">
        <v>28</v>
      </c>
      <c r="L1706" s="1" t="str">
        <f t="shared" si="320"/>
        <v>20220908</v>
      </c>
      <c r="M1706" s="1" t="str">
        <f>"205512"</f>
        <v>205512</v>
      </c>
      <c r="N1706" s="1" t="s">
        <v>100</v>
      </c>
      <c r="O1706" s="1" t="s">
        <v>45</v>
      </c>
      <c r="P1706" s="1" t="s">
        <v>55</v>
      </c>
      <c r="Q1706" s="1">
        <v>25</v>
      </c>
      <c r="R1706" s="1">
        <v>25</v>
      </c>
      <c r="S1706" s="1">
        <v>0</v>
      </c>
      <c r="T1706" s="1">
        <v>0</v>
      </c>
      <c r="U1706" s="1">
        <v>0</v>
      </c>
      <c r="V1706" s="1" t="str">
        <f>"里程去程"</f>
        <v>里程去程</v>
      </c>
      <c r="W1706" s="1" t="str">
        <f>"2120"</f>
        <v>2120</v>
      </c>
      <c r="X1706" s="1" t="s">
        <v>35</v>
      </c>
    </row>
    <row r="1707" spans="1:24" x14ac:dyDescent="0.3">
      <c r="A1707" s="1" t="str">
        <f t="shared" si="314"/>
        <v>59828</v>
      </c>
      <c r="B1707" s="1" t="s">
        <v>23</v>
      </c>
      <c r="C1707" s="1" t="s">
        <v>24</v>
      </c>
      <c r="D1707" s="1" t="str">
        <f t="shared" si="316"/>
        <v>9801</v>
      </c>
      <c r="E1707" s="1" t="s">
        <v>25</v>
      </c>
      <c r="F1707" s="1" t="str">
        <f>"1573132776"</f>
        <v>1573132776</v>
      </c>
      <c r="G1707" s="1" t="s">
        <v>33</v>
      </c>
      <c r="H1707" s="1" t="str">
        <f t="shared" si="317"/>
        <v>20220908</v>
      </c>
      <c r="I1707" s="1" t="str">
        <f>"203312"</f>
        <v>203312</v>
      </c>
      <c r="J1707" s="1" t="s">
        <v>27</v>
      </c>
      <c r="K1707" s="1" t="s">
        <v>28</v>
      </c>
      <c r="L1707" s="1" t="str">
        <f t="shared" si="320"/>
        <v>20220908</v>
      </c>
      <c r="M1707" s="1" t="str">
        <f>"204536"</f>
        <v>204536</v>
      </c>
      <c r="N1707" s="1" t="s">
        <v>45</v>
      </c>
      <c r="O1707" s="1" t="s">
        <v>45</v>
      </c>
      <c r="P1707" s="1" t="s">
        <v>55</v>
      </c>
      <c r="Q1707" s="1">
        <v>25</v>
      </c>
      <c r="R1707" s="1">
        <v>25</v>
      </c>
      <c r="S1707" s="1">
        <v>0</v>
      </c>
      <c r="T1707" s="1">
        <v>0</v>
      </c>
      <c r="U1707" s="1">
        <v>0</v>
      </c>
      <c r="V1707" s="1" t="str">
        <f>"里程去程"</f>
        <v>里程去程</v>
      </c>
      <c r="W1707" s="1" t="str">
        <f>"2120"</f>
        <v>2120</v>
      </c>
      <c r="X1707" s="1" t="s">
        <v>35</v>
      </c>
    </row>
    <row r="1708" spans="1:24" x14ac:dyDescent="0.3">
      <c r="A1708" s="1" t="str">
        <f t="shared" si="314"/>
        <v>59828</v>
      </c>
      <c r="B1708" s="1" t="s">
        <v>23</v>
      </c>
      <c r="C1708" s="1" t="s">
        <v>24</v>
      </c>
      <c r="D1708" s="1" t="str">
        <f t="shared" si="316"/>
        <v>9801</v>
      </c>
      <c r="E1708" s="1" t="s">
        <v>25</v>
      </c>
      <c r="F1708" s="1" t="str">
        <f>"1001140357"</f>
        <v>1001140357</v>
      </c>
      <c r="G1708" s="1" t="s">
        <v>33</v>
      </c>
      <c r="H1708" s="1" t="str">
        <f t="shared" si="317"/>
        <v>20220908</v>
      </c>
      <c r="I1708" s="1" t="str">
        <f>"203333"</f>
        <v>203333</v>
      </c>
      <c r="J1708" s="1" t="s">
        <v>27</v>
      </c>
      <c r="K1708" s="1" t="s">
        <v>28</v>
      </c>
      <c r="L1708" s="1" t="str">
        <f t="shared" si="320"/>
        <v>20220908</v>
      </c>
      <c r="M1708" s="1" t="str">
        <f>"204931"</f>
        <v>204931</v>
      </c>
      <c r="N1708" s="1" t="s">
        <v>75</v>
      </c>
      <c r="O1708" s="1" t="s">
        <v>45</v>
      </c>
      <c r="P1708" s="1" t="s">
        <v>55</v>
      </c>
      <c r="Q1708" s="1">
        <v>25</v>
      </c>
      <c r="R1708" s="1">
        <v>25</v>
      </c>
      <c r="S1708" s="1">
        <v>0</v>
      </c>
      <c r="T1708" s="1">
        <v>0</v>
      </c>
      <c r="U1708" s="1">
        <v>0</v>
      </c>
      <c r="V1708" s="1" t="str">
        <f>"里程去程"</f>
        <v>里程去程</v>
      </c>
      <c r="W1708" s="1" t="str">
        <f>"0c20"</f>
        <v>0c20</v>
      </c>
      <c r="X1708" s="1" t="s">
        <v>35</v>
      </c>
    </row>
    <row r="1709" spans="1:24" x14ac:dyDescent="0.3">
      <c r="A1709" s="1" t="str">
        <f t="shared" si="314"/>
        <v>59828</v>
      </c>
      <c r="B1709" s="1" t="s">
        <v>23</v>
      </c>
      <c r="C1709" s="1" t="s">
        <v>24</v>
      </c>
      <c r="D1709" s="1" t="str">
        <f>"9805"</f>
        <v>9805</v>
      </c>
      <c r="E1709" s="1" t="s">
        <v>57</v>
      </c>
      <c r="F1709" s="1" t="str">
        <f>"795911041"</f>
        <v>795911041</v>
      </c>
      <c r="G1709" s="1" t="s">
        <v>33</v>
      </c>
      <c r="H1709" s="1" t="str">
        <f t="shared" si="317"/>
        <v>20220908</v>
      </c>
      <c r="I1709" s="1" t="str">
        <f>"213719"</f>
        <v>213719</v>
      </c>
      <c r="J1709" s="1" t="s">
        <v>52</v>
      </c>
      <c r="K1709" s="1" t="s">
        <v>52</v>
      </c>
      <c r="L1709" s="1" t="str">
        <f t="shared" si="320"/>
        <v>20220908</v>
      </c>
      <c r="M1709" s="1" t="str">
        <f>"215517"</f>
        <v>215517</v>
      </c>
      <c r="N1709" s="1" t="s">
        <v>28</v>
      </c>
      <c r="O1709" s="1" t="s">
        <v>28</v>
      </c>
      <c r="P1709" s="1" t="s">
        <v>55</v>
      </c>
      <c r="Q1709" s="1">
        <v>25</v>
      </c>
      <c r="R1709" s="1">
        <v>0</v>
      </c>
      <c r="S1709" s="1">
        <v>25</v>
      </c>
      <c r="T1709" s="1">
        <v>0</v>
      </c>
      <c r="U1709" s="1">
        <v>0</v>
      </c>
      <c r="V1709" s="1" t="str">
        <f t="shared" ref="V1709:V1717" si="321">"里程返程"</f>
        <v>里程返程</v>
      </c>
      <c r="W1709" s="1" t="str">
        <f>"2120"</f>
        <v>2120</v>
      </c>
      <c r="X1709" s="1" t="s">
        <v>35</v>
      </c>
    </row>
    <row r="1710" spans="1:24" x14ac:dyDescent="0.3">
      <c r="A1710" s="1" t="str">
        <f t="shared" ref="A1710:A1741" si="322">"59829"</f>
        <v>59829</v>
      </c>
      <c r="B1710" s="1" t="s">
        <v>47</v>
      </c>
      <c r="C1710" s="1" t="s">
        <v>48</v>
      </c>
      <c r="D1710" s="1" t="str">
        <f t="shared" ref="D1710:D1717" si="323">"9806"</f>
        <v>9806</v>
      </c>
      <c r="E1710" s="1" t="s">
        <v>49</v>
      </c>
      <c r="F1710" s="1" t="str">
        <f>"887737285"</f>
        <v>887737285</v>
      </c>
      <c r="G1710" s="1" t="s">
        <v>33</v>
      </c>
      <c r="H1710" s="1" t="str">
        <f t="shared" si="317"/>
        <v>20220908</v>
      </c>
      <c r="I1710" s="1" t="str">
        <f>"072810"</f>
        <v>072810</v>
      </c>
      <c r="J1710" s="1" t="s">
        <v>28</v>
      </c>
      <c r="K1710" s="1" t="s">
        <v>28</v>
      </c>
      <c r="L1710" s="1" t="str">
        <f t="shared" si="320"/>
        <v>20220908</v>
      </c>
      <c r="M1710" s="1" t="str">
        <f>"073637"</f>
        <v>073637</v>
      </c>
      <c r="N1710" s="1" t="s">
        <v>63</v>
      </c>
      <c r="O1710" s="1" t="s">
        <v>28</v>
      </c>
      <c r="P1710" s="1" t="s">
        <v>55</v>
      </c>
      <c r="Q1710" s="1">
        <v>25</v>
      </c>
      <c r="R1710" s="1">
        <v>0</v>
      </c>
      <c r="S1710" s="1">
        <v>25</v>
      </c>
      <c r="T1710" s="1">
        <v>0</v>
      </c>
      <c r="U1710" s="1">
        <v>0</v>
      </c>
      <c r="V1710" s="1" t="str">
        <f t="shared" si="321"/>
        <v>里程返程</v>
      </c>
      <c r="W1710" s="1" t="str">
        <f>"0820"</f>
        <v>0820</v>
      </c>
      <c r="X1710" s="1" t="s">
        <v>35</v>
      </c>
    </row>
    <row r="1711" spans="1:24" x14ac:dyDescent="0.3">
      <c r="A1711" s="1" t="str">
        <f t="shared" si="322"/>
        <v>59829</v>
      </c>
      <c r="B1711" s="1" t="s">
        <v>47</v>
      </c>
      <c r="C1711" s="1" t="s">
        <v>48</v>
      </c>
      <c r="D1711" s="1" t="str">
        <f t="shared" si="323"/>
        <v>9806</v>
      </c>
      <c r="E1711" s="1" t="s">
        <v>49</v>
      </c>
      <c r="F1711" s="1" t="str">
        <f>"C2F73B1618880400C814002000000019"</f>
        <v>C2F73B1618880400C814002000000019</v>
      </c>
      <c r="G1711" s="1" t="s">
        <v>59</v>
      </c>
      <c r="H1711" s="1" t="str">
        <f t="shared" si="317"/>
        <v>20220908</v>
      </c>
      <c r="I1711" s="1" t="str">
        <f>"072813"</f>
        <v>072813</v>
      </c>
      <c r="J1711" s="1" t="s">
        <v>28</v>
      </c>
      <c r="K1711" s="1" t="s">
        <v>28</v>
      </c>
      <c r="L1711" s="1" t="str">
        <f t="shared" si="320"/>
        <v>20220908</v>
      </c>
      <c r="M1711" s="1" t="str">
        <f>"073642"</f>
        <v>073642</v>
      </c>
      <c r="N1711" s="1" t="s">
        <v>63</v>
      </c>
      <c r="O1711" s="1" t="s">
        <v>28</v>
      </c>
      <c r="P1711" s="1" t="s">
        <v>55</v>
      </c>
      <c r="Q1711" s="1">
        <v>25</v>
      </c>
      <c r="R1711" s="1">
        <v>0</v>
      </c>
      <c r="S1711" s="1">
        <v>25</v>
      </c>
      <c r="T1711" s="1">
        <v>0</v>
      </c>
      <c r="U1711" s="1">
        <v>0</v>
      </c>
      <c r="V1711" s="1" t="str">
        <f t="shared" si="321"/>
        <v>里程返程</v>
      </c>
      <c r="W1711" s="1" t="str">
        <f>"0620"</f>
        <v>0620</v>
      </c>
      <c r="X1711" s="1" t="s">
        <v>29</v>
      </c>
    </row>
    <row r="1712" spans="1:24" x14ac:dyDescent="0.3">
      <c r="A1712" s="1" t="str">
        <f t="shared" si="322"/>
        <v>59829</v>
      </c>
      <c r="B1712" s="1" t="s">
        <v>47</v>
      </c>
      <c r="C1712" s="1" t="s">
        <v>48</v>
      </c>
      <c r="D1712" s="1" t="str">
        <f t="shared" si="323"/>
        <v>9806</v>
      </c>
      <c r="E1712" s="1" t="s">
        <v>49</v>
      </c>
      <c r="F1712" s="1" t="str">
        <f>"1261180965"</f>
        <v>1261180965</v>
      </c>
      <c r="G1712" s="1" t="s">
        <v>33</v>
      </c>
      <c r="H1712" s="1" t="str">
        <f t="shared" si="317"/>
        <v>20220908</v>
      </c>
      <c r="I1712" s="1" t="str">
        <f>"072815"</f>
        <v>072815</v>
      </c>
      <c r="J1712" s="1" t="s">
        <v>28</v>
      </c>
      <c r="K1712" s="1" t="s">
        <v>28</v>
      </c>
      <c r="L1712" s="1" t="str">
        <f t="shared" si="320"/>
        <v>20220908</v>
      </c>
      <c r="M1712" s="1" t="str">
        <f>"073643"</f>
        <v>073643</v>
      </c>
      <c r="N1712" s="1" t="s">
        <v>63</v>
      </c>
      <c r="O1712" s="1" t="s">
        <v>28</v>
      </c>
      <c r="P1712" s="1" t="s">
        <v>55</v>
      </c>
      <c r="Q1712" s="1">
        <v>25</v>
      </c>
      <c r="R1712" s="1">
        <v>0</v>
      </c>
      <c r="S1712" s="1">
        <v>25</v>
      </c>
      <c r="T1712" s="1">
        <v>0</v>
      </c>
      <c r="U1712" s="1">
        <v>0</v>
      </c>
      <c r="V1712" s="1" t="str">
        <f t="shared" si="321"/>
        <v>里程返程</v>
      </c>
      <c r="W1712" s="1" t="str">
        <f>"0820"</f>
        <v>0820</v>
      </c>
      <c r="X1712" s="1" t="s">
        <v>35</v>
      </c>
    </row>
    <row r="1713" spans="1:24" x14ac:dyDescent="0.3">
      <c r="A1713" s="1" t="str">
        <f t="shared" si="322"/>
        <v>59829</v>
      </c>
      <c r="B1713" s="1" t="s">
        <v>47</v>
      </c>
      <c r="C1713" s="1" t="s">
        <v>48</v>
      </c>
      <c r="D1713" s="1" t="str">
        <f t="shared" si="323"/>
        <v>9806</v>
      </c>
      <c r="E1713" s="1" t="s">
        <v>49</v>
      </c>
      <c r="F1713" s="1" t="str">
        <f>"927551509"</f>
        <v>927551509</v>
      </c>
      <c r="G1713" s="1" t="s">
        <v>38</v>
      </c>
      <c r="H1713" s="1" t="str">
        <f t="shared" si="317"/>
        <v>20220908</v>
      </c>
      <c r="I1713" s="1" t="str">
        <f>"072817"</f>
        <v>072817</v>
      </c>
      <c r="J1713" s="1" t="s">
        <v>28</v>
      </c>
      <c r="K1713" s="1" t="s">
        <v>28</v>
      </c>
      <c r="L1713" s="1" t="str">
        <f t="shared" si="320"/>
        <v>20220908</v>
      </c>
      <c r="M1713" s="1" t="str">
        <f>"073649"</f>
        <v>073649</v>
      </c>
      <c r="N1713" s="1" t="s">
        <v>63</v>
      </c>
      <c r="O1713" s="1" t="s">
        <v>28</v>
      </c>
      <c r="P1713" s="1" t="s">
        <v>55</v>
      </c>
      <c r="Q1713" s="1">
        <v>25</v>
      </c>
      <c r="R1713" s="1">
        <v>0</v>
      </c>
      <c r="S1713" s="1">
        <v>25</v>
      </c>
      <c r="T1713" s="1">
        <v>0</v>
      </c>
      <c r="U1713" s="1">
        <v>0</v>
      </c>
      <c r="V1713" s="1" t="str">
        <f t="shared" si="321"/>
        <v>里程返程</v>
      </c>
      <c r="W1713" s="1" t="str">
        <f>"0820"</f>
        <v>0820</v>
      </c>
      <c r="X1713" s="1" t="s">
        <v>35</v>
      </c>
    </row>
    <row r="1714" spans="1:24" x14ac:dyDescent="0.3">
      <c r="A1714" s="1" t="str">
        <f t="shared" si="322"/>
        <v>59829</v>
      </c>
      <c r="B1714" s="1" t="s">
        <v>47</v>
      </c>
      <c r="C1714" s="1" t="s">
        <v>48</v>
      </c>
      <c r="D1714" s="1" t="str">
        <f t="shared" si="323"/>
        <v>9806</v>
      </c>
      <c r="E1714" s="1" t="s">
        <v>49</v>
      </c>
      <c r="F1714" s="1" t="str">
        <f>"62C93D1680880400C814002000000019"</f>
        <v>62C93D1680880400C814002000000019</v>
      </c>
      <c r="G1714" s="1" t="s">
        <v>59</v>
      </c>
      <c r="H1714" s="1" t="str">
        <f t="shared" si="317"/>
        <v>20220908</v>
      </c>
      <c r="I1714" s="1" t="str">
        <f>"072827"</f>
        <v>072827</v>
      </c>
      <c r="J1714" s="1" t="s">
        <v>28</v>
      </c>
      <c r="K1714" s="1" t="s">
        <v>28</v>
      </c>
      <c r="L1714" s="1" t="str">
        <f t="shared" si="320"/>
        <v>20220908</v>
      </c>
      <c r="M1714" s="1" t="str">
        <f>"073652"</f>
        <v>073652</v>
      </c>
      <c r="N1714" s="1" t="s">
        <v>63</v>
      </c>
      <c r="O1714" s="1" t="s">
        <v>28</v>
      </c>
      <c r="P1714" s="1" t="s">
        <v>55</v>
      </c>
      <c r="Q1714" s="1">
        <v>25</v>
      </c>
      <c r="R1714" s="1">
        <v>0</v>
      </c>
      <c r="S1714" s="1">
        <v>25</v>
      </c>
      <c r="T1714" s="1">
        <v>0</v>
      </c>
      <c r="U1714" s="1">
        <v>0</v>
      </c>
      <c r="V1714" s="1" t="str">
        <f t="shared" si="321"/>
        <v>里程返程</v>
      </c>
      <c r="W1714" s="1" t="str">
        <f>"0620"</f>
        <v>0620</v>
      </c>
      <c r="X1714" s="1" t="s">
        <v>29</v>
      </c>
    </row>
    <row r="1715" spans="1:24" x14ac:dyDescent="0.3">
      <c r="A1715" s="1" t="str">
        <f t="shared" si="322"/>
        <v>59829</v>
      </c>
      <c r="B1715" s="1" t="s">
        <v>47</v>
      </c>
      <c r="C1715" s="1" t="s">
        <v>48</v>
      </c>
      <c r="D1715" s="1" t="str">
        <f t="shared" si="323"/>
        <v>9806</v>
      </c>
      <c r="E1715" s="1" t="s">
        <v>49</v>
      </c>
      <c r="F1715" s="1" t="str">
        <f>"126D55163C880400C814002000000019"</f>
        <v>126D55163C880400C814002000000019</v>
      </c>
      <c r="G1715" s="1" t="s">
        <v>59</v>
      </c>
      <c r="H1715" s="1" t="str">
        <f t="shared" si="317"/>
        <v>20220908</v>
      </c>
      <c r="I1715" s="1" t="str">
        <f>"072829"</f>
        <v>072829</v>
      </c>
      <c r="J1715" s="1" t="s">
        <v>28</v>
      </c>
      <c r="K1715" s="1" t="s">
        <v>28</v>
      </c>
      <c r="L1715" s="1" t="str">
        <f t="shared" si="320"/>
        <v>20220908</v>
      </c>
      <c r="M1715" s="1" t="str">
        <f>"073647"</f>
        <v>073647</v>
      </c>
      <c r="N1715" s="1" t="s">
        <v>63</v>
      </c>
      <c r="O1715" s="1" t="s">
        <v>28</v>
      </c>
      <c r="P1715" s="1" t="s">
        <v>55</v>
      </c>
      <c r="Q1715" s="1">
        <v>25</v>
      </c>
      <c r="R1715" s="1">
        <v>0</v>
      </c>
      <c r="S1715" s="1">
        <v>25</v>
      </c>
      <c r="T1715" s="1">
        <v>0</v>
      </c>
      <c r="U1715" s="1">
        <v>0</v>
      </c>
      <c r="V1715" s="1" t="str">
        <f t="shared" si="321"/>
        <v>里程返程</v>
      </c>
      <c r="W1715" s="1" t="str">
        <f>"0620"</f>
        <v>0620</v>
      </c>
      <c r="X1715" s="1" t="s">
        <v>29</v>
      </c>
    </row>
    <row r="1716" spans="1:24" x14ac:dyDescent="0.3">
      <c r="A1716" s="1" t="str">
        <f t="shared" si="322"/>
        <v>59829</v>
      </c>
      <c r="B1716" s="1" t="s">
        <v>47</v>
      </c>
      <c r="C1716" s="1" t="s">
        <v>48</v>
      </c>
      <c r="D1716" s="1" t="str">
        <f t="shared" si="323"/>
        <v>9806</v>
      </c>
      <c r="E1716" s="1" t="s">
        <v>49</v>
      </c>
      <c r="F1716" s="1" t="str">
        <f>"F238370AF7880400C810002000000016"</f>
        <v>F238370AF7880400C810002000000016</v>
      </c>
      <c r="G1716" s="1" t="s">
        <v>59</v>
      </c>
      <c r="H1716" s="1" t="str">
        <f t="shared" si="317"/>
        <v>20220908</v>
      </c>
      <c r="I1716" s="1" t="str">
        <f>"072832"</f>
        <v>072832</v>
      </c>
      <c r="J1716" s="1" t="s">
        <v>28</v>
      </c>
      <c r="K1716" s="1" t="s">
        <v>28</v>
      </c>
      <c r="L1716" s="1" t="str">
        <f t="shared" si="320"/>
        <v>20220908</v>
      </c>
      <c r="M1716" s="1" t="str">
        <f>"073656"</f>
        <v>073656</v>
      </c>
      <c r="N1716" s="1" t="s">
        <v>63</v>
      </c>
      <c r="O1716" s="1" t="s">
        <v>28</v>
      </c>
      <c r="P1716" s="1" t="s">
        <v>55</v>
      </c>
      <c r="Q1716" s="1">
        <v>25</v>
      </c>
      <c r="R1716" s="1">
        <v>0</v>
      </c>
      <c r="S1716" s="1">
        <v>25</v>
      </c>
      <c r="T1716" s="1">
        <v>0</v>
      </c>
      <c r="U1716" s="1">
        <v>0</v>
      </c>
      <c r="V1716" s="1" t="str">
        <f t="shared" si="321"/>
        <v>里程返程</v>
      </c>
      <c r="W1716" s="1" t="str">
        <f>"0620"</f>
        <v>0620</v>
      </c>
      <c r="X1716" s="1" t="s">
        <v>29</v>
      </c>
    </row>
    <row r="1717" spans="1:24" x14ac:dyDescent="0.3">
      <c r="A1717" s="1" t="str">
        <f t="shared" si="322"/>
        <v>59829</v>
      </c>
      <c r="B1717" s="1" t="s">
        <v>47</v>
      </c>
      <c r="C1717" s="1" t="s">
        <v>48</v>
      </c>
      <c r="D1717" s="1" t="str">
        <f t="shared" si="323"/>
        <v>9806</v>
      </c>
      <c r="E1717" s="1" t="s">
        <v>49</v>
      </c>
      <c r="F1717" s="1" t="str">
        <f>"652006485"</f>
        <v>652006485</v>
      </c>
      <c r="G1717" s="1" t="s">
        <v>33</v>
      </c>
      <c r="H1717" s="1" t="str">
        <f t="shared" si="317"/>
        <v>20220908</v>
      </c>
      <c r="I1717" s="1" t="str">
        <f>"072838"</f>
        <v>072838</v>
      </c>
      <c r="J1717" s="1" t="s">
        <v>28</v>
      </c>
      <c r="K1717" s="1" t="s">
        <v>28</v>
      </c>
      <c r="L1717" s="1" t="str">
        <f t="shared" si="320"/>
        <v>20220908</v>
      </c>
      <c r="M1717" s="1" t="str">
        <f>"073639"</f>
        <v>073639</v>
      </c>
      <c r="N1717" s="1" t="s">
        <v>63</v>
      </c>
      <c r="O1717" s="1" t="s">
        <v>28</v>
      </c>
      <c r="P1717" s="1" t="s">
        <v>55</v>
      </c>
      <c r="Q1717" s="1">
        <v>25</v>
      </c>
      <c r="R1717" s="1">
        <v>0</v>
      </c>
      <c r="S1717" s="1">
        <v>25</v>
      </c>
      <c r="T1717" s="1">
        <v>0</v>
      </c>
      <c r="U1717" s="1">
        <v>0</v>
      </c>
      <c r="V1717" s="1" t="str">
        <f t="shared" si="321"/>
        <v>里程返程</v>
      </c>
      <c r="W1717" s="1" t="str">
        <f>"0820"</f>
        <v>0820</v>
      </c>
      <c r="X1717" s="1" t="s">
        <v>35</v>
      </c>
    </row>
    <row r="1718" spans="1:24" x14ac:dyDescent="0.3">
      <c r="A1718" s="1" t="str">
        <f t="shared" si="322"/>
        <v>59829</v>
      </c>
      <c r="B1718" s="1" t="s">
        <v>47</v>
      </c>
      <c r="C1718" s="1" t="s">
        <v>48</v>
      </c>
      <c r="D1718" s="1" t="str">
        <f t="shared" ref="D1718:D1727" si="324">"9803"</f>
        <v>9803</v>
      </c>
      <c r="E1718" s="1" t="s">
        <v>32</v>
      </c>
      <c r="F1718" s="1" t="str">
        <f>"1175786101"</f>
        <v>1175786101</v>
      </c>
      <c r="G1718" s="1" t="s">
        <v>33</v>
      </c>
      <c r="H1718" s="1" t="str">
        <f t="shared" si="317"/>
        <v>20220908</v>
      </c>
      <c r="I1718" s="1" t="str">
        <f>"080833"</f>
        <v>080833</v>
      </c>
      <c r="J1718" s="1" t="s">
        <v>28</v>
      </c>
      <c r="K1718" s="1" t="s">
        <v>28</v>
      </c>
      <c r="L1718" s="1" t="str">
        <f t="shared" si="320"/>
        <v>20220908</v>
      </c>
      <c r="M1718" s="1" t="str">
        <f>"082845"</f>
        <v>082845</v>
      </c>
      <c r="N1718" s="1" t="s">
        <v>34</v>
      </c>
      <c r="O1718" s="1" t="s">
        <v>34</v>
      </c>
      <c r="P1718" s="1" t="s">
        <v>55</v>
      </c>
      <c r="Q1718" s="1">
        <v>25</v>
      </c>
      <c r="R1718" s="1">
        <v>25</v>
      </c>
      <c r="S1718" s="1">
        <v>0</v>
      </c>
      <c r="T1718" s="1">
        <v>0</v>
      </c>
      <c r="U1718" s="1">
        <v>0</v>
      </c>
      <c r="V1718" s="1" t="str">
        <f t="shared" ref="V1718:V1738" si="325">"里程去程"</f>
        <v>里程去程</v>
      </c>
      <c r="W1718" s="1" t="str">
        <f>"0120"</f>
        <v>0120</v>
      </c>
      <c r="X1718" s="1" t="s">
        <v>35</v>
      </c>
    </row>
    <row r="1719" spans="1:24" x14ac:dyDescent="0.3">
      <c r="A1719" s="1" t="str">
        <f t="shared" si="322"/>
        <v>59829</v>
      </c>
      <c r="B1719" s="1" t="s">
        <v>47</v>
      </c>
      <c r="C1719" s="1" t="s">
        <v>48</v>
      </c>
      <c r="D1719" s="1" t="str">
        <f t="shared" si="324"/>
        <v>9803</v>
      </c>
      <c r="E1719" s="1" t="s">
        <v>32</v>
      </c>
      <c r="F1719" s="1" t="str">
        <f>"817E3121EF280400F700000000000000"</f>
        <v>817E3121EF280400F700000000000000</v>
      </c>
      <c r="G1719" s="1" t="s">
        <v>58</v>
      </c>
      <c r="H1719" s="1" t="str">
        <f t="shared" si="317"/>
        <v>20220908</v>
      </c>
      <c r="I1719" s="1" t="str">
        <f>"080836"</f>
        <v>080836</v>
      </c>
      <c r="J1719" s="1" t="s">
        <v>28</v>
      </c>
      <c r="K1719" s="1" t="s">
        <v>28</v>
      </c>
      <c r="L1719" s="1" t="str">
        <f t="shared" si="320"/>
        <v>20220908</v>
      </c>
      <c r="M1719" s="1" t="str">
        <f>"082840"</f>
        <v>082840</v>
      </c>
      <c r="N1719" s="1" t="s">
        <v>34</v>
      </c>
      <c r="O1719" s="1" t="s">
        <v>34</v>
      </c>
      <c r="P1719" s="1" t="s">
        <v>55</v>
      </c>
      <c r="Q1719" s="1">
        <v>25</v>
      </c>
      <c r="R1719" s="1">
        <v>25</v>
      </c>
      <c r="S1719" s="1">
        <v>0</v>
      </c>
      <c r="T1719" s="1">
        <v>0</v>
      </c>
      <c r="U1719" s="1">
        <v>0</v>
      </c>
      <c r="V1719" s="1" t="str">
        <f t="shared" si="325"/>
        <v>里程去程</v>
      </c>
      <c r="W1719" s="1" t="str">
        <f>"0020"</f>
        <v>0020</v>
      </c>
      <c r="X1719" s="1" t="s">
        <v>29</v>
      </c>
    </row>
    <row r="1720" spans="1:24" x14ac:dyDescent="0.3">
      <c r="A1720" s="1" t="str">
        <f t="shared" si="322"/>
        <v>59829</v>
      </c>
      <c r="B1720" s="1" t="s">
        <v>47</v>
      </c>
      <c r="C1720" s="1" t="s">
        <v>48</v>
      </c>
      <c r="D1720" s="1" t="str">
        <f t="shared" si="324"/>
        <v>9803</v>
      </c>
      <c r="E1720" s="1" t="s">
        <v>32</v>
      </c>
      <c r="F1720" s="1" t="str">
        <f>"141704815"</f>
        <v>141704815</v>
      </c>
      <c r="G1720" s="1" t="s">
        <v>33</v>
      </c>
      <c r="H1720" s="1" t="str">
        <f t="shared" si="317"/>
        <v>20220908</v>
      </c>
      <c r="I1720" s="1" t="str">
        <f>"080846"</f>
        <v>080846</v>
      </c>
      <c r="J1720" s="1" t="s">
        <v>28</v>
      </c>
      <c r="K1720" s="1" t="s">
        <v>28</v>
      </c>
      <c r="L1720" s="1" t="str">
        <f t="shared" si="320"/>
        <v>20220908</v>
      </c>
      <c r="M1720" s="1" t="str">
        <f>"082835"</f>
        <v>082835</v>
      </c>
      <c r="N1720" s="1" t="s">
        <v>34</v>
      </c>
      <c r="O1720" s="1" t="s">
        <v>34</v>
      </c>
      <c r="P1720" s="1" t="s">
        <v>55</v>
      </c>
      <c r="Q1720" s="1">
        <v>25</v>
      </c>
      <c r="R1720" s="1">
        <v>25</v>
      </c>
      <c r="S1720" s="1">
        <v>0</v>
      </c>
      <c r="T1720" s="1">
        <v>0</v>
      </c>
      <c r="U1720" s="1">
        <v>0</v>
      </c>
      <c r="V1720" s="1" t="str">
        <f t="shared" si="325"/>
        <v>里程去程</v>
      </c>
      <c r="W1720" s="1" t="str">
        <f>"0320"</f>
        <v>0320</v>
      </c>
      <c r="X1720" s="1" t="s">
        <v>35</v>
      </c>
    </row>
    <row r="1721" spans="1:24" x14ac:dyDescent="0.3">
      <c r="A1721" s="1" t="str">
        <f t="shared" si="322"/>
        <v>59829</v>
      </c>
      <c r="B1721" s="1" t="s">
        <v>47</v>
      </c>
      <c r="C1721" s="1" t="s">
        <v>48</v>
      </c>
      <c r="D1721" s="1" t="str">
        <f t="shared" si="324"/>
        <v>9803</v>
      </c>
      <c r="E1721" s="1" t="s">
        <v>32</v>
      </c>
      <c r="F1721" s="1" t="str">
        <f>"E93BA60F7B8804004326A4E600020211"</f>
        <v>E93BA60F7B8804004326A4E600020211</v>
      </c>
      <c r="G1721" s="1" t="s">
        <v>82</v>
      </c>
      <c r="H1721" s="1" t="str">
        <f t="shared" si="317"/>
        <v>20220908</v>
      </c>
      <c r="I1721" s="1" t="str">
        <f>"080852"</f>
        <v>080852</v>
      </c>
      <c r="J1721" s="1" t="s">
        <v>28</v>
      </c>
      <c r="K1721" s="1" t="s">
        <v>28</v>
      </c>
      <c r="L1721" s="1" t="str">
        <f t="shared" si="320"/>
        <v>20220908</v>
      </c>
      <c r="M1721" s="1" t="str">
        <f>"082820"</f>
        <v>082820</v>
      </c>
      <c r="N1721" s="1" t="s">
        <v>34</v>
      </c>
      <c r="O1721" s="1" t="s">
        <v>34</v>
      </c>
      <c r="P1721" s="1" t="s">
        <v>55</v>
      </c>
      <c r="Q1721" s="1">
        <v>13</v>
      </c>
      <c r="R1721" s="1">
        <v>13</v>
      </c>
      <c r="S1721" s="1">
        <v>0</v>
      </c>
      <c r="T1721" s="1">
        <v>0</v>
      </c>
      <c r="U1721" s="1">
        <v>0</v>
      </c>
      <c r="V1721" s="1" t="str">
        <f t="shared" si="325"/>
        <v>里程去程</v>
      </c>
      <c r="W1721" s="1" t="str">
        <f>"0020"</f>
        <v>0020</v>
      </c>
      <c r="X1721" s="1" t="s">
        <v>29</v>
      </c>
    </row>
    <row r="1722" spans="1:24" x14ac:dyDescent="0.3">
      <c r="A1722" s="1" t="str">
        <f t="shared" si="322"/>
        <v>59829</v>
      </c>
      <c r="B1722" s="1" t="s">
        <v>47</v>
      </c>
      <c r="C1722" s="1" t="s">
        <v>48</v>
      </c>
      <c r="D1722" s="1" t="str">
        <f t="shared" si="324"/>
        <v>9803</v>
      </c>
      <c r="E1722" s="1" t="s">
        <v>32</v>
      </c>
      <c r="F1722" s="1" t="str">
        <f>"B114110FBB280400F700000000000000"</f>
        <v>B114110FBB280400F700000000000000</v>
      </c>
      <c r="G1722" s="1" t="s">
        <v>58</v>
      </c>
      <c r="H1722" s="1" t="str">
        <f t="shared" si="317"/>
        <v>20220908</v>
      </c>
      <c r="I1722" s="1" t="str">
        <f>"080857"</f>
        <v>080857</v>
      </c>
      <c r="J1722" s="1" t="s">
        <v>28</v>
      </c>
      <c r="K1722" s="1" t="s">
        <v>28</v>
      </c>
      <c r="L1722" s="1" t="str">
        <f t="shared" si="320"/>
        <v>20220908</v>
      </c>
      <c r="M1722" s="1" t="str">
        <f>"082004"</f>
        <v>082004</v>
      </c>
      <c r="N1722" s="1" t="s">
        <v>46</v>
      </c>
      <c r="O1722" s="1" t="s">
        <v>28</v>
      </c>
      <c r="P1722" s="1" t="s">
        <v>55</v>
      </c>
      <c r="Q1722" s="1">
        <v>25</v>
      </c>
      <c r="R1722" s="1">
        <v>25</v>
      </c>
      <c r="S1722" s="1">
        <v>0</v>
      </c>
      <c r="T1722" s="1">
        <v>0</v>
      </c>
      <c r="U1722" s="1">
        <v>0</v>
      </c>
      <c r="V1722" s="1" t="str">
        <f t="shared" si="325"/>
        <v>里程去程</v>
      </c>
      <c r="W1722" s="1" t="str">
        <f>"0020"</f>
        <v>0020</v>
      </c>
      <c r="X1722" s="1" t="s">
        <v>29</v>
      </c>
    </row>
    <row r="1723" spans="1:24" x14ac:dyDescent="0.3">
      <c r="A1723" s="1" t="str">
        <f t="shared" si="322"/>
        <v>59829</v>
      </c>
      <c r="B1723" s="1" t="s">
        <v>47</v>
      </c>
      <c r="C1723" s="1" t="s">
        <v>48</v>
      </c>
      <c r="D1723" s="1" t="str">
        <f t="shared" si="324"/>
        <v>9803</v>
      </c>
      <c r="E1723" s="1" t="s">
        <v>32</v>
      </c>
      <c r="F1723" s="1" t="str">
        <f>"965521361"</f>
        <v>965521361</v>
      </c>
      <c r="G1723" s="1" t="s">
        <v>38</v>
      </c>
      <c r="H1723" s="1" t="str">
        <f t="shared" si="317"/>
        <v>20220908</v>
      </c>
      <c r="I1723" s="1" t="str">
        <f>"080907"</f>
        <v>080907</v>
      </c>
      <c r="J1723" s="1" t="s">
        <v>28</v>
      </c>
      <c r="K1723" s="1" t="s">
        <v>28</v>
      </c>
      <c r="L1723" s="1" t="str">
        <f t="shared" si="320"/>
        <v>20220908</v>
      </c>
      <c r="M1723" s="1" t="str">
        <f>"082823"</f>
        <v>082823</v>
      </c>
      <c r="N1723" s="1" t="s">
        <v>34</v>
      </c>
      <c r="O1723" s="1" t="s">
        <v>34</v>
      </c>
      <c r="P1723" s="1" t="s">
        <v>55</v>
      </c>
      <c r="Q1723" s="1">
        <v>25</v>
      </c>
      <c r="R1723" s="1">
        <v>25</v>
      </c>
      <c r="S1723" s="1">
        <v>0</v>
      </c>
      <c r="T1723" s="1">
        <v>0</v>
      </c>
      <c r="U1723" s="1">
        <v>0</v>
      </c>
      <c r="V1723" s="1" t="str">
        <f t="shared" si="325"/>
        <v>里程去程</v>
      </c>
      <c r="W1723" s="1" t="str">
        <f>"0820"</f>
        <v>0820</v>
      </c>
      <c r="X1723" s="1" t="s">
        <v>35</v>
      </c>
    </row>
    <row r="1724" spans="1:24" x14ac:dyDescent="0.3">
      <c r="A1724" s="1" t="str">
        <f t="shared" si="322"/>
        <v>59829</v>
      </c>
      <c r="B1724" s="1" t="s">
        <v>47</v>
      </c>
      <c r="C1724" s="1" t="s">
        <v>48</v>
      </c>
      <c r="D1724" s="1" t="str">
        <f t="shared" si="324"/>
        <v>9803</v>
      </c>
      <c r="E1724" s="1" t="s">
        <v>32</v>
      </c>
      <c r="F1724" s="1" t="str">
        <f>"4516459C8A88040043265ABE00070710"</f>
        <v>4516459C8A88040043265ABE00070710</v>
      </c>
      <c r="G1724" s="1" t="s">
        <v>64</v>
      </c>
      <c r="H1724" s="1" t="str">
        <f t="shared" si="317"/>
        <v>20220908</v>
      </c>
      <c r="I1724" s="1" t="str">
        <f>"094758"</f>
        <v>094758</v>
      </c>
      <c r="J1724" s="1" t="s">
        <v>28</v>
      </c>
      <c r="K1724" s="1" t="s">
        <v>28</v>
      </c>
      <c r="L1724" s="1" t="str">
        <f t="shared" si="320"/>
        <v>20220908</v>
      </c>
      <c r="M1724" s="1" t="str">
        <f>"100733"</f>
        <v>100733</v>
      </c>
      <c r="N1724" s="1" t="s">
        <v>34</v>
      </c>
      <c r="O1724" s="1" t="s">
        <v>34</v>
      </c>
      <c r="P1724" s="1" t="s">
        <v>55</v>
      </c>
      <c r="Q1724" s="1">
        <v>13</v>
      </c>
      <c r="R1724" s="1">
        <v>13</v>
      </c>
      <c r="S1724" s="1">
        <v>0</v>
      </c>
      <c r="T1724" s="1">
        <v>0</v>
      </c>
      <c r="U1724" s="1">
        <v>0</v>
      </c>
      <c r="V1724" s="1" t="str">
        <f t="shared" si="325"/>
        <v>里程去程</v>
      </c>
      <c r="W1724" s="1" t="str">
        <f>"0020"</f>
        <v>0020</v>
      </c>
      <c r="X1724" s="1" t="s">
        <v>29</v>
      </c>
    </row>
    <row r="1725" spans="1:24" x14ac:dyDescent="0.3">
      <c r="A1725" s="1" t="str">
        <f t="shared" si="322"/>
        <v>59829</v>
      </c>
      <c r="B1725" s="1" t="s">
        <v>47</v>
      </c>
      <c r="C1725" s="1" t="s">
        <v>48</v>
      </c>
      <c r="D1725" s="1" t="str">
        <f t="shared" si="324"/>
        <v>9803</v>
      </c>
      <c r="E1725" s="1" t="s">
        <v>32</v>
      </c>
      <c r="F1725" s="1" t="str">
        <f>"821EA21927880400C824002000000020"</f>
        <v>821EA21927880400C824002000000020</v>
      </c>
      <c r="G1725" s="1" t="s">
        <v>64</v>
      </c>
      <c r="H1725" s="1" t="str">
        <f t="shared" si="317"/>
        <v>20220908</v>
      </c>
      <c r="I1725" s="1" t="str">
        <f>"094801"</f>
        <v>094801</v>
      </c>
      <c r="J1725" s="1" t="s">
        <v>28</v>
      </c>
      <c r="K1725" s="1" t="s">
        <v>28</v>
      </c>
      <c r="L1725" s="1" t="str">
        <f t="shared" si="320"/>
        <v>20220908</v>
      </c>
      <c r="M1725" s="1" t="str">
        <f>"100728"</f>
        <v>100728</v>
      </c>
      <c r="N1725" s="1" t="s">
        <v>34</v>
      </c>
      <c r="O1725" s="1" t="s">
        <v>34</v>
      </c>
      <c r="P1725" s="1" t="s">
        <v>55</v>
      </c>
      <c r="Q1725" s="1">
        <v>13</v>
      </c>
      <c r="R1725" s="1">
        <v>13</v>
      </c>
      <c r="S1725" s="1">
        <v>0</v>
      </c>
      <c r="T1725" s="1">
        <v>0</v>
      </c>
      <c r="U1725" s="1">
        <v>0</v>
      </c>
      <c r="V1725" s="1" t="str">
        <f t="shared" si="325"/>
        <v>里程去程</v>
      </c>
      <c r="W1725" s="1" t="str">
        <f>"0020"</f>
        <v>0020</v>
      </c>
      <c r="X1725" s="1" t="s">
        <v>29</v>
      </c>
    </row>
    <row r="1726" spans="1:24" x14ac:dyDescent="0.3">
      <c r="A1726" s="1" t="str">
        <f t="shared" si="322"/>
        <v>59829</v>
      </c>
      <c r="B1726" s="1" t="s">
        <v>47</v>
      </c>
      <c r="C1726" s="1" t="s">
        <v>48</v>
      </c>
      <c r="D1726" s="1" t="str">
        <f t="shared" si="324"/>
        <v>9803</v>
      </c>
      <c r="E1726" s="1" t="s">
        <v>32</v>
      </c>
      <c r="F1726" s="1" t="str">
        <f>"703320721"</f>
        <v>703320721</v>
      </c>
      <c r="G1726" s="1" t="s">
        <v>33</v>
      </c>
      <c r="H1726" s="1" t="str">
        <f t="shared" si="317"/>
        <v>20220908</v>
      </c>
      <c r="I1726" s="1" t="str">
        <f>"095927"</f>
        <v>095927</v>
      </c>
      <c r="J1726" s="1" t="s">
        <v>46</v>
      </c>
      <c r="K1726" s="1" t="s">
        <v>28</v>
      </c>
      <c r="L1726" s="1" t="str">
        <f t="shared" si="320"/>
        <v>20220908</v>
      </c>
      <c r="M1726" s="1" t="str">
        <f>"100746"</f>
        <v>100746</v>
      </c>
      <c r="N1726" s="1" t="s">
        <v>34</v>
      </c>
      <c r="O1726" s="1" t="s">
        <v>34</v>
      </c>
      <c r="P1726" s="1" t="s">
        <v>55</v>
      </c>
      <c r="Q1726" s="1">
        <v>25</v>
      </c>
      <c r="R1726" s="1">
        <v>25</v>
      </c>
      <c r="S1726" s="1">
        <v>0</v>
      </c>
      <c r="T1726" s="1">
        <v>0</v>
      </c>
      <c r="U1726" s="1">
        <v>0</v>
      </c>
      <c r="V1726" s="1" t="str">
        <f t="shared" si="325"/>
        <v>里程去程</v>
      </c>
      <c r="W1726" s="1" t="str">
        <f>"2020"</f>
        <v>2020</v>
      </c>
      <c r="X1726" s="1" t="s">
        <v>35</v>
      </c>
    </row>
    <row r="1727" spans="1:24" x14ac:dyDescent="0.3">
      <c r="A1727" s="1" t="str">
        <f t="shared" si="322"/>
        <v>59829</v>
      </c>
      <c r="B1727" s="1" t="s">
        <v>47</v>
      </c>
      <c r="C1727" s="1" t="s">
        <v>48</v>
      </c>
      <c r="D1727" s="1" t="str">
        <f t="shared" si="324"/>
        <v>9803</v>
      </c>
      <c r="E1727" s="1" t="s">
        <v>32</v>
      </c>
      <c r="F1727" s="1" t="str">
        <f>"43470897"</f>
        <v>43470897</v>
      </c>
      <c r="G1727" s="1" t="s">
        <v>33</v>
      </c>
      <c r="H1727" s="1" t="str">
        <f t="shared" ref="H1727:H1793" si="326">"20220908"</f>
        <v>20220908</v>
      </c>
      <c r="I1727" s="1" t="str">
        <f>"095929"</f>
        <v>095929</v>
      </c>
      <c r="J1727" s="1" t="s">
        <v>46</v>
      </c>
      <c r="K1727" s="1" t="s">
        <v>28</v>
      </c>
      <c r="L1727" s="1" t="str">
        <f t="shared" si="320"/>
        <v>20220908</v>
      </c>
      <c r="M1727" s="1" t="str">
        <f>"100749"</f>
        <v>100749</v>
      </c>
      <c r="N1727" s="1" t="s">
        <v>34</v>
      </c>
      <c r="O1727" s="1" t="s">
        <v>34</v>
      </c>
      <c r="P1727" s="1" t="s">
        <v>55</v>
      </c>
      <c r="Q1727" s="1">
        <v>25</v>
      </c>
      <c r="R1727" s="1">
        <v>25</v>
      </c>
      <c r="S1727" s="1">
        <v>0</v>
      </c>
      <c r="T1727" s="1">
        <v>0</v>
      </c>
      <c r="U1727" s="1">
        <v>0</v>
      </c>
      <c r="V1727" s="1" t="str">
        <f t="shared" si="325"/>
        <v>里程去程</v>
      </c>
      <c r="W1727" s="1" t="str">
        <f>"2020"</f>
        <v>2020</v>
      </c>
      <c r="X1727" s="1" t="s">
        <v>35</v>
      </c>
    </row>
    <row r="1728" spans="1:24" x14ac:dyDescent="0.3">
      <c r="A1728" s="1" t="str">
        <f t="shared" si="322"/>
        <v>59829</v>
      </c>
      <c r="B1728" s="1" t="s">
        <v>47</v>
      </c>
      <c r="C1728" s="1" t="s">
        <v>48</v>
      </c>
      <c r="D1728" s="1" t="str">
        <f t="shared" ref="D1728:D1742" si="327">"9805"</f>
        <v>9805</v>
      </c>
      <c r="E1728" s="1" t="s">
        <v>57</v>
      </c>
      <c r="F1728" s="1" t="str">
        <f>"1646599041"</f>
        <v>1646599041</v>
      </c>
      <c r="G1728" s="1" t="s">
        <v>33</v>
      </c>
      <c r="H1728" s="1" t="str">
        <f t="shared" si="326"/>
        <v>20220908</v>
      </c>
      <c r="I1728" s="1" t="str">
        <f>"120547"</f>
        <v>120547</v>
      </c>
      <c r="J1728" s="1" t="s">
        <v>28</v>
      </c>
      <c r="K1728" s="1" t="s">
        <v>28</v>
      </c>
      <c r="L1728" s="1" t="str">
        <f t="shared" si="320"/>
        <v>20220908</v>
      </c>
      <c r="M1728" s="1" t="str">
        <f>"122620"</f>
        <v>122620</v>
      </c>
      <c r="N1728" s="1" t="s">
        <v>62</v>
      </c>
      <c r="O1728" s="1" t="s">
        <v>28</v>
      </c>
      <c r="P1728" s="1" t="s">
        <v>55</v>
      </c>
      <c r="Q1728" s="1">
        <v>25</v>
      </c>
      <c r="R1728" s="1">
        <v>25</v>
      </c>
      <c r="S1728" s="1">
        <v>0</v>
      </c>
      <c r="T1728" s="1">
        <v>0</v>
      </c>
      <c r="U1728" s="1">
        <v>0</v>
      </c>
      <c r="V1728" s="1" t="str">
        <f t="shared" si="325"/>
        <v>里程去程</v>
      </c>
      <c r="W1728" s="1" t="str">
        <f>"0120"</f>
        <v>0120</v>
      </c>
      <c r="X1728" s="1" t="s">
        <v>35</v>
      </c>
    </row>
    <row r="1729" spans="1:24" x14ac:dyDescent="0.3">
      <c r="A1729" s="1" t="str">
        <f t="shared" si="322"/>
        <v>59829</v>
      </c>
      <c r="B1729" s="1" t="s">
        <v>47</v>
      </c>
      <c r="C1729" s="1" t="s">
        <v>48</v>
      </c>
      <c r="D1729" s="1" t="str">
        <f t="shared" si="327"/>
        <v>9805</v>
      </c>
      <c r="E1729" s="1" t="s">
        <v>57</v>
      </c>
      <c r="F1729" s="1" t="str">
        <f>"32839A113A28040080CEBCD141912418"</f>
        <v>32839A113A28040080CEBCD141912418</v>
      </c>
      <c r="G1729" s="1" t="s">
        <v>59</v>
      </c>
      <c r="H1729" s="1" t="str">
        <f t="shared" si="326"/>
        <v>20220908</v>
      </c>
      <c r="I1729" s="1" t="str">
        <f>"120554"</f>
        <v>120554</v>
      </c>
      <c r="J1729" s="1" t="s">
        <v>28</v>
      </c>
      <c r="K1729" s="1" t="s">
        <v>28</v>
      </c>
      <c r="L1729" s="1" t="str">
        <f t="shared" si="320"/>
        <v>20220908</v>
      </c>
      <c r="M1729" s="1" t="str">
        <f>"122630"</f>
        <v>122630</v>
      </c>
      <c r="N1729" s="1" t="s">
        <v>62</v>
      </c>
      <c r="O1729" s="1" t="s">
        <v>28</v>
      </c>
      <c r="P1729" s="1" t="s">
        <v>55</v>
      </c>
      <c r="Q1729" s="1">
        <v>25</v>
      </c>
      <c r="R1729" s="1">
        <v>25</v>
      </c>
      <c r="S1729" s="1">
        <v>0</v>
      </c>
      <c r="T1729" s="1">
        <v>0</v>
      </c>
      <c r="U1729" s="1">
        <v>0</v>
      </c>
      <c r="V1729" s="1" t="str">
        <f t="shared" si="325"/>
        <v>里程去程</v>
      </c>
      <c r="W1729" s="1" t="str">
        <f>"0020"</f>
        <v>0020</v>
      </c>
      <c r="X1729" s="1" t="s">
        <v>29</v>
      </c>
    </row>
    <row r="1730" spans="1:24" x14ac:dyDescent="0.3">
      <c r="A1730" s="1" t="str">
        <f t="shared" si="322"/>
        <v>59829</v>
      </c>
      <c r="B1730" s="1" t="s">
        <v>47</v>
      </c>
      <c r="C1730" s="1" t="s">
        <v>48</v>
      </c>
      <c r="D1730" s="1" t="str">
        <f t="shared" si="327"/>
        <v>9805</v>
      </c>
      <c r="E1730" s="1" t="s">
        <v>57</v>
      </c>
      <c r="F1730" s="1" t="str">
        <f>"886946741"</f>
        <v>886946741</v>
      </c>
      <c r="G1730" s="1" t="s">
        <v>33</v>
      </c>
      <c r="H1730" s="1" t="str">
        <f t="shared" si="326"/>
        <v>20220908</v>
      </c>
      <c r="I1730" s="1" t="str">
        <f>"120651"</f>
        <v>120651</v>
      </c>
      <c r="J1730" s="1" t="s">
        <v>28</v>
      </c>
      <c r="K1730" s="1" t="s">
        <v>28</v>
      </c>
      <c r="L1730" s="1" t="str">
        <f t="shared" si="320"/>
        <v>20220908</v>
      </c>
      <c r="M1730" s="1" t="str">
        <f>"122718"</f>
        <v>122718</v>
      </c>
      <c r="N1730" s="1" t="s">
        <v>62</v>
      </c>
      <c r="O1730" s="1" t="s">
        <v>28</v>
      </c>
      <c r="P1730" s="1" t="s">
        <v>55</v>
      </c>
      <c r="Q1730" s="1">
        <v>25</v>
      </c>
      <c r="R1730" s="1">
        <v>25</v>
      </c>
      <c r="S1730" s="1">
        <v>0</v>
      </c>
      <c r="T1730" s="1">
        <v>0</v>
      </c>
      <c r="U1730" s="1">
        <v>0</v>
      </c>
      <c r="V1730" s="1" t="str">
        <f t="shared" si="325"/>
        <v>里程去程</v>
      </c>
      <c r="W1730" s="1" t="str">
        <f>"1120"</f>
        <v>1120</v>
      </c>
      <c r="X1730" s="1" t="s">
        <v>35</v>
      </c>
    </row>
    <row r="1731" spans="1:24" x14ac:dyDescent="0.3">
      <c r="A1731" s="1" t="str">
        <f t="shared" si="322"/>
        <v>59829</v>
      </c>
      <c r="B1731" s="1" t="s">
        <v>47</v>
      </c>
      <c r="C1731" s="1" t="s">
        <v>48</v>
      </c>
      <c r="D1731" s="1" t="str">
        <f t="shared" si="327"/>
        <v>9805</v>
      </c>
      <c r="E1731" s="1" t="s">
        <v>57</v>
      </c>
      <c r="F1731" s="1" t="str">
        <f>"B2EF0D0151880400C806002000000015"</f>
        <v>B2EF0D0151880400C806002000000015</v>
      </c>
      <c r="G1731" s="1" t="s">
        <v>82</v>
      </c>
      <c r="H1731" s="1" t="str">
        <f t="shared" si="326"/>
        <v>20220908</v>
      </c>
      <c r="I1731" s="1" t="str">
        <f>"120706"</f>
        <v>120706</v>
      </c>
      <c r="J1731" s="1" t="s">
        <v>28</v>
      </c>
      <c r="K1731" s="1" t="s">
        <v>28</v>
      </c>
      <c r="L1731" s="1" t="str">
        <f t="shared" si="320"/>
        <v>20220908</v>
      </c>
      <c r="M1731" s="1" t="str">
        <f>"122148"</f>
        <v>122148</v>
      </c>
      <c r="N1731" s="1" t="s">
        <v>46</v>
      </c>
      <c r="O1731" s="1" t="s">
        <v>28</v>
      </c>
      <c r="P1731" s="1" t="s">
        <v>55</v>
      </c>
      <c r="Q1731" s="1">
        <v>13</v>
      </c>
      <c r="R1731" s="1">
        <v>0</v>
      </c>
      <c r="S1731" s="1">
        <v>13</v>
      </c>
      <c r="T1731" s="1">
        <v>0</v>
      </c>
      <c r="U1731" s="1">
        <v>0</v>
      </c>
      <c r="V1731" s="1" t="str">
        <f t="shared" si="325"/>
        <v>里程去程</v>
      </c>
      <c r="W1731" s="1" t="str">
        <f>"0620"</f>
        <v>0620</v>
      </c>
      <c r="X1731" s="1" t="s">
        <v>29</v>
      </c>
    </row>
    <row r="1732" spans="1:24" x14ac:dyDescent="0.3">
      <c r="A1732" s="1" t="str">
        <f t="shared" si="322"/>
        <v>59829</v>
      </c>
      <c r="B1732" s="1" t="s">
        <v>47</v>
      </c>
      <c r="C1732" s="1" t="s">
        <v>48</v>
      </c>
      <c r="D1732" s="1" t="str">
        <f t="shared" si="327"/>
        <v>9805</v>
      </c>
      <c r="E1732" s="1" t="s">
        <v>57</v>
      </c>
      <c r="F1732" s="1" t="str">
        <f>"1042647013"</f>
        <v>1042647013</v>
      </c>
      <c r="G1732" s="1" t="s">
        <v>33</v>
      </c>
      <c r="H1732" s="1" t="str">
        <f t="shared" si="326"/>
        <v>20220908</v>
      </c>
      <c r="I1732" s="1" t="str">
        <f>"120712"</f>
        <v>120712</v>
      </c>
      <c r="J1732" s="1" t="s">
        <v>28</v>
      </c>
      <c r="K1732" s="1" t="s">
        <v>28</v>
      </c>
      <c r="L1732" s="1" t="str">
        <f t="shared" si="320"/>
        <v>20220908</v>
      </c>
      <c r="M1732" s="1" t="str">
        <f>"122144"</f>
        <v>122144</v>
      </c>
      <c r="N1732" s="1" t="s">
        <v>46</v>
      </c>
      <c r="O1732" s="1" t="s">
        <v>28</v>
      </c>
      <c r="P1732" s="1" t="s">
        <v>55</v>
      </c>
      <c r="Q1732" s="1">
        <v>25</v>
      </c>
      <c r="R1732" s="1">
        <v>0</v>
      </c>
      <c r="S1732" s="1">
        <v>25</v>
      </c>
      <c r="T1732" s="1">
        <v>0</v>
      </c>
      <c r="U1732" s="1">
        <v>0</v>
      </c>
      <c r="V1732" s="1" t="str">
        <f t="shared" si="325"/>
        <v>里程去程</v>
      </c>
      <c r="W1732" s="1" t="str">
        <f>"0820"</f>
        <v>0820</v>
      </c>
      <c r="X1732" s="1" t="s">
        <v>35</v>
      </c>
    </row>
    <row r="1733" spans="1:24" x14ac:dyDescent="0.3">
      <c r="A1733" s="1" t="str">
        <f t="shared" si="322"/>
        <v>59829</v>
      </c>
      <c r="B1733" s="1" t="s">
        <v>47</v>
      </c>
      <c r="C1733" s="1" t="s">
        <v>48</v>
      </c>
      <c r="D1733" s="1" t="str">
        <f t="shared" si="327"/>
        <v>9805</v>
      </c>
      <c r="E1733" s="1" t="s">
        <v>57</v>
      </c>
      <c r="F1733" s="1" t="str">
        <f>"921070517"</f>
        <v>921070517</v>
      </c>
      <c r="G1733" s="1" t="s">
        <v>38</v>
      </c>
      <c r="H1733" s="1" t="str">
        <f t="shared" si="326"/>
        <v>20220908</v>
      </c>
      <c r="I1733" s="1" t="str">
        <f>"120803"</f>
        <v>120803</v>
      </c>
      <c r="J1733" s="1" t="s">
        <v>28</v>
      </c>
      <c r="K1733" s="1" t="s">
        <v>28</v>
      </c>
      <c r="L1733" s="1" t="str">
        <f t="shared" si="320"/>
        <v>20220908</v>
      </c>
      <c r="M1733" s="1" t="str">
        <f>"122627"</f>
        <v>122627</v>
      </c>
      <c r="N1733" s="1" t="s">
        <v>62</v>
      </c>
      <c r="O1733" s="1" t="s">
        <v>28</v>
      </c>
      <c r="P1733" s="1" t="s">
        <v>55</v>
      </c>
      <c r="Q1733" s="1">
        <v>25</v>
      </c>
      <c r="R1733" s="1">
        <v>25</v>
      </c>
      <c r="S1733" s="1">
        <v>0</v>
      </c>
      <c r="T1733" s="1">
        <v>0</v>
      </c>
      <c r="U1733" s="1">
        <v>0</v>
      </c>
      <c r="V1733" s="1" t="str">
        <f t="shared" si="325"/>
        <v>里程去程</v>
      </c>
      <c r="W1733" s="1" t="str">
        <f>"1120"</f>
        <v>1120</v>
      </c>
      <c r="X1733" s="1" t="s">
        <v>35</v>
      </c>
    </row>
    <row r="1734" spans="1:24" x14ac:dyDescent="0.3">
      <c r="A1734" s="1" t="str">
        <f t="shared" si="322"/>
        <v>59829</v>
      </c>
      <c r="B1734" s="1" t="s">
        <v>47</v>
      </c>
      <c r="C1734" s="1" t="s">
        <v>48</v>
      </c>
      <c r="D1734" s="1" t="str">
        <f t="shared" si="327"/>
        <v>9805</v>
      </c>
      <c r="E1734" s="1" t="s">
        <v>57</v>
      </c>
      <c r="F1734" s="1" t="str">
        <f>"D124454BFB8804004325BD2700040B0F"</f>
        <v>D124454BFB8804004325BD2700040B0F</v>
      </c>
      <c r="G1734" s="1" t="s">
        <v>26</v>
      </c>
      <c r="H1734" s="1" t="str">
        <f t="shared" si="326"/>
        <v>20220908</v>
      </c>
      <c r="I1734" s="1" t="str">
        <f>"120848"</f>
        <v>120848</v>
      </c>
      <c r="J1734" s="1" t="s">
        <v>28</v>
      </c>
      <c r="K1734" s="1" t="s">
        <v>28</v>
      </c>
      <c r="L1734" s="1" t="str">
        <f t="shared" si="320"/>
        <v>20220908</v>
      </c>
      <c r="M1734" s="1" t="str">
        <f>"122934"</f>
        <v>122934</v>
      </c>
      <c r="N1734" s="1" t="s">
        <v>52</v>
      </c>
      <c r="O1734" s="1" t="s">
        <v>52</v>
      </c>
      <c r="P1734" s="1" t="s">
        <v>55</v>
      </c>
      <c r="Q1734" s="1">
        <v>13</v>
      </c>
      <c r="R1734" s="1">
        <v>0</v>
      </c>
      <c r="S1734" s="1">
        <v>13</v>
      </c>
      <c r="T1734" s="1">
        <v>0</v>
      </c>
      <c r="U1734" s="1">
        <v>0</v>
      </c>
      <c r="V1734" s="1" t="str">
        <f t="shared" si="325"/>
        <v>里程去程</v>
      </c>
      <c r="W1734" s="1" t="str">
        <f>"0620"</f>
        <v>0620</v>
      </c>
      <c r="X1734" s="1" t="s">
        <v>29</v>
      </c>
    </row>
    <row r="1735" spans="1:24" x14ac:dyDescent="0.3">
      <c r="A1735" s="1" t="str">
        <f t="shared" si="322"/>
        <v>59829</v>
      </c>
      <c r="B1735" s="1" t="s">
        <v>47</v>
      </c>
      <c r="C1735" s="1" t="s">
        <v>48</v>
      </c>
      <c r="D1735" s="1" t="str">
        <f t="shared" si="327"/>
        <v>9805</v>
      </c>
      <c r="E1735" s="1" t="s">
        <v>57</v>
      </c>
      <c r="F1735" s="1" t="str">
        <f>"1121474B3C8804004325BD2700040B0F"</f>
        <v>1121474B3C8804004325BD2700040B0F</v>
      </c>
      <c r="G1735" s="1" t="s">
        <v>26</v>
      </c>
      <c r="H1735" s="1" t="str">
        <f t="shared" si="326"/>
        <v>20220908</v>
      </c>
      <c r="I1735" s="1" t="str">
        <f>"120857"</f>
        <v>120857</v>
      </c>
      <c r="J1735" s="1" t="s">
        <v>28</v>
      </c>
      <c r="K1735" s="1" t="s">
        <v>28</v>
      </c>
      <c r="L1735" s="1" t="str">
        <f t="shared" si="320"/>
        <v>20220908</v>
      </c>
      <c r="M1735" s="1" t="str">
        <f>"122927"</f>
        <v>122927</v>
      </c>
      <c r="N1735" s="1" t="s">
        <v>52</v>
      </c>
      <c r="O1735" s="1" t="s">
        <v>52</v>
      </c>
      <c r="P1735" s="1" t="s">
        <v>55</v>
      </c>
      <c r="Q1735" s="1">
        <v>13</v>
      </c>
      <c r="R1735" s="1">
        <v>0</v>
      </c>
      <c r="S1735" s="1">
        <v>13</v>
      </c>
      <c r="T1735" s="1">
        <v>0</v>
      </c>
      <c r="U1735" s="1">
        <v>0</v>
      </c>
      <c r="V1735" s="1" t="str">
        <f t="shared" si="325"/>
        <v>里程去程</v>
      </c>
      <c r="W1735" s="1" t="str">
        <f>"0620"</f>
        <v>0620</v>
      </c>
      <c r="X1735" s="1" t="s">
        <v>29</v>
      </c>
    </row>
    <row r="1736" spans="1:24" x14ac:dyDescent="0.3">
      <c r="A1736" s="1" t="str">
        <f t="shared" si="322"/>
        <v>59829</v>
      </c>
      <c r="B1736" s="1" t="s">
        <v>47</v>
      </c>
      <c r="C1736" s="1" t="s">
        <v>48</v>
      </c>
      <c r="D1736" s="1" t="str">
        <f t="shared" si="327"/>
        <v>9805</v>
      </c>
      <c r="E1736" s="1" t="s">
        <v>57</v>
      </c>
      <c r="F1736" s="1" t="str">
        <f>"1575214812"</f>
        <v>1575214812</v>
      </c>
      <c r="G1736" s="1" t="s">
        <v>33</v>
      </c>
      <c r="H1736" s="1" t="str">
        <f t="shared" si="326"/>
        <v>20220908</v>
      </c>
      <c r="I1736" s="1" t="str">
        <f>"120934"</f>
        <v>120934</v>
      </c>
      <c r="J1736" s="1" t="s">
        <v>28</v>
      </c>
      <c r="K1736" s="1" t="s">
        <v>28</v>
      </c>
      <c r="L1736" s="1" t="str">
        <f t="shared" ref="L1736:L1767" si="328">"20220908"</f>
        <v>20220908</v>
      </c>
      <c r="M1736" s="1" t="str">
        <f>"122152"</f>
        <v>122152</v>
      </c>
      <c r="N1736" s="1" t="s">
        <v>46</v>
      </c>
      <c r="O1736" s="1" t="s">
        <v>28</v>
      </c>
      <c r="P1736" s="1" t="s">
        <v>55</v>
      </c>
      <c r="Q1736" s="1">
        <v>25</v>
      </c>
      <c r="R1736" s="1">
        <v>25</v>
      </c>
      <c r="S1736" s="1">
        <v>0</v>
      </c>
      <c r="T1736" s="1">
        <v>0</v>
      </c>
      <c r="U1736" s="1">
        <v>0</v>
      </c>
      <c r="V1736" s="1" t="str">
        <f t="shared" si="325"/>
        <v>里程去程</v>
      </c>
      <c r="W1736" s="1" t="str">
        <f>"0020"</f>
        <v>0020</v>
      </c>
      <c r="X1736" s="1" t="s">
        <v>35</v>
      </c>
    </row>
    <row r="1737" spans="1:24" x14ac:dyDescent="0.3">
      <c r="A1737" s="1" t="str">
        <f t="shared" si="322"/>
        <v>59829</v>
      </c>
      <c r="B1737" s="1" t="s">
        <v>47</v>
      </c>
      <c r="C1737" s="1" t="s">
        <v>48</v>
      </c>
      <c r="D1737" s="1" t="str">
        <f t="shared" si="327"/>
        <v>9805</v>
      </c>
      <c r="E1737" s="1" t="s">
        <v>57</v>
      </c>
      <c r="F1737" s="1" t="str">
        <f>"E141303EAE280400F700000000000000"</f>
        <v>E141303EAE280400F700000000000000</v>
      </c>
      <c r="G1737" s="1" t="s">
        <v>58</v>
      </c>
      <c r="H1737" s="1" t="str">
        <f t="shared" si="326"/>
        <v>20220908</v>
      </c>
      <c r="I1737" s="1" t="str">
        <f>"120946"</f>
        <v>120946</v>
      </c>
      <c r="J1737" s="1" t="s">
        <v>28</v>
      </c>
      <c r="K1737" s="1" t="s">
        <v>28</v>
      </c>
      <c r="L1737" s="1" t="str">
        <f t="shared" si="328"/>
        <v>20220908</v>
      </c>
      <c r="M1737" s="1" t="str">
        <f>"122157"</f>
        <v>122157</v>
      </c>
      <c r="N1737" s="1" t="s">
        <v>46</v>
      </c>
      <c r="O1737" s="1" t="s">
        <v>28</v>
      </c>
      <c r="P1737" s="1" t="s">
        <v>55</v>
      </c>
      <c r="Q1737" s="1">
        <v>25</v>
      </c>
      <c r="R1737" s="1">
        <v>0</v>
      </c>
      <c r="S1737" s="1">
        <v>25</v>
      </c>
      <c r="T1737" s="1">
        <v>0</v>
      </c>
      <c r="U1737" s="1">
        <v>0</v>
      </c>
      <c r="V1737" s="1" t="str">
        <f t="shared" si="325"/>
        <v>里程去程</v>
      </c>
      <c r="W1737" s="1" t="str">
        <f>"0620"</f>
        <v>0620</v>
      </c>
      <c r="X1737" s="1" t="s">
        <v>29</v>
      </c>
    </row>
    <row r="1738" spans="1:24" x14ac:dyDescent="0.3">
      <c r="A1738" s="1" t="str">
        <f t="shared" si="322"/>
        <v>59829</v>
      </c>
      <c r="B1738" s="1" t="s">
        <v>47</v>
      </c>
      <c r="C1738" s="1" t="s">
        <v>48</v>
      </c>
      <c r="D1738" s="1" t="str">
        <f t="shared" si="327"/>
        <v>9805</v>
      </c>
      <c r="E1738" s="1" t="s">
        <v>57</v>
      </c>
      <c r="F1738" s="1" t="str">
        <f>"A9ACC90FC38804004326A4E600080211"</f>
        <v>A9ACC90FC38804004326A4E600080211</v>
      </c>
      <c r="G1738" s="1" t="s">
        <v>58</v>
      </c>
      <c r="H1738" s="1" t="str">
        <f t="shared" si="326"/>
        <v>20220908</v>
      </c>
      <c r="I1738" s="1" t="str">
        <f>"121023"</f>
        <v>121023</v>
      </c>
      <c r="J1738" s="1" t="s">
        <v>28</v>
      </c>
      <c r="K1738" s="1" t="s">
        <v>28</v>
      </c>
      <c r="L1738" s="1" t="str">
        <f t="shared" si="328"/>
        <v>20220908</v>
      </c>
      <c r="M1738" s="1" t="str">
        <f>"122624"</f>
        <v>122624</v>
      </c>
      <c r="N1738" s="1" t="s">
        <v>62</v>
      </c>
      <c r="O1738" s="1" t="s">
        <v>28</v>
      </c>
      <c r="P1738" s="1" t="s">
        <v>55</v>
      </c>
      <c r="Q1738" s="1">
        <v>25</v>
      </c>
      <c r="R1738" s="1">
        <v>0</v>
      </c>
      <c r="S1738" s="1">
        <v>25</v>
      </c>
      <c r="T1738" s="1">
        <v>0</v>
      </c>
      <c r="U1738" s="1">
        <v>0</v>
      </c>
      <c r="V1738" s="1" t="str">
        <f t="shared" si="325"/>
        <v>里程去程</v>
      </c>
      <c r="W1738" s="1" t="str">
        <f>"0620"</f>
        <v>0620</v>
      </c>
      <c r="X1738" s="1" t="s">
        <v>29</v>
      </c>
    </row>
    <row r="1739" spans="1:24" x14ac:dyDescent="0.3">
      <c r="A1739" s="1" t="str">
        <f t="shared" si="322"/>
        <v>59829</v>
      </c>
      <c r="B1739" s="1" t="s">
        <v>47</v>
      </c>
      <c r="C1739" s="1" t="s">
        <v>48</v>
      </c>
      <c r="D1739" s="1" t="str">
        <f t="shared" si="327"/>
        <v>9805</v>
      </c>
      <c r="E1739" s="1" t="s">
        <v>57</v>
      </c>
      <c r="F1739" s="1" t="str">
        <f>"977887669"</f>
        <v>977887669</v>
      </c>
      <c r="G1739" s="1" t="s">
        <v>38</v>
      </c>
      <c r="H1739" s="1" t="str">
        <f t="shared" si="326"/>
        <v>20220908</v>
      </c>
      <c r="I1739" s="1" t="str">
        <f>"130816"</f>
        <v>130816</v>
      </c>
      <c r="J1739" s="1" t="s">
        <v>52</v>
      </c>
      <c r="K1739" s="1" t="s">
        <v>52</v>
      </c>
      <c r="L1739" s="1" t="str">
        <f t="shared" si="328"/>
        <v>20220908</v>
      </c>
      <c r="M1739" s="1" t="str">
        <f>"132541"</f>
        <v>132541</v>
      </c>
      <c r="N1739" s="1" t="s">
        <v>28</v>
      </c>
      <c r="O1739" s="1" t="s">
        <v>28</v>
      </c>
      <c r="P1739" s="1" t="s">
        <v>55</v>
      </c>
      <c r="Q1739" s="1">
        <v>25</v>
      </c>
      <c r="R1739" s="1">
        <v>25</v>
      </c>
      <c r="S1739" s="1">
        <v>0</v>
      </c>
      <c r="T1739" s="1">
        <v>0</v>
      </c>
      <c r="U1739" s="1">
        <v>0</v>
      </c>
      <c r="V1739" s="1" t="str">
        <f>"里程返程"</f>
        <v>里程返程</v>
      </c>
      <c r="W1739" s="1" t="str">
        <f>"2120"</f>
        <v>2120</v>
      </c>
      <c r="X1739" s="1" t="s">
        <v>35</v>
      </c>
    </row>
    <row r="1740" spans="1:24" x14ac:dyDescent="0.3">
      <c r="A1740" s="1" t="str">
        <f t="shared" si="322"/>
        <v>59829</v>
      </c>
      <c r="B1740" s="1" t="s">
        <v>47</v>
      </c>
      <c r="C1740" s="1" t="s">
        <v>48</v>
      </c>
      <c r="D1740" s="1" t="str">
        <f t="shared" si="327"/>
        <v>9805</v>
      </c>
      <c r="E1740" s="1" t="s">
        <v>57</v>
      </c>
      <c r="F1740" s="1" t="str">
        <f>"881868513"</f>
        <v>881868513</v>
      </c>
      <c r="G1740" s="1" t="s">
        <v>33</v>
      </c>
      <c r="H1740" s="1" t="str">
        <f t="shared" si="326"/>
        <v>20220908</v>
      </c>
      <c r="I1740" s="1" t="str">
        <f>"130819"</f>
        <v>130819</v>
      </c>
      <c r="J1740" s="1" t="s">
        <v>52</v>
      </c>
      <c r="K1740" s="1" t="s">
        <v>52</v>
      </c>
      <c r="L1740" s="1" t="str">
        <f t="shared" si="328"/>
        <v>20220908</v>
      </c>
      <c r="M1740" s="1" t="str">
        <f>"132546"</f>
        <v>132546</v>
      </c>
      <c r="N1740" s="1" t="s">
        <v>28</v>
      </c>
      <c r="O1740" s="1" t="s">
        <v>28</v>
      </c>
      <c r="P1740" s="1" t="s">
        <v>55</v>
      </c>
      <c r="Q1740" s="1">
        <v>25</v>
      </c>
      <c r="R1740" s="1">
        <v>25</v>
      </c>
      <c r="S1740" s="1">
        <v>0</v>
      </c>
      <c r="T1740" s="1">
        <v>0</v>
      </c>
      <c r="U1740" s="1">
        <v>0</v>
      </c>
      <c r="V1740" s="1" t="str">
        <f>"里程返程"</f>
        <v>里程返程</v>
      </c>
      <c r="W1740" s="1" t="str">
        <f>"2120"</f>
        <v>2120</v>
      </c>
      <c r="X1740" s="1" t="s">
        <v>35</v>
      </c>
    </row>
    <row r="1741" spans="1:24" x14ac:dyDescent="0.3">
      <c r="A1741" s="1" t="str">
        <f t="shared" si="322"/>
        <v>59829</v>
      </c>
      <c r="B1741" s="1" t="s">
        <v>47</v>
      </c>
      <c r="C1741" s="1" t="s">
        <v>48</v>
      </c>
      <c r="D1741" s="1" t="str">
        <f t="shared" si="327"/>
        <v>9805</v>
      </c>
      <c r="E1741" s="1" t="s">
        <v>57</v>
      </c>
      <c r="F1741" s="1" t="str">
        <f>"266532176"</f>
        <v>266532176</v>
      </c>
      <c r="G1741" s="1" t="s">
        <v>33</v>
      </c>
      <c r="H1741" s="1" t="str">
        <f t="shared" si="326"/>
        <v>20220908</v>
      </c>
      <c r="I1741" s="1" t="str">
        <f>"130908"</f>
        <v>130908</v>
      </c>
      <c r="J1741" s="1" t="s">
        <v>52</v>
      </c>
      <c r="K1741" s="1" t="s">
        <v>52</v>
      </c>
      <c r="L1741" s="1" t="str">
        <f t="shared" si="328"/>
        <v>20220908</v>
      </c>
      <c r="M1741" s="1" t="str">
        <f>"131806"</f>
        <v>131806</v>
      </c>
      <c r="N1741" s="1" t="s">
        <v>46</v>
      </c>
      <c r="O1741" s="1" t="s">
        <v>28</v>
      </c>
      <c r="P1741" s="1" t="s">
        <v>55</v>
      </c>
      <c r="Q1741" s="1">
        <v>25</v>
      </c>
      <c r="R1741" s="1">
        <v>25</v>
      </c>
      <c r="S1741" s="1">
        <v>0</v>
      </c>
      <c r="T1741" s="1">
        <v>0</v>
      </c>
      <c r="U1741" s="1">
        <v>0</v>
      </c>
      <c r="V1741" s="1" t="str">
        <f>"里程返程"</f>
        <v>里程返程</v>
      </c>
      <c r="W1741" s="1" t="str">
        <f>"0120"</f>
        <v>0120</v>
      </c>
      <c r="X1741" s="1" t="s">
        <v>35</v>
      </c>
    </row>
    <row r="1742" spans="1:24" x14ac:dyDescent="0.3">
      <c r="A1742" s="1" t="str">
        <f t="shared" ref="A1742:A1773" si="329">"59829"</f>
        <v>59829</v>
      </c>
      <c r="B1742" s="1" t="s">
        <v>47</v>
      </c>
      <c r="C1742" s="1" t="s">
        <v>48</v>
      </c>
      <c r="D1742" s="1" t="str">
        <f t="shared" si="327"/>
        <v>9805</v>
      </c>
      <c r="E1742" s="1" t="s">
        <v>57</v>
      </c>
      <c r="F1742" s="1" t="str">
        <f>"68806805"</f>
        <v>68806805</v>
      </c>
      <c r="G1742" s="1" t="s">
        <v>33</v>
      </c>
      <c r="H1742" s="1" t="str">
        <f t="shared" si="326"/>
        <v>20220908</v>
      </c>
      <c r="I1742" s="1" t="str">
        <f>"130915"</f>
        <v>130915</v>
      </c>
      <c r="J1742" s="1" t="s">
        <v>52</v>
      </c>
      <c r="K1742" s="1" t="s">
        <v>52</v>
      </c>
      <c r="L1742" s="1" t="str">
        <f t="shared" si="328"/>
        <v>20220908</v>
      </c>
      <c r="M1742" s="1" t="str">
        <f>"131819"</f>
        <v>131819</v>
      </c>
      <c r="N1742" s="1" t="s">
        <v>92</v>
      </c>
      <c r="O1742" s="1" t="s">
        <v>28</v>
      </c>
      <c r="P1742" s="1" t="s">
        <v>55</v>
      </c>
      <c r="Q1742" s="1">
        <v>25</v>
      </c>
      <c r="R1742" s="1">
        <v>25</v>
      </c>
      <c r="S1742" s="1">
        <v>0</v>
      </c>
      <c r="T1742" s="1">
        <v>0</v>
      </c>
      <c r="U1742" s="1">
        <v>0</v>
      </c>
      <c r="V1742" s="1" t="str">
        <f>"里程返程"</f>
        <v>里程返程</v>
      </c>
      <c r="W1742" s="1" t="str">
        <f>"0c20"</f>
        <v>0c20</v>
      </c>
      <c r="X1742" s="1" t="s">
        <v>35</v>
      </c>
    </row>
    <row r="1743" spans="1:24" x14ac:dyDescent="0.3">
      <c r="A1743" s="1" t="str">
        <f t="shared" si="329"/>
        <v>59829</v>
      </c>
      <c r="B1743" s="1" t="s">
        <v>47</v>
      </c>
      <c r="C1743" s="1" t="s">
        <v>48</v>
      </c>
      <c r="D1743" s="1" t="str">
        <f t="shared" ref="D1743:D1772" si="330">"9803"</f>
        <v>9803</v>
      </c>
      <c r="E1743" s="1" t="s">
        <v>32</v>
      </c>
      <c r="F1743" s="1" t="str">
        <f>"589381537"</f>
        <v>589381537</v>
      </c>
      <c r="G1743" s="1" t="s">
        <v>33</v>
      </c>
      <c r="H1743" s="1" t="str">
        <f t="shared" si="326"/>
        <v>20220908</v>
      </c>
      <c r="I1743" s="1" t="str">
        <f>"132839"</f>
        <v>132839</v>
      </c>
      <c r="J1743" s="1" t="s">
        <v>28</v>
      </c>
      <c r="K1743" s="1" t="s">
        <v>28</v>
      </c>
      <c r="L1743" s="1" t="str">
        <f t="shared" si="328"/>
        <v>20220908</v>
      </c>
      <c r="M1743" s="1" t="str">
        <f>"134908"</f>
        <v>134908</v>
      </c>
      <c r="N1743" s="1" t="s">
        <v>34</v>
      </c>
      <c r="O1743" s="1" t="s">
        <v>34</v>
      </c>
      <c r="P1743" s="1" t="s">
        <v>55</v>
      </c>
      <c r="Q1743" s="1">
        <v>25</v>
      </c>
      <c r="R1743" s="1">
        <v>25</v>
      </c>
      <c r="S1743" s="1">
        <v>0</v>
      </c>
      <c r="T1743" s="1">
        <v>0</v>
      </c>
      <c r="U1743" s="1">
        <v>0</v>
      </c>
      <c r="V1743" s="1" t="str">
        <f t="shared" ref="V1743:V1764" si="331">"里程去程"</f>
        <v>里程去程</v>
      </c>
      <c r="W1743" s="1" t="str">
        <f t="shared" ref="W1743:W1750" si="332">"0120"</f>
        <v>0120</v>
      </c>
      <c r="X1743" s="1" t="s">
        <v>35</v>
      </c>
    </row>
    <row r="1744" spans="1:24" x14ac:dyDescent="0.3">
      <c r="A1744" s="1" t="str">
        <f t="shared" si="329"/>
        <v>59829</v>
      </c>
      <c r="B1744" s="1" t="s">
        <v>47</v>
      </c>
      <c r="C1744" s="1" t="s">
        <v>48</v>
      </c>
      <c r="D1744" s="1" t="str">
        <f t="shared" si="330"/>
        <v>9803</v>
      </c>
      <c r="E1744" s="1" t="s">
        <v>32</v>
      </c>
      <c r="F1744" s="1" t="str">
        <f>"2077572460"</f>
        <v>2077572460</v>
      </c>
      <c r="G1744" s="1" t="s">
        <v>33</v>
      </c>
      <c r="H1744" s="1" t="str">
        <f t="shared" si="326"/>
        <v>20220908</v>
      </c>
      <c r="I1744" s="1" t="str">
        <f>"132841"</f>
        <v>132841</v>
      </c>
      <c r="J1744" s="1" t="s">
        <v>28</v>
      </c>
      <c r="K1744" s="1" t="s">
        <v>28</v>
      </c>
      <c r="L1744" s="1" t="str">
        <f t="shared" si="328"/>
        <v>20220908</v>
      </c>
      <c r="M1744" s="1" t="str">
        <f>"134911"</f>
        <v>134911</v>
      </c>
      <c r="N1744" s="1" t="s">
        <v>34</v>
      </c>
      <c r="O1744" s="1" t="s">
        <v>34</v>
      </c>
      <c r="P1744" s="1" t="s">
        <v>55</v>
      </c>
      <c r="Q1744" s="1">
        <v>25</v>
      </c>
      <c r="R1744" s="1">
        <v>25</v>
      </c>
      <c r="S1744" s="1">
        <v>0</v>
      </c>
      <c r="T1744" s="1">
        <v>0</v>
      </c>
      <c r="U1744" s="1">
        <v>0</v>
      </c>
      <c r="V1744" s="1" t="str">
        <f t="shared" si="331"/>
        <v>里程去程</v>
      </c>
      <c r="W1744" s="1" t="str">
        <f t="shared" si="332"/>
        <v>0120</v>
      </c>
      <c r="X1744" s="1" t="s">
        <v>35</v>
      </c>
    </row>
    <row r="1745" spans="1:24" x14ac:dyDescent="0.3">
      <c r="A1745" s="1" t="str">
        <f t="shared" si="329"/>
        <v>59829</v>
      </c>
      <c r="B1745" s="1" t="s">
        <v>47</v>
      </c>
      <c r="C1745" s="1" t="s">
        <v>48</v>
      </c>
      <c r="D1745" s="1" t="str">
        <f t="shared" si="330"/>
        <v>9803</v>
      </c>
      <c r="E1745" s="1" t="s">
        <v>32</v>
      </c>
      <c r="F1745" s="1" t="str">
        <f>"1205046677"</f>
        <v>1205046677</v>
      </c>
      <c r="G1745" s="1" t="s">
        <v>96</v>
      </c>
      <c r="H1745" s="1" t="str">
        <f t="shared" si="326"/>
        <v>20220908</v>
      </c>
      <c r="I1745" s="1" t="str">
        <f>"132848"</f>
        <v>132848</v>
      </c>
      <c r="J1745" s="1" t="s">
        <v>28</v>
      </c>
      <c r="K1745" s="1" t="s">
        <v>28</v>
      </c>
      <c r="L1745" s="1" t="str">
        <f t="shared" si="328"/>
        <v>20220908</v>
      </c>
      <c r="M1745" s="1" t="str">
        <f>"134913"</f>
        <v>134913</v>
      </c>
      <c r="N1745" s="1" t="s">
        <v>34</v>
      </c>
      <c r="O1745" s="1" t="s">
        <v>34</v>
      </c>
      <c r="P1745" s="1" t="s">
        <v>55</v>
      </c>
      <c r="Q1745" s="1">
        <v>13</v>
      </c>
      <c r="R1745" s="1">
        <v>13</v>
      </c>
      <c r="S1745" s="1">
        <v>0</v>
      </c>
      <c r="T1745" s="1">
        <v>0</v>
      </c>
      <c r="U1745" s="1">
        <v>0</v>
      </c>
      <c r="V1745" s="1" t="str">
        <f t="shared" si="331"/>
        <v>里程去程</v>
      </c>
      <c r="W1745" s="1" t="str">
        <f t="shared" si="332"/>
        <v>0120</v>
      </c>
      <c r="X1745" s="1" t="s">
        <v>35</v>
      </c>
    </row>
    <row r="1746" spans="1:24" x14ac:dyDescent="0.3">
      <c r="A1746" s="1" t="str">
        <f t="shared" si="329"/>
        <v>59829</v>
      </c>
      <c r="B1746" s="1" t="s">
        <v>47</v>
      </c>
      <c r="C1746" s="1" t="s">
        <v>48</v>
      </c>
      <c r="D1746" s="1" t="str">
        <f t="shared" si="330"/>
        <v>9803</v>
      </c>
      <c r="E1746" s="1" t="s">
        <v>32</v>
      </c>
      <c r="F1746" s="1" t="str">
        <f>"1745924005"</f>
        <v>1745924005</v>
      </c>
      <c r="G1746" s="1" t="s">
        <v>38</v>
      </c>
      <c r="H1746" s="1" t="str">
        <f t="shared" si="326"/>
        <v>20220908</v>
      </c>
      <c r="I1746" s="1" t="str">
        <f>"132850"</f>
        <v>132850</v>
      </c>
      <c r="J1746" s="1" t="s">
        <v>28</v>
      </c>
      <c r="K1746" s="1" t="s">
        <v>28</v>
      </c>
      <c r="L1746" s="1" t="str">
        <f t="shared" si="328"/>
        <v>20220908</v>
      </c>
      <c r="M1746" s="1" t="str">
        <f>"134906"</f>
        <v>134906</v>
      </c>
      <c r="N1746" s="1" t="s">
        <v>34</v>
      </c>
      <c r="O1746" s="1" t="s">
        <v>34</v>
      </c>
      <c r="P1746" s="1" t="s">
        <v>55</v>
      </c>
      <c r="Q1746" s="1">
        <v>25</v>
      </c>
      <c r="R1746" s="1">
        <v>25</v>
      </c>
      <c r="S1746" s="1">
        <v>0</v>
      </c>
      <c r="T1746" s="1">
        <v>0</v>
      </c>
      <c r="U1746" s="1">
        <v>0</v>
      </c>
      <c r="V1746" s="1" t="str">
        <f t="shared" si="331"/>
        <v>里程去程</v>
      </c>
      <c r="W1746" s="1" t="str">
        <f t="shared" si="332"/>
        <v>0120</v>
      </c>
      <c r="X1746" s="1" t="s">
        <v>35</v>
      </c>
    </row>
    <row r="1747" spans="1:24" x14ac:dyDescent="0.3">
      <c r="A1747" s="1" t="str">
        <f t="shared" si="329"/>
        <v>59829</v>
      </c>
      <c r="B1747" s="1" t="s">
        <v>47</v>
      </c>
      <c r="C1747" s="1" t="s">
        <v>48</v>
      </c>
      <c r="D1747" s="1" t="str">
        <f t="shared" si="330"/>
        <v>9803</v>
      </c>
      <c r="E1747" s="1" t="s">
        <v>32</v>
      </c>
      <c r="F1747" s="1" t="str">
        <f>"1661321557"</f>
        <v>1661321557</v>
      </c>
      <c r="G1747" s="1" t="s">
        <v>33</v>
      </c>
      <c r="H1747" s="1" t="str">
        <f t="shared" si="326"/>
        <v>20220908</v>
      </c>
      <c r="I1747" s="1" t="str">
        <f>"132859"</f>
        <v>132859</v>
      </c>
      <c r="J1747" s="1" t="s">
        <v>28</v>
      </c>
      <c r="K1747" s="1" t="s">
        <v>28</v>
      </c>
      <c r="L1747" s="1" t="str">
        <f t="shared" si="328"/>
        <v>20220908</v>
      </c>
      <c r="M1747" s="1" t="str">
        <f>"134950"</f>
        <v>134950</v>
      </c>
      <c r="N1747" s="1" t="s">
        <v>34</v>
      </c>
      <c r="O1747" s="1" t="s">
        <v>34</v>
      </c>
      <c r="P1747" s="1" t="s">
        <v>55</v>
      </c>
      <c r="Q1747" s="1">
        <v>25</v>
      </c>
      <c r="R1747" s="1">
        <v>25</v>
      </c>
      <c r="S1747" s="1">
        <v>0</v>
      </c>
      <c r="T1747" s="1">
        <v>0</v>
      </c>
      <c r="U1747" s="1">
        <v>0</v>
      </c>
      <c r="V1747" s="1" t="str">
        <f t="shared" si="331"/>
        <v>里程去程</v>
      </c>
      <c r="W1747" s="1" t="str">
        <f t="shared" si="332"/>
        <v>0120</v>
      </c>
      <c r="X1747" s="1" t="s">
        <v>35</v>
      </c>
    </row>
    <row r="1748" spans="1:24" x14ac:dyDescent="0.3">
      <c r="A1748" s="1" t="str">
        <f t="shared" si="329"/>
        <v>59829</v>
      </c>
      <c r="B1748" s="1" t="s">
        <v>47</v>
      </c>
      <c r="C1748" s="1" t="s">
        <v>48</v>
      </c>
      <c r="D1748" s="1" t="str">
        <f t="shared" si="330"/>
        <v>9803</v>
      </c>
      <c r="E1748" s="1" t="s">
        <v>32</v>
      </c>
      <c r="F1748" s="1" t="str">
        <f>"1105728661"</f>
        <v>1105728661</v>
      </c>
      <c r="G1748" s="1" t="s">
        <v>38</v>
      </c>
      <c r="H1748" s="1" t="str">
        <f t="shared" si="326"/>
        <v>20220908</v>
      </c>
      <c r="I1748" s="1" t="str">
        <f>"132905"</f>
        <v>132905</v>
      </c>
      <c r="J1748" s="1" t="s">
        <v>28</v>
      </c>
      <c r="K1748" s="1" t="s">
        <v>28</v>
      </c>
      <c r="L1748" s="1" t="str">
        <f t="shared" si="328"/>
        <v>20220908</v>
      </c>
      <c r="M1748" s="1" t="str">
        <f>"134954"</f>
        <v>134954</v>
      </c>
      <c r="N1748" s="1" t="s">
        <v>34</v>
      </c>
      <c r="O1748" s="1" t="s">
        <v>34</v>
      </c>
      <c r="P1748" s="1" t="s">
        <v>55</v>
      </c>
      <c r="Q1748" s="1">
        <v>25</v>
      </c>
      <c r="R1748" s="1">
        <v>25</v>
      </c>
      <c r="S1748" s="1">
        <v>0</v>
      </c>
      <c r="T1748" s="1">
        <v>0</v>
      </c>
      <c r="U1748" s="1">
        <v>0</v>
      </c>
      <c r="V1748" s="1" t="str">
        <f t="shared" si="331"/>
        <v>里程去程</v>
      </c>
      <c r="W1748" s="1" t="str">
        <f t="shared" si="332"/>
        <v>0120</v>
      </c>
      <c r="X1748" s="1" t="s">
        <v>35</v>
      </c>
    </row>
    <row r="1749" spans="1:24" x14ac:dyDescent="0.3">
      <c r="A1749" s="1" t="str">
        <f t="shared" si="329"/>
        <v>59829</v>
      </c>
      <c r="B1749" s="1" t="s">
        <v>47</v>
      </c>
      <c r="C1749" s="1" t="s">
        <v>48</v>
      </c>
      <c r="D1749" s="1" t="str">
        <f t="shared" si="330"/>
        <v>9803</v>
      </c>
      <c r="E1749" s="1" t="s">
        <v>32</v>
      </c>
      <c r="F1749" s="1" t="str">
        <f>"1101226421"</f>
        <v>1101226421</v>
      </c>
      <c r="G1749" s="1" t="s">
        <v>38</v>
      </c>
      <c r="H1749" s="1" t="str">
        <f t="shared" si="326"/>
        <v>20220908</v>
      </c>
      <c r="I1749" s="1" t="str">
        <f>"132910"</f>
        <v>132910</v>
      </c>
      <c r="J1749" s="1" t="s">
        <v>28</v>
      </c>
      <c r="K1749" s="1" t="s">
        <v>28</v>
      </c>
      <c r="L1749" s="1" t="str">
        <f t="shared" si="328"/>
        <v>20220908</v>
      </c>
      <c r="M1749" s="1" t="str">
        <f>"134952"</f>
        <v>134952</v>
      </c>
      <c r="N1749" s="1" t="s">
        <v>34</v>
      </c>
      <c r="O1749" s="1" t="s">
        <v>34</v>
      </c>
      <c r="P1749" s="1" t="s">
        <v>55</v>
      </c>
      <c r="Q1749" s="1">
        <v>25</v>
      </c>
      <c r="R1749" s="1">
        <v>25</v>
      </c>
      <c r="S1749" s="1">
        <v>0</v>
      </c>
      <c r="T1749" s="1">
        <v>0</v>
      </c>
      <c r="U1749" s="1">
        <v>0</v>
      </c>
      <c r="V1749" s="1" t="str">
        <f t="shared" si="331"/>
        <v>里程去程</v>
      </c>
      <c r="W1749" s="1" t="str">
        <f t="shared" si="332"/>
        <v>0120</v>
      </c>
      <c r="X1749" s="1" t="s">
        <v>35</v>
      </c>
    </row>
    <row r="1750" spans="1:24" x14ac:dyDescent="0.3">
      <c r="A1750" s="1" t="str">
        <f t="shared" si="329"/>
        <v>59829</v>
      </c>
      <c r="B1750" s="1" t="s">
        <v>47</v>
      </c>
      <c r="C1750" s="1" t="s">
        <v>48</v>
      </c>
      <c r="D1750" s="1" t="str">
        <f t="shared" si="330"/>
        <v>9803</v>
      </c>
      <c r="E1750" s="1" t="s">
        <v>32</v>
      </c>
      <c r="F1750" s="1" t="str">
        <f>"934558773"</f>
        <v>934558773</v>
      </c>
      <c r="G1750" s="1" t="s">
        <v>38</v>
      </c>
      <c r="H1750" s="1" t="str">
        <f t="shared" si="326"/>
        <v>20220908</v>
      </c>
      <c r="I1750" s="1" t="str">
        <f>"132914"</f>
        <v>132914</v>
      </c>
      <c r="J1750" s="1" t="s">
        <v>28</v>
      </c>
      <c r="K1750" s="1" t="s">
        <v>28</v>
      </c>
      <c r="L1750" s="1" t="str">
        <f t="shared" si="328"/>
        <v>20220908</v>
      </c>
      <c r="M1750" s="1" t="str">
        <f>"134939"</f>
        <v>134939</v>
      </c>
      <c r="N1750" s="1" t="s">
        <v>34</v>
      </c>
      <c r="O1750" s="1" t="s">
        <v>34</v>
      </c>
      <c r="P1750" s="1" t="s">
        <v>55</v>
      </c>
      <c r="Q1750" s="1">
        <v>25</v>
      </c>
      <c r="R1750" s="1">
        <v>25</v>
      </c>
      <c r="S1750" s="1">
        <v>0</v>
      </c>
      <c r="T1750" s="1">
        <v>0</v>
      </c>
      <c r="U1750" s="1">
        <v>0</v>
      </c>
      <c r="V1750" s="1" t="str">
        <f t="shared" si="331"/>
        <v>里程去程</v>
      </c>
      <c r="W1750" s="1" t="str">
        <f t="shared" si="332"/>
        <v>0120</v>
      </c>
      <c r="X1750" s="1" t="s">
        <v>35</v>
      </c>
    </row>
    <row r="1751" spans="1:24" x14ac:dyDescent="0.3">
      <c r="A1751" s="1" t="str">
        <f t="shared" si="329"/>
        <v>59829</v>
      </c>
      <c r="B1751" s="1" t="s">
        <v>47</v>
      </c>
      <c r="C1751" s="1" t="s">
        <v>48</v>
      </c>
      <c r="D1751" s="1" t="str">
        <f t="shared" si="330"/>
        <v>9803</v>
      </c>
      <c r="E1751" s="1" t="s">
        <v>32</v>
      </c>
      <c r="F1751" s="1" t="str">
        <f>"735176469"</f>
        <v>735176469</v>
      </c>
      <c r="G1751" s="1" t="s">
        <v>33</v>
      </c>
      <c r="H1751" s="1" t="str">
        <f t="shared" si="326"/>
        <v>20220908</v>
      </c>
      <c r="I1751" s="1" t="str">
        <f>"132921"</f>
        <v>132921</v>
      </c>
      <c r="J1751" s="1" t="s">
        <v>28</v>
      </c>
      <c r="K1751" s="1" t="s">
        <v>28</v>
      </c>
      <c r="L1751" s="1" t="str">
        <f t="shared" si="328"/>
        <v>20220908</v>
      </c>
      <c r="M1751" s="1" t="str">
        <f>"134937"</f>
        <v>134937</v>
      </c>
      <c r="N1751" s="1" t="s">
        <v>34</v>
      </c>
      <c r="O1751" s="1" t="s">
        <v>34</v>
      </c>
      <c r="P1751" s="1" t="s">
        <v>55</v>
      </c>
      <c r="Q1751" s="1">
        <v>25</v>
      </c>
      <c r="R1751" s="1">
        <v>25</v>
      </c>
      <c r="S1751" s="1">
        <v>0</v>
      </c>
      <c r="T1751" s="1">
        <v>0</v>
      </c>
      <c r="U1751" s="1">
        <v>0</v>
      </c>
      <c r="V1751" s="1" t="str">
        <f t="shared" si="331"/>
        <v>里程去程</v>
      </c>
      <c r="W1751" s="1" t="str">
        <f>"0320"</f>
        <v>0320</v>
      </c>
      <c r="X1751" s="1" t="s">
        <v>35</v>
      </c>
    </row>
    <row r="1752" spans="1:24" x14ac:dyDescent="0.3">
      <c r="A1752" s="1" t="str">
        <f t="shared" si="329"/>
        <v>59829</v>
      </c>
      <c r="B1752" s="1" t="s">
        <v>47</v>
      </c>
      <c r="C1752" s="1" t="s">
        <v>48</v>
      </c>
      <c r="D1752" s="1" t="str">
        <f t="shared" si="330"/>
        <v>9803</v>
      </c>
      <c r="E1752" s="1" t="s">
        <v>32</v>
      </c>
      <c r="F1752" s="1" t="str">
        <f>"1079744741"</f>
        <v>1079744741</v>
      </c>
      <c r="G1752" s="1" t="s">
        <v>38</v>
      </c>
      <c r="H1752" s="1" t="str">
        <f t="shared" si="326"/>
        <v>20220908</v>
      </c>
      <c r="I1752" s="1" t="str">
        <f>"132925"</f>
        <v>132925</v>
      </c>
      <c r="J1752" s="1" t="s">
        <v>28</v>
      </c>
      <c r="K1752" s="1" t="s">
        <v>28</v>
      </c>
      <c r="L1752" s="1" t="str">
        <f t="shared" si="328"/>
        <v>20220908</v>
      </c>
      <c r="M1752" s="1" t="str">
        <f>"134929"</f>
        <v>134929</v>
      </c>
      <c r="N1752" s="1" t="s">
        <v>34</v>
      </c>
      <c r="O1752" s="1" t="s">
        <v>34</v>
      </c>
      <c r="P1752" s="1" t="s">
        <v>55</v>
      </c>
      <c r="Q1752" s="1">
        <v>25</v>
      </c>
      <c r="R1752" s="1">
        <v>25</v>
      </c>
      <c r="S1752" s="1">
        <v>0</v>
      </c>
      <c r="T1752" s="1">
        <v>0</v>
      </c>
      <c r="U1752" s="1">
        <v>0</v>
      </c>
      <c r="V1752" s="1" t="str">
        <f t="shared" si="331"/>
        <v>里程去程</v>
      </c>
      <c r="W1752" s="1" t="str">
        <f>"1920"</f>
        <v>1920</v>
      </c>
      <c r="X1752" s="1" t="s">
        <v>35</v>
      </c>
    </row>
    <row r="1753" spans="1:24" x14ac:dyDescent="0.3">
      <c r="A1753" s="1" t="str">
        <f t="shared" si="329"/>
        <v>59829</v>
      </c>
      <c r="B1753" s="1" t="s">
        <v>47</v>
      </c>
      <c r="C1753" s="1" t="s">
        <v>48</v>
      </c>
      <c r="D1753" s="1" t="str">
        <f t="shared" si="330"/>
        <v>9803</v>
      </c>
      <c r="E1753" s="1" t="s">
        <v>32</v>
      </c>
      <c r="F1753" s="1" t="str">
        <f>"965714193"</f>
        <v>965714193</v>
      </c>
      <c r="G1753" s="1" t="s">
        <v>38</v>
      </c>
      <c r="H1753" s="1" t="str">
        <f t="shared" si="326"/>
        <v>20220908</v>
      </c>
      <c r="I1753" s="1" t="str">
        <f>"132935"</f>
        <v>132935</v>
      </c>
      <c r="J1753" s="1" t="s">
        <v>28</v>
      </c>
      <c r="K1753" s="1" t="s">
        <v>28</v>
      </c>
      <c r="L1753" s="1" t="str">
        <f t="shared" si="328"/>
        <v>20220908</v>
      </c>
      <c r="M1753" s="1" t="str">
        <f>"134825"</f>
        <v>134825</v>
      </c>
      <c r="N1753" s="1" t="s">
        <v>34</v>
      </c>
      <c r="O1753" s="1" t="s">
        <v>34</v>
      </c>
      <c r="P1753" s="1" t="s">
        <v>55</v>
      </c>
      <c r="Q1753" s="1">
        <v>25</v>
      </c>
      <c r="R1753" s="1">
        <v>25</v>
      </c>
      <c r="S1753" s="1">
        <v>0</v>
      </c>
      <c r="T1753" s="1">
        <v>0</v>
      </c>
      <c r="U1753" s="1">
        <v>0</v>
      </c>
      <c r="V1753" s="1" t="str">
        <f t="shared" si="331"/>
        <v>里程去程</v>
      </c>
      <c r="W1753" s="1" t="str">
        <f>"2520"</f>
        <v>2520</v>
      </c>
      <c r="X1753" s="1" t="s">
        <v>35</v>
      </c>
    </row>
    <row r="1754" spans="1:24" x14ac:dyDescent="0.3">
      <c r="A1754" s="1" t="str">
        <f t="shared" si="329"/>
        <v>59829</v>
      </c>
      <c r="B1754" s="1" t="s">
        <v>47</v>
      </c>
      <c r="C1754" s="1" t="s">
        <v>48</v>
      </c>
      <c r="D1754" s="1" t="str">
        <f t="shared" si="330"/>
        <v>9803</v>
      </c>
      <c r="E1754" s="1" t="s">
        <v>32</v>
      </c>
      <c r="F1754" s="1" t="str">
        <f>"1755169781"</f>
        <v>1755169781</v>
      </c>
      <c r="G1754" s="1" t="s">
        <v>38</v>
      </c>
      <c r="H1754" s="1" t="str">
        <f t="shared" si="326"/>
        <v>20220908</v>
      </c>
      <c r="I1754" s="1" t="str">
        <f>"132955"</f>
        <v>132955</v>
      </c>
      <c r="J1754" s="1" t="s">
        <v>28</v>
      </c>
      <c r="K1754" s="1" t="s">
        <v>28</v>
      </c>
      <c r="L1754" s="1" t="str">
        <f t="shared" si="328"/>
        <v>20220908</v>
      </c>
      <c r="M1754" s="1" t="str">
        <f>"134916"</f>
        <v>134916</v>
      </c>
      <c r="N1754" s="1" t="s">
        <v>34</v>
      </c>
      <c r="O1754" s="1" t="s">
        <v>34</v>
      </c>
      <c r="P1754" s="1" t="s">
        <v>55</v>
      </c>
      <c r="Q1754" s="1">
        <v>25</v>
      </c>
      <c r="R1754" s="1">
        <v>25</v>
      </c>
      <c r="S1754" s="1">
        <v>0</v>
      </c>
      <c r="T1754" s="1">
        <v>0</v>
      </c>
      <c r="U1754" s="1">
        <v>0</v>
      </c>
      <c r="V1754" s="1" t="str">
        <f t="shared" si="331"/>
        <v>里程去程</v>
      </c>
      <c r="W1754" s="1" t="str">
        <f>"0420"</f>
        <v>0420</v>
      </c>
      <c r="X1754" s="1" t="s">
        <v>35</v>
      </c>
    </row>
    <row r="1755" spans="1:24" x14ac:dyDescent="0.3">
      <c r="A1755" s="1" t="str">
        <f t="shared" si="329"/>
        <v>59829</v>
      </c>
      <c r="B1755" s="1" t="s">
        <v>47</v>
      </c>
      <c r="C1755" s="1" t="s">
        <v>48</v>
      </c>
      <c r="D1755" s="1" t="str">
        <f t="shared" si="330"/>
        <v>9803</v>
      </c>
      <c r="E1755" s="1" t="s">
        <v>32</v>
      </c>
      <c r="F1755" s="1" t="str">
        <f>"889027745"</f>
        <v>889027745</v>
      </c>
      <c r="G1755" s="1" t="s">
        <v>33</v>
      </c>
      <c r="H1755" s="1" t="str">
        <f t="shared" si="326"/>
        <v>20220908</v>
      </c>
      <c r="I1755" s="1" t="str">
        <f>"133009"</f>
        <v>133009</v>
      </c>
      <c r="J1755" s="1" t="s">
        <v>28</v>
      </c>
      <c r="K1755" s="1" t="s">
        <v>28</v>
      </c>
      <c r="L1755" s="1" t="str">
        <f t="shared" si="328"/>
        <v>20220908</v>
      </c>
      <c r="M1755" s="1" t="str">
        <f>"134942"</f>
        <v>134942</v>
      </c>
      <c r="N1755" s="1" t="s">
        <v>34</v>
      </c>
      <c r="O1755" s="1" t="s">
        <v>34</v>
      </c>
      <c r="P1755" s="1" t="s">
        <v>55</v>
      </c>
      <c r="Q1755" s="1">
        <v>25</v>
      </c>
      <c r="R1755" s="1">
        <v>0</v>
      </c>
      <c r="S1755" s="1">
        <v>25</v>
      </c>
      <c r="T1755" s="1">
        <v>0</v>
      </c>
      <c r="U1755" s="1">
        <v>0</v>
      </c>
      <c r="V1755" s="1" t="str">
        <f t="shared" si="331"/>
        <v>里程去程</v>
      </c>
      <c r="W1755" s="1" t="str">
        <f>"0820"</f>
        <v>0820</v>
      </c>
      <c r="X1755" s="1" t="s">
        <v>35</v>
      </c>
    </row>
    <row r="1756" spans="1:24" x14ac:dyDescent="0.3">
      <c r="A1756" s="1" t="str">
        <f t="shared" si="329"/>
        <v>59829</v>
      </c>
      <c r="B1756" s="1" t="s">
        <v>47</v>
      </c>
      <c r="C1756" s="1" t="s">
        <v>48</v>
      </c>
      <c r="D1756" s="1" t="str">
        <f t="shared" si="330"/>
        <v>9803</v>
      </c>
      <c r="E1756" s="1" t="s">
        <v>32</v>
      </c>
      <c r="F1756" s="1" t="str">
        <f>"1390176353"</f>
        <v>1390176353</v>
      </c>
      <c r="G1756" s="1" t="s">
        <v>26</v>
      </c>
      <c r="H1756" s="1" t="str">
        <f t="shared" si="326"/>
        <v>20220908</v>
      </c>
      <c r="I1756" s="1" t="str">
        <f>"133015"</f>
        <v>133015</v>
      </c>
      <c r="J1756" s="1" t="s">
        <v>28</v>
      </c>
      <c r="K1756" s="1" t="s">
        <v>28</v>
      </c>
      <c r="L1756" s="1" t="str">
        <f t="shared" si="328"/>
        <v>20220908</v>
      </c>
      <c r="M1756" s="1" t="str">
        <f>"134015"</f>
        <v>134015</v>
      </c>
      <c r="N1756" s="1" t="s">
        <v>46</v>
      </c>
      <c r="O1756" s="1" t="s">
        <v>28</v>
      </c>
      <c r="P1756" s="1" t="s">
        <v>55</v>
      </c>
      <c r="Q1756" s="1">
        <v>13</v>
      </c>
      <c r="R1756" s="1">
        <v>13</v>
      </c>
      <c r="S1756" s="1">
        <v>0</v>
      </c>
      <c r="T1756" s="1">
        <v>0</v>
      </c>
      <c r="U1756" s="1">
        <v>0</v>
      </c>
      <c r="V1756" s="1" t="str">
        <f t="shared" si="331"/>
        <v>里程去程</v>
      </c>
      <c r="W1756" s="1" t="str">
        <f>"0120"</f>
        <v>0120</v>
      </c>
      <c r="X1756" s="1" t="s">
        <v>35</v>
      </c>
    </row>
    <row r="1757" spans="1:24" x14ac:dyDescent="0.3">
      <c r="A1757" s="1" t="str">
        <f t="shared" si="329"/>
        <v>59829</v>
      </c>
      <c r="B1757" s="1" t="s">
        <v>47</v>
      </c>
      <c r="C1757" s="1" t="s">
        <v>48</v>
      </c>
      <c r="D1757" s="1" t="str">
        <f t="shared" si="330"/>
        <v>9803</v>
      </c>
      <c r="E1757" s="1" t="s">
        <v>32</v>
      </c>
      <c r="F1757" s="1" t="str">
        <f>"82AFA9098D880400C810002000000016"</f>
        <v>82AFA9098D880400C810002000000016</v>
      </c>
      <c r="G1757" s="1" t="s">
        <v>59</v>
      </c>
      <c r="H1757" s="1" t="str">
        <f t="shared" si="326"/>
        <v>20220908</v>
      </c>
      <c r="I1757" s="1" t="str">
        <f>"133024"</f>
        <v>133024</v>
      </c>
      <c r="J1757" s="1" t="s">
        <v>28</v>
      </c>
      <c r="K1757" s="1" t="s">
        <v>28</v>
      </c>
      <c r="L1757" s="1" t="str">
        <f t="shared" si="328"/>
        <v>20220908</v>
      </c>
      <c r="M1757" s="1" t="str">
        <f>"134933"</f>
        <v>134933</v>
      </c>
      <c r="N1757" s="1" t="s">
        <v>34</v>
      </c>
      <c r="O1757" s="1" t="s">
        <v>34</v>
      </c>
      <c r="P1757" s="1" t="s">
        <v>55</v>
      </c>
      <c r="Q1757" s="1">
        <v>25</v>
      </c>
      <c r="R1757" s="1">
        <v>25</v>
      </c>
      <c r="S1757" s="1">
        <v>0</v>
      </c>
      <c r="T1757" s="1">
        <v>0</v>
      </c>
      <c r="U1757" s="1">
        <v>0</v>
      </c>
      <c r="V1757" s="1" t="str">
        <f t="shared" si="331"/>
        <v>里程去程</v>
      </c>
      <c r="W1757" s="1" t="str">
        <f>"0020"</f>
        <v>0020</v>
      </c>
      <c r="X1757" s="1" t="s">
        <v>29</v>
      </c>
    </row>
    <row r="1758" spans="1:24" x14ac:dyDescent="0.3">
      <c r="A1758" s="1" t="str">
        <f t="shared" si="329"/>
        <v>59829</v>
      </c>
      <c r="B1758" s="1" t="s">
        <v>47</v>
      </c>
      <c r="C1758" s="1" t="s">
        <v>48</v>
      </c>
      <c r="D1758" s="1" t="str">
        <f t="shared" si="330"/>
        <v>9803</v>
      </c>
      <c r="E1758" s="1" t="s">
        <v>32</v>
      </c>
      <c r="F1758" s="1" t="str">
        <f>"1024698129"</f>
        <v>1024698129</v>
      </c>
      <c r="G1758" s="1" t="s">
        <v>33</v>
      </c>
      <c r="H1758" s="1" t="str">
        <f t="shared" si="326"/>
        <v>20220908</v>
      </c>
      <c r="I1758" s="1" t="str">
        <f>"133029"</f>
        <v>133029</v>
      </c>
      <c r="J1758" s="1" t="s">
        <v>28</v>
      </c>
      <c r="K1758" s="1" t="s">
        <v>28</v>
      </c>
      <c r="L1758" s="1" t="str">
        <f t="shared" si="328"/>
        <v>20220908</v>
      </c>
      <c r="M1758" s="1" t="str">
        <f>"134922"</f>
        <v>134922</v>
      </c>
      <c r="N1758" s="1" t="s">
        <v>34</v>
      </c>
      <c r="O1758" s="1" t="s">
        <v>34</v>
      </c>
      <c r="P1758" s="1" t="s">
        <v>55</v>
      </c>
      <c r="Q1758" s="1">
        <v>25</v>
      </c>
      <c r="R1758" s="1">
        <v>25</v>
      </c>
      <c r="S1758" s="1">
        <v>0</v>
      </c>
      <c r="T1758" s="1">
        <v>0</v>
      </c>
      <c r="U1758" s="1">
        <v>0</v>
      </c>
      <c r="V1758" s="1" t="str">
        <f t="shared" si="331"/>
        <v>里程去程</v>
      </c>
      <c r="W1758" s="1" t="str">
        <f>"0120"</f>
        <v>0120</v>
      </c>
      <c r="X1758" s="1" t="s">
        <v>35</v>
      </c>
    </row>
    <row r="1759" spans="1:24" x14ac:dyDescent="0.3">
      <c r="A1759" s="1" t="str">
        <f t="shared" si="329"/>
        <v>59829</v>
      </c>
      <c r="B1759" s="1" t="s">
        <v>47</v>
      </c>
      <c r="C1759" s="1" t="s">
        <v>48</v>
      </c>
      <c r="D1759" s="1" t="str">
        <f t="shared" si="330"/>
        <v>9803</v>
      </c>
      <c r="E1759" s="1" t="s">
        <v>32</v>
      </c>
      <c r="F1759" s="1" t="str">
        <f>"585413487"</f>
        <v>585413487</v>
      </c>
      <c r="G1759" s="1" t="s">
        <v>33</v>
      </c>
      <c r="H1759" s="1" t="str">
        <f t="shared" si="326"/>
        <v>20220908</v>
      </c>
      <c r="I1759" s="1" t="str">
        <f>"133038"</f>
        <v>133038</v>
      </c>
      <c r="J1759" s="1" t="s">
        <v>28</v>
      </c>
      <c r="K1759" s="1" t="s">
        <v>28</v>
      </c>
      <c r="L1759" s="1" t="str">
        <f t="shared" si="328"/>
        <v>20220908</v>
      </c>
      <c r="M1759" s="1" t="str">
        <f>"134859"</f>
        <v>134859</v>
      </c>
      <c r="N1759" s="1" t="s">
        <v>34</v>
      </c>
      <c r="O1759" s="1" t="s">
        <v>34</v>
      </c>
      <c r="P1759" s="1" t="s">
        <v>55</v>
      </c>
      <c r="Q1759" s="1">
        <v>25</v>
      </c>
      <c r="R1759" s="1">
        <v>25</v>
      </c>
      <c r="S1759" s="1">
        <v>0</v>
      </c>
      <c r="T1759" s="1">
        <v>0</v>
      </c>
      <c r="U1759" s="1">
        <v>0</v>
      </c>
      <c r="V1759" s="1" t="str">
        <f t="shared" si="331"/>
        <v>里程去程</v>
      </c>
      <c r="W1759" s="1" t="str">
        <f>"0320"</f>
        <v>0320</v>
      </c>
      <c r="X1759" s="1" t="s">
        <v>35</v>
      </c>
    </row>
    <row r="1760" spans="1:24" x14ac:dyDescent="0.3">
      <c r="A1760" s="1" t="str">
        <f t="shared" si="329"/>
        <v>59829</v>
      </c>
      <c r="B1760" s="1" t="s">
        <v>47</v>
      </c>
      <c r="C1760" s="1" t="s">
        <v>48</v>
      </c>
      <c r="D1760" s="1" t="str">
        <f t="shared" si="330"/>
        <v>9803</v>
      </c>
      <c r="E1760" s="1" t="s">
        <v>32</v>
      </c>
      <c r="F1760" s="1" t="str">
        <f>"1783806229"</f>
        <v>1783806229</v>
      </c>
      <c r="G1760" s="1" t="s">
        <v>33</v>
      </c>
      <c r="H1760" s="1" t="str">
        <f t="shared" si="326"/>
        <v>20220908</v>
      </c>
      <c r="I1760" s="1" t="str">
        <f>"133043"</f>
        <v>133043</v>
      </c>
      <c r="J1760" s="1" t="s">
        <v>28</v>
      </c>
      <c r="K1760" s="1" t="s">
        <v>28</v>
      </c>
      <c r="L1760" s="1" t="str">
        <f t="shared" si="328"/>
        <v>20220908</v>
      </c>
      <c r="M1760" s="1" t="str">
        <f>"134855"</f>
        <v>134855</v>
      </c>
      <c r="N1760" s="1" t="s">
        <v>34</v>
      </c>
      <c r="O1760" s="1" t="s">
        <v>34</v>
      </c>
      <c r="P1760" s="1" t="s">
        <v>55</v>
      </c>
      <c r="Q1760" s="1">
        <v>25</v>
      </c>
      <c r="R1760" s="1">
        <v>25</v>
      </c>
      <c r="S1760" s="1">
        <v>0</v>
      </c>
      <c r="T1760" s="1">
        <v>0</v>
      </c>
      <c r="U1760" s="1">
        <v>0</v>
      </c>
      <c r="V1760" s="1" t="str">
        <f t="shared" si="331"/>
        <v>里程去程</v>
      </c>
      <c r="W1760" s="1" t="str">
        <f>"0220"</f>
        <v>0220</v>
      </c>
      <c r="X1760" s="1" t="s">
        <v>35</v>
      </c>
    </row>
    <row r="1761" spans="1:24" x14ac:dyDescent="0.3">
      <c r="A1761" s="1" t="str">
        <f t="shared" si="329"/>
        <v>59829</v>
      </c>
      <c r="B1761" s="1" t="s">
        <v>47</v>
      </c>
      <c r="C1761" s="1" t="s">
        <v>48</v>
      </c>
      <c r="D1761" s="1" t="str">
        <f t="shared" si="330"/>
        <v>9803</v>
      </c>
      <c r="E1761" s="1" t="s">
        <v>32</v>
      </c>
      <c r="F1761" s="1" t="str">
        <f>"1767704213"</f>
        <v>1767704213</v>
      </c>
      <c r="G1761" s="1" t="s">
        <v>33</v>
      </c>
      <c r="H1761" s="1" t="str">
        <f t="shared" si="326"/>
        <v>20220908</v>
      </c>
      <c r="I1761" s="1" t="str">
        <f>"133101"</f>
        <v>133101</v>
      </c>
      <c r="J1761" s="1" t="s">
        <v>28</v>
      </c>
      <c r="K1761" s="1" t="s">
        <v>28</v>
      </c>
      <c r="L1761" s="1" t="str">
        <f t="shared" si="328"/>
        <v>20220908</v>
      </c>
      <c r="M1761" s="1" t="str">
        <f>"134845"</f>
        <v>134845</v>
      </c>
      <c r="N1761" s="1" t="s">
        <v>34</v>
      </c>
      <c r="O1761" s="1" t="s">
        <v>34</v>
      </c>
      <c r="P1761" s="1" t="s">
        <v>55</v>
      </c>
      <c r="Q1761" s="1">
        <v>25</v>
      </c>
      <c r="R1761" s="1">
        <v>25</v>
      </c>
      <c r="S1761" s="1">
        <v>0</v>
      </c>
      <c r="T1761" s="1">
        <v>0</v>
      </c>
      <c r="U1761" s="1">
        <v>0</v>
      </c>
      <c r="V1761" s="1" t="str">
        <f t="shared" si="331"/>
        <v>里程去程</v>
      </c>
      <c r="W1761" s="1" t="str">
        <f>"0820"</f>
        <v>0820</v>
      </c>
      <c r="X1761" s="1" t="s">
        <v>35</v>
      </c>
    </row>
    <row r="1762" spans="1:24" x14ac:dyDescent="0.3">
      <c r="A1762" s="1" t="str">
        <f t="shared" si="329"/>
        <v>59829</v>
      </c>
      <c r="B1762" s="1" t="s">
        <v>47</v>
      </c>
      <c r="C1762" s="1" t="s">
        <v>48</v>
      </c>
      <c r="D1762" s="1" t="str">
        <f t="shared" si="330"/>
        <v>9803</v>
      </c>
      <c r="E1762" s="1" t="s">
        <v>32</v>
      </c>
      <c r="F1762" s="1" t="str">
        <f>"1704187857"</f>
        <v>1704187857</v>
      </c>
      <c r="G1762" s="1" t="s">
        <v>33</v>
      </c>
      <c r="H1762" s="1" t="str">
        <f t="shared" si="326"/>
        <v>20220908</v>
      </c>
      <c r="I1762" s="1" t="str">
        <f>"133105"</f>
        <v>133105</v>
      </c>
      <c r="J1762" s="1" t="s">
        <v>28</v>
      </c>
      <c r="K1762" s="1" t="s">
        <v>28</v>
      </c>
      <c r="L1762" s="1" t="str">
        <f t="shared" si="328"/>
        <v>20220908</v>
      </c>
      <c r="M1762" s="1" t="str">
        <f>"134839"</f>
        <v>134839</v>
      </c>
      <c r="N1762" s="1" t="s">
        <v>34</v>
      </c>
      <c r="O1762" s="1" t="s">
        <v>34</v>
      </c>
      <c r="P1762" s="1" t="s">
        <v>55</v>
      </c>
      <c r="Q1762" s="1">
        <v>25</v>
      </c>
      <c r="R1762" s="1">
        <v>25</v>
      </c>
      <c r="S1762" s="1">
        <v>0</v>
      </c>
      <c r="T1762" s="1">
        <v>0</v>
      </c>
      <c r="U1762" s="1">
        <v>0</v>
      </c>
      <c r="V1762" s="1" t="str">
        <f t="shared" si="331"/>
        <v>里程去程</v>
      </c>
      <c r="W1762" s="1" t="str">
        <f>"0820"</f>
        <v>0820</v>
      </c>
      <c r="X1762" s="1" t="s">
        <v>35</v>
      </c>
    </row>
    <row r="1763" spans="1:24" x14ac:dyDescent="0.3">
      <c r="A1763" s="1" t="str">
        <f t="shared" si="329"/>
        <v>59829</v>
      </c>
      <c r="B1763" s="1" t="s">
        <v>47</v>
      </c>
      <c r="C1763" s="1" t="s">
        <v>48</v>
      </c>
      <c r="D1763" s="1" t="str">
        <f t="shared" si="330"/>
        <v>9803</v>
      </c>
      <c r="E1763" s="1" t="s">
        <v>32</v>
      </c>
      <c r="F1763" s="1" t="str">
        <f>"5723DA45EB8804004328380000100208"</f>
        <v>5723DA45EB8804004328380000100208</v>
      </c>
      <c r="G1763" s="1" t="s">
        <v>58</v>
      </c>
      <c r="H1763" s="1" t="str">
        <f t="shared" si="326"/>
        <v>20220908</v>
      </c>
      <c r="I1763" s="1" t="str">
        <f>"133831"</f>
        <v>133831</v>
      </c>
      <c r="J1763" s="1" t="s">
        <v>79</v>
      </c>
      <c r="K1763" s="1" t="s">
        <v>28</v>
      </c>
      <c r="L1763" s="1" t="str">
        <f t="shared" si="328"/>
        <v>20220908</v>
      </c>
      <c r="M1763" s="1" t="str">
        <f>"134802"</f>
        <v>134802</v>
      </c>
      <c r="N1763" s="1" t="s">
        <v>34</v>
      </c>
      <c r="O1763" s="1" t="s">
        <v>34</v>
      </c>
      <c r="P1763" s="1" t="s">
        <v>55</v>
      </c>
      <c r="Q1763" s="1">
        <v>25</v>
      </c>
      <c r="R1763" s="1">
        <v>25</v>
      </c>
      <c r="S1763" s="1">
        <v>0</v>
      </c>
      <c r="T1763" s="1">
        <v>0</v>
      </c>
      <c r="U1763" s="1">
        <v>0</v>
      </c>
      <c r="V1763" s="1" t="str">
        <f t="shared" si="331"/>
        <v>里程去程</v>
      </c>
      <c r="W1763" s="1" t="str">
        <f>"0020"</f>
        <v>0020</v>
      </c>
      <c r="X1763" s="1" t="s">
        <v>29</v>
      </c>
    </row>
    <row r="1764" spans="1:24" x14ac:dyDescent="0.3">
      <c r="A1764" s="1" t="str">
        <f t="shared" si="329"/>
        <v>59829</v>
      </c>
      <c r="B1764" s="1" t="s">
        <v>47</v>
      </c>
      <c r="C1764" s="1" t="s">
        <v>48</v>
      </c>
      <c r="D1764" s="1" t="str">
        <f t="shared" si="330"/>
        <v>9803</v>
      </c>
      <c r="E1764" s="1" t="s">
        <v>32</v>
      </c>
      <c r="F1764" s="1" t="str">
        <f>"1709069061"</f>
        <v>1709069061</v>
      </c>
      <c r="G1764" s="1" t="s">
        <v>33</v>
      </c>
      <c r="H1764" s="1" t="str">
        <f t="shared" si="326"/>
        <v>20220908</v>
      </c>
      <c r="I1764" s="1" t="str">
        <f>"134026"</f>
        <v>134026</v>
      </c>
      <c r="J1764" s="1" t="s">
        <v>46</v>
      </c>
      <c r="K1764" s="1" t="s">
        <v>28</v>
      </c>
      <c r="L1764" s="1" t="str">
        <f t="shared" si="328"/>
        <v>20220908</v>
      </c>
      <c r="M1764" s="1" t="str">
        <f>"134755"</f>
        <v>134755</v>
      </c>
      <c r="N1764" s="1" t="s">
        <v>34</v>
      </c>
      <c r="O1764" s="1" t="s">
        <v>34</v>
      </c>
      <c r="P1764" s="1" t="s">
        <v>55</v>
      </c>
      <c r="Q1764" s="1">
        <v>25</v>
      </c>
      <c r="R1764" s="1">
        <v>25</v>
      </c>
      <c r="S1764" s="1">
        <v>0</v>
      </c>
      <c r="T1764" s="1">
        <v>0</v>
      </c>
      <c r="U1764" s="1">
        <v>0</v>
      </c>
      <c r="V1764" s="1" t="str">
        <f t="shared" si="331"/>
        <v>里程去程</v>
      </c>
      <c r="W1764" s="1" t="str">
        <f>"2020"</f>
        <v>2020</v>
      </c>
      <c r="X1764" s="1" t="s">
        <v>35</v>
      </c>
    </row>
    <row r="1765" spans="1:24" x14ac:dyDescent="0.3">
      <c r="A1765" s="1" t="str">
        <f t="shared" si="329"/>
        <v>59829</v>
      </c>
      <c r="B1765" s="1" t="s">
        <v>47</v>
      </c>
      <c r="C1765" s="1" t="s">
        <v>48</v>
      </c>
      <c r="D1765" s="1" t="str">
        <f t="shared" si="330"/>
        <v>9803</v>
      </c>
      <c r="E1765" s="1" t="s">
        <v>32</v>
      </c>
      <c r="F1765" s="1" t="str">
        <f>"A13C5B00C68804004324714D000D080E"</f>
        <v>A13C5B00C68804004324714D000D080E</v>
      </c>
      <c r="G1765" s="1" t="s">
        <v>26</v>
      </c>
      <c r="H1765" s="1" t="str">
        <f t="shared" si="326"/>
        <v>20220908</v>
      </c>
      <c r="I1765" s="1" t="str">
        <f>"135123"</f>
        <v>135123</v>
      </c>
      <c r="J1765" s="1" t="s">
        <v>34</v>
      </c>
      <c r="K1765" s="1" t="s">
        <v>34</v>
      </c>
      <c r="L1765" s="1" t="str">
        <f t="shared" si="328"/>
        <v>20220908</v>
      </c>
      <c r="M1765" s="1" t="str">
        <f>"142439"</f>
        <v>142439</v>
      </c>
      <c r="N1765" s="1" t="s">
        <v>28</v>
      </c>
      <c r="O1765" s="1" t="s">
        <v>28</v>
      </c>
      <c r="P1765" s="1" t="s">
        <v>55</v>
      </c>
      <c r="Q1765" s="1">
        <v>13</v>
      </c>
      <c r="R1765" s="1">
        <v>13</v>
      </c>
      <c r="S1765" s="1">
        <v>0</v>
      </c>
      <c r="T1765" s="1">
        <v>0</v>
      </c>
      <c r="U1765" s="1">
        <v>0</v>
      </c>
      <c r="V1765" s="1" t="str">
        <f t="shared" ref="V1765:V1772" si="333">"里程返程"</f>
        <v>里程返程</v>
      </c>
      <c r="W1765" s="1" t="str">
        <f>"0020"</f>
        <v>0020</v>
      </c>
      <c r="X1765" s="1" t="s">
        <v>29</v>
      </c>
    </row>
    <row r="1766" spans="1:24" x14ac:dyDescent="0.3">
      <c r="A1766" s="1" t="str">
        <f t="shared" si="329"/>
        <v>59829</v>
      </c>
      <c r="B1766" s="1" t="s">
        <v>47</v>
      </c>
      <c r="C1766" s="1" t="s">
        <v>48</v>
      </c>
      <c r="D1766" s="1" t="str">
        <f t="shared" si="330"/>
        <v>9803</v>
      </c>
      <c r="E1766" s="1" t="s">
        <v>32</v>
      </c>
      <c r="F1766" s="1" t="str">
        <f>"A15953238888040043281482000F0112"</f>
        <v>A15953238888040043281482000F0112</v>
      </c>
      <c r="G1766" s="1" t="s">
        <v>64</v>
      </c>
      <c r="H1766" s="1" t="str">
        <f t="shared" si="326"/>
        <v>20220908</v>
      </c>
      <c r="I1766" s="1" t="str">
        <f>"135127"</f>
        <v>135127</v>
      </c>
      <c r="J1766" s="1" t="s">
        <v>34</v>
      </c>
      <c r="K1766" s="1" t="s">
        <v>34</v>
      </c>
      <c r="L1766" s="1" t="str">
        <f t="shared" si="328"/>
        <v>20220908</v>
      </c>
      <c r="M1766" s="1" t="str">
        <f>"142435"</f>
        <v>142435</v>
      </c>
      <c r="N1766" s="1" t="s">
        <v>28</v>
      </c>
      <c r="O1766" s="1" t="s">
        <v>28</v>
      </c>
      <c r="P1766" s="1" t="s">
        <v>55</v>
      </c>
      <c r="Q1766" s="1">
        <v>13</v>
      </c>
      <c r="R1766" s="1">
        <v>13</v>
      </c>
      <c r="S1766" s="1">
        <v>0</v>
      </c>
      <c r="T1766" s="1">
        <v>0</v>
      </c>
      <c r="U1766" s="1">
        <v>0</v>
      </c>
      <c r="V1766" s="1" t="str">
        <f t="shared" si="333"/>
        <v>里程返程</v>
      </c>
      <c r="W1766" s="1" t="str">
        <f>"0020"</f>
        <v>0020</v>
      </c>
      <c r="X1766" s="1" t="s">
        <v>29</v>
      </c>
    </row>
    <row r="1767" spans="1:24" x14ac:dyDescent="0.3">
      <c r="A1767" s="1" t="str">
        <f t="shared" si="329"/>
        <v>59829</v>
      </c>
      <c r="B1767" s="1" t="s">
        <v>47</v>
      </c>
      <c r="C1767" s="1" t="s">
        <v>48</v>
      </c>
      <c r="D1767" s="1" t="str">
        <f t="shared" si="330"/>
        <v>9803</v>
      </c>
      <c r="E1767" s="1" t="s">
        <v>32</v>
      </c>
      <c r="F1767" s="1" t="str">
        <f>"138472325"</f>
        <v>138472325</v>
      </c>
      <c r="G1767" s="1" t="s">
        <v>33</v>
      </c>
      <c r="H1767" s="1" t="str">
        <f t="shared" si="326"/>
        <v>20220908</v>
      </c>
      <c r="I1767" s="1" t="str">
        <f>"135133"</f>
        <v>135133</v>
      </c>
      <c r="J1767" s="1" t="s">
        <v>34</v>
      </c>
      <c r="K1767" s="1" t="s">
        <v>34</v>
      </c>
      <c r="L1767" s="1" t="str">
        <f t="shared" si="328"/>
        <v>20220908</v>
      </c>
      <c r="M1767" s="1" t="str">
        <f>"142508"</f>
        <v>142508</v>
      </c>
      <c r="N1767" s="1" t="s">
        <v>28</v>
      </c>
      <c r="O1767" s="1" t="s">
        <v>28</v>
      </c>
      <c r="P1767" s="1" t="s">
        <v>55</v>
      </c>
      <c r="Q1767" s="1">
        <v>25</v>
      </c>
      <c r="R1767" s="1">
        <v>25</v>
      </c>
      <c r="S1767" s="1">
        <v>0</v>
      </c>
      <c r="T1767" s="1">
        <v>0</v>
      </c>
      <c r="U1767" s="1">
        <v>0</v>
      </c>
      <c r="V1767" s="1" t="str">
        <f t="shared" si="333"/>
        <v>里程返程</v>
      </c>
      <c r="W1767" s="1" t="str">
        <f>"2020"</f>
        <v>2020</v>
      </c>
      <c r="X1767" s="1" t="s">
        <v>35</v>
      </c>
    </row>
    <row r="1768" spans="1:24" x14ac:dyDescent="0.3">
      <c r="A1768" s="1" t="str">
        <f t="shared" si="329"/>
        <v>59829</v>
      </c>
      <c r="B1768" s="1" t="s">
        <v>47</v>
      </c>
      <c r="C1768" s="1" t="s">
        <v>48</v>
      </c>
      <c r="D1768" s="1" t="str">
        <f t="shared" si="330"/>
        <v>9803</v>
      </c>
      <c r="E1768" s="1" t="s">
        <v>32</v>
      </c>
      <c r="F1768" s="1" t="str">
        <f>"1658563984"</f>
        <v>1658563984</v>
      </c>
      <c r="G1768" s="1" t="s">
        <v>33</v>
      </c>
      <c r="H1768" s="1" t="str">
        <f t="shared" si="326"/>
        <v>20220908</v>
      </c>
      <c r="I1768" s="1" t="str">
        <f>"135139"</f>
        <v>135139</v>
      </c>
      <c r="J1768" s="1" t="s">
        <v>34</v>
      </c>
      <c r="K1768" s="1" t="s">
        <v>34</v>
      </c>
      <c r="L1768" s="1" t="str">
        <f t="shared" ref="L1768:L1781" si="334">"20220908"</f>
        <v>20220908</v>
      </c>
      <c r="M1768" s="1" t="str">
        <f>"142514"</f>
        <v>142514</v>
      </c>
      <c r="N1768" s="1" t="s">
        <v>28</v>
      </c>
      <c r="O1768" s="1" t="s">
        <v>28</v>
      </c>
      <c r="P1768" s="1" t="s">
        <v>55</v>
      </c>
      <c r="Q1768" s="1">
        <v>25</v>
      </c>
      <c r="R1768" s="1">
        <v>25</v>
      </c>
      <c r="S1768" s="1">
        <v>0</v>
      </c>
      <c r="T1768" s="1">
        <v>0</v>
      </c>
      <c r="U1768" s="1">
        <v>0</v>
      </c>
      <c r="V1768" s="1" t="str">
        <f t="shared" si="333"/>
        <v>里程返程</v>
      </c>
      <c r="W1768" s="1" t="str">
        <f>"2020"</f>
        <v>2020</v>
      </c>
      <c r="X1768" s="1" t="s">
        <v>35</v>
      </c>
    </row>
    <row r="1769" spans="1:24" x14ac:dyDescent="0.3">
      <c r="A1769" s="1" t="str">
        <f t="shared" si="329"/>
        <v>59829</v>
      </c>
      <c r="B1769" s="1" t="s">
        <v>47</v>
      </c>
      <c r="C1769" s="1" t="s">
        <v>48</v>
      </c>
      <c r="D1769" s="1" t="str">
        <f t="shared" si="330"/>
        <v>9803</v>
      </c>
      <c r="E1769" s="1" t="s">
        <v>32</v>
      </c>
      <c r="F1769" s="1" t="str">
        <f>"32F47808B6880400C847002000000015"</f>
        <v>32F47808B6880400C847002000000015</v>
      </c>
      <c r="G1769" s="1" t="s">
        <v>59</v>
      </c>
      <c r="H1769" s="1" t="str">
        <f t="shared" si="326"/>
        <v>20220908</v>
      </c>
      <c r="I1769" s="1" t="str">
        <f>"135145"</f>
        <v>135145</v>
      </c>
      <c r="J1769" s="1" t="s">
        <v>34</v>
      </c>
      <c r="K1769" s="1" t="s">
        <v>34</v>
      </c>
      <c r="L1769" s="1" t="str">
        <f t="shared" si="334"/>
        <v>20220908</v>
      </c>
      <c r="M1769" s="1" t="str">
        <f>"142447"</f>
        <v>142447</v>
      </c>
      <c r="N1769" s="1" t="s">
        <v>28</v>
      </c>
      <c r="O1769" s="1" t="s">
        <v>28</v>
      </c>
      <c r="P1769" s="1" t="s">
        <v>55</v>
      </c>
      <c r="Q1769" s="1">
        <v>25</v>
      </c>
      <c r="R1769" s="1">
        <v>25</v>
      </c>
      <c r="S1769" s="1">
        <v>0</v>
      </c>
      <c r="T1769" s="1">
        <v>0</v>
      </c>
      <c r="U1769" s="1">
        <v>0</v>
      </c>
      <c r="V1769" s="1" t="str">
        <f t="shared" si="333"/>
        <v>里程返程</v>
      </c>
      <c r="W1769" s="1" t="str">
        <f>"0020"</f>
        <v>0020</v>
      </c>
      <c r="X1769" s="1" t="s">
        <v>29</v>
      </c>
    </row>
    <row r="1770" spans="1:24" x14ac:dyDescent="0.3">
      <c r="A1770" s="1" t="str">
        <f t="shared" si="329"/>
        <v>59829</v>
      </c>
      <c r="B1770" s="1" t="s">
        <v>47</v>
      </c>
      <c r="C1770" s="1" t="s">
        <v>48</v>
      </c>
      <c r="D1770" s="1" t="str">
        <f t="shared" si="330"/>
        <v>9803</v>
      </c>
      <c r="E1770" s="1" t="s">
        <v>32</v>
      </c>
      <c r="F1770" s="1" t="str">
        <f>"1214398677"</f>
        <v>1214398677</v>
      </c>
      <c r="G1770" s="1" t="s">
        <v>38</v>
      </c>
      <c r="H1770" s="1" t="str">
        <f t="shared" si="326"/>
        <v>20220908</v>
      </c>
      <c r="I1770" s="1" t="str">
        <f>"135149"</f>
        <v>135149</v>
      </c>
      <c r="J1770" s="1" t="s">
        <v>34</v>
      </c>
      <c r="K1770" s="1" t="s">
        <v>34</v>
      </c>
      <c r="L1770" s="1" t="str">
        <f t="shared" si="334"/>
        <v>20220908</v>
      </c>
      <c r="M1770" s="1" t="str">
        <f>"142503"</f>
        <v>142503</v>
      </c>
      <c r="N1770" s="1" t="s">
        <v>28</v>
      </c>
      <c r="O1770" s="1" t="s">
        <v>28</v>
      </c>
      <c r="P1770" s="1" t="s">
        <v>55</v>
      </c>
      <c r="Q1770" s="1">
        <v>25</v>
      </c>
      <c r="R1770" s="1">
        <v>25</v>
      </c>
      <c r="S1770" s="1">
        <v>0</v>
      </c>
      <c r="T1770" s="1">
        <v>0</v>
      </c>
      <c r="U1770" s="1">
        <v>0</v>
      </c>
      <c r="V1770" s="1" t="str">
        <f t="shared" si="333"/>
        <v>里程返程</v>
      </c>
      <c r="W1770" s="1" t="str">
        <f>"2020"</f>
        <v>2020</v>
      </c>
      <c r="X1770" s="1" t="s">
        <v>35</v>
      </c>
    </row>
    <row r="1771" spans="1:24" x14ac:dyDescent="0.3">
      <c r="A1771" s="1" t="str">
        <f t="shared" si="329"/>
        <v>59829</v>
      </c>
      <c r="B1771" s="1" t="s">
        <v>47</v>
      </c>
      <c r="C1771" s="1" t="s">
        <v>48</v>
      </c>
      <c r="D1771" s="1" t="str">
        <f t="shared" si="330"/>
        <v>9803</v>
      </c>
      <c r="E1771" s="1" t="s">
        <v>32</v>
      </c>
      <c r="F1771" s="1" t="str">
        <f>"1687827912"</f>
        <v>1687827912</v>
      </c>
      <c r="G1771" s="1" t="s">
        <v>33</v>
      </c>
      <c r="H1771" s="1" t="str">
        <f t="shared" si="326"/>
        <v>20220908</v>
      </c>
      <c r="I1771" s="1" t="str">
        <f>"135232"</f>
        <v>135232</v>
      </c>
      <c r="J1771" s="1" t="s">
        <v>34</v>
      </c>
      <c r="K1771" s="1" t="s">
        <v>34</v>
      </c>
      <c r="L1771" s="1" t="str">
        <f t="shared" si="334"/>
        <v>20220908</v>
      </c>
      <c r="M1771" s="1" t="str">
        <f>"142500"</f>
        <v>142500</v>
      </c>
      <c r="N1771" s="1" t="s">
        <v>28</v>
      </c>
      <c r="O1771" s="1" t="s">
        <v>28</v>
      </c>
      <c r="P1771" s="1" t="s">
        <v>55</v>
      </c>
      <c r="Q1771" s="1">
        <v>25</v>
      </c>
      <c r="R1771" s="1">
        <v>25</v>
      </c>
      <c r="S1771" s="1">
        <v>0</v>
      </c>
      <c r="T1771" s="1">
        <v>0</v>
      </c>
      <c r="U1771" s="1">
        <v>0</v>
      </c>
      <c r="V1771" s="1" t="str">
        <f t="shared" si="333"/>
        <v>里程返程</v>
      </c>
      <c r="W1771" s="1" t="str">
        <f>"2d20"</f>
        <v>2d20</v>
      </c>
      <c r="X1771" s="1" t="s">
        <v>35</v>
      </c>
    </row>
    <row r="1772" spans="1:24" x14ac:dyDescent="0.3">
      <c r="A1772" s="1" t="str">
        <f t="shared" si="329"/>
        <v>59829</v>
      </c>
      <c r="B1772" s="1" t="s">
        <v>47</v>
      </c>
      <c r="C1772" s="1" t="s">
        <v>48</v>
      </c>
      <c r="D1772" s="1" t="str">
        <f t="shared" si="330"/>
        <v>9803</v>
      </c>
      <c r="E1772" s="1" t="s">
        <v>32</v>
      </c>
      <c r="F1772" s="1" t="str">
        <f>"232582417"</f>
        <v>232582417</v>
      </c>
      <c r="G1772" s="1" t="s">
        <v>33</v>
      </c>
      <c r="H1772" s="1" t="str">
        <f t="shared" si="326"/>
        <v>20220908</v>
      </c>
      <c r="I1772" s="1" t="str">
        <f>"141333"</f>
        <v>141333</v>
      </c>
      <c r="J1772" s="1" t="s">
        <v>46</v>
      </c>
      <c r="K1772" s="1" t="s">
        <v>28</v>
      </c>
      <c r="L1772" s="1" t="str">
        <f t="shared" si="334"/>
        <v>20220908</v>
      </c>
      <c r="M1772" s="1" t="str">
        <f>"142450"</f>
        <v>142450</v>
      </c>
      <c r="N1772" s="1" t="s">
        <v>28</v>
      </c>
      <c r="O1772" s="1" t="s">
        <v>28</v>
      </c>
      <c r="P1772" s="1" t="s">
        <v>55</v>
      </c>
      <c r="Q1772" s="1">
        <v>25</v>
      </c>
      <c r="R1772" s="1">
        <v>25</v>
      </c>
      <c r="S1772" s="1">
        <v>0</v>
      </c>
      <c r="T1772" s="1">
        <v>0</v>
      </c>
      <c r="U1772" s="1">
        <v>0</v>
      </c>
      <c r="V1772" s="1" t="str">
        <f t="shared" si="333"/>
        <v>里程返程</v>
      </c>
      <c r="W1772" s="1" t="str">
        <f>"2020"</f>
        <v>2020</v>
      </c>
      <c r="X1772" s="1" t="s">
        <v>35</v>
      </c>
    </row>
    <row r="1773" spans="1:24" x14ac:dyDescent="0.3">
      <c r="A1773" s="1" t="str">
        <f t="shared" si="329"/>
        <v>59829</v>
      </c>
      <c r="B1773" s="1" t="s">
        <v>47</v>
      </c>
      <c r="C1773" s="1" t="s">
        <v>48</v>
      </c>
      <c r="D1773" s="1" t="str">
        <f>"9805"</f>
        <v>9805</v>
      </c>
      <c r="E1773" s="1" t="s">
        <v>57</v>
      </c>
      <c r="F1773" s="1" t="str">
        <f>"875278981"</f>
        <v>875278981</v>
      </c>
      <c r="G1773" s="1" t="s">
        <v>38</v>
      </c>
      <c r="H1773" s="1" t="str">
        <f t="shared" si="326"/>
        <v>20220908</v>
      </c>
      <c r="I1773" s="1" t="str">
        <f>"151853"</f>
        <v>151853</v>
      </c>
      <c r="J1773" s="1" t="s">
        <v>28</v>
      </c>
      <c r="K1773" s="1" t="s">
        <v>28</v>
      </c>
      <c r="L1773" s="1" t="str">
        <f t="shared" si="334"/>
        <v>20220908</v>
      </c>
      <c r="M1773" s="1" t="str">
        <f>"152511"</f>
        <v>152511</v>
      </c>
      <c r="N1773" s="1" t="s">
        <v>90</v>
      </c>
      <c r="O1773" s="1" t="s">
        <v>28</v>
      </c>
      <c r="P1773" s="1" t="s">
        <v>55</v>
      </c>
      <c r="Q1773" s="1">
        <v>25</v>
      </c>
      <c r="R1773" s="1">
        <v>25</v>
      </c>
      <c r="S1773" s="1">
        <v>0</v>
      </c>
      <c r="T1773" s="1">
        <v>0</v>
      </c>
      <c r="U1773" s="1">
        <v>0</v>
      </c>
      <c r="V1773" s="1" t="str">
        <f t="shared" ref="V1773:V1781" si="335">"里程去程"</f>
        <v>里程去程</v>
      </c>
      <c r="W1773" s="1" t="str">
        <f>"0120"</f>
        <v>0120</v>
      </c>
      <c r="X1773" s="1" t="s">
        <v>35</v>
      </c>
    </row>
    <row r="1774" spans="1:24" x14ac:dyDescent="0.3">
      <c r="A1774" s="1" t="str">
        <f t="shared" ref="A1774:A1793" si="336">"59829"</f>
        <v>59829</v>
      </c>
      <c r="B1774" s="1" t="s">
        <v>47</v>
      </c>
      <c r="C1774" s="1" t="s">
        <v>48</v>
      </c>
      <c r="D1774" s="1" t="str">
        <f>"9805"</f>
        <v>9805</v>
      </c>
      <c r="E1774" s="1" t="s">
        <v>57</v>
      </c>
      <c r="F1774" s="1" t="str">
        <f>"702520897"</f>
        <v>702520897</v>
      </c>
      <c r="G1774" s="1" t="s">
        <v>33</v>
      </c>
      <c r="H1774" s="1" t="str">
        <f t="shared" si="326"/>
        <v>20220908</v>
      </c>
      <c r="I1774" s="1" t="str">
        <f>"151928"</f>
        <v>151928</v>
      </c>
      <c r="J1774" s="1" t="s">
        <v>28</v>
      </c>
      <c r="K1774" s="1" t="s">
        <v>28</v>
      </c>
      <c r="L1774" s="1" t="str">
        <f t="shared" si="334"/>
        <v>20220908</v>
      </c>
      <c r="M1774" s="1" t="str">
        <f>"154002"</f>
        <v>154002</v>
      </c>
      <c r="N1774" s="1" t="s">
        <v>52</v>
      </c>
      <c r="O1774" s="1" t="s">
        <v>52</v>
      </c>
      <c r="P1774" s="1" t="s">
        <v>55</v>
      </c>
      <c r="Q1774" s="1">
        <v>25</v>
      </c>
      <c r="R1774" s="1">
        <v>25</v>
      </c>
      <c r="S1774" s="1">
        <v>0</v>
      </c>
      <c r="T1774" s="1">
        <v>0</v>
      </c>
      <c r="U1774" s="1">
        <v>0</v>
      </c>
      <c r="V1774" s="1" t="str">
        <f t="shared" si="335"/>
        <v>里程去程</v>
      </c>
      <c r="W1774" s="1" t="str">
        <f>"1420"</f>
        <v>1420</v>
      </c>
      <c r="X1774" s="1" t="s">
        <v>35</v>
      </c>
    </row>
    <row r="1775" spans="1:24" x14ac:dyDescent="0.3">
      <c r="A1775" s="1" t="str">
        <f t="shared" si="336"/>
        <v>59829</v>
      </c>
      <c r="B1775" s="1" t="s">
        <v>47</v>
      </c>
      <c r="C1775" s="1" t="s">
        <v>48</v>
      </c>
      <c r="D1775" s="1" t="str">
        <f>"9805"</f>
        <v>9805</v>
      </c>
      <c r="E1775" s="1" t="s">
        <v>57</v>
      </c>
      <c r="F1775" s="1" t="str">
        <f>"3759861015"</f>
        <v>3759861015</v>
      </c>
      <c r="G1775" s="1" t="s">
        <v>33</v>
      </c>
      <c r="H1775" s="1" t="str">
        <f t="shared" si="326"/>
        <v>20220908</v>
      </c>
      <c r="I1775" s="1" t="str">
        <f>"151931"</f>
        <v>151931</v>
      </c>
      <c r="J1775" s="1" t="s">
        <v>28</v>
      </c>
      <c r="K1775" s="1" t="s">
        <v>28</v>
      </c>
      <c r="L1775" s="1" t="str">
        <f t="shared" si="334"/>
        <v>20220908</v>
      </c>
      <c r="M1775" s="1" t="str">
        <f>"153958"</f>
        <v>153958</v>
      </c>
      <c r="N1775" s="1" t="s">
        <v>52</v>
      </c>
      <c r="O1775" s="1" t="s">
        <v>52</v>
      </c>
      <c r="P1775" s="1" t="s">
        <v>55</v>
      </c>
      <c r="Q1775" s="1">
        <v>25</v>
      </c>
      <c r="R1775" s="1">
        <v>25</v>
      </c>
      <c r="S1775" s="1">
        <v>0</v>
      </c>
      <c r="T1775" s="1">
        <v>0</v>
      </c>
      <c r="U1775" s="1">
        <v>0</v>
      </c>
      <c r="V1775" s="1" t="str">
        <f t="shared" si="335"/>
        <v>里程去程</v>
      </c>
      <c r="W1775" s="1" t="str">
        <f>"1420"</f>
        <v>1420</v>
      </c>
      <c r="X1775" s="1" t="s">
        <v>35</v>
      </c>
    </row>
    <row r="1776" spans="1:24" x14ac:dyDescent="0.3">
      <c r="A1776" s="1" t="str">
        <f t="shared" si="336"/>
        <v>59829</v>
      </c>
      <c r="B1776" s="1" t="s">
        <v>47</v>
      </c>
      <c r="C1776" s="1" t="s">
        <v>48</v>
      </c>
      <c r="D1776" s="1" t="str">
        <f>"9805"</f>
        <v>9805</v>
      </c>
      <c r="E1776" s="1" t="s">
        <v>57</v>
      </c>
      <c r="F1776" s="1" t="str">
        <f>"7311220213005638"</f>
        <v>7311220213005638</v>
      </c>
      <c r="G1776" s="1" t="s">
        <v>33</v>
      </c>
      <c r="H1776" s="1" t="str">
        <f t="shared" si="326"/>
        <v>20220908</v>
      </c>
      <c r="I1776" s="1" t="str">
        <f>"151942"</f>
        <v>151942</v>
      </c>
      <c r="J1776" s="1" t="s">
        <v>28</v>
      </c>
      <c r="K1776" s="1" t="s">
        <v>28</v>
      </c>
      <c r="L1776" s="1" t="str">
        <f t="shared" si="334"/>
        <v>20220908</v>
      </c>
      <c r="M1776" s="1" t="str">
        <f>"153948"</f>
        <v>153948</v>
      </c>
      <c r="N1776" s="1" t="s">
        <v>52</v>
      </c>
      <c r="O1776" s="1" t="s">
        <v>52</v>
      </c>
      <c r="P1776" s="1" t="s">
        <v>55</v>
      </c>
      <c r="Q1776" s="1">
        <v>25</v>
      </c>
      <c r="R1776" s="1">
        <v>0</v>
      </c>
      <c r="S1776" s="1">
        <v>25</v>
      </c>
      <c r="T1776" s="1">
        <v>0</v>
      </c>
      <c r="U1776" s="1">
        <v>0</v>
      </c>
      <c r="V1776" s="1" t="str">
        <f t="shared" si="335"/>
        <v>里程去程</v>
      </c>
      <c r="W1776" s="1" t="str">
        <f>"3A3B"</f>
        <v>3A3B</v>
      </c>
      <c r="X1776" s="1" t="s">
        <v>109</v>
      </c>
    </row>
    <row r="1777" spans="1:24" x14ac:dyDescent="0.3">
      <c r="A1777" s="1" t="str">
        <f t="shared" si="336"/>
        <v>59829</v>
      </c>
      <c r="B1777" s="1" t="s">
        <v>47</v>
      </c>
      <c r="C1777" s="1" t="s">
        <v>48</v>
      </c>
      <c r="D1777" s="1" t="str">
        <f>"9805"</f>
        <v>9805</v>
      </c>
      <c r="E1777" s="1" t="s">
        <v>57</v>
      </c>
      <c r="F1777" s="1" t="str">
        <f>"2047568726"</f>
        <v>2047568726</v>
      </c>
      <c r="G1777" s="1" t="s">
        <v>26</v>
      </c>
      <c r="H1777" s="1" t="str">
        <f t="shared" si="326"/>
        <v>20220908</v>
      </c>
      <c r="I1777" s="1" t="str">
        <f>"151951"</f>
        <v>151951</v>
      </c>
      <c r="J1777" s="1" t="s">
        <v>28</v>
      </c>
      <c r="K1777" s="1" t="s">
        <v>28</v>
      </c>
      <c r="L1777" s="1" t="str">
        <f t="shared" si="334"/>
        <v>20220908</v>
      </c>
      <c r="M1777" s="1" t="str">
        <f>"153645"</f>
        <v>153645</v>
      </c>
      <c r="N1777" s="1" t="s">
        <v>62</v>
      </c>
      <c r="O1777" s="1" t="s">
        <v>28</v>
      </c>
      <c r="P1777" s="1" t="s">
        <v>55</v>
      </c>
      <c r="Q1777" s="1">
        <v>13</v>
      </c>
      <c r="R1777" s="1">
        <v>13</v>
      </c>
      <c r="S1777" s="1">
        <v>0</v>
      </c>
      <c r="T1777" s="1">
        <v>0</v>
      </c>
      <c r="U1777" s="1">
        <v>0</v>
      </c>
      <c r="V1777" s="1" t="str">
        <f t="shared" si="335"/>
        <v>里程去程</v>
      </c>
      <c r="W1777" s="1" t="str">
        <f>"1420"</f>
        <v>1420</v>
      </c>
      <c r="X1777" s="1" t="s">
        <v>35</v>
      </c>
    </row>
    <row r="1778" spans="1:24" x14ac:dyDescent="0.3">
      <c r="A1778" s="1" t="str">
        <f t="shared" si="336"/>
        <v>59829</v>
      </c>
      <c r="B1778" s="1" t="s">
        <v>47</v>
      </c>
      <c r="C1778" s="1" t="s">
        <v>48</v>
      </c>
      <c r="D1778" s="1" t="str">
        <f>"9806"</f>
        <v>9806</v>
      </c>
      <c r="E1778" s="1" t="s">
        <v>49</v>
      </c>
      <c r="F1778" s="1" t="str">
        <f>"963143281"</f>
        <v>963143281</v>
      </c>
      <c r="G1778" s="1" t="s">
        <v>33</v>
      </c>
      <c r="H1778" s="1" t="str">
        <f t="shared" si="326"/>
        <v>20220908</v>
      </c>
      <c r="I1778" s="1" t="str">
        <f>"172423"</f>
        <v>172423</v>
      </c>
      <c r="J1778" s="1" t="s">
        <v>76</v>
      </c>
      <c r="K1778" s="1" t="s">
        <v>28</v>
      </c>
      <c r="L1778" s="1" t="str">
        <f t="shared" si="334"/>
        <v>20220908</v>
      </c>
      <c r="M1778" s="1" t="str">
        <f>"174025"</f>
        <v>174025</v>
      </c>
      <c r="N1778" s="1" t="s">
        <v>28</v>
      </c>
      <c r="O1778" s="1" t="s">
        <v>28</v>
      </c>
      <c r="P1778" s="1" t="s">
        <v>55</v>
      </c>
      <c r="Q1778" s="1">
        <v>25</v>
      </c>
      <c r="R1778" s="1">
        <v>25</v>
      </c>
      <c r="S1778" s="1">
        <v>0</v>
      </c>
      <c r="T1778" s="1">
        <v>0</v>
      </c>
      <c r="U1778" s="1">
        <v>0</v>
      </c>
      <c r="V1778" s="1" t="str">
        <f t="shared" si="335"/>
        <v>里程去程</v>
      </c>
      <c r="W1778" s="1" t="str">
        <f>"0820"</f>
        <v>0820</v>
      </c>
      <c r="X1778" s="1" t="s">
        <v>35</v>
      </c>
    </row>
    <row r="1779" spans="1:24" x14ac:dyDescent="0.3">
      <c r="A1779" s="1" t="str">
        <f t="shared" si="336"/>
        <v>59829</v>
      </c>
      <c r="B1779" s="1" t="s">
        <v>47</v>
      </c>
      <c r="C1779" s="1" t="s">
        <v>48</v>
      </c>
      <c r="D1779" s="1" t="str">
        <f>"9806"</f>
        <v>9806</v>
      </c>
      <c r="E1779" s="1" t="s">
        <v>49</v>
      </c>
      <c r="F1779" s="1" t="str">
        <f>"428FC21B14880400C822002000000021"</f>
        <v>428FC21B14880400C822002000000021</v>
      </c>
      <c r="G1779" s="1" t="s">
        <v>58</v>
      </c>
      <c r="H1779" s="1" t="str">
        <f t="shared" si="326"/>
        <v>20220908</v>
      </c>
      <c r="I1779" s="1" t="str">
        <f>"172427"</f>
        <v>172427</v>
      </c>
      <c r="J1779" s="1" t="s">
        <v>76</v>
      </c>
      <c r="K1779" s="1" t="s">
        <v>28</v>
      </c>
      <c r="L1779" s="1" t="str">
        <f t="shared" si="334"/>
        <v>20220908</v>
      </c>
      <c r="M1779" s="1" t="str">
        <f>"174027"</f>
        <v>174027</v>
      </c>
      <c r="N1779" s="1" t="s">
        <v>28</v>
      </c>
      <c r="O1779" s="1" t="s">
        <v>28</v>
      </c>
      <c r="P1779" s="1" t="s">
        <v>55</v>
      </c>
      <c r="Q1779" s="1">
        <v>25</v>
      </c>
      <c r="R1779" s="1">
        <v>25</v>
      </c>
      <c r="S1779" s="1">
        <v>0</v>
      </c>
      <c r="T1779" s="1">
        <v>0</v>
      </c>
      <c r="U1779" s="1">
        <v>0</v>
      </c>
      <c r="V1779" s="1" t="str">
        <f t="shared" si="335"/>
        <v>里程去程</v>
      </c>
      <c r="W1779" s="1" t="str">
        <f>"0020"</f>
        <v>0020</v>
      </c>
      <c r="X1779" s="1" t="s">
        <v>29</v>
      </c>
    </row>
    <row r="1780" spans="1:24" x14ac:dyDescent="0.3">
      <c r="A1780" s="1" t="str">
        <f t="shared" si="336"/>
        <v>59829</v>
      </c>
      <c r="B1780" s="1" t="s">
        <v>47</v>
      </c>
      <c r="C1780" s="1" t="s">
        <v>48</v>
      </c>
      <c r="D1780" s="1" t="str">
        <f>"9806"</f>
        <v>9806</v>
      </c>
      <c r="E1780" s="1" t="s">
        <v>49</v>
      </c>
      <c r="F1780" s="1" t="str">
        <f>"C2D9AC15A2880400C810002000000019"</f>
        <v>C2D9AC15A2880400C810002000000019</v>
      </c>
      <c r="G1780" s="1" t="s">
        <v>59</v>
      </c>
      <c r="H1780" s="1" t="str">
        <f t="shared" si="326"/>
        <v>20220908</v>
      </c>
      <c r="I1780" s="1" t="str">
        <f>"172436"</f>
        <v>172436</v>
      </c>
      <c r="J1780" s="1" t="s">
        <v>76</v>
      </c>
      <c r="K1780" s="1" t="s">
        <v>28</v>
      </c>
      <c r="L1780" s="1" t="str">
        <f t="shared" si="334"/>
        <v>20220908</v>
      </c>
      <c r="M1780" s="1" t="str">
        <f>"174020"</f>
        <v>174020</v>
      </c>
      <c r="N1780" s="1" t="s">
        <v>28</v>
      </c>
      <c r="O1780" s="1" t="s">
        <v>28</v>
      </c>
      <c r="P1780" s="1" t="s">
        <v>55</v>
      </c>
      <c r="Q1780" s="1">
        <v>25</v>
      </c>
      <c r="R1780" s="1">
        <v>25</v>
      </c>
      <c r="S1780" s="1">
        <v>0</v>
      </c>
      <c r="T1780" s="1">
        <v>0</v>
      </c>
      <c r="U1780" s="1">
        <v>0</v>
      </c>
      <c r="V1780" s="1" t="str">
        <f t="shared" si="335"/>
        <v>里程去程</v>
      </c>
      <c r="W1780" s="1" t="str">
        <f>"0020"</f>
        <v>0020</v>
      </c>
      <c r="X1780" s="1" t="s">
        <v>29</v>
      </c>
    </row>
    <row r="1781" spans="1:24" x14ac:dyDescent="0.3">
      <c r="A1781" s="1" t="str">
        <f t="shared" si="336"/>
        <v>59829</v>
      </c>
      <c r="B1781" s="1" t="s">
        <v>47</v>
      </c>
      <c r="C1781" s="1" t="s">
        <v>48</v>
      </c>
      <c r="D1781" s="1" t="str">
        <f t="shared" ref="D1781:D1793" si="337">"9803"</f>
        <v>9803</v>
      </c>
      <c r="E1781" s="1" t="s">
        <v>32</v>
      </c>
      <c r="F1781" s="1" t="str">
        <f>"2A9F8F3208880400C08E1E9145604012"</f>
        <v>2A9F8F3208880400C08E1E9145604012</v>
      </c>
      <c r="G1781" s="1" t="s">
        <v>58</v>
      </c>
      <c r="H1781" s="1" t="str">
        <f t="shared" si="326"/>
        <v>20220908</v>
      </c>
      <c r="I1781" s="1" t="str">
        <f>"174109"</f>
        <v>174109</v>
      </c>
      <c r="J1781" s="1" t="s">
        <v>28</v>
      </c>
      <c r="K1781" s="1" t="s">
        <v>28</v>
      </c>
      <c r="L1781" s="1" t="str">
        <f t="shared" si="334"/>
        <v>20220908</v>
      </c>
      <c r="M1781" s="1" t="str">
        <f>"174904"</f>
        <v>174904</v>
      </c>
      <c r="N1781" s="1" t="s">
        <v>70</v>
      </c>
      <c r="O1781" s="1" t="s">
        <v>28</v>
      </c>
      <c r="P1781" s="1" t="s">
        <v>55</v>
      </c>
      <c r="Q1781" s="1">
        <v>25</v>
      </c>
      <c r="R1781" s="1">
        <v>0</v>
      </c>
      <c r="S1781" s="1">
        <v>25</v>
      </c>
      <c r="T1781" s="1">
        <v>0</v>
      </c>
      <c r="U1781" s="1">
        <v>0</v>
      </c>
      <c r="V1781" s="1" t="str">
        <f t="shared" si="335"/>
        <v>里程去程</v>
      </c>
      <c r="W1781" s="1" t="str">
        <f>"0620"</f>
        <v>0620</v>
      </c>
      <c r="X1781" s="1" t="s">
        <v>29</v>
      </c>
    </row>
    <row r="1782" spans="1:24" x14ac:dyDescent="0.3">
      <c r="A1782" s="1" t="str">
        <f t="shared" si="336"/>
        <v>59829</v>
      </c>
      <c r="B1782" s="1" t="s">
        <v>47</v>
      </c>
      <c r="C1782" s="1" t="s">
        <v>48</v>
      </c>
      <c r="D1782" s="1" t="str">
        <f t="shared" si="337"/>
        <v>9803</v>
      </c>
      <c r="E1782" s="1" t="s">
        <v>32</v>
      </c>
      <c r="F1782" s="1" t="str">
        <f>"1141087221"</f>
        <v>1141087221</v>
      </c>
      <c r="G1782" s="1" t="s">
        <v>33</v>
      </c>
      <c r="H1782" s="1" t="str">
        <f t="shared" si="326"/>
        <v>20220908</v>
      </c>
      <c r="I1782" s="1" t="str">
        <f>"180408"</f>
        <v>180408</v>
      </c>
      <c r="J1782" s="1" t="s">
        <v>34</v>
      </c>
      <c r="K1782" s="1" t="s">
        <v>34</v>
      </c>
      <c r="L1782" s="1" t="str">
        <f>""</f>
        <v/>
      </c>
      <c r="M1782" s="1" t="str">
        <f>""</f>
        <v/>
      </c>
      <c r="P1782" s="1" t="s">
        <v>88</v>
      </c>
      <c r="Q1782" s="1">
        <v>25</v>
      </c>
      <c r="R1782" s="1">
        <v>25</v>
      </c>
      <c r="S1782" s="1">
        <v>0</v>
      </c>
      <c r="T1782" s="1">
        <v>0</v>
      </c>
      <c r="U1782" s="1">
        <v>0</v>
      </c>
      <c r="V1782" s="1" t="str">
        <f t="shared" ref="V1782:V1805" si="338">"里程返程"</f>
        <v>里程返程</v>
      </c>
      <c r="W1782" s="1" t="str">
        <f>"2120"</f>
        <v>2120</v>
      </c>
      <c r="X1782" s="1" t="s">
        <v>35</v>
      </c>
    </row>
    <row r="1783" spans="1:24" x14ac:dyDescent="0.3">
      <c r="A1783" s="1" t="str">
        <f t="shared" si="336"/>
        <v>59829</v>
      </c>
      <c r="B1783" s="1" t="s">
        <v>47</v>
      </c>
      <c r="C1783" s="1" t="s">
        <v>48</v>
      </c>
      <c r="D1783" s="1" t="str">
        <f t="shared" si="337"/>
        <v>9803</v>
      </c>
      <c r="E1783" s="1" t="s">
        <v>32</v>
      </c>
      <c r="F1783" s="1" t="str">
        <f>"7311150232010857"</f>
        <v>7311150232010857</v>
      </c>
      <c r="G1783" s="1" t="s">
        <v>33</v>
      </c>
      <c r="H1783" s="1" t="str">
        <f t="shared" si="326"/>
        <v>20220908</v>
      </c>
      <c r="I1783" s="1" t="str">
        <f>"180439"</f>
        <v>180439</v>
      </c>
      <c r="J1783" s="1" t="s">
        <v>34</v>
      </c>
      <c r="K1783" s="1" t="s">
        <v>34</v>
      </c>
      <c r="L1783" s="1" t="str">
        <f t="shared" ref="L1783:L1793" si="339">"20220908"</f>
        <v>20220908</v>
      </c>
      <c r="M1783" s="1" t="str">
        <f>"183155"</f>
        <v>183155</v>
      </c>
      <c r="N1783" s="1" t="s">
        <v>28</v>
      </c>
      <c r="O1783" s="1" t="s">
        <v>28</v>
      </c>
      <c r="P1783" s="1" t="s">
        <v>55</v>
      </c>
      <c r="Q1783" s="1">
        <v>25</v>
      </c>
      <c r="R1783" s="1">
        <v>25</v>
      </c>
      <c r="S1783" s="1">
        <v>0</v>
      </c>
      <c r="T1783" s="1">
        <v>0</v>
      </c>
      <c r="U1783" s="1">
        <v>0</v>
      </c>
      <c r="V1783" s="1" t="str">
        <f t="shared" si="338"/>
        <v>里程返程</v>
      </c>
      <c r="W1783" s="1" t="str">
        <f>"323B"</f>
        <v>323B</v>
      </c>
      <c r="X1783" s="1" t="s">
        <v>109</v>
      </c>
    </row>
    <row r="1784" spans="1:24" x14ac:dyDescent="0.3">
      <c r="A1784" s="1" t="str">
        <f t="shared" si="336"/>
        <v>59829</v>
      </c>
      <c r="B1784" s="1" t="s">
        <v>47</v>
      </c>
      <c r="C1784" s="1" t="s">
        <v>48</v>
      </c>
      <c r="D1784" s="1" t="str">
        <f t="shared" si="337"/>
        <v>9803</v>
      </c>
      <c r="E1784" s="1" t="s">
        <v>32</v>
      </c>
      <c r="F1784" s="1" t="str">
        <f>"A1D7B3599C2804001C00000000000000"</f>
        <v>A1D7B3599C2804001C00000000000000</v>
      </c>
      <c r="G1784" s="1" t="s">
        <v>58</v>
      </c>
      <c r="H1784" s="1" t="str">
        <f t="shared" si="326"/>
        <v>20220908</v>
      </c>
      <c r="I1784" s="1" t="str">
        <f>"180444"</f>
        <v>180444</v>
      </c>
      <c r="J1784" s="1" t="s">
        <v>34</v>
      </c>
      <c r="K1784" s="1" t="s">
        <v>34</v>
      </c>
      <c r="L1784" s="1" t="str">
        <f t="shared" si="339"/>
        <v>20220908</v>
      </c>
      <c r="M1784" s="1" t="str">
        <f>"183204"</f>
        <v>183204</v>
      </c>
      <c r="N1784" s="1" t="s">
        <v>28</v>
      </c>
      <c r="O1784" s="1" t="s">
        <v>28</v>
      </c>
      <c r="P1784" s="1" t="s">
        <v>55</v>
      </c>
      <c r="Q1784" s="1">
        <v>25</v>
      </c>
      <c r="R1784" s="1">
        <v>25</v>
      </c>
      <c r="S1784" s="1">
        <v>0</v>
      </c>
      <c r="T1784" s="1">
        <v>0</v>
      </c>
      <c r="U1784" s="1">
        <v>0</v>
      </c>
      <c r="V1784" s="1" t="str">
        <f t="shared" si="338"/>
        <v>里程返程</v>
      </c>
      <c r="W1784" s="1" t="str">
        <f>"0020"</f>
        <v>0020</v>
      </c>
      <c r="X1784" s="1" t="s">
        <v>29</v>
      </c>
    </row>
    <row r="1785" spans="1:24" x14ac:dyDescent="0.3">
      <c r="A1785" s="1" t="str">
        <f t="shared" si="336"/>
        <v>59829</v>
      </c>
      <c r="B1785" s="1" t="s">
        <v>47</v>
      </c>
      <c r="C1785" s="1" t="s">
        <v>48</v>
      </c>
      <c r="D1785" s="1" t="str">
        <f t="shared" si="337"/>
        <v>9803</v>
      </c>
      <c r="E1785" s="1" t="s">
        <v>32</v>
      </c>
      <c r="F1785" s="1" t="str">
        <f>"1724788181"</f>
        <v>1724788181</v>
      </c>
      <c r="G1785" s="1" t="s">
        <v>38</v>
      </c>
      <c r="H1785" s="1" t="str">
        <f t="shared" si="326"/>
        <v>20220908</v>
      </c>
      <c r="I1785" s="1" t="str">
        <f>"180452"</f>
        <v>180452</v>
      </c>
      <c r="J1785" s="1" t="s">
        <v>34</v>
      </c>
      <c r="K1785" s="1" t="s">
        <v>34</v>
      </c>
      <c r="L1785" s="1" t="str">
        <f t="shared" si="339"/>
        <v>20220908</v>
      </c>
      <c r="M1785" s="1" t="str">
        <f>"183217"</f>
        <v>183217</v>
      </c>
      <c r="N1785" s="1" t="s">
        <v>28</v>
      </c>
      <c r="O1785" s="1" t="s">
        <v>28</v>
      </c>
      <c r="P1785" s="1" t="s">
        <v>55</v>
      </c>
      <c r="Q1785" s="1">
        <v>25</v>
      </c>
      <c r="R1785" s="1">
        <v>25</v>
      </c>
      <c r="S1785" s="1">
        <v>0</v>
      </c>
      <c r="T1785" s="1">
        <v>0</v>
      </c>
      <c r="U1785" s="1">
        <v>0</v>
      </c>
      <c r="V1785" s="1" t="str">
        <f t="shared" si="338"/>
        <v>里程返程</v>
      </c>
      <c r="W1785" s="1" t="str">
        <f>"2020"</f>
        <v>2020</v>
      </c>
      <c r="X1785" s="1" t="s">
        <v>35</v>
      </c>
    </row>
    <row r="1786" spans="1:24" x14ac:dyDescent="0.3">
      <c r="A1786" s="1" t="str">
        <f t="shared" si="336"/>
        <v>59829</v>
      </c>
      <c r="B1786" s="1" t="s">
        <v>47</v>
      </c>
      <c r="C1786" s="1" t="s">
        <v>48</v>
      </c>
      <c r="D1786" s="1" t="str">
        <f t="shared" si="337"/>
        <v>9803</v>
      </c>
      <c r="E1786" s="1" t="s">
        <v>32</v>
      </c>
      <c r="F1786" s="1" t="str">
        <f>"1724787477"</f>
        <v>1724787477</v>
      </c>
      <c r="G1786" s="1" t="s">
        <v>38</v>
      </c>
      <c r="H1786" s="1" t="str">
        <f t="shared" si="326"/>
        <v>20220908</v>
      </c>
      <c r="I1786" s="1" t="str">
        <f>"180508"</f>
        <v>180508</v>
      </c>
      <c r="J1786" s="1" t="s">
        <v>34</v>
      </c>
      <c r="K1786" s="1" t="s">
        <v>34</v>
      </c>
      <c r="L1786" s="1" t="str">
        <f t="shared" si="339"/>
        <v>20220908</v>
      </c>
      <c r="M1786" s="1" t="str">
        <f>"183142"</f>
        <v>183142</v>
      </c>
      <c r="N1786" s="1" t="s">
        <v>28</v>
      </c>
      <c r="O1786" s="1" t="s">
        <v>28</v>
      </c>
      <c r="P1786" s="1" t="s">
        <v>55</v>
      </c>
      <c r="Q1786" s="1">
        <v>25</v>
      </c>
      <c r="R1786" s="1">
        <v>25</v>
      </c>
      <c r="S1786" s="1">
        <v>0</v>
      </c>
      <c r="T1786" s="1">
        <v>0</v>
      </c>
      <c r="U1786" s="1">
        <v>0</v>
      </c>
      <c r="V1786" s="1" t="str">
        <f t="shared" si="338"/>
        <v>里程返程</v>
      </c>
      <c r="W1786" s="1" t="str">
        <f>"2020"</f>
        <v>2020</v>
      </c>
      <c r="X1786" s="1" t="s">
        <v>35</v>
      </c>
    </row>
    <row r="1787" spans="1:24" x14ac:dyDescent="0.3">
      <c r="A1787" s="1" t="str">
        <f t="shared" si="336"/>
        <v>59829</v>
      </c>
      <c r="B1787" s="1" t="s">
        <v>47</v>
      </c>
      <c r="C1787" s="1" t="s">
        <v>48</v>
      </c>
      <c r="D1787" s="1" t="str">
        <f t="shared" si="337"/>
        <v>9803</v>
      </c>
      <c r="E1787" s="1" t="s">
        <v>32</v>
      </c>
      <c r="F1787" s="1" t="str">
        <f>"9517171002180376"</f>
        <v>9517171002180376</v>
      </c>
      <c r="G1787" s="1" t="s">
        <v>33</v>
      </c>
      <c r="H1787" s="1" t="str">
        <f t="shared" si="326"/>
        <v>20220908</v>
      </c>
      <c r="I1787" s="1" t="str">
        <f>"180530"</f>
        <v>180530</v>
      </c>
      <c r="J1787" s="1" t="s">
        <v>34</v>
      </c>
      <c r="K1787" s="1" t="s">
        <v>34</v>
      </c>
      <c r="L1787" s="1" t="str">
        <f t="shared" si="339"/>
        <v>20220908</v>
      </c>
      <c r="M1787" s="1" t="str">
        <f>"183127"</f>
        <v>183127</v>
      </c>
      <c r="N1787" s="1" t="s">
        <v>28</v>
      </c>
      <c r="O1787" s="1" t="s">
        <v>28</v>
      </c>
      <c r="P1787" s="1" t="s">
        <v>55</v>
      </c>
      <c r="Q1787" s="1">
        <v>25</v>
      </c>
      <c r="R1787" s="1">
        <v>25</v>
      </c>
      <c r="S1787" s="1">
        <v>0</v>
      </c>
      <c r="T1787" s="1">
        <v>0</v>
      </c>
      <c r="U1787" s="1">
        <v>0</v>
      </c>
      <c r="V1787" s="1" t="str">
        <f t="shared" si="338"/>
        <v>里程返程</v>
      </c>
      <c r="W1787" s="1" t="str">
        <f>"3B8B"</f>
        <v>3B8B</v>
      </c>
      <c r="X1787" s="1" t="s">
        <v>109</v>
      </c>
    </row>
    <row r="1788" spans="1:24" x14ac:dyDescent="0.3">
      <c r="A1788" s="1" t="str">
        <f t="shared" si="336"/>
        <v>59829</v>
      </c>
      <c r="B1788" s="1" t="s">
        <v>47</v>
      </c>
      <c r="C1788" s="1" t="s">
        <v>48</v>
      </c>
      <c r="D1788" s="1" t="str">
        <f t="shared" si="337"/>
        <v>9803</v>
      </c>
      <c r="E1788" s="1" t="s">
        <v>32</v>
      </c>
      <c r="F1788" s="1" t="str">
        <f>"258961333"</f>
        <v>258961333</v>
      </c>
      <c r="G1788" s="1" t="s">
        <v>33</v>
      </c>
      <c r="H1788" s="1" t="str">
        <f t="shared" si="326"/>
        <v>20220908</v>
      </c>
      <c r="I1788" s="1" t="str">
        <f>"180536"</f>
        <v>180536</v>
      </c>
      <c r="J1788" s="1" t="s">
        <v>34</v>
      </c>
      <c r="K1788" s="1" t="s">
        <v>34</v>
      </c>
      <c r="L1788" s="1" t="str">
        <f t="shared" si="339"/>
        <v>20220908</v>
      </c>
      <c r="M1788" s="1" t="str">
        <f>"183117"</f>
        <v>183117</v>
      </c>
      <c r="N1788" s="1" t="s">
        <v>28</v>
      </c>
      <c r="O1788" s="1" t="s">
        <v>28</v>
      </c>
      <c r="P1788" s="1" t="s">
        <v>55</v>
      </c>
      <c r="Q1788" s="1">
        <v>25</v>
      </c>
      <c r="R1788" s="1">
        <v>25</v>
      </c>
      <c r="S1788" s="1">
        <v>0</v>
      </c>
      <c r="T1788" s="1">
        <v>0</v>
      </c>
      <c r="U1788" s="1">
        <v>0</v>
      </c>
      <c r="V1788" s="1" t="str">
        <f t="shared" si="338"/>
        <v>里程返程</v>
      </c>
      <c r="W1788" s="1" t="str">
        <f>"2020"</f>
        <v>2020</v>
      </c>
      <c r="X1788" s="1" t="s">
        <v>35</v>
      </c>
    </row>
    <row r="1789" spans="1:24" x14ac:dyDescent="0.3">
      <c r="A1789" s="1" t="str">
        <f t="shared" si="336"/>
        <v>59829</v>
      </c>
      <c r="B1789" s="1" t="s">
        <v>47</v>
      </c>
      <c r="C1789" s="1" t="s">
        <v>48</v>
      </c>
      <c r="D1789" s="1" t="str">
        <f t="shared" si="337"/>
        <v>9803</v>
      </c>
      <c r="E1789" s="1" t="s">
        <v>32</v>
      </c>
      <c r="F1789" s="1" t="str">
        <f>"1658829857"</f>
        <v>1658829857</v>
      </c>
      <c r="G1789" s="1" t="s">
        <v>33</v>
      </c>
      <c r="H1789" s="1" t="str">
        <f t="shared" si="326"/>
        <v>20220908</v>
      </c>
      <c r="I1789" s="1" t="str">
        <f>"180544"</f>
        <v>180544</v>
      </c>
      <c r="J1789" s="1" t="s">
        <v>34</v>
      </c>
      <c r="K1789" s="1" t="s">
        <v>34</v>
      </c>
      <c r="L1789" s="1" t="str">
        <f t="shared" si="339"/>
        <v>20220908</v>
      </c>
      <c r="M1789" s="1" t="str">
        <f>"183059"</f>
        <v>183059</v>
      </c>
      <c r="N1789" s="1" t="s">
        <v>28</v>
      </c>
      <c r="O1789" s="1" t="s">
        <v>28</v>
      </c>
      <c r="P1789" s="1" t="s">
        <v>55</v>
      </c>
      <c r="Q1789" s="1">
        <v>25</v>
      </c>
      <c r="R1789" s="1">
        <v>25</v>
      </c>
      <c r="S1789" s="1">
        <v>0</v>
      </c>
      <c r="T1789" s="1">
        <v>0</v>
      </c>
      <c r="U1789" s="1">
        <v>0</v>
      </c>
      <c r="V1789" s="1" t="str">
        <f t="shared" si="338"/>
        <v>里程返程</v>
      </c>
      <c r="W1789" s="1" t="str">
        <f>"0120"</f>
        <v>0120</v>
      </c>
      <c r="X1789" s="1" t="s">
        <v>35</v>
      </c>
    </row>
    <row r="1790" spans="1:24" x14ac:dyDescent="0.3">
      <c r="A1790" s="1" t="str">
        <f t="shared" si="336"/>
        <v>59829</v>
      </c>
      <c r="B1790" s="1" t="s">
        <v>47</v>
      </c>
      <c r="C1790" s="1" t="s">
        <v>48</v>
      </c>
      <c r="D1790" s="1" t="str">
        <f t="shared" si="337"/>
        <v>9803</v>
      </c>
      <c r="E1790" s="1" t="s">
        <v>32</v>
      </c>
      <c r="F1790" s="1" t="str">
        <f>"1788539413"</f>
        <v>1788539413</v>
      </c>
      <c r="G1790" s="1" t="s">
        <v>33</v>
      </c>
      <c r="H1790" s="1" t="str">
        <f t="shared" si="326"/>
        <v>20220908</v>
      </c>
      <c r="I1790" s="1" t="str">
        <f>"180633"</f>
        <v>180633</v>
      </c>
      <c r="J1790" s="1" t="s">
        <v>34</v>
      </c>
      <c r="K1790" s="1" t="s">
        <v>34</v>
      </c>
      <c r="L1790" s="1" t="str">
        <f t="shared" si="339"/>
        <v>20220908</v>
      </c>
      <c r="M1790" s="1" t="str">
        <f>"183056"</f>
        <v>183056</v>
      </c>
      <c r="N1790" s="1" t="s">
        <v>28</v>
      </c>
      <c r="O1790" s="1" t="s">
        <v>28</v>
      </c>
      <c r="P1790" s="1" t="s">
        <v>55</v>
      </c>
      <c r="Q1790" s="1">
        <v>25</v>
      </c>
      <c r="R1790" s="1">
        <v>25</v>
      </c>
      <c r="S1790" s="1">
        <v>0</v>
      </c>
      <c r="T1790" s="1">
        <v>0</v>
      </c>
      <c r="U1790" s="1">
        <v>0</v>
      </c>
      <c r="V1790" s="1" t="str">
        <f t="shared" si="338"/>
        <v>里程返程</v>
      </c>
      <c r="W1790" s="1" t="str">
        <f>"0120"</f>
        <v>0120</v>
      </c>
      <c r="X1790" s="1" t="s">
        <v>35</v>
      </c>
    </row>
    <row r="1791" spans="1:24" x14ac:dyDescent="0.3">
      <c r="A1791" s="1" t="str">
        <f t="shared" si="336"/>
        <v>59829</v>
      </c>
      <c r="B1791" s="1" t="s">
        <v>47</v>
      </c>
      <c r="C1791" s="1" t="s">
        <v>48</v>
      </c>
      <c r="D1791" s="1" t="str">
        <f t="shared" si="337"/>
        <v>9803</v>
      </c>
      <c r="E1791" s="1" t="s">
        <v>32</v>
      </c>
      <c r="F1791" s="1" t="str">
        <f>"218644353"</f>
        <v>218644353</v>
      </c>
      <c r="G1791" s="1" t="s">
        <v>33</v>
      </c>
      <c r="H1791" s="1" t="str">
        <f t="shared" si="326"/>
        <v>20220908</v>
      </c>
      <c r="I1791" s="1" t="str">
        <f>"180641"</f>
        <v>180641</v>
      </c>
      <c r="J1791" s="1" t="s">
        <v>34</v>
      </c>
      <c r="K1791" s="1" t="s">
        <v>34</v>
      </c>
      <c r="L1791" s="1" t="str">
        <f t="shared" si="339"/>
        <v>20220908</v>
      </c>
      <c r="M1791" s="1" t="str">
        <f>"183054"</f>
        <v>183054</v>
      </c>
      <c r="N1791" s="1" t="s">
        <v>28</v>
      </c>
      <c r="O1791" s="1" t="s">
        <v>28</v>
      </c>
      <c r="P1791" s="1" t="s">
        <v>55</v>
      </c>
      <c r="Q1791" s="1">
        <v>25</v>
      </c>
      <c r="R1791" s="1">
        <v>25</v>
      </c>
      <c r="S1791" s="1">
        <v>0</v>
      </c>
      <c r="T1791" s="1">
        <v>0</v>
      </c>
      <c r="U1791" s="1">
        <v>0</v>
      </c>
      <c r="V1791" s="1" t="str">
        <f t="shared" si="338"/>
        <v>里程返程</v>
      </c>
      <c r="W1791" s="1" t="str">
        <f>"2020"</f>
        <v>2020</v>
      </c>
      <c r="X1791" s="1" t="s">
        <v>35</v>
      </c>
    </row>
    <row r="1792" spans="1:24" x14ac:dyDescent="0.3">
      <c r="A1792" s="1" t="str">
        <f t="shared" si="336"/>
        <v>59829</v>
      </c>
      <c r="B1792" s="1" t="s">
        <v>47</v>
      </c>
      <c r="C1792" s="1" t="s">
        <v>48</v>
      </c>
      <c r="D1792" s="1" t="str">
        <f t="shared" si="337"/>
        <v>9803</v>
      </c>
      <c r="E1792" s="1" t="s">
        <v>32</v>
      </c>
      <c r="F1792" s="1" t="str">
        <f>"924867173"</f>
        <v>924867173</v>
      </c>
      <c r="G1792" s="1" t="s">
        <v>38</v>
      </c>
      <c r="H1792" s="1" t="str">
        <f t="shared" si="326"/>
        <v>20220908</v>
      </c>
      <c r="I1792" s="1" t="str">
        <f>"182127"</f>
        <v>182127</v>
      </c>
      <c r="J1792" s="1" t="s">
        <v>46</v>
      </c>
      <c r="K1792" s="1" t="s">
        <v>28</v>
      </c>
      <c r="L1792" s="1" t="str">
        <f t="shared" si="339"/>
        <v>20220908</v>
      </c>
      <c r="M1792" s="1" t="str">
        <f>"183051"</f>
        <v>183051</v>
      </c>
      <c r="N1792" s="1" t="s">
        <v>28</v>
      </c>
      <c r="O1792" s="1" t="s">
        <v>28</v>
      </c>
      <c r="P1792" s="1" t="s">
        <v>55</v>
      </c>
      <c r="Q1792" s="1">
        <v>25</v>
      </c>
      <c r="R1792" s="1">
        <v>25</v>
      </c>
      <c r="S1792" s="1">
        <v>0</v>
      </c>
      <c r="T1792" s="1">
        <v>0</v>
      </c>
      <c r="U1792" s="1">
        <v>0</v>
      </c>
      <c r="V1792" s="1" t="str">
        <f t="shared" si="338"/>
        <v>里程返程</v>
      </c>
      <c r="W1792" s="1" t="str">
        <f>"0820"</f>
        <v>0820</v>
      </c>
      <c r="X1792" s="1" t="s">
        <v>35</v>
      </c>
    </row>
    <row r="1793" spans="1:24" x14ac:dyDescent="0.3">
      <c r="A1793" s="1" t="str">
        <f t="shared" si="336"/>
        <v>59829</v>
      </c>
      <c r="B1793" s="1" t="s">
        <v>47</v>
      </c>
      <c r="C1793" s="1" t="s">
        <v>48</v>
      </c>
      <c r="D1793" s="1" t="str">
        <f t="shared" si="337"/>
        <v>9803</v>
      </c>
      <c r="E1793" s="1" t="s">
        <v>32</v>
      </c>
      <c r="F1793" s="1" t="str">
        <f>"1272F30E9D880400C820002000000018"</f>
        <v>1272F30E9D880400C820002000000018</v>
      </c>
      <c r="G1793" s="1" t="s">
        <v>59</v>
      </c>
      <c r="H1793" s="1" t="str">
        <f t="shared" si="326"/>
        <v>20220908</v>
      </c>
      <c r="I1793" s="1" t="str">
        <f>"182136"</f>
        <v>182136</v>
      </c>
      <c r="J1793" s="1" t="s">
        <v>46</v>
      </c>
      <c r="K1793" s="1" t="s">
        <v>28</v>
      </c>
      <c r="L1793" s="1" t="str">
        <f t="shared" si="339"/>
        <v>20220908</v>
      </c>
      <c r="M1793" s="1" t="str">
        <f>"183048"</f>
        <v>183048</v>
      </c>
      <c r="N1793" s="1" t="s">
        <v>28</v>
      </c>
      <c r="O1793" s="1" t="s">
        <v>28</v>
      </c>
      <c r="P1793" s="1" t="s">
        <v>55</v>
      </c>
      <c r="Q1793" s="1">
        <v>25</v>
      </c>
      <c r="R1793" s="1">
        <v>25</v>
      </c>
      <c r="S1793" s="1">
        <v>0</v>
      </c>
      <c r="T1793" s="1">
        <v>0</v>
      </c>
      <c r="U1793" s="1">
        <v>0</v>
      </c>
      <c r="V1793" s="1" t="str">
        <f t="shared" si="338"/>
        <v>里程返程</v>
      </c>
      <c r="W1793" s="1" t="str">
        <f>"0020"</f>
        <v>0020</v>
      </c>
      <c r="X1793" s="1" t="s">
        <v>29</v>
      </c>
    </row>
    <row r="1794" spans="1:24" x14ac:dyDescent="0.3">
      <c r="A1794" s="1" t="str">
        <f t="shared" ref="A1794:A1833" si="340">"59809"</f>
        <v>59809</v>
      </c>
      <c r="B1794" s="1" t="s">
        <v>42</v>
      </c>
      <c r="C1794" s="1" t="s">
        <v>43</v>
      </c>
      <c r="D1794" s="1" t="str">
        <f t="shared" ref="D1794:D1833" si="341">"9801"</f>
        <v>9801</v>
      </c>
      <c r="E1794" s="1" t="s">
        <v>25</v>
      </c>
      <c r="F1794" s="1" t="str">
        <f>"C29FF517BF880400C814002000000019"</f>
        <v>C29FF517BF880400C814002000000019</v>
      </c>
      <c r="G1794" s="1" t="s">
        <v>59</v>
      </c>
      <c r="H1794" s="1" t="str">
        <f t="shared" ref="H1794:H1857" si="342">"20220909"</f>
        <v>20220909</v>
      </c>
      <c r="I1794" s="1" t="str">
        <f>"060629"</f>
        <v>060629</v>
      </c>
      <c r="J1794" s="1" t="s">
        <v>56</v>
      </c>
      <c r="K1794" s="1" t="s">
        <v>45</v>
      </c>
      <c r="L1794" s="1" t="str">
        <f t="shared" ref="L1794:L1825" si="343">"20220909"</f>
        <v>20220909</v>
      </c>
      <c r="M1794" s="1" t="str">
        <f>"061826"</f>
        <v>061826</v>
      </c>
      <c r="N1794" s="1" t="s">
        <v>28</v>
      </c>
      <c r="O1794" s="1" t="s">
        <v>28</v>
      </c>
      <c r="P1794" s="1" t="s">
        <v>55</v>
      </c>
      <c r="Q1794" s="1">
        <v>25</v>
      </c>
      <c r="R1794" s="1">
        <v>25</v>
      </c>
      <c r="S1794" s="1">
        <v>0</v>
      </c>
      <c r="T1794" s="1">
        <v>0</v>
      </c>
      <c r="U1794" s="1">
        <v>0</v>
      </c>
      <c r="V1794" s="1" t="str">
        <f t="shared" si="338"/>
        <v>里程返程</v>
      </c>
      <c r="W1794" s="1" t="str">
        <f>"0020"</f>
        <v>0020</v>
      </c>
      <c r="X1794" s="1" t="s">
        <v>29</v>
      </c>
    </row>
    <row r="1795" spans="1:24" x14ac:dyDescent="0.3">
      <c r="A1795" s="1" t="str">
        <f t="shared" si="340"/>
        <v>59809</v>
      </c>
      <c r="B1795" s="1" t="s">
        <v>42</v>
      </c>
      <c r="C1795" s="1" t="s">
        <v>43</v>
      </c>
      <c r="D1795" s="1" t="str">
        <f t="shared" si="341"/>
        <v>9801</v>
      </c>
      <c r="E1795" s="1" t="s">
        <v>25</v>
      </c>
      <c r="F1795" s="1" t="str">
        <f>"0107F800FE880400432494C6000E080E"</f>
        <v>0107F800FE880400432494C6000E080E</v>
      </c>
      <c r="G1795" s="1" t="s">
        <v>59</v>
      </c>
      <c r="H1795" s="1" t="str">
        <f t="shared" si="342"/>
        <v>20220909</v>
      </c>
      <c r="I1795" s="1" t="str">
        <f>"060637"</f>
        <v>060637</v>
      </c>
      <c r="J1795" s="1" t="s">
        <v>56</v>
      </c>
      <c r="K1795" s="1" t="s">
        <v>45</v>
      </c>
      <c r="L1795" s="1" t="str">
        <f t="shared" si="343"/>
        <v>20220909</v>
      </c>
      <c r="M1795" s="1" t="str">
        <f>"061831"</f>
        <v>061831</v>
      </c>
      <c r="N1795" s="1" t="s">
        <v>28</v>
      </c>
      <c r="O1795" s="1" t="s">
        <v>28</v>
      </c>
      <c r="P1795" s="1" t="s">
        <v>55</v>
      </c>
      <c r="Q1795" s="1">
        <v>25</v>
      </c>
      <c r="R1795" s="1">
        <v>25</v>
      </c>
      <c r="S1795" s="1">
        <v>0</v>
      </c>
      <c r="T1795" s="1">
        <v>0</v>
      </c>
      <c r="U1795" s="1">
        <v>0</v>
      </c>
      <c r="V1795" s="1" t="str">
        <f t="shared" si="338"/>
        <v>里程返程</v>
      </c>
      <c r="W1795" s="1" t="str">
        <f>"0020"</f>
        <v>0020</v>
      </c>
      <c r="X1795" s="1" t="s">
        <v>29</v>
      </c>
    </row>
    <row r="1796" spans="1:24" x14ac:dyDescent="0.3">
      <c r="A1796" s="1" t="str">
        <f t="shared" si="340"/>
        <v>59809</v>
      </c>
      <c r="B1796" s="1" t="s">
        <v>42</v>
      </c>
      <c r="C1796" s="1" t="s">
        <v>43</v>
      </c>
      <c r="D1796" s="1" t="str">
        <f t="shared" si="341"/>
        <v>9801</v>
      </c>
      <c r="E1796" s="1" t="s">
        <v>25</v>
      </c>
      <c r="F1796" s="1" t="str">
        <f>"129929093"</f>
        <v>129929093</v>
      </c>
      <c r="G1796" s="1" t="s">
        <v>33</v>
      </c>
      <c r="H1796" s="1" t="str">
        <f t="shared" si="342"/>
        <v>20220909</v>
      </c>
      <c r="I1796" s="1" t="str">
        <f>"061837"</f>
        <v>061837</v>
      </c>
      <c r="J1796" s="1" t="s">
        <v>28</v>
      </c>
      <c r="K1796" s="1" t="s">
        <v>28</v>
      </c>
      <c r="L1796" s="1" t="str">
        <f t="shared" si="343"/>
        <v>20220909</v>
      </c>
      <c r="M1796" s="1" t="str">
        <f>"065856"</f>
        <v>065856</v>
      </c>
      <c r="N1796" s="1" t="s">
        <v>52</v>
      </c>
      <c r="O1796" s="1" t="s">
        <v>52</v>
      </c>
      <c r="P1796" s="1" t="s">
        <v>55</v>
      </c>
      <c r="Q1796" s="1">
        <v>25</v>
      </c>
      <c r="R1796" s="1">
        <v>25</v>
      </c>
      <c r="S1796" s="1">
        <v>0</v>
      </c>
      <c r="T1796" s="1">
        <v>0</v>
      </c>
      <c r="U1796" s="1">
        <v>0</v>
      </c>
      <c r="V1796" s="1" t="str">
        <f t="shared" si="338"/>
        <v>里程返程</v>
      </c>
      <c r="W1796" s="1" t="str">
        <f>"1c20"</f>
        <v>1c20</v>
      </c>
      <c r="X1796" s="1" t="s">
        <v>35</v>
      </c>
    </row>
    <row r="1797" spans="1:24" x14ac:dyDescent="0.3">
      <c r="A1797" s="1" t="str">
        <f t="shared" si="340"/>
        <v>59809</v>
      </c>
      <c r="B1797" s="1" t="s">
        <v>42</v>
      </c>
      <c r="C1797" s="1" t="s">
        <v>43</v>
      </c>
      <c r="D1797" s="1" t="str">
        <f t="shared" si="341"/>
        <v>9801</v>
      </c>
      <c r="E1797" s="1" t="s">
        <v>25</v>
      </c>
      <c r="F1797" s="1" t="str">
        <f>"319D4E29CB280400F700000000000000"</f>
        <v>319D4E29CB280400F700000000000000</v>
      </c>
      <c r="G1797" s="1" t="s">
        <v>58</v>
      </c>
      <c r="H1797" s="1" t="str">
        <f t="shared" si="342"/>
        <v>20220909</v>
      </c>
      <c r="I1797" s="1" t="str">
        <f>"061839"</f>
        <v>061839</v>
      </c>
      <c r="J1797" s="1" t="s">
        <v>28</v>
      </c>
      <c r="K1797" s="1" t="s">
        <v>28</v>
      </c>
      <c r="L1797" s="1" t="str">
        <f t="shared" si="343"/>
        <v>20220909</v>
      </c>
      <c r="M1797" s="1" t="str">
        <f>"065902"</f>
        <v>065902</v>
      </c>
      <c r="N1797" s="1" t="s">
        <v>52</v>
      </c>
      <c r="O1797" s="1" t="s">
        <v>52</v>
      </c>
      <c r="P1797" s="1" t="s">
        <v>55</v>
      </c>
      <c r="Q1797" s="1">
        <v>25</v>
      </c>
      <c r="R1797" s="1">
        <v>25</v>
      </c>
      <c r="S1797" s="1">
        <v>0</v>
      </c>
      <c r="T1797" s="1">
        <v>0</v>
      </c>
      <c r="U1797" s="1">
        <v>0</v>
      </c>
      <c r="V1797" s="1" t="str">
        <f t="shared" si="338"/>
        <v>里程返程</v>
      </c>
      <c r="W1797" s="1" t="str">
        <f>"0020"</f>
        <v>0020</v>
      </c>
      <c r="X1797" s="1" t="s">
        <v>29</v>
      </c>
    </row>
    <row r="1798" spans="1:24" x14ac:dyDescent="0.3">
      <c r="A1798" s="1" t="str">
        <f t="shared" si="340"/>
        <v>59809</v>
      </c>
      <c r="B1798" s="1" t="s">
        <v>42</v>
      </c>
      <c r="C1798" s="1" t="s">
        <v>43</v>
      </c>
      <c r="D1798" s="1" t="str">
        <f t="shared" si="341"/>
        <v>9801</v>
      </c>
      <c r="E1798" s="1" t="s">
        <v>25</v>
      </c>
      <c r="F1798" s="1" t="str">
        <f>"716478293"</f>
        <v>716478293</v>
      </c>
      <c r="G1798" s="1" t="s">
        <v>33</v>
      </c>
      <c r="H1798" s="1" t="str">
        <f t="shared" si="342"/>
        <v>20220909</v>
      </c>
      <c r="I1798" s="1" t="str">
        <f>"061851"</f>
        <v>061851</v>
      </c>
      <c r="J1798" s="1" t="s">
        <v>28</v>
      </c>
      <c r="K1798" s="1" t="s">
        <v>28</v>
      </c>
      <c r="L1798" s="1" t="str">
        <f t="shared" si="343"/>
        <v>20220909</v>
      </c>
      <c r="M1798" s="1" t="str">
        <f>"064301"</f>
        <v>064301</v>
      </c>
      <c r="N1798" s="1" t="s">
        <v>69</v>
      </c>
      <c r="O1798" s="1" t="s">
        <v>52</v>
      </c>
      <c r="P1798" s="1" t="s">
        <v>55</v>
      </c>
      <c r="Q1798" s="1">
        <v>25</v>
      </c>
      <c r="R1798" s="1">
        <v>25</v>
      </c>
      <c r="S1798" s="1">
        <v>0</v>
      </c>
      <c r="T1798" s="1">
        <v>0</v>
      </c>
      <c r="U1798" s="1">
        <v>0</v>
      </c>
      <c r="V1798" s="1" t="str">
        <f t="shared" si="338"/>
        <v>里程返程</v>
      </c>
      <c r="W1798" s="1" t="str">
        <f>"2320"</f>
        <v>2320</v>
      </c>
      <c r="X1798" s="1" t="s">
        <v>35</v>
      </c>
    </row>
    <row r="1799" spans="1:24" x14ac:dyDescent="0.3">
      <c r="A1799" s="1" t="str">
        <f t="shared" si="340"/>
        <v>59809</v>
      </c>
      <c r="B1799" s="1" t="s">
        <v>42</v>
      </c>
      <c r="C1799" s="1" t="s">
        <v>43</v>
      </c>
      <c r="D1799" s="1" t="str">
        <f t="shared" si="341"/>
        <v>9801</v>
      </c>
      <c r="E1799" s="1" t="s">
        <v>25</v>
      </c>
      <c r="F1799" s="1" t="str">
        <f>"2489403922"</f>
        <v>2489403922</v>
      </c>
      <c r="G1799" s="1" t="s">
        <v>33</v>
      </c>
      <c r="H1799" s="1" t="str">
        <f t="shared" si="342"/>
        <v>20220909</v>
      </c>
      <c r="I1799" s="1" t="str">
        <f>"061859"</f>
        <v>061859</v>
      </c>
      <c r="J1799" s="1" t="s">
        <v>28</v>
      </c>
      <c r="K1799" s="1" t="s">
        <v>28</v>
      </c>
      <c r="L1799" s="1" t="str">
        <f t="shared" si="343"/>
        <v>20220909</v>
      </c>
      <c r="M1799" s="1" t="str">
        <f>"065242"</f>
        <v>065242</v>
      </c>
      <c r="N1799" s="1" t="s">
        <v>65</v>
      </c>
      <c r="O1799" s="1" t="s">
        <v>52</v>
      </c>
      <c r="P1799" s="1" t="s">
        <v>55</v>
      </c>
      <c r="Q1799" s="1">
        <v>25</v>
      </c>
      <c r="R1799" s="1">
        <v>25</v>
      </c>
      <c r="S1799" s="1">
        <v>0</v>
      </c>
      <c r="T1799" s="1">
        <v>0</v>
      </c>
      <c r="U1799" s="1">
        <v>0</v>
      </c>
      <c r="V1799" s="1" t="str">
        <f t="shared" si="338"/>
        <v>里程返程</v>
      </c>
      <c r="W1799" s="1" t="str">
        <f>"0120"</f>
        <v>0120</v>
      </c>
      <c r="X1799" s="1" t="s">
        <v>35</v>
      </c>
    </row>
    <row r="1800" spans="1:24" x14ac:dyDescent="0.3">
      <c r="A1800" s="1" t="str">
        <f t="shared" si="340"/>
        <v>59809</v>
      </c>
      <c r="B1800" s="1" t="s">
        <v>42</v>
      </c>
      <c r="C1800" s="1" t="s">
        <v>43</v>
      </c>
      <c r="D1800" s="1" t="str">
        <f t="shared" si="341"/>
        <v>9801</v>
      </c>
      <c r="E1800" s="1" t="s">
        <v>25</v>
      </c>
      <c r="F1800" s="1" t="str">
        <f>"57A4A36C3C88040043250FDF000F0C0E"</f>
        <v>57A4A36C3C88040043250FDF000F0C0E</v>
      </c>
      <c r="G1800" s="1" t="s">
        <v>58</v>
      </c>
      <c r="H1800" s="1" t="str">
        <f t="shared" si="342"/>
        <v>20220909</v>
      </c>
      <c r="I1800" s="1" t="str">
        <f>"071744"</f>
        <v>071744</v>
      </c>
      <c r="J1800" s="1" t="s">
        <v>79</v>
      </c>
      <c r="K1800" s="1" t="s">
        <v>45</v>
      </c>
      <c r="L1800" s="1" t="str">
        <f t="shared" si="343"/>
        <v>20220909</v>
      </c>
      <c r="M1800" s="1" t="str">
        <f>"072311"</f>
        <v>072311</v>
      </c>
      <c r="N1800" s="1" t="s">
        <v>28</v>
      </c>
      <c r="O1800" s="1" t="s">
        <v>28</v>
      </c>
      <c r="P1800" s="1" t="s">
        <v>55</v>
      </c>
      <c r="Q1800" s="1">
        <v>25</v>
      </c>
      <c r="R1800" s="1">
        <v>25</v>
      </c>
      <c r="S1800" s="1">
        <v>0</v>
      </c>
      <c r="T1800" s="1">
        <v>0</v>
      </c>
      <c r="U1800" s="1">
        <v>0</v>
      </c>
      <c r="V1800" s="1" t="str">
        <f t="shared" si="338"/>
        <v>里程返程</v>
      </c>
      <c r="W1800" s="1" t="str">
        <f>"0020"</f>
        <v>0020</v>
      </c>
      <c r="X1800" s="1" t="s">
        <v>29</v>
      </c>
    </row>
    <row r="1801" spans="1:24" x14ac:dyDescent="0.3">
      <c r="A1801" s="1" t="str">
        <f t="shared" si="340"/>
        <v>59809</v>
      </c>
      <c r="B1801" s="1" t="s">
        <v>42</v>
      </c>
      <c r="C1801" s="1" t="s">
        <v>43</v>
      </c>
      <c r="D1801" s="1" t="str">
        <f t="shared" si="341"/>
        <v>9801</v>
      </c>
      <c r="E1801" s="1" t="s">
        <v>25</v>
      </c>
      <c r="F1801" s="1" t="str">
        <f>"F282E40195880400C821002000000015"</f>
        <v>F282E40195880400C821002000000015</v>
      </c>
      <c r="G1801" s="1" t="s">
        <v>58</v>
      </c>
      <c r="H1801" s="1" t="str">
        <f t="shared" si="342"/>
        <v>20220909</v>
      </c>
      <c r="I1801" s="1" t="str">
        <f>"072318"</f>
        <v>072318</v>
      </c>
      <c r="J1801" s="1" t="s">
        <v>28</v>
      </c>
      <c r="K1801" s="1" t="s">
        <v>28</v>
      </c>
      <c r="L1801" s="1" t="str">
        <f t="shared" si="343"/>
        <v>20220909</v>
      </c>
      <c r="M1801" s="1" t="str">
        <f>"074347"</f>
        <v>074347</v>
      </c>
      <c r="N1801" s="1" t="s">
        <v>65</v>
      </c>
      <c r="O1801" s="1" t="s">
        <v>52</v>
      </c>
      <c r="P1801" s="1" t="s">
        <v>55</v>
      </c>
      <c r="Q1801" s="1">
        <v>25</v>
      </c>
      <c r="R1801" s="1">
        <v>0</v>
      </c>
      <c r="S1801" s="1">
        <v>25</v>
      </c>
      <c r="T1801" s="1">
        <v>0</v>
      </c>
      <c r="U1801" s="1">
        <v>0</v>
      </c>
      <c r="V1801" s="1" t="str">
        <f t="shared" si="338"/>
        <v>里程返程</v>
      </c>
      <c r="W1801" s="1" t="str">
        <f>"0620"</f>
        <v>0620</v>
      </c>
      <c r="X1801" s="1" t="s">
        <v>29</v>
      </c>
    </row>
    <row r="1802" spans="1:24" x14ac:dyDescent="0.3">
      <c r="A1802" s="1" t="str">
        <f t="shared" si="340"/>
        <v>59809</v>
      </c>
      <c r="B1802" s="1" t="s">
        <v>42</v>
      </c>
      <c r="C1802" s="1" t="s">
        <v>43</v>
      </c>
      <c r="D1802" s="1" t="str">
        <f t="shared" si="341"/>
        <v>9801</v>
      </c>
      <c r="E1802" s="1" t="s">
        <v>25</v>
      </c>
      <c r="F1802" s="1" t="str">
        <f>"894153189"</f>
        <v>894153189</v>
      </c>
      <c r="G1802" s="1" t="s">
        <v>33</v>
      </c>
      <c r="H1802" s="1" t="str">
        <f t="shared" si="342"/>
        <v>20220909</v>
      </c>
      <c r="I1802" s="1" t="str">
        <f>"072321"</f>
        <v>072321</v>
      </c>
      <c r="J1802" s="1" t="s">
        <v>28</v>
      </c>
      <c r="K1802" s="1" t="s">
        <v>28</v>
      </c>
      <c r="L1802" s="1" t="str">
        <f t="shared" si="343"/>
        <v>20220909</v>
      </c>
      <c r="M1802" s="1" t="str">
        <f>"074451"</f>
        <v>074451</v>
      </c>
      <c r="N1802" s="1" t="s">
        <v>72</v>
      </c>
      <c r="O1802" s="1" t="s">
        <v>52</v>
      </c>
      <c r="P1802" s="1" t="s">
        <v>55</v>
      </c>
      <c r="Q1802" s="1">
        <v>25</v>
      </c>
      <c r="R1802" s="1">
        <v>0</v>
      </c>
      <c r="S1802" s="1">
        <v>25</v>
      </c>
      <c r="T1802" s="1">
        <v>0</v>
      </c>
      <c r="U1802" s="1">
        <v>0</v>
      </c>
      <c r="V1802" s="1" t="str">
        <f t="shared" si="338"/>
        <v>里程返程</v>
      </c>
      <c r="W1802" s="1" t="str">
        <f>"0820"</f>
        <v>0820</v>
      </c>
      <c r="X1802" s="1" t="s">
        <v>35</v>
      </c>
    </row>
    <row r="1803" spans="1:24" x14ac:dyDescent="0.3">
      <c r="A1803" s="1" t="str">
        <f t="shared" si="340"/>
        <v>59809</v>
      </c>
      <c r="B1803" s="1" t="s">
        <v>42</v>
      </c>
      <c r="C1803" s="1" t="s">
        <v>43</v>
      </c>
      <c r="D1803" s="1" t="str">
        <f t="shared" si="341"/>
        <v>9801</v>
      </c>
      <c r="E1803" s="1" t="s">
        <v>25</v>
      </c>
      <c r="F1803" s="1" t="str">
        <f>"951739489"</f>
        <v>951739489</v>
      </c>
      <c r="G1803" s="1" t="s">
        <v>33</v>
      </c>
      <c r="H1803" s="1" t="str">
        <f t="shared" si="342"/>
        <v>20220909</v>
      </c>
      <c r="I1803" s="1" t="str">
        <f>"072323"</f>
        <v>072323</v>
      </c>
      <c r="J1803" s="1" t="s">
        <v>28</v>
      </c>
      <c r="K1803" s="1" t="s">
        <v>28</v>
      </c>
      <c r="L1803" s="1" t="str">
        <f t="shared" si="343"/>
        <v>20220909</v>
      </c>
      <c r="M1803" s="1" t="str">
        <f>"074341"</f>
        <v>074341</v>
      </c>
      <c r="N1803" s="1" t="s">
        <v>65</v>
      </c>
      <c r="O1803" s="1" t="s">
        <v>52</v>
      </c>
      <c r="P1803" s="1" t="s">
        <v>55</v>
      </c>
      <c r="Q1803" s="1">
        <v>25</v>
      </c>
      <c r="R1803" s="1">
        <v>0</v>
      </c>
      <c r="S1803" s="1">
        <v>25</v>
      </c>
      <c r="T1803" s="1">
        <v>0</v>
      </c>
      <c r="U1803" s="1">
        <v>0</v>
      </c>
      <c r="V1803" s="1" t="str">
        <f t="shared" si="338"/>
        <v>里程返程</v>
      </c>
      <c r="W1803" s="1" t="str">
        <f>"0820"</f>
        <v>0820</v>
      </c>
      <c r="X1803" s="1" t="s">
        <v>35</v>
      </c>
    </row>
    <row r="1804" spans="1:24" x14ac:dyDescent="0.3">
      <c r="A1804" s="1" t="str">
        <f t="shared" si="340"/>
        <v>59809</v>
      </c>
      <c r="B1804" s="1" t="s">
        <v>42</v>
      </c>
      <c r="C1804" s="1" t="s">
        <v>43</v>
      </c>
      <c r="D1804" s="1" t="str">
        <f t="shared" si="341"/>
        <v>9801</v>
      </c>
      <c r="E1804" s="1" t="s">
        <v>25</v>
      </c>
      <c r="F1804" s="1" t="str">
        <f>"3567581555"</f>
        <v>3567581555</v>
      </c>
      <c r="G1804" s="1" t="s">
        <v>33</v>
      </c>
      <c r="H1804" s="1" t="str">
        <f t="shared" si="342"/>
        <v>20220909</v>
      </c>
      <c r="I1804" s="1" t="str">
        <f>"072328"</f>
        <v>072328</v>
      </c>
      <c r="J1804" s="1" t="s">
        <v>28</v>
      </c>
      <c r="K1804" s="1" t="s">
        <v>28</v>
      </c>
      <c r="L1804" s="1" t="str">
        <f t="shared" si="343"/>
        <v>20220909</v>
      </c>
      <c r="M1804" s="1" t="str">
        <f>"075233"</f>
        <v>075233</v>
      </c>
      <c r="N1804" s="1" t="s">
        <v>52</v>
      </c>
      <c r="O1804" s="1" t="s">
        <v>52</v>
      </c>
      <c r="P1804" s="1" t="s">
        <v>55</v>
      </c>
      <c r="Q1804" s="1">
        <v>25</v>
      </c>
      <c r="R1804" s="1">
        <v>25</v>
      </c>
      <c r="S1804" s="1">
        <v>0</v>
      </c>
      <c r="T1804" s="1">
        <v>0</v>
      </c>
      <c r="U1804" s="1">
        <v>0</v>
      </c>
      <c r="V1804" s="1" t="str">
        <f t="shared" si="338"/>
        <v>里程返程</v>
      </c>
      <c r="W1804" s="1" t="str">
        <f>"2120"</f>
        <v>2120</v>
      </c>
      <c r="X1804" s="1" t="s">
        <v>35</v>
      </c>
    </row>
    <row r="1805" spans="1:24" x14ac:dyDescent="0.3">
      <c r="A1805" s="1" t="str">
        <f t="shared" si="340"/>
        <v>59809</v>
      </c>
      <c r="B1805" s="1" t="s">
        <v>42</v>
      </c>
      <c r="C1805" s="1" t="s">
        <v>43</v>
      </c>
      <c r="D1805" s="1" t="str">
        <f t="shared" si="341"/>
        <v>9801</v>
      </c>
      <c r="E1805" s="1" t="s">
        <v>25</v>
      </c>
      <c r="F1805" s="1" t="str">
        <f>"1759959808"</f>
        <v>1759959808</v>
      </c>
      <c r="G1805" s="1" t="s">
        <v>33</v>
      </c>
      <c r="H1805" s="1" t="str">
        <f t="shared" si="342"/>
        <v>20220909</v>
      </c>
      <c r="I1805" s="1" t="str">
        <f>"074026"</f>
        <v>074026</v>
      </c>
      <c r="J1805" s="1" t="s">
        <v>80</v>
      </c>
      <c r="K1805" s="1" t="s">
        <v>52</v>
      </c>
      <c r="L1805" s="1" t="str">
        <f t="shared" si="343"/>
        <v>20220909</v>
      </c>
      <c r="M1805" s="1" t="str">
        <f>"074808"</f>
        <v>074808</v>
      </c>
      <c r="N1805" s="1" t="s">
        <v>60</v>
      </c>
      <c r="O1805" s="1" t="s">
        <v>52</v>
      </c>
      <c r="P1805" s="1" t="s">
        <v>55</v>
      </c>
      <c r="Q1805" s="1">
        <v>25</v>
      </c>
      <c r="R1805" s="1">
        <v>25</v>
      </c>
      <c r="S1805" s="1">
        <v>0</v>
      </c>
      <c r="T1805" s="1">
        <v>0</v>
      </c>
      <c r="U1805" s="1">
        <v>0</v>
      </c>
      <c r="V1805" s="1" t="str">
        <f t="shared" si="338"/>
        <v>里程返程</v>
      </c>
      <c r="W1805" s="1" t="str">
        <f>"2020"</f>
        <v>2020</v>
      </c>
      <c r="X1805" s="1" t="s">
        <v>35</v>
      </c>
    </row>
    <row r="1806" spans="1:24" x14ac:dyDescent="0.3">
      <c r="A1806" s="1" t="str">
        <f t="shared" si="340"/>
        <v>59809</v>
      </c>
      <c r="B1806" s="1" t="s">
        <v>42</v>
      </c>
      <c r="C1806" s="1" t="s">
        <v>43</v>
      </c>
      <c r="D1806" s="1" t="str">
        <f t="shared" si="341"/>
        <v>9801</v>
      </c>
      <c r="E1806" s="1" t="s">
        <v>25</v>
      </c>
      <c r="F1806" s="1" t="str">
        <f>"7227E702B0880400C834002000000015"</f>
        <v>7227E702B0880400C834002000000015</v>
      </c>
      <c r="G1806" s="1" t="s">
        <v>74</v>
      </c>
      <c r="H1806" s="1" t="str">
        <f t="shared" si="342"/>
        <v>20220909</v>
      </c>
      <c r="I1806" s="1" t="str">
        <f>"075300"</f>
        <v>075300</v>
      </c>
      <c r="J1806" s="1" t="s">
        <v>52</v>
      </c>
      <c r="K1806" s="1" t="s">
        <v>52</v>
      </c>
      <c r="L1806" s="1" t="str">
        <f t="shared" si="343"/>
        <v>20220909</v>
      </c>
      <c r="M1806" s="1" t="str">
        <f>"081610"</f>
        <v>081610</v>
      </c>
      <c r="N1806" s="1" t="s">
        <v>80</v>
      </c>
      <c r="O1806" s="1" t="s">
        <v>52</v>
      </c>
      <c r="P1806" s="1" t="s">
        <v>68</v>
      </c>
      <c r="Q1806" s="1">
        <v>13</v>
      </c>
      <c r="R1806" s="1">
        <v>0</v>
      </c>
      <c r="S1806" s="1">
        <v>0</v>
      </c>
      <c r="T1806" s="1">
        <v>13</v>
      </c>
      <c r="U1806" s="1">
        <v>0</v>
      </c>
      <c r="V1806" s="1" t="str">
        <f t="shared" ref="V1806:V1817" si="344">"里程去程"</f>
        <v>里程去程</v>
      </c>
      <c r="W1806" s="1" t="str">
        <f>"0020"</f>
        <v>0020</v>
      </c>
      <c r="X1806" s="1" t="s">
        <v>29</v>
      </c>
    </row>
    <row r="1807" spans="1:24" x14ac:dyDescent="0.3">
      <c r="A1807" s="1" t="str">
        <f t="shared" si="340"/>
        <v>59809</v>
      </c>
      <c r="B1807" s="1" t="s">
        <v>42</v>
      </c>
      <c r="C1807" s="1" t="s">
        <v>43</v>
      </c>
      <c r="D1807" s="1" t="str">
        <f t="shared" si="341"/>
        <v>9801</v>
      </c>
      <c r="E1807" s="1" t="s">
        <v>25</v>
      </c>
      <c r="F1807" s="1" t="str">
        <f>"951251349"</f>
        <v>951251349</v>
      </c>
      <c r="G1807" s="1" t="s">
        <v>74</v>
      </c>
      <c r="H1807" s="1" t="str">
        <f t="shared" si="342"/>
        <v>20220909</v>
      </c>
      <c r="I1807" s="1" t="str">
        <f>"075529"</f>
        <v>075529</v>
      </c>
      <c r="J1807" s="1" t="s">
        <v>52</v>
      </c>
      <c r="K1807" s="1" t="s">
        <v>52</v>
      </c>
      <c r="L1807" s="1" t="str">
        <f t="shared" si="343"/>
        <v>20220909</v>
      </c>
      <c r="M1807" s="1" t="str">
        <f>"083033"</f>
        <v>083033</v>
      </c>
      <c r="N1807" s="1" t="s">
        <v>70</v>
      </c>
      <c r="O1807" s="1" t="s">
        <v>28</v>
      </c>
      <c r="P1807" s="1" t="s">
        <v>55</v>
      </c>
      <c r="Q1807" s="1">
        <v>13</v>
      </c>
      <c r="R1807" s="1">
        <v>13</v>
      </c>
      <c r="S1807" s="1">
        <v>0</v>
      </c>
      <c r="T1807" s="1">
        <v>0</v>
      </c>
      <c r="U1807" s="1">
        <v>0</v>
      </c>
      <c r="V1807" s="1" t="str">
        <f t="shared" si="344"/>
        <v>里程去程</v>
      </c>
      <c r="W1807" s="1" t="str">
        <f>"2020"</f>
        <v>2020</v>
      </c>
      <c r="X1807" s="1" t="s">
        <v>35</v>
      </c>
    </row>
    <row r="1808" spans="1:24" x14ac:dyDescent="0.3">
      <c r="A1808" s="1" t="str">
        <f t="shared" si="340"/>
        <v>59809</v>
      </c>
      <c r="B1808" s="1" t="s">
        <v>42</v>
      </c>
      <c r="C1808" s="1" t="s">
        <v>43</v>
      </c>
      <c r="D1808" s="1" t="str">
        <f t="shared" si="341"/>
        <v>9801</v>
      </c>
      <c r="E1808" s="1" t="s">
        <v>25</v>
      </c>
      <c r="F1808" s="1" t="str">
        <f>"640084207"</f>
        <v>640084207</v>
      </c>
      <c r="G1808" s="1" t="s">
        <v>33</v>
      </c>
      <c r="H1808" s="1" t="str">
        <f t="shared" si="342"/>
        <v>20220909</v>
      </c>
      <c r="I1808" s="1" t="str">
        <f>"075545"</f>
        <v>075545</v>
      </c>
      <c r="J1808" s="1" t="s">
        <v>52</v>
      </c>
      <c r="K1808" s="1" t="s">
        <v>52</v>
      </c>
      <c r="L1808" s="1" t="str">
        <f t="shared" si="343"/>
        <v>20220909</v>
      </c>
      <c r="M1808" s="1" t="str">
        <f>"083037"</f>
        <v>083037</v>
      </c>
      <c r="N1808" s="1" t="s">
        <v>70</v>
      </c>
      <c r="O1808" s="1" t="s">
        <v>28</v>
      </c>
      <c r="P1808" s="1" t="s">
        <v>55</v>
      </c>
      <c r="Q1808" s="1">
        <v>25</v>
      </c>
      <c r="R1808" s="1">
        <v>25</v>
      </c>
      <c r="S1808" s="1">
        <v>0</v>
      </c>
      <c r="T1808" s="1">
        <v>0</v>
      </c>
      <c r="U1808" s="1">
        <v>0</v>
      </c>
      <c r="V1808" s="1" t="str">
        <f t="shared" si="344"/>
        <v>里程去程</v>
      </c>
      <c r="W1808" s="1" t="str">
        <f>"0c20"</f>
        <v>0c20</v>
      </c>
      <c r="X1808" s="1" t="s">
        <v>35</v>
      </c>
    </row>
    <row r="1809" spans="1:24" x14ac:dyDescent="0.3">
      <c r="A1809" s="1" t="str">
        <f t="shared" si="340"/>
        <v>59809</v>
      </c>
      <c r="B1809" s="1" t="s">
        <v>42</v>
      </c>
      <c r="C1809" s="1" t="s">
        <v>43</v>
      </c>
      <c r="D1809" s="1" t="str">
        <f t="shared" si="341"/>
        <v>9801</v>
      </c>
      <c r="E1809" s="1" t="s">
        <v>25</v>
      </c>
      <c r="F1809" s="1" t="str">
        <f>"974013089"</f>
        <v>974013089</v>
      </c>
      <c r="G1809" s="1" t="s">
        <v>33</v>
      </c>
      <c r="H1809" s="1" t="str">
        <f t="shared" si="342"/>
        <v>20220909</v>
      </c>
      <c r="I1809" s="1" t="str">
        <f>"080637"</f>
        <v>080637</v>
      </c>
      <c r="J1809" s="1" t="s">
        <v>60</v>
      </c>
      <c r="K1809" s="1" t="s">
        <v>52</v>
      </c>
      <c r="L1809" s="1" t="str">
        <f t="shared" si="343"/>
        <v>20220909</v>
      </c>
      <c r="M1809" s="1" t="str">
        <f>"083031"</f>
        <v>083031</v>
      </c>
      <c r="N1809" s="1" t="s">
        <v>70</v>
      </c>
      <c r="O1809" s="1" t="s">
        <v>28</v>
      </c>
      <c r="P1809" s="1" t="s">
        <v>55</v>
      </c>
      <c r="Q1809" s="1">
        <v>25</v>
      </c>
      <c r="R1809" s="1">
        <v>25</v>
      </c>
      <c r="S1809" s="1">
        <v>0</v>
      </c>
      <c r="T1809" s="1">
        <v>0</v>
      </c>
      <c r="U1809" s="1">
        <v>0</v>
      </c>
      <c r="V1809" s="1" t="str">
        <f t="shared" si="344"/>
        <v>里程去程</v>
      </c>
      <c r="W1809" s="1" t="str">
        <f>"0a20"</f>
        <v>0a20</v>
      </c>
      <c r="X1809" s="1" t="s">
        <v>35</v>
      </c>
    </row>
    <row r="1810" spans="1:24" x14ac:dyDescent="0.3">
      <c r="A1810" s="1" t="str">
        <f t="shared" si="340"/>
        <v>59809</v>
      </c>
      <c r="B1810" s="1" t="s">
        <v>42</v>
      </c>
      <c r="C1810" s="1" t="s">
        <v>43</v>
      </c>
      <c r="D1810" s="1" t="str">
        <f t="shared" si="341"/>
        <v>9801</v>
      </c>
      <c r="E1810" s="1" t="s">
        <v>25</v>
      </c>
      <c r="F1810" s="1" t="str">
        <f>"71CFA2322E280400F700000000000000"</f>
        <v>71CFA2322E280400F700000000000000</v>
      </c>
      <c r="G1810" s="1" t="s">
        <v>58</v>
      </c>
      <c r="H1810" s="1" t="str">
        <f t="shared" si="342"/>
        <v>20220909</v>
      </c>
      <c r="I1810" s="1" t="str">
        <f>"080640"</f>
        <v>080640</v>
      </c>
      <c r="J1810" s="1" t="s">
        <v>60</v>
      </c>
      <c r="K1810" s="1" t="s">
        <v>52</v>
      </c>
      <c r="L1810" s="1" t="str">
        <f t="shared" si="343"/>
        <v>20220909</v>
      </c>
      <c r="M1810" s="1" t="str">
        <f>"083025"</f>
        <v>083025</v>
      </c>
      <c r="N1810" s="1" t="s">
        <v>70</v>
      </c>
      <c r="O1810" s="1" t="s">
        <v>28</v>
      </c>
      <c r="P1810" s="1" t="s">
        <v>55</v>
      </c>
      <c r="Q1810" s="1">
        <v>25</v>
      </c>
      <c r="R1810" s="1">
        <v>25</v>
      </c>
      <c r="S1810" s="1">
        <v>0</v>
      </c>
      <c r="T1810" s="1">
        <v>0</v>
      </c>
      <c r="U1810" s="1">
        <v>0</v>
      </c>
      <c r="V1810" s="1" t="str">
        <f t="shared" si="344"/>
        <v>里程去程</v>
      </c>
      <c r="W1810" s="1" t="str">
        <f>"0020"</f>
        <v>0020</v>
      </c>
      <c r="X1810" s="1" t="s">
        <v>29</v>
      </c>
    </row>
    <row r="1811" spans="1:24" x14ac:dyDescent="0.3">
      <c r="A1811" s="1" t="str">
        <f t="shared" si="340"/>
        <v>59809</v>
      </c>
      <c r="B1811" s="1" t="s">
        <v>42</v>
      </c>
      <c r="C1811" s="1" t="s">
        <v>43</v>
      </c>
      <c r="D1811" s="1" t="str">
        <f t="shared" si="341"/>
        <v>9801</v>
      </c>
      <c r="E1811" s="1" t="s">
        <v>25</v>
      </c>
      <c r="F1811" s="1" t="str">
        <f>"595460177"</f>
        <v>595460177</v>
      </c>
      <c r="G1811" s="1" t="s">
        <v>33</v>
      </c>
      <c r="H1811" s="1" t="str">
        <f t="shared" si="342"/>
        <v>20220909</v>
      </c>
      <c r="I1811" s="1" t="str">
        <f>"080644"</f>
        <v>080644</v>
      </c>
      <c r="J1811" s="1" t="s">
        <v>60</v>
      </c>
      <c r="K1811" s="1" t="s">
        <v>52</v>
      </c>
      <c r="L1811" s="1" t="str">
        <f t="shared" si="343"/>
        <v>20220909</v>
      </c>
      <c r="M1811" s="1" t="str">
        <f>"083027"</f>
        <v>083027</v>
      </c>
      <c r="N1811" s="1" t="s">
        <v>70</v>
      </c>
      <c r="O1811" s="1" t="s">
        <v>28</v>
      </c>
      <c r="P1811" s="1" t="s">
        <v>55</v>
      </c>
      <c r="Q1811" s="1">
        <v>25</v>
      </c>
      <c r="R1811" s="1">
        <v>25</v>
      </c>
      <c r="S1811" s="1">
        <v>0</v>
      </c>
      <c r="T1811" s="1">
        <v>0</v>
      </c>
      <c r="U1811" s="1">
        <v>0</v>
      </c>
      <c r="V1811" s="1" t="str">
        <f t="shared" si="344"/>
        <v>里程去程</v>
      </c>
      <c r="W1811" s="1" t="str">
        <f>"0920"</f>
        <v>0920</v>
      </c>
      <c r="X1811" s="1" t="s">
        <v>35</v>
      </c>
    </row>
    <row r="1812" spans="1:24" x14ac:dyDescent="0.3">
      <c r="A1812" s="1" t="str">
        <f t="shared" si="340"/>
        <v>59809</v>
      </c>
      <c r="B1812" s="1" t="s">
        <v>42</v>
      </c>
      <c r="C1812" s="1" t="s">
        <v>43</v>
      </c>
      <c r="D1812" s="1" t="str">
        <f t="shared" si="341"/>
        <v>9801</v>
      </c>
      <c r="E1812" s="1" t="s">
        <v>25</v>
      </c>
      <c r="F1812" s="1" t="str">
        <f>"62790D0315880400C834002000000015"</f>
        <v>62790D0315880400C834002000000015</v>
      </c>
      <c r="G1812" s="1" t="s">
        <v>26</v>
      </c>
      <c r="H1812" s="1" t="str">
        <f t="shared" si="342"/>
        <v>20220909</v>
      </c>
      <c r="I1812" s="1" t="str">
        <f>"092307"</f>
        <v>092307</v>
      </c>
      <c r="J1812" s="1" t="s">
        <v>67</v>
      </c>
      <c r="K1812" s="1" t="s">
        <v>52</v>
      </c>
      <c r="L1812" s="1" t="str">
        <f t="shared" si="343"/>
        <v>20220909</v>
      </c>
      <c r="M1812" s="1" t="str">
        <f>"093048"</f>
        <v>093048</v>
      </c>
      <c r="N1812" s="1" t="s">
        <v>70</v>
      </c>
      <c r="O1812" s="1" t="s">
        <v>28</v>
      </c>
      <c r="P1812" s="1" t="s">
        <v>68</v>
      </c>
      <c r="Q1812" s="1">
        <v>13</v>
      </c>
      <c r="R1812" s="1">
        <v>0</v>
      </c>
      <c r="S1812" s="1">
        <v>0</v>
      </c>
      <c r="T1812" s="1">
        <v>13</v>
      </c>
      <c r="U1812" s="1">
        <v>0</v>
      </c>
      <c r="V1812" s="1" t="str">
        <f t="shared" si="344"/>
        <v>里程去程</v>
      </c>
      <c r="W1812" s="1" t="str">
        <f>"0020"</f>
        <v>0020</v>
      </c>
      <c r="X1812" s="1" t="s">
        <v>29</v>
      </c>
    </row>
    <row r="1813" spans="1:24" x14ac:dyDescent="0.3">
      <c r="A1813" s="1" t="str">
        <f t="shared" si="340"/>
        <v>59809</v>
      </c>
      <c r="B1813" s="1" t="s">
        <v>42</v>
      </c>
      <c r="C1813" s="1" t="s">
        <v>43</v>
      </c>
      <c r="D1813" s="1" t="str">
        <f t="shared" si="341"/>
        <v>9801</v>
      </c>
      <c r="E1813" s="1" t="s">
        <v>25</v>
      </c>
      <c r="F1813" s="1" t="str">
        <f>"E213BD024E880400C834002000000015"</f>
        <v>E213BD024E880400C834002000000015</v>
      </c>
      <c r="G1813" s="1" t="s">
        <v>74</v>
      </c>
      <c r="H1813" s="1" t="str">
        <f t="shared" si="342"/>
        <v>20220909</v>
      </c>
      <c r="I1813" s="1" t="str">
        <f>"093054"</f>
        <v>093054</v>
      </c>
      <c r="J1813" s="1" t="s">
        <v>27</v>
      </c>
      <c r="K1813" s="1" t="s">
        <v>28</v>
      </c>
      <c r="L1813" s="1" t="str">
        <f t="shared" si="343"/>
        <v>20220909</v>
      </c>
      <c r="M1813" s="1" t="str">
        <f>"094817"</f>
        <v>094817</v>
      </c>
      <c r="N1813" s="1" t="s">
        <v>56</v>
      </c>
      <c r="O1813" s="1" t="s">
        <v>45</v>
      </c>
      <c r="P1813" s="1" t="s">
        <v>68</v>
      </c>
      <c r="Q1813" s="1">
        <v>13</v>
      </c>
      <c r="R1813" s="1">
        <v>0</v>
      </c>
      <c r="S1813" s="1">
        <v>0</v>
      </c>
      <c r="T1813" s="1">
        <v>13</v>
      </c>
      <c r="U1813" s="1">
        <v>0</v>
      </c>
      <c r="V1813" s="1" t="str">
        <f t="shared" si="344"/>
        <v>里程去程</v>
      </c>
      <c r="W1813" s="1" t="str">
        <f>"0020"</f>
        <v>0020</v>
      </c>
      <c r="X1813" s="1" t="s">
        <v>29</v>
      </c>
    </row>
    <row r="1814" spans="1:24" x14ac:dyDescent="0.3">
      <c r="A1814" s="1" t="str">
        <f t="shared" si="340"/>
        <v>59809</v>
      </c>
      <c r="B1814" s="1" t="s">
        <v>42</v>
      </c>
      <c r="C1814" s="1" t="s">
        <v>43</v>
      </c>
      <c r="D1814" s="1" t="str">
        <f t="shared" si="341"/>
        <v>9801</v>
      </c>
      <c r="E1814" s="1" t="s">
        <v>25</v>
      </c>
      <c r="F1814" s="1" t="str">
        <f>"F13B475DD08804004325C3F9000E0C0F"</f>
        <v>F13B475DD08804004325C3F9000E0C0F</v>
      </c>
      <c r="G1814" s="1" t="s">
        <v>64</v>
      </c>
      <c r="H1814" s="1" t="str">
        <f t="shared" si="342"/>
        <v>20220909</v>
      </c>
      <c r="I1814" s="1" t="str">
        <f>"093122"</f>
        <v>093122</v>
      </c>
      <c r="J1814" s="1" t="s">
        <v>27</v>
      </c>
      <c r="K1814" s="1" t="s">
        <v>28</v>
      </c>
      <c r="L1814" s="1" t="str">
        <f t="shared" si="343"/>
        <v>20220909</v>
      </c>
      <c r="M1814" s="1" t="str">
        <f>"095737"</f>
        <v>095737</v>
      </c>
      <c r="N1814" s="1" t="s">
        <v>44</v>
      </c>
      <c r="O1814" s="1" t="s">
        <v>45</v>
      </c>
      <c r="P1814" s="1" t="s">
        <v>55</v>
      </c>
      <c r="Q1814" s="1">
        <v>13</v>
      </c>
      <c r="R1814" s="1">
        <v>13</v>
      </c>
      <c r="S1814" s="1">
        <v>0</v>
      </c>
      <c r="T1814" s="1">
        <v>0</v>
      </c>
      <c r="U1814" s="1">
        <v>0</v>
      </c>
      <c r="V1814" s="1" t="str">
        <f t="shared" si="344"/>
        <v>里程去程</v>
      </c>
      <c r="W1814" s="1" t="str">
        <f>"0020"</f>
        <v>0020</v>
      </c>
      <c r="X1814" s="1" t="s">
        <v>29</v>
      </c>
    </row>
    <row r="1815" spans="1:24" x14ac:dyDescent="0.3">
      <c r="A1815" s="1" t="str">
        <f t="shared" si="340"/>
        <v>59809</v>
      </c>
      <c r="B1815" s="1" t="s">
        <v>42</v>
      </c>
      <c r="C1815" s="1" t="s">
        <v>43</v>
      </c>
      <c r="D1815" s="1" t="str">
        <f t="shared" si="341"/>
        <v>9801</v>
      </c>
      <c r="E1815" s="1" t="s">
        <v>25</v>
      </c>
      <c r="F1815" s="1" t="str">
        <f>"6280E61A1E880400C817002000000021"</f>
        <v>6280E61A1E880400C817002000000021</v>
      </c>
      <c r="G1815" s="1" t="s">
        <v>58</v>
      </c>
      <c r="H1815" s="1" t="str">
        <f t="shared" si="342"/>
        <v>20220909</v>
      </c>
      <c r="I1815" s="1" t="str">
        <f>"093131"</f>
        <v>093131</v>
      </c>
      <c r="J1815" s="1" t="s">
        <v>27</v>
      </c>
      <c r="K1815" s="1" t="s">
        <v>28</v>
      </c>
      <c r="L1815" s="1" t="str">
        <f t="shared" si="343"/>
        <v>20220909</v>
      </c>
      <c r="M1815" s="1" t="str">
        <f>"095729"</f>
        <v>095729</v>
      </c>
      <c r="N1815" s="1" t="s">
        <v>44</v>
      </c>
      <c r="O1815" s="1" t="s">
        <v>45</v>
      </c>
      <c r="P1815" s="1" t="s">
        <v>55</v>
      </c>
      <c r="Q1815" s="1">
        <v>25</v>
      </c>
      <c r="R1815" s="1">
        <v>0</v>
      </c>
      <c r="S1815" s="1">
        <v>25</v>
      </c>
      <c r="T1815" s="1">
        <v>0</v>
      </c>
      <c r="U1815" s="1">
        <v>0</v>
      </c>
      <c r="V1815" s="1" t="str">
        <f t="shared" si="344"/>
        <v>里程去程</v>
      </c>
      <c r="W1815" s="1" t="str">
        <f>"0620"</f>
        <v>0620</v>
      </c>
      <c r="X1815" s="1" t="s">
        <v>29</v>
      </c>
    </row>
    <row r="1816" spans="1:24" x14ac:dyDescent="0.3">
      <c r="A1816" s="1" t="str">
        <f t="shared" si="340"/>
        <v>59809</v>
      </c>
      <c r="B1816" s="1" t="s">
        <v>42</v>
      </c>
      <c r="C1816" s="1" t="s">
        <v>43</v>
      </c>
      <c r="D1816" s="1" t="str">
        <f t="shared" si="341"/>
        <v>9801</v>
      </c>
      <c r="E1816" s="1" t="s">
        <v>25</v>
      </c>
      <c r="F1816" s="1" t="str">
        <f>"41814F5AD52804001C00000000000000"</f>
        <v>41814F5AD52804001C00000000000000</v>
      </c>
      <c r="G1816" s="1" t="s">
        <v>58</v>
      </c>
      <c r="H1816" s="1" t="str">
        <f t="shared" si="342"/>
        <v>20220909</v>
      </c>
      <c r="I1816" s="1" t="str">
        <f>"093134"</f>
        <v>093134</v>
      </c>
      <c r="J1816" s="1" t="s">
        <v>27</v>
      </c>
      <c r="K1816" s="1" t="s">
        <v>28</v>
      </c>
      <c r="L1816" s="1" t="str">
        <f t="shared" si="343"/>
        <v>20220909</v>
      </c>
      <c r="M1816" s="1" t="str">
        <f>"095734"</f>
        <v>095734</v>
      </c>
      <c r="N1816" s="1" t="s">
        <v>44</v>
      </c>
      <c r="O1816" s="1" t="s">
        <v>45</v>
      </c>
      <c r="P1816" s="1" t="s">
        <v>55</v>
      </c>
      <c r="Q1816" s="1">
        <v>25</v>
      </c>
      <c r="R1816" s="1">
        <v>25</v>
      </c>
      <c r="S1816" s="1">
        <v>0</v>
      </c>
      <c r="T1816" s="1">
        <v>0</v>
      </c>
      <c r="U1816" s="1">
        <v>0</v>
      </c>
      <c r="V1816" s="1" t="str">
        <f t="shared" si="344"/>
        <v>里程去程</v>
      </c>
      <c r="W1816" s="1" t="str">
        <f>"0020"</f>
        <v>0020</v>
      </c>
      <c r="X1816" s="1" t="s">
        <v>29</v>
      </c>
    </row>
    <row r="1817" spans="1:24" x14ac:dyDescent="0.3">
      <c r="A1817" s="1" t="str">
        <f t="shared" si="340"/>
        <v>59809</v>
      </c>
      <c r="B1817" s="1" t="s">
        <v>42</v>
      </c>
      <c r="C1817" s="1" t="s">
        <v>43</v>
      </c>
      <c r="D1817" s="1" t="str">
        <f t="shared" si="341"/>
        <v>9801</v>
      </c>
      <c r="E1817" s="1" t="s">
        <v>25</v>
      </c>
      <c r="F1817" s="1" t="str">
        <f>"232998305"</f>
        <v>232998305</v>
      </c>
      <c r="G1817" s="1" t="s">
        <v>33</v>
      </c>
      <c r="H1817" s="1" t="str">
        <f t="shared" si="342"/>
        <v>20220909</v>
      </c>
      <c r="I1817" s="1" t="str">
        <f>"093403"</f>
        <v>093403</v>
      </c>
      <c r="J1817" s="1" t="s">
        <v>27</v>
      </c>
      <c r="K1817" s="1" t="s">
        <v>28</v>
      </c>
      <c r="L1817" s="1" t="str">
        <f t="shared" si="343"/>
        <v>20220909</v>
      </c>
      <c r="M1817" s="1" t="str">
        <f>"094548"</f>
        <v>094548</v>
      </c>
      <c r="N1817" s="1" t="s">
        <v>45</v>
      </c>
      <c r="O1817" s="1" t="s">
        <v>45</v>
      </c>
      <c r="P1817" s="1" t="s">
        <v>55</v>
      </c>
      <c r="Q1817" s="1">
        <v>25</v>
      </c>
      <c r="R1817" s="1">
        <v>25</v>
      </c>
      <c r="S1817" s="1">
        <v>0</v>
      </c>
      <c r="T1817" s="1">
        <v>0</v>
      </c>
      <c r="U1817" s="1">
        <v>0</v>
      </c>
      <c r="V1817" s="1" t="str">
        <f t="shared" si="344"/>
        <v>里程去程</v>
      </c>
      <c r="W1817" s="1" t="str">
        <f>"1420"</f>
        <v>1420</v>
      </c>
      <c r="X1817" s="1" t="s">
        <v>35</v>
      </c>
    </row>
    <row r="1818" spans="1:24" x14ac:dyDescent="0.3">
      <c r="A1818" s="1" t="str">
        <f t="shared" si="340"/>
        <v>59809</v>
      </c>
      <c r="B1818" s="1" t="s">
        <v>42</v>
      </c>
      <c r="C1818" s="1" t="s">
        <v>43</v>
      </c>
      <c r="D1818" s="1" t="str">
        <f t="shared" si="341"/>
        <v>9801</v>
      </c>
      <c r="E1818" s="1" t="s">
        <v>25</v>
      </c>
      <c r="F1818" s="1" t="str">
        <f>"32780D0344880400C834002000000015"</f>
        <v>32780D0344880400C834002000000015</v>
      </c>
      <c r="G1818" s="1" t="s">
        <v>26</v>
      </c>
      <c r="H1818" s="1" t="str">
        <f t="shared" si="342"/>
        <v>20220909</v>
      </c>
      <c r="I1818" s="1" t="str">
        <f>"122212"</f>
        <v>122212</v>
      </c>
      <c r="J1818" s="1" t="s">
        <v>44</v>
      </c>
      <c r="K1818" s="1" t="s">
        <v>45</v>
      </c>
      <c r="L1818" s="1" t="str">
        <f t="shared" si="343"/>
        <v>20220909</v>
      </c>
      <c r="M1818" s="1" t="str">
        <f>"125307"</f>
        <v>125307</v>
      </c>
      <c r="N1818" s="1" t="s">
        <v>95</v>
      </c>
      <c r="O1818" s="1" t="s">
        <v>28</v>
      </c>
      <c r="P1818" s="1" t="s">
        <v>68</v>
      </c>
      <c r="Q1818" s="1">
        <v>13</v>
      </c>
      <c r="R1818" s="1">
        <v>0</v>
      </c>
      <c r="S1818" s="1">
        <v>0</v>
      </c>
      <c r="T1818" s="1">
        <v>13</v>
      </c>
      <c r="U1818" s="1">
        <v>0</v>
      </c>
      <c r="V1818" s="1" t="str">
        <f t="shared" ref="V1818:V1833" si="345">"里程返程"</f>
        <v>里程返程</v>
      </c>
      <c r="W1818" s="1" t="str">
        <f>"0020"</f>
        <v>0020</v>
      </c>
      <c r="X1818" s="1" t="s">
        <v>29</v>
      </c>
    </row>
    <row r="1819" spans="1:24" x14ac:dyDescent="0.3">
      <c r="A1819" s="1" t="str">
        <f t="shared" si="340"/>
        <v>59809</v>
      </c>
      <c r="B1819" s="1" t="s">
        <v>42</v>
      </c>
      <c r="C1819" s="1" t="s">
        <v>43</v>
      </c>
      <c r="D1819" s="1" t="str">
        <f t="shared" si="341"/>
        <v>9801</v>
      </c>
      <c r="E1819" s="1" t="s">
        <v>25</v>
      </c>
      <c r="F1819" s="1" t="str">
        <f>"F2F7D002D7880400C834002000000015"</f>
        <v>F2F7D002D7880400C834002000000015</v>
      </c>
      <c r="G1819" s="1" t="s">
        <v>74</v>
      </c>
      <c r="H1819" s="1" t="str">
        <f t="shared" si="342"/>
        <v>20220909</v>
      </c>
      <c r="I1819" s="1" t="str">
        <f>"122736"</f>
        <v>122736</v>
      </c>
      <c r="J1819" s="1" t="s">
        <v>44</v>
      </c>
      <c r="K1819" s="1" t="s">
        <v>45</v>
      </c>
      <c r="L1819" s="1" t="str">
        <f t="shared" si="343"/>
        <v>20220909</v>
      </c>
      <c r="M1819" s="1" t="str">
        <f>"131118"</f>
        <v>131118</v>
      </c>
      <c r="N1819" s="1" t="s">
        <v>80</v>
      </c>
      <c r="O1819" s="1" t="s">
        <v>52</v>
      </c>
      <c r="P1819" s="1" t="s">
        <v>68</v>
      </c>
      <c r="Q1819" s="1">
        <v>25</v>
      </c>
      <c r="R1819" s="1">
        <v>0</v>
      </c>
      <c r="S1819" s="1">
        <v>0</v>
      </c>
      <c r="T1819" s="1">
        <v>25</v>
      </c>
      <c r="U1819" s="1">
        <v>0</v>
      </c>
      <c r="V1819" s="1" t="str">
        <f t="shared" si="345"/>
        <v>里程返程</v>
      </c>
      <c r="W1819" s="1" t="str">
        <f>"0020"</f>
        <v>0020</v>
      </c>
      <c r="X1819" s="1" t="s">
        <v>29</v>
      </c>
    </row>
    <row r="1820" spans="1:24" x14ac:dyDescent="0.3">
      <c r="A1820" s="1" t="str">
        <f t="shared" si="340"/>
        <v>59809</v>
      </c>
      <c r="B1820" s="1" t="s">
        <v>42</v>
      </c>
      <c r="C1820" s="1" t="s">
        <v>43</v>
      </c>
      <c r="D1820" s="1" t="str">
        <f t="shared" si="341"/>
        <v>9801</v>
      </c>
      <c r="E1820" s="1" t="s">
        <v>25</v>
      </c>
      <c r="F1820" s="1" t="str">
        <f>"828667157"</f>
        <v>828667157</v>
      </c>
      <c r="G1820" s="1" t="s">
        <v>33</v>
      </c>
      <c r="H1820" s="1" t="str">
        <f t="shared" si="342"/>
        <v>20220909</v>
      </c>
      <c r="I1820" s="1" t="str">
        <f>"124041"</f>
        <v>124041</v>
      </c>
      <c r="J1820" s="1" t="s">
        <v>75</v>
      </c>
      <c r="K1820" s="1" t="s">
        <v>45</v>
      </c>
      <c r="L1820" s="1" t="str">
        <f t="shared" si="343"/>
        <v>20220909</v>
      </c>
      <c r="M1820" s="1" t="str">
        <f>"125427"</f>
        <v>125427</v>
      </c>
      <c r="N1820" s="1" t="s">
        <v>28</v>
      </c>
      <c r="O1820" s="1" t="s">
        <v>28</v>
      </c>
      <c r="P1820" s="1" t="s">
        <v>55</v>
      </c>
      <c r="Q1820" s="1">
        <v>25</v>
      </c>
      <c r="R1820" s="1">
        <v>25</v>
      </c>
      <c r="S1820" s="1">
        <v>0</v>
      </c>
      <c r="T1820" s="1">
        <v>0</v>
      </c>
      <c r="U1820" s="1">
        <v>0</v>
      </c>
      <c r="V1820" s="1" t="str">
        <f t="shared" si="345"/>
        <v>里程返程</v>
      </c>
      <c r="W1820" s="1" t="str">
        <f>"2020"</f>
        <v>2020</v>
      </c>
      <c r="X1820" s="1" t="s">
        <v>35</v>
      </c>
    </row>
    <row r="1821" spans="1:24" x14ac:dyDescent="0.3">
      <c r="A1821" s="1" t="str">
        <f t="shared" si="340"/>
        <v>59809</v>
      </c>
      <c r="B1821" s="1" t="s">
        <v>42</v>
      </c>
      <c r="C1821" s="1" t="s">
        <v>43</v>
      </c>
      <c r="D1821" s="1" t="str">
        <f t="shared" si="341"/>
        <v>9801</v>
      </c>
      <c r="E1821" s="1" t="s">
        <v>25</v>
      </c>
      <c r="F1821" s="1" t="str">
        <f>"2188754346"</f>
        <v>2188754346</v>
      </c>
      <c r="G1821" s="1" t="s">
        <v>96</v>
      </c>
      <c r="H1821" s="1" t="str">
        <f t="shared" si="342"/>
        <v>20220909</v>
      </c>
      <c r="I1821" s="1" t="str">
        <f>"125600"</f>
        <v>125600</v>
      </c>
      <c r="J1821" s="1" t="s">
        <v>28</v>
      </c>
      <c r="K1821" s="1" t="s">
        <v>28</v>
      </c>
      <c r="L1821" s="1" t="str">
        <f t="shared" si="343"/>
        <v>20220909</v>
      </c>
      <c r="M1821" s="1" t="str">
        <f>"132046"</f>
        <v>132046</v>
      </c>
      <c r="N1821" s="1" t="s">
        <v>86</v>
      </c>
      <c r="O1821" s="1" t="s">
        <v>52</v>
      </c>
      <c r="P1821" s="1" t="s">
        <v>55</v>
      </c>
      <c r="Q1821" s="1">
        <v>13</v>
      </c>
      <c r="R1821" s="1">
        <v>13</v>
      </c>
      <c r="S1821" s="1">
        <v>0</v>
      </c>
      <c r="T1821" s="1">
        <v>0</v>
      </c>
      <c r="U1821" s="1">
        <v>0</v>
      </c>
      <c r="V1821" s="1" t="str">
        <f t="shared" si="345"/>
        <v>里程返程</v>
      </c>
      <c r="W1821" s="1" t="str">
        <f>"0820"</f>
        <v>0820</v>
      </c>
      <c r="X1821" s="1" t="s">
        <v>35</v>
      </c>
    </row>
    <row r="1822" spans="1:24" x14ac:dyDescent="0.3">
      <c r="A1822" s="1" t="str">
        <f t="shared" si="340"/>
        <v>59809</v>
      </c>
      <c r="B1822" s="1" t="s">
        <v>42</v>
      </c>
      <c r="C1822" s="1" t="s">
        <v>43</v>
      </c>
      <c r="D1822" s="1" t="str">
        <f t="shared" si="341"/>
        <v>9801</v>
      </c>
      <c r="E1822" s="1" t="s">
        <v>25</v>
      </c>
      <c r="F1822" s="1" t="str">
        <f>"1005785253"</f>
        <v>1005785253</v>
      </c>
      <c r="G1822" s="1" t="s">
        <v>38</v>
      </c>
      <c r="H1822" s="1" t="str">
        <f t="shared" si="342"/>
        <v>20220909</v>
      </c>
      <c r="I1822" s="1" t="str">
        <f>"125604"</f>
        <v>125604</v>
      </c>
      <c r="J1822" s="1" t="s">
        <v>28</v>
      </c>
      <c r="K1822" s="1" t="s">
        <v>28</v>
      </c>
      <c r="L1822" s="1" t="str">
        <f t="shared" si="343"/>
        <v>20220909</v>
      </c>
      <c r="M1822" s="1" t="str">
        <f>"132052"</f>
        <v>132052</v>
      </c>
      <c r="N1822" s="1" t="s">
        <v>86</v>
      </c>
      <c r="O1822" s="1" t="s">
        <v>52</v>
      </c>
      <c r="P1822" s="1" t="s">
        <v>55</v>
      </c>
      <c r="Q1822" s="1">
        <v>25</v>
      </c>
      <c r="R1822" s="1">
        <v>25</v>
      </c>
      <c r="S1822" s="1">
        <v>0</v>
      </c>
      <c r="T1822" s="1">
        <v>0</v>
      </c>
      <c r="U1822" s="1">
        <v>0</v>
      </c>
      <c r="V1822" s="1" t="str">
        <f t="shared" si="345"/>
        <v>里程返程</v>
      </c>
      <c r="W1822" s="1" t="str">
        <f>"0820"</f>
        <v>0820</v>
      </c>
      <c r="X1822" s="1" t="s">
        <v>35</v>
      </c>
    </row>
    <row r="1823" spans="1:24" x14ac:dyDescent="0.3">
      <c r="A1823" s="1" t="str">
        <f t="shared" si="340"/>
        <v>59809</v>
      </c>
      <c r="B1823" s="1" t="s">
        <v>42</v>
      </c>
      <c r="C1823" s="1" t="s">
        <v>43</v>
      </c>
      <c r="D1823" s="1" t="str">
        <f t="shared" si="341"/>
        <v>9801</v>
      </c>
      <c r="E1823" s="1" t="s">
        <v>25</v>
      </c>
      <c r="F1823" s="1" t="str">
        <f>"1219055285"</f>
        <v>1219055285</v>
      </c>
      <c r="G1823" s="1" t="s">
        <v>26</v>
      </c>
      <c r="H1823" s="1" t="str">
        <f t="shared" si="342"/>
        <v>20220909</v>
      </c>
      <c r="I1823" s="1" t="str">
        <f>"145008"</f>
        <v>145008</v>
      </c>
      <c r="J1823" s="1" t="s">
        <v>28</v>
      </c>
      <c r="K1823" s="1" t="s">
        <v>28</v>
      </c>
      <c r="L1823" s="1" t="str">
        <f t="shared" si="343"/>
        <v>20220909</v>
      </c>
      <c r="M1823" s="1" t="str">
        <f>"151719"</f>
        <v>151719</v>
      </c>
      <c r="N1823" s="1" t="s">
        <v>60</v>
      </c>
      <c r="O1823" s="1" t="s">
        <v>52</v>
      </c>
      <c r="P1823" s="1" t="s">
        <v>55</v>
      </c>
      <c r="Q1823" s="1">
        <v>13</v>
      </c>
      <c r="R1823" s="1">
        <v>13</v>
      </c>
      <c r="S1823" s="1">
        <v>0</v>
      </c>
      <c r="T1823" s="1">
        <v>0</v>
      </c>
      <c r="U1823" s="1">
        <v>0</v>
      </c>
      <c r="V1823" s="1" t="str">
        <f t="shared" si="345"/>
        <v>里程返程</v>
      </c>
      <c r="W1823" s="1" t="str">
        <f>"0120"</f>
        <v>0120</v>
      </c>
      <c r="X1823" s="1" t="s">
        <v>35</v>
      </c>
    </row>
    <row r="1824" spans="1:24" x14ac:dyDescent="0.3">
      <c r="A1824" s="1" t="str">
        <f t="shared" si="340"/>
        <v>59809</v>
      </c>
      <c r="B1824" s="1" t="s">
        <v>42</v>
      </c>
      <c r="C1824" s="1" t="s">
        <v>43</v>
      </c>
      <c r="D1824" s="1" t="str">
        <f t="shared" si="341"/>
        <v>9801</v>
      </c>
      <c r="E1824" s="1" t="s">
        <v>25</v>
      </c>
      <c r="F1824" s="1" t="str">
        <f>"623A1B0340880400C834002000000015"</f>
        <v>623A1B0340880400C834002000000015</v>
      </c>
      <c r="G1824" s="1" t="s">
        <v>26</v>
      </c>
      <c r="H1824" s="1" t="str">
        <f t="shared" si="342"/>
        <v>20220909</v>
      </c>
      <c r="I1824" s="1" t="str">
        <f>"145018"</f>
        <v>145018</v>
      </c>
      <c r="J1824" s="1" t="s">
        <v>28</v>
      </c>
      <c r="K1824" s="1" t="s">
        <v>28</v>
      </c>
      <c r="L1824" s="1" t="str">
        <f t="shared" si="343"/>
        <v>20220909</v>
      </c>
      <c r="M1824" s="1" t="str">
        <f>"151142"</f>
        <v>151142</v>
      </c>
      <c r="N1824" s="1" t="s">
        <v>65</v>
      </c>
      <c r="O1824" s="1" t="s">
        <v>52</v>
      </c>
      <c r="P1824" s="1" t="s">
        <v>68</v>
      </c>
      <c r="Q1824" s="1">
        <v>13</v>
      </c>
      <c r="R1824" s="1">
        <v>0</v>
      </c>
      <c r="S1824" s="1">
        <v>0</v>
      </c>
      <c r="T1824" s="1">
        <v>13</v>
      </c>
      <c r="U1824" s="1">
        <v>0</v>
      </c>
      <c r="V1824" s="1" t="str">
        <f t="shared" si="345"/>
        <v>里程返程</v>
      </c>
      <c r="W1824" s="1" t="str">
        <f>"0020"</f>
        <v>0020</v>
      </c>
      <c r="X1824" s="1" t="s">
        <v>29</v>
      </c>
    </row>
    <row r="1825" spans="1:24" x14ac:dyDescent="0.3">
      <c r="A1825" s="1" t="str">
        <f t="shared" si="340"/>
        <v>59809</v>
      </c>
      <c r="B1825" s="1" t="s">
        <v>42</v>
      </c>
      <c r="C1825" s="1" t="s">
        <v>43</v>
      </c>
      <c r="D1825" s="1" t="str">
        <f t="shared" si="341"/>
        <v>9801</v>
      </c>
      <c r="E1825" s="1" t="s">
        <v>25</v>
      </c>
      <c r="F1825" s="1" t="str">
        <f>"F2F7D002D7880400C834002000000015"</f>
        <v>F2F7D002D7880400C834002000000015</v>
      </c>
      <c r="G1825" s="1" t="s">
        <v>74</v>
      </c>
      <c r="H1825" s="1" t="str">
        <f t="shared" si="342"/>
        <v>20220909</v>
      </c>
      <c r="I1825" s="1" t="str">
        <f>"150828"</f>
        <v>150828</v>
      </c>
      <c r="J1825" s="1" t="s">
        <v>80</v>
      </c>
      <c r="K1825" s="1" t="s">
        <v>52</v>
      </c>
      <c r="L1825" s="1" t="str">
        <f t="shared" si="343"/>
        <v>20220909</v>
      </c>
      <c r="M1825" s="1" t="str">
        <f>"151928"</f>
        <v>151928</v>
      </c>
      <c r="N1825" s="1" t="s">
        <v>86</v>
      </c>
      <c r="O1825" s="1" t="s">
        <v>52</v>
      </c>
      <c r="P1825" s="1" t="s">
        <v>68</v>
      </c>
      <c r="Q1825" s="1">
        <v>13</v>
      </c>
      <c r="R1825" s="1">
        <v>0</v>
      </c>
      <c r="S1825" s="1">
        <v>0</v>
      </c>
      <c r="T1825" s="1">
        <v>13</v>
      </c>
      <c r="U1825" s="1">
        <v>0</v>
      </c>
      <c r="V1825" s="1" t="str">
        <f t="shared" si="345"/>
        <v>里程返程</v>
      </c>
      <c r="W1825" s="1" t="str">
        <f>"0020"</f>
        <v>0020</v>
      </c>
      <c r="X1825" s="1" t="s">
        <v>29</v>
      </c>
    </row>
    <row r="1826" spans="1:24" x14ac:dyDescent="0.3">
      <c r="A1826" s="1" t="str">
        <f t="shared" si="340"/>
        <v>59809</v>
      </c>
      <c r="B1826" s="1" t="s">
        <v>42</v>
      </c>
      <c r="C1826" s="1" t="s">
        <v>43</v>
      </c>
      <c r="D1826" s="1" t="str">
        <f t="shared" si="341"/>
        <v>9801</v>
      </c>
      <c r="E1826" s="1" t="s">
        <v>25</v>
      </c>
      <c r="F1826" s="1" t="str">
        <f>"7227E702B0880400C834002000000015"</f>
        <v>7227E702B0880400C834002000000015</v>
      </c>
      <c r="G1826" s="1" t="s">
        <v>74</v>
      </c>
      <c r="H1826" s="1" t="str">
        <f t="shared" si="342"/>
        <v>20220909</v>
      </c>
      <c r="I1826" s="1" t="str">
        <f>"150831"</f>
        <v>150831</v>
      </c>
      <c r="J1826" s="1" t="s">
        <v>80</v>
      </c>
      <c r="K1826" s="1" t="s">
        <v>52</v>
      </c>
      <c r="L1826" s="1" t="str">
        <f t="shared" ref="L1826:L1857" si="346">"20220909"</f>
        <v>20220909</v>
      </c>
      <c r="M1826" s="1" t="str">
        <f>"152102"</f>
        <v>152102</v>
      </c>
      <c r="N1826" s="1" t="s">
        <v>52</v>
      </c>
      <c r="O1826" s="1" t="s">
        <v>52</v>
      </c>
      <c r="P1826" s="1" t="s">
        <v>68</v>
      </c>
      <c r="Q1826" s="1">
        <v>13</v>
      </c>
      <c r="R1826" s="1">
        <v>0</v>
      </c>
      <c r="S1826" s="1">
        <v>0</v>
      </c>
      <c r="T1826" s="1">
        <v>13</v>
      </c>
      <c r="U1826" s="1">
        <v>0</v>
      </c>
      <c r="V1826" s="1" t="str">
        <f t="shared" si="345"/>
        <v>里程返程</v>
      </c>
      <c r="W1826" s="1" t="str">
        <f>"0020"</f>
        <v>0020</v>
      </c>
      <c r="X1826" s="1" t="s">
        <v>29</v>
      </c>
    </row>
    <row r="1827" spans="1:24" x14ac:dyDescent="0.3">
      <c r="A1827" s="1" t="str">
        <f t="shared" si="340"/>
        <v>59809</v>
      </c>
      <c r="B1827" s="1" t="s">
        <v>42</v>
      </c>
      <c r="C1827" s="1" t="s">
        <v>43</v>
      </c>
      <c r="D1827" s="1" t="str">
        <f t="shared" si="341"/>
        <v>9801</v>
      </c>
      <c r="E1827" s="1" t="s">
        <v>25</v>
      </c>
      <c r="F1827" s="1" t="str">
        <f>"138789841"</f>
        <v>138789841</v>
      </c>
      <c r="G1827" s="1" t="s">
        <v>33</v>
      </c>
      <c r="H1827" s="1" t="str">
        <f t="shared" si="342"/>
        <v>20220909</v>
      </c>
      <c r="I1827" s="1" t="str">
        <f>"152140"</f>
        <v>152140</v>
      </c>
      <c r="J1827" s="1" t="s">
        <v>44</v>
      </c>
      <c r="K1827" s="1" t="s">
        <v>45</v>
      </c>
      <c r="L1827" s="1" t="str">
        <f t="shared" si="346"/>
        <v>20220909</v>
      </c>
      <c r="M1827" s="1" t="str">
        <f>"154311"</f>
        <v>154311</v>
      </c>
      <c r="N1827" s="1" t="s">
        <v>79</v>
      </c>
      <c r="O1827" s="1" t="s">
        <v>45</v>
      </c>
      <c r="P1827" s="1" t="s">
        <v>55</v>
      </c>
      <c r="Q1827" s="1">
        <v>25</v>
      </c>
      <c r="R1827" s="1">
        <v>25</v>
      </c>
      <c r="S1827" s="1">
        <v>0</v>
      </c>
      <c r="T1827" s="1">
        <v>0</v>
      </c>
      <c r="U1827" s="1">
        <v>0</v>
      </c>
      <c r="V1827" s="1" t="str">
        <f t="shared" si="345"/>
        <v>里程返程</v>
      </c>
      <c r="W1827" s="1" t="str">
        <f>"2120"</f>
        <v>2120</v>
      </c>
      <c r="X1827" s="1" t="s">
        <v>35</v>
      </c>
    </row>
    <row r="1828" spans="1:24" x14ac:dyDescent="0.3">
      <c r="A1828" s="1" t="str">
        <f t="shared" si="340"/>
        <v>59809</v>
      </c>
      <c r="B1828" s="1" t="s">
        <v>42</v>
      </c>
      <c r="C1828" s="1" t="s">
        <v>43</v>
      </c>
      <c r="D1828" s="1" t="str">
        <f t="shared" si="341"/>
        <v>9801</v>
      </c>
      <c r="E1828" s="1" t="s">
        <v>25</v>
      </c>
      <c r="F1828" s="1" t="str">
        <f>"42AFE60209880400C834002000000015"</f>
        <v>42AFE60209880400C834002000000015</v>
      </c>
      <c r="G1828" s="1" t="s">
        <v>74</v>
      </c>
      <c r="H1828" s="1" t="str">
        <f t="shared" si="342"/>
        <v>20220909</v>
      </c>
      <c r="I1828" s="1" t="str">
        <f>"161149"</f>
        <v>161149</v>
      </c>
      <c r="J1828" s="1" t="s">
        <v>80</v>
      </c>
      <c r="K1828" s="1" t="s">
        <v>52</v>
      </c>
      <c r="L1828" s="1" t="str">
        <f t="shared" si="346"/>
        <v>20220909</v>
      </c>
      <c r="M1828" s="1" t="str">
        <f>"162417"</f>
        <v>162417</v>
      </c>
      <c r="N1828" s="1" t="s">
        <v>52</v>
      </c>
      <c r="O1828" s="1" t="s">
        <v>52</v>
      </c>
      <c r="P1828" s="1" t="s">
        <v>68</v>
      </c>
      <c r="Q1828" s="1">
        <v>13</v>
      </c>
      <c r="R1828" s="1">
        <v>0</v>
      </c>
      <c r="S1828" s="1">
        <v>0</v>
      </c>
      <c r="T1828" s="1">
        <v>13</v>
      </c>
      <c r="U1828" s="1">
        <v>0</v>
      </c>
      <c r="V1828" s="1" t="str">
        <f t="shared" si="345"/>
        <v>里程返程</v>
      </c>
      <c r="W1828" s="1" t="str">
        <f>"0020"</f>
        <v>0020</v>
      </c>
      <c r="X1828" s="1" t="s">
        <v>29</v>
      </c>
    </row>
    <row r="1829" spans="1:24" x14ac:dyDescent="0.3">
      <c r="A1829" s="1" t="str">
        <f t="shared" si="340"/>
        <v>59809</v>
      </c>
      <c r="B1829" s="1" t="s">
        <v>42</v>
      </c>
      <c r="C1829" s="1" t="s">
        <v>43</v>
      </c>
      <c r="D1829" s="1" t="str">
        <f t="shared" si="341"/>
        <v>9801</v>
      </c>
      <c r="E1829" s="1" t="s">
        <v>25</v>
      </c>
      <c r="F1829" s="1" t="str">
        <f>"6280E61A1E880400C817002000000021"</f>
        <v>6280E61A1E880400C817002000000021</v>
      </c>
      <c r="G1829" s="1" t="s">
        <v>58</v>
      </c>
      <c r="H1829" s="1" t="str">
        <f t="shared" si="342"/>
        <v>20220909</v>
      </c>
      <c r="I1829" s="1" t="str">
        <f>"162450"</f>
        <v>162450</v>
      </c>
      <c r="J1829" s="1" t="s">
        <v>44</v>
      </c>
      <c r="K1829" s="1" t="s">
        <v>45</v>
      </c>
      <c r="L1829" s="1" t="str">
        <f t="shared" si="346"/>
        <v>20220909</v>
      </c>
      <c r="M1829" s="1" t="str">
        <f>"165247"</f>
        <v>165247</v>
      </c>
      <c r="N1829" s="1" t="s">
        <v>28</v>
      </c>
      <c r="O1829" s="1" t="s">
        <v>28</v>
      </c>
      <c r="P1829" s="1" t="s">
        <v>55</v>
      </c>
      <c r="Q1829" s="1">
        <v>25</v>
      </c>
      <c r="R1829" s="1">
        <v>25</v>
      </c>
      <c r="S1829" s="1">
        <v>0</v>
      </c>
      <c r="T1829" s="1">
        <v>0</v>
      </c>
      <c r="U1829" s="1">
        <v>0</v>
      </c>
      <c r="V1829" s="1" t="str">
        <f t="shared" si="345"/>
        <v>里程返程</v>
      </c>
      <c r="W1829" s="1" t="str">
        <f>"0020"</f>
        <v>0020</v>
      </c>
      <c r="X1829" s="1" t="s">
        <v>29</v>
      </c>
    </row>
    <row r="1830" spans="1:24" x14ac:dyDescent="0.3">
      <c r="A1830" s="1" t="str">
        <f t="shared" si="340"/>
        <v>59809</v>
      </c>
      <c r="B1830" s="1" t="s">
        <v>42</v>
      </c>
      <c r="C1830" s="1" t="s">
        <v>43</v>
      </c>
      <c r="D1830" s="1" t="str">
        <f t="shared" si="341"/>
        <v>9801</v>
      </c>
      <c r="E1830" s="1" t="s">
        <v>25</v>
      </c>
      <c r="F1830" s="1" t="str">
        <f>"1382699153"</f>
        <v>1382699153</v>
      </c>
      <c r="G1830" s="1" t="s">
        <v>33</v>
      </c>
      <c r="H1830" s="1" t="str">
        <f t="shared" si="342"/>
        <v>20220909</v>
      </c>
      <c r="I1830" s="1" t="str">
        <f>"162548"</f>
        <v>162548</v>
      </c>
      <c r="J1830" s="1" t="s">
        <v>44</v>
      </c>
      <c r="K1830" s="1" t="s">
        <v>45</v>
      </c>
      <c r="L1830" s="1" t="str">
        <f t="shared" si="346"/>
        <v>20220909</v>
      </c>
      <c r="M1830" s="1" t="str">
        <f>"165257"</f>
        <v>165257</v>
      </c>
      <c r="N1830" s="1" t="s">
        <v>28</v>
      </c>
      <c r="O1830" s="1" t="s">
        <v>28</v>
      </c>
      <c r="P1830" s="1" t="s">
        <v>55</v>
      </c>
      <c r="Q1830" s="1">
        <v>25</v>
      </c>
      <c r="R1830" s="1">
        <v>25</v>
      </c>
      <c r="S1830" s="1">
        <v>0</v>
      </c>
      <c r="T1830" s="1">
        <v>0</v>
      </c>
      <c r="U1830" s="1">
        <v>0</v>
      </c>
      <c r="V1830" s="1" t="str">
        <f t="shared" si="345"/>
        <v>里程返程</v>
      </c>
      <c r="W1830" s="1" t="str">
        <f>"2020"</f>
        <v>2020</v>
      </c>
      <c r="X1830" s="1" t="s">
        <v>35</v>
      </c>
    </row>
    <row r="1831" spans="1:24" x14ac:dyDescent="0.3">
      <c r="A1831" s="1" t="str">
        <f t="shared" si="340"/>
        <v>59809</v>
      </c>
      <c r="B1831" s="1" t="s">
        <v>42</v>
      </c>
      <c r="C1831" s="1" t="s">
        <v>43</v>
      </c>
      <c r="D1831" s="1" t="str">
        <f t="shared" si="341"/>
        <v>9801</v>
      </c>
      <c r="E1831" s="1" t="s">
        <v>25</v>
      </c>
      <c r="F1831" s="1" t="str">
        <f>"1695105317"</f>
        <v>1695105317</v>
      </c>
      <c r="G1831" s="1" t="s">
        <v>33</v>
      </c>
      <c r="H1831" s="1" t="str">
        <f t="shared" si="342"/>
        <v>20220909</v>
      </c>
      <c r="I1831" s="1" t="str">
        <f>"162551"</f>
        <v>162551</v>
      </c>
      <c r="J1831" s="1" t="s">
        <v>44</v>
      </c>
      <c r="K1831" s="1" t="s">
        <v>45</v>
      </c>
      <c r="L1831" s="1" t="str">
        <f t="shared" si="346"/>
        <v>20220909</v>
      </c>
      <c r="M1831" s="1" t="str">
        <f>"165249"</f>
        <v>165249</v>
      </c>
      <c r="N1831" s="1" t="s">
        <v>28</v>
      </c>
      <c r="O1831" s="1" t="s">
        <v>28</v>
      </c>
      <c r="P1831" s="1" t="s">
        <v>55</v>
      </c>
      <c r="Q1831" s="1">
        <v>25</v>
      </c>
      <c r="R1831" s="1">
        <v>25</v>
      </c>
      <c r="S1831" s="1">
        <v>0</v>
      </c>
      <c r="T1831" s="1">
        <v>0</v>
      </c>
      <c r="U1831" s="1">
        <v>0</v>
      </c>
      <c r="V1831" s="1" t="str">
        <f t="shared" si="345"/>
        <v>里程返程</v>
      </c>
      <c r="W1831" s="1" t="str">
        <f>"2020"</f>
        <v>2020</v>
      </c>
      <c r="X1831" s="1" t="s">
        <v>35</v>
      </c>
    </row>
    <row r="1832" spans="1:24" x14ac:dyDescent="0.3">
      <c r="A1832" s="1" t="str">
        <f t="shared" si="340"/>
        <v>59809</v>
      </c>
      <c r="B1832" s="1" t="s">
        <v>42</v>
      </c>
      <c r="C1832" s="1" t="s">
        <v>43</v>
      </c>
      <c r="D1832" s="1" t="str">
        <f t="shared" si="341"/>
        <v>9801</v>
      </c>
      <c r="E1832" s="1" t="s">
        <v>25</v>
      </c>
      <c r="F1832" s="1" t="str">
        <f>"1076855893"</f>
        <v>1076855893</v>
      </c>
      <c r="G1832" s="1" t="s">
        <v>33</v>
      </c>
      <c r="H1832" s="1" t="str">
        <f t="shared" si="342"/>
        <v>20220909</v>
      </c>
      <c r="I1832" s="1" t="str">
        <f>"163613"</f>
        <v>163613</v>
      </c>
      <c r="J1832" s="1" t="s">
        <v>91</v>
      </c>
      <c r="K1832" s="1" t="s">
        <v>45</v>
      </c>
      <c r="L1832" s="1" t="str">
        <f t="shared" si="346"/>
        <v>20220909</v>
      </c>
      <c r="M1832" s="1" t="str">
        <f>"164439"</f>
        <v>164439</v>
      </c>
      <c r="N1832" s="1" t="s">
        <v>45</v>
      </c>
      <c r="O1832" s="1" t="s">
        <v>45</v>
      </c>
      <c r="P1832" s="1" t="s">
        <v>55</v>
      </c>
      <c r="Q1832" s="1">
        <v>25</v>
      </c>
      <c r="R1832" s="1">
        <v>25</v>
      </c>
      <c r="S1832" s="1">
        <v>0</v>
      </c>
      <c r="T1832" s="1">
        <v>0</v>
      </c>
      <c r="U1832" s="1">
        <v>0</v>
      </c>
      <c r="V1832" s="1" t="str">
        <f t="shared" si="345"/>
        <v>里程返程</v>
      </c>
      <c r="W1832" s="1" t="str">
        <f>"2020"</f>
        <v>2020</v>
      </c>
      <c r="X1832" s="1" t="s">
        <v>35</v>
      </c>
    </row>
    <row r="1833" spans="1:24" x14ac:dyDescent="0.3">
      <c r="A1833" s="1" t="str">
        <f t="shared" si="340"/>
        <v>59809</v>
      </c>
      <c r="B1833" s="1" t="s">
        <v>42</v>
      </c>
      <c r="C1833" s="1" t="s">
        <v>43</v>
      </c>
      <c r="D1833" s="1" t="str">
        <f t="shared" si="341"/>
        <v>9801</v>
      </c>
      <c r="E1833" s="1" t="s">
        <v>25</v>
      </c>
      <c r="F1833" s="1" t="str">
        <f>"1069836597"</f>
        <v>1069836597</v>
      </c>
      <c r="G1833" s="1" t="s">
        <v>33</v>
      </c>
      <c r="H1833" s="1" t="str">
        <f t="shared" si="342"/>
        <v>20220909</v>
      </c>
      <c r="I1833" s="1" t="str">
        <f>"163636"</f>
        <v>163636</v>
      </c>
      <c r="J1833" s="1" t="s">
        <v>91</v>
      </c>
      <c r="K1833" s="1" t="s">
        <v>45</v>
      </c>
      <c r="L1833" s="1" t="str">
        <f t="shared" si="346"/>
        <v>20220909</v>
      </c>
      <c r="M1833" s="1" t="str">
        <f>"164500"</f>
        <v>164500</v>
      </c>
      <c r="N1833" s="1" t="s">
        <v>45</v>
      </c>
      <c r="O1833" s="1" t="s">
        <v>45</v>
      </c>
      <c r="P1833" s="1" t="s">
        <v>55</v>
      </c>
      <c r="Q1833" s="1">
        <v>25</v>
      </c>
      <c r="R1833" s="1">
        <v>25</v>
      </c>
      <c r="S1833" s="1">
        <v>0</v>
      </c>
      <c r="T1833" s="1">
        <v>0</v>
      </c>
      <c r="U1833" s="1">
        <v>0</v>
      </c>
      <c r="V1833" s="1" t="str">
        <f t="shared" si="345"/>
        <v>里程返程</v>
      </c>
      <c r="W1833" s="1" t="str">
        <f>"2020"</f>
        <v>2020</v>
      </c>
      <c r="X1833" s="1" t="s">
        <v>35</v>
      </c>
    </row>
    <row r="1834" spans="1:24" x14ac:dyDescent="0.3">
      <c r="A1834" s="1" t="str">
        <f t="shared" ref="A1834:A1865" si="347">"59820"</f>
        <v>59820</v>
      </c>
      <c r="B1834" s="1" t="s">
        <v>53</v>
      </c>
      <c r="C1834" s="1" t="s">
        <v>54</v>
      </c>
      <c r="D1834" s="1" t="str">
        <f t="shared" ref="D1834:D1881" si="348">"9803"</f>
        <v>9803</v>
      </c>
      <c r="E1834" s="1" t="s">
        <v>32</v>
      </c>
      <c r="F1834" s="1" t="str">
        <f>"F542440CFF180200D200000C22400417"</f>
        <v>F542440CFF180200D200000C22400417</v>
      </c>
      <c r="G1834" s="1" t="s">
        <v>58</v>
      </c>
      <c r="H1834" s="1" t="str">
        <f t="shared" si="342"/>
        <v>20220909</v>
      </c>
      <c r="I1834" s="1" t="str">
        <f>"061738"</f>
        <v>061738</v>
      </c>
      <c r="J1834" s="1" t="s">
        <v>28</v>
      </c>
      <c r="K1834" s="1" t="s">
        <v>28</v>
      </c>
      <c r="L1834" s="1" t="str">
        <f t="shared" si="346"/>
        <v>20220909</v>
      </c>
      <c r="M1834" s="1" t="str">
        <f>"064339"</f>
        <v>064339</v>
      </c>
      <c r="N1834" s="1" t="s">
        <v>34</v>
      </c>
      <c r="O1834" s="1" t="s">
        <v>34</v>
      </c>
      <c r="P1834" s="1" t="s">
        <v>55</v>
      </c>
      <c r="Q1834" s="1">
        <v>25</v>
      </c>
      <c r="R1834" s="1">
        <v>25</v>
      </c>
      <c r="S1834" s="1">
        <v>0</v>
      </c>
      <c r="T1834" s="1">
        <v>0</v>
      </c>
      <c r="U1834" s="1">
        <v>0</v>
      </c>
      <c r="V1834" s="1" t="str">
        <f t="shared" ref="V1834:V1879" si="349">"里程去程"</f>
        <v>里程去程</v>
      </c>
      <c r="W1834" s="1" t="str">
        <f>"0020"</f>
        <v>0020</v>
      </c>
      <c r="X1834" s="1" t="s">
        <v>29</v>
      </c>
    </row>
    <row r="1835" spans="1:24" x14ac:dyDescent="0.3">
      <c r="A1835" s="1" t="str">
        <f t="shared" si="347"/>
        <v>59820</v>
      </c>
      <c r="B1835" s="1" t="s">
        <v>53</v>
      </c>
      <c r="C1835" s="1" t="s">
        <v>54</v>
      </c>
      <c r="D1835" s="1" t="str">
        <f t="shared" si="348"/>
        <v>9803</v>
      </c>
      <c r="E1835" s="1" t="s">
        <v>32</v>
      </c>
      <c r="F1835" s="1" t="str">
        <f>"2027144424"</f>
        <v>2027144424</v>
      </c>
      <c r="G1835" s="1" t="s">
        <v>33</v>
      </c>
      <c r="H1835" s="1" t="str">
        <f t="shared" si="342"/>
        <v>20220909</v>
      </c>
      <c r="I1835" s="1" t="str">
        <f>"061747"</f>
        <v>061747</v>
      </c>
      <c r="J1835" s="1" t="s">
        <v>28</v>
      </c>
      <c r="K1835" s="1" t="s">
        <v>28</v>
      </c>
      <c r="L1835" s="1" t="str">
        <f t="shared" si="346"/>
        <v>20220909</v>
      </c>
      <c r="M1835" s="1" t="str">
        <f>"064332"</f>
        <v>064332</v>
      </c>
      <c r="N1835" s="1" t="s">
        <v>34</v>
      </c>
      <c r="O1835" s="1" t="s">
        <v>34</v>
      </c>
      <c r="P1835" s="1" t="s">
        <v>55</v>
      </c>
      <c r="Q1835" s="1">
        <v>25</v>
      </c>
      <c r="R1835" s="1">
        <v>25</v>
      </c>
      <c r="S1835" s="1">
        <v>0</v>
      </c>
      <c r="T1835" s="1">
        <v>0</v>
      </c>
      <c r="U1835" s="1">
        <v>0</v>
      </c>
      <c r="V1835" s="1" t="str">
        <f t="shared" si="349"/>
        <v>里程去程</v>
      </c>
      <c r="W1835" s="1" t="str">
        <f>"0820"</f>
        <v>0820</v>
      </c>
      <c r="X1835" s="1" t="s">
        <v>35</v>
      </c>
    </row>
    <row r="1836" spans="1:24" x14ac:dyDescent="0.3">
      <c r="A1836" s="1" t="str">
        <f t="shared" si="347"/>
        <v>59820</v>
      </c>
      <c r="B1836" s="1" t="s">
        <v>53</v>
      </c>
      <c r="C1836" s="1" t="s">
        <v>54</v>
      </c>
      <c r="D1836" s="1" t="str">
        <f t="shared" si="348"/>
        <v>9803</v>
      </c>
      <c r="E1836" s="1" t="s">
        <v>32</v>
      </c>
      <c r="F1836" s="1" t="str">
        <f>"F15957659A8804004325CC9400080C0F"</f>
        <v>F15957659A8804004325CC9400080C0F</v>
      </c>
      <c r="G1836" s="1" t="s">
        <v>59</v>
      </c>
      <c r="H1836" s="1" t="str">
        <f t="shared" si="342"/>
        <v>20220909</v>
      </c>
      <c r="I1836" s="1" t="str">
        <f>"061752"</f>
        <v>061752</v>
      </c>
      <c r="J1836" s="1" t="s">
        <v>28</v>
      </c>
      <c r="K1836" s="1" t="s">
        <v>28</v>
      </c>
      <c r="L1836" s="1" t="str">
        <f t="shared" si="346"/>
        <v>20220909</v>
      </c>
      <c r="M1836" s="1" t="str">
        <f>"064313"</f>
        <v>064313</v>
      </c>
      <c r="N1836" s="1" t="s">
        <v>34</v>
      </c>
      <c r="O1836" s="1" t="s">
        <v>34</v>
      </c>
      <c r="P1836" s="1" t="s">
        <v>55</v>
      </c>
      <c r="Q1836" s="1">
        <v>25</v>
      </c>
      <c r="R1836" s="1">
        <v>25</v>
      </c>
      <c r="S1836" s="1">
        <v>0</v>
      </c>
      <c r="T1836" s="1">
        <v>0</v>
      </c>
      <c r="U1836" s="1">
        <v>0</v>
      </c>
      <c r="V1836" s="1" t="str">
        <f t="shared" si="349"/>
        <v>里程去程</v>
      </c>
      <c r="W1836" s="1" t="str">
        <f>"0020"</f>
        <v>0020</v>
      </c>
      <c r="X1836" s="1" t="s">
        <v>29</v>
      </c>
    </row>
    <row r="1837" spans="1:24" x14ac:dyDescent="0.3">
      <c r="A1837" s="1" t="str">
        <f t="shared" si="347"/>
        <v>59820</v>
      </c>
      <c r="B1837" s="1" t="s">
        <v>53</v>
      </c>
      <c r="C1837" s="1" t="s">
        <v>54</v>
      </c>
      <c r="D1837" s="1" t="str">
        <f t="shared" si="348"/>
        <v>9803</v>
      </c>
      <c r="E1837" s="1" t="s">
        <v>32</v>
      </c>
      <c r="F1837" s="1" t="str">
        <f>"21F1B81C74280400F700000000000000"</f>
        <v>21F1B81C74280400F700000000000000</v>
      </c>
      <c r="G1837" s="1" t="s">
        <v>58</v>
      </c>
      <c r="H1837" s="1" t="str">
        <f t="shared" si="342"/>
        <v>20220909</v>
      </c>
      <c r="I1837" s="1" t="str">
        <f>"061757"</f>
        <v>061757</v>
      </c>
      <c r="J1837" s="1" t="s">
        <v>28</v>
      </c>
      <c r="K1837" s="1" t="s">
        <v>28</v>
      </c>
      <c r="L1837" s="1" t="str">
        <f t="shared" si="346"/>
        <v>20220909</v>
      </c>
      <c r="M1837" s="1" t="str">
        <f>"064155"</f>
        <v>064155</v>
      </c>
      <c r="N1837" s="1" t="s">
        <v>34</v>
      </c>
      <c r="O1837" s="1" t="s">
        <v>34</v>
      </c>
      <c r="P1837" s="1" t="s">
        <v>55</v>
      </c>
      <c r="Q1837" s="1">
        <v>25</v>
      </c>
      <c r="R1837" s="1">
        <v>25</v>
      </c>
      <c r="S1837" s="1">
        <v>0</v>
      </c>
      <c r="T1837" s="1">
        <v>0</v>
      </c>
      <c r="U1837" s="1">
        <v>0</v>
      </c>
      <c r="V1837" s="1" t="str">
        <f t="shared" si="349"/>
        <v>里程去程</v>
      </c>
      <c r="W1837" s="1" t="str">
        <f>"0020"</f>
        <v>0020</v>
      </c>
      <c r="X1837" s="1" t="s">
        <v>29</v>
      </c>
    </row>
    <row r="1838" spans="1:24" x14ac:dyDescent="0.3">
      <c r="A1838" s="1" t="str">
        <f t="shared" si="347"/>
        <v>59820</v>
      </c>
      <c r="B1838" s="1" t="s">
        <v>53</v>
      </c>
      <c r="C1838" s="1" t="s">
        <v>54</v>
      </c>
      <c r="D1838" s="1" t="str">
        <f t="shared" si="348"/>
        <v>9803</v>
      </c>
      <c r="E1838" s="1" t="s">
        <v>32</v>
      </c>
      <c r="F1838" s="1" t="str">
        <f>"1576312256"</f>
        <v>1576312256</v>
      </c>
      <c r="G1838" s="1" t="s">
        <v>33</v>
      </c>
      <c r="H1838" s="1" t="str">
        <f t="shared" si="342"/>
        <v>20220909</v>
      </c>
      <c r="I1838" s="1" t="str">
        <f>"061802"</f>
        <v>061802</v>
      </c>
      <c r="J1838" s="1" t="s">
        <v>28</v>
      </c>
      <c r="K1838" s="1" t="s">
        <v>28</v>
      </c>
      <c r="L1838" s="1" t="str">
        <f t="shared" si="346"/>
        <v>20220909</v>
      </c>
      <c r="M1838" s="1" t="str">
        <f>"064149"</f>
        <v>064149</v>
      </c>
      <c r="N1838" s="1" t="s">
        <v>34</v>
      </c>
      <c r="O1838" s="1" t="s">
        <v>34</v>
      </c>
      <c r="P1838" s="1" t="s">
        <v>55</v>
      </c>
      <c r="Q1838" s="1">
        <v>25</v>
      </c>
      <c r="R1838" s="1">
        <v>25</v>
      </c>
      <c r="S1838" s="1">
        <v>0</v>
      </c>
      <c r="T1838" s="1">
        <v>0</v>
      </c>
      <c r="U1838" s="1">
        <v>0</v>
      </c>
      <c r="V1838" s="1" t="str">
        <f t="shared" si="349"/>
        <v>里程去程</v>
      </c>
      <c r="W1838" s="1" t="str">
        <f>"0120"</f>
        <v>0120</v>
      </c>
      <c r="X1838" s="1" t="s">
        <v>35</v>
      </c>
    </row>
    <row r="1839" spans="1:24" x14ac:dyDescent="0.3">
      <c r="A1839" s="1" t="str">
        <f t="shared" si="347"/>
        <v>59820</v>
      </c>
      <c r="B1839" s="1" t="s">
        <v>53</v>
      </c>
      <c r="C1839" s="1" t="s">
        <v>54</v>
      </c>
      <c r="D1839" s="1" t="str">
        <f t="shared" si="348"/>
        <v>9803</v>
      </c>
      <c r="E1839" s="1" t="s">
        <v>32</v>
      </c>
      <c r="F1839" s="1" t="str">
        <f>"734002833"</f>
        <v>734002833</v>
      </c>
      <c r="G1839" s="1" t="s">
        <v>33</v>
      </c>
      <c r="H1839" s="1" t="str">
        <f t="shared" si="342"/>
        <v>20220909</v>
      </c>
      <c r="I1839" s="1" t="str">
        <f>"061808"</f>
        <v>061808</v>
      </c>
      <c r="J1839" s="1" t="s">
        <v>28</v>
      </c>
      <c r="K1839" s="1" t="s">
        <v>28</v>
      </c>
      <c r="L1839" s="1" t="str">
        <f t="shared" si="346"/>
        <v>20220909</v>
      </c>
      <c r="M1839" s="1" t="str">
        <f>"064216"</f>
        <v>064216</v>
      </c>
      <c r="N1839" s="1" t="s">
        <v>34</v>
      </c>
      <c r="O1839" s="1" t="s">
        <v>34</v>
      </c>
      <c r="P1839" s="1" t="s">
        <v>55</v>
      </c>
      <c r="Q1839" s="1">
        <v>25</v>
      </c>
      <c r="R1839" s="1">
        <v>25</v>
      </c>
      <c r="S1839" s="1">
        <v>0</v>
      </c>
      <c r="T1839" s="1">
        <v>0</v>
      </c>
      <c r="U1839" s="1">
        <v>0</v>
      </c>
      <c r="V1839" s="1" t="str">
        <f t="shared" si="349"/>
        <v>里程去程</v>
      </c>
      <c r="W1839" s="1" t="str">
        <f>"0120"</f>
        <v>0120</v>
      </c>
      <c r="X1839" s="1" t="s">
        <v>35</v>
      </c>
    </row>
    <row r="1840" spans="1:24" x14ac:dyDescent="0.3">
      <c r="A1840" s="1" t="str">
        <f t="shared" si="347"/>
        <v>59820</v>
      </c>
      <c r="B1840" s="1" t="s">
        <v>53</v>
      </c>
      <c r="C1840" s="1" t="s">
        <v>54</v>
      </c>
      <c r="D1840" s="1" t="str">
        <f t="shared" si="348"/>
        <v>9803</v>
      </c>
      <c r="E1840" s="1" t="s">
        <v>32</v>
      </c>
      <c r="F1840" s="1" t="str">
        <f>"1074901441"</f>
        <v>1074901441</v>
      </c>
      <c r="G1840" s="1" t="s">
        <v>33</v>
      </c>
      <c r="H1840" s="1" t="str">
        <f t="shared" si="342"/>
        <v>20220909</v>
      </c>
      <c r="I1840" s="1" t="str">
        <f>"061812"</f>
        <v>061812</v>
      </c>
      <c r="J1840" s="1" t="s">
        <v>28</v>
      </c>
      <c r="K1840" s="1" t="s">
        <v>28</v>
      </c>
      <c r="L1840" s="1" t="str">
        <f t="shared" si="346"/>
        <v>20220909</v>
      </c>
      <c r="M1840" s="1" t="str">
        <f>"064233"</f>
        <v>064233</v>
      </c>
      <c r="N1840" s="1" t="s">
        <v>34</v>
      </c>
      <c r="O1840" s="1" t="s">
        <v>34</v>
      </c>
      <c r="P1840" s="1" t="s">
        <v>55</v>
      </c>
      <c r="Q1840" s="1">
        <v>25</v>
      </c>
      <c r="R1840" s="1">
        <v>25</v>
      </c>
      <c r="S1840" s="1">
        <v>0</v>
      </c>
      <c r="T1840" s="1">
        <v>0</v>
      </c>
      <c r="U1840" s="1">
        <v>0</v>
      </c>
      <c r="V1840" s="1" t="str">
        <f t="shared" si="349"/>
        <v>里程去程</v>
      </c>
      <c r="W1840" s="1" t="str">
        <f>"0120"</f>
        <v>0120</v>
      </c>
      <c r="X1840" s="1" t="s">
        <v>35</v>
      </c>
    </row>
    <row r="1841" spans="1:24" x14ac:dyDescent="0.3">
      <c r="A1841" s="1" t="str">
        <f t="shared" si="347"/>
        <v>59820</v>
      </c>
      <c r="B1841" s="1" t="s">
        <v>53</v>
      </c>
      <c r="C1841" s="1" t="s">
        <v>54</v>
      </c>
      <c r="D1841" s="1" t="str">
        <f t="shared" si="348"/>
        <v>9803</v>
      </c>
      <c r="E1841" s="1" t="s">
        <v>32</v>
      </c>
      <c r="F1841" s="1" t="str">
        <f>"1081379217"</f>
        <v>1081379217</v>
      </c>
      <c r="G1841" s="1" t="s">
        <v>33</v>
      </c>
      <c r="H1841" s="1" t="str">
        <f t="shared" si="342"/>
        <v>20220909</v>
      </c>
      <c r="I1841" s="1" t="str">
        <f>"061817"</f>
        <v>061817</v>
      </c>
      <c r="J1841" s="1" t="s">
        <v>28</v>
      </c>
      <c r="K1841" s="1" t="s">
        <v>28</v>
      </c>
      <c r="L1841" s="1" t="str">
        <f t="shared" si="346"/>
        <v>20220909</v>
      </c>
      <c r="M1841" s="1" t="str">
        <f>"064258"</f>
        <v>064258</v>
      </c>
      <c r="N1841" s="1" t="s">
        <v>34</v>
      </c>
      <c r="O1841" s="1" t="s">
        <v>34</v>
      </c>
      <c r="P1841" s="1" t="s">
        <v>55</v>
      </c>
      <c r="Q1841" s="1">
        <v>25</v>
      </c>
      <c r="R1841" s="1">
        <v>25</v>
      </c>
      <c r="S1841" s="1">
        <v>0</v>
      </c>
      <c r="T1841" s="1">
        <v>0</v>
      </c>
      <c r="U1841" s="1">
        <v>0</v>
      </c>
      <c r="V1841" s="1" t="str">
        <f t="shared" si="349"/>
        <v>里程去程</v>
      </c>
      <c r="W1841" s="1" t="str">
        <f>"0120"</f>
        <v>0120</v>
      </c>
      <c r="X1841" s="1" t="s">
        <v>35</v>
      </c>
    </row>
    <row r="1842" spans="1:24" x14ac:dyDescent="0.3">
      <c r="A1842" s="1" t="str">
        <f t="shared" si="347"/>
        <v>59820</v>
      </c>
      <c r="B1842" s="1" t="s">
        <v>53</v>
      </c>
      <c r="C1842" s="1" t="s">
        <v>54</v>
      </c>
      <c r="D1842" s="1" t="str">
        <f t="shared" si="348"/>
        <v>9803</v>
      </c>
      <c r="E1842" s="1" t="s">
        <v>32</v>
      </c>
      <c r="F1842" s="1" t="str">
        <f>"169989317"</f>
        <v>169989317</v>
      </c>
      <c r="G1842" s="1" t="s">
        <v>33</v>
      </c>
      <c r="H1842" s="1" t="str">
        <f t="shared" si="342"/>
        <v>20220909</v>
      </c>
      <c r="I1842" s="1" t="str">
        <f>"061823"</f>
        <v>061823</v>
      </c>
      <c r="J1842" s="1" t="s">
        <v>28</v>
      </c>
      <c r="K1842" s="1" t="s">
        <v>28</v>
      </c>
      <c r="L1842" s="1" t="str">
        <f t="shared" si="346"/>
        <v>20220909</v>
      </c>
      <c r="M1842" s="1" t="str">
        <f>"064307"</f>
        <v>064307</v>
      </c>
      <c r="N1842" s="1" t="s">
        <v>34</v>
      </c>
      <c r="O1842" s="1" t="s">
        <v>34</v>
      </c>
      <c r="P1842" s="1" t="s">
        <v>55</v>
      </c>
      <c r="Q1842" s="1">
        <v>25</v>
      </c>
      <c r="R1842" s="1">
        <v>25</v>
      </c>
      <c r="S1842" s="1">
        <v>0</v>
      </c>
      <c r="T1842" s="1">
        <v>0</v>
      </c>
      <c r="U1842" s="1">
        <v>0</v>
      </c>
      <c r="V1842" s="1" t="str">
        <f t="shared" si="349"/>
        <v>里程去程</v>
      </c>
      <c r="W1842" s="1" t="str">
        <f>"0a20"</f>
        <v>0a20</v>
      </c>
      <c r="X1842" s="1" t="s">
        <v>35</v>
      </c>
    </row>
    <row r="1843" spans="1:24" x14ac:dyDescent="0.3">
      <c r="A1843" s="1" t="str">
        <f t="shared" si="347"/>
        <v>59820</v>
      </c>
      <c r="B1843" s="1" t="s">
        <v>53</v>
      </c>
      <c r="C1843" s="1" t="s">
        <v>54</v>
      </c>
      <c r="D1843" s="1" t="str">
        <f t="shared" si="348"/>
        <v>9803</v>
      </c>
      <c r="E1843" s="1" t="s">
        <v>32</v>
      </c>
      <c r="F1843" s="1" t="str">
        <f>"996876005"</f>
        <v>996876005</v>
      </c>
      <c r="G1843" s="1" t="s">
        <v>38</v>
      </c>
      <c r="H1843" s="1" t="str">
        <f t="shared" si="342"/>
        <v>20220909</v>
      </c>
      <c r="I1843" s="1" t="str">
        <f>"061828"</f>
        <v>061828</v>
      </c>
      <c r="J1843" s="1" t="s">
        <v>28</v>
      </c>
      <c r="K1843" s="1" t="s">
        <v>28</v>
      </c>
      <c r="L1843" s="1" t="str">
        <f t="shared" si="346"/>
        <v>20220909</v>
      </c>
      <c r="M1843" s="1" t="str">
        <f>"064342"</f>
        <v>064342</v>
      </c>
      <c r="N1843" s="1" t="s">
        <v>34</v>
      </c>
      <c r="O1843" s="1" t="s">
        <v>34</v>
      </c>
      <c r="P1843" s="1" t="s">
        <v>55</v>
      </c>
      <c r="Q1843" s="1">
        <v>25</v>
      </c>
      <c r="R1843" s="1">
        <v>25</v>
      </c>
      <c r="S1843" s="1">
        <v>0</v>
      </c>
      <c r="T1843" s="1">
        <v>0</v>
      </c>
      <c r="U1843" s="1">
        <v>0</v>
      </c>
      <c r="V1843" s="1" t="str">
        <f t="shared" si="349"/>
        <v>里程去程</v>
      </c>
      <c r="W1843" s="1" t="str">
        <f>"0120"</f>
        <v>0120</v>
      </c>
      <c r="X1843" s="1" t="s">
        <v>35</v>
      </c>
    </row>
    <row r="1844" spans="1:24" x14ac:dyDescent="0.3">
      <c r="A1844" s="1" t="str">
        <f t="shared" si="347"/>
        <v>59820</v>
      </c>
      <c r="B1844" s="1" t="s">
        <v>53</v>
      </c>
      <c r="C1844" s="1" t="s">
        <v>54</v>
      </c>
      <c r="D1844" s="1" t="str">
        <f t="shared" si="348"/>
        <v>9803</v>
      </c>
      <c r="E1844" s="1" t="s">
        <v>32</v>
      </c>
      <c r="F1844" s="1" t="str">
        <f>"A12A6254BD2804001C00000000000000"</f>
        <v>A12A6254BD2804001C00000000000000</v>
      </c>
      <c r="G1844" s="1" t="s">
        <v>58</v>
      </c>
      <c r="H1844" s="1" t="str">
        <f t="shared" si="342"/>
        <v>20220909</v>
      </c>
      <c r="I1844" s="1" t="str">
        <f>"061841"</f>
        <v>061841</v>
      </c>
      <c r="J1844" s="1" t="s">
        <v>28</v>
      </c>
      <c r="K1844" s="1" t="s">
        <v>28</v>
      </c>
      <c r="L1844" s="1" t="str">
        <f t="shared" si="346"/>
        <v>20220909</v>
      </c>
      <c r="M1844" s="1" t="str">
        <f>"064323"</f>
        <v>064323</v>
      </c>
      <c r="N1844" s="1" t="s">
        <v>34</v>
      </c>
      <c r="O1844" s="1" t="s">
        <v>34</v>
      </c>
      <c r="P1844" s="1" t="s">
        <v>55</v>
      </c>
      <c r="Q1844" s="1">
        <v>25</v>
      </c>
      <c r="R1844" s="1">
        <v>25</v>
      </c>
      <c r="S1844" s="1">
        <v>0</v>
      </c>
      <c r="T1844" s="1">
        <v>0</v>
      </c>
      <c r="U1844" s="1">
        <v>0</v>
      </c>
      <c r="V1844" s="1" t="str">
        <f t="shared" si="349"/>
        <v>里程去程</v>
      </c>
      <c r="W1844" s="1" t="str">
        <f>"0020"</f>
        <v>0020</v>
      </c>
      <c r="X1844" s="1" t="s">
        <v>29</v>
      </c>
    </row>
    <row r="1845" spans="1:24" x14ac:dyDescent="0.3">
      <c r="A1845" s="1" t="str">
        <f t="shared" si="347"/>
        <v>59820</v>
      </c>
      <c r="B1845" s="1" t="s">
        <v>53</v>
      </c>
      <c r="C1845" s="1" t="s">
        <v>54</v>
      </c>
      <c r="D1845" s="1" t="str">
        <f t="shared" si="348"/>
        <v>9803</v>
      </c>
      <c r="E1845" s="1" t="s">
        <v>32</v>
      </c>
      <c r="F1845" s="1" t="str">
        <f>"835622353"</f>
        <v>835622353</v>
      </c>
      <c r="G1845" s="1" t="s">
        <v>33</v>
      </c>
      <c r="H1845" s="1" t="str">
        <f t="shared" si="342"/>
        <v>20220909</v>
      </c>
      <c r="I1845" s="1" t="str">
        <f>"061848"</f>
        <v>061848</v>
      </c>
      <c r="J1845" s="1" t="s">
        <v>28</v>
      </c>
      <c r="K1845" s="1" t="s">
        <v>28</v>
      </c>
      <c r="L1845" s="1" t="str">
        <f t="shared" si="346"/>
        <v>20220909</v>
      </c>
      <c r="M1845" s="1" t="str">
        <f>"064242"</f>
        <v>064242</v>
      </c>
      <c r="N1845" s="1" t="s">
        <v>34</v>
      </c>
      <c r="O1845" s="1" t="s">
        <v>34</v>
      </c>
      <c r="P1845" s="1" t="s">
        <v>55</v>
      </c>
      <c r="Q1845" s="1">
        <v>25</v>
      </c>
      <c r="R1845" s="1">
        <v>25</v>
      </c>
      <c r="S1845" s="1">
        <v>0</v>
      </c>
      <c r="T1845" s="1">
        <v>0</v>
      </c>
      <c r="U1845" s="1">
        <v>0</v>
      </c>
      <c r="V1845" s="1" t="str">
        <f t="shared" si="349"/>
        <v>里程去程</v>
      </c>
      <c r="W1845" s="1" t="str">
        <f>"0120"</f>
        <v>0120</v>
      </c>
      <c r="X1845" s="1" t="s">
        <v>35</v>
      </c>
    </row>
    <row r="1846" spans="1:24" x14ac:dyDescent="0.3">
      <c r="A1846" s="1" t="str">
        <f t="shared" si="347"/>
        <v>59820</v>
      </c>
      <c r="B1846" s="1" t="s">
        <v>53</v>
      </c>
      <c r="C1846" s="1" t="s">
        <v>54</v>
      </c>
      <c r="D1846" s="1" t="str">
        <f t="shared" si="348"/>
        <v>9803</v>
      </c>
      <c r="E1846" s="1" t="s">
        <v>32</v>
      </c>
      <c r="F1846" s="1" t="str">
        <f>"2792791567"</f>
        <v>2792791567</v>
      </c>
      <c r="G1846" s="1" t="s">
        <v>33</v>
      </c>
      <c r="H1846" s="1" t="str">
        <f t="shared" si="342"/>
        <v>20220909</v>
      </c>
      <c r="I1846" s="1" t="str">
        <f>"061856"</f>
        <v>061856</v>
      </c>
      <c r="J1846" s="1" t="s">
        <v>28</v>
      </c>
      <c r="K1846" s="1" t="s">
        <v>28</v>
      </c>
      <c r="L1846" s="1" t="str">
        <f t="shared" si="346"/>
        <v>20220909</v>
      </c>
      <c r="M1846" s="1" t="str">
        <f>"064235"</f>
        <v>064235</v>
      </c>
      <c r="N1846" s="1" t="s">
        <v>34</v>
      </c>
      <c r="O1846" s="1" t="s">
        <v>34</v>
      </c>
      <c r="P1846" s="1" t="s">
        <v>55</v>
      </c>
      <c r="Q1846" s="1">
        <v>25</v>
      </c>
      <c r="R1846" s="1">
        <v>25</v>
      </c>
      <c r="S1846" s="1">
        <v>0</v>
      </c>
      <c r="T1846" s="1">
        <v>0</v>
      </c>
      <c r="U1846" s="1">
        <v>0</v>
      </c>
      <c r="V1846" s="1" t="str">
        <f t="shared" si="349"/>
        <v>里程去程</v>
      </c>
      <c r="W1846" s="1" t="str">
        <f>"0220"</f>
        <v>0220</v>
      </c>
      <c r="X1846" s="1" t="s">
        <v>35</v>
      </c>
    </row>
    <row r="1847" spans="1:24" x14ac:dyDescent="0.3">
      <c r="A1847" s="1" t="str">
        <f t="shared" si="347"/>
        <v>59820</v>
      </c>
      <c r="B1847" s="1" t="s">
        <v>53</v>
      </c>
      <c r="C1847" s="1" t="s">
        <v>54</v>
      </c>
      <c r="D1847" s="1" t="str">
        <f t="shared" si="348"/>
        <v>9803</v>
      </c>
      <c r="E1847" s="1" t="s">
        <v>32</v>
      </c>
      <c r="F1847" s="1" t="str">
        <f>"672578965"</f>
        <v>672578965</v>
      </c>
      <c r="G1847" s="1" t="s">
        <v>33</v>
      </c>
      <c r="H1847" s="1" t="str">
        <f t="shared" si="342"/>
        <v>20220909</v>
      </c>
      <c r="I1847" s="1" t="str">
        <f>"061901"</f>
        <v>061901</v>
      </c>
      <c r="J1847" s="1" t="s">
        <v>28</v>
      </c>
      <c r="K1847" s="1" t="s">
        <v>28</v>
      </c>
      <c r="L1847" s="1" t="str">
        <f t="shared" si="346"/>
        <v>20220909</v>
      </c>
      <c r="M1847" s="1" t="str">
        <f>"064229"</f>
        <v>064229</v>
      </c>
      <c r="N1847" s="1" t="s">
        <v>34</v>
      </c>
      <c r="O1847" s="1" t="s">
        <v>34</v>
      </c>
      <c r="P1847" s="1" t="s">
        <v>55</v>
      </c>
      <c r="Q1847" s="1">
        <v>25</v>
      </c>
      <c r="R1847" s="1">
        <v>25</v>
      </c>
      <c r="S1847" s="1">
        <v>0</v>
      </c>
      <c r="T1847" s="1">
        <v>0</v>
      </c>
      <c r="U1847" s="1">
        <v>0</v>
      </c>
      <c r="V1847" s="1" t="str">
        <f t="shared" si="349"/>
        <v>里程去程</v>
      </c>
      <c r="W1847" s="1" t="str">
        <f>"0220"</f>
        <v>0220</v>
      </c>
      <c r="X1847" s="1" t="s">
        <v>35</v>
      </c>
    </row>
    <row r="1848" spans="1:24" x14ac:dyDescent="0.3">
      <c r="A1848" s="1" t="str">
        <f t="shared" si="347"/>
        <v>59820</v>
      </c>
      <c r="B1848" s="1" t="s">
        <v>53</v>
      </c>
      <c r="C1848" s="1" t="s">
        <v>54</v>
      </c>
      <c r="D1848" s="1" t="str">
        <f t="shared" si="348"/>
        <v>9803</v>
      </c>
      <c r="E1848" s="1" t="s">
        <v>32</v>
      </c>
      <c r="F1848" s="1" t="str">
        <f>"8143D969722804001C00000000000000"</f>
        <v>8143D969722804001C00000000000000</v>
      </c>
      <c r="G1848" s="1" t="s">
        <v>58</v>
      </c>
      <c r="H1848" s="1" t="str">
        <f t="shared" si="342"/>
        <v>20220909</v>
      </c>
      <c r="I1848" s="1" t="str">
        <f>"062038"</f>
        <v>062038</v>
      </c>
      <c r="J1848" s="1" t="s">
        <v>28</v>
      </c>
      <c r="K1848" s="1" t="s">
        <v>28</v>
      </c>
      <c r="L1848" s="1" t="str">
        <f t="shared" si="346"/>
        <v>20220909</v>
      </c>
      <c r="M1848" s="1" t="str">
        <f>"064319"</f>
        <v>064319</v>
      </c>
      <c r="N1848" s="1" t="s">
        <v>34</v>
      </c>
      <c r="O1848" s="1" t="s">
        <v>34</v>
      </c>
      <c r="P1848" s="1" t="s">
        <v>55</v>
      </c>
      <c r="Q1848" s="1">
        <v>25</v>
      </c>
      <c r="R1848" s="1">
        <v>25</v>
      </c>
      <c r="S1848" s="1">
        <v>0</v>
      </c>
      <c r="T1848" s="1">
        <v>0</v>
      </c>
      <c r="U1848" s="1">
        <v>0</v>
      </c>
      <c r="V1848" s="1" t="str">
        <f t="shared" si="349"/>
        <v>里程去程</v>
      </c>
      <c r="W1848" s="1" t="str">
        <f>"0020"</f>
        <v>0020</v>
      </c>
      <c r="X1848" s="1" t="s">
        <v>29</v>
      </c>
    </row>
    <row r="1849" spans="1:24" x14ac:dyDescent="0.3">
      <c r="A1849" s="1" t="str">
        <f t="shared" si="347"/>
        <v>59820</v>
      </c>
      <c r="B1849" s="1" t="s">
        <v>53</v>
      </c>
      <c r="C1849" s="1" t="s">
        <v>54</v>
      </c>
      <c r="D1849" s="1" t="str">
        <f t="shared" si="348"/>
        <v>9803</v>
      </c>
      <c r="E1849" s="1" t="s">
        <v>32</v>
      </c>
      <c r="F1849" s="1" t="str">
        <f>"3758435367"</f>
        <v>3758435367</v>
      </c>
      <c r="G1849" s="1" t="s">
        <v>33</v>
      </c>
      <c r="H1849" s="1" t="str">
        <f t="shared" si="342"/>
        <v>20220909</v>
      </c>
      <c r="I1849" s="1" t="str">
        <f>"062043"</f>
        <v>062043</v>
      </c>
      <c r="J1849" s="1" t="s">
        <v>28</v>
      </c>
      <c r="K1849" s="1" t="s">
        <v>28</v>
      </c>
      <c r="L1849" s="1" t="str">
        <f t="shared" si="346"/>
        <v>20220909</v>
      </c>
      <c r="M1849" s="1" t="str">
        <f>"064316"</f>
        <v>064316</v>
      </c>
      <c r="N1849" s="1" t="s">
        <v>34</v>
      </c>
      <c r="O1849" s="1" t="s">
        <v>34</v>
      </c>
      <c r="P1849" s="1" t="s">
        <v>55</v>
      </c>
      <c r="Q1849" s="1">
        <v>25</v>
      </c>
      <c r="R1849" s="1">
        <v>25</v>
      </c>
      <c r="S1849" s="1">
        <v>0</v>
      </c>
      <c r="T1849" s="1">
        <v>0</v>
      </c>
      <c r="U1849" s="1">
        <v>0</v>
      </c>
      <c r="V1849" s="1" t="str">
        <f t="shared" si="349"/>
        <v>里程去程</v>
      </c>
      <c r="W1849" s="1" t="str">
        <f>"0120"</f>
        <v>0120</v>
      </c>
      <c r="X1849" s="1" t="s">
        <v>35</v>
      </c>
    </row>
    <row r="1850" spans="1:24" x14ac:dyDescent="0.3">
      <c r="A1850" s="1" t="str">
        <f t="shared" si="347"/>
        <v>59820</v>
      </c>
      <c r="B1850" s="1" t="s">
        <v>53</v>
      </c>
      <c r="C1850" s="1" t="s">
        <v>54</v>
      </c>
      <c r="D1850" s="1" t="str">
        <f t="shared" si="348"/>
        <v>9803</v>
      </c>
      <c r="E1850" s="1" t="s">
        <v>32</v>
      </c>
      <c r="F1850" s="1" t="str">
        <f>"577020593"</f>
        <v>577020593</v>
      </c>
      <c r="G1850" s="1" t="s">
        <v>33</v>
      </c>
      <c r="H1850" s="1" t="str">
        <f t="shared" si="342"/>
        <v>20220909</v>
      </c>
      <c r="I1850" s="1" t="str">
        <f>"062542"</f>
        <v>062542</v>
      </c>
      <c r="J1850" s="1" t="s">
        <v>90</v>
      </c>
      <c r="K1850" s="1" t="s">
        <v>28</v>
      </c>
      <c r="L1850" s="1" t="str">
        <f t="shared" si="346"/>
        <v>20220909</v>
      </c>
      <c r="M1850" s="1" t="str">
        <f>"064250"</f>
        <v>064250</v>
      </c>
      <c r="N1850" s="1" t="s">
        <v>34</v>
      </c>
      <c r="O1850" s="1" t="s">
        <v>34</v>
      </c>
      <c r="P1850" s="1" t="s">
        <v>55</v>
      </c>
      <c r="Q1850" s="1">
        <v>25</v>
      </c>
      <c r="R1850" s="1">
        <v>25</v>
      </c>
      <c r="S1850" s="1">
        <v>0</v>
      </c>
      <c r="T1850" s="1">
        <v>0</v>
      </c>
      <c r="U1850" s="1">
        <v>0</v>
      </c>
      <c r="V1850" s="1" t="str">
        <f t="shared" si="349"/>
        <v>里程去程</v>
      </c>
      <c r="W1850" s="1" t="str">
        <f>"0620"</f>
        <v>0620</v>
      </c>
      <c r="X1850" s="1" t="s">
        <v>35</v>
      </c>
    </row>
    <row r="1851" spans="1:24" x14ac:dyDescent="0.3">
      <c r="A1851" s="1" t="str">
        <f t="shared" si="347"/>
        <v>59820</v>
      </c>
      <c r="B1851" s="1" t="s">
        <v>53</v>
      </c>
      <c r="C1851" s="1" t="s">
        <v>54</v>
      </c>
      <c r="D1851" s="1" t="str">
        <f t="shared" si="348"/>
        <v>9803</v>
      </c>
      <c r="E1851" s="1" t="s">
        <v>32</v>
      </c>
      <c r="F1851" s="1" t="str">
        <f>"1407191617"</f>
        <v>1407191617</v>
      </c>
      <c r="G1851" s="1" t="s">
        <v>38</v>
      </c>
      <c r="H1851" s="1" t="str">
        <f t="shared" si="342"/>
        <v>20220909</v>
      </c>
      <c r="I1851" s="1" t="str">
        <f>"062547"</f>
        <v>062547</v>
      </c>
      <c r="J1851" s="1" t="s">
        <v>90</v>
      </c>
      <c r="K1851" s="1" t="s">
        <v>28</v>
      </c>
      <c r="L1851" s="1" t="str">
        <f t="shared" si="346"/>
        <v>20220909</v>
      </c>
      <c r="M1851" s="1" t="str">
        <f>"064247"</f>
        <v>064247</v>
      </c>
      <c r="N1851" s="1" t="s">
        <v>34</v>
      </c>
      <c r="O1851" s="1" t="s">
        <v>34</v>
      </c>
      <c r="P1851" s="1" t="s">
        <v>55</v>
      </c>
      <c r="Q1851" s="1">
        <v>25</v>
      </c>
      <c r="R1851" s="1">
        <v>25</v>
      </c>
      <c r="S1851" s="1">
        <v>0</v>
      </c>
      <c r="T1851" s="1">
        <v>0</v>
      </c>
      <c r="U1851" s="1">
        <v>0</v>
      </c>
      <c r="V1851" s="1" t="str">
        <f t="shared" si="349"/>
        <v>里程去程</v>
      </c>
      <c r="W1851" s="1" t="str">
        <f>"0820"</f>
        <v>0820</v>
      </c>
      <c r="X1851" s="1" t="s">
        <v>35</v>
      </c>
    </row>
    <row r="1852" spans="1:24" x14ac:dyDescent="0.3">
      <c r="A1852" s="1" t="str">
        <f t="shared" si="347"/>
        <v>59820</v>
      </c>
      <c r="B1852" s="1" t="s">
        <v>53</v>
      </c>
      <c r="C1852" s="1" t="s">
        <v>54</v>
      </c>
      <c r="D1852" s="1" t="str">
        <f t="shared" si="348"/>
        <v>9803</v>
      </c>
      <c r="E1852" s="1" t="s">
        <v>32</v>
      </c>
      <c r="F1852" s="1" t="str">
        <f>"935012037"</f>
        <v>935012037</v>
      </c>
      <c r="G1852" s="1" t="s">
        <v>38</v>
      </c>
      <c r="H1852" s="1" t="str">
        <f t="shared" si="342"/>
        <v>20220909</v>
      </c>
      <c r="I1852" s="1" t="str">
        <f>"062551"</f>
        <v>062551</v>
      </c>
      <c r="J1852" s="1" t="s">
        <v>90</v>
      </c>
      <c r="K1852" s="1" t="s">
        <v>28</v>
      </c>
      <c r="L1852" s="1" t="str">
        <f t="shared" si="346"/>
        <v>20220909</v>
      </c>
      <c r="M1852" s="1" t="str">
        <f>"064224"</f>
        <v>064224</v>
      </c>
      <c r="N1852" s="1" t="s">
        <v>34</v>
      </c>
      <c r="O1852" s="1" t="s">
        <v>34</v>
      </c>
      <c r="P1852" s="1" t="s">
        <v>55</v>
      </c>
      <c r="Q1852" s="1">
        <v>25</v>
      </c>
      <c r="R1852" s="1">
        <v>25</v>
      </c>
      <c r="S1852" s="1">
        <v>0</v>
      </c>
      <c r="T1852" s="1">
        <v>0</v>
      </c>
      <c r="U1852" s="1">
        <v>0</v>
      </c>
      <c r="V1852" s="1" t="str">
        <f t="shared" si="349"/>
        <v>里程去程</v>
      </c>
      <c r="W1852" s="1" t="str">
        <f>"0820"</f>
        <v>0820</v>
      </c>
      <c r="X1852" s="1" t="s">
        <v>35</v>
      </c>
    </row>
    <row r="1853" spans="1:24" x14ac:dyDescent="0.3">
      <c r="A1853" s="1" t="str">
        <f t="shared" si="347"/>
        <v>59820</v>
      </c>
      <c r="B1853" s="1" t="s">
        <v>53</v>
      </c>
      <c r="C1853" s="1" t="s">
        <v>54</v>
      </c>
      <c r="D1853" s="1" t="str">
        <f t="shared" si="348"/>
        <v>9803</v>
      </c>
      <c r="E1853" s="1" t="s">
        <v>32</v>
      </c>
      <c r="F1853" s="1" t="str">
        <f>"1808831573"</f>
        <v>1808831573</v>
      </c>
      <c r="G1853" s="1" t="s">
        <v>38</v>
      </c>
      <c r="H1853" s="1" t="str">
        <f t="shared" si="342"/>
        <v>20220909</v>
      </c>
      <c r="I1853" s="1" t="str">
        <f>"062555"</f>
        <v>062555</v>
      </c>
      <c r="J1853" s="1" t="s">
        <v>90</v>
      </c>
      <c r="K1853" s="1" t="s">
        <v>28</v>
      </c>
      <c r="L1853" s="1" t="str">
        <f t="shared" si="346"/>
        <v>20220909</v>
      </c>
      <c r="M1853" s="1" t="str">
        <f>"064220"</f>
        <v>064220</v>
      </c>
      <c r="N1853" s="1" t="s">
        <v>34</v>
      </c>
      <c r="O1853" s="1" t="s">
        <v>34</v>
      </c>
      <c r="P1853" s="1" t="s">
        <v>55</v>
      </c>
      <c r="Q1853" s="1">
        <v>25</v>
      </c>
      <c r="R1853" s="1">
        <v>25</v>
      </c>
      <c r="S1853" s="1">
        <v>0</v>
      </c>
      <c r="T1853" s="1">
        <v>0</v>
      </c>
      <c r="U1853" s="1">
        <v>0</v>
      </c>
      <c r="V1853" s="1" t="str">
        <f t="shared" si="349"/>
        <v>里程去程</v>
      </c>
      <c r="W1853" s="1" t="str">
        <f>"0120"</f>
        <v>0120</v>
      </c>
      <c r="X1853" s="1" t="s">
        <v>35</v>
      </c>
    </row>
    <row r="1854" spans="1:24" x14ac:dyDescent="0.3">
      <c r="A1854" s="1" t="str">
        <f t="shared" si="347"/>
        <v>59820</v>
      </c>
      <c r="B1854" s="1" t="s">
        <v>53</v>
      </c>
      <c r="C1854" s="1" t="s">
        <v>54</v>
      </c>
      <c r="D1854" s="1" t="str">
        <f t="shared" si="348"/>
        <v>9803</v>
      </c>
      <c r="E1854" s="1" t="s">
        <v>32</v>
      </c>
      <c r="F1854" s="1" t="str">
        <f>"1266806789"</f>
        <v>1266806789</v>
      </c>
      <c r="G1854" s="1" t="s">
        <v>38</v>
      </c>
      <c r="H1854" s="1" t="str">
        <f t="shared" si="342"/>
        <v>20220909</v>
      </c>
      <c r="I1854" s="1" t="str">
        <f>"062559"</f>
        <v>062559</v>
      </c>
      <c r="J1854" s="1" t="s">
        <v>90</v>
      </c>
      <c r="K1854" s="1" t="s">
        <v>28</v>
      </c>
      <c r="L1854" s="1" t="str">
        <f t="shared" si="346"/>
        <v>20220909</v>
      </c>
      <c r="M1854" s="1" t="str">
        <f>"064200"</f>
        <v>064200</v>
      </c>
      <c r="N1854" s="1" t="s">
        <v>34</v>
      </c>
      <c r="O1854" s="1" t="s">
        <v>34</v>
      </c>
      <c r="P1854" s="1" t="s">
        <v>55</v>
      </c>
      <c r="Q1854" s="1">
        <v>25</v>
      </c>
      <c r="R1854" s="1">
        <v>25</v>
      </c>
      <c r="S1854" s="1">
        <v>0</v>
      </c>
      <c r="T1854" s="1">
        <v>0</v>
      </c>
      <c r="U1854" s="1">
        <v>0</v>
      </c>
      <c r="V1854" s="1" t="str">
        <f t="shared" si="349"/>
        <v>里程去程</v>
      </c>
      <c r="W1854" s="1" t="str">
        <f>"0120"</f>
        <v>0120</v>
      </c>
      <c r="X1854" s="1" t="s">
        <v>35</v>
      </c>
    </row>
    <row r="1855" spans="1:24" x14ac:dyDescent="0.3">
      <c r="A1855" s="1" t="str">
        <f t="shared" si="347"/>
        <v>59820</v>
      </c>
      <c r="B1855" s="1" t="s">
        <v>53</v>
      </c>
      <c r="C1855" s="1" t="s">
        <v>54</v>
      </c>
      <c r="D1855" s="1" t="str">
        <f t="shared" si="348"/>
        <v>9803</v>
      </c>
      <c r="E1855" s="1" t="s">
        <v>32</v>
      </c>
      <c r="F1855" s="1" t="str">
        <f>"637592050"</f>
        <v>637592050</v>
      </c>
      <c r="G1855" s="1" t="s">
        <v>33</v>
      </c>
      <c r="H1855" s="1" t="str">
        <f t="shared" si="342"/>
        <v>20220909</v>
      </c>
      <c r="I1855" s="1" t="str">
        <f>"081101"</f>
        <v>081101</v>
      </c>
      <c r="J1855" s="1" t="s">
        <v>28</v>
      </c>
      <c r="K1855" s="1" t="s">
        <v>28</v>
      </c>
      <c r="L1855" s="1" t="str">
        <f t="shared" si="346"/>
        <v>20220909</v>
      </c>
      <c r="M1855" s="1" t="str">
        <f>"083007"</f>
        <v>083007</v>
      </c>
      <c r="N1855" s="1" t="s">
        <v>34</v>
      </c>
      <c r="O1855" s="1" t="s">
        <v>34</v>
      </c>
      <c r="P1855" s="1" t="s">
        <v>55</v>
      </c>
      <c r="Q1855" s="1">
        <v>25</v>
      </c>
      <c r="R1855" s="1">
        <v>25</v>
      </c>
      <c r="S1855" s="1">
        <v>0</v>
      </c>
      <c r="T1855" s="1">
        <v>0</v>
      </c>
      <c r="U1855" s="1">
        <v>0</v>
      </c>
      <c r="V1855" s="1" t="str">
        <f t="shared" si="349"/>
        <v>里程去程</v>
      </c>
      <c r="W1855" s="1" t="str">
        <f>"2120"</f>
        <v>2120</v>
      </c>
      <c r="X1855" s="1" t="s">
        <v>35</v>
      </c>
    </row>
    <row r="1856" spans="1:24" x14ac:dyDescent="0.3">
      <c r="A1856" s="1" t="str">
        <f t="shared" si="347"/>
        <v>59820</v>
      </c>
      <c r="B1856" s="1" t="s">
        <v>53</v>
      </c>
      <c r="C1856" s="1" t="s">
        <v>54</v>
      </c>
      <c r="D1856" s="1" t="str">
        <f t="shared" si="348"/>
        <v>9803</v>
      </c>
      <c r="E1856" s="1" t="s">
        <v>32</v>
      </c>
      <c r="F1856" s="1" t="str">
        <f>"3603658323"</f>
        <v>3603658323</v>
      </c>
      <c r="G1856" s="1" t="s">
        <v>33</v>
      </c>
      <c r="H1856" s="1" t="str">
        <f t="shared" si="342"/>
        <v>20220909</v>
      </c>
      <c r="I1856" s="1" t="str">
        <f>"081105"</f>
        <v>081105</v>
      </c>
      <c r="J1856" s="1" t="s">
        <v>28</v>
      </c>
      <c r="K1856" s="1" t="s">
        <v>28</v>
      </c>
      <c r="L1856" s="1" t="str">
        <f t="shared" si="346"/>
        <v>20220909</v>
      </c>
      <c r="M1856" s="1" t="str">
        <f>"083012"</f>
        <v>083012</v>
      </c>
      <c r="N1856" s="1" t="s">
        <v>34</v>
      </c>
      <c r="O1856" s="1" t="s">
        <v>34</v>
      </c>
      <c r="P1856" s="1" t="s">
        <v>55</v>
      </c>
      <c r="Q1856" s="1">
        <v>25</v>
      </c>
      <c r="R1856" s="1">
        <v>25</v>
      </c>
      <c r="S1856" s="1">
        <v>0</v>
      </c>
      <c r="T1856" s="1">
        <v>0</v>
      </c>
      <c r="U1856" s="1">
        <v>0</v>
      </c>
      <c r="V1856" s="1" t="str">
        <f t="shared" si="349"/>
        <v>里程去程</v>
      </c>
      <c r="W1856" s="1" t="str">
        <f>"2120"</f>
        <v>2120</v>
      </c>
      <c r="X1856" s="1" t="s">
        <v>35</v>
      </c>
    </row>
    <row r="1857" spans="1:24" x14ac:dyDescent="0.3">
      <c r="A1857" s="1" t="str">
        <f t="shared" si="347"/>
        <v>59820</v>
      </c>
      <c r="B1857" s="1" t="s">
        <v>53</v>
      </c>
      <c r="C1857" s="1" t="s">
        <v>54</v>
      </c>
      <c r="D1857" s="1" t="str">
        <f t="shared" si="348"/>
        <v>9803</v>
      </c>
      <c r="E1857" s="1" t="s">
        <v>32</v>
      </c>
      <c r="F1857" s="1" t="str">
        <f>"1269022817"</f>
        <v>1269022817</v>
      </c>
      <c r="G1857" s="1" t="s">
        <v>33</v>
      </c>
      <c r="H1857" s="1" t="str">
        <f t="shared" si="342"/>
        <v>20220909</v>
      </c>
      <c r="I1857" s="1" t="str">
        <f>"081114"</f>
        <v>081114</v>
      </c>
      <c r="J1857" s="1" t="s">
        <v>28</v>
      </c>
      <c r="K1857" s="1" t="s">
        <v>28</v>
      </c>
      <c r="L1857" s="1" t="str">
        <f t="shared" si="346"/>
        <v>20220909</v>
      </c>
      <c r="M1857" s="1" t="str">
        <f>"083055"</f>
        <v>083055</v>
      </c>
      <c r="N1857" s="1" t="s">
        <v>34</v>
      </c>
      <c r="O1857" s="1" t="s">
        <v>34</v>
      </c>
      <c r="P1857" s="1" t="s">
        <v>55</v>
      </c>
      <c r="Q1857" s="1">
        <v>25</v>
      </c>
      <c r="R1857" s="1">
        <v>25</v>
      </c>
      <c r="S1857" s="1">
        <v>0</v>
      </c>
      <c r="T1857" s="1">
        <v>0</v>
      </c>
      <c r="U1857" s="1">
        <v>0</v>
      </c>
      <c r="V1857" s="1" t="str">
        <f t="shared" si="349"/>
        <v>里程去程</v>
      </c>
      <c r="W1857" s="1" t="str">
        <f>"1420"</f>
        <v>1420</v>
      </c>
      <c r="X1857" s="1" t="s">
        <v>35</v>
      </c>
    </row>
    <row r="1858" spans="1:24" x14ac:dyDescent="0.3">
      <c r="A1858" s="1" t="str">
        <f t="shared" si="347"/>
        <v>59820</v>
      </c>
      <c r="B1858" s="1" t="s">
        <v>53</v>
      </c>
      <c r="C1858" s="1" t="s">
        <v>54</v>
      </c>
      <c r="D1858" s="1" t="str">
        <f t="shared" si="348"/>
        <v>9803</v>
      </c>
      <c r="E1858" s="1" t="s">
        <v>32</v>
      </c>
      <c r="F1858" s="1" t="str">
        <f>"3758288823"</f>
        <v>3758288823</v>
      </c>
      <c r="G1858" s="1" t="s">
        <v>33</v>
      </c>
      <c r="H1858" s="1" t="str">
        <f t="shared" ref="H1858:H1921" si="350">"20220909"</f>
        <v>20220909</v>
      </c>
      <c r="I1858" s="1" t="str">
        <f>"081125"</f>
        <v>081125</v>
      </c>
      <c r="J1858" s="1" t="s">
        <v>28</v>
      </c>
      <c r="K1858" s="1" t="s">
        <v>28</v>
      </c>
      <c r="L1858" s="1" t="str">
        <f t="shared" ref="L1858:L1889" si="351">"20220909"</f>
        <v>20220909</v>
      </c>
      <c r="M1858" s="1" t="str">
        <f>"083044"</f>
        <v>083044</v>
      </c>
      <c r="N1858" s="1" t="s">
        <v>34</v>
      </c>
      <c r="O1858" s="1" t="s">
        <v>34</v>
      </c>
      <c r="P1858" s="1" t="s">
        <v>55</v>
      </c>
      <c r="Q1858" s="1">
        <v>25</v>
      </c>
      <c r="R1858" s="1">
        <v>25</v>
      </c>
      <c r="S1858" s="1">
        <v>0</v>
      </c>
      <c r="T1858" s="1">
        <v>0</v>
      </c>
      <c r="U1858" s="1">
        <v>0</v>
      </c>
      <c r="V1858" s="1" t="str">
        <f t="shared" si="349"/>
        <v>里程去程</v>
      </c>
      <c r="W1858" s="1" t="str">
        <f>"2120"</f>
        <v>2120</v>
      </c>
      <c r="X1858" s="1" t="s">
        <v>35</v>
      </c>
    </row>
    <row r="1859" spans="1:24" x14ac:dyDescent="0.3">
      <c r="A1859" s="1" t="str">
        <f t="shared" si="347"/>
        <v>59820</v>
      </c>
      <c r="B1859" s="1" t="s">
        <v>53</v>
      </c>
      <c r="C1859" s="1" t="s">
        <v>54</v>
      </c>
      <c r="D1859" s="1" t="str">
        <f t="shared" si="348"/>
        <v>9803</v>
      </c>
      <c r="E1859" s="1" t="s">
        <v>32</v>
      </c>
      <c r="F1859" s="1" t="str">
        <f>"720209345"</f>
        <v>720209345</v>
      </c>
      <c r="G1859" s="1" t="s">
        <v>33</v>
      </c>
      <c r="H1859" s="1" t="str">
        <f t="shared" si="350"/>
        <v>20220909</v>
      </c>
      <c r="I1859" s="1" t="str">
        <f>"081142"</f>
        <v>081142</v>
      </c>
      <c r="J1859" s="1" t="s">
        <v>28</v>
      </c>
      <c r="K1859" s="1" t="s">
        <v>28</v>
      </c>
      <c r="L1859" s="1" t="str">
        <f t="shared" si="351"/>
        <v>20220909</v>
      </c>
      <c r="M1859" s="1" t="str">
        <f>"083038"</f>
        <v>083038</v>
      </c>
      <c r="N1859" s="1" t="s">
        <v>34</v>
      </c>
      <c r="O1859" s="1" t="s">
        <v>34</v>
      </c>
      <c r="P1859" s="1" t="s">
        <v>55</v>
      </c>
      <c r="Q1859" s="1">
        <v>25</v>
      </c>
      <c r="R1859" s="1">
        <v>25</v>
      </c>
      <c r="S1859" s="1">
        <v>0</v>
      </c>
      <c r="T1859" s="1">
        <v>0</v>
      </c>
      <c r="U1859" s="1">
        <v>0</v>
      </c>
      <c r="V1859" s="1" t="str">
        <f t="shared" si="349"/>
        <v>里程去程</v>
      </c>
      <c r="W1859" s="1" t="str">
        <f>"1420"</f>
        <v>1420</v>
      </c>
      <c r="X1859" s="1" t="s">
        <v>35</v>
      </c>
    </row>
    <row r="1860" spans="1:24" x14ac:dyDescent="0.3">
      <c r="A1860" s="1" t="str">
        <f t="shared" si="347"/>
        <v>59820</v>
      </c>
      <c r="B1860" s="1" t="s">
        <v>53</v>
      </c>
      <c r="C1860" s="1" t="s">
        <v>54</v>
      </c>
      <c r="D1860" s="1" t="str">
        <f t="shared" si="348"/>
        <v>9803</v>
      </c>
      <c r="E1860" s="1" t="s">
        <v>32</v>
      </c>
      <c r="F1860" s="1" t="str">
        <f>"1227777873"</f>
        <v>1227777873</v>
      </c>
      <c r="G1860" s="1" t="s">
        <v>33</v>
      </c>
      <c r="H1860" s="1" t="str">
        <f t="shared" si="350"/>
        <v>20220909</v>
      </c>
      <c r="I1860" s="1" t="str">
        <f>"081154"</f>
        <v>081154</v>
      </c>
      <c r="J1860" s="1" t="s">
        <v>28</v>
      </c>
      <c r="K1860" s="1" t="s">
        <v>28</v>
      </c>
      <c r="L1860" s="1" t="str">
        <f t="shared" si="351"/>
        <v>20220909</v>
      </c>
      <c r="M1860" s="1" t="str">
        <f>"083036"</f>
        <v>083036</v>
      </c>
      <c r="N1860" s="1" t="s">
        <v>34</v>
      </c>
      <c r="O1860" s="1" t="s">
        <v>34</v>
      </c>
      <c r="P1860" s="1" t="s">
        <v>55</v>
      </c>
      <c r="Q1860" s="1">
        <v>25</v>
      </c>
      <c r="R1860" s="1">
        <v>25</v>
      </c>
      <c r="S1860" s="1">
        <v>0</v>
      </c>
      <c r="T1860" s="1">
        <v>0</v>
      </c>
      <c r="U1860" s="1">
        <v>0</v>
      </c>
      <c r="V1860" s="1" t="str">
        <f t="shared" si="349"/>
        <v>里程去程</v>
      </c>
      <c r="W1860" s="1" t="str">
        <f>"0120"</f>
        <v>0120</v>
      </c>
      <c r="X1860" s="1" t="s">
        <v>35</v>
      </c>
    </row>
    <row r="1861" spans="1:24" x14ac:dyDescent="0.3">
      <c r="A1861" s="1" t="str">
        <f t="shared" si="347"/>
        <v>59820</v>
      </c>
      <c r="B1861" s="1" t="s">
        <v>53</v>
      </c>
      <c r="C1861" s="1" t="s">
        <v>54</v>
      </c>
      <c r="D1861" s="1" t="str">
        <f t="shared" si="348"/>
        <v>9803</v>
      </c>
      <c r="E1861" s="1" t="s">
        <v>32</v>
      </c>
      <c r="F1861" s="1" t="str">
        <f>"3493053735"</f>
        <v>3493053735</v>
      </c>
      <c r="G1861" s="1" t="s">
        <v>33</v>
      </c>
      <c r="H1861" s="1" t="str">
        <f t="shared" si="350"/>
        <v>20220909</v>
      </c>
      <c r="I1861" s="1" t="str">
        <f>"081159"</f>
        <v>081159</v>
      </c>
      <c r="J1861" s="1" t="s">
        <v>28</v>
      </c>
      <c r="K1861" s="1" t="s">
        <v>28</v>
      </c>
      <c r="L1861" s="1" t="str">
        <f t="shared" si="351"/>
        <v>20220909</v>
      </c>
      <c r="M1861" s="1" t="str">
        <f>"083033"</f>
        <v>083033</v>
      </c>
      <c r="N1861" s="1" t="s">
        <v>34</v>
      </c>
      <c r="O1861" s="1" t="s">
        <v>34</v>
      </c>
      <c r="P1861" s="1" t="s">
        <v>55</v>
      </c>
      <c r="Q1861" s="1">
        <v>25</v>
      </c>
      <c r="R1861" s="1">
        <v>25</v>
      </c>
      <c r="S1861" s="1">
        <v>0</v>
      </c>
      <c r="T1861" s="1">
        <v>0</v>
      </c>
      <c r="U1861" s="1">
        <v>0</v>
      </c>
      <c r="V1861" s="1" t="str">
        <f t="shared" si="349"/>
        <v>里程去程</v>
      </c>
      <c r="W1861" s="1" t="str">
        <f>"0120"</f>
        <v>0120</v>
      </c>
      <c r="X1861" s="1" t="s">
        <v>35</v>
      </c>
    </row>
    <row r="1862" spans="1:24" x14ac:dyDescent="0.3">
      <c r="A1862" s="1" t="str">
        <f t="shared" si="347"/>
        <v>59820</v>
      </c>
      <c r="B1862" s="1" t="s">
        <v>53</v>
      </c>
      <c r="C1862" s="1" t="s">
        <v>54</v>
      </c>
      <c r="D1862" s="1" t="str">
        <f t="shared" si="348"/>
        <v>9803</v>
      </c>
      <c r="E1862" s="1" t="s">
        <v>32</v>
      </c>
      <c r="F1862" s="1" t="str">
        <f>"1011566709"</f>
        <v>1011566709</v>
      </c>
      <c r="G1862" s="1" t="s">
        <v>38</v>
      </c>
      <c r="H1862" s="1" t="str">
        <f t="shared" si="350"/>
        <v>20220909</v>
      </c>
      <c r="I1862" s="1" t="str">
        <f>"081205"</f>
        <v>081205</v>
      </c>
      <c r="J1862" s="1" t="s">
        <v>28</v>
      </c>
      <c r="K1862" s="1" t="s">
        <v>28</v>
      </c>
      <c r="L1862" s="1" t="str">
        <f t="shared" si="351"/>
        <v>20220909</v>
      </c>
      <c r="M1862" s="1" t="str">
        <f>"083024"</f>
        <v>083024</v>
      </c>
      <c r="N1862" s="1" t="s">
        <v>34</v>
      </c>
      <c r="O1862" s="1" t="s">
        <v>34</v>
      </c>
      <c r="P1862" s="1" t="s">
        <v>55</v>
      </c>
      <c r="Q1862" s="1">
        <v>25</v>
      </c>
      <c r="R1862" s="1">
        <v>25</v>
      </c>
      <c r="S1862" s="1">
        <v>0</v>
      </c>
      <c r="T1862" s="1">
        <v>0</v>
      </c>
      <c r="U1862" s="1">
        <v>0</v>
      </c>
      <c r="V1862" s="1" t="str">
        <f t="shared" si="349"/>
        <v>里程去程</v>
      </c>
      <c r="W1862" s="1" t="str">
        <f>"0220"</f>
        <v>0220</v>
      </c>
      <c r="X1862" s="1" t="s">
        <v>35</v>
      </c>
    </row>
    <row r="1863" spans="1:24" x14ac:dyDescent="0.3">
      <c r="A1863" s="1" t="str">
        <f t="shared" si="347"/>
        <v>59820</v>
      </c>
      <c r="B1863" s="1" t="s">
        <v>53</v>
      </c>
      <c r="C1863" s="1" t="s">
        <v>54</v>
      </c>
      <c r="D1863" s="1" t="str">
        <f t="shared" si="348"/>
        <v>9803</v>
      </c>
      <c r="E1863" s="1" t="s">
        <v>32</v>
      </c>
      <c r="F1863" s="1" t="str">
        <f>"429023777"</f>
        <v>429023777</v>
      </c>
      <c r="G1863" s="1" t="s">
        <v>33</v>
      </c>
      <c r="H1863" s="1" t="str">
        <f t="shared" si="350"/>
        <v>20220909</v>
      </c>
      <c r="I1863" s="1" t="str">
        <f>"081209"</f>
        <v>081209</v>
      </c>
      <c r="J1863" s="1" t="s">
        <v>28</v>
      </c>
      <c r="K1863" s="1" t="s">
        <v>28</v>
      </c>
      <c r="L1863" s="1" t="str">
        <f t="shared" si="351"/>
        <v>20220909</v>
      </c>
      <c r="M1863" s="1" t="str">
        <f>"083019"</f>
        <v>083019</v>
      </c>
      <c r="N1863" s="1" t="s">
        <v>34</v>
      </c>
      <c r="O1863" s="1" t="s">
        <v>34</v>
      </c>
      <c r="P1863" s="1" t="s">
        <v>55</v>
      </c>
      <c r="Q1863" s="1">
        <v>25</v>
      </c>
      <c r="R1863" s="1">
        <v>25</v>
      </c>
      <c r="S1863" s="1">
        <v>0</v>
      </c>
      <c r="T1863" s="1">
        <v>0</v>
      </c>
      <c r="U1863" s="1">
        <v>0</v>
      </c>
      <c r="V1863" s="1" t="str">
        <f t="shared" si="349"/>
        <v>里程去程</v>
      </c>
      <c r="W1863" s="1" t="str">
        <f>"0320"</f>
        <v>0320</v>
      </c>
      <c r="X1863" s="1" t="s">
        <v>35</v>
      </c>
    </row>
    <row r="1864" spans="1:24" x14ac:dyDescent="0.3">
      <c r="A1864" s="1" t="str">
        <f t="shared" si="347"/>
        <v>59820</v>
      </c>
      <c r="B1864" s="1" t="s">
        <v>53</v>
      </c>
      <c r="C1864" s="1" t="s">
        <v>54</v>
      </c>
      <c r="D1864" s="1" t="str">
        <f t="shared" si="348"/>
        <v>9803</v>
      </c>
      <c r="E1864" s="1" t="s">
        <v>32</v>
      </c>
      <c r="F1864" s="1" t="str">
        <f>"724AA11881880400C819002000000019"</f>
        <v>724AA11881880400C819002000000019</v>
      </c>
      <c r="G1864" s="1" t="s">
        <v>59</v>
      </c>
      <c r="H1864" s="1" t="str">
        <f t="shared" si="350"/>
        <v>20220909</v>
      </c>
      <c r="I1864" s="1" t="str">
        <f>"081213"</f>
        <v>081213</v>
      </c>
      <c r="J1864" s="1" t="s">
        <v>28</v>
      </c>
      <c r="K1864" s="1" t="s">
        <v>28</v>
      </c>
      <c r="L1864" s="1" t="str">
        <f t="shared" si="351"/>
        <v>20220909</v>
      </c>
      <c r="M1864" s="1" t="str">
        <f>"083109"</f>
        <v>083109</v>
      </c>
      <c r="N1864" s="1" t="s">
        <v>34</v>
      </c>
      <c r="O1864" s="1" t="s">
        <v>34</v>
      </c>
      <c r="P1864" s="1" t="s">
        <v>55</v>
      </c>
      <c r="Q1864" s="1">
        <v>25</v>
      </c>
      <c r="R1864" s="1">
        <v>25</v>
      </c>
      <c r="S1864" s="1">
        <v>0</v>
      </c>
      <c r="T1864" s="1">
        <v>0</v>
      </c>
      <c r="U1864" s="1">
        <v>0</v>
      </c>
      <c r="V1864" s="1" t="str">
        <f t="shared" si="349"/>
        <v>里程去程</v>
      </c>
      <c r="W1864" s="1" t="str">
        <f>"0020"</f>
        <v>0020</v>
      </c>
      <c r="X1864" s="1" t="s">
        <v>29</v>
      </c>
    </row>
    <row r="1865" spans="1:24" x14ac:dyDescent="0.3">
      <c r="A1865" s="1" t="str">
        <f t="shared" si="347"/>
        <v>59820</v>
      </c>
      <c r="B1865" s="1" t="s">
        <v>53</v>
      </c>
      <c r="C1865" s="1" t="s">
        <v>54</v>
      </c>
      <c r="D1865" s="1" t="str">
        <f t="shared" si="348"/>
        <v>9803</v>
      </c>
      <c r="E1865" s="1" t="s">
        <v>32</v>
      </c>
      <c r="F1865" s="1" t="str">
        <f>"926ADE193F880400C824002000000020"</f>
        <v>926ADE193F880400C824002000000020</v>
      </c>
      <c r="G1865" s="1" t="s">
        <v>58</v>
      </c>
      <c r="H1865" s="1" t="str">
        <f t="shared" si="350"/>
        <v>20220909</v>
      </c>
      <c r="I1865" s="1" t="str">
        <f>"081218"</f>
        <v>081218</v>
      </c>
      <c r="J1865" s="1" t="s">
        <v>28</v>
      </c>
      <c r="K1865" s="1" t="s">
        <v>28</v>
      </c>
      <c r="L1865" s="1" t="str">
        <f t="shared" si="351"/>
        <v>20220909</v>
      </c>
      <c r="M1865" s="1" t="str">
        <f>"083105"</f>
        <v>083105</v>
      </c>
      <c r="N1865" s="1" t="s">
        <v>34</v>
      </c>
      <c r="O1865" s="1" t="s">
        <v>34</v>
      </c>
      <c r="P1865" s="1" t="s">
        <v>55</v>
      </c>
      <c r="Q1865" s="1">
        <v>25</v>
      </c>
      <c r="R1865" s="1">
        <v>25</v>
      </c>
      <c r="S1865" s="1">
        <v>0</v>
      </c>
      <c r="T1865" s="1">
        <v>0</v>
      </c>
      <c r="U1865" s="1">
        <v>0</v>
      </c>
      <c r="V1865" s="1" t="str">
        <f t="shared" si="349"/>
        <v>里程去程</v>
      </c>
      <c r="W1865" s="1" t="str">
        <f>"0020"</f>
        <v>0020</v>
      </c>
      <c r="X1865" s="1" t="s">
        <v>29</v>
      </c>
    </row>
    <row r="1866" spans="1:24" x14ac:dyDescent="0.3">
      <c r="A1866" s="1" t="str">
        <f t="shared" ref="A1866:A1902" si="352">"59820"</f>
        <v>59820</v>
      </c>
      <c r="B1866" s="1" t="s">
        <v>53</v>
      </c>
      <c r="C1866" s="1" t="s">
        <v>54</v>
      </c>
      <c r="D1866" s="1" t="str">
        <f t="shared" si="348"/>
        <v>9803</v>
      </c>
      <c r="E1866" s="1" t="s">
        <v>32</v>
      </c>
      <c r="F1866" s="1" t="str">
        <f>"D2F98418B7880400C819002000000019"</f>
        <v>D2F98418B7880400C819002000000019</v>
      </c>
      <c r="G1866" s="1" t="s">
        <v>59</v>
      </c>
      <c r="H1866" s="1" t="str">
        <f t="shared" si="350"/>
        <v>20220909</v>
      </c>
      <c r="I1866" s="1" t="str">
        <f>"081223"</f>
        <v>081223</v>
      </c>
      <c r="J1866" s="1" t="s">
        <v>28</v>
      </c>
      <c r="K1866" s="1" t="s">
        <v>28</v>
      </c>
      <c r="L1866" s="1" t="str">
        <f t="shared" si="351"/>
        <v>20220909</v>
      </c>
      <c r="M1866" s="1" t="str">
        <f>"083030"</f>
        <v>083030</v>
      </c>
      <c r="N1866" s="1" t="s">
        <v>34</v>
      </c>
      <c r="O1866" s="1" t="s">
        <v>34</v>
      </c>
      <c r="P1866" s="1" t="s">
        <v>55</v>
      </c>
      <c r="Q1866" s="1">
        <v>25</v>
      </c>
      <c r="R1866" s="1">
        <v>25</v>
      </c>
      <c r="S1866" s="1">
        <v>0</v>
      </c>
      <c r="T1866" s="1">
        <v>0</v>
      </c>
      <c r="U1866" s="1">
        <v>0</v>
      </c>
      <c r="V1866" s="1" t="str">
        <f t="shared" si="349"/>
        <v>里程去程</v>
      </c>
      <c r="W1866" s="1" t="str">
        <f>"0020"</f>
        <v>0020</v>
      </c>
      <c r="X1866" s="1" t="s">
        <v>29</v>
      </c>
    </row>
    <row r="1867" spans="1:24" x14ac:dyDescent="0.3">
      <c r="A1867" s="1" t="str">
        <f t="shared" si="352"/>
        <v>59820</v>
      </c>
      <c r="B1867" s="1" t="s">
        <v>53</v>
      </c>
      <c r="C1867" s="1" t="s">
        <v>54</v>
      </c>
      <c r="D1867" s="1" t="str">
        <f t="shared" si="348"/>
        <v>9803</v>
      </c>
      <c r="E1867" s="1" t="s">
        <v>32</v>
      </c>
      <c r="F1867" s="1" t="str">
        <f>"654342757"</f>
        <v>654342757</v>
      </c>
      <c r="G1867" s="1" t="s">
        <v>33</v>
      </c>
      <c r="H1867" s="1" t="str">
        <f t="shared" si="350"/>
        <v>20220909</v>
      </c>
      <c r="I1867" s="1" t="str">
        <f>"081228"</f>
        <v>081228</v>
      </c>
      <c r="J1867" s="1" t="s">
        <v>28</v>
      </c>
      <c r="K1867" s="1" t="s">
        <v>28</v>
      </c>
      <c r="L1867" s="1" t="str">
        <f t="shared" si="351"/>
        <v>20220909</v>
      </c>
      <c r="M1867" s="1" t="str">
        <f>"083016"</f>
        <v>083016</v>
      </c>
      <c r="N1867" s="1" t="s">
        <v>34</v>
      </c>
      <c r="O1867" s="1" t="s">
        <v>34</v>
      </c>
      <c r="P1867" s="1" t="s">
        <v>55</v>
      </c>
      <c r="Q1867" s="1">
        <v>25</v>
      </c>
      <c r="R1867" s="1">
        <v>25</v>
      </c>
      <c r="S1867" s="1">
        <v>0</v>
      </c>
      <c r="T1867" s="1">
        <v>0</v>
      </c>
      <c r="U1867" s="1">
        <v>0</v>
      </c>
      <c r="V1867" s="1" t="str">
        <f t="shared" si="349"/>
        <v>里程去程</v>
      </c>
      <c r="W1867" s="1" t="str">
        <f>"1420"</f>
        <v>1420</v>
      </c>
      <c r="X1867" s="1" t="s">
        <v>35</v>
      </c>
    </row>
    <row r="1868" spans="1:24" x14ac:dyDescent="0.3">
      <c r="A1868" s="1" t="str">
        <f t="shared" si="352"/>
        <v>59820</v>
      </c>
      <c r="B1868" s="1" t="s">
        <v>53</v>
      </c>
      <c r="C1868" s="1" t="s">
        <v>54</v>
      </c>
      <c r="D1868" s="1" t="str">
        <f t="shared" si="348"/>
        <v>9803</v>
      </c>
      <c r="E1868" s="1" t="s">
        <v>32</v>
      </c>
      <c r="F1868" s="1" t="str">
        <f>"3579373032"</f>
        <v>3579373032</v>
      </c>
      <c r="G1868" s="1" t="s">
        <v>33</v>
      </c>
      <c r="H1868" s="1" t="str">
        <f t="shared" si="350"/>
        <v>20220909</v>
      </c>
      <c r="I1868" s="1" t="str">
        <f>"094654"</f>
        <v>094654</v>
      </c>
      <c r="J1868" s="1" t="s">
        <v>28</v>
      </c>
      <c r="K1868" s="1" t="s">
        <v>28</v>
      </c>
      <c r="L1868" s="1" t="str">
        <f t="shared" si="351"/>
        <v>20220909</v>
      </c>
      <c r="M1868" s="1" t="str">
        <f>"100752"</f>
        <v>100752</v>
      </c>
      <c r="N1868" s="1" t="s">
        <v>34</v>
      </c>
      <c r="O1868" s="1" t="s">
        <v>34</v>
      </c>
      <c r="P1868" s="1" t="s">
        <v>55</v>
      </c>
      <c r="Q1868" s="1">
        <v>25</v>
      </c>
      <c r="R1868" s="1">
        <v>0</v>
      </c>
      <c r="S1868" s="1">
        <v>25</v>
      </c>
      <c r="T1868" s="1">
        <v>0</v>
      </c>
      <c r="U1868" s="1">
        <v>0</v>
      </c>
      <c r="V1868" s="1" t="str">
        <f t="shared" si="349"/>
        <v>里程去程</v>
      </c>
      <c r="W1868" s="1" t="str">
        <f>"0820"</f>
        <v>0820</v>
      </c>
      <c r="X1868" s="1" t="s">
        <v>35</v>
      </c>
    </row>
    <row r="1869" spans="1:24" x14ac:dyDescent="0.3">
      <c r="A1869" s="1" t="str">
        <f t="shared" si="352"/>
        <v>59820</v>
      </c>
      <c r="B1869" s="1" t="s">
        <v>53</v>
      </c>
      <c r="C1869" s="1" t="s">
        <v>54</v>
      </c>
      <c r="D1869" s="1" t="str">
        <f t="shared" si="348"/>
        <v>9803</v>
      </c>
      <c r="E1869" s="1" t="s">
        <v>32</v>
      </c>
      <c r="F1869" s="1" t="str">
        <f>"1587036449"</f>
        <v>1587036449</v>
      </c>
      <c r="G1869" s="1" t="s">
        <v>33</v>
      </c>
      <c r="H1869" s="1" t="str">
        <f t="shared" si="350"/>
        <v>20220909</v>
      </c>
      <c r="I1869" s="1" t="str">
        <f>"094716"</f>
        <v>094716</v>
      </c>
      <c r="J1869" s="1" t="s">
        <v>28</v>
      </c>
      <c r="K1869" s="1" t="s">
        <v>28</v>
      </c>
      <c r="L1869" s="1" t="str">
        <f t="shared" si="351"/>
        <v>20220909</v>
      </c>
      <c r="M1869" s="1" t="str">
        <f>"100812"</f>
        <v>100812</v>
      </c>
      <c r="N1869" s="1" t="s">
        <v>34</v>
      </c>
      <c r="O1869" s="1" t="s">
        <v>34</v>
      </c>
      <c r="P1869" s="1" t="s">
        <v>55</v>
      </c>
      <c r="Q1869" s="1">
        <v>25</v>
      </c>
      <c r="R1869" s="1">
        <v>25</v>
      </c>
      <c r="S1869" s="1">
        <v>0</v>
      </c>
      <c r="T1869" s="1">
        <v>0</v>
      </c>
      <c r="U1869" s="1">
        <v>0</v>
      </c>
      <c r="V1869" s="1" t="str">
        <f t="shared" si="349"/>
        <v>里程去程</v>
      </c>
      <c r="W1869" s="1" t="str">
        <f>"1c20"</f>
        <v>1c20</v>
      </c>
      <c r="X1869" s="1" t="s">
        <v>35</v>
      </c>
    </row>
    <row r="1870" spans="1:24" x14ac:dyDescent="0.3">
      <c r="A1870" s="1" t="str">
        <f t="shared" si="352"/>
        <v>59820</v>
      </c>
      <c r="B1870" s="1" t="s">
        <v>53</v>
      </c>
      <c r="C1870" s="1" t="s">
        <v>54</v>
      </c>
      <c r="D1870" s="1" t="str">
        <f t="shared" si="348"/>
        <v>9803</v>
      </c>
      <c r="E1870" s="1" t="s">
        <v>32</v>
      </c>
      <c r="F1870" s="1" t="str">
        <f>"123283717"</f>
        <v>123283717</v>
      </c>
      <c r="G1870" s="1" t="s">
        <v>33</v>
      </c>
      <c r="H1870" s="1" t="str">
        <f t="shared" si="350"/>
        <v>20220909</v>
      </c>
      <c r="I1870" s="1" t="str">
        <f>"094728"</f>
        <v>094728</v>
      </c>
      <c r="J1870" s="1" t="s">
        <v>28</v>
      </c>
      <c r="K1870" s="1" t="s">
        <v>28</v>
      </c>
      <c r="L1870" s="1" t="str">
        <f t="shared" si="351"/>
        <v>20220909</v>
      </c>
      <c r="M1870" s="1" t="str">
        <f>"100717"</f>
        <v>100717</v>
      </c>
      <c r="N1870" s="1" t="s">
        <v>34</v>
      </c>
      <c r="O1870" s="1" t="s">
        <v>34</v>
      </c>
      <c r="P1870" s="1" t="s">
        <v>55</v>
      </c>
      <c r="Q1870" s="1">
        <v>25</v>
      </c>
      <c r="R1870" s="1">
        <v>25</v>
      </c>
      <c r="S1870" s="1">
        <v>0</v>
      </c>
      <c r="T1870" s="1">
        <v>0</v>
      </c>
      <c r="U1870" s="1">
        <v>0</v>
      </c>
      <c r="V1870" s="1" t="str">
        <f t="shared" si="349"/>
        <v>里程去程</v>
      </c>
      <c r="W1870" s="1" t="str">
        <f>"0120"</f>
        <v>0120</v>
      </c>
      <c r="X1870" s="1" t="s">
        <v>35</v>
      </c>
    </row>
    <row r="1871" spans="1:24" x14ac:dyDescent="0.3">
      <c r="A1871" s="1" t="str">
        <f t="shared" si="352"/>
        <v>59820</v>
      </c>
      <c r="B1871" s="1" t="s">
        <v>53</v>
      </c>
      <c r="C1871" s="1" t="s">
        <v>54</v>
      </c>
      <c r="D1871" s="1" t="str">
        <f t="shared" si="348"/>
        <v>9803</v>
      </c>
      <c r="E1871" s="1" t="s">
        <v>32</v>
      </c>
      <c r="F1871" s="1" t="str">
        <f>"728202449"</f>
        <v>728202449</v>
      </c>
      <c r="G1871" s="1" t="s">
        <v>33</v>
      </c>
      <c r="H1871" s="1" t="str">
        <f t="shared" si="350"/>
        <v>20220909</v>
      </c>
      <c r="I1871" s="1" t="str">
        <f>"094736"</f>
        <v>094736</v>
      </c>
      <c r="J1871" s="1" t="s">
        <v>28</v>
      </c>
      <c r="K1871" s="1" t="s">
        <v>28</v>
      </c>
      <c r="L1871" s="1" t="str">
        <f t="shared" si="351"/>
        <v>20220909</v>
      </c>
      <c r="M1871" s="1" t="str">
        <f>"100709"</f>
        <v>100709</v>
      </c>
      <c r="N1871" s="1" t="s">
        <v>34</v>
      </c>
      <c r="O1871" s="1" t="s">
        <v>34</v>
      </c>
      <c r="P1871" s="1" t="s">
        <v>55</v>
      </c>
      <c r="Q1871" s="1">
        <v>25</v>
      </c>
      <c r="R1871" s="1">
        <v>25</v>
      </c>
      <c r="S1871" s="1">
        <v>0</v>
      </c>
      <c r="T1871" s="1">
        <v>0</v>
      </c>
      <c r="U1871" s="1">
        <v>0</v>
      </c>
      <c r="V1871" s="1" t="str">
        <f t="shared" si="349"/>
        <v>里程去程</v>
      </c>
      <c r="W1871" s="1" t="str">
        <f>"0120"</f>
        <v>0120</v>
      </c>
      <c r="X1871" s="1" t="s">
        <v>35</v>
      </c>
    </row>
    <row r="1872" spans="1:24" x14ac:dyDescent="0.3">
      <c r="A1872" s="1" t="str">
        <f t="shared" si="352"/>
        <v>59820</v>
      </c>
      <c r="B1872" s="1" t="s">
        <v>53</v>
      </c>
      <c r="C1872" s="1" t="s">
        <v>54</v>
      </c>
      <c r="D1872" s="1" t="str">
        <f t="shared" si="348"/>
        <v>9803</v>
      </c>
      <c r="E1872" s="1" t="s">
        <v>32</v>
      </c>
      <c r="F1872" s="1" t="str">
        <f>"1751651749"</f>
        <v>1751651749</v>
      </c>
      <c r="G1872" s="1" t="s">
        <v>33</v>
      </c>
      <c r="H1872" s="1" t="str">
        <f t="shared" si="350"/>
        <v>20220909</v>
      </c>
      <c r="I1872" s="1" t="str">
        <f>"094743"</f>
        <v>094743</v>
      </c>
      <c r="J1872" s="1" t="s">
        <v>28</v>
      </c>
      <c r="K1872" s="1" t="s">
        <v>28</v>
      </c>
      <c r="L1872" s="1" t="str">
        <f t="shared" si="351"/>
        <v>20220909</v>
      </c>
      <c r="M1872" s="1" t="str">
        <f>"100723"</f>
        <v>100723</v>
      </c>
      <c r="N1872" s="1" t="s">
        <v>34</v>
      </c>
      <c r="O1872" s="1" t="s">
        <v>34</v>
      </c>
      <c r="P1872" s="1" t="s">
        <v>55</v>
      </c>
      <c r="Q1872" s="1">
        <v>25</v>
      </c>
      <c r="R1872" s="1">
        <v>25</v>
      </c>
      <c r="S1872" s="1">
        <v>0</v>
      </c>
      <c r="T1872" s="1">
        <v>0</v>
      </c>
      <c r="U1872" s="1">
        <v>0</v>
      </c>
      <c r="V1872" s="1" t="str">
        <f t="shared" si="349"/>
        <v>里程去程</v>
      </c>
      <c r="W1872" s="1" t="str">
        <f>"0320"</f>
        <v>0320</v>
      </c>
      <c r="X1872" s="1" t="s">
        <v>35</v>
      </c>
    </row>
    <row r="1873" spans="1:24" x14ac:dyDescent="0.3">
      <c r="A1873" s="1" t="str">
        <f t="shared" si="352"/>
        <v>59820</v>
      </c>
      <c r="B1873" s="1" t="s">
        <v>53</v>
      </c>
      <c r="C1873" s="1" t="s">
        <v>54</v>
      </c>
      <c r="D1873" s="1" t="str">
        <f t="shared" si="348"/>
        <v>9803</v>
      </c>
      <c r="E1873" s="1" t="s">
        <v>32</v>
      </c>
      <c r="F1873" s="1" t="str">
        <f>"2650755752"</f>
        <v>2650755752</v>
      </c>
      <c r="G1873" s="1" t="s">
        <v>38</v>
      </c>
      <c r="H1873" s="1" t="str">
        <f t="shared" si="350"/>
        <v>20220909</v>
      </c>
      <c r="I1873" s="1" t="str">
        <f>"094751"</f>
        <v>094751</v>
      </c>
      <c r="J1873" s="1" t="s">
        <v>28</v>
      </c>
      <c r="K1873" s="1" t="s">
        <v>28</v>
      </c>
      <c r="L1873" s="1" t="str">
        <f t="shared" si="351"/>
        <v>20220909</v>
      </c>
      <c r="M1873" s="1" t="str">
        <f>"100800"</f>
        <v>100800</v>
      </c>
      <c r="N1873" s="1" t="s">
        <v>34</v>
      </c>
      <c r="O1873" s="1" t="s">
        <v>34</v>
      </c>
      <c r="P1873" s="1" t="s">
        <v>55</v>
      </c>
      <c r="Q1873" s="1">
        <v>25</v>
      </c>
      <c r="R1873" s="1">
        <v>25</v>
      </c>
      <c r="S1873" s="1">
        <v>0</v>
      </c>
      <c r="T1873" s="1">
        <v>0</v>
      </c>
      <c r="U1873" s="1">
        <v>0</v>
      </c>
      <c r="V1873" s="1" t="str">
        <f t="shared" si="349"/>
        <v>里程去程</v>
      </c>
      <c r="W1873" s="1" t="str">
        <f>"0820"</f>
        <v>0820</v>
      </c>
      <c r="X1873" s="1" t="s">
        <v>35</v>
      </c>
    </row>
    <row r="1874" spans="1:24" x14ac:dyDescent="0.3">
      <c r="A1874" s="1" t="str">
        <f t="shared" si="352"/>
        <v>59820</v>
      </c>
      <c r="B1874" s="1" t="s">
        <v>53</v>
      </c>
      <c r="C1874" s="1" t="s">
        <v>54</v>
      </c>
      <c r="D1874" s="1" t="str">
        <f t="shared" si="348"/>
        <v>9803</v>
      </c>
      <c r="E1874" s="1" t="s">
        <v>32</v>
      </c>
      <c r="F1874" s="1" t="str">
        <f>"2650760616"</f>
        <v>2650760616</v>
      </c>
      <c r="G1874" s="1" t="s">
        <v>38</v>
      </c>
      <c r="H1874" s="1" t="str">
        <f t="shared" si="350"/>
        <v>20220909</v>
      </c>
      <c r="I1874" s="1" t="str">
        <f>"094757"</f>
        <v>094757</v>
      </c>
      <c r="J1874" s="1" t="s">
        <v>28</v>
      </c>
      <c r="K1874" s="1" t="s">
        <v>28</v>
      </c>
      <c r="L1874" s="1" t="str">
        <f t="shared" si="351"/>
        <v>20220909</v>
      </c>
      <c r="M1874" s="1" t="str">
        <f>"100740"</f>
        <v>100740</v>
      </c>
      <c r="N1874" s="1" t="s">
        <v>34</v>
      </c>
      <c r="O1874" s="1" t="s">
        <v>34</v>
      </c>
      <c r="P1874" s="1" t="s">
        <v>55</v>
      </c>
      <c r="Q1874" s="1">
        <v>25</v>
      </c>
      <c r="R1874" s="1">
        <v>25</v>
      </c>
      <c r="S1874" s="1">
        <v>0</v>
      </c>
      <c r="T1874" s="1">
        <v>0</v>
      </c>
      <c r="U1874" s="1">
        <v>0</v>
      </c>
      <c r="V1874" s="1" t="str">
        <f t="shared" si="349"/>
        <v>里程去程</v>
      </c>
      <c r="W1874" s="1" t="str">
        <f>"0820"</f>
        <v>0820</v>
      </c>
      <c r="X1874" s="1" t="s">
        <v>35</v>
      </c>
    </row>
    <row r="1875" spans="1:24" x14ac:dyDescent="0.3">
      <c r="A1875" s="1" t="str">
        <f t="shared" si="352"/>
        <v>59820</v>
      </c>
      <c r="B1875" s="1" t="s">
        <v>53</v>
      </c>
      <c r="C1875" s="1" t="s">
        <v>54</v>
      </c>
      <c r="D1875" s="1" t="str">
        <f t="shared" si="348"/>
        <v>9803</v>
      </c>
      <c r="E1875" s="1" t="s">
        <v>32</v>
      </c>
      <c r="F1875" s="1" t="str">
        <f>"895234485"</f>
        <v>895234485</v>
      </c>
      <c r="G1875" s="1" t="s">
        <v>38</v>
      </c>
      <c r="H1875" s="1" t="str">
        <f t="shared" si="350"/>
        <v>20220909</v>
      </c>
      <c r="I1875" s="1" t="str">
        <f>"094807"</f>
        <v>094807</v>
      </c>
      <c r="J1875" s="1" t="s">
        <v>28</v>
      </c>
      <c r="K1875" s="1" t="s">
        <v>28</v>
      </c>
      <c r="L1875" s="1" t="str">
        <f t="shared" si="351"/>
        <v>20220909</v>
      </c>
      <c r="M1875" s="1" t="str">
        <f>"100749"</f>
        <v>100749</v>
      </c>
      <c r="N1875" s="1" t="s">
        <v>34</v>
      </c>
      <c r="O1875" s="1" t="s">
        <v>34</v>
      </c>
      <c r="P1875" s="1" t="s">
        <v>55</v>
      </c>
      <c r="Q1875" s="1">
        <v>25</v>
      </c>
      <c r="R1875" s="1">
        <v>25</v>
      </c>
      <c r="S1875" s="1">
        <v>0</v>
      </c>
      <c r="T1875" s="1">
        <v>0</v>
      </c>
      <c r="U1875" s="1">
        <v>0</v>
      </c>
      <c r="V1875" s="1" t="str">
        <f t="shared" si="349"/>
        <v>里程去程</v>
      </c>
      <c r="W1875" s="1" t="str">
        <f>"0e20"</f>
        <v>0e20</v>
      </c>
      <c r="X1875" s="1" t="s">
        <v>35</v>
      </c>
    </row>
    <row r="1876" spans="1:24" x14ac:dyDescent="0.3">
      <c r="A1876" s="1" t="str">
        <f t="shared" si="352"/>
        <v>59820</v>
      </c>
      <c r="B1876" s="1" t="s">
        <v>53</v>
      </c>
      <c r="C1876" s="1" t="s">
        <v>54</v>
      </c>
      <c r="D1876" s="1" t="str">
        <f t="shared" si="348"/>
        <v>9803</v>
      </c>
      <c r="E1876" s="1" t="s">
        <v>32</v>
      </c>
      <c r="F1876" s="1" t="str">
        <f>"846486229"</f>
        <v>846486229</v>
      </c>
      <c r="G1876" s="1" t="s">
        <v>33</v>
      </c>
      <c r="H1876" s="1" t="str">
        <f t="shared" si="350"/>
        <v>20220909</v>
      </c>
      <c r="I1876" s="1" t="str">
        <f>"094829"</f>
        <v>094829</v>
      </c>
      <c r="J1876" s="1" t="s">
        <v>28</v>
      </c>
      <c r="K1876" s="1" t="s">
        <v>28</v>
      </c>
      <c r="L1876" s="1" t="str">
        <f t="shared" si="351"/>
        <v>20220909</v>
      </c>
      <c r="M1876" s="1" t="str">
        <f>"100732"</f>
        <v>100732</v>
      </c>
      <c r="N1876" s="1" t="s">
        <v>34</v>
      </c>
      <c r="O1876" s="1" t="s">
        <v>34</v>
      </c>
      <c r="P1876" s="1" t="s">
        <v>55</v>
      </c>
      <c r="Q1876" s="1">
        <v>25</v>
      </c>
      <c r="R1876" s="1">
        <v>25</v>
      </c>
      <c r="S1876" s="1">
        <v>0</v>
      </c>
      <c r="T1876" s="1">
        <v>0</v>
      </c>
      <c r="U1876" s="1">
        <v>0</v>
      </c>
      <c r="V1876" s="1" t="str">
        <f t="shared" si="349"/>
        <v>里程去程</v>
      </c>
      <c r="W1876" s="1" t="str">
        <f>"0320"</f>
        <v>0320</v>
      </c>
      <c r="X1876" s="1" t="s">
        <v>35</v>
      </c>
    </row>
    <row r="1877" spans="1:24" x14ac:dyDescent="0.3">
      <c r="A1877" s="1" t="str">
        <f t="shared" si="352"/>
        <v>59820</v>
      </c>
      <c r="B1877" s="1" t="s">
        <v>53</v>
      </c>
      <c r="C1877" s="1" t="s">
        <v>54</v>
      </c>
      <c r="D1877" s="1" t="str">
        <f t="shared" si="348"/>
        <v>9803</v>
      </c>
      <c r="E1877" s="1" t="s">
        <v>32</v>
      </c>
      <c r="F1877" s="1" t="str">
        <f>"895232549"</f>
        <v>895232549</v>
      </c>
      <c r="G1877" s="1" t="s">
        <v>38</v>
      </c>
      <c r="H1877" s="1" t="str">
        <f t="shared" si="350"/>
        <v>20220909</v>
      </c>
      <c r="I1877" s="1" t="str">
        <f>"094835"</f>
        <v>094835</v>
      </c>
      <c r="J1877" s="1" t="s">
        <v>28</v>
      </c>
      <c r="K1877" s="1" t="s">
        <v>28</v>
      </c>
      <c r="L1877" s="1" t="str">
        <f t="shared" si="351"/>
        <v>20220909</v>
      </c>
      <c r="M1877" s="1" t="str">
        <f>"100743"</f>
        <v>100743</v>
      </c>
      <c r="N1877" s="1" t="s">
        <v>34</v>
      </c>
      <c r="O1877" s="1" t="s">
        <v>34</v>
      </c>
      <c r="P1877" s="1" t="s">
        <v>55</v>
      </c>
      <c r="Q1877" s="1">
        <v>25</v>
      </c>
      <c r="R1877" s="1">
        <v>25</v>
      </c>
      <c r="S1877" s="1">
        <v>0</v>
      </c>
      <c r="T1877" s="1">
        <v>0</v>
      </c>
      <c r="U1877" s="1">
        <v>0</v>
      </c>
      <c r="V1877" s="1" t="str">
        <f t="shared" si="349"/>
        <v>里程去程</v>
      </c>
      <c r="W1877" s="1" t="str">
        <f>"0320"</f>
        <v>0320</v>
      </c>
      <c r="X1877" s="1" t="s">
        <v>35</v>
      </c>
    </row>
    <row r="1878" spans="1:24" x14ac:dyDescent="0.3">
      <c r="A1878" s="1" t="str">
        <f t="shared" si="352"/>
        <v>59820</v>
      </c>
      <c r="B1878" s="1" t="s">
        <v>53</v>
      </c>
      <c r="C1878" s="1" t="s">
        <v>54</v>
      </c>
      <c r="D1878" s="1" t="str">
        <f t="shared" si="348"/>
        <v>9803</v>
      </c>
      <c r="E1878" s="1" t="s">
        <v>32</v>
      </c>
      <c r="F1878" s="1" t="str">
        <f>"1034840353"</f>
        <v>1034840353</v>
      </c>
      <c r="G1878" s="1" t="s">
        <v>38</v>
      </c>
      <c r="H1878" s="1" t="str">
        <f t="shared" si="350"/>
        <v>20220909</v>
      </c>
      <c r="I1878" s="1" t="str">
        <f>"094841"</f>
        <v>094841</v>
      </c>
      <c r="J1878" s="1" t="s">
        <v>28</v>
      </c>
      <c r="K1878" s="1" t="s">
        <v>28</v>
      </c>
      <c r="L1878" s="1" t="str">
        <f t="shared" si="351"/>
        <v>20220909</v>
      </c>
      <c r="M1878" s="1" t="str">
        <f>"100747"</f>
        <v>100747</v>
      </c>
      <c r="N1878" s="1" t="s">
        <v>34</v>
      </c>
      <c r="O1878" s="1" t="s">
        <v>34</v>
      </c>
      <c r="P1878" s="1" t="s">
        <v>55</v>
      </c>
      <c r="Q1878" s="1">
        <v>25</v>
      </c>
      <c r="R1878" s="1">
        <v>25</v>
      </c>
      <c r="S1878" s="1">
        <v>0</v>
      </c>
      <c r="T1878" s="1">
        <v>0</v>
      </c>
      <c r="U1878" s="1">
        <v>0</v>
      </c>
      <c r="V1878" s="1" t="str">
        <f t="shared" si="349"/>
        <v>里程去程</v>
      </c>
      <c r="W1878" s="1" t="str">
        <f>"1620"</f>
        <v>1620</v>
      </c>
      <c r="X1878" s="1" t="s">
        <v>35</v>
      </c>
    </row>
    <row r="1879" spans="1:24" x14ac:dyDescent="0.3">
      <c r="A1879" s="1" t="str">
        <f t="shared" si="352"/>
        <v>59820</v>
      </c>
      <c r="B1879" s="1" t="s">
        <v>53</v>
      </c>
      <c r="C1879" s="1" t="s">
        <v>54</v>
      </c>
      <c r="D1879" s="1" t="str">
        <f t="shared" si="348"/>
        <v>9803</v>
      </c>
      <c r="E1879" s="1" t="s">
        <v>32</v>
      </c>
      <c r="F1879" s="1" t="str">
        <f>"C1595B2BE82804001C00000000000000"</f>
        <v>C1595B2BE82804001C00000000000000</v>
      </c>
      <c r="G1879" s="1" t="s">
        <v>58</v>
      </c>
      <c r="H1879" s="1" t="str">
        <f t="shared" si="350"/>
        <v>20220909</v>
      </c>
      <c r="I1879" s="1" t="str">
        <f>"094947"</f>
        <v>094947</v>
      </c>
      <c r="J1879" s="1" t="s">
        <v>28</v>
      </c>
      <c r="K1879" s="1" t="s">
        <v>28</v>
      </c>
      <c r="L1879" s="1" t="str">
        <f t="shared" si="351"/>
        <v>20220909</v>
      </c>
      <c r="M1879" s="1" t="str">
        <f>"100808"</f>
        <v>100808</v>
      </c>
      <c r="N1879" s="1" t="s">
        <v>34</v>
      </c>
      <c r="O1879" s="1" t="s">
        <v>34</v>
      </c>
      <c r="P1879" s="1" t="s">
        <v>55</v>
      </c>
      <c r="Q1879" s="1">
        <v>25</v>
      </c>
      <c r="R1879" s="1">
        <v>25</v>
      </c>
      <c r="S1879" s="1">
        <v>0</v>
      </c>
      <c r="T1879" s="1">
        <v>0</v>
      </c>
      <c r="U1879" s="1">
        <v>0</v>
      </c>
      <c r="V1879" s="1" t="str">
        <f t="shared" si="349"/>
        <v>里程去程</v>
      </c>
      <c r="W1879" s="1" t="str">
        <f>"0020"</f>
        <v>0020</v>
      </c>
      <c r="X1879" s="1" t="s">
        <v>29</v>
      </c>
    </row>
    <row r="1880" spans="1:24" x14ac:dyDescent="0.3">
      <c r="A1880" s="1" t="str">
        <f t="shared" si="352"/>
        <v>59820</v>
      </c>
      <c r="B1880" s="1" t="s">
        <v>53</v>
      </c>
      <c r="C1880" s="1" t="s">
        <v>54</v>
      </c>
      <c r="D1880" s="1" t="str">
        <f t="shared" si="348"/>
        <v>9803</v>
      </c>
      <c r="E1880" s="1" t="s">
        <v>32</v>
      </c>
      <c r="F1880" s="1" t="str">
        <f>"4002462365"</f>
        <v>4002462365</v>
      </c>
      <c r="G1880" s="1" t="s">
        <v>33</v>
      </c>
      <c r="H1880" s="1" t="str">
        <f t="shared" si="350"/>
        <v>20220909</v>
      </c>
      <c r="I1880" s="1" t="str">
        <f>"103707"</f>
        <v>103707</v>
      </c>
      <c r="J1880" s="1" t="s">
        <v>34</v>
      </c>
      <c r="K1880" s="1" t="s">
        <v>34</v>
      </c>
      <c r="L1880" s="1" t="str">
        <f t="shared" si="351"/>
        <v>20220909</v>
      </c>
      <c r="M1880" s="1" t="str">
        <f>"110606"</f>
        <v>110606</v>
      </c>
      <c r="N1880" s="1" t="s">
        <v>28</v>
      </c>
      <c r="O1880" s="1" t="s">
        <v>28</v>
      </c>
      <c r="P1880" s="1" t="s">
        <v>55</v>
      </c>
      <c r="Q1880" s="1">
        <v>25</v>
      </c>
      <c r="R1880" s="1">
        <v>25</v>
      </c>
      <c r="S1880" s="1">
        <v>0</v>
      </c>
      <c r="T1880" s="1">
        <v>0</v>
      </c>
      <c r="U1880" s="1">
        <v>0</v>
      </c>
      <c r="V1880" s="1" t="str">
        <f>"里程返程"</f>
        <v>里程返程</v>
      </c>
      <c r="W1880" s="1" t="str">
        <f>"0120"</f>
        <v>0120</v>
      </c>
      <c r="X1880" s="1" t="s">
        <v>35</v>
      </c>
    </row>
    <row r="1881" spans="1:24" x14ac:dyDescent="0.3">
      <c r="A1881" s="1" t="str">
        <f t="shared" si="352"/>
        <v>59820</v>
      </c>
      <c r="B1881" s="1" t="s">
        <v>53</v>
      </c>
      <c r="C1881" s="1" t="s">
        <v>54</v>
      </c>
      <c r="D1881" s="1" t="str">
        <f t="shared" si="348"/>
        <v>9803</v>
      </c>
      <c r="E1881" s="1" t="s">
        <v>32</v>
      </c>
      <c r="F1881" s="1" t="str">
        <f>"232998305"</f>
        <v>232998305</v>
      </c>
      <c r="G1881" s="1" t="s">
        <v>33</v>
      </c>
      <c r="H1881" s="1" t="str">
        <f t="shared" si="350"/>
        <v>20220909</v>
      </c>
      <c r="I1881" s="1" t="str">
        <f>"105150"</f>
        <v>105150</v>
      </c>
      <c r="J1881" s="1" t="s">
        <v>46</v>
      </c>
      <c r="K1881" s="1" t="s">
        <v>28</v>
      </c>
      <c r="L1881" s="1" t="str">
        <f t="shared" si="351"/>
        <v>20220909</v>
      </c>
      <c r="M1881" s="1" t="str">
        <f>"110615"</f>
        <v>110615</v>
      </c>
      <c r="N1881" s="1" t="s">
        <v>28</v>
      </c>
      <c r="O1881" s="1" t="s">
        <v>28</v>
      </c>
      <c r="P1881" s="1" t="s">
        <v>55</v>
      </c>
      <c r="Q1881" s="1">
        <v>25</v>
      </c>
      <c r="R1881" s="1">
        <v>0</v>
      </c>
      <c r="S1881" s="1">
        <v>25</v>
      </c>
      <c r="T1881" s="1">
        <v>0</v>
      </c>
      <c r="U1881" s="1">
        <v>0</v>
      </c>
      <c r="V1881" s="1" t="str">
        <f>"里程返程"</f>
        <v>里程返程</v>
      </c>
      <c r="W1881" s="1" t="str">
        <f>"2020"</f>
        <v>2020</v>
      </c>
      <c r="X1881" s="1" t="s">
        <v>35</v>
      </c>
    </row>
    <row r="1882" spans="1:24" x14ac:dyDescent="0.3">
      <c r="A1882" s="1" t="str">
        <f t="shared" si="352"/>
        <v>59820</v>
      </c>
      <c r="B1882" s="1" t="s">
        <v>53</v>
      </c>
      <c r="C1882" s="1" t="s">
        <v>54</v>
      </c>
      <c r="D1882" s="1" t="str">
        <f t="shared" ref="D1882:D1889" si="353">"9805"</f>
        <v>9805</v>
      </c>
      <c r="E1882" s="1" t="s">
        <v>57</v>
      </c>
      <c r="F1882" s="1" t="str">
        <f>"639679919"</f>
        <v>639679919</v>
      </c>
      <c r="G1882" s="1" t="s">
        <v>33</v>
      </c>
      <c r="H1882" s="1" t="str">
        <f t="shared" si="350"/>
        <v>20220909</v>
      </c>
      <c r="I1882" s="1" t="str">
        <f>"120707"</f>
        <v>120707</v>
      </c>
      <c r="J1882" s="1" t="s">
        <v>28</v>
      </c>
      <c r="K1882" s="1" t="s">
        <v>28</v>
      </c>
      <c r="L1882" s="1" t="str">
        <f t="shared" si="351"/>
        <v>20220909</v>
      </c>
      <c r="M1882" s="1" t="str">
        <f>"122700"</f>
        <v>122700</v>
      </c>
      <c r="N1882" s="1" t="s">
        <v>52</v>
      </c>
      <c r="O1882" s="1" t="s">
        <v>52</v>
      </c>
      <c r="P1882" s="1" t="s">
        <v>55</v>
      </c>
      <c r="Q1882" s="1">
        <v>25</v>
      </c>
      <c r="R1882" s="1">
        <v>25</v>
      </c>
      <c r="S1882" s="1">
        <v>0</v>
      </c>
      <c r="T1882" s="1">
        <v>0</v>
      </c>
      <c r="U1882" s="1">
        <v>0</v>
      </c>
      <c r="V1882" s="1" t="str">
        <f t="shared" ref="V1882:V1892" si="354">"里程去程"</f>
        <v>里程去程</v>
      </c>
      <c r="W1882" s="1" t="str">
        <f>"0320"</f>
        <v>0320</v>
      </c>
      <c r="X1882" s="1" t="s">
        <v>35</v>
      </c>
    </row>
    <row r="1883" spans="1:24" x14ac:dyDescent="0.3">
      <c r="A1883" s="1" t="str">
        <f t="shared" si="352"/>
        <v>59820</v>
      </c>
      <c r="B1883" s="1" t="s">
        <v>53</v>
      </c>
      <c r="C1883" s="1" t="s">
        <v>54</v>
      </c>
      <c r="D1883" s="1" t="str">
        <f t="shared" si="353"/>
        <v>9805</v>
      </c>
      <c r="E1883" s="1" t="s">
        <v>57</v>
      </c>
      <c r="F1883" s="1" t="str">
        <f>"5AF4A0818F880400C185149965804512"</f>
        <v>5AF4A0818F880400C185149965804512</v>
      </c>
      <c r="G1883" s="1" t="s">
        <v>58</v>
      </c>
      <c r="H1883" s="1" t="str">
        <f t="shared" si="350"/>
        <v>20220909</v>
      </c>
      <c r="I1883" s="1" t="str">
        <f>"120714"</f>
        <v>120714</v>
      </c>
      <c r="J1883" s="1" t="s">
        <v>28</v>
      </c>
      <c r="K1883" s="1" t="s">
        <v>28</v>
      </c>
      <c r="L1883" s="1" t="str">
        <f t="shared" si="351"/>
        <v>20220909</v>
      </c>
      <c r="M1883" s="1" t="str">
        <f>"122652"</f>
        <v>122652</v>
      </c>
      <c r="N1883" s="1" t="s">
        <v>52</v>
      </c>
      <c r="O1883" s="1" t="s">
        <v>52</v>
      </c>
      <c r="P1883" s="1" t="s">
        <v>55</v>
      </c>
      <c r="Q1883" s="1">
        <v>25</v>
      </c>
      <c r="R1883" s="1">
        <v>25</v>
      </c>
      <c r="S1883" s="1">
        <v>0</v>
      </c>
      <c r="T1883" s="1">
        <v>0</v>
      </c>
      <c r="U1883" s="1">
        <v>0</v>
      </c>
      <c r="V1883" s="1" t="str">
        <f t="shared" si="354"/>
        <v>里程去程</v>
      </c>
      <c r="W1883" s="1" t="str">
        <f>"0020"</f>
        <v>0020</v>
      </c>
      <c r="X1883" s="1" t="s">
        <v>29</v>
      </c>
    </row>
    <row r="1884" spans="1:24" x14ac:dyDescent="0.3">
      <c r="A1884" s="1" t="str">
        <f t="shared" si="352"/>
        <v>59820</v>
      </c>
      <c r="B1884" s="1" t="s">
        <v>53</v>
      </c>
      <c r="C1884" s="1" t="s">
        <v>54</v>
      </c>
      <c r="D1884" s="1" t="str">
        <f t="shared" si="353"/>
        <v>9805</v>
      </c>
      <c r="E1884" s="1" t="s">
        <v>57</v>
      </c>
      <c r="F1884" s="1" t="str">
        <f>"B3D83BE3B388040048BA145049901210"</f>
        <v>B3D83BE3B388040048BA145049901210</v>
      </c>
      <c r="G1884" s="1" t="s">
        <v>64</v>
      </c>
      <c r="H1884" s="1" t="str">
        <f t="shared" si="350"/>
        <v>20220909</v>
      </c>
      <c r="I1884" s="1" t="str">
        <f>"120717"</f>
        <v>120717</v>
      </c>
      <c r="J1884" s="1" t="s">
        <v>28</v>
      </c>
      <c r="K1884" s="1" t="s">
        <v>28</v>
      </c>
      <c r="L1884" s="1" t="str">
        <f t="shared" si="351"/>
        <v>20220909</v>
      </c>
      <c r="M1884" s="1" t="str">
        <f>"122637"</f>
        <v>122637</v>
      </c>
      <c r="N1884" s="1" t="s">
        <v>52</v>
      </c>
      <c r="O1884" s="1" t="s">
        <v>52</v>
      </c>
      <c r="P1884" s="1" t="s">
        <v>55</v>
      </c>
      <c r="Q1884" s="1">
        <v>13</v>
      </c>
      <c r="R1884" s="1">
        <v>13</v>
      </c>
      <c r="S1884" s="1">
        <v>0</v>
      </c>
      <c r="T1884" s="1">
        <v>0</v>
      </c>
      <c r="U1884" s="1">
        <v>0</v>
      </c>
      <c r="V1884" s="1" t="str">
        <f t="shared" si="354"/>
        <v>里程去程</v>
      </c>
      <c r="W1884" s="1" t="str">
        <f>"0020"</f>
        <v>0020</v>
      </c>
      <c r="X1884" s="1" t="s">
        <v>29</v>
      </c>
    </row>
    <row r="1885" spans="1:24" x14ac:dyDescent="0.3">
      <c r="A1885" s="1" t="str">
        <f t="shared" si="352"/>
        <v>59820</v>
      </c>
      <c r="B1885" s="1" t="s">
        <v>53</v>
      </c>
      <c r="C1885" s="1" t="s">
        <v>54</v>
      </c>
      <c r="D1885" s="1" t="str">
        <f t="shared" si="353"/>
        <v>9805</v>
      </c>
      <c r="E1885" s="1" t="s">
        <v>57</v>
      </c>
      <c r="F1885" s="1" t="str">
        <f>"ECE6F4619F8804004759749855403807"</f>
        <v>ECE6F4619F8804004759749855403807</v>
      </c>
      <c r="G1885" s="1" t="s">
        <v>58</v>
      </c>
      <c r="H1885" s="1" t="str">
        <f t="shared" si="350"/>
        <v>20220909</v>
      </c>
      <c r="I1885" s="1" t="str">
        <f>"120729"</f>
        <v>120729</v>
      </c>
      <c r="J1885" s="1" t="s">
        <v>28</v>
      </c>
      <c r="K1885" s="1" t="s">
        <v>28</v>
      </c>
      <c r="L1885" s="1" t="str">
        <f t="shared" si="351"/>
        <v>20220909</v>
      </c>
      <c r="M1885" s="1" t="str">
        <f>"122655"</f>
        <v>122655</v>
      </c>
      <c r="N1885" s="1" t="s">
        <v>52</v>
      </c>
      <c r="O1885" s="1" t="s">
        <v>52</v>
      </c>
      <c r="P1885" s="1" t="s">
        <v>55</v>
      </c>
      <c r="Q1885" s="1">
        <v>25</v>
      </c>
      <c r="R1885" s="1">
        <v>25</v>
      </c>
      <c r="S1885" s="1">
        <v>0</v>
      </c>
      <c r="T1885" s="1">
        <v>0</v>
      </c>
      <c r="U1885" s="1">
        <v>0</v>
      </c>
      <c r="V1885" s="1" t="str">
        <f t="shared" si="354"/>
        <v>里程去程</v>
      </c>
      <c r="W1885" s="1" t="str">
        <f>"0020"</f>
        <v>0020</v>
      </c>
      <c r="X1885" s="1" t="s">
        <v>29</v>
      </c>
    </row>
    <row r="1886" spans="1:24" x14ac:dyDescent="0.3">
      <c r="A1886" s="1" t="str">
        <f t="shared" si="352"/>
        <v>59820</v>
      </c>
      <c r="B1886" s="1" t="s">
        <v>53</v>
      </c>
      <c r="C1886" s="1" t="s">
        <v>54</v>
      </c>
      <c r="D1886" s="1" t="str">
        <f t="shared" si="353"/>
        <v>9805</v>
      </c>
      <c r="E1886" s="1" t="s">
        <v>57</v>
      </c>
      <c r="F1886" s="1" t="str">
        <f>"1257548453"</f>
        <v>1257548453</v>
      </c>
      <c r="G1886" s="1" t="s">
        <v>33</v>
      </c>
      <c r="H1886" s="1" t="str">
        <f t="shared" si="350"/>
        <v>20220909</v>
      </c>
      <c r="I1886" s="1" t="str">
        <f>"120735"</f>
        <v>120735</v>
      </c>
      <c r="J1886" s="1" t="s">
        <v>28</v>
      </c>
      <c r="K1886" s="1" t="s">
        <v>28</v>
      </c>
      <c r="L1886" s="1" t="str">
        <f t="shared" si="351"/>
        <v>20220909</v>
      </c>
      <c r="M1886" s="1" t="str">
        <f>"122318"</f>
        <v>122318</v>
      </c>
      <c r="N1886" s="1" t="s">
        <v>62</v>
      </c>
      <c r="O1886" s="1" t="s">
        <v>28</v>
      </c>
      <c r="P1886" s="1" t="s">
        <v>55</v>
      </c>
      <c r="Q1886" s="1">
        <v>25</v>
      </c>
      <c r="R1886" s="1">
        <v>0</v>
      </c>
      <c r="S1886" s="1">
        <v>25</v>
      </c>
      <c r="T1886" s="1">
        <v>0</v>
      </c>
      <c r="U1886" s="1">
        <v>0</v>
      </c>
      <c r="V1886" s="1" t="str">
        <f t="shared" si="354"/>
        <v>里程去程</v>
      </c>
      <c r="W1886" s="1" t="str">
        <f>"0820"</f>
        <v>0820</v>
      </c>
      <c r="X1886" s="1" t="s">
        <v>35</v>
      </c>
    </row>
    <row r="1887" spans="1:24" x14ac:dyDescent="0.3">
      <c r="A1887" s="1" t="str">
        <f t="shared" si="352"/>
        <v>59820</v>
      </c>
      <c r="B1887" s="1" t="s">
        <v>53</v>
      </c>
      <c r="C1887" s="1" t="s">
        <v>54</v>
      </c>
      <c r="D1887" s="1" t="str">
        <f t="shared" si="353"/>
        <v>9805</v>
      </c>
      <c r="E1887" s="1" t="s">
        <v>57</v>
      </c>
      <c r="F1887" s="1" t="str">
        <f>"F2F7D002D7880400C834002000000015"</f>
        <v>F2F7D002D7880400C834002000000015</v>
      </c>
      <c r="G1887" s="1" t="s">
        <v>74</v>
      </c>
      <c r="H1887" s="1" t="str">
        <f t="shared" si="350"/>
        <v>20220909</v>
      </c>
      <c r="I1887" s="1" t="str">
        <f>"120755"</f>
        <v>120755</v>
      </c>
      <c r="J1887" s="1" t="s">
        <v>28</v>
      </c>
      <c r="K1887" s="1" t="s">
        <v>28</v>
      </c>
      <c r="L1887" s="1" t="str">
        <f t="shared" si="351"/>
        <v>20220909</v>
      </c>
      <c r="M1887" s="1" t="str">
        <f>"122632"</f>
        <v>122632</v>
      </c>
      <c r="N1887" s="1" t="s">
        <v>52</v>
      </c>
      <c r="O1887" s="1" t="s">
        <v>52</v>
      </c>
      <c r="P1887" s="1" t="s">
        <v>68</v>
      </c>
      <c r="Q1887" s="1">
        <v>13</v>
      </c>
      <c r="R1887" s="1">
        <v>0</v>
      </c>
      <c r="S1887" s="1">
        <v>0</v>
      </c>
      <c r="T1887" s="1">
        <v>13</v>
      </c>
      <c r="U1887" s="1">
        <v>0</v>
      </c>
      <c r="V1887" s="1" t="str">
        <f t="shared" si="354"/>
        <v>里程去程</v>
      </c>
      <c r="W1887" s="1" t="str">
        <f>"0020"</f>
        <v>0020</v>
      </c>
      <c r="X1887" s="1" t="s">
        <v>29</v>
      </c>
    </row>
    <row r="1888" spans="1:24" x14ac:dyDescent="0.3">
      <c r="A1888" s="1" t="str">
        <f t="shared" si="352"/>
        <v>59820</v>
      </c>
      <c r="B1888" s="1" t="s">
        <v>53</v>
      </c>
      <c r="C1888" s="1" t="s">
        <v>54</v>
      </c>
      <c r="D1888" s="1" t="str">
        <f t="shared" si="353"/>
        <v>9805</v>
      </c>
      <c r="E1888" s="1" t="s">
        <v>57</v>
      </c>
      <c r="F1888" s="1" t="str">
        <f>"B238F20E76880400C820002000000018"</f>
        <v>B238F20E76880400C820002000000018</v>
      </c>
      <c r="G1888" s="1" t="s">
        <v>58</v>
      </c>
      <c r="H1888" s="1" t="str">
        <f t="shared" si="350"/>
        <v>20220909</v>
      </c>
      <c r="I1888" s="1" t="str">
        <f>"120947"</f>
        <v>120947</v>
      </c>
      <c r="J1888" s="1" t="s">
        <v>28</v>
      </c>
      <c r="K1888" s="1" t="s">
        <v>28</v>
      </c>
      <c r="L1888" s="1" t="str">
        <f t="shared" si="351"/>
        <v>20220909</v>
      </c>
      <c r="M1888" s="1" t="str">
        <f>"122650"</f>
        <v>122650</v>
      </c>
      <c r="N1888" s="1" t="s">
        <v>52</v>
      </c>
      <c r="O1888" s="1" t="s">
        <v>52</v>
      </c>
      <c r="P1888" s="1" t="s">
        <v>55</v>
      </c>
      <c r="Q1888" s="1">
        <v>25</v>
      </c>
      <c r="R1888" s="1">
        <v>25</v>
      </c>
      <c r="S1888" s="1">
        <v>0</v>
      </c>
      <c r="T1888" s="1">
        <v>0</v>
      </c>
      <c r="U1888" s="1">
        <v>0</v>
      </c>
      <c r="V1888" s="1" t="str">
        <f t="shared" si="354"/>
        <v>里程去程</v>
      </c>
      <c r="W1888" s="1" t="str">
        <f>"0020"</f>
        <v>0020</v>
      </c>
      <c r="X1888" s="1" t="s">
        <v>29</v>
      </c>
    </row>
    <row r="1889" spans="1:24" x14ac:dyDescent="0.3">
      <c r="A1889" s="1" t="str">
        <f t="shared" si="352"/>
        <v>59820</v>
      </c>
      <c r="B1889" s="1" t="s">
        <v>53</v>
      </c>
      <c r="C1889" s="1" t="s">
        <v>54</v>
      </c>
      <c r="D1889" s="1" t="str">
        <f t="shared" si="353"/>
        <v>9805</v>
      </c>
      <c r="E1889" s="1" t="s">
        <v>57</v>
      </c>
      <c r="F1889" s="1" t="str">
        <f>"C2281C03F5880400C834002000000015"</f>
        <v>C2281C03F5880400C834002000000015</v>
      </c>
      <c r="G1889" s="1" t="s">
        <v>26</v>
      </c>
      <c r="H1889" s="1" t="str">
        <f t="shared" si="350"/>
        <v>20220909</v>
      </c>
      <c r="I1889" s="1" t="str">
        <f>"121842"</f>
        <v>121842</v>
      </c>
      <c r="J1889" s="1" t="s">
        <v>46</v>
      </c>
      <c r="K1889" s="1" t="s">
        <v>28</v>
      </c>
      <c r="L1889" s="1" t="str">
        <f t="shared" si="351"/>
        <v>20220909</v>
      </c>
      <c r="M1889" s="1" t="str">
        <f>"122732"</f>
        <v>122732</v>
      </c>
      <c r="N1889" s="1" t="s">
        <v>52</v>
      </c>
      <c r="O1889" s="1" t="s">
        <v>52</v>
      </c>
      <c r="P1889" s="1" t="s">
        <v>68</v>
      </c>
      <c r="Q1889" s="1">
        <v>13</v>
      </c>
      <c r="R1889" s="1">
        <v>0</v>
      </c>
      <c r="S1889" s="1">
        <v>0</v>
      </c>
      <c r="T1889" s="1">
        <v>13</v>
      </c>
      <c r="U1889" s="1">
        <v>0</v>
      </c>
      <c r="V1889" s="1" t="str">
        <f t="shared" si="354"/>
        <v>里程去程</v>
      </c>
      <c r="W1889" s="1" t="str">
        <f>"0020"</f>
        <v>0020</v>
      </c>
      <c r="X1889" s="1" t="s">
        <v>29</v>
      </c>
    </row>
    <row r="1890" spans="1:24" x14ac:dyDescent="0.3">
      <c r="A1890" s="1" t="str">
        <f t="shared" si="352"/>
        <v>59820</v>
      </c>
      <c r="B1890" s="1" t="s">
        <v>53</v>
      </c>
      <c r="C1890" s="1" t="s">
        <v>54</v>
      </c>
      <c r="D1890" s="1" t="str">
        <f t="shared" ref="D1890:D1899" si="355">"9803"</f>
        <v>9803</v>
      </c>
      <c r="E1890" s="1" t="s">
        <v>32</v>
      </c>
      <c r="F1890" s="1" t="str">
        <f>"944253893"</f>
        <v>944253893</v>
      </c>
      <c r="G1890" s="1" t="s">
        <v>38</v>
      </c>
      <c r="H1890" s="1" t="str">
        <f t="shared" si="350"/>
        <v>20220909</v>
      </c>
      <c r="I1890" s="1" t="str">
        <f>"132801"</f>
        <v>132801</v>
      </c>
      <c r="J1890" s="1" t="s">
        <v>28</v>
      </c>
      <c r="K1890" s="1" t="s">
        <v>28</v>
      </c>
      <c r="L1890" s="1" t="str">
        <f t="shared" ref="L1890:L1921" si="356">"20220909"</f>
        <v>20220909</v>
      </c>
      <c r="M1890" s="1" t="str">
        <f>"134702"</f>
        <v>134702</v>
      </c>
      <c r="N1890" s="1" t="s">
        <v>34</v>
      </c>
      <c r="O1890" s="1" t="s">
        <v>34</v>
      </c>
      <c r="P1890" s="1" t="s">
        <v>55</v>
      </c>
      <c r="Q1890" s="1">
        <v>25</v>
      </c>
      <c r="R1890" s="1">
        <v>25</v>
      </c>
      <c r="S1890" s="1">
        <v>0</v>
      </c>
      <c r="T1890" s="1">
        <v>0</v>
      </c>
      <c r="U1890" s="1">
        <v>0</v>
      </c>
      <c r="V1890" s="1" t="str">
        <f t="shared" si="354"/>
        <v>里程去程</v>
      </c>
      <c r="W1890" s="1" t="str">
        <f>"0220"</f>
        <v>0220</v>
      </c>
      <c r="X1890" s="1" t="s">
        <v>35</v>
      </c>
    </row>
    <row r="1891" spans="1:24" x14ac:dyDescent="0.3">
      <c r="A1891" s="1" t="str">
        <f t="shared" si="352"/>
        <v>59820</v>
      </c>
      <c r="B1891" s="1" t="s">
        <v>53</v>
      </c>
      <c r="C1891" s="1" t="s">
        <v>54</v>
      </c>
      <c r="D1891" s="1" t="str">
        <f t="shared" si="355"/>
        <v>9803</v>
      </c>
      <c r="E1891" s="1" t="s">
        <v>32</v>
      </c>
      <c r="F1891" s="1" t="str">
        <f>"883983669"</f>
        <v>883983669</v>
      </c>
      <c r="G1891" s="1" t="s">
        <v>33</v>
      </c>
      <c r="H1891" s="1" t="str">
        <f t="shared" si="350"/>
        <v>20220909</v>
      </c>
      <c r="I1891" s="1" t="str">
        <f>"133026"</f>
        <v>133026</v>
      </c>
      <c r="J1891" s="1" t="s">
        <v>28</v>
      </c>
      <c r="K1891" s="1" t="s">
        <v>28</v>
      </c>
      <c r="L1891" s="1" t="str">
        <f t="shared" si="356"/>
        <v>20220909</v>
      </c>
      <c r="M1891" s="1" t="str">
        <f>"134631"</f>
        <v>134631</v>
      </c>
      <c r="N1891" s="1" t="s">
        <v>89</v>
      </c>
      <c r="O1891" s="1" t="s">
        <v>28</v>
      </c>
      <c r="P1891" s="1" t="s">
        <v>55</v>
      </c>
      <c r="Q1891" s="1">
        <v>25</v>
      </c>
      <c r="R1891" s="1">
        <v>25</v>
      </c>
      <c r="S1891" s="1">
        <v>0</v>
      </c>
      <c r="T1891" s="1">
        <v>0</v>
      </c>
      <c r="U1891" s="1">
        <v>0</v>
      </c>
      <c r="V1891" s="1" t="str">
        <f t="shared" si="354"/>
        <v>里程去程</v>
      </c>
      <c r="W1891" s="1" t="str">
        <f>"0220"</f>
        <v>0220</v>
      </c>
      <c r="X1891" s="1" t="s">
        <v>35</v>
      </c>
    </row>
    <row r="1892" spans="1:24" x14ac:dyDescent="0.3">
      <c r="A1892" s="1" t="str">
        <f t="shared" si="352"/>
        <v>59820</v>
      </c>
      <c r="B1892" s="1" t="s">
        <v>53</v>
      </c>
      <c r="C1892" s="1" t="s">
        <v>54</v>
      </c>
      <c r="D1892" s="1" t="str">
        <f t="shared" si="355"/>
        <v>9803</v>
      </c>
      <c r="E1892" s="1" t="s">
        <v>32</v>
      </c>
      <c r="F1892" s="1" t="str">
        <f>"1719342213"</f>
        <v>1719342213</v>
      </c>
      <c r="G1892" s="1" t="s">
        <v>38</v>
      </c>
      <c r="H1892" s="1" t="str">
        <f t="shared" si="350"/>
        <v>20220909</v>
      </c>
      <c r="I1892" s="1" t="str">
        <f>"133035"</f>
        <v>133035</v>
      </c>
      <c r="J1892" s="1" t="s">
        <v>28</v>
      </c>
      <c r="K1892" s="1" t="s">
        <v>28</v>
      </c>
      <c r="L1892" s="1" t="str">
        <f t="shared" si="356"/>
        <v>20220909</v>
      </c>
      <c r="M1892" s="1" t="str">
        <f>"134655"</f>
        <v>134655</v>
      </c>
      <c r="N1892" s="1" t="s">
        <v>34</v>
      </c>
      <c r="O1892" s="1" t="s">
        <v>34</v>
      </c>
      <c r="P1892" s="1" t="s">
        <v>55</v>
      </c>
      <c r="Q1892" s="1">
        <v>25</v>
      </c>
      <c r="R1892" s="1">
        <v>25</v>
      </c>
      <c r="S1892" s="1">
        <v>0</v>
      </c>
      <c r="T1892" s="1">
        <v>0</v>
      </c>
      <c r="U1892" s="1">
        <v>0</v>
      </c>
      <c r="V1892" s="1" t="str">
        <f t="shared" si="354"/>
        <v>里程去程</v>
      </c>
      <c r="W1892" s="1" t="str">
        <f>"0120"</f>
        <v>0120</v>
      </c>
      <c r="X1892" s="1" t="s">
        <v>35</v>
      </c>
    </row>
    <row r="1893" spans="1:24" x14ac:dyDescent="0.3">
      <c r="A1893" s="1" t="str">
        <f t="shared" si="352"/>
        <v>59820</v>
      </c>
      <c r="B1893" s="1" t="s">
        <v>53</v>
      </c>
      <c r="C1893" s="1" t="s">
        <v>54</v>
      </c>
      <c r="D1893" s="1" t="str">
        <f t="shared" si="355"/>
        <v>9803</v>
      </c>
      <c r="E1893" s="1" t="s">
        <v>32</v>
      </c>
      <c r="F1893" s="1" t="str">
        <f>"D1AFDC4EEC2804001C00000000000000"</f>
        <v>D1AFDC4EEC2804001C00000000000000</v>
      </c>
      <c r="G1893" s="1" t="s">
        <v>58</v>
      </c>
      <c r="H1893" s="1" t="str">
        <f t="shared" si="350"/>
        <v>20220909</v>
      </c>
      <c r="I1893" s="1" t="str">
        <f>"140029"</f>
        <v>140029</v>
      </c>
      <c r="J1893" s="1" t="s">
        <v>34</v>
      </c>
      <c r="K1893" s="1" t="s">
        <v>34</v>
      </c>
      <c r="L1893" s="1" t="str">
        <f t="shared" si="356"/>
        <v>20220909</v>
      </c>
      <c r="M1893" s="1" t="str">
        <f>"142644"</f>
        <v>142644</v>
      </c>
      <c r="N1893" s="1" t="s">
        <v>28</v>
      </c>
      <c r="O1893" s="1" t="s">
        <v>28</v>
      </c>
      <c r="P1893" s="1" t="s">
        <v>55</v>
      </c>
      <c r="Q1893" s="1">
        <v>25</v>
      </c>
      <c r="R1893" s="1">
        <v>25</v>
      </c>
      <c r="S1893" s="1">
        <v>0</v>
      </c>
      <c r="T1893" s="1">
        <v>0</v>
      </c>
      <c r="U1893" s="1">
        <v>0</v>
      </c>
      <c r="V1893" s="1" t="str">
        <f t="shared" ref="V1893:V1923" si="357">"里程返程"</f>
        <v>里程返程</v>
      </c>
      <c r="W1893" s="1" t="str">
        <f>"0020"</f>
        <v>0020</v>
      </c>
      <c r="X1893" s="1" t="s">
        <v>29</v>
      </c>
    </row>
    <row r="1894" spans="1:24" x14ac:dyDescent="0.3">
      <c r="A1894" s="1" t="str">
        <f t="shared" si="352"/>
        <v>59820</v>
      </c>
      <c r="B1894" s="1" t="s">
        <v>53</v>
      </c>
      <c r="C1894" s="1" t="s">
        <v>54</v>
      </c>
      <c r="D1894" s="1" t="str">
        <f t="shared" si="355"/>
        <v>9803</v>
      </c>
      <c r="E1894" s="1" t="s">
        <v>32</v>
      </c>
      <c r="F1894" s="1" t="str">
        <f>"1198054833"</f>
        <v>1198054833</v>
      </c>
      <c r="G1894" s="1" t="s">
        <v>33</v>
      </c>
      <c r="H1894" s="1" t="str">
        <f t="shared" si="350"/>
        <v>20220909</v>
      </c>
      <c r="I1894" s="1" t="str">
        <f>"140033"</f>
        <v>140033</v>
      </c>
      <c r="J1894" s="1" t="s">
        <v>34</v>
      </c>
      <c r="K1894" s="1" t="s">
        <v>34</v>
      </c>
      <c r="L1894" s="1" t="str">
        <f t="shared" si="356"/>
        <v>20220909</v>
      </c>
      <c r="M1894" s="1" t="str">
        <f>"142629"</f>
        <v>142629</v>
      </c>
      <c r="N1894" s="1" t="s">
        <v>28</v>
      </c>
      <c r="O1894" s="1" t="s">
        <v>28</v>
      </c>
      <c r="P1894" s="1" t="s">
        <v>55</v>
      </c>
      <c r="Q1894" s="1">
        <v>25</v>
      </c>
      <c r="R1894" s="1">
        <v>25</v>
      </c>
      <c r="S1894" s="1">
        <v>0</v>
      </c>
      <c r="T1894" s="1">
        <v>0</v>
      </c>
      <c r="U1894" s="1">
        <v>0</v>
      </c>
      <c r="V1894" s="1" t="str">
        <f t="shared" si="357"/>
        <v>里程返程</v>
      </c>
      <c r="W1894" s="1" t="str">
        <f>"2020"</f>
        <v>2020</v>
      </c>
      <c r="X1894" s="1" t="s">
        <v>35</v>
      </c>
    </row>
    <row r="1895" spans="1:24" x14ac:dyDescent="0.3">
      <c r="A1895" s="1" t="str">
        <f t="shared" si="352"/>
        <v>59820</v>
      </c>
      <c r="B1895" s="1" t="s">
        <v>53</v>
      </c>
      <c r="C1895" s="1" t="s">
        <v>54</v>
      </c>
      <c r="D1895" s="1" t="str">
        <f t="shared" si="355"/>
        <v>9803</v>
      </c>
      <c r="E1895" s="1" t="s">
        <v>32</v>
      </c>
      <c r="F1895" s="1" t="str">
        <f>"C22CFE140428040080CEDA1449914018"</f>
        <v>C22CFE140428040080CEDA1449914018</v>
      </c>
      <c r="G1895" s="1" t="s">
        <v>58</v>
      </c>
      <c r="H1895" s="1" t="str">
        <f t="shared" si="350"/>
        <v>20220909</v>
      </c>
      <c r="I1895" s="1" t="str">
        <f>"141352"</f>
        <v>141352</v>
      </c>
      <c r="J1895" s="1" t="s">
        <v>46</v>
      </c>
      <c r="K1895" s="1" t="s">
        <v>28</v>
      </c>
      <c r="L1895" s="1" t="str">
        <f t="shared" si="356"/>
        <v>20220909</v>
      </c>
      <c r="M1895" s="1" t="str">
        <f>"142626"</f>
        <v>142626</v>
      </c>
      <c r="N1895" s="1" t="s">
        <v>28</v>
      </c>
      <c r="O1895" s="1" t="s">
        <v>28</v>
      </c>
      <c r="P1895" s="1" t="s">
        <v>55</v>
      </c>
      <c r="Q1895" s="1">
        <v>25</v>
      </c>
      <c r="R1895" s="1">
        <v>0</v>
      </c>
      <c r="S1895" s="1">
        <v>25</v>
      </c>
      <c r="T1895" s="1">
        <v>0</v>
      </c>
      <c r="U1895" s="1">
        <v>0</v>
      </c>
      <c r="V1895" s="1" t="str">
        <f t="shared" si="357"/>
        <v>里程返程</v>
      </c>
      <c r="W1895" s="1" t="str">
        <f>"2020"</f>
        <v>2020</v>
      </c>
      <c r="X1895" s="1" t="s">
        <v>29</v>
      </c>
    </row>
    <row r="1896" spans="1:24" x14ac:dyDescent="0.3">
      <c r="A1896" s="1" t="str">
        <f t="shared" si="352"/>
        <v>59820</v>
      </c>
      <c r="B1896" s="1" t="s">
        <v>53</v>
      </c>
      <c r="C1896" s="1" t="s">
        <v>54</v>
      </c>
      <c r="D1896" s="1" t="str">
        <f t="shared" si="355"/>
        <v>9803</v>
      </c>
      <c r="E1896" s="1" t="s">
        <v>32</v>
      </c>
      <c r="F1896" s="1" t="str">
        <f>"37CCB804478804004327CC4B00140C07"</f>
        <v>37CCB804478804004327CC4B00140C07</v>
      </c>
      <c r="G1896" s="1" t="s">
        <v>58</v>
      </c>
      <c r="H1896" s="1" t="str">
        <f t="shared" si="350"/>
        <v>20220909</v>
      </c>
      <c r="I1896" s="1" t="str">
        <f>"141355"</f>
        <v>141355</v>
      </c>
      <c r="J1896" s="1" t="s">
        <v>46</v>
      </c>
      <c r="K1896" s="1" t="s">
        <v>28</v>
      </c>
      <c r="L1896" s="1" t="str">
        <f t="shared" si="356"/>
        <v>20220909</v>
      </c>
      <c r="M1896" s="1" t="str">
        <f>"142624"</f>
        <v>142624</v>
      </c>
      <c r="N1896" s="1" t="s">
        <v>28</v>
      </c>
      <c r="O1896" s="1" t="s">
        <v>28</v>
      </c>
      <c r="P1896" s="1" t="s">
        <v>55</v>
      </c>
      <c r="Q1896" s="1">
        <v>25</v>
      </c>
      <c r="R1896" s="1">
        <v>0</v>
      </c>
      <c r="S1896" s="1">
        <v>25</v>
      </c>
      <c r="T1896" s="1">
        <v>0</v>
      </c>
      <c r="U1896" s="1">
        <v>0</v>
      </c>
      <c r="V1896" s="1" t="str">
        <f t="shared" si="357"/>
        <v>里程返程</v>
      </c>
      <c r="W1896" s="1" t="str">
        <f>"2020"</f>
        <v>2020</v>
      </c>
      <c r="X1896" s="1" t="s">
        <v>29</v>
      </c>
    </row>
    <row r="1897" spans="1:24" x14ac:dyDescent="0.3">
      <c r="A1897" s="1" t="str">
        <f t="shared" si="352"/>
        <v>59820</v>
      </c>
      <c r="B1897" s="1" t="s">
        <v>53</v>
      </c>
      <c r="C1897" s="1" t="s">
        <v>54</v>
      </c>
      <c r="D1897" s="1" t="str">
        <f t="shared" si="355"/>
        <v>9803</v>
      </c>
      <c r="E1897" s="1" t="s">
        <v>32</v>
      </c>
      <c r="F1897" s="1" t="str">
        <f>"1360750817"</f>
        <v>1360750817</v>
      </c>
      <c r="G1897" s="1" t="s">
        <v>33</v>
      </c>
      <c r="H1897" s="1" t="str">
        <f t="shared" si="350"/>
        <v>20220909</v>
      </c>
      <c r="I1897" s="1" t="str">
        <f>"163015"</f>
        <v>163015</v>
      </c>
      <c r="J1897" s="1" t="s">
        <v>34</v>
      </c>
      <c r="K1897" s="1" t="s">
        <v>34</v>
      </c>
      <c r="L1897" s="1" t="str">
        <f t="shared" si="356"/>
        <v>20220909</v>
      </c>
      <c r="M1897" s="1" t="str">
        <f>"164424"</f>
        <v>164424</v>
      </c>
      <c r="N1897" s="1" t="s">
        <v>46</v>
      </c>
      <c r="O1897" s="1" t="s">
        <v>28</v>
      </c>
      <c r="P1897" s="1" t="s">
        <v>55</v>
      </c>
      <c r="Q1897" s="1">
        <v>25</v>
      </c>
      <c r="R1897" s="1">
        <v>25</v>
      </c>
      <c r="S1897" s="1">
        <v>0</v>
      </c>
      <c r="T1897" s="1">
        <v>0</v>
      </c>
      <c r="U1897" s="1">
        <v>0</v>
      </c>
      <c r="V1897" s="1" t="str">
        <f t="shared" si="357"/>
        <v>里程返程</v>
      </c>
      <c r="W1897" s="1" t="str">
        <f>"0120"</f>
        <v>0120</v>
      </c>
      <c r="X1897" s="1" t="s">
        <v>35</v>
      </c>
    </row>
    <row r="1898" spans="1:24" x14ac:dyDescent="0.3">
      <c r="A1898" s="1" t="str">
        <f t="shared" si="352"/>
        <v>59820</v>
      </c>
      <c r="B1898" s="1" t="s">
        <v>53</v>
      </c>
      <c r="C1898" s="1" t="s">
        <v>54</v>
      </c>
      <c r="D1898" s="1" t="str">
        <f t="shared" si="355"/>
        <v>9803</v>
      </c>
      <c r="E1898" s="1" t="s">
        <v>32</v>
      </c>
      <c r="F1898" s="1" t="str">
        <f>"1076855893"</f>
        <v>1076855893</v>
      </c>
      <c r="G1898" s="1" t="s">
        <v>33</v>
      </c>
      <c r="H1898" s="1" t="str">
        <f t="shared" si="350"/>
        <v>20220909</v>
      </c>
      <c r="I1898" s="1" t="str">
        <f>"164617"</f>
        <v>164617</v>
      </c>
      <c r="J1898" s="1" t="s">
        <v>46</v>
      </c>
      <c r="K1898" s="1" t="s">
        <v>28</v>
      </c>
      <c r="L1898" s="1" t="str">
        <f t="shared" si="356"/>
        <v>20220909</v>
      </c>
      <c r="M1898" s="1" t="str">
        <f>"164737"</f>
        <v>164737</v>
      </c>
      <c r="N1898" s="1" t="s">
        <v>46</v>
      </c>
      <c r="O1898" s="1" t="s">
        <v>28</v>
      </c>
      <c r="P1898" s="1" t="s">
        <v>55</v>
      </c>
      <c r="Q1898" s="1">
        <v>25</v>
      </c>
      <c r="R1898" s="1">
        <v>0</v>
      </c>
      <c r="S1898" s="1">
        <v>25</v>
      </c>
      <c r="T1898" s="1">
        <v>0</v>
      </c>
      <c r="U1898" s="1">
        <v>0</v>
      </c>
      <c r="V1898" s="1" t="str">
        <f t="shared" si="357"/>
        <v>里程返程</v>
      </c>
      <c r="W1898" s="1" t="str">
        <f>"2020"</f>
        <v>2020</v>
      </c>
      <c r="X1898" s="1" t="s">
        <v>35</v>
      </c>
    </row>
    <row r="1899" spans="1:24" x14ac:dyDescent="0.3">
      <c r="A1899" s="1" t="str">
        <f t="shared" si="352"/>
        <v>59820</v>
      </c>
      <c r="B1899" s="1" t="s">
        <v>53</v>
      </c>
      <c r="C1899" s="1" t="s">
        <v>54</v>
      </c>
      <c r="D1899" s="1" t="str">
        <f t="shared" si="355"/>
        <v>9803</v>
      </c>
      <c r="E1899" s="1" t="s">
        <v>32</v>
      </c>
      <c r="F1899" s="1" t="str">
        <f>"1069836597"</f>
        <v>1069836597</v>
      </c>
      <c r="G1899" s="1" t="s">
        <v>33</v>
      </c>
      <c r="H1899" s="1" t="str">
        <f t="shared" si="350"/>
        <v>20220909</v>
      </c>
      <c r="I1899" s="1" t="str">
        <f>"164629"</f>
        <v>164629</v>
      </c>
      <c r="J1899" s="1" t="s">
        <v>46</v>
      </c>
      <c r="K1899" s="1" t="s">
        <v>28</v>
      </c>
      <c r="L1899" s="1" t="str">
        <f t="shared" si="356"/>
        <v>20220909</v>
      </c>
      <c r="M1899" s="1" t="str">
        <f>"164732"</f>
        <v>164732</v>
      </c>
      <c r="N1899" s="1" t="s">
        <v>46</v>
      </c>
      <c r="O1899" s="1" t="s">
        <v>28</v>
      </c>
      <c r="P1899" s="1" t="s">
        <v>55</v>
      </c>
      <c r="Q1899" s="1">
        <v>25</v>
      </c>
      <c r="R1899" s="1">
        <v>0</v>
      </c>
      <c r="S1899" s="1">
        <v>25</v>
      </c>
      <c r="T1899" s="1">
        <v>0</v>
      </c>
      <c r="U1899" s="1">
        <v>0</v>
      </c>
      <c r="V1899" s="1" t="str">
        <f t="shared" si="357"/>
        <v>里程返程</v>
      </c>
      <c r="W1899" s="1" t="str">
        <f>"2020"</f>
        <v>2020</v>
      </c>
      <c r="X1899" s="1" t="s">
        <v>35</v>
      </c>
    </row>
    <row r="1900" spans="1:24" x14ac:dyDescent="0.3">
      <c r="A1900" s="1" t="str">
        <f t="shared" si="352"/>
        <v>59820</v>
      </c>
      <c r="B1900" s="1" t="s">
        <v>53</v>
      </c>
      <c r="C1900" s="1" t="s">
        <v>54</v>
      </c>
      <c r="D1900" s="1" t="str">
        <f>"9806"</f>
        <v>9806</v>
      </c>
      <c r="E1900" s="1" t="s">
        <v>49</v>
      </c>
      <c r="F1900" s="1" t="str">
        <f>"7511190153008537"</f>
        <v>7511190153008537</v>
      </c>
      <c r="G1900" s="1" t="s">
        <v>33</v>
      </c>
      <c r="H1900" s="1" t="str">
        <f t="shared" si="350"/>
        <v>20220909</v>
      </c>
      <c r="I1900" s="1" t="str">
        <f>"165903"</f>
        <v>165903</v>
      </c>
      <c r="J1900" s="1" t="s">
        <v>28</v>
      </c>
      <c r="K1900" s="1" t="s">
        <v>28</v>
      </c>
      <c r="L1900" s="1" t="str">
        <f t="shared" si="356"/>
        <v>20220909</v>
      </c>
      <c r="M1900" s="1" t="str">
        <f>"171903"</f>
        <v>171903</v>
      </c>
      <c r="N1900" s="1" t="s">
        <v>50</v>
      </c>
      <c r="O1900" s="1" t="s">
        <v>50</v>
      </c>
      <c r="P1900" s="1" t="s">
        <v>55</v>
      </c>
      <c r="Q1900" s="1">
        <v>25</v>
      </c>
      <c r="R1900" s="1">
        <v>25</v>
      </c>
      <c r="S1900" s="1">
        <v>0</v>
      </c>
      <c r="T1900" s="1">
        <v>0</v>
      </c>
      <c r="U1900" s="1">
        <v>0</v>
      </c>
      <c r="V1900" s="1" t="str">
        <f t="shared" si="357"/>
        <v>里程返程</v>
      </c>
      <c r="W1900" s="1" t="str">
        <f>"013B"</f>
        <v>013B</v>
      </c>
      <c r="X1900" s="1" t="s">
        <v>109</v>
      </c>
    </row>
    <row r="1901" spans="1:24" x14ac:dyDescent="0.3">
      <c r="A1901" s="1" t="str">
        <f t="shared" si="352"/>
        <v>59820</v>
      </c>
      <c r="B1901" s="1" t="s">
        <v>53</v>
      </c>
      <c r="C1901" s="1" t="s">
        <v>54</v>
      </c>
      <c r="D1901" s="1" t="str">
        <f>"9806"</f>
        <v>9806</v>
      </c>
      <c r="E1901" s="1" t="s">
        <v>49</v>
      </c>
      <c r="F1901" s="1" t="str">
        <f>"2698937583"</f>
        <v>2698937583</v>
      </c>
      <c r="G1901" s="1" t="s">
        <v>26</v>
      </c>
      <c r="H1901" s="1" t="str">
        <f t="shared" si="350"/>
        <v>20220909</v>
      </c>
      <c r="I1901" s="1" t="str">
        <f>"165910"</f>
        <v>165910</v>
      </c>
      <c r="J1901" s="1" t="s">
        <v>28</v>
      </c>
      <c r="K1901" s="1" t="s">
        <v>28</v>
      </c>
      <c r="L1901" s="1" t="str">
        <f t="shared" si="356"/>
        <v>20220909</v>
      </c>
      <c r="M1901" s="1" t="str">
        <f>"171859"</f>
        <v>171859</v>
      </c>
      <c r="N1901" s="1" t="s">
        <v>50</v>
      </c>
      <c r="O1901" s="1" t="s">
        <v>50</v>
      </c>
      <c r="P1901" s="1" t="s">
        <v>55</v>
      </c>
      <c r="Q1901" s="1">
        <v>13</v>
      </c>
      <c r="R1901" s="1">
        <v>13</v>
      </c>
      <c r="S1901" s="1">
        <v>0</v>
      </c>
      <c r="T1901" s="1">
        <v>0</v>
      </c>
      <c r="U1901" s="1">
        <v>0</v>
      </c>
      <c r="V1901" s="1" t="str">
        <f t="shared" si="357"/>
        <v>里程返程</v>
      </c>
      <c r="W1901" s="1" t="str">
        <f>"0120"</f>
        <v>0120</v>
      </c>
      <c r="X1901" s="1" t="s">
        <v>35</v>
      </c>
    </row>
    <row r="1902" spans="1:24" x14ac:dyDescent="0.3">
      <c r="A1902" s="1" t="str">
        <f t="shared" si="352"/>
        <v>59820</v>
      </c>
      <c r="B1902" s="1" t="s">
        <v>53</v>
      </c>
      <c r="C1902" s="1" t="s">
        <v>54</v>
      </c>
      <c r="D1902" s="1" t="str">
        <f>"9803"</f>
        <v>9803</v>
      </c>
      <c r="E1902" s="1" t="s">
        <v>32</v>
      </c>
      <c r="F1902" s="1" t="str">
        <f>"1360750817"</f>
        <v>1360750817</v>
      </c>
      <c r="G1902" s="1" t="s">
        <v>33</v>
      </c>
      <c r="H1902" s="1" t="str">
        <f t="shared" si="350"/>
        <v>20220909</v>
      </c>
      <c r="I1902" s="1" t="str">
        <f>"182308"</f>
        <v>182308</v>
      </c>
      <c r="J1902" s="1" t="s">
        <v>46</v>
      </c>
      <c r="K1902" s="1" t="s">
        <v>28</v>
      </c>
      <c r="L1902" s="1" t="str">
        <f t="shared" si="356"/>
        <v>20220909</v>
      </c>
      <c r="M1902" s="1" t="str">
        <f>"183215"</f>
        <v>183215</v>
      </c>
      <c r="N1902" s="1" t="s">
        <v>28</v>
      </c>
      <c r="O1902" s="1" t="s">
        <v>28</v>
      </c>
      <c r="P1902" s="1" t="s">
        <v>55</v>
      </c>
      <c r="Q1902" s="1">
        <v>25</v>
      </c>
      <c r="R1902" s="1">
        <v>25</v>
      </c>
      <c r="S1902" s="1">
        <v>0</v>
      </c>
      <c r="T1902" s="1">
        <v>0</v>
      </c>
      <c r="U1902" s="1">
        <v>0</v>
      </c>
      <c r="V1902" s="1" t="str">
        <f t="shared" si="357"/>
        <v>里程返程</v>
      </c>
      <c r="W1902" s="1" t="str">
        <f>"2020"</f>
        <v>2020</v>
      </c>
      <c r="X1902" s="1" t="s">
        <v>35</v>
      </c>
    </row>
    <row r="1903" spans="1:24" x14ac:dyDescent="0.3">
      <c r="A1903" s="1" t="str">
        <f t="shared" ref="A1903:A1934" si="358">"59822"</f>
        <v>59822</v>
      </c>
      <c r="B1903" s="1" t="s">
        <v>39</v>
      </c>
      <c r="C1903" s="1" t="s">
        <v>40</v>
      </c>
      <c r="D1903" s="1" t="str">
        <f t="shared" ref="D1903:D1923" si="359">"9801"</f>
        <v>9801</v>
      </c>
      <c r="E1903" s="1" t="s">
        <v>25</v>
      </c>
      <c r="F1903" s="1" t="str">
        <f>"C2E1D306F6880400C838002000000015"</f>
        <v>C2E1D306F6880400C838002000000015</v>
      </c>
      <c r="G1903" s="1" t="s">
        <v>26</v>
      </c>
      <c r="H1903" s="1" t="str">
        <f t="shared" si="350"/>
        <v>20220909</v>
      </c>
      <c r="I1903" s="1" t="str">
        <f>"085243"</f>
        <v>085243</v>
      </c>
      <c r="J1903" s="1" t="s">
        <v>28</v>
      </c>
      <c r="K1903" s="1" t="s">
        <v>28</v>
      </c>
      <c r="L1903" s="1" t="str">
        <f t="shared" si="356"/>
        <v>20220909</v>
      </c>
      <c r="M1903" s="1" t="str">
        <f>"092040"</f>
        <v>092040</v>
      </c>
      <c r="N1903" s="1" t="s">
        <v>60</v>
      </c>
      <c r="O1903" s="1" t="s">
        <v>52</v>
      </c>
      <c r="P1903" s="1" t="s">
        <v>68</v>
      </c>
      <c r="Q1903" s="1">
        <v>13</v>
      </c>
      <c r="R1903" s="1">
        <v>0</v>
      </c>
      <c r="S1903" s="1">
        <v>0</v>
      </c>
      <c r="T1903" s="1">
        <v>13</v>
      </c>
      <c r="U1903" s="1">
        <v>0</v>
      </c>
      <c r="V1903" s="1" t="str">
        <f t="shared" si="357"/>
        <v>里程返程</v>
      </c>
      <c r="W1903" s="1" t="str">
        <f>"0020"</f>
        <v>0020</v>
      </c>
      <c r="X1903" s="1" t="s">
        <v>29</v>
      </c>
    </row>
    <row r="1904" spans="1:24" x14ac:dyDescent="0.3">
      <c r="A1904" s="1" t="str">
        <f t="shared" si="358"/>
        <v>59822</v>
      </c>
      <c r="B1904" s="1" t="s">
        <v>39</v>
      </c>
      <c r="C1904" s="1" t="s">
        <v>40</v>
      </c>
      <c r="D1904" s="1" t="str">
        <f t="shared" si="359"/>
        <v>9801</v>
      </c>
      <c r="E1904" s="1" t="s">
        <v>25</v>
      </c>
      <c r="F1904" s="1" t="str">
        <f>"1075573717"</f>
        <v>1075573717</v>
      </c>
      <c r="G1904" s="1" t="s">
        <v>38</v>
      </c>
      <c r="H1904" s="1" t="str">
        <f t="shared" si="350"/>
        <v>20220909</v>
      </c>
      <c r="I1904" s="1" t="str">
        <f>"085305"</f>
        <v>085305</v>
      </c>
      <c r="J1904" s="1" t="s">
        <v>28</v>
      </c>
      <c r="K1904" s="1" t="s">
        <v>28</v>
      </c>
      <c r="L1904" s="1" t="str">
        <f t="shared" si="356"/>
        <v>20220909</v>
      </c>
      <c r="M1904" s="1" t="str">
        <f>"090940"</f>
        <v>090940</v>
      </c>
      <c r="N1904" s="1" t="s">
        <v>77</v>
      </c>
      <c r="O1904" s="1" t="s">
        <v>52</v>
      </c>
      <c r="P1904" s="1" t="s">
        <v>55</v>
      </c>
      <c r="Q1904" s="1">
        <v>25</v>
      </c>
      <c r="R1904" s="1">
        <v>0</v>
      </c>
      <c r="S1904" s="1">
        <v>25</v>
      </c>
      <c r="T1904" s="1">
        <v>0</v>
      </c>
      <c r="U1904" s="1">
        <v>0</v>
      </c>
      <c r="V1904" s="1" t="str">
        <f t="shared" si="357"/>
        <v>里程返程</v>
      </c>
      <c r="W1904" s="1" t="str">
        <f>"0820"</f>
        <v>0820</v>
      </c>
      <c r="X1904" s="1" t="s">
        <v>35</v>
      </c>
    </row>
    <row r="1905" spans="1:24" x14ac:dyDescent="0.3">
      <c r="A1905" s="1" t="str">
        <f t="shared" si="358"/>
        <v>59822</v>
      </c>
      <c r="B1905" s="1" t="s">
        <v>39</v>
      </c>
      <c r="C1905" s="1" t="s">
        <v>40</v>
      </c>
      <c r="D1905" s="1" t="str">
        <f t="shared" si="359"/>
        <v>9801</v>
      </c>
      <c r="E1905" s="1" t="s">
        <v>25</v>
      </c>
      <c r="F1905" s="1" t="str">
        <f>"980329205"</f>
        <v>980329205</v>
      </c>
      <c r="G1905" s="1" t="s">
        <v>33</v>
      </c>
      <c r="H1905" s="1" t="str">
        <f t="shared" si="350"/>
        <v>20220909</v>
      </c>
      <c r="I1905" s="1" t="str">
        <f>"094018"</f>
        <v>094018</v>
      </c>
      <c r="J1905" s="1" t="s">
        <v>75</v>
      </c>
      <c r="K1905" s="1" t="s">
        <v>45</v>
      </c>
      <c r="L1905" s="1" t="str">
        <f t="shared" si="356"/>
        <v>20220909</v>
      </c>
      <c r="M1905" s="1" t="str">
        <f>"095312"</f>
        <v>095312</v>
      </c>
      <c r="N1905" s="1" t="s">
        <v>28</v>
      </c>
      <c r="O1905" s="1" t="s">
        <v>28</v>
      </c>
      <c r="P1905" s="1" t="s">
        <v>55</v>
      </c>
      <c r="Q1905" s="1">
        <v>25</v>
      </c>
      <c r="R1905" s="1">
        <v>25</v>
      </c>
      <c r="S1905" s="1">
        <v>0</v>
      </c>
      <c r="T1905" s="1">
        <v>0</v>
      </c>
      <c r="U1905" s="1">
        <v>0</v>
      </c>
      <c r="V1905" s="1" t="str">
        <f t="shared" si="357"/>
        <v>里程返程</v>
      </c>
      <c r="W1905" s="1" t="str">
        <f>"2120"</f>
        <v>2120</v>
      </c>
      <c r="X1905" s="1" t="s">
        <v>35</v>
      </c>
    </row>
    <row r="1906" spans="1:24" x14ac:dyDescent="0.3">
      <c r="A1906" s="1" t="str">
        <f t="shared" si="358"/>
        <v>59822</v>
      </c>
      <c r="B1906" s="1" t="s">
        <v>39</v>
      </c>
      <c r="C1906" s="1" t="s">
        <v>40</v>
      </c>
      <c r="D1906" s="1" t="str">
        <f t="shared" si="359"/>
        <v>9801</v>
      </c>
      <c r="E1906" s="1" t="s">
        <v>25</v>
      </c>
      <c r="F1906" s="1" t="str">
        <f>"285817872"</f>
        <v>285817872</v>
      </c>
      <c r="G1906" s="1" t="s">
        <v>33</v>
      </c>
      <c r="H1906" s="1" t="str">
        <f t="shared" si="350"/>
        <v>20220909</v>
      </c>
      <c r="I1906" s="1" t="str">
        <f>"095321"</f>
        <v>095321</v>
      </c>
      <c r="J1906" s="1" t="s">
        <v>28</v>
      </c>
      <c r="K1906" s="1" t="s">
        <v>28</v>
      </c>
      <c r="L1906" s="1" t="str">
        <f t="shared" si="356"/>
        <v>20220909</v>
      </c>
      <c r="M1906" s="1" t="str">
        <f>"102149"</f>
        <v>102149</v>
      </c>
      <c r="N1906" s="1" t="s">
        <v>60</v>
      </c>
      <c r="O1906" s="1" t="s">
        <v>52</v>
      </c>
      <c r="P1906" s="1" t="s">
        <v>55</v>
      </c>
      <c r="Q1906" s="1">
        <v>25</v>
      </c>
      <c r="R1906" s="1">
        <v>0</v>
      </c>
      <c r="S1906" s="1">
        <v>25</v>
      </c>
      <c r="T1906" s="1">
        <v>0</v>
      </c>
      <c r="U1906" s="1">
        <v>0</v>
      </c>
      <c r="V1906" s="1" t="str">
        <f t="shared" si="357"/>
        <v>里程返程</v>
      </c>
      <c r="W1906" s="1" t="str">
        <f>"0820"</f>
        <v>0820</v>
      </c>
      <c r="X1906" s="1" t="s">
        <v>35</v>
      </c>
    </row>
    <row r="1907" spans="1:24" x14ac:dyDescent="0.3">
      <c r="A1907" s="1" t="str">
        <f t="shared" si="358"/>
        <v>59822</v>
      </c>
      <c r="B1907" s="1" t="s">
        <v>39</v>
      </c>
      <c r="C1907" s="1" t="s">
        <v>40</v>
      </c>
      <c r="D1907" s="1" t="str">
        <f t="shared" si="359"/>
        <v>9801</v>
      </c>
      <c r="E1907" s="1" t="s">
        <v>25</v>
      </c>
      <c r="F1907" s="1" t="str">
        <f>"01A7052F8C88040043288DA200010912"</f>
        <v>01A7052F8C88040043288DA200010912</v>
      </c>
      <c r="G1907" s="1" t="s">
        <v>64</v>
      </c>
      <c r="H1907" s="1" t="str">
        <f t="shared" si="350"/>
        <v>20220909</v>
      </c>
      <c r="I1907" s="1" t="str">
        <f>"095326"</f>
        <v>095326</v>
      </c>
      <c r="J1907" s="1" t="s">
        <v>28</v>
      </c>
      <c r="K1907" s="1" t="s">
        <v>28</v>
      </c>
      <c r="L1907" s="1" t="str">
        <f t="shared" si="356"/>
        <v>20220909</v>
      </c>
      <c r="M1907" s="1" t="str">
        <f>"101703"</f>
        <v>101703</v>
      </c>
      <c r="N1907" s="1" t="s">
        <v>65</v>
      </c>
      <c r="O1907" s="1" t="s">
        <v>52</v>
      </c>
      <c r="P1907" s="1" t="s">
        <v>55</v>
      </c>
      <c r="Q1907" s="1">
        <v>13</v>
      </c>
      <c r="R1907" s="1">
        <v>13</v>
      </c>
      <c r="S1907" s="1">
        <v>0</v>
      </c>
      <c r="T1907" s="1">
        <v>0</v>
      </c>
      <c r="U1907" s="1">
        <v>0</v>
      </c>
      <c r="V1907" s="1" t="str">
        <f t="shared" si="357"/>
        <v>里程返程</v>
      </c>
      <c r="W1907" s="1" t="str">
        <f>"0020"</f>
        <v>0020</v>
      </c>
      <c r="X1907" s="1" t="s">
        <v>29</v>
      </c>
    </row>
    <row r="1908" spans="1:24" x14ac:dyDescent="0.3">
      <c r="A1908" s="1" t="str">
        <f t="shared" si="358"/>
        <v>59822</v>
      </c>
      <c r="B1908" s="1" t="s">
        <v>39</v>
      </c>
      <c r="C1908" s="1" t="s">
        <v>40</v>
      </c>
      <c r="D1908" s="1" t="str">
        <f t="shared" si="359"/>
        <v>9801</v>
      </c>
      <c r="E1908" s="1" t="s">
        <v>25</v>
      </c>
      <c r="F1908" s="1" t="str">
        <f>"E1DDAE0092880400432494C60002080E"</f>
        <v>E1DDAE0092880400432494C60002080E</v>
      </c>
      <c r="G1908" s="1" t="s">
        <v>58</v>
      </c>
      <c r="H1908" s="1" t="str">
        <f t="shared" si="350"/>
        <v>20220909</v>
      </c>
      <c r="I1908" s="1" t="str">
        <f>"095329"</f>
        <v>095329</v>
      </c>
      <c r="J1908" s="1" t="s">
        <v>28</v>
      </c>
      <c r="K1908" s="1" t="s">
        <v>28</v>
      </c>
      <c r="L1908" s="1" t="str">
        <f t="shared" si="356"/>
        <v>20220909</v>
      </c>
      <c r="M1908" s="1" t="str">
        <f>"102526"</f>
        <v>102526</v>
      </c>
      <c r="N1908" s="1" t="s">
        <v>52</v>
      </c>
      <c r="O1908" s="1" t="s">
        <v>52</v>
      </c>
      <c r="P1908" s="1" t="s">
        <v>55</v>
      </c>
      <c r="Q1908" s="1">
        <v>25</v>
      </c>
      <c r="R1908" s="1">
        <v>25</v>
      </c>
      <c r="S1908" s="1">
        <v>0</v>
      </c>
      <c r="T1908" s="1">
        <v>0</v>
      </c>
      <c r="U1908" s="1">
        <v>0</v>
      </c>
      <c r="V1908" s="1" t="str">
        <f t="shared" si="357"/>
        <v>里程返程</v>
      </c>
      <c r="W1908" s="1" t="str">
        <f>"0020"</f>
        <v>0020</v>
      </c>
      <c r="X1908" s="1" t="s">
        <v>29</v>
      </c>
    </row>
    <row r="1909" spans="1:24" x14ac:dyDescent="0.3">
      <c r="A1909" s="1" t="str">
        <f t="shared" si="358"/>
        <v>59822</v>
      </c>
      <c r="B1909" s="1" t="s">
        <v>39</v>
      </c>
      <c r="C1909" s="1" t="s">
        <v>40</v>
      </c>
      <c r="D1909" s="1" t="str">
        <f t="shared" si="359"/>
        <v>9801</v>
      </c>
      <c r="E1909" s="1" t="s">
        <v>25</v>
      </c>
      <c r="F1909" s="1" t="str">
        <f>"1602752149"</f>
        <v>1602752149</v>
      </c>
      <c r="G1909" s="1" t="s">
        <v>33</v>
      </c>
      <c r="H1909" s="1" t="str">
        <f t="shared" si="350"/>
        <v>20220909</v>
      </c>
      <c r="I1909" s="1" t="str">
        <f>"095332"</f>
        <v>095332</v>
      </c>
      <c r="J1909" s="1" t="s">
        <v>28</v>
      </c>
      <c r="K1909" s="1" t="s">
        <v>28</v>
      </c>
      <c r="L1909" s="1" t="str">
        <f t="shared" si="356"/>
        <v>20220909</v>
      </c>
      <c r="M1909" s="1" t="str">
        <f>"102536"</f>
        <v>102536</v>
      </c>
      <c r="N1909" s="1" t="s">
        <v>52</v>
      </c>
      <c r="O1909" s="1" t="s">
        <v>52</v>
      </c>
      <c r="P1909" s="1" t="s">
        <v>55</v>
      </c>
      <c r="Q1909" s="1">
        <v>25</v>
      </c>
      <c r="R1909" s="1">
        <v>25</v>
      </c>
      <c r="S1909" s="1">
        <v>0</v>
      </c>
      <c r="T1909" s="1">
        <v>0</v>
      </c>
      <c r="U1909" s="1">
        <v>0</v>
      </c>
      <c r="V1909" s="1" t="str">
        <f t="shared" si="357"/>
        <v>里程返程</v>
      </c>
      <c r="W1909" s="1" t="str">
        <f>"1420"</f>
        <v>1420</v>
      </c>
      <c r="X1909" s="1" t="s">
        <v>35</v>
      </c>
    </row>
    <row r="1910" spans="1:24" x14ac:dyDescent="0.3">
      <c r="A1910" s="1" t="str">
        <f t="shared" si="358"/>
        <v>59822</v>
      </c>
      <c r="B1910" s="1" t="s">
        <v>39</v>
      </c>
      <c r="C1910" s="1" t="s">
        <v>40</v>
      </c>
      <c r="D1910" s="1" t="str">
        <f t="shared" si="359"/>
        <v>9801</v>
      </c>
      <c r="E1910" s="1" t="s">
        <v>25</v>
      </c>
      <c r="F1910" s="1" t="str">
        <f>"E14C3F30A2280400F700000000000000"</f>
        <v>E14C3F30A2280400F700000000000000</v>
      </c>
      <c r="G1910" s="1" t="s">
        <v>58</v>
      </c>
      <c r="H1910" s="1" t="str">
        <f t="shared" si="350"/>
        <v>20220909</v>
      </c>
      <c r="I1910" s="1" t="str">
        <f>"095340"</f>
        <v>095340</v>
      </c>
      <c r="J1910" s="1" t="s">
        <v>28</v>
      </c>
      <c r="K1910" s="1" t="s">
        <v>28</v>
      </c>
      <c r="L1910" s="1" t="str">
        <f t="shared" si="356"/>
        <v>20220909</v>
      </c>
      <c r="M1910" s="1" t="str">
        <f>"102154"</f>
        <v>102154</v>
      </c>
      <c r="N1910" s="1" t="s">
        <v>60</v>
      </c>
      <c r="O1910" s="1" t="s">
        <v>52</v>
      </c>
      <c r="P1910" s="1" t="s">
        <v>55</v>
      </c>
      <c r="Q1910" s="1">
        <v>25</v>
      </c>
      <c r="R1910" s="1">
        <v>25</v>
      </c>
      <c r="S1910" s="1">
        <v>0</v>
      </c>
      <c r="T1910" s="1">
        <v>0</v>
      </c>
      <c r="U1910" s="1">
        <v>0</v>
      </c>
      <c r="V1910" s="1" t="str">
        <f t="shared" si="357"/>
        <v>里程返程</v>
      </c>
      <c r="W1910" s="1" t="str">
        <f>"0020"</f>
        <v>0020</v>
      </c>
      <c r="X1910" s="1" t="s">
        <v>29</v>
      </c>
    </row>
    <row r="1911" spans="1:24" x14ac:dyDescent="0.3">
      <c r="A1911" s="1" t="str">
        <f t="shared" si="358"/>
        <v>59822</v>
      </c>
      <c r="B1911" s="1" t="s">
        <v>39</v>
      </c>
      <c r="C1911" s="1" t="s">
        <v>40</v>
      </c>
      <c r="D1911" s="1" t="str">
        <f t="shared" si="359"/>
        <v>9801</v>
      </c>
      <c r="E1911" s="1" t="s">
        <v>25</v>
      </c>
      <c r="F1911" s="1" t="str">
        <f>"7511191027001853"</f>
        <v>7511191027001853</v>
      </c>
      <c r="G1911" s="1" t="s">
        <v>33</v>
      </c>
      <c r="H1911" s="1" t="str">
        <f t="shared" si="350"/>
        <v>20220909</v>
      </c>
      <c r="I1911" s="1" t="str">
        <f>"095351"</f>
        <v>095351</v>
      </c>
      <c r="J1911" s="1" t="s">
        <v>28</v>
      </c>
      <c r="K1911" s="1" t="s">
        <v>28</v>
      </c>
      <c r="L1911" s="1" t="str">
        <f t="shared" si="356"/>
        <v>20220909</v>
      </c>
      <c r="M1911" s="1" t="str">
        <f>"102157"</f>
        <v>102157</v>
      </c>
      <c r="N1911" s="1" t="s">
        <v>60</v>
      </c>
      <c r="O1911" s="1" t="s">
        <v>52</v>
      </c>
      <c r="P1911" s="1" t="s">
        <v>55</v>
      </c>
      <c r="Q1911" s="1">
        <v>25</v>
      </c>
      <c r="R1911" s="1">
        <v>0</v>
      </c>
      <c r="S1911" s="1">
        <v>25</v>
      </c>
      <c r="T1911" s="1">
        <v>0</v>
      </c>
      <c r="U1911" s="1">
        <v>0</v>
      </c>
      <c r="V1911" s="1" t="str">
        <f t="shared" si="357"/>
        <v>里程返程</v>
      </c>
      <c r="W1911" s="1" t="str">
        <f>"083B"</f>
        <v>083B</v>
      </c>
      <c r="X1911" s="1" t="s">
        <v>109</v>
      </c>
    </row>
    <row r="1912" spans="1:24" x14ac:dyDescent="0.3">
      <c r="A1912" s="1" t="str">
        <f t="shared" si="358"/>
        <v>59822</v>
      </c>
      <c r="B1912" s="1" t="s">
        <v>39</v>
      </c>
      <c r="C1912" s="1" t="s">
        <v>40</v>
      </c>
      <c r="D1912" s="1" t="str">
        <f t="shared" si="359"/>
        <v>9801</v>
      </c>
      <c r="E1912" s="1" t="s">
        <v>25</v>
      </c>
      <c r="F1912" s="1" t="str">
        <f>"1614433126"</f>
        <v>1614433126</v>
      </c>
      <c r="G1912" s="1" t="s">
        <v>33</v>
      </c>
      <c r="H1912" s="1" t="str">
        <f t="shared" si="350"/>
        <v>20220909</v>
      </c>
      <c r="I1912" s="1" t="str">
        <f>"095655"</f>
        <v>095655</v>
      </c>
      <c r="J1912" s="1" t="s">
        <v>41</v>
      </c>
      <c r="K1912" s="1" t="s">
        <v>28</v>
      </c>
      <c r="L1912" s="1" t="str">
        <f t="shared" si="356"/>
        <v>20220909</v>
      </c>
      <c r="M1912" s="1" t="str">
        <f>"101524"</f>
        <v>101524</v>
      </c>
      <c r="N1912" s="1" t="s">
        <v>97</v>
      </c>
      <c r="O1912" s="1" t="s">
        <v>52</v>
      </c>
      <c r="P1912" s="1" t="s">
        <v>55</v>
      </c>
      <c r="Q1912" s="1">
        <v>25</v>
      </c>
      <c r="R1912" s="1">
        <v>25</v>
      </c>
      <c r="S1912" s="1">
        <v>0</v>
      </c>
      <c r="T1912" s="1">
        <v>0</v>
      </c>
      <c r="U1912" s="1">
        <v>0</v>
      </c>
      <c r="V1912" s="1" t="str">
        <f t="shared" si="357"/>
        <v>里程返程</v>
      </c>
      <c r="W1912" s="1" t="str">
        <f>"2020"</f>
        <v>2020</v>
      </c>
      <c r="X1912" s="1" t="s">
        <v>35</v>
      </c>
    </row>
    <row r="1913" spans="1:24" x14ac:dyDescent="0.3">
      <c r="A1913" s="1" t="str">
        <f t="shared" si="358"/>
        <v>59822</v>
      </c>
      <c r="B1913" s="1" t="s">
        <v>39</v>
      </c>
      <c r="C1913" s="1" t="s">
        <v>40</v>
      </c>
      <c r="D1913" s="1" t="str">
        <f t="shared" si="359"/>
        <v>9801</v>
      </c>
      <c r="E1913" s="1" t="s">
        <v>25</v>
      </c>
      <c r="F1913" s="1" t="str">
        <f>"289421249"</f>
        <v>289421249</v>
      </c>
      <c r="G1913" s="1" t="s">
        <v>33</v>
      </c>
      <c r="H1913" s="1" t="str">
        <f t="shared" si="350"/>
        <v>20220909</v>
      </c>
      <c r="I1913" s="1" t="str">
        <f>"100630"</f>
        <v>100630</v>
      </c>
      <c r="J1913" s="1" t="s">
        <v>67</v>
      </c>
      <c r="K1913" s="1" t="s">
        <v>52</v>
      </c>
      <c r="L1913" s="1" t="str">
        <f t="shared" si="356"/>
        <v>20220909</v>
      </c>
      <c r="M1913" s="1" t="str">
        <f>"100919"</f>
        <v>100919</v>
      </c>
      <c r="N1913" s="1" t="s">
        <v>69</v>
      </c>
      <c r="O1913" s="1" t="s">
        <v>52</v>
      </c>
      <c r="P1913" s="1" t="s">
        <v>55</v>
      </c>
      <c r="Q1913" s="1">
        <v>25</v>
      </c>
      <c r="R1913" s="1">
        <v>25</v>
      </c>
      <c r="S1913" s="1">
        <v>0</v>
      </c>
      <c r="T1913" s="1">
        <v>0</v>
      </c>
      <c r="U1913" s="1">
        <v>0</v>
      </c>
      <c r="V1913" s="1" t="str">
        <f t="shared" si="357"/>
        <v>里程返程</v>
      </c>
      <c r="W1913" s="1" t="str">
        <f>"0120"</f>
        <v>0120</v>
      </c>
      <c r="X1913" s="1" t="s">
        <v>35</v>
      </c>
    </row>
    <row r="1914" spans="1:24" x14ac:dyDescent="0.3">
      <c r="A1914" s="1" t="str">
        <f t="shared" si="358"/>
        <v>59822</v>
      </c>
      <c r="B1914" s="1" t="s">
        <v>39</v>
      </c>
      <c r="C1914" s="1" t="s">
        <v>40</v>
      </c>
      <c r="D1914" s="1" t="str">
        <f t="shared" si="359"/>
        <v>9801</v>
      </c>
      <c r="E1914" s="1" t="s">
        <v>25</v>
      </c>
      <c r="F1914" s="1" t="str">
        <f>"117406257"</f>
        <v>117406257</v>
      </c>
      <c r="G1914" s="1" t="s">
        <v>33</v>
      </c>
      <c r="H1914" s="1" t="str">
        <f t="shared" si="350"/>
        <v>20220909</v>
      </c>
      <c r="I1914" s="1" t="str">
        <f>"103522"</f>
        <v>103522</v>
      </c>
      <c r="J1914" s="1" t="s">
        <v>100</v>
      </c>
      <c r="K1914" s="1" t="s">
        <v>45</v>
      </c>
      <c r="L1914" s="1" t="str">
        <f t="shared" si="356"/>
        <v>20220909</v>
      </c>
      <c r="M1914" s="1" t="str">
        <f>"105106"</f>
        <v>105106</v>
      </c>
      <c r="N1914" s="1" t="s">
        <v>28</v>
      </c>
      <c r="O1914" s="1" t="s">
        <v>28</v>
      </c>
      <c r="P1914" s="1" t="s">
        <v>55</v>
      </c>
      <c r="Q1914" s="1">
        <v>25</v>
      </c>
      <c r="R1914" s="1">
        <v>25</v>
      </c>
      <c r="S1914" s="1">
        <v>0</v>
      </c>
      <c r="T1914" s="1">
        <v>0</v>
      </c>
      <c r="U1914" s="1">
        <v>0</v>
      </c>
      <c r="V1914" s="1" t="str">
        <f t="shared" si="357"/>
        <v>里程返程</v>
      </c>
      <c r="W1914" s="1" t="str">
        <f>"2020"</f>
        <v>2020</v>
      </c>
      <c r="X1914" s="1" t="s">
        <v>35</v>
      </c>
    </row>
    <row r="1915" spans="1:24" x14ac:dyDescent="0.3">
      <c r="A1915" s="1" t="str">
        <f t="shared" si="358"/>
        <v>59822</v>
      </c>
      <c r="B1915" s="1" t="s">
        <v>39</v>
      </c>
      <c r="C1915" s="1" t="s">
        <v>40</v>
      </c>
      <c r="D1915" s="1" t="str">
        <f t="shared" si="359"/>
        <v>9801</v>
      </c>
      <c r="E1915" s="1" t="s">
        <v>25</v>
      </c>
      <c r="F1915" s="1" t="str">
        <f>"1326888401"</f>
        <v>1326888401</v>
      </c>
      <c r="G1915" s="1" t="s">
        <v>33</v>
      </c>
      <c r="H1915" s="1" t="str">
        <f t="shared" si="350"/>
        <v>20220909</v>
      </c>
      <c r="I1915" s="1" t="str">
        <f>"103527"</f>
        <v>103527</v>
      </c>
      <c r="J1915" s="1" t="s">
        <v>100</v>
      </c>
      <c r="K1915" s="1" t="s">
        <v>45</v>
      </c>
      <c r="L1915" s="1" t="str">
        <f t="shared" si="356"/>
        <v>20220909</v>
      </c>
      <c r="M1915" s="1" t="str">
        <f>"105111"</f>
        <v>105111</v>
      </c>
      <c r="N1915" s="1" t="s">
        <v>28</v>
      </c>
      <c r="O1915" s="1" t="s">
        <v>28</v>
      </c>
      <c r="P1915" s="1" t="s">
        <v>55</v>
      </c>
      <c r="Q1915" s="1">
        <v>25</v>
      </c>
      <c r="R1915" s="1">
        <v>25</v>
      </c>
      <c r="S1915" s="1">
        <v>0</v>
      </c>
      <c r="T1915" s="1">
        <v>0</v>
      </c>
      <c r="U1915" s="1">
        <v>0</v>
      </c>
      <c r="V1915" s="1" t="str">
        <f t="shared" si="357"/>
        <v>里程返程</v>
      </c>
      <c r="W1915" s="1" t="str">
        <f>"2020"</f>
        <v>2020</v>
      </c>
      <c r="X1915" s="1" t="s">
        <v>35</v>
      </c>
    </row>
    <row r="1916" spans="1:24" x14ac:dyDescent="0.3">
      <c r="A1916" s="1" t="str">
        <f t="shared" si="358"/>
        <v>59822</v>
      </c>
      <c r="B1916" s="1" t="s">
        <v>39</v>
      </c>
      <c r="C1916" s="1" t="s">
        <v>40</v>
      </c>
      <c r="D1916" s="1" t="str">
        <f t="shared" si="359"/>
        <v>9801</v>
      </c>
      <c r="E1916" s="1" t="s">
        <v>25</v>
      </c>
      <c r="F1916" s="1" t="str">
        <f>"1695105317"</f>
        <v>1695105317</v>
      </c>
      <c r="G1916" s="1" t="s">
        <v>33</v>
      </c>
      <c r="H1916" s="1" t="str">
        <f t="shared" si="350"/>
        <v>20220909</v>
      </c>
      <c r="I1916" s="1" t="str">
        <f>"105118"</f>
        <v>105118</v>
      </c>
      <c r="J1916" s="1" t="s">
        <v>28</v>
      </c>
      <c r="K1916" s="1" t="s">
        <v>28</v>
      </c>
      <c r="L1916" s="1" t="str">
        <f t="shared" si="356"/>
        <v>20220909</v>
      </c>
      <c r="M1916" s="1" t="str">
        <f>"112550"</f>
        <v>112550</v>
      </c>
      <c r="N1916" s="1" t="s">
        <v>52</v>
      </c>
      <c r="O1916" s="1" t="s">
        <v>52</v>
      </c>
      <c r="P1916" s="1" t="s">
        <v>55</v>
      </c>
      <c r="Q1916" s="1">
        <v>25</v>
      </c>
      <c r="R1916" s="1">
        <v>0</v>
      </c>
      <c r="S1916" s="1">
        <v>25</v>
      </c>
      <c r="T1916" s="1">
        <v>0</v>
      </c>
      <c r="U1916" s="1">
        <v>0</v>
      </c>
      <c r="V1916" s="1" t="str">
        <f t="shared" si="357"/>
        <v>里程返程</v>
      </c>
      <c r="W1916" s="1" t="str">
        <f>"0820"</f>
        <v>0820</v>
      </c>
      <c r="X1916" s="1" t="s">
        <v>35</v>
      </c>
    </row>
    <row r="1917" spans="1:24" x14ac:dyDescent="0.3">
      <c r="A1917" s="1" t="str">
        <f t="shared" si="358"/>
        <v>59822</v>
      </c>
      <c r="B1917" s="1" t="s">
        <v>39</v>
      </c>
      <c r="C1917" s="1" t="s">
        <v>40</v>
      </c>
      <c r="D1917" s="1" t="str">
        <f t="shared" si="359"/>
        <v>9801</v>
      </c>
      <c r="E1917" s="1" t="s">
        <v>25</v>
      </c>
      <c r="F1917" s="1" t="str">
        <f>"1601789349"</f>
        <v>1601789349</v>
      </c>
      <c r="G1917" s="1" t="s">
        <v>33</v>
      </c>
      <c r="H1917" s="1" t="str">
        <f t="shared" si="350"/>
        <v>20220909</v>
      </c>
      <c r="I1917" s="1" t="str">
        <f>"105434"</f>
        <v>105434</v>
      </c>
      <c r="J1917" s="1" t="s">
        <v>28</v>
      </c>
      <c r="K1917" s="1" t="s">
        <v>28</v>
      </c>
      <c r="L1917" s="1" t="str">
        <f t="shared" si="356"/>
        <v>20220909</v>
      </c>
      <c r="M1917" s="1" t="str">
        <f>"111725"</f>
        <v>111725</v>
      </c>
      <c r="N1917" s="1" t="s">
        <v>72</v>
      </c>
      <c r="O1917" s="1" t="s">
        <v>52</v>
      </c>
      <c r="P1917" s="1" t="s">
        <v>55</v>
      </c>
      <c r="Q1917" s="1">
        <v>25</v>
      </c>
      <c r="R1917" s="1">
        <v>0</v>
      </c>
      <c r="S1917" s="1">
        <v>25</v>
      </c>
      <c r="T1917" s="1">
        <v>0</v>
      </c>
      <c r="U1917" s="1">
        <v>0</v>
      </c>
      <c r="V1917" s="1" t="str">
        <f t="shared" si="357"/>
        <v>里程返程</v>
      </c>
      <c r="W1917" s="1" t="str">
        <f>"0820"</f>
        <v>0820</v>
      </c>
      <c r="X1917" s="1" t="s">
        <v>35</v>
      </c>
    </row>
    <row r="1918" spans="1:24" x14ac:dyDescent="0.3">
      <c r="A1918" s="1" t="str">
        <f t="shared" si="358"/>
        <v>59822</v>
      </c>
      <c r="B1918" s="1" t="s">
        <v>39</v>
      </c>
      <c r="C1918" s="1" t="s">
        <v>40</v>
      </c>
      <c r="D1918" s="1" t="str">
        <f t="shared" si="359"/>
        <v>9801</v>
      </c>
      <c r="E1918" s="1" t="s">
        <v>25</v>
      </c>
      <c r="F1918" s="1" t="str">
        <f>"1252891861"</f>
        <v>1252891861</v>
      </c>
      <c r="G1918" s="1" t="s">
        <v>33</v>
      </c>
      <c r="H1918" s="1" t="str">
        <f t="shared" si="350"/>
        <v>20220909</v>
      </c>
      <c r="I1918" s="1" t="str">
        <f>"105437"</f>
        <v>105437</v>
      </c>
      <c r="J1918" s="1" t="s">
        <v>28</v>
      </c>
      <c r="K1918" s="1" t="s">
        <v>28</v>
      </c>
      <c r="L1918" s="1" t="str">
        <f t="shared" si="356"/>
        <v>20220909</v>
      </c>
      <c r="M1918" s="1" t="str">
        <f>"112548"</f>
        <v>112548</v>
      </c>
      <c r="N1918" s="1" t="s">
        <v>52</v>
      </c>
      <c r="O1918" s="1" t="s">
        <v>52</v>
      </c>
      <c r="P1918" s="1" t="s">
        <v>55</v>
      </c>
      <c r="Q1918" s="1">
        <v>25</v>
      </c>
      <c r="R1918" s="1">
        <v>0</v>
      </c>
      <c r="S1918" s="1">
        <v>25</v>
      </c>
      <c r="T1918" s="1">
        <v>0</v>
      </c>
      <c r="U1918" s="1">
        <v>0</v>
      </c>
      <c r="V1918" s="1" t="str">
        <f t="shared" si="357"/>
        <v>里程返程</v>
      </c>
      <c r="W1918" s="1" t="str">
        <f>"0820"</f>
        <v>0820</v>
      </c>
      <c r="X1918" s="1" t="s">
        <v>35</v>
      </c>
    </row>
    <row r="1919" spans="1:24" x14ac:dyDescent="0.3">
      <c r="A1919" s="1" t="str">
        <f t="shared" si="358"/>
        <v>59822</v>
      </c>
      <c r="B1919" s="1" t="s">
        <v>39</v>
      </c>
      <c r="C1919" s="1" t="s">
        <v>40</v>
      </c>
      <c r="D1919" s="1" t="str">
        <f t="shared" si="359"/>
        <v>9801</v>
      </c>
      <c r="E1919" s="1" t="s">
        <v>25</v>
      </c>
      <c r="F1919" s="1" t="str">
        <f>"A1C0DF49F7280400F700000000000000"</f>
        <v>A1C0DF49F7280400F700000000000000</v>
      </c>
      <c r="G1919" s="1" t="s">
        <v>58</v>
      </c>
      <c r="H1919" s="1" t="str">
        <f t="shared" si="350"/>
        <v>20220909</v>
      </c>
      <c r="I1919" s="1" t="str">
        <f>"115356"</f>
        <v>115356</v>
      </c>
      <c r="J1919" s="1" t="s">
        <v>28</v>
      </c>
      <c r="K1919" s="1" t="s">
        <v>28</v>
      </c>
      <c r="L1919" s="1" t="str">
        <f t="shared" si="356"/>
        <v>20220909</v>
      </c>
      <c r="M1919" s="1" t="str">
        <f>"120518"</f>
        <v>120518</v>
      </c>
      <c r="N1919" s="1" t="s">
        <v>67</v>
      </c>
      <c r="O1919" s="1" t="s">
        <v>52</v>
      </c>
      <c r="P1919" s="1" t="s">
        <v>55</v>
      </c>
      <c r="Q1919" s="1">
        <v>25</v>
      </c>
      <c r="R1919" s="1">
        <v>25</v>
      </c>
      <c r="S1919" s="1">
        <v>0</v>
      </c>
      <c r="T1919" s="1">
        <v>0</v>
      </c>
      <c r="U1919" s="1">
        <v>0</v>
      </c>
      <c r="V1919" s="1" t="str">
        <f t="shared" si="357"/>
        <v>里程返程</v>
      </c>
      <c r="W1919" s="1" t="str">
        <f>"0020"</f>
        <v>0020</v>
      </c>
      <c r="X1919" s="1" t="s">
        <v>29</v>
      </c>
    </row>
    <row r="1920" spans="1:24" x14ac:dyDescent="0.3">
      <c r="A1920" s="1" t="str">
        <f t="shared" si="358"/>
        <v>59822</v>
      </c>
      <c r="B1920" s="1" t="s">
        <v>39</v>
      </c>
      <c r="C1920" s="1" t="s">
        <v>40</v>
      </c>
      <c r="D1920" s="1" t="str">
        <f t="shared" si="359"/>
        <v>9801</v>
      </c>
      <c r="E1920" s="1" t="s">
        <v>25</v>
      </c>
      <c r="F1920" s="1" t="str">
        <f>"3608740355"</f>
        <v>3608740355</v>
      </c>
      <c r="G1920" s="1" t="s">
        <v>33</v>
      </c>
      <c r="H1920" s="1" t="str">
        <f t="shared" si="350"/>
        <v>20220909</v>
      </c>
      <c r="I1920" s="1" t="str">
        <f>"115359"</f>
        <v>115359</v>
      </c>
      <c r="J1920" s="1" t="s">
        <v>28</v>
      </c>
      <c r="K1920" s="1" t="s">
        <v>28</v>
      </c>
      <c r="L1920" s="1" t="str">
        <f t="shared" si="356"/>
        <v>20220909</v>
      </c>
      <c r="M1920" s="1" t="str">
        <f>"120907"</f>
        <v>120907</v>
      </c>
      <c r="N1920" s="1" t="s">
        <v>69</v>
      </c>
      <c r="O1920" s="1" t="s">
        <v>52</v>
      </c>
      <c r="P1920" s="1" t="s">
        <v>55</v>
      </c>
      <c r="Q1920" s="1">
        <v>25</v>
      </c>
      <c r="R1920" s="1">
        <v>25</v>
      </c>
      <c r="S1920" s="1">
        <v>0</v>
      </c>
      <c r="T1920" s="1">
        <v>0</v>
      </c>
      <c r="U1920" s="1">
        <v>0</v>
      </c>
      <c r="V1920" s="1" t="str">
        <f t="shared" si="357"/>
        <v>里程返程</v>
      </c>
      <c r="W1920" s="1" t="str">
        <f>"0820"</f>
        <v>0820</v>
      </c>
      <c r="X1920" s="1" t="s">
        <v>35</v>
      </c>
    </row>
    <row r="1921" spans="1:24" x14ac:dyDescent="0.3">
      <c r="A1921" s="1" t="str">
        <f t="shared" si="358"/>
        <v>59822</v>
      </c>
      <c r="B1921" s="1" t="s">
        <v>39</v>
      </c>
      <c r="C1921" s="1" t="s">
        <v>40</v>
      </c>
      <c r="D1921" s="1" t="str">
        <f t="shared" si="359"/>
        <v>9801</v>
      </c>
      <c r="E1921" s="1" t="s">
        <v>25</v>
      </c>
      <c r="F1921" s="1" t="str">
        <f>"792333905"</f>
        <v>792333905</v>
      </c>
      <c r="G1921" s="1" t="s">
        <v>38</v>
      </c>
      <c r="H1921" s="1" t="str">
        <f t="shared" si="350"/>
        <v>20220909</v>
      </c>
      <c r="I1921" s="1" t="str">
        <f>"115416"</f>
        <v>115416</v>
      </c>
      <c r="J1921" s="1" t="s">
        <v>28</v>
      </c>
      <c r="K1921" s="1" t="s">
        <v>28</v>
      </c>
      <c r="L1921" s="1" t="str">
        <f t="shared" si="356"/>
        <v>20220909</v>
      </c>
      <c r="M1921" s="1" t="str">
        <f>"115909"</f>
        <v>115909</v>
      </c>
      <c r="N1921" s="1" t="s">
        <v>84</v>
      </c>
      <c r="O1921" s="1" t="s">
        <v>28</v>
      </c>
      <c r="P1921" s="1" t="s">
        <v>55</v>
      </c>
      <c r="Q1921" s="1">
        <v>25</v>
      </c>
      <c r="R1921" s="1">
        <v>25</v>
      </c>
      <c r="S1921" s="1">
        <v>0</v>
      </c>
      <c r="T1921" s="1">
        <v>0</v>
      </c>
      <c r="U1921" s="1">
        <v>0</v>
      </c>
      <c r="V1921" s="1" t="str">
        <f t="shared" si="357"/>
        <v>里程返程</v>
      </c>
      <c r="W1921" s="1" t="str">
        <f>"0120"</f>
        <v>0120</v>
      </c>
      <c r="X1921" s="1" t="s">
        <v>35</v>
      </c>
    </row>
    <row r="1922" spans="1:24" x14ac:dyDescent="0.3">
      <c r="A1922" s="1" t="str">
        <f t="shared" si="358"/>
        <v>59822</v>
      </c>
      <c r="B1922" s="1" t="s">
        <v>39</v>
      </c>
      <c r="C1922" s="1" t="s">
        <v>40</v>
      </c>
      <c r="D1922" s="1" t="str">
        <f t="shared" si="359"/>
        <v>9801</v>
      </c>
      <c r="E1922" s="1" t="s">
        <v>25</v>
      </c>
      <c r="F1922" s="1" t="str">
        <f>"692346149"</f>
        <v>692346149</v>
      </c>
      <c r="G1922" s="1" t="s">
        <v>33</v>
      </c>
      <c r="H1922" s="1" t="str">
        <f t="shared" ref="H1922:H1985" si="360">"20220909"</f>
        <v>20220909</v>
      </c>
      <c r="I1922" s="1" t="str">
        <f>"115425"</f>
        <v>115425</v>
      </c>
      <c r="J1922" s="1" t="s">
        <v>28</v>
      </c>
      <c r="K1922" s="1" t="s">
        <v>28</v>
      </c>
      <c r="L1922" s="1" t="str">
        <f t="shared" ref="L1922:L1945" si="361">"20220909"</f>
        <v>20220909</v>
      </c>
      <c r="M1922" s="1" t="str">
        <f>"115906"</f>
        <v>115906</v>
      </c>
      <c r="N1922" s="1" t="s">
        <v>84</v>
      </c>
      <c r="O1922" s="1" t="s">
        <v>28</v>
      </c>
      <c r="P1922" s="1" t="s">
        <v>55</v>
      </c>
      <c r="Q1922" s="1">
        <v>25</v>
      </c>
      <c r="R1922" s="1">
        <v>25</v>
      </c>
      <c r="S1922" s="1">
        <v>0</v>
      </c>
      <c r="T1922" s="1">
        <v>0</v>
      </c>
      <c r="U1922" s="1">
        <v>0</v>
      </c>
      <c r="V1922" s="1" t="str">
        <f t="shared" si="357"/>
        <v>里程返程</v>
      </c>
      <c r="W1922" s="1" t="str">
        <f>"2020"</f>
        <v>2020</v>
      </c>
      <c r="X1922" s="1" t="s">
        <v>35</v>
      </c>
    </row>
    <row r="1923" spans="1:24" x14ac:dyDescent="0.3">
      <c r="A1923" s="1" t="str">
        <f t="shared" si="358"/>
        <v>59822</v>
      </c>
      <c r="B1923" s="1" t="s">
        <v>39</v>
      </c>
      <c r="C1923" s="1" t="s">
        <v>40</v>
      </c>
      <c r="D1923" s="1" t="str">
        <f t="shared" si="359"/>
        <v>9801</v>
      </c>
      <c r="E1923" s="1" t="s">
        <v>25</v>
      </c>
      <c r="F1923" s="1" t="str">
        <f>"F27CE6026A880400C834002000000015"</f>
        <v>F27CE6026A880400C834002000000015</v>
      </c>
      <c r="G1923" s="1" t="s">
        <v>74</v>
      </c>
      <c r="H1923" s="1" t="str">
        <f t="shared" si="360"/>
        <v>20220909</v>
      </c>
      <c r="I1923" s="1" t="str">
        <f>"122158"</f>
        <v>122158</v>
      </c>
      <c r="J1923" s="1" t="s">
        <v>60</v>
      </c>
      <c r="K1923" s="1" t="s">
        <v>52</v>
      </c>
      <c r="L1923" s="1" t="str">
        <f t="shared" si="361"/>
        <v>20220909</v>
      </c>
      <c r="M1923" s="1" t="str">
        <f>"122513"</f>
        <v>122513</v>
      </c>
      <c r="N1923" s="1" t="s">
        <v>52</v>
      </c>
      <c r="O1923" s="1" t="s">
        <v>52</v>
      </c>
      <c r="P1923" s="1" t="s">
        <v>68</v>
      </c>
      <c r="Q1923" s="1">
        <v>13</v>
      </c>
      <c r="R1923" s="1">
        <v>0</v>
      </c>
      <c r="S1923" s="1">
        <v>0</v>
      </c>
      <c r="T1923" s="1">
        <v>13</v>
      </c>
      <c r="U1923" s="1">
        <v>0</v>
      </c>
      <c r="V1923" s="1" t="str">
        <f t="shared" si="357"/>
        <v>里程返程</v>
      </c>
      <c r="W1923" s="1" t="str">
        <f>"0020"</f>
        <v>0020</v>
      </c>
      <c r="X1923" s="1" t="s">
        <v>29</v>
      </c>
    </row>
    <row r="1924" spans="1:24" x14ac:dyDescent="0.3">
      <c r="A1924" s="1" t="str">
        <f t="shared" si="358"/>
        <v>59822</v>
      </c>
      <c r="B1924" s="1" t="s">
        <v>39</v>
      </c>
      <c r="C1924" s="1" t="s">
        <v>40</v>
      </c>
      <c r="D1924" s="1" t="str">
        <f>"9805"</f>
        <v>9805</v>
      </c>
      <c r="E1924" s="1" t="s">
        <v>57</v>
      </c>
      <c r="F1924" s="1" t="str">
        <f>"3004605842"</f>
        <v>3004605842</v>
      </c>
      <c r="G1924" s="1" t="s">
        <v>33</v>
      </c>
      <c r="H1924" s="1" t="str">
        <f t="shared" si="360"/>
        <v>20220909</v>
      </c>
      <c r="I1924" s="1" t="str">
        <f>"142602"</f>
        <v>142602</v>
      </c>
      <c r="J1924" s="1" t="s">
        <v>28</v>
      </c>
      <c r="K1924" s="1" t="s">
        <v>28</v>
      </c>
      <c r="L1924" s="1" t="str">
        <f t="shared" si="361"/>
        <v>20220909</v>
      </c>
      <c r="M1924" s="1" t="str">
        <f>"144425"</f>
        <v>144425</v>
      </c>
      <c r="N1924" s="1" t="s">
        <v>62</v>
      </c>
      <c r="O1924" s="1" t="s">
        <v>28</v>
      </c>
      <c r="P1924" s="1" t="s">
        <v>55</v>
      </c>
      <c r="Q1924" s="1">
        <v>25</v>
      </c>
      <c r="R1924" s="1">
        <v>25</v>
      </c>
      <c r="S1924" s="1">
        <v>0</v>
      </c>
      <c r="T1924" s="1">
        <v>0</v>
      </c>
      <c r="U1924" s="1">
        <v>0</v>
      </c>
      <c r="V1924" s="1" t="str">
        <f>"里程去程"</f>
        <v>里程去程</v>
      </c>
      <c r="W1924" s="1" t="str">
        <f>"0920"</f>
        <v>0920</v>
      </c>
      <c r="X1924" s="1" t="s">
        <v>35</v>
      </c>
    </row>
    <row r="1925" spans="1:24" x14ac:dyDescent="0.3">
      <c r="A1925" s="1" t="str">
        <f t="shared" si="358"/>
        <v>59822</v>
      </c>
      <c r="B1925" s="1" t="s">
        <v>39</v>
      </c>
      <c r="C1925" s="1" t="s">
        <v>40</v>
      </c>
      <c r="D1925" s="1" t="str">
        <f>"9805"</f>
        <v>9805</v>
      </c>
      <c r="E1925" s="1" t="s">
        <v>57</v>
      </c>
      <c r="F1925" s="1" t="str">
        <f>"585533137"</f>
        <v>585533137</v>
      </c>
      <c r="G1925" s="1" t="s">
        <v>33</v>
      </c>
      <c r="H1925" s="1" t="str">
        <f t="shared" si="360"/>
        <v>20220909</v>
      </c>
      <c r="I1925" s="1" t="str">
        <f>"142605"</f>
        <v>142605</v>
      </c>
      <c r="J1925" s="1" t="s">
        <v>28</v>
      </c>
      <c r="K1925" s="1" t="s">
        <v>28</v>
      </c>
      <c r="L1925" s="1" t="str">
        <f t="shared" si="361"/>
        <v>20220909</v>
      </c>
      <c r="M1925" s="1" t="str">
        <f>"144421"</f>
        <v>144421</v>
      </c>
      <c r="N1925" s="1" t="s">
        <v>62</v>
      </c>
      <c r="O1925" s="1" t="s">
        <v>28</v>
      </c>
      <c r="P1925" s="1" t="s">
        <v>55</v>
      </c>
      <c r="Q1925" s="1">
        <v>25</v>
      </c>
      <c r="R1925" s="1">
        <v>25</v>
      </c>
      <c r="S1925" s="1">
        <v>0</v>
      </c>
      <c r="T1925" s="1">
        <v>0</v>
      </c>
      <c r="U1925" s="1">
        <v>0</v>
      </c>
      <c r="V1925" s="1" t="str">
        <f>"里程去程"</f>
        <v>里程去程</v>
      </c>
      <c r="W1925" s="1" t="str">
        <f>"0920"</f>
        <v>0920</v>
      </c>
      <c r="X1925" s="1" t="s">
        <v>35</v>
      </c>
    </row>
    <row r="1926" spans="1:24" x14ac:dyDescent="0.3">
      <c r="A1926" s="1" t="str">
        <f t="shared" si="358"/>
        <v>59822</v>
      </c>
      <c r="B1926" s="1" t="s">
        <v>39</v>
      </c>
      <c r="C1926" s="1" t="s">
        <v>40</v>
      </c>
      <c r="D1926" s="1" t="str">
        <f>"9805"</f>
        <v>9805</v>
      </c>
      <c r="E1926" s="1" t="s">
        <v>57</v>
      </c>
      <c r="F1926" s="1" t="str">
        <f>"3520776227"</f>
        <v>3520776227</v>
      </c>
      <c r="G1926" s="1" t="s">
        <v>33</v>
      </c>
      <c r="H1926" s="1" t="str">
        <f t="shared" si="360"/>
        <v>20220909</v>
      </c>
      <c r="I1926" s="1" t="str">
        <f>"142609"</f>
        <v>142609</v>
      </c>
      <c r="J1926" s="1" t="s">
        <v>28</v>
      </c>
      <c r="K1926" s="1" t="s">
        <v>28</v>
      </c>
      <c r="L1926" s="1" t="str">
        <f t="shared" si="361"/>
        <v>20220909</v>
      </c>
      <c r="M1926" s="1" t="str">
        <f>"144659"</f>
        <v>144659</v>
      </c>
      <c r="N1926" s="1" t="s">
        <v>52</v>
      </c>
      <c r="O1926" s="1" t="s">
        <v>52</v>
      </c>
      <c r="P1926" s="1" t="s">
        <v>55</v>
      </c>
      <c r="Q1926" s="1">
        <v>25</v>
      </c>
      <c r="R1926" s="1">
        <v>0</v>
      </c>
      <c r="S1926" s="1">
        <v>25</v>
      </c>
      <c r="T1926" s="1">
        <v>0</v>
      </c>
      <c r="U1926" s="1">
        <v>0</v>
      </c>
      <c r="V1926" s="1" t="str">
        <f>"里程去程"</f>
        <v>里程去程</v>
      </c>
      <c r="W1926" s="1" t="str">
        <f>"0820"</f>
        <v>0820</v>
      </c>
      <c r="X1926" s="1" t="s">
        <v>35</v>
      </c>
    </row>
    <row r="1927" spans="1:24" x14ac:dyDescent="0.3">
      <c r="A1927" s="1" t="str">
        <f t="shared" si="358"/>
        <v>59822</v>
      </c>
      <c r="B1927" s="1" t="s">
        <v>39</v>
      </c>
      <c r="C1927" s="1" t="s">
        <v>40</v>
      </c>
      <c r="D1927" s="1" t="str">
        <f>"9805"</f>
        <v>9805</v>
      </c>
      <c r="E1927" s="1" t="s">
        <v>57</v>
      </c>
      <c r="F1927" s="1" t="str">
        <f>"1143624437"</f>
        <v>1143624437</v>
      </c>
      <c r="G1927" s="1" t="s">
        <v>33</v>
      </c>
      <c r="H1927" s="1" t="str">
        <f t="shared" si="360"/>
        <v>20220909</v>
      </c>
      <c r="I1927" s="1" t="str">
        <f>"142613"</f>
        <v>142613</v>
      </c>
      <c r="J1927" s="1" t="s">
        <v>28</v>
      </c>
      <c r="K1927" s="1" t="s">
        <v>28</v>
      </c>
      <c r="L1927" s="1" t="str">
        <f t="shared" si="361"/>
        <v>20220909</v>
      </c>
      <c r="M1927" s="1" t="str">
        <f>"144702"</f>
        <v>144702</v>
      </c>
      <c r="N1927" s="1" t="s">
        <v>52</v>
      </c>
      <c r="O1927" s="1" t="s">
        <v>52</v>
      </c>
      <c r="P1927" s="1" t="s">
        <v>55</v>
      </c>
      <c r="Q1927" s="1">
        <v>25</v>
      </c>
      <c r="R1927" s="1">
        <v>25</v>
      </c>
      <c r="S1927" s="1">
        <v>0</v>
      </c>
      <c r="T1927" s="1">
        <v>0</v>
      </c>
      <c r="U1927" s="1">
        <v>0</v>
      </c>
      <c r="V1927" s="1" t="str">
        <f>"里程去程"</f>
        <v>里程去程</v>
      </c>
      <c r="W1927" s="1" t="str">
        <f>"1420"</f>
        <v>1420</v>
      </c>
      <c r="X1927" s="1" t="s">
        <v>35</v>
      </c>
    </row>
    <row r="1928" spans="1:24" x14ac:dyDescent="0.3">
      <c r="A1928" s="1" t="str">
        <f t="shared" si="358"/>
        <v>59822</v>
      </c>
      <c r="B1928" s="1" t="s">
        <v>39</v>
      </c>
      <c r="C1928" s="1" t="s">
        <v>40</v>
      </c>
      <c r="D1928" s="1" t="str">
        <f>"9805"</f>
        <v>9805</v>
      </c>
      <c r="E1928" s="1" t="s">
        <v>57</v>
      </c>
      <c r="F1928" s="1" t="str">
        <f>"227664175"</f>
        <v>227664175</v>
      </c>
      <c r="G1928" s="1" t="s">
        <v>33</v>
      </c>
      <c r="H1928" s="1" t="str">
        <f t="shared" si="360"/>
        <v>20220909</v>
      </c>
      <c r="I1928" s="1" t="str">
        <f>"142616"</f>
        <v>142616</v>
      </c>
      <c r="J1928" s="1" t="s">
        <v>28</v>
      </c>
      <c r="K1928" s="1" t="s">
        <v>28</v>
      </c>
      <c r="L1928" s="1" t="str">
        <f t="shared" si="361"/>
        <v>20220909</v>
      </c>
      <c r="M1928" s="1" t="str">
        <f>"144428"</f>
        <v>144428</v>
      </c>
      <c r="N1928" s="1" t="s">
        <v>62</v>
      </c>
      <c r="O1928" s="1" t="s">
        <v>28</v>
      </c>
      <c r="P1928" s="1" t="s">
        <v>55</v>
      </c>
      <c r="Q1928" s="1">
        <v>25</v>
      </c>
      <c r="R1928" s="1">
        <v>0</v>
      </c>
      <c r="S1928" s="1">
        <v>25</v>
      </c>
      <c r="T1928" s="1">
        <v>0</v>
      </c>
      <c r="U1928" s="1">
        <v>0</v>
      </c>
      <c r="V1928" s="1" t="str">
        <f>"里程去程"</f>
        <v>里程去程</v>
      </c>
      <c r="W1928" s="1" t="str">
        <f>"0820"</f>
        <v>0820</v>
      </c>
      <c r="X1928" s="1" t="s">
        <v>35</v>
      </c>
    </row>
    <row r="1929" spans="1:24" x14ac:dyDescent="0.3">
      <c r="A1929" s="1" t="str">
        <f t="shared" si="358"/>
        <v>59822</v>
      </c>
      <c r="B1929" s="1" t="s">
        <v>39</v>
      </c>
      <c r="C1929" s="1" t="s">
        <v>40</v>
      </c>
      <c r="D1929" s="1" t="str">
        <f t="shared" ref="D1929:D1938" si="362">"9803"</f>
        <v>9803</v>
      </c>
      <c r="E1929" s="1" t="s">
        <v>32</v>
      </c>
      <c r="F1929" s="1" t="str">
        <f>"3492741959"</f>
        <v>3492741959</v>
      </c>
      <c r="G1929" s="1" t="s">
        <v>33</v>
      </c>
      <c r="H1929" s="1" t="str">
        <f t="shared" si="360"/>
        <v>20220909</v>
      </c>
      <c r="I1929" s="1" t="str">
        <f>"152929"</f>
        <v>152929</v>
      </c>
      <c r="J1929" s="1" t="s">
        <v>34</v>
      </c>
      <c r="K1929" s="1" t="s">
        <v>34</v>
      </c>
      <c r="L1929" s="1" t="str">
        <f t="shared" si="361"/>
        <v>20220909</v>
      </c>
      <c r="M1929" s="1" t="str">
        <f>"160850"</f>
        <v>160850</v>
      </c>
      <c r="N1929" s="1" t="s">
        <v>28</v>
      </c>
      <c r="O1929" s="1" t="s">
        <v>28</v>
      </c>
      <c r="P1929" s="1" t="s">
        <v>55</v>
      </c>
      <c r="Q1929" s="1">
        <v>25</v>
      </c>
      <c r="R1929" s="1">
        <v>25</v>
      </c>
      <c r="S1929" s="1">
        <v>0</v>
      </c>
      <c r="T1929" s="1">
        <v>0</v>
      </c>
      <c r="U1929" s="1">
        <v>0</v>
      </c>
      <c r="V1929" s="1" t="str">
        <f t="shared" ref="V1929:V1938" si="363">"里程返程"</f>
        <v>里程返程</v>
      </c>
      <c r="W1929" s="1" t="str">
        <f>"0120"</f>
        <v>0120</v>
      </c>
      <c r="X1929" s="1" t="s">
        <v>35</v>
      </c>
    </row>
    <row r="1930" spans="1:24" x14ac:dyDescent="0.3">
      <c r="A1930" s="1" t="str">
        <f t="shared" si="358"/>
        <v>59822</v>
      </c>
      <c r="B1930" s="1" t="s">
        <v>39</v>
      </c>
      <c r="C1930" s="1" t="s">
        <v>40</v>
      </c>
      <c r="D1930" s="1" t="str">
        <f t="shared" si="362"/>
        <v>9803</v>
      </c>
      <c r="E1930" s="1" t="s">
        <v>32</v>
      </c>
      <c r="F1930" s="1" t="str">
        <f>"1838200229"</f>
        <v>1838200229</v>
      </c>
      <c r="G1930" s="1" t="s">
        <v>33</v>
      </c>
      <c r="H1930" s="1" t="str">
        <f t="shared" si="360"/>
        <v>20220909</v>
      </c>
      <c r="I1930" s="1" t="str">
        <f>"152934"</f>
        <v>152934</v>
      </c>
      <c r="J1930" s="1" t="s">
        <v>34</v>
      </c>
      <c r="K1930" s="1" t="s">
        <v>34</v>
      </c>
      <c r="L1930" s="1" t="str">
        <f t="shared" si="361"/>
        <v>20220909</v>
      </c>
      <c r="M1930" s="1" t="str">
        <f>"160845"</f>
        <v>160845</v>
      </c>
      <c r="N1930" s="1" t="s">
        <v>28</v>
      </c>
      <c r="O1930" s="1" t="s">
        <v>28</v>
      </c>
      <c r="P1930" s="1" t="s">
        <v>55</v>
      </c>
      <c r="Q1930" s="1">
        <v>25</v>
      </c>
      <c r="R1930" s="1">
        <v>25</v>
      </c>
      <c r="S1930" s="1">
        <v>0</v>
      </c>
      <c r="T1930" s="1">
        <v>0</v>
      </c>
      <c r="U1930" s="1">
        <v>0</v>
      </c>
      <c r="V1930" s="1" t="str">
        <f t="shared" si="363"/>
        <v>里程返程</v>
      </c>
      <c r="W1930" s="1" t="str">
        <f>"2020"</f>
        <v>2020</v>
      </c>
      <c r="X1930" s="1" t="s">
        <v>35</v>
      </c>
    </row>
    <row r="1931" spans="1:24" x14ac:dyDescent="0.3">
      <c r="A1931" s="1" t="str">
        <f t="shared" si="358"/>
        <v>59822</v>
      </c>
      <c r="B1931" s="1" t="s">
        <v>39</v>
      </c>
      <c r="C1931" s="1" t="s">
        <v>40</v>
      </c>
      <c r="D1931" s="1" t="str">
        <f t="shared" si="362"/>
        <v>9803</v>
      </c>
      <c r="E1931" s="1" t="s">
        <v>32</v>
      </c>
      <c r="F1931" s="1" t="str">
        <f>"1631912597"</f>
        <v>1631912597</v>
      </c>
      <c r="G1931" s="1" t="s">
        <v>38</v>
      </c>
      <c r="H1931" s="1" t="str">
        <f t="shared" si="360"/>
        <v>20220909</v>
      </c>
      <c r="I1931" s="1" t="str">
        <f>"152937"</f>
        <v>152937</v>
      </c>
      <c r="J1931" s="1" t="s">
        <v>34</v>
      </c>
      <c r="K1931" s="1" t="s">
        <v>34</v>
      </c>
      <c r="L1931" s="1" t="str">
        <f t="shared" si="361"/>
        <v>20220909</v>
      </c>
      <c r="M1931" s="1" t="str">
        <f>"160855"</f>
        <v>160855</v>
      </c>
      <c r="N1931" s="1" t="s">
        <v>28</v>
      </c>
      <c r="O1931" s="1" t="s">
        <v>28</v>
      </c>
      <c r="P1931" s="1" t="s">
        <v>55</v>
      </c>
      <c r="Q1931" s="1">
        <v>25</v>
      </c>
      <c r="R1931" s="1">
        <v>25</v>
      </c>
      <c r="S1931" s="1">
        <v>0</v>
      </c>
      <c r="T1931" s="1">
        <v>0</v>
      </c>
      <c r="U1931" s="1">
        <v>0</v>
      </c>
      <c r="V1931" s="1" t="str">
        <f t="shared" si="363"/>
        <v>里程返程</v>
      </c>
      <c r="W1931" s="1" t="str">
        <f>"0120"</f>
        <v>0120</v>
      </c>
      <c r="X1931" s="1" t="s">
        <v>35</v>
      </c>
    </row>
    <row r="1932" spans="1:24" x14ac:dyDescent="0.3">
      <c r="A1932" s="1" t="str">
        <f t="shared" si="358"/>
        <v>59822</v>
      </c>
      <c r="B1932" s="1" t="s">
        <v>39</v>
      </c>
      <c r="C1932" s="1" t="s">
        <v>40</v>
      </c>
      <c r="D1932" s="1" t="str">
        <f t="shared" si="362"/>
        <v>9803</v>
      </c>
      <c r="E1932" s="1" t="s">
        <v>32</v>
      </c>
      <c r="F1932" s="1" t="str">
        <f>"538397825"</f>
        <v>538397825</v>
      </c>
      <c r="G1932" s="1" t="s">
        <v>33</v>
      </c>
      <c r="H1932" s="1" t="str">
        <f t="shared" si="360"/>
        <v>20220909</v>
      </c>
      <c r="I1932" s="1" t="str">
        <f>"152943"</f>
        <v>152943</v>
      </c>
      <c r="J1932" s="1" t="s">
        <v>34</v>
      </c>
      <c r="K1932" s="1" t="s">
        <v>34</v>
      </c>
      <c r="L1932" s="1" t="str">
        <f t="shared" si="361"/>
        <v>20220909</v>
      </c>
      <c r="M1932" s="1" t="str">
        <f>"160838"</f>
        <v>160838</v>
      </c>
      <c r="N1932" s="1" t="s">
        <v>28</v>
      </c>
      <c r="O1932" s="1" t="s">
        <v>28</v>
      </c>
      <c r="P1932" s="1" t="s">
        <v>55</v>
      </c>
      <c r="Q1932" s="1">
        <v>25</v>
      </c>
      <c r="R1932" s="1">
        <v>25</v>
      </c>
      <c r="S1932" s="1">
        <v>0</v>
      </c>
      <c r="T1932" s="1">
        <v>0</v>
      </c>
      <c r="U1932" s="1">
        <v>0</v>
      </c>
      <c r="V1932" s="1" t="str">
        <f t="shared" si="363"/>
        <v>里程返程</v>
      </c>
      <c r="W1932" s="1" t="str">
        <f>"2020"</f>
        <v>2020</v>
      </c>
      <c r="X1932" s="1" t="s">
        <v>35</v>
      </c>
    </row>
    <row r="1933" spans="1:24" x14ac:dyDescent="0.3">
      <c r="A1933" s="1" t="str">
        <f t="shared" si="358"/>
        <v>59822</v>
      </c>
      <c r="B1933" s="1" t="s">
        <v>39</v>
      </c>
      <c r="C1933" s="1" t="s">
        <v>40</v>
      </c>
      <c r="D1933" s="1" t="str">
        <f t="shared" si="362"/>
        <v>9803</v>
      </c>
      <c r="E1933" s="1" t="s">
        <v>32</v>
      </c>
      <c r="F1933" s="1" t="str">
        <f>"549517185"</f>
        <v>549517185</v>
      </c>
      <c r="G1933" s="1" t="s">
        <v>33</v>
      </c>
      <c r="H1933" s="1" t="str">
        <f t="shared" si="360"/>
        <v>20220909</v>
      </c>
      <c r="I1933" s="1" t="str">
        <f>"152948"</f>
        <v>152948</v>
      </c>
      <c r="J1933" s="1" t="s">
        <v>34</v>
      </c>
      <c r="K1933" s="1" t="s">
        <v>34</v>
      </c>
      <c r="L1933" s="1" t="str">
        <f t="shared" si="361"/>
        <v>20220909</v>
      </c>
      <c r="M1933" s="1" t="str">
        <f>"160833"</f>
        <v>160833</v>
      </c>
      <c r="N1933" s="1" t="s">
        <v>28</v>
      </c>
      <c r="O1933" s="1" t="s">
        <v>28</v>
      </c>
      <c r="P1933" s="1" t="s">
        <v>55</v>
      </c>
      <c r="Q1933" s="1">
        <v>25</v>
      </c>
      <c r="R1933" s="1">
        <v>25</v>
      </c>
      <c r="S1933" s="1">
        <v>0</v>
      </c>
      <c r="T1933" s="1">
        <v>0</v>
      </c>
      <c r="U1933" s="1">
        <v>0</v>
      </c>
      <c r="V1933" s="1" t="str">
        <f t="shared" si="363"/>
        <v>里程返程</v>
      </c>
      <c r="W1933" s="1" t="str">
        <f>"0120"</f>
        <v>0120</v>
      </c>
      <c r="X1933" s="1" t="s">
        <v>35</v>
      </c>
    </row>
    <row r="1934" spans="1:24" x14ac:dyDescent="0.3">
      <c r="A1934" s="1" t="str">
        <f t="shared" si="358"/>
        <v>59822</v>
      </c>
      <c r="B1934" s="1" t="s">
        <v>39</v>
      </c>
      <c r="C1934" s="1" t="s">
        <v>40</v>
      </c>
      <c r="D1934" s="1" t="str">
        <f t="shared" si="362"/>
        <v>9803</v>
      </c>
      <c r="E1934" s="1" t="s">
        <v>32</v>
      </c>
      <c r="F1934" s="1" t="str">
        <f>"E1D276195C280400F700000000000000"</f>
        <v>E1D276195C280400F700000000000000</v>
      </c>
      <c r="G1934" s="1" t="s">
        <v>58</v>
      </c>
      <c r="H1934" s="1" t="str">
        <f t="shared" si="360"/>
        <v>20220909</v>
      </c>
      <c r="I1934" s="1" t="str">
        <f>"152957"</f>
        <v>152957</v>
      </c>
      <c r="J1934" s="1" t="s">
        <v>34</v>
      </c>
      <c r="K1934" s="1" t="s">
        <v>34</v>
      </c>
      <c r="L1934" s="1" t="str">
        <f t="shared" si="361"/>
        <v>20220909</v>
      </c>
      <c r="M1934" s="1" t="str">
        <f>"160820"</f>
        <v>160820</v>
      </c>
      <c r="N1934" s="1" t="s">
        <v>28</v>
      </c>
      <c r="O1934" s="1" t="s">
        <v>28</v>
      </c>
      <c r="P1934" s="1" t="s">
        <v>55</v>
      </c>
      <c r="Q1934" s="1">
        <v>25</v>
      </c>
      <c r="R1934" s="1">
        <v>25</v>
      </c>
      <c r="S1934" s="1">
        <v>0</v>
      </c>
      <c r="T1934" s="1">
        <v>0</v>
      </c>
      <c r="U1934" s="1">
        <v>0</v>
      </c>
      <c r="V1934" s="1" t="str">
        <f t="shared" si="363"/>
        <v>里程返程</v>
      </c>
      <c r="W1934" s="1" t="str">
        <f>"0020"</f>
        <v>0020</v>
      </c>
      <c r="X1934" s="1" t="s">
        <v>29</v>
      </c>
    </row>
    <row r="1935" spans="1:24" x14ac:dyDescent="0.3">
      <c r="A1935" s="1" t="str">
        <f t="shared" ref="A1935:A1958" si="364">"59822"</f>
        <v>59822</v>
      </c>
      <c r="B1935" s="1" t="s">
        <v>39</v>
      </c>
      <c r="C1935" s="1" t="s">
        <v>40</v>
      </c>
      <c r="D1935" s="1" t="str">
        <f t="shared" si="362"/>
        <v>9803</v>
      </c>
      <c r="E1935" s="1" t="s">
        <v>32</v>
      </c>
      <c r="F1935" s="1" t="str">
        <f>"428337217"</f>
        <v>428337217</v>
      </c>
      <c r="G1935" s="1" t="s">
        <v>33</v>
      </c>
      <c r="H1935" s="1" t="str">
        <f t="shared" si="360"/>
        <v>20220909</v>
      </c>
      <c r="I1935" s="1" t="str">
        <f>"153000"</f>
        <v>153000</v>
      </c>
      <c r="J1935" s="1" t="s">
        <v>34</v>
      </c>
      <c r="K1935" s="1" t="s">
        <v>34</v>
      </c>
      <c r="L1935" s="1" t="str">
        <f t="shared" si="361"/>
        <v>20220909</v>
      </c>
      <c r="M1935" s="1" t="str">
        <f>"160829"</f>
        <v>160829</v>
      </c>
      <c r="N1935" s="1" t="s">
        <v>28</v>
      </c>
      <c r="O1935" s="1" t="s">
        <v>28</v>
      </c>
      <c r="P1935" s="1" t="s">
        <v>55</v>
      </c>
      <c r="Q1935" s="1">
        <v>25</v>
      </c>
      <c r="R1935" s="1">
        <v>25</v>
      </c>
      <c r="S1935" s="1">
        <v>0</v>
      </c>
      <c r="T1935" s="1">
        <v>0</v>
      </c>
      <c r="U1935" s="1">
        <v>0</v>
      </c>
      <c r="V1935" s="1" t="str">
        <f t="shared" si="363"/>
        <v>里程返程</v>
      </c>
      <c r="W1935" s="1" t="str">
        <f>"2020"</f>
        <v>2020</v>
      </c>
      <c r="X1935" s="1" t="s">
        <v>35</v>
      </c>
    </row>
    <row r="1936" spans="1:24" x14ac:dyDescent="0.3">
      <c r="A1936" s="1" t="str">
        <f t="shared" si="364"/>
        <v>59822</v>
      </c>
      <c r="B1936" s="1" t="s">
        <v>39</v>
      </c>
      <c r="C1936" s="1" t="s">
        <v>40</v>
      </c>
      <c r="D1936" s="1" t="str">
        <f t="shared" si="362"/>
        <v>9803</v>
      </c>
      <c r="E1936" s="1" t="s">
        <v>32</v>
      </c>
      <c r="F1936" s="1" t="str">
        <f>"265694017"</f>
        <v>265694017</v>
      </c>
      <c r="G1936" s="1" t="s">
        <v>33</v>
      </c>
      <c r="H1936" s="1" t="str">
        <f t="shared" si="360"/>
        <v>20220909</v>
      </c>
      <c r="I1936" s="1" t="str">
        <f>"153429"</f>
        <v>153429</v>
      </c>
      <c r="J1936" s="1" t="s">
        <v>34</v>
      </c>
      <c r="K1936" s="1" t="s">
        <v>34</v>
      </c>
      <c r="L1936" s="1" t="str">
        <f t="shared" si="361"/>
        <v>20220909</v>
      </c>
      <c r="M1936" s="1" t="str">
        <f>"160914"</f>
        <v>160914</v>
      </c>
      <c r="N1936" s="1" t="s">
        <v>28</v>
      </c>
      <c r="O1936" s="1" t="s">
        <v>28</v>
      </c>
      <c r="P1936" s="1" t="s">
        <v>55</v>
      </c>
      <c r="Q1936" s="1">
        <v>25</v>
      </c>
      <c r="R1936" s="1">
        <v>25</v>
      </c>
      <c r="S1936" s="1">
        <v>0</v>
      </c>
      <c r="T1936" s="1">
        <v>0</v>
      </c>
      <c r="U1936" s="1">
        <v>0</v>
      </c>
      <c r="V1936" s="1" t="str">
        <f t="shared" si="363"/>
        <v>里程返程</v>
      </c>
      <c r="W1936" s="1" t="str">
        <f>"0820"</f>
        <v>0820</v>
      </c>
      <c r="X1936" s="1" t="s">
        <v>35</v>
      </c>
    </row>
    <row r="1937" spans="1:24" x14ac:dyDescent="0.3">
      <c r="A1937" s="1" t="str">
        <f t="shared" si="364"/>
        <v>59822</v>
      </c>
      <c r="B1937" s="1" t="s">
        <v>39</v>
      </c>
      <c r="C1937" s="1" t="s">
        <v>40</v>
      </c>
      <c r="D1937" s="1" t="str">
        <f t="shared" si="362"/>
        <v>9803</v>
      </c>
      <c r="E1937" s="1" t="s">
        <v>32</v>
      </c>
      <c r="F1937" s="1" t="str">
        <f>"E2DF431967880400C821002000000019"</f>
        <v>E2DF431967880400C821002000000019</v>
      </c>
      <c r="G1937" s="1" t="s">
        <v>59</v>
      </c>
      <c r="H1937" s="1" t="str">
        <f t="shared" si="360"/>
        <v>20220909</v>
      </c>
      <c r="I1937" s="1" t="str">
        <f>"153549"</f>
        <v>153549</v>
      </c>
      <c r="J1937" s="1" t="s">
        <v>34</v>
      </c>
      <c r="K1937" s="1" t="s">
        <v>34</v>
      </c>
      <c r="L1937" s="1" t="str">
        <f t="shared" si="361"/>
        <v>20220909</v>
      </c>
      <c r="M1937" s="1" t="str">
        <f>"160906"</f>
        <v>160906</v>
      </c>
      <c r="N1937" s="1" t="s">
        <v>28</v>
      </c>
      <c r="O1937" s="1" t="s">
        <v>28</v>
      </c>
      <c r="P1937" s="1" t="s">
        <v>55</v>
      </c>
      <c r="Q1937" s="1">
        <v>25</v>
      </c>
      <c r="R1937" s="1">
        <v>25</v>
      </c>
      <c r="S1937" s="1">
        <v>0</v>
      </c>
      <c r="T1937" s="1">
        <v>0</v>
      </c>
      <c r="U1937" s="1">
        <v>0</v>
      </c>
      <c r="V1937" s="1" t="str">
        <f t="shared" si="363"/>
        <v>里程返程</v>
      </c>
      <c r="W1937" s="1" t="str">
        <f>"0020"</f>
        <v>0020</v>
      </c>
      <c r="X1937" s="1" t="s">
        <v>29</v>
      </c>
    </row>
    <row r="1938" spans="1:24" x14ac:dyDescent="0.3">
      <c r="A1938" s="1" t="str">
        <f t="shared" si="364"/>
        <v>59822</v>
      </c>
      <c r="B1938" s="1" t="s">
        <v>39</v>
      </c>
      <c r="C1938" s="1" t="s">
        <v>40</v>
      </c>
      <c r="D1938" s="1" t="str">
        <f t="shared" si="362"/>
        <v>9803</v>
      </c>
      <c r="E1938" s="1" t="s">
        <v>32</v>
      </c>
      <c r="F1938" s="1" t="str">
        <f>"966056401"</f>
        <v>966056401</v>
      </c>
      <c r="G1938" s="1" t="s">
        <v>38</v>
      </c>
      <c r="H1938" s="1" t="str">
        <f t="shared" si="360"/>
        <v>20220909</v>
      </c>
      <c r="I1938" s="1" t="str">
        <f>"153551"</f>
        <v>153551</v>
      </c>
      <c r="J1938" s="1" t="s">
        <v>34</v>
      </c>
      <c r="K1938" s="1" t="s">
        <v>34</v>
      </c>
      <c r="L1938" s="1" t="str">
        <f t="shared" si="361"/>
        <v>20220909</v>
      </c>
      <c r="M1938" s="1" t="str">
        <f>"160920"</f>
        <v>160920</v>
      </c>
      <c r="N1938" s="1" t="s">
        <v>28</v>
      </c>
      <c r="O1938" s="1" t="s">
        <v>28</v>
      </c>
      <c r="P1938" s="1" t="s">
        <v>55</v>
      </c>
      <c r="Q1938" s="1">
        <v>25</v>
      </c>
      <c r="R1938" s="1">
        <v>25</v>
      </c>
      <c r="S1938" s="1">
        <v>0</v>
      </c>
      <c r="T1938" s="1">
        <v>0</v>
      </c>
      <c r="U1938" s="1">
        <v>0</v>
      </c>
      <c r="V1938" s="1" t="str">
        <f t="shared" si="363"/>
        <v>里程返程</v>
      </c>
      <c r="W1938" s="1" t="str">
        <f>"2020"</f>
        <v>2020</v>
      </c>
      <c r="X1938" s="1" t="s">
        <v>35</v>
      </c>
    </row>
    <row r="1939" spans="1:24" x14ac:dyDescent="0.3">
      <c r="A1939" s="1" t="str">
        <f t="shared" si="364"/>
        <v>59822</v>
      </c>
      <c r="B1939" s="1" t="s">
        <v>39</v>
      </c>
      <c r="C1939" s="1" t="s">
        <v>40</v>
      </c>
      <c r="D1939" s="1" t="str">
        <f t="shared" ref="D1939:D1947" si="365">"9805"</f>
        <v>9805</v>
      </c>
      <c r="E1939" s="1" t="s">
        <v>57</v>
      </c>
      <c r="F1939" s="1" t="str">
        <f>"107026497"</f>
        <v>107026497</v>
      </c>
      <c r="G1939" s="1" t="s">
        <v>74</v>
      </c>
      <c r="H1939" s="1" t="str">
        <f t="shared" si="360"/>
        <v>20220909</v>
      </c>
      <c r="I1939" s="1" t="str">
        <f>"164603"</f>
        <v>164603</v>
      </c>
      <c r="J1939" s="1" t="s">
        <v>28</v>
      </c>
      <c r="K1939" s="1" t="s">
        <v>28</v>
      </c>
      <c r="L1939" s="1" t="str">
        <f t="shared" si="361"/>
        <v>20220909</v>
      </c>
      <c r="M1939" s="1" t="str">
        <f>"170914"</f>
        <v>170914</v>
      </c>
      <c r="N1939" s="1" t="s">
        <v>52</v>
      </c>
      <c r="O1939" s="1" t="s">
        <v>52</v>
      </c>
      <c r="P1939" s="1" t="s">
        <v>55</v>
      </c>
      <c r="Q1939" s="1">
        <v>13</v>
      </c>
      <c r="R1939" s="1">
        <v>13</v>
      </c>
      <c r="S1939" s="1">
        <v>0</v>
      </c>
      <c r="T1939" s="1">
        <v>0</v>
      </c>
      <c r="U1939" s="1">
        <v>0</v>
      </c>
      <c r="V1939" s="1" t="str">
        <f t="shared" ref="V1939:V1947" si="366">"里程去程"</f>
        <v>里程去程</v>
      </c>
      <c r="W1939" s="1" t="str">
        <f>"0120"</f>
        <v>0120</v>
      </c>
      <c r="X1939" s="1" t="s">
        <v>35</v>
      </c>
    </row>
    <row r="1940" spans="1:24" x14ac:dyDescent="0.3">
      <c r="A1940" s="1" t="str">
        <f t="shared" si="364"/>
        <v>59822</v>
      </c>
      <c r="B1940" s="1" t="s">
        <v>39</v>
      </c>
      <c r="C1940" s="1" t="s">
        <v>40</v>
      </c>
      <c r="D1940" s="1" t="str">
        <f t="shared" si="365"/>
        <v>9805</v>
      </c>
      <c r="E1940" s="1" t="s">
        <v>57</v>
      </c>
      <c r="F1940" s="1" t="str">
        <f>"985824849"</f>
        <v>985824849</v>
      </c>
      <c r="G1940" s="1" t="s">
        <v>33</v>
      </c>
      <c r="H1940" s="1" t="str">
        <f t="shared" si="360"/>
        <v>20220909</v>
      </c>
      <c r="I1940" s="1" t="str">
        <f>"164608"</f>
        <v>164608</v>
      </c>
      <c r="J1940" s="1" t="s">
        <v>28</v>
      </c>
      <c r="K1940" s="1" t="s">
        <v>28</v>
      </c>
      <c r="L1940" s="1" t="str">
        <f t="shared" si="361"/>
        <v>20220909</v>
      </c>
      <c r="M1940" s="1" t="str">
        <f>"170919"</f>
        <v>170919</v>
      </c>
      <c r="N1940" s="1" t="s">
        <v>52</v>
      </c>
      <c r="O1940" s="1" t="s">
        <v>52</v>
      </c>
      <c r="P1940" s="1" t="s">
        <v>55</v>
      </c>
      <c r="Q1940" s="1">
        <v>25</v>
      </c>
      <c r="R1940" s="1">
        <v>25</v>
      </c>
      <c r="S1940" s="1">
        <v>0</v>
      </c>
      <c r="T1940" s="1">
        <v>0</v>
      </c>
      <c r="U1940" s="1">
        <v>0</v>
      </c>
      <c r="V1940" s="1" t="str">
        <f t="shared" si="366"/>
        <v>里程去程</v>
      </c>
      <c r="W1940" s="1" t="str">
        <f>"0820"</f>
        <v>0820</v>
      </c>
      <c r="X1940" s="1" t="s">
        <v>35</v>
      </c>
    </row>
    <row r="1941" spans="1:24" x14ac:dyDescent="0.3">
      <c r="A1941" s="1" t="str">
        <f t="shared" si="364"/>
        <v>59822</v>
      </c>
      <c r="B1941" s="1" t="s">
        <v>39</v>
      </c>
      <c r="C1941" s="1" t="s">
        <v>40</v>
      </c>
      <c r="D1941" s="1" t="str">
        <f t="shared" si="365"/>
        <v>9805</v>
      </c>
      <c r="E1941" s="1" t="s">
        <v>57</v>
      </c>
      <c r="F1941" s="1" t="str">
        <f>"1225804709"</f>
        <v>1225804709</v>
      </c>
      <c r="G1941" s="1" t="s">
        <v>33</v>
      </c>
      <c r="H1941" s="1" t="str">
        <f t="shared" si="360"/>
        <v>20220909</v>
      </c>
      <c r="I1941" s="1" t="str">
        <f>"164624"</f>
        <v>164624</v>
      </c>
      <c r="J1941" s="1" t="s">
        <v>28</v>
      </c>
      <c r="K1941" s="1" t="s">
        <v>28</v>
      </c>
      <c r="L1941" s="1" t="str">
        <f t="shared" si="361"/>
        <v>20220909</v>
      </c>
      <c r="M1941" s="1" t="str">
        <f>"170927"</f>
        <v>170927</v>
      </c>
      <c r="N1941" s="1" t="s">
        <v>52</v>
      </c>
      <c r="O1941" s="1" t="s">
        <v>52</v>
      </c>
      <c r="P1941" s="1" t="s">
        <v>55</v>
      </c>
      <c r="Q1941" s="1">
        <v>25</v>
      </c>
      <c r="R1941" s="1">
        <v>0</v>
      </c>
      <c r="S1941" s="1">
        <v>25</v>
      </c>
      <c r="T1941" s="1">
        <v>0</v>
      </c>
      <c r="U1941" s="1">
        <v>0</v>
      </c>
      <c r="V1941" s="1" t="str">
        <f t="shared" si="366"/>
        <v>里程去程</v>
      </c>
      <c r="W1941" s="1" t="str">
        <f>"0820"</f>
        <v>0820</v>
      </c>
      <c r="X1941" s="1" t="s">
        <v>35</v>
      </c>
    </row>
    <row r="1942" spans="1:24" x14ac:dyDescent="0.3">
      <c r="A1942" s="1" t="str">
        <f t="shared" si="364"/>
        <v>59822</v>
      </c>
      <c r="B1942" s="1" t="s">
        <v>39</v>
      </c>
      <c r="C1942" s="1" t="s">
        <v>40</v>
      </c>
      <c r="D1942" s="1" t="str">
        <f t="shared" si="365"/>
        <v>9805</v>
      </c>
      <c r="E1942" s="1" t="s">
        <v>57</v>
      </c>
      <c r="F1942" s="1" t="str">
        <f>"278846081"</f>
        <v>278846081</v>
      </c>
      <c r="G1942" s="1" t="s">
        <v>33</v>
      </c>
      <c r="H1942" s="1" t="str">
        <f t="shared" si="360"/>
        <v>20220909</v>
      </c>
      <c r="I1942" s="1" t="str">
        <f>"164634"</f>
        <v>164634</v>
      </c>
      <c r="J1942" s="1" t="s">
        <v>28</v>
      </c>
      <c r="K1942" s="1" t="s">
        <v>28</v>
      </c>
      <c r="L1942" s="1" t="str">
        <f t="shared" si="361"/>
        <v>20220909</v>
      </c>
      <c r="M1942" s="1" t="str">
        <f>"170154"</f>
        <v>170154</v>
      </c>
      <c r="N1942" s="1" t="s">
        <v>61</v>
      </c>
      <c r="O1942" s="1" t="s">
        <v>28</v>
      </c>
      <c r="P1942" s="1" t="s">
        <v>55</v>
      </c>
      <c r="Q1942" s="1">
        <v>25</v>
      </c>
      <c r="R1942" s="1">
        <v>25</v>
      </c>
      <c r="S1942" s="1">
        <v>0</v>
      </c>
      <c r="T1942" s="1">
        <v>0</v>
      </c>
      <c r="U1942" s="1">
        <v>0</v>
      </c>
      <c r="V1942" s="1" t="str">
        <f t="shared" si="366"/>
        <v>里程去程</v>
      </c>
      <c r="W1942" s="1" t="str">
        <f>"0220"</f>
        <v>0220</v>
      </c>
      <c r="X1942" s="1" t="s">
        <v>35</v>
      </c>
    </row>
    <row r="1943" spans="1:24" x14ac:dyDescent="0.3">
      <c r="A1943" s="1" t="str">
        <f t="shared" si="364"/>
        <v>59822</v>
      </c>
      <c r="B1943" s="1" t="s">
        <v>39</v>
      </c>
      <c r="C1943" s="1" t="s">
        <v>40</v>
      </c>
      <c r="D1943" s="1" t="str">
        <f t="shared" si="365"/>
        <v>9805</v>
      </c>
      <c r="E1943" s="1" t="s">
        <v>57</v>
      </c>
      <c r="F1943" s="1" t="str">
        <f>"1060631829"</f>
        <v>1060631829</v>
      </c>
      <c r="G1943" s="1" t="s">
        <v>26</v>
      </c>
      <c r="H1943" s="1" t="str">
        <f t="shared" si="360"/>
        <v>20220909</v>
      </c>
      <c r="I1943" s="1" t="str">
        <f>"164759"</f>
        <v>164759</v>
      </c>
      <c r="J1943" s="1" t="s">
        <v>28</v>
      </c>
      <c r="K1943" s="1" t="s">
        <v>28</v>
      </c>
      <c r="L1943" s="1" t="str">
        <f t="shared" si="361"/>
        <v>20220909</v>
      </c>
      <c r="M1943" s="1" t="str">
        <f>"170513"</f>
        <v>170513</v>
      </c>
      <c r="N1943" s="1" t="s">
        <v>62</v>
      </c>
      <c r="O1943" s="1" t="s">
        <v>28</v>
      </c>
      <c r="P1943" s="1" t="s">
        <v>55</v>
      </c>
      <c r="Q1943" s="1">
        <v>13</v>
      </c>
      <c r="R1943" s="1">
        <v>13</v>
      </c>
      <c r="S1943" s="1">
        <v>0</v>
      </c>
      <c r="T1943" s="1">
        <v>0</v>
      </c>
      <c r="U1943" s="1">
        <v>0</v>
      </c>
      <c r="V1943" s="1" t="str">
        <f t="shared" si="366"/>
        <v>里程去程</v>
      </c>
      <c r="W1943" s="1" t="str">
        <f>"0120"</f>
        <v>0120</v>
      </c>
      <c r="X1943" s="1" t="s">
        <v>35</v>
      </c>
    </row>
    <row r="1944" spans="1:24" x14ac:dyDescent="0.3">
      <c r="A1944" s="1" t="str">
        <f t="shared" si="364"/>
        <v>59822</v>
      </c>
      <c r="B1944" s="1" t="s">
        <v>39</v>
      </c>
      <c r="C1944" s="1" t="s">
        <v>40</v>
      </c>
      <c r="D1944" s="1" t="str">
        <f t="shared" si="365"/>
        <v>9805</v>
      </c>
      <c r="E1944" s="1" t="s">
        <v>57</v>
      </c>
      <c r="F1944" s="1" t="str">
        <f>"832964629"</f>
        <v>832964629</v>
      </c>
      <c r="G1944" s="1" t="s">
        <v>26</v>
      </c>
      <c r="H1944" s="1" t="str">
        <f t="shared" si="360"/>
        <v>20220909</v>
      </c>
      <c r="I1944" s="1" t="str">
        <f>"164856"</f>
        <v>164856</v>
      </c>
      <c r="J1944" s="1" t="s">
        <v>28</v>
      </c>
      <c r="K1944" s="1" t="s">
        <v>28</v>
      </c>
      <c r="L1944" s="1" t="str">
        <f t="shared" si="361"/>
        <v>20220909</v>
      </c>
      <c r="M1944" s="1" t="str">
        <f>"170508"</f>
        <v>170508</v>
      </c>
      <c r="N1944" s="1" t="s">
        <v>62</v>
      </c>
      <c r="O1944" s="1" t="s">
        <v>28</v>
      </c>
      <c r="P1944" s="1" t="s">
        <v>55</v>
      </c>
      <c r="Q1944" s="1">
        <v>13</v>
      </c>
      <c r="R1944" s="1">
        <v>13</v>
      </c>
      <c r="S1944" s="1">
        <v>0</v>
      </c>
      <c r="T1944" s="1">
        <v>0</v>
      </c>
      <c r="U1944" s="1">
        <v>0</v>
      </c>
      <c r="V1944" s="1" t="str">
        <f t="shared" si="366"/>
        <v>里程去程</v>
      </c>
      <c r="W1944" s="1" t="str">
        <f>"0120"</f>
        <v>0120</v>
      </c>
      <c r="X1944" s="1" t="s">
        <v>35</v>
      </c>
    </row>
    <row r="1945" spans="1:24" x14ac:dyDescent="0.3">
      <c r="A1945" s="1" t="str">
        <f t="shared" si="364"/>
        <v>59822</v>
      </c>
      <c r="B1945" s="1" t="s">
        <v>39</v>
      </c>
      <c r="C1945" s="1" t="s">
        <v>40</v>
      </c>
      <c r="D1945" s="1" t="str">
        <f t="shared" si="365"/>
        <v>9805</v>
      </c>
      <c r="E1945" s="1" t="s">
        <v>57</v>
      </c>
      <c r="F1945" s="1" t="str">
        <f>"1840134417"</f>
        <v>1840134417</v>
      </c>
      <c r="G1945" s="1" t="s">
        <v>33</v>
      </c>
      <c r="H1945" s="1" t="str">
        <f t="shared" si="360"/>
        <v>20220909</v>
      </c>
      <c r="I1945" s="1" t="str">
        <f>"170034"</f>
        <v>170034</v>
      </c>
      <c r="J1945" s="1" t="s">
        <v>46</v>
      </c>
      <c r="K1945" s="1" t="s">
        <v>28</v>
      </c>
      <c r="L1945" s="1" t="str">
        <f t="shared" si="361"/>
        <v>20220909</v>
      </c>
      <c r="M1945" s="1" t="str">
        <f>"170521"</f>
        <v>170521</v>
      </c>
      <c r="N1945" s="1" t="s">
        <v>62</v>
      </c>
      <c r="O1945" s="1" t="s">
        <v>28</v>
      </c>
      <c r="P1945" s="1" t="s">
        <v>55</v>
      </c>
      <c r="Q1945" s="1">
        <v>25</v>
      </c>
      <c r="R1945" s="1">
        <v>0</v>
      </c>
      <c r="S1945" s="1">
        <v>25</v>
      </c>
      <c r="T1945" s="1">
        <v>0</v>
      </c>
      <c r="U1945" s="1">
        <v>0</v>
      </c>
      <c r="V1945" s="1" t="str">
        <f t="shared" si="366"/>
        <v>里程去程</v>
      </c>
      <c r="W1945" s="1" t="str">
        <f>"2020"</f>
        <v>2020</v>
      </c>
      <c r="X1945" s="1" t="s">
        <v>35</v>
      </c>
    </row>
    <row r="1946" spans="1:24" x14ac:dyDescent="0.3">
      <c r="A1946" s="1" t="str">
        <f t="shared" si="364"/>
        <v>59822</v>
      </c>
      <c r="B1946" s="1" t="s">
        <v>39</v>
      </c>
      <c r="C1946" s="1" t="s">
        <v>40</v>
      </c>
      <c r="D1946" s="1" t="str">
        <f t="shared" si="365"/>
        <v>9805</v>
      </c>
      <c r="E1946" s="1" t="s">
        <v>57</v>
      </c>
      <c r="F1946" s="1" t="str">
        <f>"265605474"</f>
        <v>265605474</v>
      </c>
      <c r="G1946" s="1" t="s">
        <v>33</v>
      </c>
      <c r="H1946" s="1" t="str">
        <f t="shared" si="360"/>
        <v>20220909</v>
      </c>
      <c r="I1946" s="1" t="str">
        <f>"170524"</f>
        <v>170524</v>
      </c>
      <c r="J1946" s="1" t="s">
        <v>62</v>
      </c>
      <c r="K1946" s="1" t="s">
        <v>28</v>
      </c>
      <c r="L1946" s="1" t="str">
        <f>""</f>
        <v/>
      </c>
      <c r="M1946" s="1" t="str">
        <f>""</f>
        <v/>
      </c>
      <c r="P1946" s="1" t="s">
        <v>88</v>
      </c>
      <c r="Q1946" s="1">
        <v>25</v>
      </c>
      <c r="R1946" s="1">
        <v>25</v>
      </c>
      <c r="S1946" s="1">
        <v>0</v>
      </c>
      <c r="T1946" s="1">
        <v>0</v>
      </c>
      <c r="U1946" s="1">
        <v>0</v>
      </c>
      <c r="V1946" s="1" t="str">
        <f t="shared" si="366"/>
        <v>里程去程</v>
      </c>
      <c r="W1946" s="1" t="str">
        <f>"0120"</f>
        <v>0120</v>
      </c>
      <c r="X1946" s="1" t="s">
        <v>35</v>
      </c>
    </row>
    <row r="1947" spans="1:24" x14ac:dyDescent="0.3">
      <c r="A1947" s="1" t="str">
        <f t="shared" si="364"/>
        <v>59822</v>
      </c>
      <c r="B1947" s="1" t="s">
        <v>39</v>
      </c>
      <c r="C1947" s="1" t="s">
        <v>40</v>
      </c>
      <c r="D1947" s="1" t="str">
        <f t="shared" si="365"/>
        <v>9805</v>
      </c>
      <c r="E1947" s="1" t="s">
        <v>57</v>
      </c>
      <c r="F1947" s="1" t="str">
        <f>"1721717477"</f>
        <v>1721717477</v>
      </c>
      <c r="G1947" s="1" t="s">
        <v>38</v>
      </c>
      <c r="H1947" s="1" t="str">
        <f t="shared" si="360"/>
        <v>20220909</v>
      </c>
      <c r="I1947" s="1" t="str">
        <f>"170536"</f>
        <v>170536</v>
      </c>
      <c r="J1947" s="1" t="s">
        <v>62</v>
      </c>
      <c r="K1947" s="1" t="s">
        <v>28</v>
      </c>
      <c r="L1947" s="1" t="str">
        <f t="shared" ref="L1947:L1978" si="367">"20220909"</f>
        <v>20220909</v>
      </c>
      <c r="M1947" s="1" t="str">
        <f>"170605"</f>
        <v>170605</v>
      </c>
      <c r="N1947" s="1" t="s">
        <v>52</v>
      </c>
      <c r="O1947" s="1" t="s">
        <v>52</v>
      </c>
      <c r="P1947" s="1" t="s">
        <v>55</v>
      </c>
      <c r="Q1947" s="1">
        <v>25</v>
      </c>
      <c r="R1947" s="1">
        <v>25</v>
      </c>
      <c r="S1947" s="1">
        <v>0</v>
      </c>
      <c r="T1947" s="1">
        <v>0</v>
      </c>
      <c r="U1947" s="1">
        <v>0</v>
      </c>
      <c r="V1947" s="1" t="str">
        <f t="shared" si="366"/>
        <v>里程去程</v>
      </c>
      <c r="W1947" s="1" t="str">
        <f>"0120"</f>
        <v>0120</v>
      </c>
      <c r="X1947" s="1" t="s">
        <v>35</v>
      </c>
    </row>
    <row r="1948" spans="1:24" x14ac:dyDescent="0.3">
      <c r="A1948" s="1" t="str">
        <f t="shared" si="364"/>
        <v>59822</v>
      </c>
      <c r="B1948" s="1" t="s">
        <v>39</v>
      </c>
      <c r="C1948" s="1" t="s">
        <v>40</v>
      </c>
      <c r="D1948" s="1" t="str">
        <f>"9801"</f>
        <v>9801</v>
      </c>
      <c r="E1948" s="1" t="s">
        <v>25</v>
      </c>
      <c r="F1948" s="1" t="str">
        <f>"1764946837"</f>
        <v>1764946837</v>
      </c>
      <c r="G1948" s="1" t="s">
        <v>33</v>
      </c>
      <c r="H1948" s="1" t="str">
        <f t="shared" si="360"/>
        <v>20220909</v>
      </c>
      <c r="I1948" s="1" t="str">
        <f>"192444"</f>
        <v>192444</v>
      </c>
      <c r="J1948" s="1" t="s">
        <v>28</v>
      </c>
      <c r="K1948" s="1" t="s">
        <v>28</v>
      </c>
      <c r="L1948" s="1" t="str">
        <f t="shared" si="367"/>
        <v>20220909</v>
      </c>
      <c r="M1948" s="1" t="str">
        <f>"195910"</f>
        <v>195910</v>
      </c>
      <c r="N1948" s="1" t="s">
        <v>52</v>
      </c>
      <c r="O1948" s="1" t="s">
        <v>52</v>
      </c>
      <c r="P1948" s="1" t="s">
        <v>55</v>
      </c>
      <c r="Q1948" s="1">
        <v>25</v>
      </c>
      <c r="R1948" s="1">
        <v>25</v>
      </c>
      <c r="S1948" s="1">
        <v>0</v>
      </c>
      <c r="T1948" s="1">
        <v>0</v>
      </c>
      <c r="U1948" s="1">
        <v>0</v>
      </c>
      <c r="V1948" s="1" t="str">
        <f t="shared" ref="V1948:V1958" si="368">"里程返程"</f>
        <v>里程返程</v>
      </c>
      <c r="W1948" s="1" t="str">
        <f>"0120"</f>
        <v>0120</v>
      </c>
      <c r="X1948" s="1" t="s">
        <v>35</v>
      </c>
    </row>
    <row r="1949" spans="1:24" x14ac:dyDescent="0.3">
      <c r="A1949" s="1" t="str">
        <f t="shared" si="364"/>
        <v>59822</v>
      </c>
      <c r="B1949" s="1" t="s">
        <v>39</v>
      </c>
      <c r="C1949" s="1" t="s">
        <v>40</v>
      </c>
      <c r="D1949" s="1" t="str">
        <f t="shared" ref="D1949:D1958" si="369">"9805"</f>
        <v>9805</v>
      </c>
      <c r="E1949" s="1" t="s">
        <v>57</v>
      </c>
      <c r="F1949" s="1" t="str">
        <f>"501257585"</f>
        <v>501257585</v>
      </c>
      <c r="G1949" s="1" t="s">
        <v>96</v>
      </c>
      <c r="H1949" s="1" t="str">
        <f t="shared" si="360"/>
        <v>20220909</v>
      </c>
      <c r="I1949" s="1" t="str">
        <f>"195941"</f>
        <v>195941</v>
      </c>
      <c r="J1949" s="1" t="s">
        <v>52</v>
      </c>
      <c r="K1949" s="1" t="s">
        <v>52</v>
      </c>
      <c r="L1949" s="1" t="str">
        <f t="shared" si="367"/>
        <v>20220909</v>
      </c>
      <c r="M1949" s="1" t="str">
        <f>"202033"</f>
        <v>202033</v>
      </c>
      <c r="N1949" s="1" t="s">
        <v>28</v>
      </c>
      <c r="O1949" s="1" t="s">
        <v>28</v>
      </c>
      <c r="P1949" s="1" t="s">
        <v>55</v>
      </c>
      <c r="Q1949" s="1">
        <v>13</v>
      </c>
      <c r="R1949" s="1">
        <v>0</v>
      </c>
      <c r="S1949" s="1">
        <v>13</v>
      </c>
      <c r="T1949" s="1">
        <v>0</v>
      </c>
      <c r="U1949" s="1">
        <v>0</v>
      </c>
      <c r="V1949" s="1" t="str">
        <f t="shared" si="368"/>
        <v>里程返程</v>
      </c>
      <c r="W1949" s="1" t="str">
        <f>"2120"</f>
        <v>2120</v>
      </c>
      <c r="X1949" s="1" t="s">
        <v>35</v>
      </c>
    </row>
    <row r="1950" spans="1:24" x14ac:dyDescent="0.3">
      <c r="A1950" s="1" t="str">
        <f t="shared" si="364"/>
        <v>59822</v>
      </c>
      <c r="B1950" s="1" t="s">
        <v>39</v>
      </c>
      <c r="C1950" s="1" t="s">
        <v>40</v>
      </c>
      <c r="D1950" s="1" t="str">
        <f t="shared" si="369"/>
        <v>9805</v>
      </c>
      <c r="E1950" s="1" t="s">
        <v>57</v>
      </c>
      <c r="F1950" s="1" t="str">
        <f>"2791136968"</f>
        <v>2791136968</v>
      </c>
      <c r="G1950" s="1" t="s">
        <v>33</v>
      </c>
      <c r="H1950" s="1" t="str">
        <f t="shared" si="360"/>
        <v>20220909</v>
      </c>
      <c r="I1950" s="1" t="str">
        <f>"195943"</f>
        <v>195943</v>
      </c>
      <c r="J1950" s="1" t="s">
        <v>52</v>
      </c>
      <c r="K1950" s="1" t="s">
        <v>52</v>
      </c>
      <c r="L1950" s="1" t="str">
        <f t="shared" si="367"/>
        <v>20220909</v>
      </c>
      <c r="M1950" s="1" t="str">
        <f>"202036"</f>
        <v>202036</v>
      </c>
      <c r="N1950" s="1" t="s">
        <v>28</v>
      </c>
      <c r="O1950" s="1" t="s">
        <v>28</v>
      </c>
      <c r="P1950" s="1" t="s">
        <v>55</v>
      </c>
      <c r="Q1950" s="1">
        <v>25</v>
      </c>
      <c r="R1950" s="1">
        <v>0</v>
      </c>
      <c r="S1950" s="1">
        <v>25</v>
      </c>
      <c r="T1950" s="1">
        <v>0</v>
      </c>
      <c r="U1950" s="1">
        <v>0</v>
      </c>
      <c r="V1950" s="1" t="str">
        <f t="shared" si="368"/>
        <v>里程返程</v>
      </c>
      <c r="W1950" s="1" t="str">
        <f>"2120"</f>
        <v>2120</v>
      </c>
      <c r="X1950" s="1" t="s">
        <v>35</v>
      </c>
    </row>
    <row r="1951" spans="1:24" x14ac:dyDescent="0.3">
      <c r="A1951" s="1" t="str">
        <f t="shared" si="364"/>
        <v>59822</v>
      </c>
      <c r="B1951" s="1" t="s">
        <v>39</v>
      </c>
      <c r="C1951" s="1" t="s">
        <v>40</v>
      </c>
      <c r="D1951" s="1" t="str">
        <f t="shared" si="369"/>
        <v>9805</v>
      </c>
      <c r="E1951" s="1" t="s">
        <v>57</v>
      </c>
      <c r="F1951" s="1" t="str">
        <f>"1191653909"</f>
        <v>1191653909</v>
      </c>
      <c r="G1951" s="1" t="s">
        <v>33</v>
      </c>
      <c r="H1951" s="1" t="str">
        <f t="shared" si="360"/>
        <v>20220909</v>
      </c>
      <c r="I1951" s="1" t="str">
        <f>"195948"</f>
        <v>195948</v>
      </c>
      <c r="J1951" s="1" t="s">
        <v>52</v>
      </c>
      <c r="K1951" s="1" t="s">
        <v>52</v>
      </c>
      <c r="L1951" s="1" t="str">
        <f t="shared" si="367"/>
        <v>20220909</v>
      </c>
      <c r="M1951" s="1" t="str">
        <f>"202017"</f>
        <v>202017</v>
      </c>
      <c r="N1951" s="1" t="s">
        <v>28</v>
      </c>
      <c r="O1951" s="1" t="s">
        <v>28</v>
      </c>
      <c r="P1951" s="1" t="s">
        <v>55</v>
      </c>
      <c r="Q1951" s="1">
        <v>25</v>
      </c>
      <c r="R1951" s="1">
        <v>0</v>
      </c>
      <c r="S1951" s="1">
        <v>25</v>
      </c>
      <c r="T1951" s="1">
        <v>0</v>
      </c>
      <c r="U1951" s="1">
        <v>0</v>
      </c>
      <c r="V1951" s="1" t="str">
        <f t="shared" si="368"/>
        <v>里程返程</v>
      </c>
      <c r="W1951" s="1" t="str">
        <f>"2120"</f>
        <v>2120</v>
      </c>
      <c r="X1951" s="1" t="s">
        <v>35</v>
      </c>
    </row>
    <row r="1952" spans="1:24" x14ac:dyDescent="0.3">
      <c r="A1952" s="1" t="str">
        <f t="shared" si="364"/>
        <v>59822</v>
      </c>
      <c r="B1952" s="1" t="s">
        <v>39</v>
      </c>
      <c r="C1952" s="1" t="s">
        <v>40</v>
      </c>
      <c r="D1952" s="1" t="str">
        <f t="shared" si="369"/>
        <v>9805</v>
      </c>
      <c r="E1952" s="1" t="s">
        <v>57</v>
      </c>
      <c r="F1952" s="1" t="str">
        <f>"1123C751A42804001C00000000000000"</f>
        <v>1123C751A42804001C00000000000000</v>
      </c>
      <c r="G1952" s="1" t="s">
        <v>58</v>
      </c>
      <c r="H1952" s="1" t="str">
        <f t="shared" si="360"/>
        <v>20220909</v>
      </c>
      <c r="I1952" s="1" t="str">
        <f>"195952"</f>
        <v>195952</v>
      </c>
      <c r="J1952" s="1" t="s">
        <v>52</v>
      </c>
      <c r="K1952" s="1" t="s">
        <v>52</v>
      </c>
      <c r="L1952" s="1" t="str">
        <f t="shared" si="367"/>
        <v>20220909</v>
      </c>
      <c r="M1952" s="1" t="str">
        <f>"202056"</f>
        <v>202056</v>
      </c>
      <c r="N1952" s="1" t="s">
        <v>28</v>
      </c>
      <c r="O1952" s="1" t="s">
        <v>28</v>
      </c>
      <c r="P1952" s="1" t="s">
        <v>55</v>
      </c>
      <c r="Q1952" s="1">
        <v>25</v>
      </c>
      <c r="R1952" s="1">
        <v>0</v>
      </c>
      <c r="S1952" s="1">
        <v>25</v>
      </c>
      <c r="T1952" s="1">
        <v>0</v>
      </c>
      <c r="U1952" s="1">
        <v>0</v>
      </c>
      <c r="V1952" s="1" t="str">
        <f t="shared" si="368"/>
        <v>里程返程</v>
      </c>
      <c r="W1952" s="1" t="str">
        <f>"1120"</f>
        <v>1120</v>
      </c>
      <c r="X1952" s="1" t="s">
        <v>29</v>
      </c>
    </row>
    <row r="1953" spans="1:24" x14ac:dyDescent="0.3">
      <c r="A1953" s="1" t="str">
        <f t="shared" si="364"/>
        <v>59822</v>
      </c>
      <c r="B1953" s="1" t="s">
        <v>39</v>
      </c>
      <c r="C1953" s="1" t="s">
        <v>40</v>
      </c>
      <c r="D1953" s="1" t="str">
        <f t="shared" si="369"/>
        <v>9805</v>
      </c>
      <c r="E1953" s="1" t="s">
        <v>57</v>
      </c>
      <c r="F1953" s="1" t="str">
        <f>"05C77101B23802000000000021274400"</f>
        <v>05C77101B23802000000000021274400</v>
      </c>
      <c r="G1953" s="1" t="s">
        <v>58</v>
      </c>
      <c r="H1953" s="1" t="str">
        <f t="shared" si="360"/>
        <v>20220909</v>
      </c>
      <c r="I1953" s="1" t="str">
        <f>"195957"</f>
        <v>195957</v>
      </c>
      <c r="J1953" s="1" t="s">
        <v>52</v>
      </c>
      <c r="K1953" s="1" t="s">
        <v>52</v>
      </c>
      <c r="L1953" s="1" t="str">
        <f t="shared" si="367"/>
        <v>20220909</v>
      </c>
      <c r="M1953" s="1" t="str">
        <f>"202059"</f>
        <v>202059</v>
      </c>
      <c r="N1953" s="1" t="s">
        <v>28</v>
      </c>
      <c r="O1953" s="1" t="s">
        <v>28</v>
      </c>
      <c r="P1953" s="1" t="s">
        <v>55</v>
      </c>
      <c r="Q1953" s="1">
        <v>25</v>
      </c>
      <c r="R1953" s="1">
        <v>0</v>
      </c>
      <c r="S1953" s="1">
        <v>25</v>
      </c>
      <c r="T1953" s="1">
        <v>0</v>
      </c>
      <c r="U1953" s="1">
        <v>0</v>
      </c>
      <c r="V1953" s="1" t="str">
        <f t="shared" si="368"/>
        <v>里程返程</v>
      </c>
      <c r="W1953" s="1" t="str">
        <f>"1120"</f>
        <v>1120</v>
      </c>
      <c r="X1953" s="1" t="s">
        <v>29</v>
      </c>
    </row>
    <row r="1954" spans="1:24" x14ac:dyDescent="0.3">
      <c r="A1954" s="1" t="str">
        <f t="shared" si="364"/>
        <v>59822</v>
      </c>
      <c r="B1954" s="1" t="s">
        <v>39</v>
      </c>
      <c r="C1954" s="1" t="s">
        <v>40</v>
      </c>
      <c r="D1954" s="1" t="str">
        <f t="shared" si="369"/>
        <v>9805</v>
      </c>
      <c r="E1954" s="1" t="s">
        <v>57</v>
      </c>
      <c r="F1954" s="1" t="str">
        <f>"3230638492"</f>
        <v>3230638492</v>
      </c>
      <c r="G1954" s="1" t="s">
        <v>33</v>
      </c>
      <c r="H1954" s="1" t="str">
        <f t="shared" si="360"/>
        <v>20220909</v>
      </c>
      <c r="I1954" s="1" t="str">
        <f>"195959"</f>
        <v>195959</v>
      </c>
      <c r="J1954" s="1" t="s">
        <v>52</v>
      </c>
      <c r="K1954" s="1" t="s">
        <v>52</v>
      </c>
      <c r="L1954" s="1" t="str">
        <f t="shared" si="367"/>
        <v>20220909</v>
      </c>
      <c r="M1954" s="1" t="str">
        <f>"202053"</f>
        <v>202053</v>
      </c>
      <c r="N1954" s="1" t="s">
        <v>28</v>
      </c>
      <c r="O1954" s="1" t="s">
        <v>28</v>
      </c>
      <c r="P1954" s="1" t="s">
        <v>55</v>
      </c>
      <c r="Q1954" s="1">
        <v>25</v>
      </c>
      <c r="R1954" s="1">
        <v>0</v>
      </c>
      <c r="S1954" s="1">
        <v>25</v>
      </c>
      <c r="T1954" s="1">
        <v>0</v>
      </c>
      <c r="U1954" s="1">
        <v>0</v>
      </c>
      <c r="V1954" s="1" t="str">
        <f t="shared" si="368"/>
        <v>里程返程</v>
      </c>
      <c r="W1954" s="1" t="str">
        <f>"2020"</f>
        <v>2020</v>
      </c>
      <c r="X1954" s="1" t="s">
        <v>35</v>
      </c>
    </row>
    <row r="1955" spans="1:24" x14ac:dyDescent="0.3">
      <c r="A1955" s="1" t="str">
        <f t="shared" si="364"/>
        <v>59822</v>
      </c>
      <c r="B1955" s="1" t="s">
        <v>39</v>
      </c>
      <c r="C1955" s="1" t="s">
        <v>40</v>
      </c>
      <c r="D1955" s="1" t="str">
        <f t="shared" si="369"/>
        <v>9805</v>
      </c>
      <c r="E1955" s="1" t="s">
        <v>57</v>
      </c>
      <c r="F1955" s="1" t="str">
        <f>"F1CFF129E6280400F700000000000000"</f>
        <v>F1CFF129E6280400F700000000000000</v>
      </c>
      <c r="G1955" s="1" t="s">
        <v>58</v>
      </c>
      <c r="H1955" s="1" t="str">
        <f t="shared" si="360"/>
        <v>20220909</v>
      </c>
      <c r="I1955" s="1" t="str">
        <f>"200004"</f>
        <v>200004</v>
      </c>
      <c r="J1955" s="1" t="s">
        <v>52</v>
      </c>
      <c r="K1955" s="1" t="s">
        <v>52</v>
      </c>
      <c r="L1955" s="1" t="str">
        <f t="shared" si="367"/>
        <v>20220909</v>
      </c>
      <c r="M1955" s="1" t="str">
        <f>"202043"</f>
        <v>202043</v>
      </c>
      <c r="N1955" s="1" t="s">
        <v>28</v>
      </c>
      <c r="O1955" s="1" t="s">
        <v>28</v>
      </c>
      <c r="P1955" s="1" t="s">
        <v>55</v>
      </c>
      <c r="Q1955" s="1">
        <v>25</v>
      </c>
      <c r="R1955" s="1">
        <v>25</v>
      </c>
      <c r="S1955" s="1">
        <v>0</v>
      </c>
      <c r="T1955" s="1">
        <v>0</v>
      </c>
      <c r="U1955" s="1">
        <v>0</v>
      </c>
      <c r="V1955" s="1" t="str">
        <f t="shared" si="368"/>
        <v>里程返程</v>
      </c>
      <c r="W1955" s="1" t="str">
        <f>"0020"</f>
        <v>0020</v>
      </c>
      <c r="X1955" s="1" t="s">
        <v>29</v>
      </c>
    </row>
    <row r="1956" spans="1:24" x14ac:dyDescent="0.3">
      <c r="A1956" s="1" t="str">
        <f t="shared" si="364"/>
        <v>59822</v>
      </c>
      <c r="B1956" s="1" t="s">
        <v>39</v>
      </c>
      <c r="C1956" s="1" t="s">
        <v>40</v>
      </c>
      <c r="D1956" s="1" t="str">
        <f t="shared" si="369"/>
        <v>9805</v>
      </c>
      <c r="E1956" s="1" t="s">
        <v>57</v>
      </c>
      <c r="F1956" s="1" t="str">
        <f>"995522565"</f>
        <v>995522565</v>
      </c>
      <c r="G1956" s="1" t="s">
        <v>38</v>
      </c>
      <c r="H1956" s="1" t="str">
        <f t="shared" si="360"/>
        <v>20220909</v>
      </c>
      <c r="I1956" s="1" t="str">
        <f>"200006"</f>
        <v>200006</v>
      </c>
      <c r="J1956" s="1" t="s">
        <v>52</v>
      </c>
      <c r="K1956" s="1" t="s">
        <v>52</v>
      </c>
      <c r="L1956" s="1" t="str">
        <f t="shared" si="367"/>
        <v>20220909</v>
      </c>
      <c r="M1956" s="1" t="str">
        <f>"202103"</f>
        <v>202103</v>
      </c>
      <c r="N1956" s="1" t="s">
        <v>28</v>
      </c>
      <c r="O1956" s="1" t="s">
        <v>28</v>
      </c>
      <c r="P1956" s="1" t="s">
        <v>55</v>
      </c>
      <c r="Q1956" s="1">
        <v>25</v>
      </c>
      <c r="R1956" s="1">
        <v>0</v>
      </c>
      <c r="S1956" s="1">
        <v>25</v>
      </c>
      <c r="T1956" s="1">
        <v>0</v>
      </c>
      <c r="U1956" s="1">
        <v>0</v>
      </c>
      <c r="V1956" s="1" t="str">
        <f t="shared" si="368"/>
        <v>里程返程</v>
      </c>
      <c r="W1956" s="1" t="str">
        <f>"2120"</f>
        <v>2120</v>
      </c>
      <c r="X1956" s="1" t="s">
        <v>35</v>
      </c>
    </row>
    <row r="1957" spans="1:24" x14ac:dyDescent="0.3">
      <c r="A1957" s="1" t="str">
        <f t="shared" si="364"/>
        <v>59822</v>
      </c>
      <c r="B1957" s="1" t="s">
        <v>39</v>
      </c>
      <c r="C1957" s="1" t="s">
        <v>40</v>
      </c>
      <c r="D1957" s="1" t="str">
        <f t="shared" si="369"/>
        <v>9805</v>
      </c>
      <c r="E1957" s="1" t="s">
        <v>57</v>
      </c>
      <c r="F1957" s="1" t="str">
        <f>"7511190153008537"</f>
        <v>7511190153008537</v>
      </c>
      <c r="G1957" s="1" t="s">
        <v>33</v>
      </c>
      <c r="H1957" s="1" t="str">
        <f t="shared" si="360"/>
        <v>20220909</v>
      </c>
      <c r="I1957" s="1" t="str">
        <f>"200032"</f>
        <v>200032</v>
      </c>
      <c r="J1957" s="1" t="s">
        <v>52</v>
      </c>
      <c r="K1957" s="1" t="s">
        <v>52</v>
      </c>
      <c r="L1957" s="1" t="str">
        <f t="shared" si="367"/>
        <v>20220909</v>
      </c>
      <c r="M1957" s="1" t="str">
        <f>"202047"</f>
        <v>202047</v>
      </c>
      <c r="N1957" s="1" t="s">
        <v>28</v>
      </c>
      <c r="O1957" s="1" t="s">
        <v>28</v>
      </c>
      <c r="P1957" s="1" t="s">
        <v>55</v>
      </c>
      <c r="Q1957" s="1">
        <v>25</v>
      </c>
      <c r="R1957" s="1">
        <v>0</v>
      </c>
      <c r="S1957" s="1">
        <v>25</v>
      </c>
      <c r="T1957" s="1">
        <v>0</v>
      </c>
      <c r="U1957" s="1">
        <v>0</v>
      </c>
      <c r="V1957" s="1" t="str">
        <f t="shared" si="368"/>
        <v>里程返程</v>
      </c>
      <c r="W1957" s="1" t="str">
        <f>"3A3B"</f>
        <v>3A3B</v>
      </c>
      <c r="X1957" s="1" t="s">
        <v>109</v>
      </c>
    </row>
    <row r="1958" spans="1:24" x14ac:dyDescent="0.3">
      <c r="A1958" s="1" t="str">
        <f t="shared" si="364"/>
        <v>59822</v>
      </c>
      <c r="B1958" s="1" t="s">
        <v>39</v>
      </c>
      <c r="C1958" s="1" t="s">
        <v>40</v>
      </c>
      <c r="D1958" s="1" t="str">
        <f t="shared" si="369"/>
        <v>9805</v>
      </c>
      <c r="E1958" s="1" t="s">
        <v>57</v>
      </c>
      <c r="F1958" s="1" t="str">
        <f>"2698937583"</f>
        <v>2698937583</v>
      </c>
      <c r="G1958" s="1" t="s">
        <v>26</v>
      </c>
      <c r="H1958" s="1" t="str">
        <f t="shared" si="360"/>
        <v>20220909</v>
      </c>
      <c r="I1958" s="1" t="str">
        <f>"200035"</f>
        <v>200035</v>
      </c>
      <c r="J1958" s="1" t="s">
        <v>52</v>
      </c>
      <c r="K1958" s="1" t="s">
        <v>52</v>
      </c>
      <c r="L1958" s="1" t="str">
        <f t="shared" si="367"/>
        <v>20220909</v>
      </c>
      <c r="M1958" s="1" t="str">
        <f>"202050"</f>
        <v>202050</v>
      </c>
      <c r="N1958" s="1" t="s">
        <v>28</v>
      </c>
      <c r="O1958" s="1" t="s">
        <v>28</v>
      </c>
      <c r="P1958" s="1" t="s">
        <v>55</v>
      </c>
      <c r="Q1958" s="1">
        <v>13</v>
      </c>
      <c r="R1958" s="1">
        <v>0</v>
      </c>
      <c r="S1958" s="1">
        <v>13</v>
      </c>
      <c r="T1958" s="1">
        <v>0</v>
      </c>
      <c r="U1958" s="1">
        <v>0</v>
      </c>
      <c r="V1958" s="1" t="str">
        <f t="shared" si="368"/>
        <v>里程返程</v>
      </c>
      <c r="W1958" s="1" t="str">
        <f>"2120"</f>
        <v>2120</v>
      </c>
      <c r="X1958" s="1" t="s">
        <v>35</v>
      </c>
    </row>
    <row r="1959" spans="1:24" x14ac:dyDescent="0.3">
      <c r="A1959" s="1" t="str">
        <f t="shared" ref="A1959:A1990" si="370">"59825"</f>
        <v>59825</v>
      </c>
      <c r="B1959" s="1" t="s">
        <v>30</v>
      </c>
      <c r="C1959" s="1" t="s">
        <v>31</v>
      </c>
      <c r="D1959" s="1" t="str">
        <f t="shared" ref="D1959:D1990" si="371">"9803"</f>
        <v>9803</v>
      </c>
      <c r="E1959" s="1" t="s">
        <v>32</v>
      </c>
      <c r="F1959" s="1" t="str">
        <f>"1016806245"</f>
        <v>1016806245</v>
      </c>
      <c r="G1959" s="1" t="s">
        <v>33</v>
      </c>
      <c r="H1959" s="1" t="str">
        <f t="shared" si="360"/>
        <v>20220909</v>
      </c>
      <c r="I1959" s="1" t="str">
        <f>"073302"</f>
        <v>073302</v>
      </c>
      <c r="J1959" s="1" t="s">
        <v>28</v>
      </c>
      <c r="K1959" s="1" t="s">
        <v>28</v>
      </c>
      <c r="L1959" s="1" t="str">
        <f t="shared" si="367"/>
        <v>20220909</v>
      </c>
      <c r="M1959" s="1" t="str">
        <f>"075330"</f>
        <v>075330</v>
      </c>
      <c r="N1959" s="1" t="s">
        <v>34</v>
      </c>
      <c r="O1959" s="1" t="s">
        <v>34</v>
      </c>
      <c r="P1959" s="1" t="s">
        <v>55</v>
      </c>
      <c r="Q1959" s="1">
        <v>25</v>
      </c>
      <c r="R1959" s="1">
        <v>25</v>
      </c>
      <c r="S1959" s="1">
        <v>0</v>
      </c>
      <c r="T1959" s="1">
        <v>0</v>
      </c>
      <c r="U1959" s="1">
        <v>0</v>
      </c>
      <c r="V1959" s="1" t="str">
        <f t="shared" ref="V1959:V1990" si="372">"里程去程"</f>
        <v>里程去程</v>
      </c>
      <c r="W1959" s="1" t="str">
        <f>"0e20"</f>
        <v>0e20</v>
      </c>
      <c r="X1959" s="1" t="s">
        <v>35</v>
      </c>
    </row>
    <row r="1960" spans="1:24" x14ac:dyDescent="0.3">
      <c r="A1960" s="1" t="str">
        <f t="shared" si="370"/>
        <v>59825</v>
      </c>
      <c r="B1960" s="1" t="s">
        <v>30</v>
      </c>
      <c r="C1960" s="1" t="s">
        <v>31</v>
      </c>
      <c r="D1960" s="1" t="str">
        <f t="shared" si="371"/>
        <v>9803</v>
      </c>
      <c r="E1960" s="1" t="s">
        <v>32</v>
      </c>
      <c r="F1960" s="1" t="str">
        <f>"1779447589"</f>
        <v>1779447589</v>
      </c>
      <c r="G1960" s="1" t="s">
        <v>33</v>
      </c>
      <c r="H1960" s="1" t="str">
        <f t="shared" si="360"/>
        <v>20220909</v>
      </c>
      <c r="I1960" s="1" t="str">
        <f>"073310"</f>
        <v>073310</v>
      </c>
      <c r="J1960" s="1" t="s">
        <v>28</v>
      </c>
      <c r="K1960" s="1" t="s">
        <v>28</v>
      </c>
      <c r="L1960" s="1" t="str">
        <f t="shared" si="367"/>
        <v>20220909</v>
      </c>
      <c r="M1960" s="1" t="str">
        <f>"075340"</f>
        <v>075340</v>
      </c>
      <c r="N1960" s="1" t="s">
        <v>34</v>
      </c>
      <c r="O1960" s="1" t="s">
        <v>34</v>
      </c>
      <c r="P1960" s="1" t="s">
        <v>55</v>
      </c>
      <c r="Q1960" s="1">
        <v>25</v>
      </c>
      <c r="R1960" s="1">
        <v>25</v>
      </c>
      <c r="S1960" s="1">
        <v>0</v>
      </c>
      <c r="T1960" s="1">
        <v>0</v>
      </c>
      <c r="U1960" s="1">
        <v>0</v>
      </c>
      <c r="V1960" s="1" t="str">
        <f t="shared" si="372"/>
        <v>里程去程</v>
      </c>
      <c r="W1960" s="1" t="str">
        <f>"1920"</f>
        <v>1920</v>
      </c>
      <c r="X1960" s="1" t="s">
        <v>35</v>
      </c>
    </row>
    <row r="1961" spans="1:24" x14ac:dyDescent="0.3">
      <c r="A1961" s="1" t="str">
        <f t="shared" si="370"/>
        <v>59825</v>
      </c>
      <c r="B1961" s="1" t="s">
        <v>30</v>
      </c>
      <c r="C1961" s="1" t="s">
        <v>31</v>
      </c>
      <c r="D1961" s="1" t="str">
        <f t="shared" si="371"/>
        <v>9803</v>
      </c>
      <c r="E1961" s="1" t="s">
        <v>32</v>
      </c>
      <c r="F1961" s="1" t="str">
        <f>"1197905793"</f>
        <v>1197905793</v>
      </c>
      <c r="G1961" s="1" t="s">
        <v>33</v>
      </c>
      <c r="H1961" s="1" t="str">
        <f t="shared" si="360"/>
        <v>20220909</v>
      </c>
      <c r="I1961" s="1" t="str">
        <f>"073312"</f>
        <v>073312</v>
      </c>
      <c r="J1961" s="1" t="s">
        <v>28</v>
      </c>
      <c r="K1961" s="1" t="s">
        <v>28</v>
      </c>
      <c r="L1961" s="1" t="str">
        <f t="shared" si="367"/>
        <v>20220909</v>
      </c>
      <c r="M1961" s="1" t="str">
        <f>"075308"</f>
        <v>075308</v>
      </c>
      <c r="N1961" s="1" t="s">
        <v>34</v>
      </c>
      <c r="O1961" s="1" t="s">
        <v>34</v>
      </c>
      <c r="P1961" s="1" t="s">
        <v>55</v>
      </c>
      <c r="Q1961" s="1">
        <v>25</v>
      </c>
      <c r="R1961" s="1">
        <v>25</v>
      </c>
      <c r="S1961" s="1">
        <v>0</v>
      </c>
      <c r="T1961" s="1">
        <v>0</v>
      </c>
      <c r="U1961" s="1">
        <v>0</v>
      </c>
      <c r="V1961" s="1" t="str">
        <f t="shared" si="372"/>
        <v>里程去程</v>
      </c>
      <c r="W1961" s="1" t="str">
        <f>"0120"</f>
        <v>0120</v>
      </c>
      <c r="X1961" s="1" t="s">
        <v>35</v>
      </c>
    </row>
    <row r="1962" spans="1:24" x14ac:dyDescent="0.3">
      <c r="A1962" s="1" t="str">
        <f t="shared" si="370"/>
        <v>59825</v>
      </c>
      <c r="B1962" s="1" t="s">
        <v>30</v>
      </c>
      <c r="C1962" s="1" t="s">
        <v>31</v>
      </c>
      <c r="D1962" s="1" t="str">
        <f t="shared" si="371"/>
        <v>9803</v>
      </c>
      <c r="E1962" s="1" t="s">
        <v>32</v>
      </c>
      <c r="F1962" s="1" t="str">
        <f>"765433605"</f>
        <v>765433605</v>
      </c>
      <c r="G1962" s="1" t="s">
        <v>33</v>
      </c>
      <c r="H1962" s="1" t="str">
        <f t="shared" si="360"/>
        <v>20220909</v>
      </c>
      <c r="I1962" s="1" t="str">
        <f>"073322"</f>
        <v>073322</v>
      </c>
      <c r="J1962" s="1" t="s">
        <v>28</v>
      </c>
      <c r="K1962" s="1" t="s">
        <v>28</v>
      </c>
      <c r="L1962" s="1" t="str">
        <f t="shared" si="367"/>
        <v>20220909</v>
      </c>
      <c r="M1962" s="1" t="str">
        <f>"075337"</f>
        <v>075337</v>
      </c>
      <c r="N1962" s="1" t="s">
        <v>34</v>
      </c>
      <c r="O1962" s="1" t="s">
        <v>34</v>
      </c>
      <c r="P1962" s="1" t="s">
        <v>55</v>
      </c>
      <c r="Q1962" s="1">
        <v>25</v>
      </c>
      <c r="R1962" s="1">
        <v>25</v>
      </c>
      <c r="S1962" s="1">
        <v>0</v>
      </c>
      <c r="T1962" s="1">
        <v>0</v>
      </c>
      <c r="U1962" s="1">
        <v>0</v>
      </c>
      <c r="V1962" s="1" t="str">
        <f t="shared" si="372"/>
        <v>里程去程</v>
      </c>
      <c r="W1962" s="1" t="str">
        <f>"0120"</f>
        <v>0120</v>
      </c>
      <c r="X1962" s="1" t="s">
        <v>35</v>
      </c>
    </row>
    <row r="1963" spans="1:24" x14ac:dyDescent="0.3">
      <c r="A1963" s="1" t="str">
        <f t="shared" si="370"/>
        <v>59825</v>
      </c>
      <c r="B1963" s="1" t="s">
        <v>30</v>
      </c>
      <c r="C1963" s="1" t="s">
        <v>31</v>
      </c>
      <c r="D1963" s="1" t="str">
        <f t="shared" si="371"/>
        <v>9803</v>
      </c>
      <c r="E1963" s="1" t="s">
        <v>32</v>
      </c>
      <c r="F1963" s="1" t="str">
        <f>"71A46757E52804001C00000000000000"</f>
        <v>71A46757E52804001C00000000000000</v>
      </c>
      <c r="G1963" s="1" t="s">
        <v>58</v>
      </c>
      <c r="H1963" s="1" t="str">
        <f t="shared" si="360"/>
        <v>20220909</v>
      </c>
      <c r="I1963" s="1" t="str">
        <f>"073328"</f>
        <v>073328</v>
      </c>
      <c r="J1963" s="1" t="s">
        <v>28</v>
      </c>
      <c r="K1963" s="1" t="s">
        <v>28</v>
      </c>
      <c r="L1963" s="1" t="str">
        <f t="shared" si="367"/>
        <v>20220909</v>
      </c>
      <c r="M1963" s="1" t="str">
        <f>"075315"</f>
        <v>075315</v>
      </c>
      <c r="N1963" s="1" t="s">
        <v>34</v>
      </c>
      <c r="O1963" s="1" t="s">
        <v>34</v>
      </c>
      <c r="P1963" s="1" t="s">
        <v>55</v>
      </c>
      <c r="Q1963" s="1">
        <v>25</v>
      </c>
      <c r="R1963" s="1">
        <v>25</v>
      </c>
      <c r="S1963" s="1">
        <v>0</v>
      </c>
      <c r="T1963" s="1">
        <v>0</v>
      </c>
      <c r="U1963" s="1">
        <v>0</v>
      </c>
      <c r="V1963" s="1" t="str">
        <f t="shared" si="372"/>
        <v>里程去程</v>
      </c>
      <c r="W1963" s="1" t="str">
        <f>"0020"</f>
        <v>0020</v>
      </c>
      <c r="X1963" s="1" t="s">
        <v>29</v>
      </c>
    </row>
    <row r="1964" spans="1:24" x14ac:dyDescent="0.3">
      <c r="A1964" s="1" t="str">
        <f t="shared" si="370"/>
        <v>59825</v>
      </c>
      <c r="B1964" s="1" t="s">
        <v>30</v>
      </c>
      <c r="C1964" s="1" t="s">
        <v>31</v>
      </c>
      <c r="D1964" s="1" t="str">
        <f t="shared" si="371"/>
        <v>9803</v>
      </c>
      <c r="E1964" s="1" t="s">
        <v>32</v>
      </c>
      <c r="F1964" s="1" t="str">
        <f>"02B8FA125228040080CEBCD765512818"</f>
        <v>02B8FA125228040080CEBCD765512818</v>
      </c>
      <c r="G1964" s="1" t="s">
        <v>58</v>
      </c>
      <c r="H1964" s="1" t="str">
        <f t="shared" si="360"/>
        <v>20220909</v>
      </c>
      <c r="I1964" s="1" t="str">
        <f>"073335"</f>
        <v>073335</v>
      </c>
      <c r="J1964" s="1" t="s">
        <v>28</v>
      </c>
      <c r="K1964" s="1" t="s">
        <v>28</v>
      </c>
      <c r="L1964" s="1" t="str">
        <f t="shared" si="367"/>
        <v>20220909</v>
      </c>
      <c r="M1964" s="1" t="str">
        <f>"075326"</f>
        <v>075326</v>
      </c>
      <c r="N1964" s="1" t="s">
        <v>34</v>
      </c>
      <c r="O1964" s="1" t="s">
        <v>34</v>
      </c>
      <c r="P1964" s="1" t="s">
        <v>55</v>
      </c>
      <c r="Q1964" s="1">
        <v>25</v>
      </c>
      <c r="R1964" s="1">
        <v>25</v>
      </c>
      <c r="S1964" s="1">
        <v>0</v>
      </c>
      <c r="T1964" s="1">
        <v>0</v>
      </c>
      <c r="U1964" s="1">
        <v>0</v>
      </c>
      <c r="V1964" s="1" t="str">
        <f t="shared" si="372"/>
        <v>里程去程</v>
      </c>
      <c r="W1964" s="1" t="str">
        <f>"0020"</f>
        <v>0020</v>
      </c>
      <c r="X1964" s="1" t="s">
        <v>29</v>
      </c>
    </row>
    <row r="1965" spans="1:24" x14ac:dyDescent="0.3">
      <c r="A1965" s="1" t="str">
        <f t="shared" si="370"/>
        <v>59825</v>
      </c>
      <c r="B1965" s="1" t="s">
        <v>30</v>
      </c>
      <c r="C1965" s="1" t="s">
        <v>31</v>
      </c>
      <c r="D1965" s="1" t="str">
        <f t="shared" si="371"/>
        <v>9803</v>
      </c>
      <c r="E1965" s="1" t="s">
        <v>32</v>
      </c>
      <c r="F1965" s="1" t="str">
        <f>"8CDFA259A8880400475955D141303607"</f>
        <v>8CDFA259A8880400475955D141303607</v>
      </c>
      <c r="G1965" s="1" t="s">
        <v>58</v>
      </c>
      <c r="H1965" s="1" t="str">
        <f t="shared" si="360"/>
        <v>20220909</v>
      </c>
      <c r="I1965" s="1" t="str">
        <f>"102657"</f>
        <v>102657</v>
      </c>
      <c r="J1965" s="1" t="s">
        <v>28</v>
      </c>
      <c r="K1965" s="1" t="s">
        <v>28</v>
      </c>
      <c r="L1965" s="1" t="str">
        <f t="shared" si="367"/>
        <v>20220909</v>
      </c>
      <c r="M1965" s="1" t="str">
        <f>"105153"</f>
        <v>105153</v>
      </c>
      <c r="N1965" s="1" t="s">
        <v>34</v>
      </c>
      <c r="O1965" s="1" t="s">
        <v>34</v>
      </c>
      <c r="P1965" s="1" t="s">
        <v>55</v>
      </c>
      <c r="Q1965" s="1">
        <v>25</v>
      </c>
      <c r="R1965" s="1">
        <v>25</v>
      </c>
      <c r="S1965" s="1">
        <v>0</v>
      </c>
      <c r="T1965" s="1">
        <v>0</v>
      </c>
      <c r="U1965" s="1">
        <v>0</v>
      </c>
      <c r="V1965" s="1" t="str">
        <f t="shared" si="372"/>
        <v>里程去程</v>
      </c>
      <c r="W1965" s="1" t="str">
        <f>"0020"</f>
        <v>0020</v>
      </c>
      <c r="X1965" s="1" t="s">
        <v>29</v>
      </c>
    </row>
    <row r="1966" spans="1:24" x14ac:dyDescent="0.3">
      <c r="A1966" s="1" t="str">
        <f t="shared" si="370"/>
        <v>59825</v>
      </c>
      <c r="B1966" s="1" t="s">
        <v>30</v>
      </c>
      <c r="C1966" s="1" t="s">
        <v>31</v>
      </c>
      <c r="D1966" s="1" t="str">
        <f t="shared" si="371"/>
        <v>9803</v>
      </c>
      <c r="E1966" s="1" t="s">
        <v>32</v>
      </c>
      <c r="F1966" s="1" t="str">
        <f>"110ABD40E6280400F700000000000000"</f>
        <v>110ABD40E6280400F700000000000000</v>
      </c>
      <c r="G1966" s="1" t="s">
        <v>58</v>
      </c>
      <c r="H1966" s="1" t="str">
        <f t="shared" si="360"/>
        <v>20220909</v>
      </c>
      <c r="I1966" s="1" t="str">
        <f>"102709"</f>
        <v>102709</v>
      </c>
      <c r="J1966" s="1" t="s">
        <v>28</v>
      </c>
      <c r="K1966" s="1" t="s">
        <v>28</v>
      </c>
      <c r="L1966" s="1" t="str">
        <f t="shared" si="367"/>
        <v>20220909</v>
      </c>
      <c r="M1966" s="1" t="str">
        <f>"105145"</f>
        <v>105145</v>
      </c>
      <c r="N1966" s="1" t="s">
        <v>34</v>
      </c>
      <c r="O1966" s="1" t="s">
        <v>34</v>
      </c>
      <c r="P1966" s="1" t="s">
        <v>55</v>
      </c>
      <c r="Q1966" s="1">
        <v>25</v>
      </c>
      <c r="R1966" s="1">
        <v>25</v>
      </c>
      <c r="S1966" s="1">
        <v>0</v>
      </c>
      <c r="T1966" s="1">
        <v>0</v>
      </c>
      <c r="U1966" s="1">
        <v>0</v>
      </c>
      <c r="V1966" s="1" t="str">
        <f t="shared" si="372"/>
        <v>里程去程</v>
      </c>
      <c r="W1966" s="1" t="str">
        <f>"0020"</f>
        <v>0020</v>
      </c>
      <c r="X1966" s="1" t="s">
        <v>29</v>
      </c>
    </row>
    <row r="1967" spans="1:24" x14ac:dyDescent="0.3">
      <c r="A1967" s="1" t="str">
        <f t="shared" si="370"/>
        <v>59825</v>
      </c>
      <c r="B1967" s="1" t="s">
        <v>30</v>
      </c>
      <c r="C1967" s="1" t="s">
        <v>31</v>
      </c>
      <c r="D1967" s="1" t="str">
        <f t="shared" si="371"/>
        <v>9803</v>
      </c>
      <c r="E1967" s="1" t="s">
        <v>32</v>
      </c>
      <c r="F1967" s="1" t="str">
        <f>"811614257"</f>
        <v>811614257</v>
      </c>
      <c r="G1967" s="1" t="s">
        <v>33</v>
      </c>
      <c r="H1967" s="1" t="str">
        <f t="shared" si="360"/>
        <v>20220909</v>
      </c>
      <c r="I1967" s="1" t="str">
        <f>"102715"</f>
        <v>102715</v>
      </c>
      <c r="J1967" s="1" t="s">
        <v>28</v>
      </c>
      <c r="K1967" s="1" t="s">
        <v>28</v>
      </c>
      <c r="L1967" s="1" t="str">
        <f t="shared" si="367"/>
        <v>20220909</v>
      </c>
      <c r="M1967" s="1" t="str">
        <f>"105149"</f>
        <v>105149</v>
      </c>
      <c r="N1967" s="1" t="s">
        <v>34</v>
      </c>
      <c r="O1967" s="1" t="s">
        <v>34</v>
      </c>
      <c r="P1967" s="1" t="s">
        <v>55</v>
      </c>
      <c r="Q1967" s="1">
        <v>25</v>
      </c>
      <c r="R1967" s="1">
        <v>25</v>
      </c>
      <c r="S1967" s="1">
        <v>0</v>
      </c>
      <c r="T1967" s="1">
        <v>0</v>
      </c>
      <c r="U1967" s="1">
        <v>0</v>
      </c>
      <c r="V1967" s="1" t="str">
        <f t="shared" si="372"/>
        <v>里程去程</v>
      </c>
      <c r="W1967" s="1" t="str">
        <f>"0220"</f>
        <v>0220</v>
      </c>
      <c r="X1967" s="1" t="s">
        <v>35</v>
      </c>
    </row>
    <row r="1968" spans="1:24" x14ac:dyDescent="0.3">
      <c r="A1968" s="1" t="str">
        <f t="shared" si="370"/>
        <v>59825</v>
      </c>
      <c r="B1968" s="1" t="s">
        <v>30</v>
      </c>
      <c r="C1968" s="1" t="s">
        <v>31</v>
      </c>
      <c r="D1968" s="1" t="str">
        <f t="shared" si="371"/>
        <v>9803</v>
      </c>
      <c r="E1968" s="1" t="s">
        <v>32</v>
      </c>
      <c r="F1968" s="1" t="str">
        <f>"1070965569"</f>
        <v>1070965569</v>
      </c>
      <c r="G1968" s="1" t="s">
        <v>33</v>
      </c>
      <c r="H1968" s="1" t="str">
        <f t="shared" si="360"/>
        <v>20220909</v>
      </c>
      <c r="I1968" s="1" t="str">
        <f>"102721"</f>
        <v>102721</v>
      </c>
      <c r="J1968" s="1" t="s">
        <v>28</v>
      </c>
      <c r="K1968" s="1" t="s">
        <v>28</v>
      </c>
      <c r="L1968" s="1" t="str">
        <f t="shared" si="367"/>
        <v>20220909</v>
      </c>
      <c r="M1968" s="1" t="str">
        <f>"105125"</f>
        <v>105125</v>
      </c>
      <c r="N1968" s="1" t="s">
        <v>34</v>
      </c>
      <c r="O1968" s="1" t="s">
        <v>34</v>
      </c>
      <c r="P1968" s="1" t="s">
        <v>55</v>
      </c>
      <c r="Q1968" s="1">
        <v>25</v>
      </c>
      <c r="R1968" s="1">
        <v>25</v>
      </c>
      <c r="S1968" s="1">
        <v>0</v>
      </c>
      <c r="T1968" s="1">
        <v>0</v>
      </c>
      <c r="U1968" s="1">
        <v>0</v>
      </c>
      <c r="V1968" s="1" t="str">
        <f t="shared" si="372"/>
        <v>里程去程</v>
      </c>
      <c r="W1968" s="1" t="str">
        <f>"0320"</f>
        <v>0320</v>
      </c>
      <c r="X1968" s="1" t="s">
        <v>35</v>
      </c>
    </row>
    <row r="1969" spans="1:24" x14ac:dyDescent="0.3">
      <c r="A1969" s="1" t="str">
        <f t="shared" si="370"/>
        <v>59825</v>
      </c>
      <c r="B1969" s="1" t="s">
        <v>30</v>
      </c>
      <c r="C1969" s="1" t="s">
        <v>31</v>
      </c>
      <c r="D1969" s="1" t="str">
        <f t="shared" si="371"/>
        <v>9803</v>
      </c>
      <c r="E1969" s="1" t="s">
        <v>32</v>
      </c>
      <c r="F1969" s="1" t="str">
        <f>"1867542993"</f>
        <v>1867542993</v>
      </c>
      <c r="G1969" s="1" t="s">
        <v>33</v>
      </c>
      <c r="H1969" s="1" t="str">
        <f t="shared" si="360"/>
        <v>20220909</v>
      </c>
      <c r="I1969" s="1" t="str">
        <f>"102745"</f>
        <v>102745</v>
      </c>
      <c r="J1969" s="1" t="s">
        <v>28</v>
      </c>
      <c r="K1969" s="1" t="s">
        <v>28</v>
      </c>
      <c r="L1969" s="1" t="str">
        <f t="shared" si="367"/>
        <v>20220909</v>
      </c>
      <c r="M1969" s="1" t="str">
        <f>"105022"</f>
        <v>105022</v>
      </c>
      <c r="N1969" s="1" t="s">
        <v>34</v>
      </c>
      <c r="O1969" s="1" t="s">
        <v>34</v>
      </c>
      <c r="P1969" s="1" t="s">
        <v>55</v>
      </c>
      <c r="Q1969" s="1">
        <v>25</v>
      </c>
      <c r="R1969" s="1">
        <v>25</v>
      </c>
      <c r="S1969" s="1">
        <v>0</v>
      </c>
      <c r="T1969" s="1">
        <v>0</v>
      </c>
      <c r="U1969" s="1">
        <v>0</v>
      </c>
      <c r="V1969" s="1" t="str">
        <f t="shared" si="372"/>
        <v>里程去程</v>
      </c>
      <c r="W1969" s="1" t="str">
        <f>"0620"</f>
        <v>0620</v>
      </c>
      <c r="X1969" s="1" t="s">
        <v>35</v>
      </c>
    </row>
    <row r="1970" spans="1:24" x14ac:dyDescent="0.3">
      <c r="A1970" s="1" t="str">
        <f t="shared" si="370"/>
        <v>59825</v>
      </c>
      <c r="B1970" s="1" t="s">
        <v>30</v>
      </c>
      <c r="C1970" s="1" t="s">
        <v>31</v>
      </c>
      <c r="D1970" s="1" t="str">
        <f t="shared" si="371"/>
        <v>9803</v>
      </c>
      <c r="E1970" s="1" t="s">
        <v>32</v>
      </c>
      <c r="F1970" s="1" t="str">
        <f>"1210810805"</f>
        <v>1210810805</v>
      </c>
      <c r="G1970" s="1" t="s">
        <v>33</v>
      </c>
      <c r="H1970" s="1" t="str">
        <f t="shared" si="360"/>
        <v>20220909</v>
      </c>
      <c r="I1970" s="1" t="str">
        <f>"102750"</f>
        <v>102750</v>
      </c>
      <c r="J1970" s="1" t="s">
        <v>28</v>
      </c>
      <c r="K1970" s="1" t="s">
        <v>28</v>
      </c>
      <c r="L1970" s="1" t="str">
        <f t="shared" si="367"/>
        <v>20220909</v>
      </c>
      <c r="M1970" s="1" t="str">
        <f>"105028"</f>
        <v>105028</v>
      </c>
      <c r="N1970" s="1" t="s">
        <v>34</v>
      </c>
      <c r="O1970" s="1" t="s">
        <v>34</v>
      </c>
      <c r="P1970" s="1" t="s">
        <v>55</v>
      </c>
      <c r="Q1970" s="1">
        <v>25</v>
      </c>
      <c r="R1970" s="1">
        <v>25</v>
      </c>
      <c r="S1970" s="1">
        <v>0</v>
      </c>
      <c r="T1970" s="1">
        <v>0</v>
      </c>
      <c r="U1970" s="1">
        <v>0</v>
      </c>
      <c r="V1970" s="1" t="str">
        <f t="shared" si="372"/>
        <v>里程去程</v>
      </c>
      <c r="W1970" s="1" t="str">
        <f>"0820"</f>
        <v>0820</v>
      </c>
      <c r="X1970" s="1" t="s">
        <v>35</v>
      </c>
    </row>
    <row r="1971" spans="1:24" x14ac:dyDescent="0.3">
      <c r="A1971" s="1" t="str">
        <f t="shared" si="370"/>
        <v>59825</v>
      </c>
      <c r="B1971" s="1" t="s">
        <v>30</v>
      </c>
      <c r="C1971" s="1" t="s">
        <v>31</v>
      </c>
      <c r="D1971" s="1" t="str">
        <f t="shared" si="371"/>
        <v>9803</v>
      </c>
      <c r="E1971" s="1" t="s">
        <v>32</v>
      </c>
      <c r="F1971" s="1" t="str">
        <f>"63641701"</f>
        <v>63641701</v>
      </c>
      <c r="G1971" s="1" t="s">
        <v>33</v>
      </c>
      <c r="H1971" s="1" t="str">
        <f t="shared" si="360"/>
        <v>20220909</v>
      </c>
      <c r="I1971" s="1" t="str">
        <f>"102755"</f>
        <v>102755</v>
      </c>
      <c r="J1971" s="1" t="s">
        <v>28</v>
      </c>
      <c r="K1971" s="1" t="s">
        <v>28</v>
      </c>
      <c r="L1971" s="1" t="str">
        <f t="shared" si="367"/>
        <v>20220909</v>
      </c>
      <c r="M1971" s="1" t="str">
        <f>"105143"</f>
        <v>105143</v>
      </c>
      <c r="N1971" s="1" t="s">
        <v>34</v>
      </c>
      <c r="O1971" s="1" t="s">
        <v>34</v>
      </c>
      <c r="P1971" s="1" t="s">
        <v>55</v>
      </c>
      <c r="Q1971" s="1">
        <v>25</v>
      </c>
      <c r="R1971" s="1">
        <v>25</v>
      </c>
      <c r="S1971" s="1">
        <v>0</v>
      </c>
      <c r="T1971" s="1">
        <v>0</v>
      </c>
      <c r="U1971" s="1">
        <v>0</v>
      </c>
      <c r="V1971" s="1" t="str">
        <f t="shared" si="372"/>
        <v>里程去程</v>
      </c>
      <c r="W1971" s="1" t="str">
        <f>"0120"</f>
        <v>0120</v>
      </c>
      <c r="X1971" s="1" t="s">
        <v>35</v>
      </c>
    </row>
    <row r="1972" spans="1:24" x14ac:dyDescent="0.3">
      <c r="A1972" s="1" t="str">
        <f t="shared" si="370"/>
        <v>59825</v>
      </c>
      <c r="B1972" s="1" t="s">
        <v>30</v>
      </c>
      <c r="C1972" s="1" t="s">
        <v>31</v>
      </c>
      <c r="D1972" s="1" t="str">
        <f t="shared" si="371"/>
        <v>9803</v>
      </c>
      <c r="E1972" s="1" t="s">
        <v>32</v>
      </c>
      <c r="F1972" s="1" t="str">
        <f>"1009101073"</f>
        <v>1009101073</v>
      </c>
      <c r="G1972" s="1" t="s">
        <v>33</v>
      </c>
      <c r="H1972" s="1" t="str">
        <f t="shared" si="360"/>
        <v>20220909</v>
      </c>
      <c r="I1972" s="1" t="str">
        <f>"102800"</f>
        <v>102800</v>
      </c>
      <c r="J1972" s="1" t="s">
        <v>28</v>
      </c>
      <c r="K1972" s="1" t="s">
        <v>28</v>
      </c>
      <c r="L1972" s="1" t="str">
        <f t="shared" si="367"/>
        <v>20220909</v>
      </c>
      <c r="M1972" s="1" t="str">
        <f>"105138"</f>
        <v>105138</v>
      </c>
      <c r="N1972" s="1" t="s">
        <v>34</v>
      </c>
      <c r="O1972" s="1" t="s">
        <v>34</v>
      </c>
      <c r="P1972" s="1" t="s">
        <v>55</v>
      </c>
      <c r="Q1972" s="1">
        <v>25</v>
      </c>
      <c r="R1972" s="1">
        <v>25</v>
      </c>
      <c r="S1972" s="1">
        <v>0</v>
      </c>
      <c r="T1972" s="1">
        <v>0</v>
      </c>
      <c r="U1972" s="1">
        <v>0</v>
      </c>
      <c r="V1972" s="1" t="str">
        <f t="shared" si="372"/>
        <v>里程去程</v>
      </c>
      <c r="W1972" s="1" t="str">
        <f>"0e20"</f>
        <v>0e20</v>
      </c>
      <c r="X1972" s="1" t="s">
        <v>35</v>
      </c>
    </row>
    <row r="1973" spans="1:24" x14ac:dyDescent="0.3">
      <c r="A1973" s="1" t="str">
        <f t="shared" si="370"/>
        <v>59825</v>
      </c>
      <c r="B1973" s="1" t="s">
        <v>30</v>
      </c>
      <c r="C1973" s="1" t="s">
        <v>31</v>
      </c>
      <c r="D1973" s="1" t="str">
        <f t="shared" si="371"/>
        <v>9803</v>
      </c>
      <c r="E1973" s="1" t="s">
        <v>32</v>
      </c>
      <c r="F1973" s="1" t="str">
        <f>"1298234337"</f>
        <v>1298234337</v>
      </c>
      <c r="G1973" s="1" t="s">
        <v>33</v>
      </c>
      <c r="H1973" s="1" t="str">
        <f t="shared" si="360"/>
        <v>20220909</v>
      </c>
      <c r="I1973" s="1" t="str">
        <f>"102810"</f>
        <v>102810</v>
      </c>
      <c r="J1973" s="1" t="s">
        <v>28</v>
      </c>
      <c r="K1973" s="1" t="s">
        <v>28</v>
      </c>
      <c r="L1973" s="1" t="str">
        <f t="shared" si="367"/>
        <v>20220909</v>
      </c>
      <c r="M1973" s="1" t="str">
        <f>"105057"</f>
        <v>105057</v>
      </c>
      <c r="N1973" s="1" t="s">
        <v>34</v>
      </c>
      <c r="O1973" s="1" t="s">
        <v>34</v>
      </c>
      <c r="P1973" s="1" t="s">
        <v>55</v>
      </c>
      <c r="Q1973" s="1">
        <v>25</v>
      </c>
      <c r="R1973" s="1">
        <v>25</v>
      </c>
      <c r="S1973" s="1">
        <v>0</v>
      </c>
      <c r="T1973" s="1">
        <v>0</v>
      </c>
      <c r="U1973" s="1">
        <v>0</v>
      </c>
      <c r="V1973" s="1" t="str">
        <f t="shared" si="372"/>
        <v>里程去程</v>
      </c>
      <c r="W1973" s="1" t="str">
        <f>"0120"</f>
        <v>0120</v>
      </c>
      <c r="X1973" s="1" t="s">
        <v>35</v>
      </c>
    </row>
    <row r="1974" spans="1:24" x14ac:dyDescent="0.3">
      <c r="A1974" s="1" t="str">
        <f t="shared" si="370"/>
        <v>59825</v>
      </c>
      <c r="B1974" s="1" t="s">
        <v>30</v>
      </c>
      <c r="C1974" s="1" t="s">
        <v>110</v>
      </c>
      <c r="D1974" s="1" t="str">
        <f t="shared" si="371"/>
        <v>9803</v>
      </c>
      <c r="E1974" s="1" t="s">
        <v>32</v>
      </c>
      <c r="F1974" s="1" t="str">
        <f>"9517172000311561"</f>
        <v>9517172000311561</v>
      </c>
      <c r="G1974" s="1" t="s">
        <v>33</v>
      </c>
      <c r="H1974" s="1" t="str">
        <f t="shared" si="360"/>
        <v>20220909</v>
      </c>
      <c r="I1974" s="1" t="str">
        <f>"102820"</f>
        <v>102820</v>
      </c>
      <c r="J1974" s="1" t="s">
        <v>28</v>
      </c>
      <c r="K1974" s="1" t="s">
        <v>28</v>
      </c>
      <c r="L1974" s="1" t="str">
        <f t="shared" si="367"/>
        <v>20220909</v>
      </c>
      <c r="M1974" s="1" t="str">
        <f>"105117"</f>
        <v>105117</v>
      </c>
      <c r="N1974" s="1" t="s">
        <v>34</v>
      </c>
      <c r="O1974" s="1" t="s">
        <v>34</v>
      </c>
      <c r="P1974" s="1" t="s">
        <v>55</v>
      </c>
      <c r="Q1974" s="1">
        <v>25</v>
      </c>
      <c r="R1974" s="1">
        <v>25</v>
      </c>
      <c r="S1974" s="1">
        <v>0</v>
      </c>
      <c r="T1974" s="1">
        <v>0</v>
      </c>
      <c r="U1974" s="1">
        <v>0</v>
      </c>
      <c r="V1974" s="1" t="str">
        <f t="shared" si="372"/>
        <v>里程去程</v>
      </c>
      <c r="W1974" s="1" t="str">
        <f>"013B"</f>
        <v>013B</v>
      </c>
      <c r="X1974" s="1" t="s">
        <v>109</v>
      </c>
    </row>
    <row r="1975" spans="1:24" x14ac:dyDescent="0.3">
      <c r="A1975" s="1" t="str">
        <f t="shared" si="370"/>
        <v>59825</v>
      </c>
      <c r="B1975" s="1" t="s">
        <v>30</v>
      </c>
      <c r="C1975" s="1" t="s">
        <v>31</v>
      </c>
      <c r="D1975" s="1" t="str">
        <f t="shared" si="371"/>
        <v>9803</v>
      </c>
      <c r="E1975" s="1" t="s">
        <v>32</v>
      </c>
      <c r="F1975" s="1" t="str">
        <f>"1490763537"</f>
        <v>1490763537</v>
      </c>
      <c r="G1975" s="1" t="s">
        <v>33</v>
      </c>
      <c r="H1975" s="1" t="str">
        <f t="shared" si="360"/>
        <v>20220909</v>
      </c>
      <c r="I1975" s="1" t="str">
        <f>"102824"</f>
        <v>102824</v>
      </c>
      <c r="J1975" s="1" t="s">
        <v>28</v>
      </c>
      <c r="K1975" s="1" t="s">
        <v>28</v>
      </c>
      <c r="L1975" s="1" t="str">
        <f t="shared" si="367"/>
        <v>20220909</v>
      </c>
      <c r="M1975" s="1" t="str">
        <f>"105050"</f>
        <v>105050</v>
      </c>
      <c r="N1975" s="1" t="s">
        <v>34</v>
      </c>
      <c r="O1975" s="1" t="s">
        <v>34</v>
      </c>
      <c r="P1975" s="1" t="s">
        <v>55</v>
      </c>
      <c r="Q1975" s="1">
        <v>25</v>
      </c>
      <c r="R1975" s="1">
        <v>25</v>
      </c>
      <c r="S1975" s="1">
        <v>0</v>
      </c>
      <c r="T1975" s="1">
        <v>0</v>
      </c>
      <c r="U1975" s="1">
        <v>0</v>
      </c>
      <c r="V1975" s="1" t="str">
        <f t="shared" si="372"/>
        <v>里程去程</v>
      </c>
      <c r="W1975" s="1" t="str">
        <f>"0120"</f>
        <v>0120</v>
      </c>
      <c r="X1975" s="1" t="s">
        <v>35</v>
      </c>
    </row>
    <row r="1976" spans="1:24" x14ac:dyDescent="0.3">
      <c r="A1976" s="1" t="str">
        <f t="shared" si="370"/>
        <v>59825</v>
      </c>
      <c r="B1976" s="1" t="s">
        <v>30</v>
      </c>
      <c r="C1976" s="1" t="s">
        <v>31</v>
      </c>
      <c r="D1976" s="1" t="str">
        <f t="shared" si="371"/>
        <v>9803</v>
      </c>
      <c r="E1976" s="1" t="s">
        <v>32</v>
      </c>
      <c r="F1976" s="1" t="str">
        <f>"027CD612BA28040080CEBCD765212818"</f>
        <v>027CD612BA28040080CEBCD765212818</v>
      </c>
      <c r="G1976" s="1" t="s">
        <v>58</v>
      </c>
      <c r="H1976" s="1" t="str">
        <f t="shared" si="360"/>
        <v>20220909</v>
      </c>
      <c r="I1976" s="1" t="str">
        <f>"102830"</f>
        <v>102830</v>
      </c>
      <c r="J1976" s="1" t="s">
        <v>28</v>
      </c>
      <c r="K1976" s="1" t="s">
        <v>28</v>
      </c>
      <c r="L1976" s="1" t="str">
        <f t="shared" si="367"/>
        <v>20220909</v>
      </c>
      <c r="M1976" s="1" t="str">
        <f>"105112"</f>
        <v>105112</v>
      </c>
      <c r="N1976" s="1" t="s">
        <v>34</v>
      </c>
      <c r="O1976" s="1" t="s">
        <v>34</v>
      </c>
      <c r="P1976" s="1" t="s">
        <v>55</v>
      </c>
      <c r="Q1976" s="1">
        <v>25</v>
      </c>
      <c r="R1976" s="1">
        <v>0</v>
      </c>
      <c r="S1976" s="1">
        <v>25</v>
      </c>
      <c r="T1976" s="1">
        <v>0</v>
      </c>
      <c r="U1976" s="1">
        <v>0</v>
      </c>
      <c r="V1976" s="1" t="str">
        <f t="shared" si="372"/>
        <v>里程去程</v>
      </c>
      <c r="W1976" s="1" t="str">
        <f>"0620"</f>
        <v>0620</v>
      </c>
      <c r="X1976" s="1" t="s">
        <v>29</v>
      </c>
    </row>
    <row r="1977" spans="1:24" x14ac:dyDescent="0.3">
      <c r="A1977" s="1" t="str">
        <f t="shared" si="370"/>
        <v>59825</v>
      </c>
      <c r="B1977" s="1" t="s">
        <v>30</v>
      </c>
      <c r="C1977" s="1" t="s">
        <v>31</v>
      </c>
      <c r="D1977" s="1" t="str">
        <f t="shared" si="371"/>
        <v>9803</v>
      </c>
      <c r="E1977" s="1" t="s">
        <v>32</v>
      </c>
      <c r="F1977" s="1" t="str">
        <f>"937176373"</f>
        <v>937176373</v>
      </c>
      <c r="G1977" s="1" t="s">
        <v>33</v>
      </c>
      <c r="H1977" s="1" t="str">
        <f t="shared" si="360"/>
        <v>20220909</v>
      </c>
      <c r="I1977" s="1" t="str">
        <f>"102836"</f>
        <v>102836</v>
      </c>
      <c r="J1977" s="1" t="s">
        <v>28</v>
      </c>
      <c r="K1977" s="1" t="s">
        <v>28</v>
      </c>
      <c r="L1977" s="1" t="str">
        <f t="shared" si="367"/>
        <v>20220909</v>
      </c>
      <c r="M1977" s="1" t="str">
        <f>"105108"</f>
        <v>105108</v>
      </c>
      <c r="N1977" s="1" t="s">
        <v>34</v>
      </c>
      <c r="O1977" s="1" t="s">
        <v>34</v>
      </c>
      <c r="P1977" s="1" t="s">
        <v>55</v>
      </c>
      <c r="Q1977" s="1">
        <v>25</v>
      </c>
      <c r="R1977" s="1">
        <v>0</v>
      </c>
      <c r="S1977" s="1">
        <v>25</v>
      </c>
      <c r="T1977" s="1">
        <v>0</v>
      </c>
      <c r="U1977" s="1">
        <v>0</v>
      </c>
      <c r="V1977" s="1" t="str">
        <f t="shared" si="372"/>
        <v>里程去程</v>
      </c>
      <c r="W1977" s="1" t="str">
        <f>"0820"</f>
        <v>0820</v>
      </c>
      <c r="X1977" s="1" t="s">
        <v>35</v>
      </c>
    </row>
    <row r="1978" spans="1:24" x14ac:dyDescent="0.3">
      <c r="A1978" s="1" t="str">
        <f t="shared" si="370"/>
        <v>59825</v>
      </c>
      <c r="B1978" s="1" t="s">
        <v>30</v>
      </c>
      <c r="C1978" s="1" t="s">
        <v>31</v>
      </c>
      <c r="D1978" s="1" t="str">
        <f t="shared" si="371"/>
        <v>9803</v>
      </c>
      <c r="E1978" s="1" t="s">
        <v>32</v>
      </c>
      <c r="F1978" s="1" t="str">
        <f>"965466369"</f>
        <v>965466369</v>
      </c>
      <c r="G1978" s="1" t="s">
        <v>38</v>
      </c>
      <c r="H1978" s="1" t="str">
        <f t="shared" si="360"/>
        <v>20220909</v>
      </c>
      <c r="I1978" s="1" t="str">
        <f>"102841"</f>
        <v>102841</v>
      </c>
      <c r="J1978" s="1" t="s">
        <v>28</v>
      </c>
      <c r="K1978" s="1" t="s">
        <v>28</v>
      </c>
      <c r="L1978" s="1" t="str">
        <f t="shared" si="367"/>
        <v>20220909</v>
      </c>
      <c r="M1978" s="1" t="str">
        <f>"105130"</f>
        <v>105130</v>
      </c>
      <c r="N1978" s="1" t="s">
        <v>34</v>
      </c>
      <c r="O1978" s="1" t="s">
        <v>34</v>
      </c>
      <c r="P1978" s="1" t="s">
        <v>55</v>
      </c>
      <c r="Q1978" s="1">
        <v>25</v>
      </c>
      <c r="R1978" s="1">
        <v>25</v>
      </c>
      <c r="S1978" s="1">
        <v>0</v>
      </c>
      <c r="T1978" s="1">
        <v>0</v>
      </c>
      <c r="U1978" s="1">
        <v>0</v>
      </c>
      <c r="V1978" s="1" t="str">
        <f t="shared" si="372"/>
        <v>里程去程</v>
      </c>
      <c r="W1978" s="1" t="str">
        <f>"0120"</f>
        <v>0120</v>
      </c>
      <c r="X1978" s="1" t="s">
        <v>35</v>
      </c>
    </row>
    <row r="1979" spans="1:24" x14ac:dyDescent="0.3">
      <c r="A1979" s="1" t="str">
        <f t="shared" si="370"/>
        <v>59825</v>
      </c>
      <c r="B1979" s="1" t="s">
        <v>30</v>
      </c>
      <c r="C1979" s="1" t="s">
        <v>31</v>
      </c>
      <c r="D1979" s="1" t="str">
        <f t="shared" si="371"/>
        <v>9803</v>
      </c>
      <c r="E1979" s="1" t="s">
        <v>32</v>
      </c>
      <c r="F1979" s="1" t="str">
        <f>"1031463189"</f>
        <v>1031463189</v>
      </c>
      <c r="G1979" s="1" t="s">
        <v>38</v>
      </c>
      <c r="H1979" s="1" t="str">
        <f t="shared" si="360"/>
        <v>20220909</v>
      </c>
      <c r="I1979" s="1" t="str">
        <f>"102845"</f>
        <v>102845</v>
      </c>
      <c r="J1979" s="1" t="s">
        <v>28</v>
      </c>
      <c r="K1979" s="1" t="s">
        <v>28</v>
      </c>
      <c r="L1979" s="1" t="str">
        <f t="shared" ref="L1979:L2010" si="373">"20220909"</f>
        <v>20220909</v>
      </c>
      <c r="M1979" s="1" t="str">
        <f>"105127"</f>
        <v>105127</v>
      </c>
      <c r="N1979" s="1" t="s">
        <v>34</v>
      </c>
      <c r="O1979" s="1" t="s">
        <v>34</v>
      </c>
      <c r="P1979" s="1" t="s">
        <v>55</v>
      </c>
      <c r="Q1979" s="1">
        <v>25</v>
      </c>
      <c r="R1979" s="1">
        <v>25</v>
      </c>
      <c r="S1979" s="1">
        <v>0</v>
      </c>
      <c r="T1979" s="1">
        <v>0</v>
      </c>
      <c r="U1979" s="1">
        <v>0</v>
      </c>
      <c r="V1979" s="1" t="str">
        <f t="shared" si="372"/>
        <v>里程去程</v>
      </c>
      <c r="W1979" s="1" t="str">
        <f>"0120"</f>
        <v>0120</v>
      </c>
      <c r="X1979" s="1" t="s">
        <v>35</v>
      </c>
    </row>
    <row r="1980" spans="1:24" x14ac:dyDescent="0.3">
      <c r="A1980" s="1" t="str">
        <f t="shared" si="370"/>
        <v>59825</v>
      </c>
      <c r="B1980" s="1" t="s">
        <v>30</v>
      </c>
      <c r="C1980" s="1" t="s">
        <v>31</v>
      </c>
      <c r="D1980" s="1" t="str">
        <f t="shared" si="371"/>
        <v>9803</v>
      </c>
      <c r="E1980" s="1" t="s">
        <v>32</v>
      </c>
      <c r="F1980" s="1" t="str">
        <f>"1105309893"</f>
        <v>1105309893</v>
      </c>
      <c r="G1980" s="1" t="s">
        <v>38</v>
      </c>
      <c r="H1980" s="1" t="str">
        <f t="shared" si="360"/>
        <v>20220909</v>
      </c>
      <c r="I1980" s="1" t="str">
        <f>"102851"</f>
        <v>102851</v>
      </c>
      <c r="J1980" s="1" t="s">
        <v>28</v>
      </c>
      <c r="K1980" s="1" t="s">
        <v>28</v>
      </c>
      <c r="L1980" s="1" t="str">
        <f t="shared" si="373"/>
        <v>20220909</v>
      </c>
      <c r="M1980" s="1" t="str">
        <f>"105047"</f>
        <v>105047</v>
      </c>
      <c r="N1980" s="1" t="s">
        <v>34</v>
      </c>
      <c r="O1980" s="1" t="s">
        <v>34</v>
      </c>
      <c r="P1980" s="1" t="s">
        <v>55</v>
      </c>
      <c r="Q1980" s="1">
        <v>25</v>
      </c>
      <c r="R1980" s="1">
        <v>25</v>
      </c>
      <c r="S1980" s="1">
        <v>0</v>
      </c>
      <c r="T1980" s="1">
        <v>0</v>
      </c>
      <c r="U1980" s="1">
        <v>0</v>
      </c>
      <c r="V1980" s="1" t="str">
        <f t="shared" si="372"/>
        <v>里程去程</v>
      </c>
      <c r="W1980" s="1" t="str">
        <f>"0120"</f>
        <v>0120</v>
      </c>
      <c r="X1980" s="1" t="s">
        <v>35</v>
      </c>
    </row>
    <row r="1981" spans="1:24" x14ac:dyDescent="0.3">
      <c r="A1981" s="1" t="str">
        <f t="shared" si="370"/>
        <v>59825</v>
      </c>
      <c r="B1981" s="1" t="s">
        <v>30</v>
      </c>
      <c r="C1981" s="1" t="s">
        <v>31</v>
      </c>
      <c r="D1981" s="1" t="str">
        <f t="shared" si="371"/>
        <v>9803</v>
      </c>
      <c r="E1981" s="1" t="s">
        <v>32</v>
      </c>
      <c r="F1981" s="1" t="str">
        <f>"C1CF00555B2804001C00000000000000"</f>
        <v>C1CF00555B2804001C00000000000000</v>
      </c>
      <c r="G1981" s="1" t="s">
        <v>58</v>
      </c>
      <c r="H1981" s="1" t="str">
        <f t="shared" si="360"/>
        <v>20220909</v>
      </c>
      <c r="I1981" s="1" t="str">
        <f>"102855"</f>
        <v>102855</v>
      </c>
      <c r="J1981" s="1" t="s">
        <v>28</v>
      </c>
      <c r="K1981" s="1" t="s">
        <v>28</v>
      </c>
      <c r="L1981" s="1" t="str">
        <f t="shared" si="373"/>
        <v>20220909</v>
      </c>
      <c r="M1981" s="1" t="str">
        <f>"105043"</f>
        <v>105043</v>
      </c>
      <c r="N1981" s="1" t="s">
        <v>34</v>
      </c>
      <c r="O1981" s="1" t="s">
        <v>34</v>
      </c>
      <c r="P1981" s="1" t="s">
        <v>55</v>
      </c>
      <c r="Q1981" s="1">
        <v>25</v>
      </c>
      <c r="R1981" s="1">
        <v>25</v>
      </c>
      <c r="S1981" s="1">
        <v>0</v>
      </c>
      <c r="T1981" s="1">
        <v>0</v>
      </c>
      <c r="U1981" s="1">
        <v>0</v>
      </c>
      <c r="V1981" s="1" t="str">
        <f t="shared" si="372"/>
        <v>里程去程</v>
      </c>
      <c r="W1981" s="1" t="str">
        <f>"0020"</f>
        <v>0020</v>
      </c>
      <c r="X1981" s="1" t="s">
        <v>29</v>
      </c>
    </row>
    <row r="1982" spans="1:24" x14ac:dyDescent="0.3">
      <c r="A1982" s="1" t="str">
        <f t="shared" si="370"/>
        <v>59825</v>
      </c>
      <c r="B1982" s="1" t="s">
        <v>30</v>
      </c>
      <c r="C1982" s="1" t="s">
        <v>31</v>
      </c>
      <c r="D1982" s="1" t="str">
        <f t="shared" si="371"/>
        <v>9803</v>
      </c>
      <c r="E1982" s="1" t="s">
        <v>32</v>
      </c>
      <c r="F1982" s="1" t="str">
        <f>"1140663653"</f>
        <v>1140663653</v>
      </c>
      <c r="G1982" s="1" t="s">
        <v>33</v>
      </c>
      <c r="H1982" s="1" t="str">
        <f t="shared" si="360"/>
        <v>20220909</v>
      </c>
      <c r="I1982" s="1" t="str">
        <f>"102912"</f>
        <v>102912</v>
      </c>
      <c r="J1982" s="1" t="s">
        <v>28</v>
      </c>
      <c r="K1982" s="1" t="s">
        <v>28</v>
      </c>
      <c r="L1982" s="1" t="str">
        <f t="shared" si="373"/>
        <v>20220909</v>
      </c>
      <c r="M1982" s="1" t="str">
        <f>"105040"</f>
        <v>105040</v>
      </c>
      <c r="N1982" s="1" t="s">
        <v>34</v>
      </c>
      <c r="O1982" s="1" t="s">
        <v>34</v>
      </c>
      <c r="P1982" s="1" t="s">
        <v>55</v>
      </c>
      <c r="Q1982" s="1">
        <v>25</v>
      </c>
      <c r="R1982" s="1">
        <v>25</v>
      </c>
      <c r="S1982" s="1">
        <v>0</v>
      </c>
      <c r="T1982" s="1">
        <v>0</v>
      </c>
      <c r="U1982" s="1">
        <v>0</v>
      </c>
      <c r="V1982" s="1" t="str">
        <f t="shared" si="372"/>
        <v>里程去程</v>
      </c>
      <c r="W1982" s="1" t="str">
        <f>"0120"</f>
        <v>0120</v>
      </c>
      <c r="X1982" s="1" t="s">
        <v>35</v>
      </c>
    </row>
    <row r="1983" spans="1:24" x14ac:dyDescent="0.3">
      <c r="A1983" s="1" t="str">
        <f t="shared" si="370"/>
        <v>59825</v>
      </c>
      <c r="B1983" s="1" t="s">
        <v>30</v>
      </c>
      <c r="C1983" s="1" t="s">
        <v>31</v>
      </c>
      <c r="D1983" s="1" t="str">
        <f t="shared" si="371"/>
        <v>9803</v>
      </c>
      <c r="E1983" s="1" t="s">
        <v>32</v>
      </c>
      <c r="F1983" s="1" t="str">
        <f>"A4122037A1280400D200000100000000"</f>
        <v>A4122037A1280400D200000100000000</v>
      </c>
      <c r="G1983" s="1" t="s">
        <v>58</v>
      </c>
      <c r="H1983" s="1" t="str">
        <f t="shared" si="360"/>
        <v>20220909</v>
      </c>
      <c r="I1983" s="1" t="str">
        <f>"102917"</f>
        <v>102917</v>
      </c>
      <c r="J1983" s="1" t="s">
        <v>28</v>
      </c>
      <c r="K1983" s="1" t="s">
        <v>28</v>
      </c>
      <c r="L1983" s="1" t="str">
        <f t="shared" si="373"/>
        <v>20220909</v>
      </c>
      <c r="M1983" s="1" t="str">
        <f>"105113"</f>
        <v>105113</v>
      </c>
      <c r="N1983" s="1" t="s">
        <v>34</v>
      </c>
      <c r="O1983" s="1" t="s">
        <v>34</v>
      </c>
      <c r="P1983" s="1" t="s">
        <v>55</v>
      </c>
      <c r="Q1983" s="1">
        <v>25</v>
      </c>
      <c r="R1983" s="1">
        <v>25</v>
      </c>
      <c r="S1983" s="1">
        <v>0</v>
      </c>
      <c r="T1983" s="1">
        <v>0</v>
      </c>
      <c r="U1983" s="1">
        <v>0</v>
      </c>
      <c r="V1983" s="1" t="str">
        <f t="shared" si="372"/>
        <v>里程去程</v>
      </c>
      <c r="W1983" s="1" t="str">
        <f>"0020"</f>
        <v>0020</v>
      </c>
      <c r="X1983" s="1" t="s">
        <v>29</v>
      </c>
    </row>
    <row r="1984" spans="1:24" x14ac:dyDescent="0.3">
      <c r="A1984" s="1" t="str">
        <f t="shared" si="370"/>
        <v>59825</v>
      </c>
      <c r="B1984" s="1" t="s">
        <v>30</v>
      </c>
      <c r="C1984" s="1" t="s">
        <v>31</v>
      </c>
      <c r="D1984" s="1" t="str">
        <f t="shared" si="371"/>
        <v>9803</v>
      </c>
      <c r="E1984" s="1" t="s">
        <v>32</v>
      </c>
      <c r="F1984" s="1" t="str">
        <f>"1018574485"</f>
        <v>1018574485</v>
      </c>
      <c r="G1984" s="1" t="s">
        <v>38</v>
      </c>
      <c r="H1984" s="1" t="str">
        <f t="shared" si="360"/>
        <v>20220909</v>
      </c>
      <c r="I1984" s="1" t="str">
        <f>"102925"</f>
        <v>102925</v>
      </c>
      <c r="J1984" s="1" t="s">
        <v>28</v>
      </c>
      <c r="K1984" s="1" t="s">
        <v>28</v>
      </c>
      <c r="L1984" s="1" t="str">
        <f t="shared" si="373"/>
        <v>20220909</v>
      </c>
      <c r="M1984" s="1" t="str">
        <f>"105037"</f>
        <v>105037</v>
      </c>
      <c r="N1984" s="1" t="s">
        <v>34</v>
      </c>
      <c r="O1984" s="1" t="s">
        <v>34</v>
      </c>
      <c r="P1984" s="1" t="s">
        <v>55</v>
      </c>
      <c r="Q1984" s="1">
        <v>25</v>
      </c>
      <c r="R1984" s="1">
        <v>25</v>
      </c>
      <c r="S1984" s="1">
        <v>0</v>
      </c>
      <c r="T1984" s="1">
        <v>0</v>
      </c>
      <c r="U1984" s="1">
        <v>0</v>
      </c>
      <c r="V1984" s="1" t="str">
        <f t="shared" si="372"/>
        <v>里程去程</v>
      </c>
      <c r="W1984" s="1" t="str">
        <f>"1c20"</f>
        <v>1c20</v>
      </c>
      <c r="X1984" s="1" t="s">
        <v>35</v>
      </c>
    </row>
    <row r="1985" spans="1:24" x14ac:dyDescent="0.3">
      <c r="A1985" s="1" t="str">
        <f t="shared" si="370"/>
        <v>59825</v>
      </c>
      <c r="B1985" s="1" t="s">
        <v>30</v>
      </c>
      <c r="C1985" s="1" t="s">
        <v>31</v>
      </c>
      <c r="D1985" s="1" t="str">
        <f t="shared" si="371"/>
        <v>9803</v>
      </c>
      <c r="E1985" s="1" t="s">
        <v>32</v>
      </c>
      <c r="F1985" s="1" t="str">
        <f>"802250821"</f>
        <v>802250821</v>
      </c>
      <c r="G1985" s="1" t="s">
        <v>38</v>
      </c>
      <c r="H1985" s="1" t="str">
        <f t="shared" si="360"/>
        <v>20220909</v>
      </c>
      <c r="I1985" s="1" t="str">
        <f>"102932"</f>
        <v>102932</v>
      </c>
      <c r="J1985" s="1" t="s">
        <v>28</v>
      </c>
      <c r="K1985" s="1" t="s">
        <v>28</v>
      </c>
      <c r="L1985" s="1" t="str">
        <f t="shared" si="373"/>
        <v>20220909</v>
      </c>
      <c r="M1985" s="1" t="str">
        <f>"105033"</f>
        <v>105033</v>
      </c>
      <c r="N1985" s="1" t="s">
        <v>34</v>
      </c>
      <c r="O1985" s="1" t="s">
        <v>34</v>
      </c>
      <c r="P1985" s="1" t="s">
        <v>55</v>
      </c>
      <c r="Q1985" s="1">
        <v>25</v>
      </c>
      <c r="R1985" s="1">
        <v>25</v>
      </c>
      <c r="S1985" s="1">
        <v>0</v>
      </c>
      <c r="T1985" s="1">
        <v>0</v>
      </c>
      <c r="U1985" s="1">
        <v>0</v>
      </c>
      <c r="V1985" s="1" t="str">
        <f t="shared" si="372"/>
        <v>里程去程</v>
      </c>
      <c r="W1985" s="1" t="str">
        <f>"0e20"</f>
        <v>0e20</v>
      </c>
      <c r="X1985" s="1" t="s">
        <v>35</v>
      </c>
    </row>
    <row r="1986" spans="1:24" x14ac:dyDescent="0.3">
      <c r="A1986" s="1" t="str">
        <f t="shared" si="370"/>
        <v>59825</v>
      </c>
      <c r="B1986" s="1" t="s">
        <v>30</v>
      </c>
      <c r="C1986" s="1" t="s">
        <v>31</v>
      </c>
      <c r="D1986" s="1" t="str">
        <f t="shared" si="371"/>
        <v>9803</v>
      </c>
      <c r="E1986" s="1" t="s">
        <v>32</v>
      </c>
      <c r="F1986" s="1" t="str">
        <f>"B76BD6444E8804004328339900010208"</f>
        <v>B76BD6444E8804004328339900010208</v>
      </c>
      <c r="G1986" s="1" t="s">
        <v>58</v>
      </c>
      <c r="H1986" s="1" t="str">
        <f t="shared" ref="H1986:H2049" si="374">"20220909"</f>
        <v>20220909</v>
      </c>
      <c r="I1986" s="1" t="str">
        <f>"102938"</f>
        <v>102938</v>
      </c>
      <c r="J1986" s="1" t="s">
        <v>28</v>
      </c>
      <c r="K1986" s="1" t="s">
        <v>28</v>
      </c>
      <c r="L1986" s="1" t="str">
        <f t="shared" si="373"/>
        <v>20220909</v>
      </c>
      <c r="M1986" s="1" t="str">
        <f>"105017"</f>
        <v>105017</v>
      </c>
      <c r="N1986" s="1" t="s">
        <v>34</v>
      </c>
      <c r="O1986" s="1" t="s">
        <v>34</v>
      </c>
      <c r="P1986" s="1" t="s">
        <v>55</v>
      </c>
      <c r="Q1986" s="1">
        <v>25</v>
      </c>
      <c r="R1986" s="1">
        <v>25</v>
      </c>
      <c r="S1986" s="1">
        <v>0</v>
      </c>
      <c r="T1986" s="1">
        <v>0</v>
      </c>
      <c r="U1986" s="1">
        <v>0</v>
      </c>
      <c r="V1986" s="1" t="str">
        <f t="shared" si="372"/>
        <v>里程去程</v>
      </c>
      <c r="W1986" s="1" t="str">
        <f>"0020"</f>
        <v>0020</v>
      </c>
      <c r="X1986" s="1" t="s">
        <v>29</v>
      </c>
    </row>
    <row r="1987" spans="1:24" x14ac:dyDescent="0.3">
      <c r="A1987" s="1" t="str">
        <f t="shared" si="370"/>
        <v>59825</v>
      </c>
      <c r="B1987" s="1" t="s">
        <v>30</v>
      </c>
      <c r="C1987" s="1" t="s">
        <v>31</v>
      </c>
      <c r="D1987" s="1" t="str">
        <f t="shared" si="371"/>
        <v>9803</v>
      </c>
      <c r="E1987" s="1" t="s">
        <v>32</v>
      </c>
      <c r="F1987" s="1" t="str">
        <f>"7A193DD08E8804004759441159103407"</f>
        <v>7A193DD08E8804004759441159103407</v>
      </c>
      <c r="G1987" s="1" t="s">
        <v>58</v>
      </c>
      <c r="H1987" s="1" t="str">
        <f t="shared" si="374"/>
        <v>20220909</v>
      </c>
      <c r="I1987" s="1" t="str">
        <f>"102943"</f>
        <v>102943</v>
      </c>
      <c r="J1987" s="1" t="s">
        <v>28</v>
      </c>
      <c r="K1987" s="1" t="s">
        <v>28</v>
      </c>
      <c r="L1987" s="1" t="str">
        <f t="shared" si="373"/>
        <v>20220909</v>
      </c>
      <c r="M1987" s="1" t="str">
        <f>"105012"</f>
        <v>105012</v>
      </c>
      <c r="N1987" s="1" t="s">
        <v>34</v>
      </c>
      <c r="O1987" s="1" t="s">
        <v>34</v>
      </c>
      <c r="P1987" s="1" t="s">
        <v>55</v>
      </c>
      <c r="Q1987" s="1">
        <v>25</v>
      </c>
      <c r="R1987" s="1">
        <v>25</v>
      </c>
      <c r="S1987" s="1">
        <v>0</v>
      </c>
      <c r="T1987" s="1">
        <v>0</v>
      </c>
      <c r="U1987" s="1">
        <v>0</v>
      </c>
      <c r="V1987" s="1" t="str">
        <f t="shared" si="372"/>
        <v>里程去程</v>
      </c>
      <c r="W1987" s="1" t="str">
        <f>"0020"</f>
        <v>0020</v>
      </c>
      <c r="X1987" s="1" t="s">
        <v>29</v>
      </c>
    </row>
    <row r="1988" spans="1:24" x14ac:dyDescent="0.3">
      <c r="A1988" s="1" t="str">
        <f t="shared" si="370"/>
        <v>59825</v>
      </c>
      <c r="B1988" s="1" t="s">
        <v>30</v>
      </c>
      <c r="C1988" s="1" t="s">
        <v>31</v>
      </c>
      <c r="D1988" s="1" t="str">
        <f t="shared" si="371"/>
        <v>9803</v>
      </c>
      <c r="E1988" s="1" t="s">
        <v>32</v>
      </c>
      <c r="F1988" s="1" t="str">
        <f>"1741638405"</f>
        <v>1741638405</v>
      </c>
      <c r="G1988" s="1" t="s">
        <v>38</v>
      </c>
      <c r="H1988" s="1" t="str">
        <f t="shared" si="374"/>
        <v>20220909</v>
      </c>
      <c r="I1988" s="1" t="str">
        <f>"102949"</f>
        <v>102949</v>
      </c>
      <c r="J1988" s="1" t="s">
        <v>28</v>
      </c>
      <c r="K1988" s="1" t="s">
        <v>28</v>
      </c>
      <c r="L1988" s="1" t="str">
        <f t="shared" si="373"/>
        <v>20220909</v>
      </c>
      <c r="M1988" s="1" t="str">
        <f>"105009"</f>
        <v>105009</v>
      </c>
      <c r="N1988" s="1" t="s">
        <v>34</v>
      </c>
      <c r="O1988" s="1" t="s">
        <v>34</v>
      </c>
      <c r="P1988" s="1" t="s">
        <v>55</v>
      </c>
      <c r="Q1988" s="1">
        <v>25</v>
      </c>
      <c r="R1988" s="1">
        <v>25</v>
      </c>
      <c r="S1988" s="1">
        <v>0</v>
      </c>
      <c r="T1988" s="1">
        <v>0</v>
      </c>
      <c r="U1988" s="1">
        <v>0</v>
      </c>
      <c r="V1988" s="1" t="str">
        <f t="shared" si="372"/>
        <v>里程去程</v>
      </c>
      <c r="W1988" s="1" t="str">
        <f>"0120"</f>
        <v>0120</v>
      </c>
      <c r="X1988" s="1" t="s">
        <v>35</v>
      </c>
    </row>
    <row r="1989" spans="1:24" x14ac:dyDescent="0.3">
      <c r="A1989" s="1" t="str">
        <f t="shared" si="370"/>
        <v>59825</v>
      </c>
      <c r="B1989" s="1" t="s">
        <v>30</v>
      </c>
      <c r="C1989" s="1" t="s">
        <v>31</v>
      </c>
      <c r="D1989" s="1" t="str">
        <f t="shared" si="371"/>
        <v>9803</v>
      </c>
      <c r="E1989" s="1" t="s">
        <v>32</v>
      </c>
      <c r="F1989" s="1" t="str">
        <f>"1819518065"</f>
        <v>1819518065</v>
      </c>
      <c r="G1989" s="1" t="s">
        <v>33</v>
      </c>
      <c r="H1989" s="1" t="str">
        <f t="shared" si="374"/>
        <v>20220909</v>
      </c>
      <c r="I1989" s="1" t="str">
        <f>"103000"</f>
        <v>103000</v>
      </c>
      <c r="J1989" s="1" t="s">
        <v>28</v>
      </c>
      <c r="K1989" s="1" t="s">
        <v>28</v>
      </c>
      <c r="L1989" s="1" t="str">
        <f t="shared" si="373"/>
        <v>20220909</v>
      </c>
      <c r="M1989" s="1" t="str">
        <f>"104940"</f>
        <v>104940</v>
      </c>
      <c r="N1989" s="1" t="s">
        <v>34</v>
      </c>
      <c r="O1989" s="1" t="s">
        <v>34</v>
      </c>
      <c r="P1989" s="1" t="s">
        <v>55</v>
      </c>
      <c r="Q1989" s="1">
        <v>25</v>
      </c>
      <c r="R1989" s="1">
        <v>25</v>
      </c>
      <c r="S1989" s="1">
        <v>0</v>
      </c>
      <c r="T1989" s="1">
        <v>0</v>
      </c>
      <c r="U1989" s="1">
        <v>0</v>
      </c>
      <c r="V1989" s="1" t="str">
        <f t="shared" si="372"/>
        <v>里程去程</v>
      </c>
      <c r="W1989" s="1" t="str">
        <f>"0020"</f>
        <v>0020</v>
      </c>
      <c r="X1989" s="1" t="s">
        <v>35</v>
      </c>
    </row>
    <row r="1990" spans="1:24" x14ac:dyDescent="0.3">
      <c r="A1990" s="1" t="str">
        <f t="shared" si="370"/>
        <v>59825</v>
      </c>
      <c r="B1990" s="1" t="s">
        <v>30</v>
      </c>
      <c r="C1990" s="1" t="s">
        <v>31</v>
      </c>
      <c r="D1990" s="1" t="str">
        <f t="shared" si="371"/>
        <v>9803</v>
      </c>
      <c r="E1990" s="1" t="s">
        <v>32</v>
      </c>
      <c r="F1990" s="1" t="str">
        <f>"548323153"</f>
        <v>548323153</v>
      </c>
      <c r="G1990" s="1" t="s">
        <v>33</v>
      </c>
      <c r="H1990" s="1" t="str">
        <f t="shared" si="374"/>
        <v>20220909</v>
      </c>
      <c r="I1990" s="1" t="str">
        <f>"103109"</f>
        <v>103109</v>
      </c>
      <c r="J1990" s="1" t="s">
        <v>28</v>
      </c>
      <c r="K1990" s="1" t="s">
        <v>28</v>
      </c>
      <c r="L1990" s="1" t="str">
        <f t="shared" si="373"/>
        <v>20220909</v>
      </c>
      <c r="M1990" s="1" t="str">
        <f>"105102"</f>
        <v>105102</v>
      </c>
      <c r="N1990" s="1" t="s">
        <v>34</v>
      </c>
      <c r="O1990" s="1" t="s">
        <v>34</v>
      </c>
      <c r="P1990" s="1" t="s">
        <v>55</v>
      </c>
      <c r="Q1990" s="1">
        <v>25</v>
      </c>
      <c r="R1990" s="1">
        <v>25</v>
      </c>
      <c r="S1990" s="1">
        <v>0</v>
      </c>
      <c r="T1990" s="1">
        <v>0</v>
      </c>
      <c r="U1990" s="1">
        <v>0</v>
      </c>
      <c r="V1990" s="1" t="str">
        <f t="shared" si="372"/>
        <v>里程去程</v>
      </c>
      <c r="W1990" s="1" t="str">
        <f>"0120"</f>
        <v>0120</v>
      </c>
      <c r="X1990" s="1" t="s">
        <v>35</v>
      </c>
    </row>
    <row r="1991" spans="1:24" x14ac:dyDescent="0.3">
      <c r="A1991" s="1" t="str">
        <f t="shared" ref="A1991:A2022" si="375">"59825"</f>
        <v>59825</v>
      </c>
      <c r="B1991" s="1" t="s">
        <v>30</v>
      </c>
      <c r="C1991" s="1" t="s">
        <v>31</v>
      </c>
      <c r="D1991" s="1" t="str">
        <f t="shared" ref="D1991:D2022" si="376">"9803"</f>
        <v>9803</v>
      </c>
      <c r="E1991" s="1" t="s">
        <v>32</v>
      </c>
      <c r="F1991" s="1" t="str">
        <f>"F2D14C147B28040080CED9D049713218"</f>
        <v>F2D14C147B28040080CED9D049713218</v>
      </c>
      <c r="G1991" s="1" t="s">
        <v>59</v>
      </c>
      <c r="H1991" s="1" t="str">
        <f t="shared" si="374"/>
        <v>20220909</v>
      </c>
      <c r="I1991" s="1" t="str">
        <f>"104154"</f>
        <v>104154</v>
      </c>
      <c r="J1991" s="1" t="s">
        <v>46</v>
      </c>
      <c r="K1991" s="1" t="s">
        <v>28</v>
      </c>
      <c r="L1991" s="1" t="str">
        <f t="shared" si="373"/>
        <v>20220909</v>
      </c>
      <c r="M1991" s="1" t="str">
        <f>"104927"</f>
        <v>104927</v>
      </c>
      <c r="N1991" s="1" t="s">
        <v>89</v>
      </c>
      <c r="O1991" s="1" t="s">
        <v>28</v>
      </c>
      <c r="P1991" s="1" t="s">
        <v>55</v>
      </c>
      <c r="Q1991" s="1">
        <v>25</v>
      </c>
      <c r="R1991" s="1">
        <v>25</v>
      </c>
      <c r="S1991" s="1">
        <v>0</v>
      </c>
      <c r="T1991" s="1">
        <v>0</v>
      </c>
      <c r="U1991" s="1">
        <v>0</v>
      </c>
      <c r="V1991" s="1" t="str">
        <f t="shared" ref="V1991:V2007" si="377">"里程去程"</f>
        <v>里程去程</v>
      </c>
      <c r="W1991" s="1" t="str">
        <f>"0020"</f>
        <v>0020</v>
      </c>
      <c r="X1991" s="1" t="s">
        <v>29</v>
      </c>
    </row>
    <row r="1992" spans="1:24" x14ac:dyDescent="0.3">
      <c r="A1992" s="1" t="str">
        <f t="shared" si="375"/>
        <v>59825</v>
      </c>
      <c r="B1992" s="1" t="s">
        <v>30</v>
      </c>
      <c r="C1992" s="1" t="s">
        <v>31</v>
      </c>
      <c r="D1992" s="1" t="str">
        <f t="shared" si="376"/>
        <v>9803</v>
      </c>
      <c r="E1992" s="1" t="s">
        <v>32</v>
      </c>
      <c r="F1992" s="1" t="str">
        <f>"F1B05E47582804001C00000000000000"</f>
        <v>F1B05E47582804001C00000000000000</v>
      </c>
      <c r="G1992" s="1" t="s">
        <v>58</v>
      </c>
      <c r="H1992" s="1" t="str">
        <f t="shared" si="374"/>
        <v>20220909</v>
      </c>
      <c r="I1992" s="1" t="str">
        <f>"113001"</f>
        <v>113001</v>
      </c>
      <c r="J1992" s="1" t="s">
        <v>28</v>
      </c>
      <c r="K1992" s="1" t="s">
        <v>28</v>
      </c>
      <c r="L1992" s="1" t="str">
        <f t="shared" si="373"/>
        <v>20220909</v>
      </c>
      <c r="M1992" s="1" t="str">
        <f>"115152"</f>
        <v>115152</v>
      </c>
      <c r="N1992" s="1" t="s">
        <v>34</v>
      </c>
      <c r="O1992" s="1" t="s">
        <v>34</v>
      </c>
      <c r="P1992" s="1" t="s">
        <v>55</v>
      </c>
      <c r="Q1992" s="1">
        <v>25</v>
      </c>
      <c r="R1992" s="1">
        <v>25</v>
      </c>
      <c r="S1992" s="1">
        <v>0</v>
      </c>
      <c r="T1992" s="1">
        <v>0</v>
      </c>
      <c r="U1992" s="1">
        <v>0</v>
      </c>
      <c r="V1992" s="1" t="str">
        <f t="shared" si="377"/>
        <v>里程去程</v>
      </c>
      <c r="W1992" s="1" t="str">
        <f>"0020"</f>
        <v>0020</v>
      </c>
      <c r="X1992" s="1" t="s">
        <v>29</v>
      </c>
    </row>
    <row r="1993" spans="1:24" x14ac:dyDescent="0.3">
      <c r="A1993" s="1" t="str">
        <f t="shared" si="375"/>
        <v>59825</v>
      </c>
      <c r="B1993" s="1" t="s">
        <v>30</v>
      </c>
      <c r="C1993" s="1" t="s">
        <v>31</v>
      </c>
      <c r="D1993" s="1" t="str">
        <f t="shared" si="376"/>
        <v>9803</v>
      </c>
      <c r="E1993" s="1" t="s">
        <v>32</v>
      </c>
      <c r="F1993" s="1" t="str">
        <f>"970301333"</f>
        <v>970301333</v>
      </c>
      <c r="G1993" s="1" t="s">
        <v>33</v>
      </c>
      <c r="H1993" s="1" t="str">
        <f t="shared" si="374"/>
        <v>20220909</v>
      </c>
      <c r="I1993" s="1" t="str">
        <f>"113003"</f>
        <v>113003</v>
      </c>
      <c r="J1993" s="1" t="s">
        <v>28</v>
      </c>
      <c r="K1993" s="1" t="s">
        <v>28</v>
      </c>
      <c r="L1993" s="1" t="str">
        <f t="shared" si="373"/>
        <v>20220909</v>
      </c>
      <c r="M1993" s="1" t="str">
        <f>"115150"</f>
        <v>115150</v>
      </c>
      <c r="N1993" s="1" t="s">
        <v>34</v>
      </c>
      <c r="O1993" s="1" t="s">
        <v>34</v>
      </c>
      <c r="P1993" s="1" t="s">
        <v>55</v>
      </c>
      <c r="Q1993" s="1">
        <v>25</v>
      </c>
      <c r="R1993" s="1">
        <v>25</v>
      </c>
      <c r="S1993" s="1">
        <v>0</v>
      </c>
      <c r="T1993" s="1">
        <v>0</v>
      </c>
      <c r="U1993" s="1">
        <v>0</v>
      </c>
      <c r="V1993" s="1" t="str">
        <f t="shared" si="377"/>
        <v>里程去程</v>
      </c>
      <c r="W1993" s="1" t="str">
        <f>"1c20"</f>
        <v>1c20</v>
      </c>
      <c r="X1993" s="1" t="s">
        <v>35</v>
      </c>
    </row>
    <row r="1994" spans="1:24" x14ac:dyDescent="0.3">
      <c r="A1994" s="1" t="str">
        <f t="shared" si="375"/>
        <v>59825</v>
      </c>
      <c r="B1994" s="1" t="s">
        <v>30</v>
      </c>
      <c r="C1994" s="1" t="s">
        <v>31</v>
      </c>
      <c r="D1994" s="1" t="str">
        <f t="shared" si="376"/>
        <v>9803</v>
      </c>
      <c r="E1994" s="1" t="s">
        <v>32</v>
      </c>
      <c r="F1994" s="1" t="str">
        <f>"1169228833"</f>
        <v>1169228833</v>
      </c>
      <c r="G1994" s="1" t="s">
        <v>33</v>
      </c>
      <c r="H1994" s="1" t="str">
        <f t="shared" si="374"/>
        <v>20220909</v>
      </c>
      <c r="I1994" s="1" t="str">
        <f>"113031"</f>
        <v>113031</v>
      </c>
      <c r="J1994" s="1" t="s">
        <v>28</v>
      </c>
      <c r="K1994" s="1" t="s">
        <v>28</v>
      </c>
      <c r="L1994" s="1" t="str">
        <f t="shared" si="373"/>
        <v>20220909</v>
      </c>
      <c r="M1994" s="1" t="str">
        <f>"115128"</f>
        <v>115128</v>
      </c>
      <c r="N1994" s="1" t="s">
        <v>34</v>
      </c>
      <c r="O1994" s="1" t="s">
        <v>34</v>
      </c>
      <c r="P1994" s="1" t="s">
        <v>55</v>
      </c>
      <c r="Q1994" s="1">
        <v>25</v>
      </c>
      <c r="R1994" s="1">
        <v>25</v>
      </c>
      <c r="S1994" s="1">
        <v>0</v>
      </c>
      <c r="T1994" s="1">
        <v>0</v>
      </c>
      <c r="U1994" s="1">
        <v>0</v>
      </c>
      <c r="V1994" s="1" t="str">
        <f t="shared" si="377"/>
        <v>里程去程</v>
      </c>
      <c r="W1994" s="1" t="str">
        <f>"0820"</f>
        <v>0820</v>
      </c>
      <c r="X1994" s="1" t="s">
        <v>35</v>
      </c>
    </row>
    <row r="1995" spans="1:24" x14ac:dyDescent="0.3">
      <c r="A1995" s="1" t="str">
        <f t="shared" si="375"/>
        <v>59825</v>
      </c>
      <c r="B1995" s="1" t="s">
        <v>30</v>
      </c>
      <c r="C1995" s="1" t="s">
        <v>31</v>
      </c>
      <c r="D1995" s="1" t="str">
        <f t="shared" si="376"/>
        <v>9803</v>
      </c>
      <c r="E1995" s="1" t="s">
        <v>32</v>
      </c>
      <c r="F1995" s="1" t="str">
        <f>"642667777"</f>
        <v>642667777</v>
      </c>
      <c r="G1995" s="1" t="s">
        <v>33</v>
      </c>
      <c r="H1995" s="1" t="str">
        <f t="shared" si="374"/>
        <v>20220909</v>
      </c>
      <c r="I1995" s="1" t="str">
        <f>"113046"</f>
        <v>113046</v>
      </c>
      <c r="J1995" s="1" t="s">
        <v>28</v>
      </c>
      <c r="K1995" s="1" t="s">
        <v>28</v>
      </c>
      <c r="L1995" s="1" t="str">
        <f t="shared" si="373"/>
        <v>20220909</v>
      </c>
      <c r="M1995" s="1" t="str">
        <f>"115126"</f>
        <v>115126</v>
      </c>
      <c r="N1995" s="1" t="s">
        <v>34</v>
      </c>
      <c r="O1995" s="1" t="s">
        <v>34</v>
      </c>
      <c r="P1995" s="1" t="s">
        <v>55</v>
      </c>
      <c r="Q1995" s="1">
        <v>25</v>
      </c>
      <c r="R1995" s="1">
        <v>25</v>
      </c>
      <c r="S1995" s="1">
        <v>0</v>
      </c>
      <c r="T1995" s="1">
        <v>0</v>
      </c>
      <c r="U1995" s="1">
        <v>0</v>
      </c>
      <c r="V1995" s="1" t="str">
        <f t="shared" si="377"/>
        <v>里程去程</v>
      </c>
      <c r="W1995" s="1" t="str">
        <f>"0320"</f>
        <v>0320</v>
      </c>
      <c r="X1995" s="1" t="s">
        <v>35</v>
      </c>
    </row>
    <row r="1996" spans="1:24" x14ac:dyDescent="0.3">
      <c r="A1996" s="1" t="str">
        <f t="shared" si="375"/>
        <v>59825</v>
      </c>
      <c r="B1996" s="1" t="s">
        <v>30</v>
      </c>
      <c r="C1996" s="1" t="s">
        <v>31</v>
      </c>
      <c r="D1996" s="1" t="str">
        <f t="shared" si="376"/>
        <v>9803</v>
      </c>
      <c r="E1996" s="1" t="s">
        <v>32</v>
      </c>
      <c r="F1996" s="1" t="str">
        <f>"859438261"</f>
        <v>859438261</v>
      </c>
      <c r="G1996" s="1" t="s">
        <v>33</v>
      </c>
      <c r="H1996" s="1" t="str">
        <f t="shared" si="374"/>
        <v>20220909</v>
      </c>
      <c r="I1996" s="1" t="str">
        <f>"113059"</f>
        <v>113059</v>
      </c>
      <c r="J1996" s="1" t="s">
        <v>28</v>
      </c>
      <c r="K1996" s="1" t="s">
        <v>28</v>
      </c>
      <c r="L1996" s="1" t="str">
        <f t="shared" si="373"/>
        <v>20220909</v>
      </c>
      <c r="M1996" s="1" t="str">
        <f>"115144"</f>
        <v>115144</v>
      </c>
      <c r="N1996" s="1" t="s">
        <v>34</v>
      </c>
      <c r="O1996" s="1" t="s">
        <v>34</v>
      </c>
      <c r="P1996" s="1" t="s">
        <v>55</v>
      </c>
      <c r="Q1996" s="1">
        <v>25</v>
      </c>
      <c r="R1996" s="1">
        <v>25</v>
      </c>
      <c r="S1996" s="1">
        <v>0</v>
      </c>
      <c r="T1996" s="1">
        <v>0</v>
      </c>
      <c r="U1996" s="1">
        <v>0</v>
      </c>
      <c r="V1996" s="1" t="str">
        <f t="shared" si="377"/>
        <v>里程去程</v>
      </c>
      <c r="W1996" s="1" t="str">
        <f>"0120"</f>
        <v>0120</v>
      </c>
      <c r="X1996" s="1" t="s">
        <v>35</v>
      </c>
    </row>
    <row r="1997" spans="1:24" x14ac:dyDescent="0.3">
      <c r="A1997" s="1" t="str">
        <f t="shared" si="375"/>
        <v>59825</v>
      </c>
      <c r="B1997" s="1" t="s">
        <v>30</v>
      </c>
      <c r="C1997" s="1" t="s">
        <v>31</v>
      </c>
      <c r="D1997" s="1" t="str">
        <f t="shared" si="376"/>
        <v>9803</v>
      </c>
      <c r="E1997" s="1" t="s">
        <v>32</v>
      </c>
      <c r="F1997" s="1" t="str">
        <f>"92475A028D880400C821002000000015"</f>
        <v>92475A028D880400C821002000000015</v>
      </c>
      <c r="G1997" s="1" t="s">
        <v>58</v>
      </c>
      <c r="H1997" s="1" t="str">
        <f t="shared" si="374"/>
        <v>20220909</v>
      </c>
      <c r="I1997" s="1" t="str">
        <f>"113103"</f>
        <v>113103</v>
      </c>
      <c r="J1997" s="1" t="s">
        <v>28</v>
      </c>
      <c r="K1997" s="1" t="s">
        <v>28</v>
      </c>
      <c r="L1997" s="1" t="str">
        <f t="shared" si="373"/>
        <v>20220909</v>
      </c>
      <c r="M1997" s="1" t="str">
        <f>"115141"</f>
        <v>115141</v>
      </c>
      <c r="N1997" s="1" t="s">
        <v>34</v>
      </c>
      <c r="O1997" s="1" t="s">
        <v>34</v>
      </c>
      <c r="P1997" s="1" t="s">
        <v>55</v>
      </c>
      <c r="Q1997" s="1">
        <v>25</v>
      </c>
      <c r="R1997" s="1">
        <v>25</v>
      </c>
      <c r="S1997" s="1">
        <v>0</v>
      </c>
      <c r="T1997" s="1">
        <v>0</v>
      </c>
      <c r="U1997" s="1">
        <v>0</v>
      </c>
      <c r="V1997" s="1" t="str">
        <f t="shared" si="377"/>
        <v>里程去程</v>
      </c>
      <c r="W1997" s="1" t="str">
        <f>"0020"</f>
        <v>0020</v>
      </c>
      <c r="X1997" s="1" t="s">
        <v>29</v>
      </c>
    </row>
    <row r="1998" spans="1:24" x14ac:dyDescent="0.3">
      <c r="A1998" s="1" t="str">
        <f t="shared" si="375"/>
        <v>59825</v>
      </c>
      <c r="B1998" s="1" t="s">
        <v>30</v>
      </c>
      <c r="C1998" s="1" t="s">
        <v>31</v>
      </c>
      <c r="D1998" s="1" t="str">
        <f t="shared" si="376"/>
        <v>9803</v>
      </c>
      <c r="E1998" s="1" t="s">
        <v>32</v>
      </c>
      <c r="F1998" s="1" t="str">
        <f>"98950417"</f>
        <v>98950417</v>
      </c>
      <c r="G1998" s="1" t="s">
        <v>33</v>
      </c>
      <c r="H1998" s="1" t="str">
        <f t="shared" si="374"/>
        <v>20220909</v>
      </c>
      <c r="I1998" s="1" t="str">
        <f>"113122"</f>
        <v>113122</v>
      </c>
      <c r="J1998" s="1" t="s">
        <v>28</v>
      </c>
      <c r="K1998" s="1" t="s">
        <v>28</v>
      </c>
      <c r="L1998" s="1" t="str">
        <f t="shared" si="373"/>
        <v>20220909</v>
      </c>
      <c r="M1998" s="1" t="str">
        <f>"115137"</f>
        <v>115137</v>
      </c>
      <c r="N1998" s="1" t="s">
        <v>34</v>
      </c>
      <c r="O1998" s="1" t="s">
        <v>34</v>
      </c>
      <c r="P1998" s="1" t="s">
        <v>55</v>
      </c>
      <c r="Q1998" s="1">
        <v>25</v>
      </c>
      <c r="R1998" s="1">
        <v>25</v>
      </c>
      <c r="S1998" s="1">
        <v>0</v>
      </c>
      <c r="T1998" s="1">
        <v>0</v>
      </c>
      <c r="U1998" s="1">
        <v>0</v>
      </c>
      <c r="V1998" s="1" t="str">
        <f t="shared" si="377"/>
        <v>里程去程</v>
      </c>
      <c r="W1998" s="1" t="str">
        <f>"0120"</f>
        <v>0120</v>
      </c>
      <c r="X1998" s="1" t="s">
        <v>35</v>
      </c>
    </row>
    <row r="1999" spans="1:24" x14ac:dyDescent="0.3">
      <c r="A1999" s="1" t="str">
        <f t="shared" si="375"/>
        <v>59825</v>
      </c>
      <c r="B1999" s="1" t="s">
        <v>30</v>
      </c>
      <c r="C1999" s="1" t="s">
        <v>31</v>
      </c>
      <c r="D1999" s="1" t="str">
        <f t="shared" si="376"/>
        <v>9803</v>
      </c>
      <c r="E1999" s="1" t="s">
        <v>32</v>
      </c>
      <c r="F1999" s="1" t="str">
        <f>"1534326449"</f>
        <v>1534326449</v>
      </c>
      <c r="G1999" s="1" t="s">
        <v>33</v>
      </c>
      <c r="H1999" s="1" t="str">
        <f t="shared" si="374"/>
        <v>20220909</v>
      </c>
      <c r="I1999" s="1" t="str">
        <f>"113130"</f>
        <v>113130</v>
      </c>
      <c r="J1999" s="1" t="s">
        <v>28</v>
      </c>
      <c r="K1999" s="1" t="s">
        <v>28</v>
      </c>
      <c r="L1999" s="1" t="str">
        <f t="shared" si="373"/>
        <v>20220909</v>
      </c>
      <c r="M1999" s="1" t="str">
        <f>"115114"</f>
        <v>115114</v>
      </c>
      <c r="N1999" s="1" t="s">
        <v>34</v>
      </c>
      <c r="O1999" s="1" t="s">
        <v>34</v>
      </c>
      <c r="P1999" s="1" t="s">
        <v>55</v>
      </c>
      <c r="Q1999" s="1">
        <v>25</v>
      </c>
      <c r="R1999" s="1">
        <v>25</v>
      </c>
      <c r="S1999" s="1">
        <v>0</v>
      </c>
      <c r="T1999" s="1">
        <v>0</v>
      </c>
      <c r="U1999" s="1">
        <v>0</v>
      </c>
      <c r="V1999" s="1" t="str">
        <f t="shared" si="377"/>
        <v>里程去程</v>
      </c>
      <c r="W1999" s="1" t="str">
        <f>"0120"</f>
        <v>0120</v>
      </c>
      <c r="X1999" s="1" t="s">
        <v>35</v>
      </c>
    </row>
    <row r="2000" spans="1:24" x14ac:dyDescent="0.3">
      <c r="A2000" s="1" t="str">
        <f t="shared" si="375"/>
        <v>59825</v>
      </c>
      <c r="B2000" s="1" t="s">
        <v>30</v>
      </c>
      <c r="C2000" s="1" t="s">
        <v>31</v>
      </c>
      <c r="D2000" s="1" t="str">
        <f t="shared" si="376"/>
        <v>9803</v>
      </c>
      <c r="E2000" s="1" t="s">
        <v>32</v>
      </c>
      <c r="F2000" s="1" t="str">
        <f>"81503022C3280400F700000000000000"</f>
        <v>81503022C3280400F700000000000000</v>
      </c>
      <c r="G2000" s="1" t="s">
        <v>58</v>
      </c>
      <c r="H2000" s="1" t="str">
        <f t="shared" si="374"/>
        <v>20220909</v>
      </c>
      <c r="I2000" s="1" t="str">
        <f>"113139"</f>
        <v>113139</v>
      </c>
      <c r="J2000" s="1" t="s">
        <v>28</v>
      </c>
      <c r="K2000" s="1" t="s">
        <v>28</v>
      </c>
      <c r="L2000" s="1" t="str">
        <f t="shared" si="373"/>
        <v>20220909</v>
      </c>
      <c r="M2000" s="1" t="str">
        <f>"115134"</f>
        <v>115134</v>
      </c>
      <c r="N2000" s="1" t="s">
        <v>34</v>
      </c>
      <c r="O2000" s="1" t="s">
        <v>34</v>
      </c>
      <c r="P2000" s="1" t="s">
        <v>55</v>
      </c>
      <c r="Q2000" s="1">
        <v>25</v>
      </c>
      <c r="R2000" s="1">
        <v>25</v>
      </c>
      <c r="S2000" s="1">
        <v>0</v>
      </c>
      <c r="T2000" s="1">
        <v>0</v>
      </c>
      <c r="U2000" s="1">
        <v>0</v>
      </c>
      <c r="V2000" s="1" t="str">
        <f t="shared" si="377"/>
        <v>里程去程</v>
      </c>
      <c r="W2000" s="1" t="str">
        <f>"0020"</f>
        <v>0020</v>
      </c>
      <c r="X2000" s="1" t="s">
        <v>29</v>
      </c>
    </row>
    <row r="2001" spans="1:24" x14ac:dyDescent="0.3">
      <c r="A2001" s="1" t="str">
        <f t="shared" si="375"/>
        <v>59825</v>
      </c>
      <c r="B2001" s="1" t="s">
        <v>30</v>
      </c>
      <c r="C2001" s="1" t="s">
        <v>31</v>
      </c>
      <c r="D2001" s="1" t="str">
        <f t="shared" si="376"/>
        <v>9803</v>
      </c>
      <c r="E2001" s="1" t="s">
        <v>32</v>
      </c>
      <c r="F2001" s="1" t="str">
        <f>"D1E8A94ADA280400F700000000000000"</f>
        <v>D1E8A94ADA280400F700000000000000</v>
      </c>
      <c r="G2001" s="1" t="s">
        <v>58</v>
      </c>
      <c r="H2001" s="1" t="str">
        <f t="shared" si="374"/>
        <v>20220909</v>
      </c>
      <c r="I2001" s="1" t="str">
        <f>"113150"</f>
        <v>113150</v>
      </c>
      <c r="J2001" s="1" t="s">
        <v>28</v>
      </c>
      <c r="K2001" s="1" t="s">
        <v>28</v>
      </c>
      <c r="L2001" s="1" t="str">
        <f t="shared" si="373"/>
        <v>20220909</v>
      </c>
      <c r="M2001" s="1" t="str">
        <f>"115107"</f>
        <v>115107</v>
      </c>
      <c r="N2001" s="1" t="s">
        <v>34</v>
      </c>
      <c r="O2001" s="1" t="s">
        <v>34</v>
      </c>
      <c r="P2001" s="1" t="s">
        <v>55</v>
      </c>
      <c r="Q2001" s="1">
        <v>25</v>
      </c>
      <c r="R2001" s="1">
        <v>25</v>
      </c>
      <c r="S2001" s="1">
        <v>0</v>
      </c>
      <c r="T2001" s="1">
        <v>0</v>
      </c>
      <c r="U2001" s="1">
        <v>0</v>
      </c>
      <c r="V2001" s="1" t="str">
        <f t="shared" si="377"/>
        <v>里程去程</v>
      </c>
      <c r="W2001" s="1" t="str">
        <f>"0020"</f>
        <v>0020</v>
      </c>
      <c r="X2001" s="1" t="s">
        <v>29</v>
      </c>
    </row>
    <row r="2002" spans="1:24" x14ac:dyDescent="0.3">
      <c r="A2002" s="1" t="str">
        <f t="shared" si="375"/>
        <v>59825</v>
      </c>
      <c r="B2002" s="1" t="s">
        <v>30</v>
      </c>
      <c r="C2002" s="1" t="s">
        <v>31</v>
      </c>
      <c r="D2002" s="1" t="str">
        <f t="shared" si="376"/>
        <v>9803</v>
      </c>
      <c r="E2002" s="1" t="s">
        <v>32</v>
      </c>
      <c r="F2002" s="1" t="str">
        <f>"1702762629"</f>
        <v>1702762629</v>
      </c>
      <c r="G2002" s="1" t="s">
        <v>33</v>
      </c>
      <c r="H2002" s="1" t="str">
        <f t="shared" si="374"/>
        <v>20220909</v>
      </c>
      <c r="I2002" s="1" t="str">
        <f>"113220"</f>
        <v>113220</v>
      </c>
      <c r="J2002" s="1" t="s">
        <v>28</v>
      </c>
      <c r="K2002" s="1" t="s">
        <v>28</v>
      </c>
      <c r="L2002" s="1" t="str">
        <f t="shared" si="373"/>
        <v>20220909</v>
      </c>
      <c r="M2002" s="1" t="str">
        <f>"115057"</f>
        <v>115057</v>
      </c>
      <c r="N2002" s="1" t="s">
        <v>34</v>
      </c>
      <c r="O2002" s="1" t="s">
        <v>34</v>
      </c>
      <c r="P2002" s="1" t="s">
        <v>55</v>
      </c>
      <c r="Q2002" s="1">
        <v>25</v>
      </c>
      <c r="R2002" s="1">
        <v>25</v>
      </c>
      <c r="S2002" s="1">
        <v>0</v>
      </c>
      <c r="T2002" s="1">
        <v>0</v>
      </c>
      <c r="U2002" s="1">
        <v>0</v>
      </c>
      <c r="V2002" s="1" t="str">
        <f t="shared" si="377"/>
        <v>里程去程</v>
      </c>
      <c r="W2002" s="1" t="str">
        <f>"0120"</f>
        <v>0120</v>
      </c>
      <c r="X2002" s="1" t="s">
        <v>35</v>
      </c>
    </row>
    <row r="2003" spans="1:24" x14ac:dyDescent="0.3">
      <c r="A2003" s="1" t="str">
        <f t="shared" si="375"/>
        <v>59825</v>
      </c>
      <c r="B2003" s="1" t="s">
        <v>30</v>
      </c>
      <c r="C2003" s="1" t="s">
        <v>110</v>
      </c>
      <c r="D2003" s="1" t="str">
        <f t="shared" si="376"/>
        <v>9803</v>
      </c>
      <c r="E2003" s="1" t="s">
        <v>32</v>
      </c>
      <c r="F2003" s="1" t="str">
        <f>"7111170127004282"</f>
        <v>7111170127004282</v>
      </c>
      <c r="G2003" s="1" t="s">
        <v>33</v>
      </c>
      <c r="H2003" s="1" t="str">
        <f t="shared" si="374"/>
        <v>20220909</v>
      </c>
      <c r="I2003" s="1" t="str">
        <f>"113307"</f>
        <v>113307</v>
      </c>
      <c r="J2003" s="1" t="s">
        <v>28</v>
      </c>
      <c r="K2003" s="1" t="s">
        <v>28</v>
      </c>
      <c r="L2003" s="1" t="str">
        <f t="shared" si="373"/>
        <v>20220909</v>
      </c>
      <c r="M2003" s="1" t="str">
        <f>"115052"</f>
        <v>115052</v>
      </c>
      <c r="N2003" s="1" t="s">
        <v>34</v>
      </c>
      <c r="O2003" s="1" t="s">
        <v>34</v>
      </c>
      <c r="P2003" s="1" t="s">
        <v>55</v>
      </c>
      <c r="Q2003" s="1">
        <v>25</v>
      </c>
      <c r="R2003" s="1">
        <v>25</v>
      </c>
      <c r="S2003" s="1">
        <v>0</v>
      </c>
      <c r="T2003" s="1">
        <v>0</v>
      </c>
      <c r="U2003" s="1">
        <v>0</v>
      </c>
      <c r="V2003" s="1" t="str">
        <f t="shared" si="377"/>
        <v>里程去程</v>
      </c>
      <c r="W2003" s="1" t="str">
        <f>"013B"</f>
        <v>013B</v>
      </c>
      <c r="X2003" s="1" t="s">
        <v>109</v>
      </c>
    </row>
    <row r="2004" spans="1:24" x14ac:dyDescent="0.3">
      <c r="A2004" s="1" t="str">
        <f t="shared" si="375"/>
        <v>59825</v>
      </c>
      <c r="B2004" s="1" t="s">
        <v>30</v>
      </c>
      <c r="C2004" s="1" t="s">
        <v>31</v>
      </c>
      <c r="D2004" s="1" t="str">
        <f t="shared" si="376"/>
        <v>9803</v>
      </c>
      <c r="E2004" s="1" t="s">
        <v>32</v>
      </c>
      <c r="F2004" s="1" t="str">
        <f>"1815018261"</f>
        <v>1815018261</v>
      </c>
      <c r="G2004" s="1" t="s">
        <v>33</v>
      </c>
      <c r="H2004" s="1" t="str">
        <f t="shared" si="374"/>
        <v>20220909</v>
      </c>
      <c r="I2004" s="1" t="str">
        <f>"113332"</f>
        <v>113332</v>
      </c>
      <c r="J2004" s="1" t="s">
        <v>28</v>
      </c>
      <c r="K2004" s="1" t="s">
        <v>28</v>
      </c>
      <c r="L2004" s="1" t="str">
        <f t="shared" si="373"/>
        <v>20220909</v>
      </c>
      <c r="M2004" s="1" t="str">
        <f>"115032"</f>
        <v>115032</v>
      </c>
      <c r="N2004" s="1" t="s">
        <v>34</v>
      </c>
      <c r="O2004" s="1" t="s">
        <v>34</v>
      </c>
      <c r="P2004" s="1" t="s">
        <v>55</v>
      </c>
      <c r="Q2004" s="1">
        <v>25</v>
      </c>
      <c r="R2004" s="1">
        <v>25</v>
      </c>
      <c r="S2004" s="1">
        <v>0</v>
      </c>
      <c r="T2004" s="1">
        <v>0</v>
      </c>
      <c r="U2004" s="1">
        <v>0</v>
      </c>
      <c r="V2004" s="1" t="str">
        <f t="shared" si="377"/>
        <v>里程去程</v>
      </c>
      <c r="W2004" s="1" t="str">
        <f>"0220"</f>
        <v>0220</v>
      </c>
      <c r="X2004" s="1" t="s">
        <v>35</v>
      </c>
    </row>
    <row r="2005" spans="1:24" x14ac:dyDescent="0.3">
      <c r="A2005" s="1" t="str">
        <f t="shared" si="375"/>
        <v>59825</v>
      </c>
      <c r="B2005" s="1" t="s">
        <v>30</v>
      </c>
      <c r="C2005" s="1" t="s">
        <v>31</v>
      </c>
      <c r="D2005" s="1" t="str">
        <f t="shared" si="376"/>
        <v>9803</v>
      </c>
      <c r="E2005" s="1" t="s">
        <v>32</v>
      </c>
      <c r="F2005" s="1" t="str">
        <f>"886055601"</f>
        <v>886055601</v>
      </c>
      <c r="G2005" s="1" t="s">
        <v>33</v>
      </c>
      <c r="H2005" s="1" t="str">
        <f t="shared" si="374"/>
        <v>20220909</v>
      </c>
      <c r="I2005" s="1" t="str">
        <f>"113356"</f>
        <v>113356</v>
      </c>
      <c r="J2005" s="1" t="s">
        <v>28</v>
      </c>
      <c r="K2005" s="1" t="s">
        <v>28</v>
      </c>
      <c r="L2005" s="1" t="str">
        <f t="shared" si="373"/>
        <v>20220909</v>
      </c>
      <c r="M2005" s="1" t="str">
        <f>"115022"</f>
        <v>115022</v>
      </c>
      <c r="N2005" s="1" t="s">
        <v>34</v>
      </c>
      <c r="O2005" s="1" t="s">
        <v>34</v>
      </c>
      <c r="P2005" s="1" t="s">
        <v>55</v>
      </c>
      <c r="Q2005" s="1">
        <v>25</v>
      </c>
      <c r="R2005" s="1">
        <v>25</v>
      </c>
      <c r="S2005" s="1">
        <v>0</v>
      </c>
      <c r="T2005" s="1">
        <v>0</v>
      </c>
      <c r="U2005" s="1">
        <v>0</v>
      </c>
      <c r="V2005" s="1" t="str">
        <f t="shared" si="377"/>
        <v>里程去程</v>
      </c>
      <c r="W2005" s="1" t="str">
        <f>"1c20"</f>
        <v>1c20</v>
      </c>
      <c r="X2005" s="1" t="s">
        <v>35</v>
      </c>
    </row>
    <row r="2006" spans="1:24" x14ac:dyDescent="0.3">
      <c r="A2006" s="1" t="str">
        <f t="shared" si="375"/>
        <v>59825</v>
      </c>
      <c r="B2006" s="1" t="s">
        <v>30</v>
      </c>
      <c r="C2006" s="1" t="s">
        <v>31</v>
      </c>
      <c r="D2006" s="1" t="str">
        <f t="shared" si="376"/>
        <v>9803</v>
      </c>
      <c r="E2006" s="1" t="s">
        <v>32</v>
      </c>
      <c r="F2006" s="1" t="str">
        <f>"1116940181"</f>
        <v>1116940181</v>
      </c>
      <c r="G2006" s="1" t="s">
        <v>38</v>
      </c>
      <c r="H2006" s="1" t="str">
        <f t="shared" si="374"/>
        <v>20220909</v>
      </c>
      <c r="I2006" s="1" t="str">
        <f>"113412"</f>
        <v>113412</v>
      </c>
      <c r="J2006" s="1" t="s">
        <v>28</v>
      </c>
      <c r="K2006" s="1" t="s">
        <v>28</v>
      </c>
      <c r="L2006" s="1" t="str">
        <f t="shared" si="373"/>
        <v>20220909</v>
      </c>
      <c r="M2006" s="1" t="str">
        <f>"115018"</f>
        <v>115018</v>
      </c>
      <c r="N2006" s="1" t="s">
        <v>34</v>
      </c>
      <c r="O2006" s="1" t="s">
        <v>34</v>
      </c>
      <c r="P2006" s="1" t="s">
        <v>55</v>
      </c>
      <c r="Q2006" s="1">
        <v>25</v>
      </c>
      <c r="R2006" s="1">
        <v>25</v>
      </c>
      <c r="S2006" s="1">
        <v>0</v>
      </c>
      <c r="T2006" s="1">
        <v>0</v>
      </c>
      <c r="U2006" s="1">
        <v>0</v>
      </c>
      <c r="V2006" s="1" t="str">
        <f t="shared" si="377"/>
        <v>里程去程</v>
      </c>
      <c r="W2006" s="1" t="str">
        <f>"0820"</f>
        <v>0820</v>
      </c>
      <c r="X2006" s="1" t="s">
        <v>35</v>
      </c>
    </row>
    <row r="2007" spans="1:24" x14ac:dyDescent="0.3">
      <c r="A2007" s="1" t="str">
        <f t="shared" si="375"/>
        <v>59825</v>
      </c>
      <c r="B2007" s="1" t="s">
        <v>30</v>
      </c>
      <c r="C2007" s="1" t="s">
        <v>31</v>
      </c>
      <c r="D2007" s="1" t="str">
        <f t="shared" si="376"/>
        <v>9803</v>
      </c>
      <c r="E2007" s="1" t="s">
        <v>32</v>
      </c>
      <c r="F2007" s="1" t="str">
        <f>"1815355365"</f>
        <v>1815355365</v>
      </c>
      <c r="G2007" s="1" t="s">
        <v>33</v>
      </c>
      <c r="H2007" s="1" t="str">
        <f t="shared" si="374"/>
        <v>20220909</v>
      </c>
      <c r="I2007" s="1" t="str">
        <f>"113454"</f>
        <v>113454</v>
      </c>
      <c r="J2007" s="1" t="s">
        <v>28</v>
      </c>
      <c r="K2007" s="1" t="s">
        <v>28</v>
      </c>
      <c r="L2007" s="1" t="str">
        <f t="shared" si="373"/>
        <v>20220909</v>
      </c>
      <c r="M2007" s="1" t="str">
        <f>"114928"</f>
        <v>114928</v>
      </c>
      <c r="N2007" s="1" t="s">
        <v>89</v>
      </c>
      <c r="O2007" s="1" t="s">
        <v>28</v>
      </c>
      <c r="P2007" s="1" t="s">
        <v>55</v>
      </c>
      <c r="Q2007" s="1">
        <v>25</v>
      </c>
      <c r="R2007" s="1">
        <v>0</v>
      </c>
      <c r="S2007" s="1">
        <v>25</v>
      </c>
      <c r="T2007" s="1">
        <v>0</v>
      </c>
      <c r="U2007" s="1">
        <v>0</v>
      </c>
      <c r="V2007" s="1" t="str">
        <f t="shared" si="377"/>
        <v>里程去程</v>
      </c>
      <c r="W2007" s="1" t="str">
        <f>"0820"</f>
        <v>0820</v>
      </c>
      <c r="X2007" s="1" t="s">
        <v>35</v>
      </c>
    </row>
    <row r="2008" spans="1:24" x14ac:dyDescent="0.3">
      <c r="A2008" s="1" t="str">
        <f t="shared" si="375"/>
        <v>59825</v>
      </c>
      <c r="B2008" s="1" t="s">
        <v>30</v>
      </c>
      <c r="C2008" s="1" t="s">
        <v>31</v>
      </c>
      <c r="D2008" s="1" t="str">
        <f t="shared" si="376"/>
        <v>9803</v>
      </c>
      <c r="E2008" s="1" t="s">
        <v>32</v>
      </c>
      <c r="F2008" s="1" t="str">
        <f>"1038610469"</f>
        <v>1038610469</v>
      </c>
      <c r="G2008" s="1" t="s">
        <v>38</v>
      </c>
      <c r="H2008" s="1" t="str">
        <f t="shared" si="374"/>
        <v>20220909</v>
      </c>
      <c r="I2008" s="1" t="str">
        <f>"115233"</f>
        <v>115233</v>
      </c>
      <c r="J2008" s="1" t="s">
        <v>34</v>
      </c>
      <c r="K2008" s="1" t="s">
        <v>34</v>
      </c>
      <c r="L2008" s="1" t="str">
        <f t="shared" si="373"/>
        <v>20220909</v>
      </c>
      <c r="M2008" s="1" t="str">
        <f>"122736"</f>
        <v>122736</v>
      </c>
      <c r="N2008" s="1" t="s">
        <v>28</v>
      </c>
      <c r="O2008" s="1" t="s">
        <v>28</v>
      </c>
      <c r="P2008" s="1" t="s">
        <v>55</v>
      </c>
      <c r="Q2008" s="1">
        <v>25</v>
      </c>
      <c r="R2008" s="1">
        <v>25</v>
      </c>
      <c r="S2008" s="1">
        <v>0</v>
      </c>
      <c r="T2008" s="1">
        <v>0</v>
      </c>
      <c r="U2008" s="1">
        <v>0</v>
      </c>
      <c r="V2008" s="1" t="str">
        <f t="shared" ref="V2008:V2013" si="378">"里程返程"</f>
        <v>里程返程</v>
      </c>
      <c r="W2008" s="1" t="str">
        <f>"2020"</f>
        <v>2020</v>
      </c>
      <c r="X2008" s="1" t="s">
        <v>35</v>
      </c>
    </row>
    <row r="2009" spans="1:24" x14ac:dyDescent="0.3">
      <c r="A2009" s="1" t="str">
        <f t="shared" si="375"/>
        <v>59825</v>
      </c>
      <c r="B2009" s="1" t="s">
        <v>30</v>
      </c>
      <c r="C2009" s="1" t="s">
        <v>31</v>
      </c>
      <c r="D2009" s="1" t="str">
        <f t="shared" si="376"/>
        <v>9803</v>
      </c>
      <c r="E2009" s="1" t="s">
        <v>32</v>
      </c>
      <c r="F2009" s="1" t="str">
        <f>"C2281C03F5880400C834002000000015"</f>
        <v>C2281C03F5880400C834002000000015</v>
      </c>
      <c r="G2009" s="1" t="s">
        <v>26</v>
      </c>
      <c r="H2009" s="1" t="str">
        <f t="shared" si="374"/>
        <v>20220909</v>
      </c>
      <c r="I2009" s="1" t="str">
        <f>"115236"</f>
        <v>115236</v>
      </c>
      <c r="J2009" s="1" t="s">
        <v>34</v>
      </c>
      <c r="K2009" s="1" t="s">
        <v>34</v>
      </c>
      <c r="L2009" s="1" t="str">
        <f t="shared" si="373"/>
        <v>20220909</v>
      </c>
      <c r="M2009" s="1" t="str">
        <f>"121105"</f>
        <v>121105</v>
      </c>
      <c r="N2009" s="1" t="s">
        <v>46</v>
      </c>
      <c r="O2009" s="1" t="s">
        <v>28</v>
      </c>
      <c r="P2009" s="1" t="s">
        <v>68</v>
      </c>
      <c r="Q2009" s="1">
        <v>13</v>
      </c>
      <c r="R2009" s="1">
        <v>0</v>
      </c>
      <c r="S2009" s="1">
        <v>0</v>
      </c>
      <c r="T2009" s="1">
        <v>13</v>
      </c>
      <c r="U2009" s="1">
        <v>0</v>
      </c>
      <c r="V2009" s="1" t="str">
        <f t="shared" si="378"/>
        <v>里程返程</v>
      </c>
      <c r="W2009" s="1" t="str">
        <f>"0020"</f>
        <v>0020</v>
      </c>
      <c r="X2009" s="1" t="s">
        <v>29</v>
      </c>
    </row>
    <row r="2010" spans="1:24" x14ac:dyDescent="0.3">
      <c r="A2010" s="1" t="str">
        <f t="shared" si="375"/>
        <v>59825</v>
      </c>
      <c r="B2010" s="1" t="s">
        <v>30</v>
      </c>
      <c r="C2010" s="1" t="s">
        <v>110</v>
      </c>
      <c r="D2010" s="1" t="str">
        <f t="shared" si="376"/>
        <v>9803</v>
      </c>
      <c r="E2010" s="1" t="s">
        <v>32</v>
      </c>
      <c r="F2010" s="1" t="str">
        <f>"5317202016002117"</f>
        <v>5317202016002117</v>
      </c>
      <c r="G2010" s="1" t="s">
        <v>33</v>
      </c>
      <c r="H2010" s="1" t="str">
        <f t="shared" si="374"/>
        <v>20220909</v>
      </c>
      <c r="I2010" s="1" t="str">
        <f>"115813"</f>
        <v>115813</v>
      </c>
      <c r="J2010" s="1" t="s">
        <v>34</v>
      </c>
      <c r="K2010" s="1" t="s">
        <v>34</v>
      </c>
      <c r="L2010" s="1" t="str">
        <f t="shared" si="373"/>
        <v>20220909</v>
      </c>
      <c r="M2010" s="1" t="str">
        <f>"122743"</f>
        <v>122743</v>
      </c>
      <c r="N2010" s="1" t="s">
        <v>28</v>
      </c>
      <c r="O2010" s="1" t="s">
        <v>28</v>
      </c>
      <c r="P2010" s="1" t="s">
        <v>55</v>
      </c>
      <c r="Q2010" s="1">
        <v>25</v>
      </c>
      <c r="R2010" s="1">
        <v>25</v>
      </c>
      <c r="S2010" s="1">
        <v>0</v>
      </c>
      <c r="T2010" s="1">
        <v>0</v>
      </c>
      <c r="U2010" s="1">
        <v>0</v>
      </c>
      <c r="V2010" s="1" t="str">
        <f t="shared" si="378"/>
        <v>里程返程</v>
      </c>
      <c r="W2010" s="1" t="str">
        <f>"3B8B"</f>
        <v>3B8B</v>
      </c>
      <c r="X2010" s="1" t="s">
        <v>109</v>
      </c>
    </row>
    <row r="2011" spans="1:24" x14ac:dyDescent="0.3">
      <c r="A2011" s="1" t="str">
        <f t="shared" si="375"/>
        <v>59825</v>
      </c>
      <c r="B2011" s="1" t="s">
        <v>30</v>
      </c>
      <c r="C2011" s="1" t="s">
        <v>31</v>
      </c>
      <c r="D2011" s="1" t="str">
        <f t="shared" si="376"/>
        <v>9803</v>
      </c>
      <c r="E2011" s="1" t="s">
        <v>32</v>
      </c>
      <c r="F2011" s="1" t="str">
        <f>"906358961"</f>
        <v>906358961</v>
      </c>
      <c r="G2011" s="1" t="s">
        <v>33</v>
      </c>
      <c r="H2011" s="1" t="str">
        <f t="shared" si="374"/>
        <v>20220909</v>
      </c>
      <c r="I2011" s="1" t="str">
        <f>"115929"</f>
        <v>115929</v>
      </c>
      <c r="J2011" s="1" t="s">
        <v>34</v>
      </c>
      <c r="K2011" s="1" t="s">
        <v>34</v>
      </c>
      <c r="L2011" s="1" t="str">
        <f t="shared" ref="L2011:L2042" si="379">"20220909"</f>
        <v>20220909</v>
      </c>
      <c r="M2011" s="1" t="str">
        <f>"122726"</f>
        <v>122726</v>
      </c>
      <c r="N2011" s="1" t="s">
        <v>28</v>
      </c>
      <c r="O2011" s="1" t="s">
        <v>28</v>
      </c>
      <c r="P2011" s="1" t="s">
        <v>55</v>
      </c>
      <c r="Q2011" s="1">
        <v>25</v>
      </c>
      <c r="R2011" s="1">
        <v>25</v>
      </c>
      <c r="S2011" s="1">
        <v>0</v>
      </c>
      <c r="T2011" s="1">
        <v>0</v>
      </c>
      <c r="U2011" s="1">
        <v>0</v>
      </c>
      <c r="V2011" s="1" t="str">
        <f t="shared" si="378"/>
        <v>里程返程</v>
      </c>
      <c r="W2011" s="1" t="str">
        <f>"0020"</f>
        <v>0020</v>
      </c>
      <c r="X2011" s="1" t="s">
        <v>35</v>
      </c>
    </row>
    <row r="2012" spans="1:24" x14ac:dyDescent="0.3">
      <c r="A2012" s="1" t="str">
        <f t="shared" si="375"/>
        <v>59825</v>
      </c>
      <c r="B2012" s="1" t="s">
        <v>30</v>
      </c>
      <c r="C2012" s="1" t="s">
        <v>31</v>
      </c>
      <c r="D2012" s="1" t="str">
        <f t="shared" si="376"/>
        <v>9803</v>
      </c>
      <c r="E2012" s="1" t="s">
        <v>32</v>
      </c>
      <c r="F2012" s="1" t="str">
        <f>"809115041"</f>
        <v>809115041</v>
      </c>
      <c r="G2012" s="1" t="s">
        <v>33</v>
      </c>
      <c r="H2012" s="1" t="str">
        <f t="shared" si="374"/>
        <v>20220909</v>
      </c>
      <c r="I2012" s="1" t="str">
        <f>"115935"</f>
        <v>115935</v>
      </c>
      <c r="J2012" s="1" t="s">
        <v>34</v>
      </c>
      <c r="K2012" s="1" t="s">
        <v>34</v>
      </c>
      <c r="L2012" s="1" t="str">
        <f t="shared" si="379"/>
        <v>20220909</v>
      </c>
      <c r="M2012" s="1" t="str">
        <f>"122729"</f>
        <v>122729</v>
      </c>
      <c r="N2012" s="1" t="s">
        <v>28</v>
      </c>
      <c r="O2012" s="1" t="s">
        <v>28</v>
      </c>
      <c r="P2012" s="1" t="s">
        <v>55</v>
      </c>
      <c r="Q2012" s="1">
        <v>25</v>
      </c>
      <c r="R2012" s="1">
        <v>25</v>
      </c>
      <c r="S2012" s="1">
        <v>0</v>
      </c>
      <c r="T2012" s="1">
        <v>0</v>
      </c>
      <c r="U2012" s="1">
        <v>0</v>
      </c>
      <c r="V2012" s="1" t="str">
        <f t="shared" si="378"/>
        <v>里程返程</v>
      </c>
      <c r="W2012" s="1" t="str">
        <f>"0620"</f>
        <v>0620</v>
      </c>
      <c r="X2012" s="1" t="s">
        <v>35</v>
      </c>
    </row>
    <row r="2013" spans="1:24" x14ac:dyDescent="0.3">
      <c r="A2013" s="1" t="str">
        <f t="shared" si="375"/>
        <v>59825</v>
      </c>
      <c r="B2013" s="1" t="s">
        <v>30</v>
      </c>
      <c r="C2013" s="1" t="s">
        <v>31</v>
      </c>
      <c r="D2013" s="1" t="str">
        <f t="shared" si="376"/>
        <v>9803</v>
      </c>
      <c r="E2013" s="1" t="s">
        <v>32</v>
      </c>
      <c r="F2013" s="1" t="str">
        <f>"2052533075"</f>
        <v>2052533075</v>
      </c>
      <c r="G2013" s="1" t="s">
        <v>33</v>
      </c>
      <c r="H2013" s="1" t="str">
        <f t="shared" si="374"/>
        <v>20220909</v>
      </c>
      <c r="I2013" s="1" t="str">
        <f>"121538"</f>
        <v>121538</v>
      </c>
      <c r="J2013" s="1" t="s">
        <v>46</v>
      </c>
      <c r="K2013" s="1" t="s">
        <v>28</v>
      </c>
      <c r="L2013" s="1" t="str">
        <f t="shared" si="379"/>
        <v>20220909</v>
      </c>
      <c r="M2013" s="1" t="str">
        <f>"122732"</f>
        <v>122732</v>
      </c>
      <c r="N2013" s="1" t="s">
        <v>28</v>
      </c>
      <c r="O2013" s="1" t="s">
        <v>28</v>
      </c>
      <c r="P2013" s="1" t="s">
        <v>55</v>
      </c>
      <c r="Q2013" s="1">
        <v>25</v>
      </c>
      <c r="R2013" s="1">
        <v>25</v>
      </c>
      <c r="S2013" s="1">
        <v>0</v>
      </c>
      <c r="T2013" s="1">
        <v>0</v>
      </c>
      <c r="U2013" s="1">
        <v>0</v>
      </c>
      <c r="V2013" s="1" t="str">
        <f t="shared" si="378"/>
        <v>里程返程</v>
      </c>
      <c r="W2013" s="1" t="str">
        <f>"2120"</f>
        <v>2120</v>
      </c>
      <c r="X2013" s="1" t="s">
        <v>35</v>
      </c>
    </row>
    <row r="2014" spans="1:24" x14ac:dyDescent="0.3">
      <c r="A2014" s="1" t="str">
        <f t="shared" si="375"/>
        <v>59825</v>
      </c>
      <c r="B2014" s="1" t="s">
        <v>30</v>
      </c>
      <c r="C2014" s="1" t="s">
        <v>31</v>
      </c>
      <c r="D2014" s="1" t="str">
        <f t="shared" si="376"/>
        <v>9803</v>
      </c>
      <c r="E2014" s="1" t="s">
        <v>32</v>
      </c>
      <c r="F2014" s="1" t="str">
        <f>"1102058817"</f>
        <v>1102058817</v>
      </c>
      <c r="G2014" s="1" t="s">
        <v>33</v>
      </c>
      <c r="H2014" s="1" t="str">
        <f t="shared" si="374"/>
        <v>20220909</v>
      </c>
      <c r="I2014" s="1" t="str">
        <f>"122811"</f>
        <v>122811</v>
      </c>
      <c r="J2014" s="1" t="s">
        <v>28</v>
      </c>
      <c r="K2014" s="1" t="s">
        <v>28</v>
      </c>
      <c r="L2014" s="1" t="str">
        <f t="shared" si="379"/>
        <v>20220909</v>
      </c>
      <c r="M2014" s="1" t="str">
        <f>"124457"</f>
        <v>124457</v>
      </c>
      <c r="N2014" s="1" t="s">
        <v>93</v>
      </c>
      <c r="O2014" s="1" t="s">
        <v>28</v>
      </c>
      <c r="P2014" s="1" t="s">
        <v>55</v>
      </c>
      <c r="Q2014" s="1">
        <v>25</v>
      </c>
      <c r="R2014" s="1">
        <v>25</v>
      </c>
      <c r="S2014" s="1">
        <v>0</v>
      </c>
      <c r="T2014" s="1">
        <v>0</v>
      </c>
      <c r="U2014" s="1">
        <v>0</v>
      </c>
      <c r="V2014" s="1" t="str">
        <f>"里程去程"</f>
        <v>里程去程</v>
      </c>
      <c r="W2014" s="1" t="str">
        <f>"0220"</f>
        <v>0220</v>
      </c>
      <c r="X2014" s="1" t="s">
        <v>35</v>
      </c>
    </row>
    <row r="2015" spans="1:24" x14ac:dyDescent="0.3">
      <c r="A2015" s="1" t="str">
        <f t="shared" si="375"/>
        <v>59825</v>
      </c>
      <c r="B2015" s="1" t="s">
        <v>30</v>
      </c>
      <c r="C2015" s="1" t="s">
        <v>31</v>
      </c>
      <c r="D2015" s="1" t="str">
        <f t="shared" si="376"/>
        <v>9803</v>
      </c>
      <c r="E2015" s="1" t="s">
        <v>32</v>
      </c>
      <c r="F2015" s="1" t="str">
        <f>"1847348125"</f>
        <v>1847348125</v>
      </c>
      <c r="G2015" s="1" t="s">
        <v>33</v>
      </c>
      <c r="H2015" s="1" t="str">
        <f t="shared" si="374"/>
        <v>20220909</v>
      </c>
      <c r="I2015" s="1" t="str">
        <f>"122823"</f>
        <v>122823</v>
      </c>
      <c r="J2015" s="1" t="s">
        <v>28</v>
      </c>
      <c r="K2015" s="1" t="s">
        <v>28</v>
      </c>
      <c r="L2015" s="1" t="str">
        <f t="shared" si="379"/>
        <v>20220909</v>
      </c>
      <c r="M2015" s="1" t="str">
        <f>"123943"</f>
        <v>123943</v>
      </c>
      <c r="N2015" s="1" t="s">
        <v>46</v>
      </c>
      <c r="O2015" s="1" t="s">
        <v>28</v>
      </c>
      <c r="P2015" s="1" t="s">
        <v>55</v>
      </c>
      <c r="Q2015" s="1">
        <v>25</v>
      </c>
      <c r="R2015" s="1">
        <v>25</v>
      </c>
      <c r="S2015" s="1">
        <v>0</v>
      </c>
      <c r="T2015" s="1">
        <v>0</v>
      </c>
      <c r="U2015" s="1">
        <v>0</v>
      </c>
      <c r="V2015" s="1" t="str">
        <f>"里程去程"</f>
        <v>里程去程</v>
      </c>
      <c r="W2015" s="1" t="str">
        <f>"0120"</f>
        <v>0120</v>
      </c>
      <c r="X2015" s="1" t="s">
        <v>35</v>
      </c>
    </row>
    <row r="2016" spans="1:24" x14ac:dyDescent="0.3">
      <c r="A2016" s="1" t="str">
        <f t="shared" si="375"/>
        <v>59825</v>
      </c>
      <c r="B2016" s="1" t="s">
        <v>30</v>
      </c>
      <c r="C2016" s="1" t="s">
        <v>31</v>
      </c>
      <c r="D2016" s="1" t="str">
        <f t="shared" si="376"/>
        <v>9803</v>
      </c>
      <c r="E2016" s="1" t="s">
        <v>32</v>
      </c>
      <c r="F2016" s="1" t="str">
        <f>"82789B0061880400C801002000000015"</f>
        <v>82789B0061880400C801002000000015</v>
      </c>
      <c r="G2016" s="1" t="s">
        <v>58</v>
      </c>
      <c r="H2016" s="1" t="str">
        <f t="shared" si="374"/>
        <v>20220909</v>
      </c>
      <c r="I2016" s="1" t="str">
        <f>"122829"</f>
        <v>122829</v>
      </c>
      <c r="J2016" s="1" t="s">
        <v>28</v>
      </c>
      <c r="K2016" s="1" t="s">
        <v>28</v>
      </c>
      <c r="L2016" s="1" t="str">
        <f t="shared" si="379"/>
        <v>20220909</v>
      </c>
      <c r="M2016" s="1" t="str">
        <f>"123938"</f>
        <v>123938</v>
      </c>
      <c r="N2016" s="1" t="s">
        <v>46</v>
      </c>
      <c r="O2016" s="1" t="s">
        <v>28</v>
      </c>
      <c r="P2016" s="1" t="s">
        <v>55</v>
      </c>
      <c r="Q2016" s="1">
        <v>25</v>
      </c>
      <c r="R2016" s="1">
        <v>25</v>
      </c>
      <c r="S2016" s="1">
        <v>0</v>
      </c>
      <c r="T2016" s="1">
        <v>0</v>
      </c>
      <c r="U2016" s="1">
        <v>0</v>
      </c>
      <c r="V2016" s="1" t="str">
        <f>"里程去程"</f>
        <v>里程去程</v>
      </c>
      <c r="W2016" s="1" t="str">
        <f>"0020"</f>
        <v>0020</v>
      </c>
      <c r="X2016" s="1" t="s">
        <v>29</v>
      </c>
    </row>
    <row r="2017" spans="1:24" x14ac:dyDescent="0.3">
      <c r="A2017" s="1" t="str">
        <f t="shared" si="375"/>
        <v>59825</v>
      </c>
      <c r="B2017" s="1" t="s">
        <v>30</v>
      </c>
      <c r="C2017" s="1" t="s">
        <v>31</v>
      </c>
      <c r="D2017" s="1" t="str">
        <f t="shared" si="376"/>
        <v>9803</v>
      </c>
      <c r="E2017" s="1" t="s">
        <v>32</v>
      </c>
      <c r="F2017" s="1" t="str">
        <f>"11826543B5280400F700000000000000"</f>
        <v>11826543B5280400F700000000000000</v>
      </c>
      <c r="G2017" s="1" t="s">
        <v>58</v>
      </c>
      <c r="H2017" s="1" t="str">
        <f t="shared" si="374"/>
        <v>20220909</v>
      </c>
      <c r="I2017" s="1" t="str">
        <f>"122908"</f>
        <v>122908</v>
      </c>
      <c r="J2017" s="1" t="s">
        <v>28</v>
      </c>
      <c r="K2017" s="1" t="s">
        <v>28</v>
      </c>
      <c r="L2017" s="1" t="str">
        <f t="shared" si="379"/>
        <v>20220909</v>
      </c>
      <c r="M2017" s="1" t="str">
        <f>"123934"</f>
        <v>123934</v>
      </c>
      <c r="N2017" s="1" t="s">
        <v>46</v>
      </c>
      <c r="O2017" s="1" t="s">
        <v>28</v>
      </c>
      <c r="P2017" s="1" t="s">
        <v>55</v>
      </c>
      <c r="Q2017" s="1">
        <v>25</v>
      </c>
      <c r="R2017" s="1">
        <v>25</v>
      </c>
      <c r="S2017" s="1">
        <v>0</v>
      </c>
      <c r="T2017" s="1">
        <v>0</v>
      </c>
      <c r="U2017" s="1">
        <v>0</v>
      </c>
      <c r="V2017" s="1" t="str">
        <f>"里程去程"</f>
        <v>里程去程</v>
      </c>
      <c r="W2017" s="1" t="str">
        <f>"0020"</f>
        <v>0020</v>
      </c>
      <c r="X2017" s="1" t="s">
        <v>29</v>
      </c>
    </row>
    <row r="2018" spans="1:24" x14ac:dyDescent="0.3">
      <c r="A2018" s="1" t="str">
        <f t="shared" si="375"/>
        <v>59825</v>
      </c>
      <c r="B2018" s="1" t="s">
        <v>30</v>
      </c>
      <c r="C2018" s="1" t="s">
        <v>31</v>
      </c>
      <c r="D2018" s="1" t="str">
        <f t="shared" si="376"/>
        <v>9803</v>
      </c>
      <c r="E2018" s="1" t="s">
        <v>32</v>
      </c>
      <c r="F2018" s="1" t="str">
        <f>"814142689"</f>
        <v>814142689</v>
      </c>
      <c r="G2018" s="1" t="s">
        <v>26</v>
      </c>
      <c r="H2018" s="1" t="str">
        <f t="shared" si="374"/>
        <v>20220909</v>
      </c>
      <c r="I2018" s="1" t="str">
        <f>"131536"</f>
        <v>131536</v>
      </c>
      <c r="J2018" s="1" t="s">
        <v>92</v>
      </c>
      <c r="K2018" s="1" t="s">
        <v>28</v>
      </c>
      <c r="L2018" s="1" t="str">
        <f t="shared" si="379"/>
        <v>20220909</v>
      </c>
      <c r="M2018" s="1" t="str">
        <f>"132206"</f>
        <v>132206</v>
      </c>
      <c r="N2018" s="1" t="s">
        <v>28</v>
      </c>
      <c r="O2018" s="1" t="s">
        <v>28</v>
      </c>
      <c r="P2018" s="1" t="s">
        <v>55</v>
      </c>
      <c r="Q2018" s="1">
        <v>13</v>
      </c>
      <c r="R2018" s="1">
        <v>13</v>
      </c>
      <c r="S2018" s="1">
        <v>0</v>
      </c>
      <c r="T2018" s="1">
        <v>0</v>
      </c>
      <c r="U2018" s="1">
        <v>0</v>
      </c>
      <c r="V2018" s="1" t="str">
        <f>"里程返程"</f>
        <v>里程返程</v>
      </c>
      <c r="W2018" s="1" t="str">
        <f>"2120"</f>
        <v>2120</v>
      </c>
      <c r="X2018" s="1" t="s">
        <v>35</v>
      </c>
    </row>
    <row r="2019" spans="1:24" x14ac:dyDescent="0.3">
      <c r="A2019" s="1" t="str">
        <f t="shared" si="375"/>
        <v>59825</v>
      </c>
      <c r="B2019" s="1" t="s">
        <v>30</v>
      </c>
      <c r="C2019" s="1" t="s">
        <v>31</v>
      </c>
      <c r="D2019" s="1" t="str">
        <f t="shared" si="376"/>
        <v>9803</v>
      </c>
      <c r="E2019" s="1" t="s">
        <v>32</v>
      </c>
      <c r="F2019" s="1" t="str">
        <f>"888690417"</f>
        <v>888690417</v>
      </c>
      <c r="G2019" s="1" t="s">
        <v>26</v>
      </c>
      <c r="H2019" s="1" t="str">
        <f t="shared" si="374"/>
        <v>20220909</v>
      </c>
      <c r="I2019" s="1" t="str">
        <f>"131538"</f>
        <v>131538</v>
      </c>
      <c r="J2019" s="1" t="s">
        <v>92</v>
      </c>
      <c r="K2019" s="1" t="s">
        <v>28</v>
      </c>
      <c r="L2019" s="1" t="str">
        <f t="shared" si="379"/>
        <v>20220909</v>
      </c>
      <c r="M2019" s="1" t="str">
        <f>"132203"</f>
        <v>132203</v>
      </c>
      <c r="N2019" s="1" t="s">
        <v>28</v>
      </c>
      <c r="O2019" s="1" t="s">
        <v>28</v>
      </c>
      <c r="P2019" s="1" t="s">
        <v>55</v>
      </c>
      <c r="Q2019" s="1">
        <v>13</v>
      </c>
      <c r="R2019" s="1">
        <v>13</v>
      </c>
      <c r="S2019" s="1">
        <v>0</v>
      </c>
      <c r="T2019" s="1">
        <v>0</v>
      </c>
      <c r="U2019" s="1">
        <v>0</v>
      </c>
      <c r="V2019" s="1" t="str">
        <f>"里程返程"</f>
        <v>里程返程</v>
      </c>
      <c r="W2019" s="1" t="str">
        <f>"2120"</f>
        <v>2120</v>
      </c>
      <c r="X2019" s="1" t="s">
        <v>35</v>
      </c>
    </row>
    <row r="2020" spans="1:24" x14ac:dyDescent="0.3">
      <c r="A2020" s="1" t="str">
        <f t="shared" si="375"/>
        <v>59825</v>
      </c>
      <c r="B2020" s="1" t="s">
        <v>30</v>
      </c>
      <c r="C2020" s="1" t="s">
        <v>31</v>
      </c>
      <c r="D2020" s="1" t="str">
        <f t="shared" si="376"/>
        <v>9803</v>
      </c>
      <c r="E2020" s="1" t="s">
        <v>32</v>
      </c>
      <c r="F2020" s="1" t="str">
        <f>"4278FF19DC880400C824002000000020"</f>
        <v>4278FF19DC880400C824002000000020</v>
      </c>
      <c r="G2020" s="1" t="s">
        <v>58</v>
      </c>
      <c r="H2020" s="1" t="str">
        <f t="shared" si="374"/>
        <v>20220909</v>
      </c>
      <c r="I2020" s="1" t="str">
        <f>"162729"</f>
        <v>162729</v>
      </c>
      <c r="J2020" s="1" t="s">
        <v>46</v>
      </c>
      <c r="K2020" s="1" t="s">
        <v>28</v>
      </c>
      <c r="L2020" s="1" t="str">
        <f t="shared" si="379"/>
        <v>20220909</v>
      </c>
      <c r="M2020" s="1" t="str">
        <f>"163953"</f>
        <v>163953</v>
      </c>
      <c r="N2020" s="1" t="s">
        <v>28</v>
      </c>
      <c r="O2020" s="1" t="s">
        <v>28</v>
      </c>
      <c r="P2020" s="1" t="s">
        <v>55</v>
      </c>
      <c r="Q2020" s="1">
        <v>25</v>
      </c>
      <c r="R2020" s="1">
        <v>25</v>
      </c>
      <c r="S2020" s="1">
        <v>0</v>
      </c>
      <c r="T2020" s="1">
        <v>0</v>
      </c>
      <c r="U2020" s="1">
        <v>0</v>
      </c>
      <c r="V2020" s="1" t="str">
        <f>"里程返程"</f>
        <v>里程返程</v>
      </c>
      <c r="W2020" s="1" t="str">
        <f>"0020"</f>
        <v>0020</v>
      </c>
      <c r="X2020" s="1" t="s">
        <v>29</v>
      </c>
    </row>
    <row r="2021" spans="1:24" x14ac:dyDescent="0.3">
      <c r="A2021" s="1" t="str">
        <f t="shared" si="375"/>
        <v>59825</v>
      </c>
      <c r="B2021" s="1" t="s">
        <v>30</v>
      </c>
      <c r="C2021" s="1" t="s">
        <v>31</v>
      </c>
      <c r="D2021" s="1" t="str">
        <f t="shared" si="376"/>
        <v>9803</v>
      </c>
      <c r="E2021" s="1" t="s">
        <v>32</v>
      </c>
      <c r="F2021" s="1" t="str">
        <f>"1105680581"</f>
        <v>1105680581</v>
      </c>
      <c r="G2021" s="1" t="s">
        <v>38</v>
      </c>
      <c r="H2021" s="1" t="str">
        <f t="shared" si="374"/>
        <v>20220909</v>
      </c>
      <c r="I2021" s="1" t="str">
        <f>"162738"</f>
        <v>162738</v>
      </c>
      <c r="J2021" s="1" t="s">
        <v>46</v>
      </c>
      <c r="K2021" s="1" t="s">
        <v>28</v>
      </c>
      <c r="L2021" s="1" t="str">
        <f t="shared" si="379"/>
        <v>20220909</v>
      </c>
      <c r="M2021" s="1" t="str">
        <f>"163943"</f>
        <v>163943</v>
      </c>
      <c r="N2021" s="1" t="s">
        <v>28</v>
      </c>
      <c r="O2021" s="1" t="s">
        <v>28</v>
      </c>
      <c r="P2021" s="1" t="s">
        <v>55</v>
      </c>
      <c r="Q2021" s="1">
        <v>25</v>
      </c>
      <c r="R2021" s="1">
        <v>25</v>
      </c>
      <c r="S2021" s="1">
        <v>0</v>
      </c>
      <c r="T2021" s="1">
        <v>0</v>
      </c>
      <c r="U2021" s="1">
        <v>0</v>
      </c>
      <c r="V2021" s="1" t="str">
        <f>"里程返程"</f>
        <v>里程返程</v>
      </c>
      <c r="W2021" s="1" t="str">
        <f>"2120"</f>
        <v>2120</v>
      </c>
      <c r="X2021" s="1" t="s">
        <v>35</v>
      </c>
    </row>
    <row r="2022" spans="1:24" x14ac:dyDescent="0.3">
      <c r="A2022" s="1" t="str">
        <f t="shared" si="375"/>
        <v>59825</v>
      </c>
      <c r="B2022" s="1" t="s">
        <v>30</v>
      </c>
      <c r="C2022" s="1" t="s">
        <v>31</v>
      </c>
      <c r="D2022" s="1" t="str">
        <f t="shared" si="376"/>
        <v>9803</v>
      </c>
      <c r="E2022" s="1" t="s">
        <v>32</v>
      </c>
      <c r="F2022" s="1" t="str">
        <f>"1840134417"</f>
        <v>1840134417</v>
      </c>
      <c r="G2022" s="1" t="s">
        <v>33</v>
      </c>
      <c r="H2022" s="1" t="str">
        <f t="shared" si="374"/>
        <v>20220909</v>
      </c>
      <c r="I2022" s="1" t="str">
        <f>"164022"</f>
        <v>164022</v>
      </c>
      <c r="J2022" s="1" t="s">
        <v>28</v>
      </c>
      <c r="K2022" s="1" t="s">
        <v>28</v>
      </c>
      <c r="L2022" s="1" t="str">
        <f t="shared" si="379"/>
        <v>20220909</v>
      </c>
      <c r="M2022" s="1" t="str">
        <f>"165440"</f>
        <v>165440</v>
      </c>
      <c r="N2022" s="1" t="s">
        <v>46</v>
      </c>
      <c r="O2022" s="1" t="s">
        <v>28</v>
      </c>
      <c r="P2022" s="1" t="s">
        <v>55</v>
      </c>
      <c r="Q2022" s="1">
        <v>25</v>
      </c>
      <c r="R2022" s="1">
        <v>0</v>
      </c>
      <c r="S2022" s="1">
        <v>25</v>
      </c>
      <c r="T2022" s="1">
        <v>0</v>
      </c>
      <c r="U2022" s="1">
        <v>0</v>
      </c>
      <c r="V2022" s="1" t="str">
        <f>"里程去程"</f>
        <v>里程去程</v>
      </c>
      <c r="W2022" s="1" t="str">
        <f>"1e20"</f>
        <v>1e20</v>
      </c>
      <c r="X2022" s="1" t="s">
        <v>35</v>
      </c>
    </row>
    <row r="2023" spans="1:24" x14ac:dyDescent="0.3">
      <c r="A2023" s="1" t="str">
        <f t="shared" ref="A2023:A2042" si="380">"59825"</f>
        <v>59825</v>
      </c>
      <c r="B2023" s="1" t="s">
        <v>30</v>
      </c>
      <c r="C2023" s="1" t="s">
        <v>31</v>
      </c>
      <c r="D2023" s="1" t="str">
        <f t="shared" ref="D2023:D2039" si="381">"9803"</f>
        <v>9803</v>
      </c>
      <c r="E2023" s="1" t="s">
        <v>32</v>
      </c>
      <c r="F2023" s="1" t="str">
        <f>"1076855893"</f>
        <v>1076855893</v>
      </c>
      <c r="G2023" s="1" t="s">
        <v>33</v>
      </c>
      <c r="H2023" s="1" t="str">
        <f t="shared" si="374"/>
        <v>20220909</v>
      </c>
      <c r="I2023" s="1" t="str">
        <f>"165504"</f>
        <v>165504</v>
      </c>
      <c r="J2023" s="1" t="s">
        <v>46</v>
      </c>
      <c r="K2023" s="1" t="s">
        <v>28</v>
      </c>
      <c r="L2023" s="1" t="str">
        <f t="shared" si="379"/>
        <v>20220909</v>
      </c>
      <c r="M2023" s="1" t="str">
        <f>"170303"</f>
        <v>170303</v>
      </c>
      <c r="N2023" s="1" t="s">
        <v>93</v>
      </c>
      <c r="O2023" s="1" t="s">
        <v>28</v>
      </c>
      <c r="P2023" s="1" t="s">
        <v>55</v>
      </c>
      <c r="Q2023" s="1">
        <v>25</v>
      </c>
      <c r="R2023" s="1">
        <v>25</v>
      </c>
      <c r="S2023" s="1">
        <v>0</v>
      </c>
      <c r="T2023" s="1">
        <v>0</v>
      </c>
      <c r="U2023" s="1">
        <v>0</v>
      </c>
      <c r="V2023" s="1" t="str">
        <f>"里程去程"</f>
        <v>里程去程</v>
      </c>
      <c r="W2023" s="1" t="str">
        <f>"2020"</f>
        <v>2020</v>
      </c>
      <c r="X2023" s="1" t="s">
        <v>35</v>
      </c>
    </row>
    <row r="2024" spans="1:24" x14ac:dyDescent="0.3">
      <c r="A2024" s="1" t="str">
        <f t="shared" si="380"/>
        <v>59825</v>
      </c>
      <c r="B2024" s="1" t="s">
        <v>30</v>
      </c>
      <c r="C2024" s="1" t="s">
        <v>31</v>
      </c>
      <c r="D2024" s="1" t="str">
        <f t="shared" si="381"/>
        <v>9803</v>
      </c>
      <c r="E2024" s="1" t="s">
        <v>32</v>
      </c>
      <c r="F2024" s="1" t="str">
        <f>"1069836597"</f>
        <v>1069836597</v>
      </c>
      <c r="G2024" s="1" t="s">
        <v>33</v>
      </c>
      <c r="H2024" s="1" t="str">
        <f t="shared" si="374"/>
        <v>20220909</v>
      </c>
      <c r="I2024" s="1" t="str">
        <f>"165514"</f>
        <v>165514</v>
      </c>
      <c r="J2024" s="1" t="s">
        <v>46</v>
      </c>
      <c r="K2024" s="1" t="s">
        <v>28</v>
      </c>
      <c r="L2024" s="1" t="str">
        <f t="shared" si="379"/>
        <v>20220909</v>
      </c>
      <c r="M2024" s="1" t="str">
        <f>"170240"</f>
        <v>170240</v>
      </c>
      <c r="N2024" s="1" t="s">
        <v>93</v>
      </c>
      <c r="O2024" s="1" t="s">
        <v>28</v>
      </c>
      <c r="P2024" s="1" t="s">
        <v>55</v>
      </c>
      <c r="Q2024" s="1">
        <v>25</v>
      </c>
      <c r="R2024" s="1">
        <v>25</v>
      </c>
      <c r="S2024" s="1">
        <v>0</v>
      </c>
      <c r="T2024" s="1">
        <v>0</v>
      </c>
      <c r="U2024" s="1">
        <v>0</v>
      </c>
      <c r="V2024" s="1" t="str">
        <f>"里程去程"</f>
        <v>里程去程</v>
      </c>
      <c r="W2024" s="1" t="str">
        <f>"2020"</f>
        <v>2020</v>
      </c>
      <c r="X2024" s="1" t="s">
        <v>35</v>
      </c>
    </row>
    <row r="2025" spans="1:24" x14ac:dyDescent="0.3">
      <c r="A2025" s="1" t="str">
        <f t="shared" si="380"/>
        <v>59825</v>
      </c>
      <c r="B2025" s="1" t="s">
        <v>30</v>
      </c>
      <c r="C2025" s="1" t="s">
        <v>31</v>
      </c>
      <c r="D2025" s="1" t="str">
        <f t="shared" si="381"/>
        <v>9803</v>
      </c>
      <c r="E2025" s="1" t="s">
        <v>32</v>
      </c>
      <c r="F2025" s="1" t="str">
        <f>"638116175"</f>
        <v>638116175</v>
      </c>
      <c r="G2025" s="1" t="s">
        <v>33</v>
      </c>
      <c r="H2025" s="1" t="str">
        <f t="shared" si="374"/>
        <v>20220909</v>
      </c>
      <c r="I2025" s="1" t="str">
        <f>"171931"</f>
        <v>171931</v>
      </c>
      <c r="J2025" s="1" t="s">
        <v>34</v>
      </c>
      <c r="K2025" s="1" t="s">
        <v>34</v>
      </c>
      <c r="L2025" s="1" t="str">
        <f t="shared" si="379"/>
        <v>20220909</v>
      </c>
      <c r="M2025" s="1" t="str">
        <f>"175843"</f>
        <v>175843</v>
      </c>
      <c r="N2025" s="1" t="s">
        <v>28</v>
      </c>
      <c r="O2025" s="1" t="s">
        <v>28</v>
      </c>
      <c r="P2025" s="1" t="s">
        <v>55</v>
      </c>
      <c r="Q2025" s="1">
        <v>25</v>
      </c>
      <c r="R2025" s="1">
        <v>25</v>
      </c>
      <c r="S2025" s="1">
        <v>0</v>
      </c>
      <c r="T2025" s="1">
        <v>0</v>
      </c>
      <c r="U2025" s="1">
        <v>0</v>
      </c>
      <c r="V2025" s="1" t="str">
        <f t="shared" ref="V2025:V2039" si="382">"里程返程"</f>
        <v>里程返程</v>
      </c>
      <c r="W2025" s="1" t="str">
        <f>"2020"</f>
        <v>2020</v>
      </c>
      <c r="X2025" s="1" t="s">
        <v>35</v>
      </c>
    </row>
    <row r="2026" spans="1:24" x14ac:dyDescent="0.3">
      <c r="A2026" s="1" t="str">
        <f t="shared" si="380"/>
        <v>59825</v>
      </c>
      <c r="B2026" s="1" t="s">
        <v>30</v>
      </c>
      <c r="C2026" s="1" t="s">
        <v>31</v>
      </c>
      <c r="D2026" s="1" t="str">
        <f t="shared" si="381"/>
        <v>9803</v>
      </c>
      <c r="E2026" s="1" t="s">
        <v>32</v>
      </c>
      <c r="F2026" s="1" t="str">
        <f>"1419079825"</f>
        <v>1419079825</v>
      </c>
      <c r="G2026" s="1" t="s">
        <v>33</v>
      </c>
      <c r="H2026" s="1" t="str">
        <f t="shared" si="374"/>
        <v>20220909</v>
      </c>
      <c r="I2026" s="1" t="str">
        <f>"171957"</f>
        <v>171957</v>
      </c>
      <c r="J2026" s="1" t="s">
        <v>34</v>
      </c>
      <c r="K2026" s="1" t="s">
        <v>34</v>
      </c>
      <c r="L2026" s="1" t="str">
        <f t="shared" si="379"/>
        <v>20220909</v>
      </c>
      <c r="M2026" s="1" t="str">
        <f>"175824"</f>
        <v>175824</v>
      </c>
      <c r="N2026" s="1" t="s">
        <v>28</v>
      </c>
      <c r="O2026" s="1" t="s">
        <v>28</v>
      </c>
      <c r="P2026" s="1" t="s">
        <v>55</v>
      </c>
      <c r="Q2026" s="1">
        <v>25</v>
      </c>
      <c r="R2026" s="1">
        <v>25</v>
      </c>
      <c r="S2026" s="1">
        <v>0</v>
      </c>
      <c r="T2026" s="1">
        <v>0</v>
      </c>
      <c r="U2026" s="1">
        <v>0</v>
      </c>
      <c r="V2026" s="1" t="str">
        <f t="shared" si="382"/>
        <v>里程返程</v>
      </c>
      <c r="W2026" s="1" t="str">
        <f>"0120"</f>
        <v>0120</v>
      </c>
      <c r="X2026" s="1" t="s">
        <v>35</v>
      </c>
    </row>
    <row r="2027" spans="1:24" x14ac:dyDescent="0.3">
      <c r="A2027" s="1" t="str">
        <f t="shared" si="380"/>
        <v>59825</v>
      </c>
      <c r="B2027" s="1" t="s">
        <v>30</v>
      </c>
      <c r="C2027" s="1" t="s">
        <v>31</v>
      </c>
      <c r="D2027" s="1" t="str">
        <f t="shared" si="381"/>
        <v>9803</v>
      </c>
      <c r="E2027" s="1" t="s">
        <v>32</v>
      </c>
      <c r="F2027" s="1" t="str">
        <f>"713021729"</f>
        <v>713021729</v>
      </c>
      <c r="G2027" s="1" t="s">
        <v>33</v>
      </c>
      <c r="H2027" s="1" t="str">
        <f t="shared" si="374"/>
        <v>20220909</v>
      </c>
      <c r="I2027" s="1" t="str">
        <f>"172014"</f>
        <v>172014</v>
      </c>
      <c r="J2027" s="1" t="s">
        <v>34</v>
      </c>
      <c r="K2027" s="1" t="s">
        <v>34</v>
      </c>
      <c r="L2027" s="1" t="str">
        <f t="shared" si="379"/>
        <v>20220909</v>
      </c>
      <c r="M2027" s="1" t="str">
        <f>"175836"</f>
        <v>175836</v>
      </c>
      <c r="N2027" s="1" t="s">
        <v>28</v>
      </c>
      <c r="O2027" s="1" t="s">
        <v>28</v>
      </c>
      <c r="P2027" s="1" t="s">
        <v>55</v>
      </c>
      <c r="Q2027" s="1">
        <v>25</v>
      </c>
      <c r="R2027" s="1">
        <v>25</v>
      </c>
      <c r="S2027" s="1">
        <v>0</v>
      </c>
      <c r="T2027" s="1">
        <v>0</v>
      </c>
      <c r="U2027" s="1">
        <v>0</v>
      </c>
      <c r="V2027" s="1" t="str">
        <f t="shared" si="382"/>
        <v>里程返程</v>
      </c>
      <c r="W2027" s="1" t="str">
        <f>"2020"</f>
        <v>2020</v>
      </c>
      <c r="X2027" s="1" t="s">
        <v>35</v>
      </c>
    </row>
    <row r="2028" spans="1:24" x14ac:dyDescent="0.3">
      <c r="A2028" s="1" t="str">
        <f t="shared" si="380"/>
        <v>59825</v>
      </c>
      <c r="B2028" s="1" t="s">
        <v>30</v>
      </c>
      <c r="C2028" s="1" t="s">
        <v>31</v>
      </c>
      <c r="D2028" s="1" t="str">
        <f t="shared" si="381"/>
        <v>9803</v>
      </c>
      <c r="E2028" s="1" t="s">
        <v>32</v>
      </c>
      <c r="F2028" s="1" t="str">
        <f>"1252635681"</f>
        <v>1252635681</v>
      </c>
      <c r="G2028" s="1" t="s">
        <v>33</v>
      </c>
      <c r="H2028" s="1" t="str">
        <f t="shared" si="374"/>
        <v>20220909</v>
      </c>
      <c r="I2028" s="1" t="str">
        <f>"172016"</f>
        <v>172016</v>
      </c>
      <c r="J2028" s="1" t="s">
        <v>34</v>
      </c>
      <c r="K2028" s="1" t="s">
        <v>34</v>
      </c>
      <c r="L2028" s="1" t="str">
        <f t="shared" si="379"/>
        <v>20220909</v>
      </c>
      <c r="M2028" s="1" t="str">
        <f>"175832"</f>
        <v>175832</v>
      </c>
      <c r="N2028" s="1" t="s">
        <v>28</v>
      </c>
      <c r="O2028" s="1" t="s">
        <v>28</v>
      </c>
      <c r="P2028" s="1" t="s">
        <v>55</v>
      </c>
      <c r="Q2028" s="1">
        <v>25</v>
      </c>
      <c r="R2028" s="1">
        <v>25</v>
      </c>
      <c r="S2028" s="1">
        <v>0</v>
      </c>
      <c r="T2028" s="1">
        <v>0</v>
      </c>
      <c r="U2028" s="1">
        <v>0</v>
      </c>
      <c r="V2028" s="1" t="str">
        <f t="shared" si="382"/>
        <v>里程返程</v>
      </c>
      <c r="W2028" s="1" t="str">
        <f>"2020"</f>
        <v>2020</v>
      </c>
      <c r="X2028" s="1" t="s">
        <v>35</v>
      </c>
    </row>
    <row r="2029" spans="1:24" x14ac:dyDescent="0.3">
      <c r="A2029" s="1" t="str">
        <f t="shared" si="380"/>
        <v>59825</v>
      </c>
      <c r="B2029" s="1" t="s">
        <v>30</v>
      </c>
      <c r="C2029" s="1" t="s">
        <v>31</v>
      </c>
      <c r="D2029" s="1" t="str">
        <f t="shared" si="381"/>
        <v>9803</v>
      </c>
      <c r="E2029" s="1" t="s">
        <v>32</v>
      </c>
      <c r="F2029" s="1" t="str">
        <f>"993930129"</f>
        <v>993930129</v>
      </c>
      <c r="G2029" s="1" t="s">
        <v>33</v>
      </c>
      <c r="H2029" s="1" t="str">
        <f t="shared" si="374"/>
        <v>20220909</v>
      </c>
      <c r="I2029" s="1" t="str">
        <f>"172020"</f>
        <v>172020</v>
      </c>
      <c r="J2029" s="1" t="s">
        <v>34</v>
      </c>
      <c r="K2029" s="1" t="s">
        <v>34</v>
      </c>
      <c r="L2029" s="1" t="str">
        <f t="shared" si="379"/>
        <v>20220909</v>
      </c>
      <c r="M2029" s="1" t="str">
        <f>"175919"</f>
        <v>175919</v>
      </c>
      <c r="N2029" s="1" t="s">
        <v>28</v>
      </c>
      <c r="O2029" s="1" t="s">
        <v>28</v>
      </c>
      <c r="P2029" s="1" t="s">
        <v>55</v>
      </c>
      <c r="Q2029" s="1">
        <v>25</v>
      </c>
      <c r="R2029" s="1">
        <v>25</v>
      </c>
      <c r="S2029" s="1">
        <v>0</v>
      </c>
      <c r="T2029" s="1">
        <v>0</v>
      </c>
      <c r="U2029" s="1">
        <v>0</v>
      </c>
      <c r="V2029" s="1" t="str">
        <f t="shared" si="382"/>
        <v>里程返程</v>
      </c>
      <c r="W2029" s="1" t="str">
        <f>"2120"</f>
        <v>2120</v>
      </c>
      <c r="X2029" s="1" t="s">
        <v>35</v>
      </c>
    </row>
    <row r="2030" spans="1:24" x14ac:dyDescent="0.3">
      <c r="A2030" s="1" t="str">
        <f t="shared" si="380"/>
        <v>59825</v>
      </c>
      <c r="B2030" s="1" t="s">
        <v>30</v>
      </c>
      <c r="C2030" s="1" t="s">
        <v>31</v>
      </c>
      <c r="D2030" s="1" t="str">
        <f t="shared" si="381"/>
        <v>9803</v>
      </c>
      <c r="E2030" s="1" t="s">
        <v>32</v>
      </c>
      <c r="F2030" s="1" t="str">
        <f>"860523089"</f>
        <v>860523089</v>
      </c>
      <c r="G2030" s="1" t="s">
        <v>33</v>
      </c>
      <c r="H2030" s="1" t="str">
        <f t="shared" si="374"/>
        <v>20220909</v>
      </c>
      <c r="I2030" s="1" t="str">
        <f>"172024"</f>
        <v>172024</v>
      </c>
      <c r="J2030" s="1" t="s">
        <v>34</v>
      </c>
      <c r="K2030" s="1" t="s">
        <v>34</v>
      </c>
      <c r="L2030" s="1" t="str">
        <f t="shared" si="379"/>
        <v>20220909</v>
      </c>
      <c r="M2030" s="1" t="str">
        <f>"175917"</f>
        <v>175917</v>
      </c>
      <c r="N2030" s="1" t="s">
        <v>28</v>
      </c>
      <c r="O2030" s="1" t="s">
        <v>28</v>
      </c>
      <c r="P2030" s="1" t="s">
        <v>55</v>
      </c>
      <c r="Q2030" s="1">
        <v>25</v>
      </c>
      <c r="R2030" s="1">
        <v>25</v>
      </c>
      <c r="S2030" s="1">
        <v>0</v>
      </c>
      <c r="T2030" s="1">
        <v>0</v>
      </c>
      <c r="U2030" s="1">
        <v>0</v>
      </c>
      <c r="V2030" s="1" t="str">
        <f t="shared" si="382"/>
        <v>里程返程</v>
      </c>
      <c r="W2030" s="1" t="str">
        <f>"2120"</f>
        <v>2120</v>
      </c>
      <c r="X2030" s="1" t="s">
        <v>35</v>
      </c>
    </row>
    <row r="2031" spans="1:24" x14ac:dyDescent="0.3">
      <c r="A2031" s="1" t="str">
        <f t="shared" si="380"/>
        <v>59825</v>
      </c>
      <c r="B2031" s="1" t="s">
        <v>30</v>
      </c>
      <c r="C2031" s="1" t="s">
        <v>31</v>
      </c>
      <c r="D2031" s="1" t="str">
        <f t="shared" si="381"/>
        <v>9803</v>
      </c>
      <c r="E2031" s="1" t="s">
        <v>32</v>
      </c>
      <c r="F2031" s="1" t="str">
        <f>"1205184293"</f>
        <v>1205184293</v>
      </c>
      <c r="G2031" s="1" t="s">
        <v>38</v>
      </c>
      <c r="H2031" s="1" t="str">
        <f t="shared" si="374"/>
        <v>20220909</v>
      </c>
      <c r="I2031" s="1" t="str">
        <f>"172030"</f>
        <v>172030</v>
      </c>
      <c r="J2031" s="1" t="s">
        <v>34</v>
      </c>
      <c r="K2031" s="1" t="s">
        <v>34</v>
      </c>
      <c r="L2031" s="1" t="str">
        <f t="shared" si="379"/>
        <v>20220909</v>
      </c>
      <c r="M2031" s="1" t="str">
        <f>"175820"</f>
        <v>175820</v>
      </c>
      <c r="N2031" s="1" t="s">
        <v>28</v>
      </c>
      <c r="O2031" s="1" t="s">
        <v>28</v>
      </c>
      <c r="P2031" s="1" t="s">
        <v>55</v>
      </c>
      <c r="Q2031" s="1">
        <v>25</v>
      </c>
      <c r="R2031" s="1">
        <v>25</v>
      </c>
      <c r="S2031" s="1">
        <v>0</v>
      </c>
      <c r="T2031" s="1">
        <v>0</v>
      </c>
      <c r="U2031" s="1">
        <v>0</v>
      </c>
      <c r="V2031" s="1" t="str">
        <f t="shared" si="382"/>
        <v>里程返程</v>
      </c>
      <c r="W2031" s="1" t="str">
        <f>"2120"</f>
        <v>2120</v>
      </c>
      <c r="X2031" s="1" t="s">
        <v>35</v>
      </c>
    </row>
    <row r="2032" spans="1:24" x14ac:dyDescent="0.3">
      <c r="A2032" s="1" t="str">
        <f t="shared" si="380"/>
        <v>59825</v>
      </c>
      <c r="B2032" s="1" t="s">
        <v>30</v>
      </c>
      <c r="C2032" s="1" t="s">
        <v>31</v>
      </c>
      <c r="D2032" s="1" t="str">
        <f t="shared" si="381"/>
        <v>9803</v>
      </c>
      <c r="E2032" s="1" t="s">
        <v>32</v>
      </c>
      <c r="F2032" s="1" t="str">
        <f>"779865169"</f>
        <v>779865169</v>
      </c>
      <c r="G2032" s="1" t="s">
        <v>33</v>
      </c>
      <c r="H2032" s="1" t="str">
        <f t="shared" si="374"/>
        <v>20220909</v>
      </c>
      <c r="I2032" s="1" t="str">
        <f>"172047"</f>
        <v>172047</v>
      </c>
      <c r="J2032" s="1" t="s">
        <v>34</v>
      </c>
      <c r="K2032" s="1" t="s">
        <v>34</v>
      </c>
      <c r="L2032" s="1" t="str">
        <f t="shared" si="379"/>
        <v>20220909</v>
      </c>
      <c r="M2032" s="1" t="str">
        <f>"175911"</f>
        <v>175911</v>
      </c>
      <c r="N2032" s="1" t="s">
        <v>28</v>
      </c>
      <c r="O2032" s="1" t="s">
        <v>28</v>
      </c>
      <c r="P2032" s="1" t="s">
        <v>55</v>
      </c>
      <c r="Q2032" s="1">
        <v>25</v>
      </c>
      <c r="R2032" s="1">
        <v>25</v>
      </c>
      <c r="S2032" s="1">
        <v>0</v>
      </c>
      <c r="T2032" s="1">
        <v>0</v>
      </c>
      <c r="U2032" s="1">
        <v>0</v>
      </c>
      <c r="V2032" s="1" t="str">
        <f t="shared" si="382"/>
        <v>里程返程</v>
      </c>
      <c r="W2032" s="1" t="str">
        <f>"2020"</f>
        <v>2020</v>
      </c>
      <c r="X2032" s="1" t="s">
        <v>35</v>
      </c>
    </row>
    <row r="2033" spans="1:24" x14ac:dyDescent="0.3">
      <c r="A2033" s="1" t="str">
        <f t="shared" si="380"/>
        <v>59825</v>
      </c>
      <c r="B2033" s="1" t="s">
        <v>30</v>
      </c>
      <c r="C2033" s="1" t="s">
        <v>31</v>
      </c>
      <c r="D2033" s="1" t="str">
        <f t="shared" si="381"/>
        <v>9803</v>
      </c>
      <c r="E2033" s="1" t="s">
        <v>32</v>
      </c>
      <c r="F2033" s="1" t="str">
        <f>"641927361"</f>
        <v>641927361</v>
      </c>
      <c r="G2033" s="1" t="s">
        <v>33</v>
      </c>
      <c r="H2033" s="1" t="str">
        <f t="shared" si="374"/>
        <v>20220909</v>
      </c>
      <c r="I2033" s="1" t="str">
        <f>"172742"</f>
        <v>172742</v>
      </c>
      <c r="J2033" s="1" t="s">
        <v>34</v>
      </c>
      <c r="K2033" s="1" t="s">
        <v>34</v>
      </c>
      <c r="L2033" s="1" t="str">
        <f t="shared" si="379"/>
        <v>20220909</v>
      </c>
      <c r="M2033" s="1" t="str">
        <f>"175900"</f>
        <v>175900</v>
      </c>
      <c r="N2033" s="1" t="s">
        <v>28</v>
      </c>
      <c r="O2033" s="1" t="s">
        <v>28</v>
      </c>
      <c r="P2033" s="1" t="s">
        <v>55</v>
      </c>
      <c r="Q2033" s="1">
        <v>25</v>
      </c>
      <c r="R2033" s="1">
        <v>25</v>
      </c>
      <c r="S2033" s="1">
        <v>0</v>
      </c>
      <c r="T2033" s="1">
        <v>0</v>
      </c>
      <c r="U2033" s="1">
        <v>0</v>
      </c>
      <c r="V2033" s="1" t="str">
        <f t="shared" si="382"/>
        <v>里程返程</v>
      </c>
      <c r="W2033" s="1" t="str">
        <f>"2020"</f>
        <v>2020</v>
      </c>
      <c r="X2033" s="1" t="s">
        <v>35</v>
      </c>
    </row>
    <row r="2034" spans="1:24" x14ac:dyDescent="0.3">
      <c r="A2034" s="1" t="str">
        <f t="shared" si="380"/>
        <v>59825</v>
      </c>
      <c r="B2034" s="1" t="s">
        <v>30</v>
      </c>
      <c r="C2034" s="1" t="s">
        <v>31</v>
      </c>
      <c r="D2034" s="1" t="str">
        <f t="shared" si="381"/>
        <v>9803</v>
      </c>
      <c r="E2034" s="1" t="s">
        <v>32</v>
      </c>
      <c r="F2034" s="1" t="str">
        <f>"1259507621"</f>
        <v>1259507621</v>
      </c>
      <c r="G2034" s="1" t="s">
        <v>33</v>
      </c>
      <c r="H2034" s="1" t="str">
        <f t="shared" si="374"/>
        <v>20220909</v>
      </c>
      <c r="I2034" s="1" t="str">
        <f>"172756"</f>
        <v>172756</v>
      </c>
      <c r="J2034" s="1" t="s">
        <v>34</v>
      </c>
      <c r="K2034" s="1" t="s">
        <v>34</v>
      </c>
      <c r="L2034" s="1" t="str">
        <f t="shared" si="379"/>
        <v>20220909</v>
      </c>
      <c r="M2034" s="1" t="str">
        <f>"175907"</f>
        <v>175907</v>
      </c>
      <c r="N2034" s="1" t="s">
        <v>28</v>
      </c>
      <c r="O2034" s="1" t="s">
        <v>28</v>
      </c>
      <c r="P2034" s="1" t="s">
        <v>55</v>
      </c>
      <c r="Q2034" s="1">
        <v>25</v>
      </c>
      <c r="R2034" s="1">
        <v>25</v>
      </c>
      <c r="S2034" s="1">
        <v>0</v>
      </c>
      <c r="T2034" s="1">
        <v>0</v>
      </c>
      <c r="U2034" s="1">
        <v>0</v>
      </c>
      <c r="V2034" s="1" t="str">
        <f t="shared" si="382"/>
        <v>里程返程</v>
      </c>
      <c r="W2034" s="1" t="str">
        <f>"2020"</f>
        <v>2020</v>
      </c>
      <c r="X2034" s="1" t="s">
        <v>35</v>
      </c>
    </row>
    <row r="2035" spans="1:24" x14ac:dyDescent="0.3">
      <c r="A2035" s="1" t="str">
        <f t="shared" si="380"/>
        <v>59825</v>
      </c>
      <c r="B2035" s="1" t="s">
        <v>30</v>
      </c>
      <c r="C2035" s="1" t="s">
        <v>31</v>
      </c>
      <c r="D2035" s="1" t="str">
        <f t="shared" si="381"/>
        <v>9803</v>
      </c>
      <c r="E2035" s="1" t="s">
        <v>32</v>
      </c>
      <c r="F2035" s="1" t="str">
        <f>"2625701519"</f>
        <v>2625701519</v>
      </c>
      <c r="G2035" s="1" t="s">
        <v>33</v>
      </c>
      <c r="H2035" s="1" t="str">
        <f t="shared" si="374"/>
        <v>20220909</v>
      </c>
      <c r="I2035" s="1" t="str">
        <f>"172926"</f>
        <v>172926</v>
      </c>
      <c r="J2035" s="1" t="s">
        <v>34</v>
      </c>
      <c r="K2035" s="1" t="s">
        <v>34</v>
      </c>
      <c r="L2035" s="1" t="str">
        <f t="shared" si="379"/>
        <v>20220909</v>
      </c>
      <c r="M2035" s="1" t="str">
        <f>"175839"</f>
        <v>175839</v>
      </c>
      <c r="N2035" s="1" t="s">
        <v>28</v>
      </c>
      <c r="O2035" s="1" t="s">
        <v>28</v>
      </c>
      <c r="P2035" s="1" t="s">
        <v>55</v>
      </c>
      <c r="Q2035" s="1">
        <v>25</v>
      </c>
      <c r="R2035" s="1">
        <v>25</v>
      </c>
      <c r="S2035" s="1">
        <v>0</v>
      </c>
      <c r="T2035" s="1">
        <v>0</v>
      </c>
      <c r="U2035" s="1">
        <v>0</v>
      </c>
      <c r="V2035" s="1" t="str">
        <f t="shared" si="382"/>
        <v>里程返程</v>
      </c>
      <c r="W2035" s="1" t="str">
        <f>"0120"</f>
        <v>0120</v>
      </c>
      <c r="X2035" s="1" t="s">
        <v>35</v>
      </c>
    </row>
    <row r="2036" spans="1:24" x14ac:dyDescent="0.3">
      <c r="A2036" s="1" t="str">
        <f t="shared" si="380"/>
        <v>59825</v>
      </c>
      <c r="B2036" s="1" t="s">
        <v>30</v>
      </c>
      <c r="C2036" s="1" t="s">
        <v>31</v>
      </c>
      <c r="D2036" s="1" t="str">
        <f t="shared" si="381"/>
        <v>9803</v>
      </c>
      <c r="E2036" s="1" t="s">
        <v>32</v>
      </c>
      <c r="F2036" s="1" t="str">
        <f>"1250381301"</f>
        <v>1250381301</v>
      </c>
      <c r="G2036" s="1" t="s">
        <v>38</v>
      </c>
      <c r="H2036" s="1" t="str">
        <f t="shared" si="374"/>
        <v>20220909</v>
      </c>
      <c r="I2036" s="1" t="str">
        <f>"173013"</f>
        <v>173013</v>
      </c>
      <c r="J2036" s="1" t="s">
        <v>34</v>
      </c>
      <c r="K2036" s="1" t="s">
        <v>34</v>
      </c>
      <c r="L2036" s="1" t="str">
        <f t="shared" si="379"/>
        <v>20220909</v>
      </c>
      <c r="M2036" s="1" t="str">
        <f>"175855"</f>
        <v>175855</v>
      </c>
      <c r="N2036" s="1" t="s">
        <v>28</v>
      </c>
      <c r="O2036" s="1" t="s">
        <v>28</v>
      </c>
      <c r="P2036" s="1" t="s">
        <v>55</v>
      </c>
      <c r="Q2036" s="1">
        <v>25</v>
      </c>
      <c r="R2036" s="1">
        <v>25</v>
      </c>
      <c r="S2036" s="1">
        <v>0</v>
      </c>
      <c r="T2036" s="1">
        <v>0</v>
      </c>
      <c r="U2036" s="1">
        <v>0</v>
      </c>
      <c r="V2036" s="1" t="str">
        <f t="shared" si="382"/>
        <v>里程返程</v>
      </c>
      <c r="W2036" s="1" t="str">
        <f>"2020"</f>
        <v>2020</v>
      </c>
      <c r="X2036" s="1" t="s">
        <v>35</v>
      </c>
    </row>
    <row r="2037" spans="1:24" x14ac:dyDescent="0.3">
      <c r="A2037" s="1" t="str">
        <f t="shared" si="380"/>
        <v>59825</v>
      </c>
      <c r="B2037" s="1" t="s">
        <v>30</v>
      </c>
      <c r="C2037" s="1" t="s">
        <v>31</v>
      </c>
      <c r="D2037" s="1" t="str">
        <f t="shared" si="381"/>
        <v>9803</v>
      </c>
      <c r="E2037" s="1" t="s">
        <v>32</v>
      </c>
      <c r="F2037" s="1" t="str">
        <f>"1231008245"</f>
        <v>1231008245</v>
      </c>
      <c r="G2037" s="1" t="s">
        <v>38</v>
      </c>
      <c r="H2037" s="1" t="str">
        <f t="shared" si="374"/>
        <v>20220909</v>
      </c>
      <c r="I2037" s="1" t="str">
        <f>"173022"</f>
        <v>173022</v>
      </c>
      <c r="J2037" s="1" t="s">
        <v>34</v>
      </c>
      <c r="K2037" s="1" t="s">
        <v>34</v>
      </c>
      <c r="L2037" s="1" t="str">
        <f t="shared" si="379"/>
        <v>20220909</v>
      </c>
      <c r="M2037" s="1" t="str">
        <f>"175850"</f>
        <v>175850</v>
      </c>
      <c r="N2037" s="1" t="s">
        <v>28</v>
      </c>
      <c r="O2037" s="1" t="s">
        <v>28</v>
      </c>
      <c r="P2037" s="1" t="s">
        <v>55</v>
      </c>
      <c r="Q2037" s="1">
        <v>25</v>
      </c>
      <c r="R2037" s="1">
        <v>25</v>
      </c>
      <c r="S2037" s="1">
        <v>0</v>
      </c>
      <c r="T2037" s="1">
        <v>0</v>
      </c>
      <c r="U2037" s="1">
        <v>0</v>
      </c>
      <c r="V2037" s="1" t="str">
        <f t="shared" si="382"/>
        <v>里程返程</v>
      </c>
      <c r="W2037" s="1" t="str">
        <f>"2020"</f>
        <v>2020</v>
      </c>
      <c r="X2037" s="1" t="s">
        <v>35</v>
      </c>
    </row>
    <row r="2038" spans="1:24" x14ac:dyDescent="0.3">
      <c r="A2038" s="1" t="str">
        <f t="shared" si="380"/>
        <v>59825</v>
      </c>
      <c r="B2038" s="1" t="s">
        <v>30</v>
      </c>
      <c r="C2038" s="1" t="s">
        <v>31</v>
      </c>
      <c r="D2038" s="1" t="str">
        <f t="shared" si="381"/>
        <v>9803</v>
      </c>
      <c r="E2038" s="1" t="s">
        <v>32</v>
      </c>
      <c r="F2038" s="1" t="str">
        <f>"854C539C0688040043265ABE00090710"</f>
        <v>854C539C0688040043265ABE00090710</v>
      </c>
      <c r="G2038" s="1" t="s">
        <v>58</v>
      </c>
      <c r="H2038" s="1" t="str">
        <f t="shared" si="374"/>
        <v>20220909</v>
      </c>
      <c r="I2038" s="1" t="str">
        <f>"173028"</f>
        <v>173028</v>
      </c>
      <c r="J2038" s="1" t="s">
        <v>34</v>
      </c>
      <c r="K2038" s="1" t="s">
        <v>34</v>
      </c>
      <c r="L2038" s="1" t="str">
        <f t="shared" si="379"/>
        <v>20220909</v>
      </c>
      <c r="M2038" s="1" t="str">
        <f>"175829"</f>
        <v>175829</v>
      </c>
      <c r="N2038" s="1" t="s">
        <v>28</v>
      </c>
      <c r="O2038" s="1" t="s">
        <v>28</v>
      </c>
      <c r="P2038" s="1" t="s">
        <v>55</v>
      </c>
      <c r="Q2038" s="1">
        <v>25</v>
      </c>
      <c r="R2038" s="1">
        <v>25</v>
      </c>
      <c r="S2038" s="1">
        <v>0</v>
      </c>
      <c r="T2038" s="1">
        <v>0</v>
      </c>
      <c r="U2038" s="1">
        <v>0</v>
      </c>
      <c r="V2038" s="1" t="str">
        <f t="shared" si="382"/>
        <v>里程返程</v>
      </c>
      <c r="W2038" s="1" t="str">
        <f>"0020"</f>
        <v>0020</v>
      </c>
      <c r="X2038" s="1" t="s">
        <v>29</v>
      </c>
    </row>
    <row r="2039" spans="1:24" x14ac:dyDescent="0.3">
      <c r="A2039" s="1" t="str">
        <f t="shared" si="380"/>
        <v>59825</v>
      </c>
      <c r="B2039" s="1" t="s">
        <v>30</v>
      </c>
      <c r="C2039" s="1" t="s">
        <v>31</v>
      </c>
      <c r="D2039" s="1" t="str">
        <f t="shared" si="381"/>
        <v>9803</v>
      </c>
      <c r="E2039" s="1" t="s">
        <v>32</v>
      </c>
      <c r="F2039" s="1" t="str">
        <f>"459708801"</f>
        <v>459708801</v>
      </c>
      <c r="G2039" s="1" t="s">
        <v>33</v>
      </c>
      <c r="H2039" s="1" t="str">
        <f t="shared" si="374"/>
        <v>20220909</v>
      </c>
      <c r="I2039" s="1" t="str">
        <f>"173037"</f>
        <v>173037</v>
      </c>
      <c r="J2039" s="1" t="s">
        <v>34</v>
      </c>
      <c r="K2039" s="1" t="s">
        <v>34</v>
      </c>
      <c r="L2039" s="1" t="str">
        <f t="shared" si="379"/>
        <v>20220909</v>
      </c>
      <c r="M2039" s="1" t="str">
        <f>"175922"</f>
        <v>175922</v>
      </c>
      <c r="N2039" s="1" t="s">
        <v>28</v>
      </c>
      <c r="O2039" s="1" t="s">
        <v>28</v>
      </c>
      <c r="P2039" s="1" t="s">
        <v>55</v>
      </c>
      <c r="Q2039" s="1">
        <v>25</v>
      </c>
      <c r="R2039" s="1">
        <v>25</v>
      </c>
      <c r="S2039" s="1">
        <v>0</v>
      </c>
      <c r="T2039" s="1">
        <v>0</v>
      </c>
      <c r="U2039" s="1">
        <v>0</v>
      </c>
      <c r="V2039" s="1" t="str">
        <f t="shared" si="382"/>
        <v>里程返程</v>
      </c>
      <c r="W2039" s="1" t="str">
        <f>"0320"</f>
        <v>0320</v>
      </c>
      <c r="X2039" s="1" t="s">
        <v>35</v>
      </c>
    </row>
    <row r="2040" spans="1:24" x14ac:dyDescent="0.3">
      <c r="A2040" s="1" t="str">
        <f t="shared" si="380"/>
        <v>59825</v>
      </c>
      <c r="B2040" s="1" t="s">
        <v>30</v>
      </c>
      <c r="C2040" s="1" t="s">
        <v>31</v>
      </c>
      <c r="D2040" s="1" t="str">
        <f t="shared" ref="D2040:D2046" si="383">"9805"</f>
        <v>9805</v>
      </c>
      <c r="E2040" s="1" t="s">
        <v>57</v>
      </c>
      <c r="F2040" s="1" t="str">
        <f>"1259507621"</f>
        <v>1259507621</v>
      </c>
      <c r="G2040" s="1" t="s">
        <v>33</v>
      </c>
      <c r="H2040" s="1" t="str">
        <f t="shared" si="374"/>
        <v>20220909</v>
      </c>
      <c r="I2040" s="1" t="str">
        <f>"180008"</f>
        <v>180008</v>
      </c>
      <c r="J2040" s="1" t="s">
        <v>28</v>
      </c>
      <c r="K2040" s="1" t="s">
        <v>28</v>
      </c>
      <c r="L2040" s="1" t="str">
        <f t="shared" si="379"/>
        <v>20220909</v>
      </c>
      <c r="M2040" s="1" t="str">
        <f>"181735"</f>
        <v>181735</v>
      </c>
      <c r="N2040" s="1" t="s">
        <v>52</v>
      </c>
      <c r="O2040" s="1" t="s">
        <v>52</v>
      </c>
      <c r="P2040" s="1" t="s">
        <v>55</v>
      </c>
      <c r="Q2040" s="1">
        <v>25</v>
      </c>
      <c r="R2040" s="1">
        <v>0</v>
      </c>
      <c r="S2040" s="1">
        <v>25</v>
      </c>
      <c r="T2040" s="1">
        <v>0</v>
      </c>
      <c r="U2040" s="1">
        <v>0</v>
      </c>
      <c r="V2040" s="1" t="str">
        <f>"里程去程"</f>
        <v>里程去程</v>
      </c>
      <c r="W2040" s="1" t="str">
        <f>"2020"</f>
        <v>2020</v>
      </c>
      <c r="X2040" s="1" t="s">
        <v>35</v>
      </c>
    </row>
    <row r="2041" spans="1:24" x14ac:dyDescent="0.3">
      <c r="A2041" s="1" t="str">
        <f t="shared" si="380"/>
        <v>59825</v>
      </c>
      <c r="B2041" s="1" t="s">
        <v>30</v>
      </c>
      <c r="C2041" s="1" t="s">
        <v>31</v>
      </c>
      <c r="D2041" s="1" t="str">
        <f t="shared" si="383"/>
        <v>9805</v>
      </c>
      <c r="E2041" s="1" t="s">
        <v>57</v>
      </c>
      <c r="F2041" s="1" t="str">
        <f>"795513281"</f>
        <v>795513281</v>
      </c>
      <c r="G2041" s="1" t="s">
        <v>38</v>
      </c>
      <c r="H2041" s="1" t="str">
        <f t="shared" si="374"/>
        <v>20220909</v>
      </c>
      <c r="I2041" s="1" t="str">
        <f>"180031"</f>
        <v>180031</v>
      </c>
      <c r="J2041" s="1" t="s">
        <v>28</v>
      </c>
      <c r="K2041" s="1" t="s">
        <v>28</v>
      </c>
      <c r="L2041" s="1" t="str">
        <f t="shared" si="379"/>
        <v>20220909</v>
      </c>
      <c r="M2041" s="1" t="str">
        <f>"181743"</f>
        <v>181743</v>
      </c>
      <c r="N2041" s="1" t="s">
        <v>52</v>
      </c>
      <c r="O2041" s="1" t="s">
        <v>52</v>
      </c>
      <c r="P2041" s="1" t="s">
        <v>55</v>
      </c>
      <c r="Q2041" s="1">
        <v>25</v>
      </c>
      <c r="R2041" s="1">
        <v>25</v>
      </c>
      <c r="S2041" s="1">
        <v>0</v>
      </c>
      <c r="T2041" s="1">
        <v>0</v>
      </c>
      <c r="U2041" s="1">
        <v>0</v>
      </c>
      <c r="V2041" s="1" t="str">
        <f>"里程去程"</f>
        <v>里程去程</v>
      </c>
      <c r="W2041" s="1" t="str">
        <f>"0120"</f>
        <v>0120</v>
      </c>
      <c r="X2041" s="1" t="s">
        <v>35</v>
      </c>
    </row>
    <row r="2042" spans="1:24" x14ac:dyDescent="0.3">
      <c r="A2042" s="1" t="str">
        <f t="shared" si="380"/>
        <v>59825</v>
      </c>
      <c r="B2042" s="1" t="s">
        <v>30</v>
      </c>
      <c r="C2042" s="1" t="s">
        <v>31</v>
      </c>
      <c r="D2042" s="1" t="str">
        <f t="shared" si="383"/>
        <v>9805</v>
      </c>
      <c r="E2042" s="1" t="s">
        <v>57</v>
      </c>
      <c r="F2042" s="1" t="str">
        <f>"1693222565"</f>
        <v>1693222565</v>
      </c>
      <c r="G2042" s="1" t="s">
        <v>33</v>
      </c>
      <c r="H2042" s="1" t="str">
        <f t="shared" si="374"/>
        <v>20220909</v>
      </c>
      <c r="I2042" s="1" t="str">
        <f>"181829"</f>
        <v>181829</v>
      </c>
      <c r="J2042" s="1" t="s">
        <v>52</v>
      </c>
      <c r="K2042" s="1" t="s">
        <v>52</v>
      </c>
      <c r="L2042" s="1" t="str">
        <f t="shared" si="379"/>
        <v>20220909</v>
      </c>
      <c r="M2042" s="1" t="str">
        <f>"183840"</f>
        <v>183840</v>
      </c>
      <c r="N2042" s="1" t="s">
        <v>28</v>
      </c>
      <c r="O2042" s="1" t="s">
        <v>28</v>
      </c>
      <c r="P2042" s="1" t="s">
        <v>55</v>
      </c>
      <c r="Q2042" s="1">
        <v>25</v>
      </c>
      <c r="R2042" s="1">
        <v>25</v>
      </c>
      <c r="S2042" s="1">
        <v>0</v>
      </c>
      <c r="T2042" s="1">
        <v>0</v>
      </c>
      <c r="U2042" s="1">
        <v>0</v>
      </c>
      <c r="V2042" s="1" t="str">
        <f>"里程返程"</f>
        <v>里程返程</v>
      </c>
      <c r="W2042" s="1" t="str">
        <f>"1420"</f>
        <v>1420</v>
      </c>
      <c r="X2042" s="1" t="s">
        <v>35</v>
      </c>
    </row>
    <row r="2043" spans="1:24" x14ac:dyDescent="0.3">
      <c r="A2043" s="1" t="str">
        <f t="shared" ref="A2043:A2083" si="384">"59829"</f>
        <v>59829</v>
      </c>
      <c r="B2043" s="1" t="s">
        <v>47</v>
      </c>
      <c r="C2043" s="1" t="s">
        <v>48</v>
      </c>
      <c r="D2043" s="1" t="str">
        <f t="shared" si="383"/>
        <v>9805</v>
      </c>
      <c r="E2043" s="1" t="s">
        <v>57</v>
      </c>
      <c r="F2043" s="1" t="str">
        <f>"37CCB804478804004327CC4B00140C07"</f>
        <v>37CCB804478804004327CC4B00140C07</v>
      </c>
      <c r="G2043" s="1" t="s">
        <v>58</v>
      </c>
      <c r="H2043" s="1" t="str">
        <f t="shared" si="374"/>
        <v>20220909</v>
      </c>
      <c r="I2043" s="1" t="str">
        <f>"104759"</f>
        <v>104759</v>
      </c>
      <c r="J2043" s="1" t="s">
        <v>28</v>
      </c>
      <c r="K2043" s="1" t="s">
        <v>28</v>
      </c>
      <c r="L2043" s="1" t="str">
        <f t="shared" ref="L2043:L2074" si="385">"20220909"</f>
        <v>20220909</v>
      </c>
      <c r="M2043" s="1" t="str">
        <f>"105745"</f>
        <v>105745</v>
      </c>
      <c r="N2043" s="1" t="s">
        <v>46</v>
      </c>
      <c r="O2043" s="1" t="s">
        <v>28</v>
      </c>
      <c r="P2043" s="1" t="s">
        <v>55</v>
      </c>
      <c r="Q2043" s="1">
        <v>25</v>
      </c>
      <c r="R2043" s="1">
        <v>25</v>
      </c>
      <c r="S2043" s="1">
        <v>0</v>
      </c>
      <c r="T2043" s="1">
        <v>0</v>
      </c>
      <c r="U2043" s="1">
        <v>0</v>
      </c>
      <c r="V2043" s="1" t="str">
        <f t="shared" ref="V2043:V2068" si="386">"里程去程"</f>
        <v>里程去程</v>
      </c>
      <c r="W2043" s="1" t="str">
        <f>"0020"</f>
        <v>0020</v>
      </c>
      <c r="X2043" s="1" t="s">
        <v>29</v>
      </c>
    </row>
    <row r="2044" spans="1:24" x14ac:dyDescent="0.3">
      <c r="A2044" s="1" t="str">
        <f t="shared" si="384"/>
        <v>59829</v>
      </c>
      <c r="B2044" s="1" t="s">
        <v>47</v>
      </c>
      <c r="C2044" s="1" t="s">
        <v>48</v>
      </c>
      <c r="D2044" s="1" t="str">
        <f t="shared" si="383"/>
        <v>9805</v>
      </c>
      <c r="E2044" s="1" t="s">
        <v>57</v>
      </c>
      <c r="F2044" s="1" t="str">
        <f>"C22CFE140428040080CEDA1449914018"</f>
        <v>C22CFE140428040080CEDA1449914018</v>
      </c>
      <c r="G2044" s="1" t="s">
        <v>58</v>
      </c>
      <c r="H2044" s="1" t="str">
        <f t="shared" si="374"/>
        <v>20220909</v>
      </c>
      <c r="I2044" s="1" t="str">
        <f>"104804"</f>
        <v>104804</v>
      </c>
      <c r="J2044" s="1" t="s">
        <v>28</v>
      </c>
      <c r="K2044" s="1" t="s">
        <v>28</v>
      </c>
      <c r="L2044" s="1" t="str">
        <f t="shared" si="385"/>
        <v>20220909</v>
      </c>
      <c r="M2044" s="1" t="str">
        <f>"105742"</f>
        <v>105742</v>
      </c>
      <c r="N2044" s="1" t="s">
        <v>46</v>
      </c>
      <c r="O2044" s="1" t="s">
        <v>28</v>
      </c>
      <c r="P2044" s="1" t="s">
        <v>55</v>
      </c>
      <c r="Q2044" s="1">
        <v>25</v>
      </c>
      <c r="R2044" s="1">
        <v>25</v>
      </c>
      <c r="S2044" s="1">
        <v>0</v>
      </c>
      <c r="T2044" s="1">
        <v>0</v>
      </c>
      <c r="U2044" s="1">
        <v>0</v>
      </c>
      <c r="V2044" s="1" t="str">
        <f t="shared" si="386"/>
        <v>里程去程</v>
      </c>
      <c r="W2044" s="1" t="str">
        <f>"0020"</f>
        <v>0020</v>
      </c>
      <c r="X2044" s="1" t="s">
        <v>29</v>
      </c>
    </row>
    <row r="2045" spans="1:24" x14ac:dyDescent="0.3">
      <c r="A2045" s="1" t="str">
        <f t="shared" si="384"/>
        <v>59829</v>
      </c>
      <c r="B2045" s="1" t="s">
        <v>47</v>
      </c>
      <c r="C2045" s="1" t="s">
        <v>48</v>
      </c>
      <c r="D2045" s="1" t="str">
        <f t="shared" si="383"/>
        <v>9805</v>
      </c>
      <c r="E2045" s="1" t="s">
        <v>57</v>
      </c>
      <c r="F2045" s="1" t="str">
        <f>"1831709515"</f>
        <v>1831709515</v>
      </c>
      <c r="G2045" s="1" t="s">
        <v>33</v>
      </c>
      <c r="H2045" s="1" t="str">
        <f t="shared" si="374"/>
        <v>20220909</v>
      </c>
      <c r="I2045" s="1" t="str">
        <f>"104807"</f>
        <v>104807</v>
      </c>
      <c r="J2045" s="1" t="s">
        <v>28</v>
      </c>
      <c r="K2045" s="1" t="s">
        <v>28</v>
      </c>
      <c r="L2045" s="1" t="str">
        <f t="shared" si="385"/>
        <v>20220909</v>
      </c>
      <c r="M2045" s="1" t="str">
        <f>"105747"</f>
        <v>105747</v>
      </c>
      <c r="N2045" s="1" t="s">
        <v>46</v>
      </c>
      <c r="O2045" s="1" t="s">
        <v>28</v>
      </c>
      <c r="P2045" s="1" t="s">
        <v>55</v>
      </c>
      <c r="Q2045" s="1">
        <v>25</v>
      </c>
      <c r="R2045" s="1">
        <v>25</v>
      </c>
      <c r="S2045" s="1">
        <v>0</v>
      </c>
      <c r="T2045" s="1">
        <v>0</v>
      </c>
      <c r="U2045" s="1">
        <v>0</v>
      </c>
      <c r="V2045" s="1" t="str">
        <f t="shared" si="386"/>
        <v>里程去程</v>
      </c>
      <c r="W2045" s="1" t="str">
        <f>"0820"</f>
        <v>0820</v>
      </c>
      <c r="X2045" s="1" t="s">
        <v>35</v>
      </c>
    </row>
    <row r="2046" spans="1:24" x14ac:dyDescent="0.3">
      <c r="A2046" s="1" t="str">
        <f t="shared" si="384"/>
        <v>59829</v>
      </c>
      <c r="B2046" s="1" t="s">
        <v>47</v>
      </c>
      <c r="C2046" s="1" t="s">
        <v>48</v>
      </c>
      <c r="D2046" s="1" t="str">
        <f t="shared" si="383"/>
        <v>9805</v>
      </c>
      <c r="E2046" s="1" t="s">
        <v>57</v>
      </c>
      <c r="F2046" s="1" t="str">
        <f>"32780D0344880400C834002000000015"</f>
        <v>32780D0344880400C834002000000015</v>
      </c>
      <c r="G2046" s="1" t="s">
        <v>26</v>
      </c>
      <c r="H2046" s="1" t="str">
        <f t="shared" si="374"/>
        <v>20220909</v>
      </c>
      <c r="I2046" s="1" t="str">
        <f>"104941"</f>
        <v>104941</v>
      </c>
      <c r="J2046" s="1" t="s">
        <v>28</v>
      </c>
      <c r="K2046" s="1" t="s">
        <v>28</v>
      </c>
      <c r="L2046" s="1" t="str">
        <f t="shared" si="385"/>
        <v>20220909</v>
      </c>
      <c r="M2046" s="1" t="str">
        <f>"110115"</f>
        <v>110115</v>
      </c>
      <c r="N2046" s="1" t="s">
        <v>62</v>
      </c>
      <c r="O2046" s="1" t="s">
        <v>28</v>
      </c>
      <c r="P2046" s="1" t="s">
        <v>68</v>
      </c>
      <c r="Q2046" s="1">
        <v>13</v>
      </c>
      <c r="R2046" s="1">
        <v>0</v>
      </c>
      <c r="S2046" s="1">
        <v>0</v>
      </c>
      <c r="T2046" s="1">
        <v>13</v>
      </c>
      <c r="U2046" s="1">
        <v>0</v>
      </c>
      <c r="V2046" s="1" t="str">
        <f t="shared" si="386"/>
        <v>里程去程</v>
      </c>
      <c r="W2046" s="1" t="str">
        <f>"0020"</f>
        <v>0020</v>
      </c>
      <c r="X2046" s="1" t="s">
        <v>29</v>
      </c>
    </row>
    <row r="2047" spans="1:24" x14ac:dyDescent="0.3">
      <c r="A2047" s="1" t="str">
        <f t="shared" si="384"/>
        <v>59829</v>
      </c>
      <c r="B2047" s="1" t="s">
        <v>47</v>
      </c>
      <c r="C2047" s="1" t="s">
        <v>48</v>
      </c>
      <c r="D2047" s="1" t="str">
        <f t="shared" ref="D2047:D2077" si="387">"9801"</f>
        <v>9801</v>
      </c>
      <c r="E2047" s="1" t="s">
        <v>25</v>
      </c>
      <c r="F2047" s="1" t="str">
        <f>"42AFE60209880400C834002000000015"</f>
        <v>42AFE60209880400C834002000000015</v>
      </c>
      <c r="G2047" s="1" t="s">
        <v>74</v>
      </c>
      <c r="H2047" s="1" t="str">
        <f t="shared" si="374"/>
        <v>20220909</v>
      </c>
      <c r="I2047" s="1" t="str">
        <f>"110627"</f>
        <v>110627</v>
      </c>
      <c r="J2047" s="1" t="s">
        <v>52</v>
      </c>
      <c r="K2047" s="1" t="s">
        <v>52</v>
      </c>
      <c r="L2047" s="1" t="str">
        <f t="shared" si="385"/>
        <v>20220909</v>
      </c>
      <c r="M2047" s="1" t="str">
        <f>"112318"</f>
        <v>112318</v>
      </c>
      <c r="N2047" s="1" t="s">
        <v>80</v>
      </c>
      <c r="O2047" s="1" t="s">
        <v>52</v>
      </c>
      <c r="P2047" s="1" t="s">
        <v>68</v>
      </c>
      <c r="Q2047" s="1">
        <v>13</v>
      </c>
      <c r="R2047" s="1">
        <v>0</v>
      </c>
      <c r="S2047" s="1">
        <v>0</v>
      </c>
      <c r="T2047" s="1">
        <v>13</v>
      </c>
      <c r="U2047" s="1">
        <v>0</v>
      </c>
      <c r="V2047" s="1" t="str">
        <f t="shared" si="386"/>
        <v>里程去程</v>
      </c>
      <c r="W2047" s="1" t="str">
        <f>"0020"</f>
        <v>0020</v>
      </c>
      <c r="X2047" s="1" t="s">
        <v>29</v>
      </c>
    </row>
    <row r="2048" spans="1:24" x14ac:dyDescent="0.3">
      <c r="A2048" s="1" t="str">
        <f t="shared" si="384"/>
        <v>59829</v>
      </c>
      <c r="B2048" s="1" t="s">
        <v>47</v>
      </c>
      <c r="C2048" s="1" t="s">
        <v>48</v>
      </c>
      <c r="D2048" s="1" t="str">
        <f t="shared" si="387"/>
        <v>9801</v>
      </c>
      <c r="E2048" s="1" t="s">
        <v>25</v>
      </c>
      <c r="F2048" s="1" t="str">
        <f>"D2D38A1992880400C824002000000020"</f>
        <v>D2D38A1992880400C824002000000020</v>
      </c>
      <c r="G2048" s="1" t="s">
        <v>59</v>
      </c>
      <c r="H2048" s="1" t="str">
        <f t="shared" si="374"/>
        <v>20220909</v>
      </c>
      <c r="I2048" s="1" t="str">
        <f>"111320"</f>
        <v>111320</v>
      </c>
      <c r="J2048" s="1" t="s">
        <v>60</v>
      </c>
      <c r="K2048" s="1" t="s">
        <v>52</v>
      </c>
      <c r="L2048" s="1" t="str">
        <f t="shared" si="385"/>
        <v>20220909</v>
      </c>
      <c r="M2048" s="1" t="str">
        <f>"113955"</f>
        <v>113955</v>
      </c>
      <c r="N2048" s="1" t="s">
        <v>70</v>
      </c>
      <c r="O2048" s="1" t="s">
        <v>28</v>
      </c>
      <c r="P2048" s="1" t="s">
        <v>55</v>
      </c>
      <c r="Q2048" s="1">
        <v>25</v>
      </c>
      <c r="R2048" s="1">
        <v>25</v>
      </c>
      <c r="S2048" s="1">
        <v>0</v>
      </c>
      <c r="T2048" s="1">
        <v>0</v>
      </c>
      <c r="U2048" s="1">
        <v>0</v>
      </c>
      <c r="V2048" s="1" t="str">
        <f t="shared" si="386"/>
        <v>里程去程</v>
      </c>
      <c r="W2048" s="1" t="str">
        <f>"0020"</f>
        <v>0020</v>
      </c>
      <c r="X2048" s="1" t="s">
        <v>29</v>
      </c>
    </row>
    <row r="2049" spans="1:24" x14ac:dyDescent="0.3">
      <c r="A2049" s="1" t="str">
        <f t="shared" si="384"/>
        <v>59829</v>
      </c>
      <c r="B2049" s="1" t="s">
        <v>47</v>
      </c>
      <c r="C2049" s="1" t="s">
        <v>48</v>
      </c>
      <c r="D2049" s="1" t="str">
        <f t="shared" si="387"/>
        <v>9801</v>
      </c>
      <c r="E2049" s="1" t="s">
        <v>25</v>
      </c>
      <c r="F2049" s="1" t="str">
        <f>"F2F7D002D7880400C834002000000015"</f>
        <v>F2F7D002D7880400C834002000000015</v>
      </c>
      <c r="G2049" s="1" t="s">
        <v>74</v>
      </c>
      <c r="H2049" s="1" t="str">
        <f t="shared" si="374"/>
        <v>20220909</v>
      </c>
      <c r="I2049" s="1" t="str">
        <f>"112343"</f>
        <v>112343</v>
      </c>
      <c r="J2049" s="1" t="s">
        <v>80</v>
      </c>
      <c r="K2049" s="1" t="s">
        <v>52</v>
      </c>
      <c r="L2049" s="1" t="str">
        <f t="shared" si="385"/>
        <v>20220909</v>
      </c>
      <c r="M2049" s="1" t="str">
        <f>"113928"</f>
        <v>113928</v>
      </c>
      <c r="N2049" s="1" t="s">
        <v>70</v>
      </c>
      <c r="O2049" s="1" t="s">
        <v>28</v>
      </c>
      <c r="P2049" s="1" t="s">
        <v>68</v>
      </c>
      <c r="Q2049" s="1">
        <v>13</v>
      </c>
      <c r="R2049" s="1">
        <v>0</v>
      </c>
      <c r="S2049" s="1">
        <v>0</v>
      </c>
      <c r="T2049" s="1">
        <v>13</v>
      </c>
      <c r="U2049" s="1">
        <v>0</v>
      </c>
      <c r="V2049" s="1" t="str">
        <f t="shared" si="386"/>
        <v>里程去程</v>
      </c>
      <c r="W2049" s="1" t="str">
        <f>"0020"</f>
        <v>0020</v>
      </c>
      <c r="X2049" s="1" t="s">
        <v>29</v>
      </c>
    </row>
    <row r="2050" spans="1:24" x14ac:dyDescent="0.3">
      <c r="A2050" s="1" t="str">
        <f t="shared" si="384"/>
        <v>59829</v>
      </c>
      <c r="B2050" s="1" t="s">
        <v>47</v>
      </c>
      <c r="C2050" s="1" t="s">
        <v>48</v>
      </c>
      <c r="D2050" s="1" t="str">
        <f t="shared" si="387"/>
        <v>9801</v>
      </c>
      <c r="E2050" s="1" t="s">
        <v>25</v>
      </c>
      <c r="F2050" s="1" t="str">
        <f>"797182581"</f>
        <v>797182581</v>
      </c>
      <c r="G2050" s="1" t="s">
        <v>33</v>
      </c>
      <c r="H2050" s="1" t="str">
        <f t="shared" ref="H2050:H2083" si="388">"20220909"</f>
        <v>20220909</v>
      </c>
      <c r="I2050" s="1" t="str">
        <f>"114005"</f>
        <v>114005</v>
      </c>
      <c r="J2050" s="1" t="s">
        <v>27</v>
      </c>
      <c r="K2050" s="1" t="s">
        <v>28</v>
      </c>
      <c r="L2050" s="1" t="str">
        <f t="shared" si="385"/>
        <v>20220909</v>
      </c>
      <c r="M2050" s="1" t="str">
        <f>"115225"</f>
        <v>115225</v>
      </c>
      <c r="N2050" s="1" t="s">
        <v>61</v>
      </c>
      <c r="O2050" s="1" t="s">
        <v>45</v>
      </c>
      <c r="P2050" s="1" t="s">
        <v>55</v>
      </c>
      <c r="Q2050" s="1">
        <v>25</v>
      </c>
      <c r="R2050" s="1">
        <v>25</v>
      </c>
      <c r="S2050" s="1">
        <v>0</v>
      </c>
      <c r="T2050" s="1">
        <v>0</v>
      </c>
      <c r="U2050" s="1">
        <v>0</v>
      </c>
      <c r="V2050" s="1" t="str">
        <f t="shared" si="386"/>
        <v>里程去程</v>
      </c>
      <c r="W2050" s="1" t="str">
        <f>"0120"</f>
        <v>0120</v>
      </c>
      <c r="X2050" s="1" t="s">
        <v>35</v>
      </c>
    </row>
    <row r="2051" spans="1:24" x14ac:dyDescent="0.3">
      <c r="A2051" s="1" t="str">
        <f t="shared" si="384"/>
        <v>59829</v>
      </c>
      <c r="B2051" s="1" t="s">
        <v>47</v>
      </c>
      <c r="C2051" s="1" t="s">
        <v>48</v>
      </c>
      <c r="D2051" s="1" t="str">
        <f t="shared" si="387"/>
        <v>9801</v>
      </c>
      <c r="E2051" s="1" t="s">
        <v>25</v>
      </c>
      <c r="F2051" s="1" t="str">
        <f>"245058805"</f>
        <v>245058805</v>
      </c>
      <c r="G2051" s="1" t="s">
        <v>33</v>
      </c>
      <c r="H2051" s="1" t="str">
        <f t="shared" si="388"/>
        <v>20220909</v>
      </c>
      <c r="I2051" s="1" t="str">
        <f>"114029"</f>
        <v>114029</v>
      </c>
      <c r="J2051" s="1" t="s">
        <v>27</v>
      </c>
      <c r="K2051" s="1" t="s">
        <v>28</v>
      </c>
      <c r="L2051" s="1" t="str">
        <f t="shared" si="385"/>
        <v>20220909</v>
      </c>
      <c r="M2051" s="1" t="str">
        <f>"115008"</f>
        <v>115008</v>
      </c>
      <c r="N2051" s="1" t="s">
        <v>45</v>
      </c>
      <c r="O2051" s="1" t="s">
        <v>45</v>
      </c>
      <c r="P2051" s="1" t="s">
        <v>55</v>
      </c>
      <c r="Q2051" s="1">
        <v>25</v>
      </c>
      <c r="R2051" s="1">
        <v>25</v>
      </c>
      <c r="S2051" s="1">
        <v>0</v>
      </c>
      <c r="T2051" s="1">
        <v>0</v>
      </c>
      <c r="U2051" s="1">
        <v>0</v>
      </c>
      <c r="V2051" s="1" t="str">
        <f t="shared" si="386"/>
        <v>里程去程</v>
      </c>
      <c r="W2051" s="1" t="str">
        <f>"0820"</f>
        <v>0820</v>
      </c>
      <c r="X2051" s="1" t="s">
        <v>35</v>
      </c>
    </row>
    <row r="2052" spans="1:24" x14ac:dyDescent="0.3">
      <c r="A2052" s="1" t="str">
        <f t="shared" si="384"/>
        <v>59829</v>
      </c>
      <c r="B2052" s="1" t="s">
        <v>47</v>
      </c>
      <c r="C2052" s="1" t="s">
        <v>48</v>
      </c>
      <c r="D2052" s="1" t="str">
        <f t="shared" si="387"/>
        <v>9801</v>
      </c>
      <c r="E2052" s="1" t="s">
        <v>25</v>
      </c>
      <c r="F2052" s="1" t="str">
        <f>"538143201"</f>
        <v>538143201</v>
      </c>
      <c r="G2052" s="1" t="s">
        <v>33</v>
      </c>
      <c r="H2052" s="1" t="str">
        <f t="shared" si="388"/>
        <v>20220909</v>
      </c>
      <c r="I2052" s="1" t="str">
        <f>"114031"</f>
        <v>114031</v>
      </c>
      <c r="J2052" s="1" t="s">
        <v>27</v>
      </c>
      <c r="K2052" s="1" t="s">
        <v>28</v>
      </c>
      <c r="L2052" s="1" t="str">
        <f t="shared" si="385"/>
        <v>20220909</v>
      </c>
      <c r="M2052" s="1" t="str">
        <f>"115815"</f>
        <v>115815</v>
      </c>
      <c r="N2052" s="1" t="s">
        <v>91</v>
      </c>
      <c r="O2052" s="1" t="s">
        <v>45</v>
      </c>
      <c r="P2052" s="1" t="s">
        <v>55</v>
      </c>
      <c r="Q2052" s="1">
        <v>25</v>
      </c>
      <c r="R2052" s="1">
        <v>0</v>
      </c>
      <c r="S2052" s="1">
        <v>25</v>
      </c>
      <c r="T2052" s="1">
        <v>0</v>
      </c>
      <c r="U2052" s="1">
        <v>0</v>
      </c>
      <c r="V2052" s="1" t="str">
        <f t="shared" si="386"/>
        <v>里程去程</v>
      </c>
      <c r="W2052" s="1" t="str">
        <f>"2120"</f>
        <v>2120</v>
      </c>
      <c r="X2052" s="1" t="s">
        <v>35</v>
      </c>
    </row>
    <row r="2053" spans="1:24" x14ac:dyDescent="0.3">
      <c r="A2053" s="1" t="str">
        <f t="shared" si="384"/>
        <v>59829</v>
      </c>
      <c r="B2053" s="1" t="s">
        <v>47</v>
      </c>
      <c r="C2053" s="1" t="s">
        <v>48</v>
      </c>
      <c r="D2053" s="1" t="str">
        <f t="shared" si="387"/>
        <v>9801</v>
      </c>
      <c r="E2053" s="1" t="s">
        <v>25</v>
      </c>
      <c r="F2053" s="1" t="str">
        <f>"945387989"</f>
        <v>945387989</v>
      </c>
      <c r="G2053" s="1" t="s">
        <v>33</v>
      </c>
      <c r="H2053" s="1" t="str">
        <f t="shared" si="388"/>
        <v>20220909</v>
      </c>
      <c r="I2053" s="1" t="str">
        <f>"114034"</f>
        <v>114034</v>
      </c>
      <c r="J2053" s="1" t="s">
        <v>27</v>
      </c>
      <c r="K2053" s="1" t="s">
        <v>28</v>
      </c>
      <c r="L2053" s="1" t="str">
        <f t="shared" si="385"/>
        <v>20220909</v>
      </c>
      <c r="M2053" s="1" t="str">
        <f>"115818"</f>
        <v>115818</v>
      </c>
      <c r="N2053" s="1" t="s">
        <v>91</v>
      </c>
      <c r="O2053" s="1" t="s">
        <v>45</v>
      </c>
      <c r="P2053" s="1" t="s">
        <v>55</v>
      </c>
      <c r="Q2053" s="1">
        <v>25</v>
      </c>
      <c r="R2053" s="1">
        <v>0</v>
      </c>
      <c r="S2053" s="1">
        <v>25</v>
      </c>
      <c r="T2053" s="1">
        <v>0</v>
      </c>
      <c r="U2053" s="1">
        <v>0</v>
      </c>
      <c r="V2053" s="1" t="str">
        <f t="shared" si="386"/>
        <v>里程去程</v>
      </c>
      <c r="W2053" s="1" t="str">
        <f>"2120"</f>
        <v>2120</v>
      </c>
      <c r="X2053" s="1" t="s">
        <v>35</v>
      </c>
    </row>
    <row r="2054" spans="1:24" x14ac:dyDescent="0.3">
      <c r="A2054" s="1" t="str">
        <f t="shared" si="384"/>
        <v>59829</v>
      </c>
      <c r="B2054" s="1" t="s">
        <v>47</v>
      </c>
      <c r="C2054" s="1" t="s">
        <v>48</v>
      </c>
      <c r="D2054" s="1" t="str">
        <f t="shared" si="387"/>
        <v>9801</v>
      </c>
      <c r="E2054" s="1" t="s">
        <v>25</v>
      </c>
      <c r="F2054" s="1" t="str">
        <f>"2581869224"</f>
        <v>2581869224</v>
      </c>
      <c r="G2054" s="1" t="s">
        <v>33</v>
      </c>
      <c r="H2054" s="1" t="str">
        <f t="shared" si="388"/>
        <v>20220909</v>
      </c>
      <c r="I2054" s="1" t="str">
        <f>"114037"</f>
        <v>114037</v>
      </c>
      <c r="J2054" s="1" t="s">
        <v>27</v>
      </c>
      <c r="K2054" s="1" t="s">
        <v>28</v>
      </c>
      <c r="L2054" s="1" t="str">
        <f t="shared" si="385"/>
        <v>20220909</v>
      </c>
      <c r="M2054" s="1" t="str">
        <f>"115813"</f>
        <v>115813</v>
      </c>
      <c r="N2054" s="1" t="s">
        <v>91</v>
      </c>
      <c r="O2054" s="1" t="s">
        <v>45</v>
      </c>
      <c r="P2054" s="1" t="s">
        <v>55</v>
      </c>
      <c r="Q2054" s="1">
        <v>25</v>
      </c>
      <c r="R2054" s="1">
        <v>0</v>
      </c>
      <c r="S2054" s="1">
        <v>25</v>
      </c>
      <c r="T2054" s="1">
        <v>0</v>
      </c>
      <c r="U2054" s="1">
        <v>0</v>
      </c>
      <c r="V2054" s="1" t="str">
        <f t="shared" si="386"/>
        <v>里程去程</v>
      </c>
      <c r="W2054" s="1" t="str">
        <f>"2120"</f>
        <v>2120</v>
      </c>
      <c r="X2054" s="1" t="s">
        <v>35</v>
      </c>
    </row>
    <row r="2055" spans="1:24" x14ac:dyDescent="0.3">
      <c r="A2055" s="1" t="str">
        <f t="shared" si="384"/>
        <v>59829</v>
      </c>
      <c r="B2055" s="1" t="s">
        <v>47</v>
      </c>
      <c r="C2055" s="1" t="s">
        <v>48</v>
      </c>
      <c r="D2055" s="1" t="str">
        <f t="shared" si="387"/>
        <v>9801</v>
      </c>
      <c r="E2055" s="1" t="s">
        <v>25</v>
      </c>
      <c r="F2055" s="1" t="str">
        <f>"924703586"</f>
        <v>924703586</v>
      </c>
      <c r="G2055" s="1" t="s">
        <v>33</v>
      </c>
      <c r="H2055" s="1" t="str">
        <f t="shared" si="388"/>
        <v>20220909</v>
      </c>
      <c r="I2055" s="1" t="str">
        <f>"114041"</f>
        <v>114041</v>
      </c>
      <c r="J2055" s="1" t="s">
        <v>27</v>
      </c>
      <c r="K2055" s="1" t="s">
        <v>28</v>
      </c>
      <c r="L2055" s="1" t="str">
        <f t="shared" si="385"/>
        <v>20220909</v>
      </c>
      <c r="M2055" s="1" t="str">
        <f>"120320"</f>
        <v>120320</v>
      </c>
      <c r="N2055" s="1" t="s">
        <v>44</v>
      </c>
      <c r="O2055" s="1" t="s">
        <v>45</v>
      </c>
      <c r="P2055" s="1" t="s">
        <v>55</v>
      </c>
      <c r="Q2055" s="1">
        <v>25</v>
      </c>
      <c r="R2055" s="1">
        <v>25</v>
      </c>
      <c r="S2055" s="1">
        <v>0</v>
      </c>
      <c r="T2055" s="1">
        <v>0</v>
      </c>
      <c r="U2055" s="1">
        <v>0</v>
      </c>
      <c r="V2055" s="1" t="str">
        <f t="shared" si="386"/>
        <v>里程去程</v>
      </c>
      <c r="W2055" s="1" t="str">
        <f>"0120"</f>
        <v>0120</v>
      </c>
      <c r="X2055" s="1" t="s">
        <v>35</v>
      </c>
    </row>
    <row r="2056" spans="1:24" x14ac:dyDescent="0.3">
      <c r="A2056" s="1" t="str">
        <f t="shared" si="384"/>
        <v>59829</v>
      </c>
      <c r="B2056" s="1" t="s">
        <v>47</v>
      </c>
      <c r="C2056" s="1" t="s">
        <v>48</v>
      </c>
      <c r="D2056" s="1" t="str">
        <f t="shared" si="387"/>
        <v>9801</v>
      </c>
      <c r="E2056" s="1" t="s">
        <v>25</v>
      </c>
      <c r="F2056" s="1" t="str">
        <f>"1102204821"</f>
        <v>1102204821</v>
      </c>
      <c r="G2056" s="1" t="s">
        <v>33</v>
      </c>
      <c r="H2056" s="1" t="str">
        <f t="shared" si="388"/>
        <v>20220909</v>
      </c>
      <c r="I2056" s="1" t="str">
        <f>"114045"</f>
        <v>114045</v>
      </c>
      <c r="J2056" s="1" t="s">
        <v>27</v>
      </c>
      <c r="K2056" s="1" t="s">
        <v>28</v>
      </c>
      <c r="L2056" s="1" t="str">
        <f t="shared" si="385"/>
        <v>20220909</v>
      </c>
      <c r="M2056" s="1" t="str">
        <f>"115253"</f>
        <v>115253</v>
      </c>
      <c r="N2056" s="1" t="s">
        <v>56</v>
      </c>
      <c r="O2056" s="1" t="s">
        <v>45</v>
      </c>
      <c r="P2056" s="1" t="s">
        <v>55</v>
      </c>
      <c r="Q2056" s="1">
        <v>25</v>
      </c>
      <c r="R2056" s="1">
        <v>25</v>
      </c>
      <c r="S2056" s="1">
        <v>0</v>
      </c>
      <c r="T2056" s="1">
        <v>0</v>
      </c>
      <c r="U2056" s="1">
        <v>0</v>
      </c>
      <c r="V2056" s="1" t="str">
        <f t="shared" si="386"/>
        <v>里程去程</v>
      </c>
      <c r="W2056" s="1" t="str">
        <f>"0620"</f>
        <v>0620</v>
      </c>
      <c r="X2056" s="1" t="s">
        <v>35</v>
      </c>
    </row>
    <row r="2057" spans="1:24" x14ac:dyDescent="0.3">
      <c r="A2057" s="1" t="str">
        <f t="shared" si="384"/>
        <v>59829</v>
      </c>
      <c r="B2057" s="1" t="s">
        <v>47</v>
      </c>
      <c r="C2057" s="1" t="s">
        <v>48</v>
      </c>
      <c r="D2057" s="1" t="str">
        <f t="shared" si="387"/>
        <v>9801</v>
      </c>
      <c r="E2057" s="1" t="s">
        <v>25</v>
      </c>
      <c r="F2057" s="1" t="str">
        <f>"591493455"</f>
        <v>591493455</v>
      </c>
      <c r="G2057" s="1" t="s">
        <v>33</v>
      </c>
      <c r="H2057" s="1" t="str">
        <f t="shared" si="388"/>
        <v>20220909</v>
      </c>
      <c r="I2057" s="1" t="str">
        <f>"123839"</f>
        <v>123839</v>
      </c>
      <c r="J2057" s="1" t="s">
        <v>27</v>
      </c>
      <c r="K2057" s="1" t="s">
        <v>28</v>
      </c>
      <c r="L2057" s="1" t="str">
        <f t="shared" si="385"/>
        <v>20220909</v>
      </c>
      <c r="M2057" s="1" t="str">
        <f>"125240"</f>
        <v>125240</v>
      </c>
      <c r="N2057" s="1" t="s">
        <v>75</v>
      </c>
      <c r="O2057" s="1" t="s">
        <v>45</v>
      </c>
      <c r="P2057" s="1" t="s">
        <v>55</v>
      </c>
      <c r="Q2057" s="1">
        <v>25</v>
      </c>
      <c r="R2057" s="1">
        <v>25</v>
      </c>
      <c r="S2057" s="1">
        <v>0</v>
      </c>
      <c r="T2057" s="1">
        <v>0</v>
      </c>
      <c r="U2057" s="1">
        <v>0</v>
      </c>
      <c r="V2057" s="1" t="str">
        <f t="shared" si="386"/>
        <v>里程去程</v>
      </c>
      <c r="W2057" s="1" t="str">
        <f>"0820"</f>
        <v>0820</v>
      </c>
      <c r="X2057" s="1" t="s">
        <v>35</v>
      </c>
    </row>
    <row r="2058" spans="1:24" x14ac:dyDescent="0.3">
      <c r="A2058" s="1" t="str">
        <f t="shared" si="384"/>
        <v>59829</v>
      </c>
      <c r="B2058" s="1" t="s">
        <v>47</v>
      </c>
      <c r="C2058" s="1" t="s">
        <v>48</v>
      </c>
      <c r="D2058" s="1" t="str">
        <f t="shared" si="387"/>
        <v>9801</v>
      </c>
      <c r="E2058" s="1" t="s">
        <v>25</v>
      </c>
      <c r="F2058" s="1" t="str">
        <f>"9017193007019518"</f>
        <v>9017193007019518</v>
      </c>
      <c r="G2058" s="1" t="s">
        <v>33</v>
      </c>
      <c r="H2058" s="1" t="str">
        <f t="shared" si="388"/>
        <v>20220909</v>
      </c>
      <c r="I2058" s="1" t="str">
        <f>"123847"</f>
        <v>123847</v>
      </c>
      <c r="J2058" s="1" t="s">
        <v>27</v>
      </c>
      <c r="K2058" s="1" t="s">
        <v>28</v>
      </c>
      <c r="L2058" s="1" t="str">
        <f t="shared" si="385"/>
        <v>20220909</v>
      </c>
      <c r="M2058" s="1" t="str">
        <f>"130316"</f>
        <v>130316</v>
      </c>
      <c r="N2058" s="1" t="s">
        <v>44</v>
      </c>
      <c r="O2058" s="1" t="s">
        <v>45</v>
      </c>
      <c r="P2058" s="1" t="s">
        <v>55</v>
      </c>
      <c r="Q2058" s="1">
        <v>25</v>
      </c>
      <c r="R2058" s="1">
        <v>0</v>
      </c>
      <c r="S2058" s="1">
        <v>25</v>
      </c>
      <c r="T2058" s="1">
        <v>0</v>
      </c>
      <c r="U2058" s="1">
        <v>0</v>
      </c>
      <c r="V2058" s="1" t="str">
        <f t="shared" si="386"/>
        <v>里程去程</v>
      </c>
      <c r="W2058" s="1" t="str">
        <f>"083B"</f>
        <v>083B</v>
      </c>
      <c r="X2058" s="1" t="s">
        <v>109</v>
      </c>
    </row>
    <row r="2059" spans="1:24" x14ac:dyDescent="0.3">
      <c r="A2059" s="1" t="str">
        <f t="shared" si="384"/>
        <v>59829</v>
      </c>
      <c r="B2059" s="1" t="s">
        <v>47</v>
      </c>
      <c r="C2059" s="1" t="s">
        <v>48</v>
      </c>
      <c r="D2059" s="1" t="str">
        <f t="shared" si="387"/>
        <v>9801</v>
      </c>
      <c r="E2059" s="1" t="s">
        <v>25</v>
      </c>
      <c r="F2059" s="1" t="str">
        <f>"7311140120012326"</f>
        <v>7311140120012326</v>
      </c>
      <c r="G2059" s="1" t="s">
        <v>33</v>
      </c>
      <c r="H2059" s="1" t="str">
        <f t="shared" si="388"/>
        <v>20220909</v>
      </c>
      <c r="I2059" s="1" t="str">
        <f>"123852"</f>
        <v>123852</v>
      </c>
      <c r="J2059" s="1" t="s">
        <v>27</v>
      </c>
      <c r="K2059" s="1" t="s">
        <v>28</v>
      </c>
      <c r="L2059" s="1" t="str">
        <f t="shared" si="385"/>
        <v>20220909</v>
      </c>
      <c r="M2059" s="1" t="str">
        <f>"130311"</f>
        <v>130311</v>
      </c>
      <c r="N2059" s="1" t="s">
        <v>44</v>
      </c>
      <c r="O2059" s="1" t="s">
        <v>45</v>
      </c>
      <c r="P2059" s="1" t="s">
        <v>55</v>
      </c>
      <c r="Q2059" s="1">
        <v>25</v>
      </c>
      <c r="R2059" s="1">
        <v>0</v>
      </c>
      <c r="S2059" s="1">
        <v>25</v>
      </c>
      <c r="T2059" s="1">
        <v>0</v>
      </c>
      <c r="U2059" s="1">
        <v>0</v>
      </c>
      <c r="V2059" s="1" t="str">
        <f t="shared" si="386"/>
        <v>里程去程</v>
      </c>
      <c r="W2059" s="1" t="str">
        <f>"083B"</f>
        <v>083B</v>
      </c>
      <c r="X2059" s="1" t="s">
        <v>109</v>
      </c>
    </row>
    <row r="2060" spans="1:24" x14ac:dyDescent="0.3">
      <c r="A2060" s="1" t="str">
        <f t="shared" si="384"/>
        <v>59829</v>
      </c>
      <c r="B2060" s="1" t="s">
        <v>47</v>
      </c>
      <c r="C2060" s="1" t="s">
        <v>48</v>
      </c>
      <c r="D2060" s="1" t="str">
        <f t="shared" si="387"/>
        <v>9801</v>
      </c>
      <c r="E2060" s="1" t="s">
        <v>25</v>
      </c>
      <c r="F2060" s="1" t="str">
        <f>"1107219413"</f>
        <v>1107219413</v>
      </c>
      <c r="G2060" s="1" t="s">
        <v>26</v>
      </c>
      <c r="H2060" s="1" t="str">
        <f t="shared" si="388"/>
        <v>20220909</v>
      </c>
      <c r="I2060" s="1" t="str">
        <f>"123902"</f>
        <v>123902</v>
      </c>
      <c r="J2060" s="1" t="s">
        <v>27</v>
      </c>
      <c r="K2060" s="1" t="s">
        <v>28</v>
      </c>
      <c r="L2060" s="1" t="str">
        <f t="shared" si="385"/>
        <v>20220909</v>
      </c>
      <c r="M2060" s="1" t="str">
        <f>"125256"</f>
        <v>125256</v>
      </c>
      <c r="N2060" s="1" t="s">
        <v>75</v>
      </c>
      <c r="O2060" s="1" t="s">
        <v>45</v>
      </c>
      <c r="P2060" s="1" t="s">
        <v>55</v>
      </c>
      <c r="Q2060" s="1">
        <v>13</v>
      </c>
      <c r="R2060" s="1">
        <v>13</v>
      </c>
      <c r="S2060" s="1">
        <v>0</v>
      </c>
      <c r="T2060" s="1">
        <v>0</v>
      </c>
      <c r="U2060" s="1">
        <v>0</v>
      </c>
      <c r="V2060" s="1" t="str">
        <f t="shared" si="386"/>
        <v>里程去程</v>
      </c>
      <c r="W2060" s="1" t="str">
        <f>"0320"</f>
        <v>0320</v>
      </c>
      <c r="X2060" s="1" t="s">
        <v>35</v>
      </c>
    </row>
    <row r="2061" spans="1:24" x14ac:dyDescent="0.3">
      <c r="A2061" s="1" t="str">
        <f t="shared" si="384"/>
        <v>59829</v>
      </c>
      <c r="B2061" s="1" t="s">
        <v>47</v>
      </c>
      <c r="C2061" s="1" t="s">
        <v>48</v>
      </c>
      <c r="D2061" s="1" t="str">
        <f t="shared" si="387"/>
        <v>9801</v>
      </c>
      <c r="E2061" s="1" t="s">
        <v>25</v>
      </c>
      <c r="F2061" s="1" t="str">
        <f>"1076855893"</f>
        <v>1076855893</v>
      </c>
      <c r="G2061" s="1" t="s">
        <v>33</v>
      </c>
      <c r="H2061" s="1" t="str">
        <f t="shared" si="388"/>
        <v>20220909</v>
      </c>
      <c r="I2061" s="1" t="str">
        <f>"133630"</f>
        <v>133630</v>
      </c>
      <c r="J2061" s="1" t="s">
        <v>28</v>
      </c>
      <c r="K2061" s="1" t="s">
        <v>28</v>
      </c>
      <c r="L2061" s="1" t="str">
        <f t="shared" si="385"/>
        <v>20220909</v>
      </c>
      <c r="M2061" s="1" t="str">
        <f>"135146"</f>
        <v>135146</v>
      </c>
      <c r="N2061" s="1" t="s">
        <v>91</v>
      </c>
      <c r="O2061" s="1" t="s">
        <v>45</v>
      </c>
      <c r="P2061" s="1" t="s">
        <v>55</v>
      </c>
      <c r="Q2061" s="1">
        <v>25</v>
      </c>
      <c r="R2061" s="1">
        <v>0</v>
      </c>
      <c r="S2061" s="1">
        <v>25</v>
      </c>
      <c r="T2061" s="1">
        <v>0</v>
      </c>
      <c r="U2061" s="1">
        <v>0</v>
      </c>
      <c r="V2061" s="1" t="str">
        <f t="shared" si="386"/>
        <v>里程去程</v>
      </c>
      <c r="W2061" s="1" t="str">
        <f>"0820"</f>
        <v>0820</v>
      </c>
      <c r="X2061" s="1" t="s">
        <v>35</v>
      </c>
    </row>
    <row r="2062" spans="1:24" x14ac:dyDescent="0.3">
      <c r="A2062" s="1" t="str">
        <f t="shared" si="384"/>
        <v>59829</v>
      </c>
      <c r="B2062" s="1" t="s">
        <v>47</v>
      </c>
      <c r="C2062" s="1" t="s">
        <v>48</v>
      </c>
      <c r="D2062" s="1" t="str">
        <f t="shared" si="387"/>
        <v>9801</v>
      </c>
      <c r="E2062" s="1" t="s">
        <v>25</v>
      </c>
      <c r="F2062" s="1" t="str">
        <f>"1069836597"</f>
        <v>1069836597</v>
      </c>
      <c r="G2062" s="1" t="s">
        <v>33</v>
      </c>
      <c r="H2062" s="1" t="str">
        <f t="shared" si="388"/>
        <v>20220909</v>
      </c>
      <c r="I2062" s="1" t="str">
        <f>"133652"</f>
        <v>133652</v>
      </c>
      <c r="J2062" s="1" t="s">
        <v>28</v>
      </c>
      <c r="K2062" s="1" t="s">
        <v>28</v>
      </c>
      <c r="L2062" s="1" t="str">
        <f t="shared" si="385"/>
        <v>20220909</v>
      </c>
      <c r="M2062" s="1" t="str">
        <f>"135125"</f>
        <v>135125</v>
      </c>
      <c r="N2062" s="1" t="s">
        <v>91</v>
      </c>
      <c r="O2062" s="1" t="s">
        <v>45</v>
      </c>
      <c r="P2062" s="1" t="s">
        <v>55</v>
      </c>
      <c r="Q2062" s="1">
        <v>25</v>
      </c>
      <c r="R2062" s="1">
        <v>0</v>
      </c>
      <c r="S2062" s="1">
        <v>25</v>
      </c>
      <c r="T2062" s="1">
        <v>0</v>
      </c>
      <c r="U2062" s="1">
        <v>0</v>
      </c>
      <c r="V2062" s="1" t="str">
        <f t="shared" si="386"/>
        <v>里程去程</v>
      </c>
      <c r="W2062" s="1" t="str">
        <f>"0820"</f>
        <v>0820</v>
      </c>
      <c r="X2062" s="1" t="s">
        <v>35</v>
      </c>
    </row>
    <row r="2063" spans="1:24" x14ac:dyDescent="0.3">
      <c r="A2063" s="1" t="str">
        <f t="shared" si="384"/>
        <v>59829</v>
      </c>
      <c r="B2063" s="1" t="s">
        <v>47</v>
      </c>
      <c r="C2063" s="1" t="s">
        <v>48</v>
      </c>
      <c r="D2063" s="1" t="str">
        <f t="shared" si="387"/>
        <v>9801</v>
      </c>
      <c r="E2063" s="1" t="s">
        <v>25</v>
      </c>
      <c r="F2063" s="1" t="str">
        <f>"2662292687"</f>
        <v>2662292687</v>
      </c>
      <c r="G2063" s="1" t="s">
        <v>33</v>
      </c>
      <c r="H2063" s="1" t="str">
        <f t="shared" si="388"/>
        <v>20220909</v>
      </c>
      <c r="I2063" s="1" t="str">
        <f>"133701"</f>
        <v>133701</v>
      </c>
      <c r="J2063" s="1" t="s">
        <v>28</v>
      </c>
      <c r="K2063" s="1" t="s">
        <v>28</v>
      </c>
      <c r="L2063" s="1" t="str">
        <f t="shared" si="385"/>
        <v>20220909</v>
      </c>
      <c r="M2063" s="1" t="str">
        <f>"135712"</f>
        <v>135712</v>
      </c>
      <c r="N2063" s="1" t="s">
        <v>44</v>
      </c>
      <c r="O2063" s="1" t="s">
        <v>45</v>
      </c>
      <c r="P2063" s="1" t="s">
        <v>55</v>
      </c>
      <c r="Q2063" s="1">
        <v>25</v>
      </c>
      <c r="R2063" s="1">
        <v>25</v>
      </c>
      <c r="S2063" s="1">
        <v>0</v>
      </c>
      <c r="T2063" s="1">
        <v>0</v>
      </c>
      <c r="U2063" s="1">
        <v>0</v>
      </c>
      <c r="V2063" s="1" t="str">
        <f t="shared" si="386"/>
        <v>里程去程</v>
      </c>
      <c r="W2063" s="1" t="str">
        <f>"1c20"</f>
        <v>1c20</v>
      </c>
      <c r="X2063" s="1" t="s">
        <v>35</v>
      </c>
    </row>
    <row r="2064" spans="1:24" x14ac:dyDescent="0.3">
      <c r="A2064" s="1" t="str">
        <f t="shared" si="384"/>
        <v>59829</v>
      </c>
      <c r="B2064" s="1" t="s">
        <v>47</v>
      </c>
      <c r="C2064" s="1" t="s">
        <v>48</v>
      </c>
      <c r="D2064" s="1" t="str">
        <f t="shared" si="387"/>
        <v>9801</v>
      </c>
      <c r="E2064" s="1" t="s">
        <v>25</v>
      </c>
      <c r="F2064" s="1" t="str">
        <f>"96692865"</f>
        <v>96692865</v>
      </c>
      <c r="G2064" s="1" t="s">
        <v>33</v>
      </c>
      <c r="H2064" s="1" t="str">
        <f t="shared" si="388"/>
        <v>20220909</v>
      </c>
      <c r="I2064" s="1" t="str">
        <f>"133724"</f>
        <v>133724</v>
      </c>
      <c r="J2064" s="1" t="s">
        <v>28</v>
      </c>
      <c r="K2064" s="1" t="s">
        <v>28</v>
      </c>
      <c r="L2064" s="1" t="str">
        <f t="shared" si="385"/>
        <v>20220909</v>
      </c>
      <c r="M2064" s="1" t="str">
        <f>"134652"</f>
        <v>134652</v>
      </c>
      <c r="N2064" s="1" t="s">
        <v>61</v>
      </c>
      <c r="O2064" s="1" t="s">
        <v>45</v>
      </c>
      <c r="P2064" s="1" t="s">
        <v>55</v>
      </c>
      <c r="Q2064" s="1">
        <v>25</v>
      </c>
      <c r="R2064" s="1">
        <v>25</v>
      </c>
      <c r="S2064" s="1">
        <v>0</v>
      </c>
      <c r="T2064" s="1">
        <v>0</v>
      </c>
      <c r="U2064" s="1">
        <v>0</v>
      </c>
      <c r="V2064" s="1" t="str">
        <f t="shared" si="386"/>
        <v>里程去程</v>
      </c>
      <c r="W2064" s="1" t="str">
        <f>"0a20"</f>
        <v>0a20</v>
      </c>
      <c r="X2064" s="1" t="s">
        <v>35</v>
      </c>
    </row>
    <row r="2065" spans="1:24" x14ac:dyDescent="0.3">
      <c r="A2065" s="1" t="str">
        <f t="shared" si="384"/>
        <v>59829</v>
      </c>
      <c r="B2065" s="1" t="s">
        <v>47</v>
      </c>
      <c r="C2065" s="1" t="s">
        <v>48</v>
      </c>
      <c r="D2065" s="1" t="str">
        <f t="shared" si="387"/>
        <v>9801</v>
      </c>
      <c r="E2065" s="1" t="s">
        <v>25</v>
      </c>
      <c r="F2065" s="1" t="str">
        <f>"894153189"</f>
        <v>894153189</v>
      </c>
      <c r="G2065" s="1" t="s">
        <v>33</v>
      </c>
      <c r="H2065" s="1" t="str">
        <f t="shared" si="388"/>
        <v>20220909</v>
      </c>
      <c r="I2065" s="1" t="str">
        <f>"161435"</f>
        <v>161435</v>
      </c>
      <c r="J2065" s="1" t="s">
        <v>72</v>
      </c>
      <c r="K2065" s="1" t="s">
        <v>52</v>
      </c>
      <c r="L2065" s="1" t="str">
        <f t="shared" si="385"/>
        <v>20220909</v>
      </c>
      <c r="M2065" s="1" t="str">
        <f>"163652"</f>
        <v>163652</v>
      </c>
      <c r="N2065" s="1" t="s">
        <v>70</v>
      </c>
      <c r="O2065" s="1" t="s">
        <v>28</v>
      </c>
      <c r="P2065" s="1" t="s">
        <v>55</v>
      </c>
      <c r="Q2065" s="1">
        <v>25</v>
      </c>
      <c r="R2065" s="1">
        <v>25</v>
      </c>
      <c r="S2065" s="1">
        <v>0</v>
      </c>
      <c r="T2065" s="1">
        <v>0</v>
      </c>
      <c r="U2065" s="1">
        <v>0</v>
      </c>
      <c r="V2065" s="1" t="str">
        <f t="shared" si="386"/>
        <v>里程去程</v>
      </c>
      <c r="W2065" s="1" t="str">
        <f>"2020"</f>
        <v>2020</v>
      </c>
      <c r="X2065" s="1" t="s">
        <v>35</v>
      </c>
    </row>
    <row r="2066" spans="1:24" x14ac:dyDescent="0.3">
      <c r="A2066" s="1" t="str">
        <f t="shared" si="384"/>
        <v>59829</v>
      </c>
      <c r="B2066" s="1" t="s">
        <v>47</v>
      </c>
      <c r="C2066" s="1" t="s">
        <v>48</v>
      </c>
      <c r="D2066" s="1" t="str">
        <f t="shared" si="387"/>
        <v>9801</v>
      </c>
      <c r="E2066" s="1" t="s">
        <v>25</v>
      </c>
      <c r="F2066" s="1" t="str">
        <f>"755182949"</f>
        <v>755182949</v>
      </c>
      <c r="G2066" s="1" t="s">
        <v>33</v>
      </c>
      <c r="H2066" s="1" t="str">
        <f t="shared" si="388"/>
        <v>20220909</v>
      </c>
      <c r="I2066" s="1" t="str">
        <f>"163709"</f>
        <v>163709</v>
      </c>
      <c r="J2066" s="1" t="s">
        <v>27</v>
      </c>
      <c r="K2066" s="1" t="s">
        <v>28</v>
      </c>
      <c r="L2066" s="1" t="str">
        <f t="shared" si="385"/>
        <v>20220909</v>
      </c>
      <c r="M2066" s="1" t="str">
        <f>"165323"</f>
        <v>165323</v>
      </c>
      <c r="N2066" s="1" t="s">
        <v>91</v>
      </c>
      <c r="O2066" s="1" t="s">
        <v>45</v>
      </c>
      <c r="P2066" s="1" t="s">
        <v>55</v>
      </c>
      <c r="Q2066" s="1">
        <v>25</v>
      </c>
      <c r="R2066" s="1">
        <v>25</v>
      </c>
      <c r="S2066" s="1">
        <v>0</v>
      </c>
      <c r="T2066" s="1">
        <v>0</v>
      </c>
      <c r="U2066" s="1">
        <v>0</v>
      </c>
      <c r="V2066" s="1" t="str">
        <f t="shared" si="386"/>
        <v>里程去程</v>
      </c>
      <c r="W2066" s="1" t="str">
        <f>"0120"</f>
        <v>0120</v>
      </c>
      <c r="X2066" s="1" t="s">
        <v>35</v>
      </c>
    </row>
    <row r="2067" spans="1:24" x14ac:dyDescent="0.3">
      <c r="A2067" s="1" t="str">
        <f t="shared" si="384"/>
        <v>59829</v>
      </c>
      <c r="B2067" s="1" t="s">
        <v>47</v>
      </c>
      <c r="C2067" s="1" t="s">
        <v>48</v>
      </c>
      <c r="D2067" s="1" t="str">
        <f t="shared" si="387"/>
        <v>9801</v>
      </c>
      <c r="E2067" s="1" t="s">
        <v>25</v>
      </c>
      <c r="F2067" s="1" t="str">
        <f>"1963511187"</f>
        <v>1963511187</v>
      </c>
      <c r="G2067" s="1" t="s">
        <v>33</v>
      </c>
      <c r="H2067" s="1" t="str">
        <f t="shared" si="388"/>
        <v>20220909</v>
      </c>
      <c r="I2067" s="1" t="str">
        <f>"163713"</f>
        <v>163713</v>
      </c>
      <c r="J2067" s="1" t="s">
        <v>27</v>
      </c>
      <c r="K2067" s="1" t="s">
        <v>28</v>
      </c>
      <c r="L2067" s="1" t="str">
        <f t="shared" si="385"/>
        <v>20220909</v>
      </c>
      <c r="M2067" s="1" t="str">
        <f>"165322"</f>
        <v>165322</v>
      </c>
      <c r="N2067" s="1" t="s">
        <v>91</v>
      </c>
      <c r="O2067" s="1" t="s">
        <v>45</v>
      </c>
      <c r="P2067" s="1" t="s">
        <v>55</v>
      </c>
      <c r="Q2067" s="1">
        <v>25</v>
      </c>
      <c r="R2067" s="1">
        <v>25</v>
      </c>
      <c r="S2067" s="1">
        <v>0</v>
      </c>
      <c r="T2067" s="1">
        <v>0</v>
      </c>
      <c r="U2067" s="1">
        <v>0</v>
      </c>
      <c r="V2067" s="1" t="str">
        <f t="shared" si="386"/>
        <v>里程去程</v>
      </c>
      <c r="W2067" s="1" t="str">
        <f>"0320"</f>
        <v>0320</v>
      </c>
      <c r="X2067" s="1" t="s">
        <v>35</v>
      </c>
    </row>
    <row r="2068" spans="1:24" x14ac:dyDescent="0.3">
      <c r="A2068" s="1" t="str">
        <f t="shared" si="384"/>
        <v>59829</v>
      </c>
      <c r="B2068" s="1" t="s">
        <v>47</v>
      </c>
      <c r="C2068" s="1" t="s">
        <v>48</v>
      </c>
      <c r="D2068" s="1" t="str">
        <f t="shared" si="387"/>
        <v>9801</v>
      </c>
      <c r="E2068" s="1" t="s">
        <v>25</v>
      </c>
      <c r="F2068" s="1" t="str">
        <f>"1607458705"</f>
        <v>1607458705</v>
      </c>
      <c r="G2068" s="1" t="s">
        <v>33</v>
      </c>
      <c r="H2068" s="1" t="str">
        <f t="shared" si="388"/>
        <v>20220909</v>
      </c>
      <c r="I2068" s="1" t="str">
        <f>"163724"</f>
        <v>163724</v>
      </c>
      <c r="J2068" s="1" t="s">
        <v>27</v>
      </c>
      <c r="K2068" s="1" t="s">
        <v>28</v>
      </c>
      <c r="L2068" s="1" t="str">
        <f t="shared" si="385"/>
        <v>20220909</v>
      </c>
      <c r="M2068" s="1" t="str">
        <f>"165316"</f>
        <v>165316</v>
      </c>
      <c r="N2068" s="1" t="s">
        <v>91</v>
      </c>
      <c r="O2068" s="1" t="s">
        <v>45</v>
      </c>
      <c r="P2068" s="1" t="s">
        <v>55</v>
      </c>
      <c r="Q2068" s="1">
        <v>25</v>
      </c>
      <c r="R2068" s="1">
        <v>25</v>
      </c>
      <c r="S2068" s="1">
        <v>0</v>
      </c>
      <c r="T2068" s="1">
        <v>0</v>
      </c>
      <c r="U2068" s="1">
        <v>0</v>
      </c>
      <c r="V2068" s="1" t="str">
        <f t="shared" si="386"/>
        <v>里程去程</v>
      </c>
      <c r="W2068" s="1" t="str">
        <f>"0820"</f>
        <v>0820</v>
      </c>
      <c r="X2068" s="1" t="s">
        <v>35</v>
      </c>
    </row>
    <row r="2069" spans="1:24" x14ac:dyDescent="0.3">
      <c r="A2069" s="1" t="str">
        <f t="shared" si="384"/>
        <v>59829</v>
      </c>
      <c r="B2069" s="1" t="s">
        <v>47</v>
      </c>
      <c r="C2069" s="1" t="s">
        <v>48</v>
      </c>
      <c r="D2069" s="1" t="str">
        <f t="shared" si="387"/>
        <v>9801</v>
      </c>
      <c r="E2069" s="1" t="s">
        <v>25</v>
      </c>
      <c r="F2069" s="1" t="str">
        <f>"1601789349"</f>
        <v>1601789349</v>
      </c>
      <c r="G2069" s="1" t="s">
        <v>33</v>
      </c>
      <c r="H2069" s="1" t="str">
        <f t="shared" si="388"/>
        <v>20220909</v>
      </c>
      <c r="I2069" s="1" t="str">
        <f>"172649"</f>
        <v>172649</v>
      </c>
      <c r="J2069" s="1" t="s">
        <v>44</v>
      </c>
      <c r="K2069" s="1" t="s">
        <v>45</v>
      </c>
      <c r="L2069" s="1" t="str">
        <f t="shared" si="385"/>
        <v>20220909</v>
      </c>
      <c r="M2069" s="1" t="str">
        <f>"175217"</f>
        <v>175217</v>
      </c>
      <c r="N2069" s="1" t="s">
        <v>28</v>
      </c>
      <c r="O2069" s="1" t="s">
        <v>28</v>
      </c>
      <c r="P2069" s="1" t="s">
        <v>55</v>
      </c>
      <c r="Q2069" s="1">
        <v>25</v>
      </c>
      <c r="R2069" s="1">
        <v>25</v>
      </c>
      <c r="S2069" s="1">
        <v>0</v>
      </c>
      <c r="T2069" s="1">
        <v>0</v>
      </c>
      <c r="U2069" s="1">
        <v>0</v>
      </c>
      <c r="V2069" s="1" t="str">
        <f t="shared" ref="V2069:V2076" si="389">"里程返程"</f>
        <v>里程返程</v>
      </c>
      <c r="W2069" s="1" t="str">
        <f>"2020"</f>
        <v>2020</v>
      </c>
      <c r="X2069" s="1" t="s">
        <v>35</v>
      </c>
    </row>
    <row r="2070" spans="1:24" x14ac:dyDescent="0.3">
      <c r="A2070" s="1" t="str">
        <f t="shared" si="384"/>
        <v>59829</v>
      </c>
      <c r="B2070" s="1" t="s">
        <v>47</v>
      </c>
      <c r="C2070" s="1" t="s">
        <v>48</v>
      </c>
      <c r="D2070" s="1" t="str">
        <f t="shared" si="387"/>
        <v>9801</v>
      </c>
      <c r="E2070" s="1" t="s">
        <v>25</v>
      </c>
      <c r="F2070" s="1" t="str">
        <f>"3230638492"</f>
        <v>3230638492</v>
      </c>
      <c r="G2070" s="1" t="s">
        <v>33</v>
      </c>
      <c r="H2070" s="1" t="str">
        <f t="shared" si="388"/>
        <v>20220909</v>
      </c>
      <c r="I2070" s="1" t="str">
        <f>"175238"</f>
        <v>175238</v>
      </c>
      <c r="J2070" s="1" t="s">
        <v>28</v>
      </c>
      <c r="K2070" s="1" t="s">
        <v>28</v>
      </c>
      <c r="L2070" s="1" t="str">
        <f t="shared" si="385"/>
        <v>20220909</v>
      </c>
      <c r="M2070" s="1" t="str">
        <f>"182741"</f>
        <v>182741</v>
      </c>
      <c r="N2070" s="1" t="s">
        <v>52</v>
      </c>
      <c r="O2070" s="1" t="s">
        <v>52</v>
      </c>
      <c r="P2070" s="1" t="s">
        <v>55</v>
      </c>
      <c r="Q2070" s="1">
        <v>25</v>
      </c>
      <c r="R2070" s="1">
        <v>25</v>
      </c>
      <c r="S2070" s="1">
        <v>0</v>
      </c>
      <c r="T2070" s="1">
        <v>0</v>
      </c>
      <c r="U2070" s="1">
        <v>0</v>
      </c>
      <c r="V2070" s="1" t="str">
        <f t="shared" si="389"/>
        <v>里程返程</v>
      </c>
      <c r="W2070" s="1" t="str">
        <f>"0120"</f>
        <v>0120</v>
      </c>
      <c r="X2070" s="1" t="s">
        <v>35</v>
      </c>
    </row>
    <row r="2071" spans="1:24" x14ac:dyDescent="0.3">
      <c r="A2071" s="1" t="str">
        <f t="shared" si="384"/>
        <v>59829</v>
      </c>
      <c r="B2071" s="1" t="s">
        <v>47</v>
      </c>
      <c r="C2071" s="1" t="s">
        <v>48</v>
      </c>
      <c r="D2071" s="1" t="str">
        <f t="shared" si="387"/>
        <v>9801</v>
      </c>
      <c r="E2071" s="1" t="s">
        <v>25</v>
      </c>
      <c r="F2071" s="1" t="str">
        <f>"1259507621"</f>
        <v>1259507621</v>
      </c>
      <c r="G2071" s="1" t="s">
        <v>33</v>
      </c>
      <c r="H2071" s="1" t="str">
        <f t="shared" si="388"/>
        <v>20220909</v>
      </c>
      <c r="I2071" s="1" t="str">
        <f>"182935"</f>
        <v>182935</v>
      </c>
      <c r="J2071" s="1" t="s">
        <v>44</v>
      </c>
      <c r="K2071" s="1" t="s">
        <v>45</v>
      </c>
      <c r="L2071" s="1" t="str">
        <f t="shared" si="385"/>
        <v>20220909</v>
      </c>
      <c r="M2071" s="1" t="str">
        <f>"183519"</f>
        <v>183519</v>
      </c>
      <c r="N2071" s="1" t="s">
        <v>100</v>
      </c>
      <c r="O2071" s="1" t="s">
        <v>45</v>
      </c>
      <c r="P2071" s="1" t="s">
        <v>55</v>
      </c>
      <c r="Q2071" s="1">
        <v>25</v>
      </c>
      <c r="R2071" s="1">
        <v>0</v>
      </c>
      <c r="S2071" s="1">
        <v>25</v>
      </c>
      <c r="T2071" s="1">
        <v>0</v>
      </c>
      <c r="U2071" s="1">
        <v>0</v>
      </c>
      <c r="V2071" s="1" t="str">
        <f t="shared" si="389"/>
        <v>里程返程</v>
      </c>
      <c r="W2071" s="1" t="str">
        <f>"2020"</f>
        <v>2020</v>
      </c>
      <c r="X2071" s="1" t="s">
        <v>35</v>
      </c>
    </row>
    <row r="2072" spans="1:24" x14ac:dyDescent="0.3">
      <c r="A2072" s="1" t="str">
        <f t="shared" si="384"/>
        <v>59829</v>
      </c>
      <c r="B2072" s="1" t="s">
        <v>47</v>
      </c>
      <c r="C2072" s="1" t="s">
        <v>48</v>
      </c>
      <c r="D2072" s="1" t="str">
        <f t="shared" si="387"/>
        <v>9801</v>
      </c>
      <c r="E2072" s="1" t="s">
        <v>25</v>
      </c>
      <c r="F2072" s="1" t="str">
        <f>"3762696503"</f>
        <v>3762696503</v>
      </c>
      <c r="G2072" s="1" t="s">
        <v>33</v>
      </c>
      <c r="H2072" s="1" t="str">
        <f t="shared" si="388"/>
        <v>20220909</v>
      </c>
      <c r="I2072" s="1" t="str">
        <f>"185601"</f>
        <v>185601</v>
      </c>
      <c r="J2072" s="1" t="s">
        <v>28</v>
      </c>
      <c r="K2072" s="1" t="s">
        <v>28</v>
      </c>
      <c r="L2072" s="1" t="str">
        <f t="shared" si="385"/>
        <v>20220909</v>
      </c>
      <c r="M2072" s="1" t="str">
        <f>"192531"</f>
        <v>192531</v>
      </c>
      <c r="N2072" s="1" t="s">
        <v>52</v>
      </c>
      <c r="O2072" s="1" t="s">
        <v>52</v>
      </c>
      <c r="P2072" s="1" t="s">
        <v>55</v>
      </c>
      <c r="Q2072" s="1">
        <v>25</v>
      </c>
      <c r="R2072" s="1">
        <v>25</v>
      </c>
      <c r="S2072" s="1">
        <v>0</v>
      </c>
      <c r="T2072" s="1">
        <v>0</v>
      </c>
      <c r="U2072" s="1">
        <v>0</v>
      </c>
      <c r="V2072" s="1" t="str">
        <f t="shared" si="389"/>
        <v>里程返程</v>
      </c>
      <c r="W2072" s="1" t="str">
        <f>"1420"</f>
        <v>1420</v>
      </c>
      <c r="X2072" s="1" t="s">
        <v>35</v>
      </c>
    </row>
    <row r="2073" spans="1:24" x14ac:dyDescent="0.3">
      <c r="A2073" s="1" t="str">
        <f t="shared" si="384"/>
        <v>59829</v>
      </c>
      <c r="B2073" s="1" t="s">
        <v>47</v>
      </c>
      <c r="C2073" s="1" t="s">
        <v>48</v>
      </c>
      <c r="D2073" s="1" t="str">
        <f t="shared" si="387"/>
        <v>9801</v>
      </c>
      <c r="E2073" s="1" t="s">
        <v>25</v>
      </c>
      <c r="F2073" s="1" t="str">
        <f>"943727973"</f>
        <v>943727973</v>
      </c>
      <c r="G2073" s="1" t="s">
        <v>26</v>
      </c>
      <c r="H2073" s="1" t="str">
        <f t="shared" si="388"/>
        <v>20220909</v>
      </c>
      <c r="I2073" s="1" t="str">
        <f>"185604"</f>
        <v>185604</v>
      </c>
      <c r="J2073" s="1" t="s">
        <v>28</v>
      </c>
      <c r="K2073" s="1" t="s">
        <v>28</v>
      </c>
      <c r="L2073" s="1" t="str">
        <f t="shared" si="385"/>
        <v>20220909</v>
      </c>
      <c r="M2073" s="1" t="str">
        <f>"192528"</f>
        <v>192528</v>
      </c>
      <c r="N2073" s="1" t="s">
        <v>52</v>
      </c>
      <c r="O2073" s="1" t="s">
        <v>52</v>
      </c>
      <c r="P2073" s="1" t="s">
        <v>55</v>
      </c>
      <c r="Q2073" s="1">
        <v>13</v>
      </c>
      <c r="R2073" s="1">
        <v>13</v>
      </c>
      <c r="S2073" s="1">
        <v>0</v>
      </c>
      <c r="T2073" s="1">
        <v>0</v>
      </c>
      <c r="U2073" s="1">
        <v>0</v>
      </c>
      <c r="V2073" s="1" t="str">
        <f t="shared" si="389"/>
        <v>里程返程</v>
      </c>
      <c r="W2073" s="1" t="str">
        <f>"0820"</f>
        <v>0820</v>
      </c>
      <c r="X2073" s="1" t="s">
        <v>35</v>
      </c>
    </row>
    <row r="2074" spans="1:24" x14ac:dyDescent="0.3">
      <c r="A2074" s="1" t="str">
        <f t="shared" si="384"/>
        <v>59829</v>
      </c>
      <c r="B2074" s="1" t="s">
        <v>47</v>
      </c>
      <c r="C2074" s="1" t="s">
        <v>48</v>
      </c>
      <c r="D2074" s="1" t="str">
        <f t="shared" si="387"/>
        <v>9801</v>
      </c>
      <c r="E2074" s="1" t="s">
        <v>25</v>
      </c>
      <c r="F2074" s="1" t="str">
        <f>"847269973"</f>
        <v>847269973</v>
      </c>
      <c r="G2074" s="1" t="s">
        <v>74</v>
      </c>
      <c r="H2074" s="1" t="str">
        <f t="shared" si="388"/>
        <v>20220909</v>
      </c>
      <c r="I2074" s="1" t="str">
        <f>"185618"</f>
        <v>185618</v>
      </c>
      <c r="J2074" s="1" t="s">
        <v>28</v>
      </c>
      <c r="K2074" s="1" t="s">
        <v>28</v>
      </c>
      <c r="L2074" s="1" t="str">
        <f t="shared" si="385"/>
        <v>20220909</v>
      </c>
      <c r="M2074" s="1" t="str">
        <f>"192524"</f>
        <v>192524</v>
      </c>
      <c r="N2074" s="1" t="s">
        <v>52</v>
      </c>
      <c r="O2074" s="1" t="s">
        <v>52</v>
      </c>
      <c r="P2074" s="1" t="s">
        <v>55</v>
      </c>
      <c r="Q2074" s="1">
        <v>13</v>
      </c>
      <c r="R2074" s="1">
        <v>13</v>
      </c>
      <c r="S2074" s="1">
        <v>0</v>
      </c>
      <c r="T2074" s="1">
        <v>0</v>
      </c>
      <c r="U2074" s="1">
        <v>0</v>
      </c>
      <c r="V2074" s="1" t="str">
        <f t="shared" si="389"/>
        <v>里程返程</v>
      </c>
      <c r="W2074" s="1" t="str">
        <f>"0320"</f>
        <v>0320</v>
      </c>
      <c r="X2074" s="1" t="s">
        <v>35</v>
      </c>
    </row>
    <row r="2075" spans="1:24" x14ac:dyDescent="0.3">
      <c r="A2075" s="1" t="str">
        <f t="shared" si="384"/>
        <v>59829</v>
      </c>
      <c r="B2075" s="1" t="s">
        <v>47</v>
      </c>
      <c r="C2075" s="1" t="s">
        <v>48</v>
      </c>
      <c r="D2075" s="1" t="str">
        <f t="shared" si="387"/>
        <v>9801</v>
      </c>
      <c r="E2075" s="1" t="s">
        <v>25</v>
      </c>
      <c r="F2075" s="1" t="str">
        <f>"1658721489"</f>
        <v>1658721489</v>
      </c>
      <c r="G2075" s="1" t="s">
        <v>33</v>
      </c>
      <c r="H2075" s="1" t="str">
        <f t="shared" si="388"/>
        <v>20220909</v>
      </c>
      <c r="I2075" s="1" t="str">
        <f>"185625"</f>
        <v>185625</v>
      </c>
      <c r="J2075" s="1" t="s">
        <v>28</v>
      </c>
      <c r="K2075" s="1" t="s">
        <v>28</v>
      </c>
      <c r="L2075" s="1" t="str">
        <f t="shared" ref="L2075:L2083" si="390">"20220909"</f>
        <v>20220909</v>
      </c>
      <c r="M2075" s="1" t="str">
        <f>"191501"</f>
        <v>191501</v>
      </c>
      <c r="N2075" s="1" t="s">
        <v>72</v>
      </c>
      <c r="O2075" s="1" t="s">
        <v>52</v>
      </c>
      <c r="P2075" s="1" t="s">
        <v>55</v>
      </c>
      <c r="Q2075" s="1">
        <v>25</v>
      </c>
      <c r="R2075" s="1">
        <v>25</v>
      </c>
      <c r="S2075" s="1">
        <v>0</v>
      </c>
      <c r="T2075" s="1">
        <v>0</v>
      </c>
      <c r="U2075" s="1">
        <v>0</v>
      </c>
      <c r="V2075" s="1" t="str">
        <f t="shared" si="389"/>
        <v>里程返程</v>
      </c>
      <c r="W2075" s="1" t="str">
        <f>"0820"</f>
        <v>0820</v>
      </c>
      <c r="X2075" s="1" t="s">
        <v>35</v>
      </c>
    </row>
    <row r="2076" spans="1:24" x14ac:dyDescent="0.3">
      <c r="A2076" s="1" t="str">
        <f t="shared" si="384"/>
        <v>59829</v>
      </c>
      <c r="B2076" s="1" t="s">
        <v>47</v>
      </c>
      <c r="C2076" s="1" t="s">
        <v>48</v>
      </c>
      <c r="D2076" s="1" t="str">
        <f t="shared" si="387"/>
        <v>9801</v>
      </c>
      <c r="E2076" s="1" t="s">
        <v>25</v>
      </c>
      <c r="F2076" s="1" t="str">
        <f>"2265553691"</f>
        <v>2265553691</v>
      </c>
      <c r="G2076" s="1" t="s">
        <v>33</v>
      </c>
      <c r="H2076" s="1" t="str">
        <f t="shared" si="388"/>
        <v>20220909</v>
      </c>
      <c r="I2076" s="1" t="str">
        <f>"185628"</f>
        <v>185628</v>
      </c>
      <c r="J2076" s="1" t="s">
        <v>28</v>
      </c>
      <c r="K2076" s="1" t="s">
        <v>28</v>
      </c>
      <c r="L2076" s="1" t="str">
        <f t="shared" si="390"/>
        <v>20220909</v>
      </c>
      <c r="M2076" s="1" t="str">
        <f>"191458"</f>
        <v>191458</v>
      </c>
      <c r="N2076" s="1" t="s">
        <v>72</v>
      </c>
      <c r="O2076" s="1" t="s">
        <v>52</v>
      </c>
      <c r="P2076" s="1" t="s">
        <v>55</v>
      </c>
      <c r="Q2076" s="1">
        <v>25</v>
      </c>
      <c r="R2076" s="1">
        <v>25</v>
      </c>
      <c r="S2076" s="1">
        <v>0</v>
      </c>
      <c r="T2076" s="1">
        <v>0</v>
      </c>
      <c r="U2076" s="1">
        <v>0</v>
      </c>
      <c r="V2076" s="1" t="str">
        <f t="shared" si="389"/>
        <v>里程返程</v>
      </c>
      <c r="W2076" s="1" t="str">
        <f>"0820"</f>
        <v>0820</v>
      </c>
      <c r="X2076" s="1" t="s">
        <v>35</v>
      </c>
    </row>
    <row r="2077" spans="1:24" x14ac:dyDescent="0.3">
      <c r="A2077" s="1" t="str">
        <f t="shared" si="384"/>
        <v>59829</v>
      </c>
      <c r="B2077" s="1" t="s">
        <v>47</v>
      </c>
      <c r="C2077" s="1" t="s">
        <v>48</v>
      </c>
      <c r="D2077" s="1" t="str">
        <f t="shared" si="387"/>
        <v>9801</v>
      </c>
      <c r="E2077" s="1" t="s">
        <v>25</v>
      </c>
      <c r="F2077" s="1" t="str">
        <f>"1502929265"</f>
        <v>1502929265</v>
      </c>
      <c r="G2077" s="1" t="s">
        <v>33</v>
      </c>
      <c r="H2077" s="1" t="str">
        <f t="shared" si="388"/>
        <v>20220909</v>
      </c>
      <c r="I2077" s="1" t="str">
        <f>"203203"</f>
        <v>203203</v>
      </c>
      <c r="J2077" s="1" t="s">
        <v>28</v>
      </c>
      <c r="K2077" s="1" t="s">
        <v>28</v>
      </c>
      <c r="L2077" s="1" t="str">
        <f t="shared" si="390"/>
        <v>20220909</v>
      </c>
      <c r="M2077" s="1" t="str">
        <f>"205750"</f>
        <v>205750</v>
      </c>
      <c r="N2077" s="1" t="s">
        <v>44</v>
      </c>
      <c r="O2077" s="1" t="s">
        <v>45</v>
      </c>
      <c r="P2077" s="1" t="s">
        <v>55</v>
      </c>
      <c r="Q2077" s="1">
        <v>25</v>
      </c>
      <c r="R2077" s="1">
        <v>25</v>
      </c>
      <c r="S2077" s="1">
        <v>0</v>
      </c>
      <c r="T2077" s="1">
        <v>0</v>
      </c>
      <c r="U2077" s="1">
        <v>0</v>
      </c>
      <c r="V2077" s="1" t="str">
        <f>"里程去程"</f>
        <v>里程去程</v>
      </c>
      <c r="W2077" s="1" t="str">
        <f>"1420"</f>
        <v>1420</v>
      </c>
      <c r="X2077" s="1" t="s">
        <v>35</v>
      </c>
    </row>
    <row r="2078" spans="1:24" x14ac:dyDescent="0.3">
      <c r="A2078" s="1" t="str">
        <f t="shared" si="384"/>
        <v>59829</v>
      </c>
      <c r="B2078" s="1" t="s">
        <v>47</v>
      </c>
      <c r="C2078" s="1" t="s">
        <v>48</v>
      </c>
      <c r="D2078" s="1" t="str">
        <f t="shared" ref="D2078:D2083" si="391">"9805"</f>
        <v>9805</v>
      </c>
      <c r="E2078" s="1" t="s">
        <v>57</v>
      </c>
      <c r="F2078" s="1" t="str">
        <f>"1259611233"</f>
        <v>1259611233</v>
      </c>
      <c r="G2078" s="1" t="s">
        <v>33</v>
      </c>
      <c r="H2078" s="1" t="str">
        <f t="shared" si="388"/>
        <v>20220909</v>
      </c>
      <c r="I2078" s="1" t="str">
        <f>"205842"</f>
        <v>205842</v>
      </c>
      <c r="J2078" s="1" t="s">
        <v>52</v>
      </c>
      <c r="K2078" s="1" t="s">
        <v>52</v>
      </c>
      <c r="L2078" s="1" t="str">
        <f t="shared" si="390"/>
        <v>20220909</v>
      </c>
      <c r="M2078" s="1" t="str">
        <f>"211859"</f>
        <v>211859</v>
      </c>
      <c r="N2078" s="1" t="s">
        <v>28</v>
      </c>
      <c r="O2078" s="1" t="s">
        <v>28</v>
      </c>
      <c r="P2078" s="1" t="s">
        <v>55</v>
      </c>
      <c r="Q2078" s="1">
        <v>25</v>
      </c>
      <c r="R2078" s="1">
        <v>25</v>
      </c>
      <c r="S2078" s="1">
        <v>0</v>
      </c>
      <c r="T2078" s="1">
        <v>0</v>
      </c>
      <c r="U2078" s="1">
        <v>0</v>
      </c>
      <c r="V2078" s="1" t="str">
        <f t="shared" ref="V2078:V2083" si="392">"里程返程"</f>
        <v>里程返程</v>
      </c>
      <c r="W2078" s="1" t="str">
        <f>"0820"</f>
        <v>0820</v>
      </c>
      <c r="X2078" s="1" t="s">
        <v>35</v>
      </c>
    </row>
    <row r="2079" spans="1:24" x14ac:dyDescent="0.3">
      <c r="A2079" s="1" t="str">
        <f t="shared" si="384"/>
        <v>59829</v>
      </c>
      <c r="B2079" s="1" t="s">
        <v>47</v>
      </c>
      <c r="C2079" s="1" t="s">
        <v>48</v>
      </c>
      <c r="D2079" s="1" t="str">
        <f t="shared" si="391"/>
        <v>9805</v>
      </c>
      <c r="E2079" s="1" t="s">
        <v>57</v>
      </c>
      <c r="F2079" s="1" t="str">
        <f>"2712280783"</f>
        <v>2712280783</v>
      </c>
      <c r="G2079" s="1" t="s">
        <v>96</v>
      </c>
      <c r="H2079" s="1" t="str">
        <f t="shared" si="388"/>
        <v>20220909</v>
      </c>
      <c r="I2079" s="1" t="str">
        <f>"205843"</f>
        <v>205843</v>
      </c>
      <c r="J2079" s="1" t="s">
        <v>52</v>
      </c>
      <c r="K2079" s="1" t="s">
        <v>52</v>
      </c>
      <c r="L2079" s="1" t="str">
        <f t="shared" si="390"/>
        <v>20220909</v>
      </c>
      <c r="M2079" s="1" t="str">
        <f>"211855"</f>
        <v>211855</v>
      </c>
      <c r="N2079" s="1" t="s">
        <v>28</v>
      </c>
      <c r="O2079" s="1" t="s">
        <v>28</v>
      </c>
      <c r="P2079" s="1" t="s">
        <v>55</v>
      </c>
      <c r="Q2079" s="1">
        <v>13</v>
      </c>
      <c r="R2079" s="1">
        <v>13</v>
      </c>
      <c r="S2079" s="1">
        <v>0</v>
      </c>
      <c r="T2079" s="1">
        <v>0</v>
      </c>
      <c r="U2079" s="1">
        <v>0</v>
      </c>
      <c r="V2079" s="1" t="str">
        <f t="shared" si="392"/>
        <v>里程返程</v>
      </c>
      <c r="W2079" s="1" t="str">
        <f>"0e20"</f>
        <v>0e20</v>
      </c>
      <c r="X2079" s="1" t="s">
        <v>35</v>
      </c>
    </row>
    <row r="2080" spans="1:24" x14ac:dyDescent="0.3">
      <c r="A2080" s="1" t="str">
        <f t="shared" si="384"/>
        <v>59829</v>
      </c>
      <c r="B2080" s="1" t="s">
        <v>47</v>
      </c>
      <c r="C2080" s="1" t="s">
        <v>48</v>
      </c>
      <c r="D2080" s="1" t="str">
        <f t="shared" si="391"/>
        <v>9805</v>
      </c>
      <c r="E2080" s="1" t="s">
        <v>57</v>
      </c>
      <c r="F2080" s="1" t="str">
        <f>"91037569"</f>
        <v>91037569</v>
      </c>
      <c r="G2080" s="1" t="s">
        <v>33</v>
      </c>
      <c r="H2080" s="1" t="str">
        <f t="shared" si="388"/>
        <v>20220909</v>
      </c>
      <c r="I2080" s="1" t="str">
        <f>"205922"</f>
        <v>205922</v>
      </c>
      <c r="J2080" s="1" t="s">
        <v>52</v>
      </c>
      <c r="K2080" s="1" t="s">
        <v>52</v>
      </c>
      <c r="L2080" s="1" t="str">
        <f t="shared" si="390"/>
        <v>20220909</v>
      </c>
      <c r="M2080" s="1" t="str">
        <f>"211852"</f>
        <v>211852</v>
      </c>
      <c r="N2080" s="1" t="s">
        <v>28</v>
      </c>
      <c r="O2080" s="1" t="s">
        <v>28</v>
      </c>
      <c r="P2080" s="1" t="s">
        <v>55</v>
      </c>
      <c r="Q2080" s="1">
        <v>25</v>
      </c>
      <c r="R2080" s="1">
        <v>25</v>
      </c>
      <c r="S2080" s="1">
        <v>0</v>
      </c>
      <c r="T2080" s="1">
        <v>0</v>
      </c>
      <c r="U2080" s="1">
        <v>0</v>
      </c>
      <c r="V2080" s="1" t="str">
        <f t="shared" si="392"/>
        <v>里程返程</v>
      </c>
      <c r="W2080" s="1" t="str">
        <f>"0120"</f>
        <v>0120</v>
      </c>
      <c r="X2080" s="1" t="s">
        <v>35</v>
      </c>
    </row>
    <row r="2081" spans="1:24" x14ac:dyDescent="0.3">
      <c r="A2081" s="1" t="str">
        <f t="shared" si="384"/>
        <v>59829</v>
      </c>
      <c r="B2081" s="1" t="s">
        <v>47</v>
      </c>
      <c r="C2081" s="1" t="s">
        <v>48</v>
      </c>
      <c r="D2081" s="1" t="str">
        <f t="shared" si="391"/>
        <v>9805</v>
      </c>
      <c r="E2081" s="1" t="s">
        <v>57</v>
      </c>
      <c r="F2081" s="1" t="str">
        <f>"1607458705"</f>
        <v>1607458705</v>
      </c>
      <c r="G2081" s="1" t="s">
        <v>33</v>
      </c>
      <c r="H2081" s="1" t="str">
        <f t="shared" si="388"/>
        <v>20220909</v>
      </c>
      <c r="I2081" s="1" t="str">
        <f>"213712"</f>
        <v>213712</v>
      </c>
      <c r="J2081" s="1" t="s">
        <v>52</v>
      </c>
      <c r="K2081" s="1" t="s">
        <v>52</v>
      </c>
      <c r="L2081" s="1" t="str">
        <f t="shared" si="390"/>
        <v>20220909</v>
      </c>
      <c r="M2081" s="1" t="str">
        <f>"215547"</f>
        <v>215547</v>
      </c>
      <c r="N2081" s="1" t="s">
        <v>95</v>
      </c>
      <c r="O2081" s="1" t="s">
        <v>28</v>
      </c>
      <c r="P2081" s="1" t="s">
        <v>55</v>
      </c>
      <c r="Q2081" s="1">
        <v>25</v>
      </c>
      <c r="R2081" s="1">
        <v>0</v>
      </c>
      <c r="S2081" s="1">
        <v>25</v>
      </c>
      <c r="T2081" s="1">
        <v>0</v>
      </c>
      <c r="U2081" s="1">
        <v>0</v>
      </c>
      <c r="V2081" s="1" t="str">
        <f t="shared" si="392"/>
        <v>里程返程</v>
      </c>
      <c r="W2081" s="1" t="str">
        <f>"2020"</f>
        <v>2020</v>
      </c>
      <c r="X2081" s="1" t="s">
        <v>35</v>
      </c>
    </row>
    <row r="2082" spans="1:24" x14ac:dyDescent="0.3">
      <c r="A2082" s="1" t="str">
        <f t="shared" si="384"/>
        <v>59829</v>
      </c>
      <c r="B2082" s="1" t="s">
        <v>47</v>
      </c>
      <c r="C2082" s="1" t="s">
        <v>48</v>
      </c>
      <c r="D2082" s="1" t="str">
        <f t="shared" si="391"/>
        <v>9805</v>
      </c>
      <c r="E2082" s="1" t="s">
        <v>57</v>
      </c>
      <c r="F2082" s="1" t="str">
        <f>"1963511187"</f>
        <v>1963511187</v>
      </c>
      <c r="G2082" s="1" t="s">
        <v>33</v>
      </c>
      <c r="H2082" s="1" t="str">
        <f t="shared" si="388"/>
        <v>20220909</v>
      </c>
      <c r="I2082" s="1" t="str">
        <f>"213714"</f>
        <v>213714</v>
      </c>
      <c r="J2082" s="1" t="s">
        <v>52</v>
      </c>
      <c r="K2082" s="1" t="s">
        <v>52</v>
      </c>
      <c r="L2082" s="1" t="str">
        <f t="shared" si="390"/>
        <v>20220909</v>
      </c>
      <c r="M2082" s="1" t="str">
        <f>"215551"</f>
        <v>215551</v>
      </c>
      <c r="N2082" s="1" t="s">
        <v>95</v>
      </c>
      <c r="O2082" s="1" t="s">
        <v>28</v>
      </c>
      <c r="P2082" s="1" t="s">
        <v>55</v>
      </c>
      <c r="Q2082" s="1">
        <v>25</v>
      </c>
      <c r="R2082" s="1">
        <v>0</v>
      </c>
      <c r="S2082" s="1">
        <v>25</v>
      </c>
      <c r="T2082" s="1">
        <v>0</v>
      </c>
      <c r="U2082" s="1">
        <v>0</v>
      </c>
      <c r="V2082" s="1" t="str">
        <f t="shared" si="392"/>
        <v>里程返程</v>
      </c>
      <c r="W2082" s="1" t="str">
        <f>"2020"</f>
        <v>2020</v>
      </c>
      <c r="X2082" s="1" t="s">
        <v>35</v>
      </c>
    </row>
    <row r="2083" spans="1:24" x14ac:dyDescent="0.3">
      <c r="A2083" s="1" t="str">
        <f t="shared" si="384"/>
        <v>59829</v>
      </c>
      <c r="B2083" s="1" t="s">
        <v>47</v>
      </c>
      <c r="C2083" s="1" t="s">
        <v>48</v>
      </c>
      <c r="D2083" s="1" t="str">
        <f t="shared" si="391"/>
        <v>9805</v>
      </c>
      <c r="E2083" s="1" t="s">
        <v>57</v>
      </c>
      <c r="F2083" s="1" t="str">
        <f>"755182949"</f>
        <v>755182949</v>
      </c>
      <c r="G2083" s="1" t="s">
        <v>33</v>
      </c>
      <c r="H2083" s="1" t="str">
        <f t="shared" si="388"/>
        <v>20220909</v>
      </c>
      <c r="I2083" s="1" t="str">
        <f>"213719"</f>
        <v>213719</v>
      </c>
      <c r="J2083" s="1" t="s">
        <v>52</v>
      </c>
      <c r="K2083" s="1" t="s">
        <v>52</v>
      </c>
      <c r="L2083" s="1" t="str">
        <f t="shared" si="390"/>
        <v>20220909</v>
      </c>
      <c r="M2083" s="1" t="str">
        <f>"215542"</f>
        <v>215542</v>
      </c>
      <c r="N2083" s="1" t="s">
        <v>95</v>
      </c>
      <c r="O2083" s="1" t="s">
        <v>28</v>
      </c>
      <c r="P2083" s="1" t="s">
        <v>55</v>
      </c>
      <c r="Q2083" s="1">
        <v>25</v>
      </c>
      <c r="R2083" s="1">
        <v>0</v>
      </c>
      <c r="S2083" s="1">
        <v>25</v>
      </c>
      <c r="T2083" s="1">
        <v>0</v>
      </c>
      <c r="U2083" s="1">
        <v>0</v>
      </c>
      <c r="V2083" s="1" t="str">
        <f t="shared" si="392"/>
        <v>里程返程</v>
      </c>
      <c r="W2083" s="1" t="str">
        <f>"2020"</f>
        <v>2020</v>
      </c>
      <c r="X2083" s="1" t="s">
        <v>35</v>
      </c>
    </row>
    <row r="2084" spans="1:24" x14ac:dyDescent="0.3">
      <c r="A2084" s="1" t="str">
        <f t="shared" ref="A2084:A2126" si="393">"59820"</f>
        <v>59820</v>
      </c>
      <c r="B2084" s="1" t="s">
        <v>53</v>
      </c>
      <c r="C2084" s="1" t="s">
        <v>54</v>
      </c>
      <c r="D2084" s="1" t="str">
        <f t="shared" ref="D2084:D2091" si="394">"9803"</f>
        <v>9803</v>
      </c>
      <c r="E2084" s="1" t="s">
        <v>32</v>
      </c>
      <c r="F2084" s="1" t="str">
        <f>"665414741"</f>
        <v>665414741</v>
      </c>
      <c r="G2084" s="1" t="s">
        <v>33</v>
      </c>
      <c r="H2084" s="1" t="str">
        <f t="shared" ref="H2084:H2147" si="395">"20220910"</f>
        <v>20220910</v>
      </c>
      <c r="I2084" s="1" t="str">
        <f>"061649"</f>
        <v>061649</v>
      </c>
      <c r="J2084" s="1" t="s">
        <v>28</v>
      </c>
      <c r="K2084" s="1" t="s">
        <v>28</v>
      </c>
      <c r="L2084" s="1" t="str">
        <f t="shared" ref="L2084:L2109" si="396">"20220910"</f>
        <v>20220910</v>
      </c>
      <c r="M2084" s="1" t="str">
        <f>"063820"</f>
        <v>063820</v>
      </c>
      <c r="N2084" s="1" t="s">
        <v>34</v>
      </c>
      <c r="O2084" s="1" t="s">
        <v>34</v>
      </c>
      <c r="P2084" s="1" t="s">
        <v>55</v>
      </c>
      <c r="Q2084" s="1">
        <v>25</v>
      </c>
      <c r="R2084" s="1">
        <v>25</v>
      </c>
      <c r="S2084" s="1">
        <v>0</v>
      </c>
      <c r="T2084" s="1">
        <v>0</v>
      </c>
      <c r="U2084" s="1">
        <v>0</v>
      </c>
      <c r="V2084" s="1" t="str">
        <f t="shared" ref="V2084:V2095" si="397">"里程去程"</f>
        <v>里程去程</v>
      </c>
      <c r="W2084" s="1" t="str">
        <f>"0820"</f>
        <v>0820</v>
      </c>
      <c r="X2084" s="1" t="s">
        <v>35</v>
      </c>
    </row>
    <row r="2085" spans="1:24" x14ac:dyDescent="0.3">
      <c r="A2085" s="1" t="str">
        <f t="shared" si="393"/>
        <v>59820</v>
      </c>
      <c r="B2085" s="1" t="s">
        <v>53</v>
      </c>
      <c r="C2085" s="1" t="s">
        <v>54</v>
      </c>
      <c r="D2085" s="1" t="str">
        <f t="shared" si="394"/>
        <v>9803</v>
      </c>
      <c r="E2085" s="1" t="s">
        <v>32</v>
      </c>
      <c r="F2085" s="1" t="str">
        <f>"1160144065"</f>
        <v>1160144065</v>
      </c>
      <c r="G2085" s="1" t="s">
        <v>33</v>
      </c>
      <c r="H2085" s="1" t="str">
        <f t="shared" si="395"/>
        <v>20220910</v>
      </c>
      <c r="I2085" s="1" t="str">
        <f>"061652"</f>
        <v>061652</v>
      </c>
      <c r="J2085" s="1" t="s">
        <v>28</v>
      </c>
      <c r="K2085" s="1" t="s">
        <v>28</v>
      </c>
      <c r="L2085" s="1" t="str">
        <f t="shared" si="396"/>
        <v>20220910</v>
      </c>
      <c r="M2085" s="1" t="str">
        <f>"063818"</f>
        <v>063818</v>
      </c>
      <c r="N2085" s="1" t="s">
        <v>34</v>
      </c>
      <c r="O2085" s="1" t="s">
        <v>34</v>
      </c>
      <c r="P2085" s="1" t="s">
        <v>55</v>
      </c>
      <c r="Q2085" s="1">
        <v>25</v>
      </c>
      <c r="R2085" s="1">
        <v>25</v>
      </c>
      <c r="S2085" s="1">
        <v>0</v>
      </c>
      <c r="T2085" s="1">
        <v>0</v>
      </c>
      <c r="U2085" s="1">
        <v>0</v>
      </c>
      <c r="V2085" s="1" t="str">
        <f t="shared" si="397"/>
        <v>里程去程</v>
      </c>
      <c r="W2085" s="1" t="str">
        <f>"0220"</f>
        <v>0220</v>
      </c>
      <c r="X2085" s="1" t="s">
        <v>35</v>
      </c>
    </row>
    <row r="2086" spans="1:24" x14ac:dyDescent="0.3">
      <c r="A2086" s="1" t="str">
        <f t="shared" si="393"/>
        <v>59820</v>
      </c>
      <c r="B2086" s="1" t="s">
        <v>53</v>
      </c>
      <c r="C2086" s="1" t="s">
        <v>54</v>
      </c>
      <c r="D2086" s="1" t="str">
        <f t="shared" si="394"/>
        <v>9803</v>
      </c>
      <c r="E2086" s="1" t="s">
        <v>32</v>
      </c>
      <c r="F2086" s="1" t="str">
        <f>"2683545771"</f>
        <v>2683545771</v>
      </c>
      <c r="G2086" s="1" t="s">
        <v>33</v>
      </c>
      <c r="H2086" s="1" t="str">
        <f t="shared" si="395"/>
        <v>20220910</v>
      </c>
      <c r="I2086" s="1" t="str">
        <f>"061656"</f>
        <v>061656</v>
      </c>
      <c r="J2086" s="1" t="s">
        <v>28</v>
      </c>
      <c r="K2086" s="1" t="s">
        <v>28</v>
      </c>
      <c r="L2086" s="1" t="str">
        <f t="shared" si="396"/>
        <v>20220910</v>
      </c>
      <c r="M2086" s="1" t="str">
        <f>"063808"</f>
        <v>063808</v>
      </c>
      <c r="N2086" s="1" t="s">
        <v>34</v>
      </c>
      <c r="O2086" s="1" t="s">
        <v>34</v>
      </c>
      <c r="P2086" s="1" t="s">
        <v>55</v>
      </c>
      <c r="Q2086" s="1">
        <v>25</v>
      </c>
      <c r="R2086" s="1">
        <v>25</v>
      </c>
      <c r="S2086" s="1">
        <v>0</v>
      </c>
      <c r="T2086" s="1">
        <v>0</v>
      </c>
      <c r="U2086" s="1">
        <v>0</v>
      </c>
      <c r="V2086" s="1" t="str">
        <f t="shared" si="397"/>
        <v>里程去程</v>
      </c>
      <c r="W2086" s="1" t="str">
        <f>"0220"</f>
        <v>0220</v>
      </c>
      <c r="X2086" s="1" t="s">
        <v>35</v>
      </c>
    </row>
    <row r="2087" spans="1:24" x14ac:dyDescent="0.3">
      <c r="A2087" s="1" t="str">
        <f t="shared" si="393"/>
        <v>59820</v>
      </c>
      <c r="B2087" s="1" t="s">
        <v>53</v>
      </c>
      <c r="C2087" s="1" t="s">
        <v>54</v>
      </c>
      <c r="D2087" s="1" t="str">
        <f t="shared" si="394"/>
        <v>9803</v>
      </c>
      <c r="E2087" s="1" t="s">
        <v>32</v>
      </c>
      <c r="F2087" s="1" t="str">
        <f>"3917422115"</f>
        <v>3917422115</v>
      </c>
      <c r="G2087" s="1" t="s">
        <v>33</v>
      </c>
      <c r="H2087" s="1" t="str">
        <f t="shared" si="395"/>
        <v>20220910</v>
      </c>
      <c r="I2087" s="1" t="str">
        <f>"061700"</f>
        <v>061700</v>
      </c>
      <c r="J2087" s="1" t="s">
        <v>28</v>
      </c>
      <c r="K2087" s="1" t="s">
        <v>28</v>
      </c>
      <c r="L2087" s="1" t="str">
        <f t="shared" si="396"/>
        <v>20220910</v>
      </c>
      <c r="M2087" s="1" t="str">
        <f>"063804"</f>
        <v>063804</v>
      </c>
      <c r="N2087" s="1" t="s">
        <v>34</v>
      </c>
      <c r="O2087" s="1" t="s">
        <v>34</v>
      </c>
      <c r="P2087" s="1" t="s">
        <v>55</v>
      </c>
      <c r="Q2087" s="1">
        <v>25</v>
      </c>
      <c r="R2087" s="1">
        <v>25</v>
      </c>
      <c r="S2087" s="1">
        <v>0</v>
      </c>
      <c r="T2087" s="1">
        <v>0</v>
      </c>
      <c r="U2087" s="1">
        <v>0</v>
      </c>
      <c r="V2087" s="1" t="str">
        <f t="shared" si="397"/>
        <v>里程去程</v>
      </c>
      <c r="W2087" s="1" t="str">
        <f>"0220"</f>
        <v>0220</v>
      </c>
      <c r="X2087" s="1" t="s">
        <v>35</v>
      </c>
    </row>
    <row r="2088" spans="1:24" x14ac:dyDescent="0.3">
      <c r="A2088" s="1" t="str">
        <f t="shared" si="393"/>
        <v>59820</v>
      </c>
      <c r="B2088" s="1" t="s">
        <v>53</v>
      </c>
      <c r="C2088" s="1" t="s">
        <v>54</v>
      </c>
      <c r="D2088" s="1" t="str">
        <f t="shared" si="394"/>
        <v>9803</v>
      </c>
      <c r="E2088" s="1" t="s">
        <v>32</v>
      </c>
      <c r="F2088" s="1" t="str">
        <f>"1658829857"</f>
        <v>1658829857</v>
      </c>
      <c r="G2088" s="1" t="s">
        <v>33</v>
      </c>
      <c r="H2088" s="1" t="str">
        <f t="shared" si="395"/>
        <v>20220910</v>
      </c>
      <c r="I2088" s="1" t="str">
        <f>"061704"</f>
        <v>061704</v>
      </c>
      <c r="J2088" s="1" t="s">
        <v>28</v>
      </c>
      <c r="K2088" s="1" t="s">
        <v>28</v>
      </c>
      <c r="L2088" s="1" t="str">
        <f t="shared" si="396"/>
        <v>20220910</v>
      </c>
      <c r="M2088" s="1" t="str">
        <f>"063812"</f>
        <v>063812</v>
      </c>
      <c r="N2088" s="1" t="s">
        <v>34</v>
      </c>
      <c r="O2088" s="1" t="s">
        <v>34</v>
      </c>
      <c r="P2088" s="1" t="s">
        <v>55</v>
      </c>
      <c r="Q2088" s="1">
        <v>25</v>
      </c>
      <c r="R2088" s="1">
        <v>25</v>
      </c>
      <c r="S2088" s="1">
        <v>0</v>
      </c>
      <c r="T2088" s="1">
        <v>0</v>
      </c>
      <c r="U2088" s="1">
        <v>0</v>
      </c>
      <c r="V2088" s="1" t="str">
        <f t="shared" si="397"/>
        <v>里程去程</v>
      </c>
      <c r="W2088" s="1" t="str">
        <f>"2020"</f>
        <v>2020</v>
      </c>
      <c r="X2088" s="1" t="s">
        <v>35</v>
      </c>
    </row>
    <row r="2089" spans="1:24" x14ac:dyDescent="0.3">
      <c r="A2089" s="1" t="str">
        <f t="shared" si="393"/>
        <v>59820</v>
      </c>
      <c r="B2089" s="1" t="s">
        <v>53</v>
      </c>
      <c r="C2089" s="1" t="s">
        <v>54</v>
      </c>
      <c r="D2089" s="1" t="str">
        <f t="shared" si="394"/>
        <v>9803</v>
      </c>
      <c r="E2089" s="1" t="s">
        <v>32</v>
      </c>
      <c r="F2089" s="1" t="str">
        <f>"1047587393"</f>
        <v>1047587393</v>
      </c>
      <c r="G2089" s="1" t="s">
        <v>33</v>
      </c>
      <c r="H2089" s="1" t="str">
        <f t="shared" si="395"/>
        <v>20220910</v>
      </c>
      <c r="I2089" s="1" t="str">
        <f>"061706"</f>
        <v>061706</v>
      </c>
      <c r="J2089" s="1" t="s">
        <v>28</v>
      </c>
      <c r="K2089" s="1" t="s">
        <v>28</v>
      </c>
      <c r="L2089" s="1" t="str">
        <f t="shared" si="396"/>
        <v>20220910</v>
      </c>
      <c r="M2089" s="1" t="str">
        <f>"063815"</f>
        <v>063815</v>
      </c>
      <c r="N2089" s="1" t="s">
        <v>34</v>
      </c>
      <c r="O2089" s="1" t="s">
        <v>34</v>
      </c>
      <c r="P2089" s="1" t="s">
        <v>55</v>
      </c>
      <c r="Q2089" s="1">
        <v>25</v>
      </c>
      <c r="R2089" s="1">
        <v>25</v>
      </c>
      <c r="S2089" s="1">
        <v>0</v>
      </c>
      <c r="T2089" s="1">
        <v>0</v>
      </c>
      <c r="U2089" s="1">
        <v>0</v>
      </c>
      <c r="V2089" s="1" t="str">
        <f t="shared" si="397"/>
        <v>里程去程</v>
      </c>
      <c r="W2089" s="1" t="str">
        <f>"0120"</f>
        <v>0120</v>
      </c>
      <c r="X2089" s="1" t="s">
        <v>35</v>
      </c>
    </row>
    <row r="2090" spans="1:24" x14ac:dyDescent="0.3">
      <c r="A2090" s="1" t="str">
        <f t="shared" si="393"/>
        <v>59820</v>
      </c>
      <c r="B2090" s="1" t="s">
        <v>53</v>
      </c>
      <c r="C2090" s="1" t="s">
        <v>54</v>
      </c>
      <c r="D2090" s="1" t="str">
        <f t="shared" si="394"/>
        <v>9803</v>
      </c>
      <c r="E2090" s="1" t="s">
        <v>32</v>
      </c>
      <c r="F2090" s="1" t="str">
        <f>"1343884673"</f>
        <v>1343884673</v>
      </c>
      <c r="G2090" s="1" t="s">
        <v>33</v>
      </c>
      <c r="H2090" s="1" t="str">
        <f t="shared" si="395"/>
        <v>20220910</v>
      </c>
      <c r="I2090" s="1" t="str">
        <f>"080932"</f>
        <v>080932</v>
      </c>
      <c r="J2090" s="1" t="s">
        <v>28</v>
      </c>
      <c r="K2090" s="1" t="s">
        <v>28</v>
      </c>
      <c r="L2090" s="1" t="str">
        <f t="shared" si="396"/>
        <v>20220910</v>
      </c>
      <c r="M2090" s="1" t="str">
        <f>"082806"</f>
        <v>082806</v>
      </c>
      <c r="N2090" s="1" t="s">
        <v>34</v>
      </c>
      <c r="O2090" s="1" t="s">
        <v>34</v>
      </c>
      <c r="P2090" s="1" t="s">
        <v>55</v>
      </c>
      <c r="Q2090" s="1">
        <v>25</v>
      </c>
      <c r="R2090" s="1">
        <v>25</v>
      </c>
      <c r="S2090" s="1">
        <v>0</v>
      </c>
      <c r="T2090" s="1">
        <v>0</v>
      </c>
      <c r="U2090" s="1">
        <v>0</v>
      </c>
      <c r="V2090" s="1" t="str">
        <f t="shared" si="397"/>
        <v>里程去程</v>
      </c>
      <c r="W2090" s="1" t="str">
        <f>"2520"</f>
        <v>2520</v>
      </c>
      <c r="X2090" s="1" t="s">
        <v>35</v>
      </c>
    </row>
    <row r="2091" spans="1:24" x14ac:dyDescent="0.3">
      <c r="A2091" s="1" t="str">
        <f t="shared" si="393"/>
        <v>59820</v>
      </c>
      <c r="B2091" s="1" t="s">
        <v>53</v>
      </c>
      <c r="C2091" s="1" t="s">
        <v>54</v>
      </c>
      <c r="D2091" s="1" t="str">
        <f t="shared" si="394"/>
        <v>9803</v>
      </c>
      <c r="E2091" s="1" t="s">
        <v>32</v>
      </c>
      <c r="F2091" s="1" t="str">
        <f>"1635078757"</f>
        <v>1635078757</v>
      </c>
      <c r="G2091" s="1" t="s">
        <v>33</v>
      </c>
      <c r="H2091" s="1" t="str">
        <f t="shared" si="395"/>
        <v>20220910</v>
      </c>
      <c r="I2091" s="1" t="str">
        <f>"094747"</f>
        <v>094747</v>
      </c>
      <c r="J2091" s="1" t="s">
        <v>28</v>
      </c>
      <c r="K2091" s="1" t="s">
        <v>28</v>
      </c>
      <c r="L2091" s="1" t="str">
        <f t="shared" si="396"/>
        <v>20220910</v>
      </c>
      <c r="M2091" s="1" t="str">
        <f>"094936"</f>
        <v>094936</v>
      </c>
      <c r="N2091" s="1" t="s">
        <v>90</v>
      </c>
      <c r="O2091" s="1" t="s">
        <v>28</v>
      </c>
      <c r="P2091" s="1" t="s">
        <v>55</v>
      </c>
      <c r="Q2091" s="1">
        <v>25</v>
      </c>
      <c r="R2091" s="1">
        <v>25</v>
      </c>
      <c r="S2091" s="1">
        <v>0</v>
      </c>
      <c r="T2091" s="1">
        <v>0</v>
      </c>
      <c r="U2091" s="1">
        <v>0</v>
      </c>
      <c r="V2091" s="1" t="str">
        <f t="shared" si="397"/>
        <v>里程去程</v>
      </c>
      <c r="W2091" s="1" t="str">
        <f>"0220"</f>
        <v>0220</v>
      </c>
      <c r="X2091" s="1" t="s">
        <v>35</v>
      </c>
    </row>
    <row r="2092" spans="1:24" x14ac:dyDescent="0.3">
      <c r="A2092" s="1" t="str">
        <f t="shared" si="393"/>
        <v>59820</v>
      </c>
      <c r="B2092" s="1" t="s">
        <v>53</v>
      </c>
      <c r="C2092" s="1" t="s">
        <v>54</v>
      </c>
      <c r="D2092" s="1" t="str">
        <f t="shared" ref="D2092:D2099" si="398">"9805"</f>
        <v>9805</v>
      </c>
      <c r="E2092" s="1" t="s">
        <v>57</v>
      </c>
      <c r="F2092" s="1" t="str">
        <f>"1259547861"</f>
        <v>1259547861</v>
      </c>
      <c r="G2092" s="1" t="s">
        <v>33</v>
      </c>
      <c r="H2092" s="1" t="str">
        <f t="shared" si="395"/>
        <v>20220910</v>
      </c>
      <c r="I2092" s="1" t="str">
        <f>"120809"</f>
        <v>120809</v>
      </c>
      <c r="J2092" s="1" t="s">
        <v>28</v>
      </c>
      <c r="K2092" s="1" t="s">
        <v>28</v>
      </c>
      <c r="L2092" s="1" t="str">
        <f t="shared" si="396"/>
        <v>20220910</v>
      </c>
      <c r="M2092" s="1" t="str">
        <f>"122523"</f>
        <v>122523</v>
      </c>
      <c r="N2092" s="1" t="s">
        <v>52</v>
      </c>
      <c r="O2092" s="1" t="s">
        <v>52</v>
      </c>
      <c r="P2092" s="1" t="s">
        <v>55</v>
      </c>
      <c r="Q2092" s="1">
        <v>25</v>
      </c>
      <c r="R2092" s="1">
        <v>25</v>
      </c>
      <c r="S2092" s="1">
        <v>0</v>
      </c>
      <c r="T2092" s="1">
        <v>0</v>
      </c>
      <c r="U2092" s="1">
        <v>0</v>
      </c>
      <c r="V2092" s="1" t="str">
        <f t="shared" si="397"/>
        <v>里程去程</v>
      </c>
      <c r="W2092" s="1" t="str">
        <f>"0120"</f>
        <v>0120</v>
      </c>
      <c r="X2092" s="1" t="s">
        <v>35</v>
      </c>
    </row>
    <row r="2093" spans="1:24" x14ac:dyDescent="0.3">
      <c r="A2093" s="1" t="str">
        <f t="shared" si="393"/>
        <v>59820</v>
      </c>
      <c r="B2093" s="1" t="s">
        <v>53</v>
      </c>
      <c r="C2093" s="1" t="s">
        <v>54</v>
      </c>
      <c r="D2093" s="1" t="str">
        <f t="shared" si="398"/>
        <v>9805</v>
      </c>
      <c r="E2093" s="1" t="s">
        <v>57</v>
      </c>
      <c r="F2093" s="1" t="str">
        <f>"1147247877"</f>
        <v>1147247877</v>
      </c>
      <c r="G2093" s="1" t="s">
        <v>38</v>
      </c>
      <c r="H2093" s="1" t="str">
        <f t="shared" si="395"/>
        <v>20220910</v>
      </c>
      <c r="I2093" s="1" t="str">
        <f>"120922"</f>
        <v>120922</v>
      </c>
      <c r="J2093" s="1" t="s">
        <v>28</v>
      </c>
      <c r="K2093" s="1" t="s">
        <v>28</v>
      </c>
      <c r="L2093" s="1" t="str">
        <f t="shared" si="396"/>
        <v>20220910</v>
      </c>
      <c r="M2093" s="1" t="str">
        <f>"122529"</f>
        <v>122529</v>
      </c>
      <c r="N2093" s="1" t="s">
        <v>52</v>
      </c>
      <c r="O2093" s="1" t="s">
        <v>52</v>
      </c>
      <c r="P2093" s="1" t="s">
        <v>55</v>
      </c>
      <c r="Q2093" s="1">
        <v>25</v>
      </c>
      <c r="R2093" s="1">
        <v>25</v>
      </c>
      <c r="S2093" s="1">
        <v>0</v>
      </c>
      <c r="T2093" s="1">
        <v>0</v>
      </c>
      <c r="U2093" s="1">
        <v>0</v>
      </c>
      <c r="V2093" s="1" t="str">
        <f t="shared" si="397"/>
        <v>里程去程</v>
      </c>
      <c r="W2093" s="1" t="str">
        <f>"0e20"</f>
        <v>0e20</v>
      </c>
      <c r="X2093" s="1" t="s">
        <v>35</v>
      </c>
    </row>
    <row r="2094" spans="1:24" x14ac:dyDescent="0.3">
      <c r="A2094" s="1" t="str">
        <f t="shared" si="393"/>
        <v>59820</v>
      </c>
      <c r="B2094" s="1" t="s">
        <v>53</v>
      </c>
      <c r="C2094" s="1" t="s">
        <v>54</v>
      </c>
      <c r="D2094" s="1" t="str">
        <f t="shared" si="398"/>
        <v>9805</v>
      </c>
      <c r="E2094" s="1" t="s">
        <v>57</v>
      </c>
      <c r="F2094" s="1" t="str">
        <f>"1144447797"</f>
        <v>1144447797</v>
      </c>
      <c r="G2094" s="1" t="s">
        <v>33</v>
      </c>
      <c r="H2094" s="1" t="str">
        <f t="shared" si="395"/>
        <v>20220910</v>
      </c>
      <c r="I2094" s="1" t="str">
        <f>"120926"</f>
        <v>120926</v>
      </c>
      <c r="J2094" s="1" t="s">
        <v>28</v>
      </c>
      <c r="K2094" s="1" t="s">
        <v>28</v>
      </c>
      <c r="L2094" s="1" t="str">
        <f t="shared" si="396"/>
        <v>20220910</v>
      </c>
      <c r="M2094" s="1" t="str">
        <f>"122527"</f>
        <v>122527</v>
      </c>
      <c r="N2094" s="1" t="s">
        <v>52</v>
      </c>
      <c r="O2094" s="1" t="s">
        <v>52</v>
      </c>
      <c r="P2094" s="1" t="s">
        <v>55</v>
      </c>
      <c r="Q2094" s="1">
        <v>25</v>
      </c>
      <c r="R2094" s="1">
        <v>25</v>
      </c>
      <c r="S2094" s="1">
        <v>0</v>
      </c>
      <c r="T2094" s="1">
        <v>0</v>
      </c>
      <c r="U2094" s="1">
        <v>0</v>
      </c>
      <c r="V2094" s="1" t="str">
        <f t="shared" si="397"/>
        <v>里程去程</v>
      </c>
      <c r="W2094" s="1" t="str">
        <f>"0e20"</f>
        <v>0e20</v>
      </c>
      <c r="X2094" s="1" t="s">
        <v>35</v>
      </c>
    </row>
    <row r="2095" spans="1:24" x14ac:dyDescent="0.3">
      <c r="A2095" s="1" t="str">
        <f t="shared" si="393"/>
        <v>59820</v>
      </c>
      <c r="B2095" s="1" t="s">
        <v>53</v>
      </c>
      <c r="C2095" s="1" t="s">
        <v>54</v>
      </c>
      <c r="D2095" s="1" t="str">
        <f t="shared" si="398"/>
        <v>9805</v>
      </c>
      <c r="E2095" s="1" t="s">
        <v>57</v>
      </c>
      <c r="F2095" s="1" t="str">
        <f>"E10B9169122804001C00000000000000"</f>
        <v>E10B9169122804001C00000000000000</v>
      </c>
      <c r="G2095" s="1" t="s">
        <v>58</v>
      </c>
      <c r="H2095" s="1" t="str">
        <f t="shared" si="395"/>
        <v>20220910</v>
      </c>
      <c r="I2095" s="1" t="str">
        <f>"121836"</f>
        <v>121836</v>
      </c>
      <c r="J2095" s="1" t="s">
        <v>46</v>
      </c>
      <c r="K2095" s="1" t="s">
        <v>28</v>
      </c>
      <c r="L2095" s="1" t="str">
        <f t="shared" si="396"/>
        <v>20220910</v>
      </c>
      <c r="M2095" s="1" t="str">
        <f>"122316"</f>
        <v>122316</v>
      </c>
      <c r="N2095" s="1" t="s">
        <v>62</v>
      </c>
      <c r="O2095" s="1" t="s">
        <v>28</v>
      </c>
      <c r="P2095" s="1" t="s">
        <v>55</v>
      </c>
      <c r="Q2095" s="1">
        <v>25</v>
      </c>
      <c r="R2095" s="1">
        <v>0</v>
      </c>
      <c r="S2095" s="1">
        <v>25</v>
      </c>
      <c r="T2095" s="1">
        <v>0</v>
      </c>
      <c r="U2095" s="1">
        <v>0</v>
      </c>
      <c r="V2095" s="1" t="str">
        <f t="shared" si="397"/>
        <v>里程去程</v>
      </c>
      <c r="W2095" s="1" t="str">
        <f>"2020"</f>
        <v>2020</v>
      </c>
      <c r="X2095" s="1" t="s">
        <v>29</v>
      </c>
    </row>
    <row r="2096" spans="1:24" x14ac:dyDescent="0.3">
      <c r="A2096" s="1" t="str">
        <f t="shared" si="393"/>
        <v>59820</v>
      </c>
      <c r="B2096" s="1" t="s">
        <v>53</v>
      </c>
      <c r="C2096" s="1" t="s">
        <v>54</v>
      </c>
      <c r="D2096" s="1" t="str">
        <f t="shared" si="398"/>
        <v>9805</v>
      </c>
      <c r="E2096" s="1" t="s">
        <v>57</v>
      </c>
      <c r="F2096" s="1" t="str">
        <f>"1894224283"</f>
        <v>1894224283</v>
      </c>
      <c r="G2096" s="1" t="s">
        <v>33</v>
      </c>
      <c r="H2096" s="1" t="str">
        <f t="shared" si="395"/>
        <v>20220910</v>
      </c>
      <c r="I2096" s="1" t="str">
        <f>"131436"</f>
        <v>131436</v>
      </c>
      <c r="J2096" s="1" t="s">
        <v>62</v>
      </c>
      <c r="K2096" s="1" t="s">
        <v>28</v>
      </c>
      <c r="L2096" s="1" t="str">
        <f t="shared" si="396"/>
        <v>20220910</v>
      </c>
      <c r="M2096" s="1" t="str">
        <f>"132805"</f>
        <v>132805</v>
      </c>
      <c r="N2096" s="1" t="s">
        <v>28</v>
      </c>
      <c r="O2096" s="1" t="s">
        <v>28</v>
      </c>
      <c r="P2096" s="1" t="s">
        <v>55</v>
      </c>
      <c r="Q2096" s="1">
        <v>25</v>
      </c>
      <c r="R2096" s="1">
        <v>25</v>
      </c>
      <c r="S2096" s="1">
        <v>0</v>
      </c>
      <c r="T2096" s="1">
        <v>0</v>
      </c>
      <c r="U2096" s="1">
        <v>0</v>
      </c>
      <c r="V2096" s="1" t="str">
        <f>"里程返程"</f>
        <v>里程返程</v>
      </c>
      <c r="W2096" s="1" t="str">
        <f>"2120"</f>
        <v>2120</v>
      </c>
      <c r="X2096" s="1" t="s">
        <v>35</v>
      </c>
    </row>
    <row r="2097" spans="1:24" x14ac:dyDescent="0.3">
      <c r="A2097" s="1" t="str">
        <f t="shared" si="393"/>
        <v>59820</v>
      </c>
      <c r="B2097" s="1" t="s">
        <v>53</v>
      </c>
      <c r="C2097" s="1" t="s">
        <v>54</v>
      </c>
      <c r="D2097" s="1" t="str">
        <f t="shared" si="398"/>
        <v>9805</v>
      </c>
      <c r="E2097" s="1" t="s">
        <v>57</v>
      </c>
      <c r="F2097" s="1" t="str">
        <f>"1217169589"</f>
        <v>1217169589</v>
      </c>
      <c r="G2097" s="1" t="s">
        <v>38</v>
      </c>
      <c r="H2097" s="1" t="str">
        <f t="shared" si="395"/>
        <v>20220910</v>
      </c>
      <c r="I2097" s="1" t="str">
        <f>"131437"</f>
        <v>131437</v>
      </c>
      <c r="J2097" s="1" t="s">
        <v>62</v>
      </c>
      <c r="K2097" s="1" t="s">
        <v>28</v>
      </c>
      <c r="L2097" s="1" t="str">
        <f t="shared" si="396"/>
        <v>20220910</v>
      </c>
      <c r="M2097" s="1" t="str">
        <f>"132808"</f>
        <v>132808</v>
      </c>
      <c r="N2097" s="1" t="s">
        <v>28</v>
      </c>
      <c r="O2097" s="1" t="s">
        <v>28</v>
      </c>
      <c r="P2097" s="1" t="s">
        <v>55</v>
      </c>
      <c r="Q2097" s="1">
        <v>25</v>
      </c>
      <c r="R2097" s="1">
        <v>25</v>
      </c>
      <c r="S2097" s="1">
        <v>0</v>
      </c>
      <c r="T2097" s="1">
        <v>0</v>
      </c>
      <c r="U2097" s="1">
        <v>0</v>
      </c>
      <c r="V2097" s="1" t="str">
        <f>"里程返程"</f>
        <v>里程返程</v>
      </c>
      <c r="W2097" s="1" t="str">
        <f>"2120"</f>
        <v>2120</v>
      </c>
      <c r="X2097" s="1" t="s">
        <v>35</v>
      </c>
    </row>
    <row r="2098" spans="1:24" x14ac:dyDescent="0.3">
      <c r="A2098" s="1" t="str">
        <f t="shared" si="393"/>
        <v>59820</v>
      </c>
      <c r="B2098" s="1" t="s">
        <v>53</v>
      </c>
      <c r="C2098" s="1" t="s">
        <v>54</v>
      </c>
      <c r="D2098" s="1" t="str">
        <f t="shared" si="398"/>
        <v>9805</v>
      </c>
      <c r="E2098" s="1" t="s">
        <v>57</v>
      </c>
      <c r="F2098" s="1" t="str">
        <f>"3004605842"</f>
        <v>3004605842</v>
      </c>
      <c r="G2098" s="1" t="s">
        <v>33</v>
      </c>
      <c r="H2098" s="1" t="str">
        <f t="shared" si="395"/>
        <v>20220910</v>
      </c>
      <c r="I2098" s="1" t="str">
        <f>"131651"</f>
        <v>131651</v>
      </c>
      <c r="J2098" s="1" t="s">
        <v>103</v>
      </c>
      <c r="K2098" s="1" t="s">
        <v>28</v>
      </c>
      <c r="L2098" s="1" t="str">
        <f t="shared" si="396"/>
        <v>20220910</v>
      </c>
      <c r="M2098" s="1" t="str">
        <f>"132811"</f>
        <v>132811</v>
      </c>
      <c r="N2098" s="1" t="s">
        <v>28</v>
      </c>
      <c r="O2098" s="1" t="s">
        <v>28</v>
      </c>
      <c r="P2098" s="1" t="s">
        <v>55</v>
      </c>
      <c r="Q2098" s="1">
        <v>25</v>
      </c>
      <c r="R2098" s="1">
        <v>25</v>
      </c>
      <c r="S2098" s="1">
        <v>0</v>
      </c>
      <c r="T2098" s="1">
        <v>0</v>
      </c>
      <c r="U2098" s="1">
        <v>0</v>
      </c>
      <c r="V2098" s="1" t="str">
        <f>"里程返程"</f>
        <v>里程返程</v>
      </c>
      <c r="W2098" s="1" t="str">
        <f>"2020"</f>
        <v>2020</v>
      </c>
      <c r="X2098" s="1" t="s">
        <v>35</v>
      </c>
    </row>
    <row r="2099" spans="1:24" x14ac:dyDescent="0.3">
      <c r="A2099" s="1" t="str">
        <f t="shared" si="393"/>
        <v>59820</v>
      </c>
      <c r="B2099" s="1" t="s">
        <v>53</v>
      </c>
      <c r="C2099" s="1" t="s">
        <v>54</v>
      </c>
      <c r="D2099" s="1" t="str">
        <f t="shared" si="398"/>
        <v>9805</v>
      </c>
      <c r="E2099" s="1" t="s">
        <v>57</v>
      </c>
      <c r="F2099" s="1" t="str">
        <f>"585533137"</f>
        <v>585533137</v>
      </c>
      <c r="G2099" s="1" t="s">
        <v>33</v>
      </c>
      <c r="H2099" s="1" t="str">
        <f t="shared" si="395"/>
        <v>20220910</v>
      </c>
      <c r="I2099" s="1" t="str">
        <f>"131654"</f>
        <v>131654</v>
      </c>
      <c r="J2099" s="1" t="s">
        <v>103</v>
      </c>
      <c r="K2099" s="1" t="s">
        <v>28</v>
      </c>
      <c r="L2099" s="1" t="str">
        <f t="shared" si="396"/>
        <v>20220910</v>
      </c>
      <c r="M2099" s="1" t="str">
        <f>"132815"</f>
        <v>132815</v>
      </c>
      <c r="N2099" s="1" t="s">
        <v>28</v>
      </c>
      <c r="O2099" s="1" t="s">
        <v>28</v>
      </c>
      <c r="P2099" s="1" t="s">
        <v>55</v>
      </c>
      <c r="Q2099" s="1">
        <v>25</v>
      </c>
      <c r="R2099" s="1">
        <v>25</v>
      </c>
      <c r="S2099" s="1">
        <v>0</v>
      </c>
      <c r="T2099" s="1">
        <v>0</v>
      </c>
      <c r="U2099" s="1">
        <v>0</v>
      </c>
      <c r="V2099" s="1" t="str">
        <f>"里程返程"</f>
        <v>里程返程</v>
      </c>
      <c r="W2099" s="1" t="str">
        <f>"2020"</f>
        <v>2020</v>
      </c>
      <c r="X2099" s="1" t="s">
        <v>35</v>
      </c>
    </row>
    <row r="2100" spans="1:24" x14ac:dyDescent="0.3">
      <c r="A2100" s="1" t="str">
        <f t="shared" si="393"/>
        <v>59820</v>
      </c>
      <c r="B2100" s="1" t="s">
        <v>53</v>
      </c>
      <c r="C2100" s="1" t="s">
        <v>54</v>
      </c>
      <c r="D2100" s="1" t="str">
        <f t="shared" ref="D2100:D2111" si="399">"9803"</f>
        <v>9803</v>
      </c>
      <c r="E2100" s="1" t="s">
        <v>32</v>
      </c>
      <c r="F2100" s="1" t="str">
        <f>"814768545"</f>
        <v>814768545</v>
      </c>
      <c r="G2100" s="1" t="s">
        <v>33</v>
      </c>
      <c r="H2100" s="1" t="str">
        <f t="shared" si="395"/>
        <v>20220910</v>
      </c>
      <c r="I2100" s="1" t="str">
        <f>"132844"</f>
        <v>132844</v>
      </c>
      <c r="J2100" s="1" t="s">
        <v>28</v>
      </c>
      <c r="K2100" s="1" t="s">
        <v>28</v>
      </c>
      <c r="L2100" s="1" t="str">
        <f t="shared" si="396"/>
        <v>20220910</v>
      </c>
      <c r="M2100" s="1" t="str">
        <f>"134850"</f>
        <v>134850</v>
      </c>
      <c r="N2100" s="1" t="s">
        <v>34</v>
      </c>
      <c r="O2100" s="1" t="s">
        <v>34</v>
      </c>
      <c r="P2100" s="1" t="s">
        <v>55</v>
      </c>
      <c r="Q2100" s="1">
        <v>25</v>
      </c>
      <c r="R2100" s="1">
        <v>25</v>
      </c>
      <c r="S2100" s="1">
        <v>0</v>
      </c>
      <c r="T2100" s="1">
        <v>0</v>
      </c>
      <c r="U2100" s="1">
        <v>0</v>
      </c>
      <c r="V2100" s="1" t="str">
        <f t="shared" ref="V2100:V2106" si="400">"里程去程"</f>
        <v>里程去程</v>
      </c>
      <c r="W2100" s="1" t="str">
        <f>"2020"</f>
        <v>2020</v>
      </c>
      <c r="X2100" s="1" t="s">
        <v>35</v>
      </c>
    </row>
    <row r="2101" spans="1:24" x14ac:dyDescent="0.3">
      <c r="A2101" s="1" t="str">
        <f t="shared" si="393"/>
        <v>59820</v>
      </c>
      <c r="B2101" s="1" t="s">
        <v>53</v>
      </c>
      <c r="C2101" s="1" t="s">
        <v>54</v>
      </c>
      <c r="D2101" s="1" t="str">
        <f t="shared" si="399"/>
        <v>9803</v>
      </c>
      <c r="E2101" s="1" t="s">
        <v>32</v>
      </c>
      <c r="F2101" s="1" t="str">
        <f>"361163208"</f>
        <v>361163208</v>
      </c>
      <c r="G2101" s="1" t="s">
        <v>33</v>
      </c>
      <c r="H2101" s="1" t="str">
        <f t="shared" si="395"/>
        <v>20220910</v>
      </c>
      <c r="I2101" s="1" t="str">
        <f>"132850"</f>
        <v>132850</v>
      </c>
      <c r="J2101" s="1" t="s">
        <v>28</v>
      </c>
      <c r="K2101" s="1" t="s">
        <v>28</v>
      </c>
      <c r="L2101" s="1" t="str">
        <f t="shared" si="396"/>
        <v>20220910</v>
      </c>
      <c r="M2101" s="1" t="str">
        <f>"134836"</f>
        <v>134836</v>
      </c>
      <c r="N2101" s="1" t="s">
        <v>34</v>
      </c>
      <c r="O2101" s="1" t="s">
        <v>34</v>
      </c>
      <c r="P2101" s="1" t="s">
        <v>55</v>
      </c>
      <c r="Q2101" s="1">
        <v>25</v>
      </c>
      <c r="R2101" s="1">
        <v>25</v>
      </c>
      <c r="S2101" s="1">
        <v>0</v>
      </c>
      <c r="T2101" s="1">
        <v>0</v>
      </c>
      <c r="U2101" s="1">
        <v>0</v>
      </c>
      <c r="V2101" s="1" t="str">
        <f t="shared" si="400"/>
        <v>里程去程</v>
      </c>
      <c r="W2101" s="1" t="str">
        <f>"2020"</f>
        <v>2020</v>
      </c>
      <c r="X2101" s="1" t="s">
        <v>35</v>
      </c>
    </row>
    <row r="2102" spans="1:24" x14ac:dyDescent="0.3">
      <c r="A2102" s="1" t="str">
        <f t="shared" si="393"/>
        <v>59820</v>
      </c>
      <c r="B2102" s="1" t="s">
        <v>53</v>
      </c>
      <c r="C2102" s="1" t="s">
        <v>54</v>
      </c>
      <c r="D2102" s="1" t="str">
        <f t="shared" si="399"/>
        <v>9803</v>
      </c>
      <c r="E2102" s="1" t="s">
        <v>32</v>
      </c>
      <c r="F2102" s="1" t="str">
        <f>"1304979041"</f>
        <v>1304979041</v>
      </c>
      <c r="G2102" s="1" t="s">
        <v>38</v>
      </c>
      <c r="H2102" s="1" t="str">
        <f t="shared" si="395"/>
        <v>20220910</v>
      </c>
      <c r="I2102" s="1" t="str">
        <f>"132912"</f>
        <v>132912</v>
      </c>
      <c r="J2102" s="1" t="s">
        <v>28</v>
      </c>
      <c r="K2102" s="1" t="s">
        <v>28</v>
      </c>
      <c r="L2102" s="1" t="str">
        <f t="shared" si="396"/>
        <v>20220910</v>
      </c>
      <c r="M2102" s="1" t="str">
        <f>"134815"</f>
        <v>134815</v>
      </c>
      <c r="N2102" s="1" t="s">
        <v>34</v>
      </c>
      <c r="O2102" s="1" t="s">
        <v>34</v>
      </c>
      <c r="P2102" s="1" t="s">
        <v>55</v>
      </c>
      <c r="Q2102" s="1">
        <v>25</v>
      </c>
      <c r="R2102" s="1">
        <v>25</v>
      </c>
      <c r="S2102" s="1">
        <v>0</v>
      </c>
      <c r="T2102" s="1">
        <v>0</v>
      </c>
      <c r="U2102" s="1">
        <v>0</v>
      </c>
      <c r="V2102" s="1" t="str">
        <f t="shared" si="400"/>
        <v>里程去程</v>
      </c>
      <c r="W2102" s="1" t="str">
        <f>"0320"</f>
        <v>0320</v>
      </c>
      <c r="X2102" s="1" t="s">
        <v>35</v>
      </c>
    </row>
    <row r="2103" spans="1:24" x14ac:dyDescent="0.3">
      <c r="A2103" s="1" t="str">
        <f t="shared" si="393"/>
        <v>59820</v>
      </c>
      <c r="B2103" s="1" t="s">
        <v>53</v>
      </c>
      <c r="C2103" s="1" t="s">
        <v>54</v>
      </c>
      <c r="D2103" s="1" t="str">
        <f t="shared" si="399"/>
        <v>9803</v>
      </c>
      <c r="E2103" s="1" t="s">
        <v>32</v>
      </c>
      <c r="F2103" s="1" t="str">
        <f>"F2817F171B880400C814002000000019"</f>
        <v>F2817F171B880400C814002000000019</v>
      </c>
      <c r="G2103" s="1" t="s">
        <v>59</v>
      </c>
      <c r="H2103" s="1" t="str">
        <f t="shared" si="395"/>
        <v>20220910</v>
      </c>
      <c r="I2103" s="1" t="str">
        <f>"132926"</f>
        <v>132926</v>
      </c>
      <c r="J2103" s="1" t="s">
        <v>28</v>
      </c>
      <c r="K2103" s="1" t="s">
        <v>28</v>
      </c>
      <c r="L2103" s="1" t="str">
        <f t="shared" si="396"/>
        <v>20220910</v>
      </c>
      <c r="M2103" s="1" t="str">
        <f>"134803"</f>
        <v>134803</v>
      </c>
      <c r="N2103" s="1" t="s">
        <v>34</v>
      </c>
      <c r="O2103" s="1" t="s">
        <v>34</v>
      </c>
      <c r="P2103" s="1" t="s">
        <v>55</v>
      </c>
      <c r="Q2103" s="1">
        <v>25</v>
      </c>
      <c r="R2103" s="1">
        <v>0</v>
      </c>
      <c r="S2103" s="1">
        <v>25</v>
      </c>
      <c r="T2103" s="1">
        <v>0</v>
      </c>
      <c r="U2103" s="1">
        <v>0</v>
      </c>
      <c r="V2103" s="1" t="str">
        <f t="shared" si="400"/>
        <v>里程去程</v>
      </c>
      <c r="W2103" s="1" t="str">
        <f>"1120"</f>
        <v>1120</v>
      </c>
      <c r="X2103" s="1" t="s">
        <v>29</v>
      </c>
    </row>
    <row r="2104" spans="1:24" x14ac:dyDescent="0.3">
      <c r="A2104" s="1" t="str">
        <f t="shared" si="393"/>
        <v>59820</v>
      </c>
      <c r="B2104" s="1" t="s">
        <v>53</v>
      </c>
      <c r="C2104" s="1" t="s">
        <v>54</v>
      </c>
      <c r="D2104" s="1" t="str">
        <f t="shared" si="399"/>
        <v>9803</v>
      </c>
      <c r="E2104" s="1" t="s">
        <v>32</v>
      </c>
      <c r="F2104" s="1" t="str">
        <f>"62E2B5122728040080CEBCD765212818"</f>
        <v>62E2B5122728040080CEBCD765212818</v>
      </c>
      <c r="G2104" s="1" t="s">
        <v>58</v>
      </c>
      <c r="H2104" s="1" t="str">
        <f t="shared" si="395"/>
        <v>20220910</v>
      </c>
      <c r="I2104" s="1" t="str">
        <f>"132935"</f>
        <v>132935</v>
      </c>
      <c r="J2104" s="1" t="s">
        <v>28</v>
      </c>
      <c r="K2104" s="1" t="s">
        <v>28</v>
      </c>
      <c r="L2104" s="1" t="str">
        <f t="shared" si="396"/>
        <v>20220910</v>
      </c>
      <c r="M2104" s="1" t="str">
        <f>"134810"</f>
        <v>134810</v>
      </c>
      <c r="N2104" s="1" t="s">
        <v>34</v>
      </c>
      <c r="O2104" s="1" t="s">
        <v>34</v>
      </c>
      <c r="P2104" s="1" t="s">
        <v>55</v>
      </c>
      <c r="Q2104" s="1">
        <v>25</v>
      </c>
      <c r="R2104" s="1">
        <v>25</v>
      </c>
      <c r="S2104" s="1">
        <v>0</v>
      </c>
      <c r="T2104" s="1">
        <v>0</v>
      </c>
      <c r="U2104" s="1">
        <v>0</v>
      </c>
      <c r="V2104" s="1" t="str">
        <f t="shared" si="400"/>
        <v>里程去程</v>
      </c>
      <c r="W2104" s="1" t="str">
        <f>"0020"</f>
        <v>0020</v>
      </c>
      <c r="X2104" s="1" t="s">
        <v>29</v>
      </c>
    </row>
    <row r="2105" spans="1:24" x14ac:dyDescent="0.3">
      <c r="A2105" s="1" t="str">
        <f t="shared" si="393"/>
        <v>59820</v>
      </c>
      <c r="B2105" s="1" t="s">
        <v>53</v>
      </c>
      <c r="C2105" s="1" t="s">
        <v>54</v>
      </c>
      <c r="D2105" s="1" t="str">
        <f t="shared" si="399"/>
        <v>9803</v>
      </c>
      <c r="E2105" s="1" t="s">
        <v>32</v>
      </c>
      <c r="F2105" s="1" t="str">
        <f>"1773325349"</f>
        <v>1773325349</v>
      </c>
      <c r="G2105" s="1" t="s">
        <v>33</v>
      </c>
      <c r="H2105" s="1" t="str">
        <f t="shared" si="395"/>
        <v>20220910</v>
      </c>
      <c r="I2105" s="1" t="str">
        <f>"132942"</f>
        <v>132942</v>
      </c>
      <c r="J2105" s="1" t="s">
        <v>28</v>
      </c>
      <c r="K2105" s="1" t="s">
        <v>28</v>
      </c>
      <c r="L2105" s="1" t="str">
        <f t="shared" si="396"/>
        <v>20220910</v>
      </c>
      <c r="M2105" s="1" t="str">
        <f>"134757"</f>
        <v>134757</v>
      </c>
      <c r="N2105" s="1" t="s">
        <v>34</v>
      </c>
      <c r="O2105" s="1" t="s">
        <v>34</v>
      </c>
      <c r="P2105" s="1" t="s">
        <v>55</v>
      </c>
      <c r="Q2105" s="1">
        <v>25</v>
      </c>
      <c r="R2105" s="1">
        <v>25</v>
      </c>
      <c r="S2105" s="1">
        <v>0</v>
      </c>
      <c r="T2105" s="1">
        <v>0</v>
      </c>
      <c r="U2105" s="1">
        <v>0</v>
      </c>
      <c r="V2105" s="1" t="str">
        <f t="shared" si="400"/>
        <v>里程去程</v>
      </c>
      <c r="W2105" s="1" t="str">
        <f>"0320"</f>
        <v>0320</v>
      </c>
      <c r="X2105" s="1" t="s">
        <v>35</v>
      </c>
    </row>
    <row r="2106" spans="1:24" x14ac:dyDescent="0.3">
      <c r="A2106" s="1" t="str">
        <f t="shared" si="393"/>
        <v>59820</v>
      </c>
      <c r="B2106" s="1" t="s">
        <v>53</v>
      </c>
      <c r="C2106" s="1" t="s">
        <v>54</v>
      </c>
      <c r="D2106" s="1" t="str">
        <f t="shared" si="399"/>
        <v>9803</v>
      </c>
      <c r="E2106" s="1" t="s">
        <v>32</v>
      </c>
      <c r="F2106" s="1" t="str">
        <f>"1709069061"</f>
        <v>1709069061</v>
      </c>
      <c r="G2106" s="1" t="s">
        <v>33</v>
      </c>
      <c r="H2106" s="1" t="str">
        <f t="shared" si="395"/>
        <v>20220910</v>
      </c>
      <c r="I2106" s="1" t="str">
        <f>"133816"</f>
        <v>133816</v>
      </c>
      <c r="J2106" s="1" t="s">
        <v>46</v>
      </c>
      <c r="K2106" s="1" t="s">
        <v>28</v>
      </c>
      <c r="L2106" s="1" t="str">
        <f t="shared" si="396"/>
        <v>20220910</v>
      </c>
      <c r="M2106" s="1" t="str">
        <f>"134819"</f>
        <v>134819</v>
      </c>
      <c r="N2106" s="1" t="s">
        <v>34</v>
      </c>
      <c r="O2106" s="1" t="s">
        <v>34</v>
      </c>
      <c r="P2106" s="1" t="s">
        <v>55</v>
      </c>
      <c r="Q2106" s="1">
        <v>25</v>
      </c>
      <c r="R2106" s="1">
        <v>25</v>
      </c>
      <c r="S2106" s="1">
        <v>0</v>
      </c>
      <c r="T2106" s="1">
        <v>0</v>
      </c>
      <c r="U2106" s="1">
        <v>0</v>
      </c>
      <c r="V2106" s="1" t="str">
        <f t="shared" si="400"/>
        <v>里程去程</v>
      </c>
      <c r="W2106" s="1" t="str">
        <f t="shared" ref="W2106:W2111" si="401">"2020"</f>
        <v>2020</v>
      </c>
      <c r="X2106" s="1" t="s">
        <v>35</v>
      </c>
    </row>
    <row r="2107" spans="1:24" x14ac:dyDescent="0.3">
      <c r="A2107" s="1" t="str">
        <f t="shared" si="393"/>
        <v>59820</v>
      </c>
      <c r="B2107" s="1" t="s">
        <v>53</v>
      </c>
      <c r="C2107" s="1" t="s">
        <v>54</v>
      </c>
      <c r="D2107" s="1" t="str">
        <f t="shared" si="399"/>
        <v>9803</v>
      </c>
      <c r="E2107" s="1" t="s">
        <v>32</v>
      </c>
      <c r="F2107" s="1" t="str">
        <f>"1745924005"</f>
        <v>1745924005</v>
      </c>
      <c r="G2107" s="1" t="s">
        <v>38</v>
      </c>
      <c r="H2107" s="1" t="str">
        <f t="shared" si="395"/>
        <v>20220910</v>
      </c>
      <c r="I2107" s="1" t="str">
        <f>"140120"</f>
        <v>140120</v>
      </c>
      <c r="J2107" s="1" t="s">
        <v>34</v>
      </c>
      <c r="K2107" s="1" t="s">
        <v>34</v>
      </c>
      <c r="L2107" s="1" t="str">
        <f t="shared" si="396"/>
        <v>20220910</v>
      </c>
      <c r="M2107" s="1" t="str">
        <f>"142858"</f>
        <v>142858</v>
      </c>
      <c r="N2107" s="1" t="s">
        <v>28</v>
      </c>
      <c r="O2107" s="1" t="s">
        <v>28</v>
      </c>
      <c r="P2107" s="1" t="s">
        <v>55</v>
      </c>
      <c r="Q2107" s="1">
        <v>25</v>
      </c>
      <c r="R2107" s="1">
        <v>25</v>
      </c>
      <c r="S2107" s="1">
        <v>0</v>
      </c>
      <c r="T2107" s="1">
        <v>0</v>
      </c>
      <c r="U2107" s="1">
        <v>0</v>
      </c>
      <c r="V2107" s="1" t="str">
        <f>"里程返程"</f>
        <v>里程返程</v>
      </c>
      <c r="W2107" s="1" t="str">
        <f t="shared" si="401"/>
        <v>2020</v>
      </c>
      <c r="X2107" s="1" t="s">
        <v>35</v>
      </c>
    </row>
    <row r="2108" spans="1:24" x14ac:dyDescent="0.3">
      <c r="A2108" s="1" t="str">
        <f t="shared" si="393"/>
        <v>59820</v>
      </c>
      <c r="B2108" s="1" t="s">
        <v>53</v>
      </c>
      <c r="C2108" s="1" t="s">
        <v>54</v>
      </c>
      <c r="D2108" s="1" t="str">
        <f t="shared" si="399"/>
        <v>9803</v>
      </c>
      <c r="E2108" s="1" t="s">
        <v>32</v>
      </c>
      <c r="F2108" s="1" t="str">
        <f>"589381537"</f>
        <v>589381537</v>
      </c>
      <c r="G2108" s="1" t="s">
        <v>33</v>
      </c>
      <c r="H2108" s="1" t="str">
        <f t="shared" si="395"/>
        <v>20220910</v>
      </c>
      <c r="I2108" s="1" t="str">
        <f>"140134"</f>
        <v>140134</v>
      </c>
      <c r="J2108" s="1" t="s">
        <v>34</v>
      </c>
      <c r="K2108" s="1" t="s">
        <v>34</v>
      </c>
      <c r="L2108" s="1" t="str">
        <f t="shared" si="396"/>
        <v>20220910</v>
      </c>
      <c r="M2108" s="1" t="str">
        <f>"142904"</f>
        <v>142904</v>
      </c>
      <c r="N2108" s="1" t="s">
        <v>28</v>
      </c>
      <c r="O2108" s="1" t="s">
        <v>28</v>
      </c>
      <c r="P2108" s="1" t="s">
        <v>55</v>
      </c>
      <c r="Q2108" s="1">
        <v>25</v>
      </c>
      <c r="R2108" s="1">
        <v>25</v>
      </c>
      <c r="S2108" s="1">
        <v>0</v>
      </c>
      <c r="T2108" s="1">
        <v>0</v>
      </c>
      <c r="U2108" s="1">
        <v>0</v>
      </c>
      <c r="V2108" s="1" t="str">
        <f>"里程返程"</f>
        <v>里程返程</v>
      </c>
      <c r="W2108" s="1" t="str">
        <f t="shared" si="401"/>
        <v>2020</v>
      </c>
      <c r="X2108" s="1" t="s">
        <v>35</v>
      </c>
    </row>
    <row r="2109" spans="1:24" x14ac:dyDescent="0.3">
      <c r="A2109" s="1" t="str">
        <f t="shared" si="393"/>
        <v>59820</v>
      </c>
      <c r="B2109" s="1" t="s">
        <v>53</v>
      </c>
      <c r="C2109" s="1" t="s">
        <v>54</v>
      </c>
      <c r="D2109" s="1" t="str">
        <f t="shared" si="399"/>
        <v>9803</v>
      </c>
      <c r="E2109" s="1" t="s">
        <v>32</v>
      </c>
      <c r="F2109" s="1" t="str">
        <f>"1205046677"</f>
        <v>1205046677</v>
      </c>
      <c r="G2109" s="1" t="s">
        <v>96</v>
      </c>
      <c r="H2109" s="1" t="str">
        <f t="shared" si="395"/>
        <v>20220910</v>
      </c>
      <c r="I2109" s="1" t="str">
        <f>"140136"</f>
        <v>140136</v>
      </c>
      <c r="J2109" s="1" t="s">
        <v>34</v>
      </c>
      <c r="K2109" s="1" t="s">
        <v>34</v>
      </c>
      <c r="L2109" s="1" t="str">
        <f t="shared" si="396"/>
        <v>20220910</v>
      </c>
      <c r="M2109" s="1" t="str">
        <f>"142901"</f>
        <v>142901</v>
      </c>
      <c r="N2109" s="1" t="s">
        <v>28</v>
      </c>
      <c r="O2109" s="1" t="s">
        <v>28</v>
      </c>
      <c r="P2109" s="1" t="s">
        <v>55</v>
      </c>
      <c r="Q2109" s="1">
        <v>13</v>
      </c>
      <c r="R2109" s="1">
        <v>13</v>
      </c>
      <c r="S2109" s="1">
        <v>0</v>
      </c>
      <c r="T2109" s="1">
        <v>0</v>
      </c>
      <c r="U2109" s="1">
        <v>0</v>
      </c>
      <c r="V2109" s="1" t="str">
        <f>"里程返程"</f>
        <v>里程返程</v>
      </c>
      <c r="W2109" s="1" t="str">
        <f t="shared" si="401"/>
        <v>2020</v>
      </c>
      <c r="X2109" s="1" t="s">
        <v>35</v>
      </c>
    </row>
    <row r="2110" spans="1:24" x14ac:dyDescent="0.3">
      <c r="A2110" s="1" t="str">
        <f t="shared" si="393"/>
        <v>59820</v>
      </c>
      <c r="B2110" s="1" t="s">
        <v>53</v>
      </c>
      <c r="C2110" s="1" t="s">
        <v>54</v>
      </c>
      <c r="D2110" s="1" t="str">
        <f t="shared" si="399"/>
        <v>9803</v>
      </c>
      <c r="E2110" s="1" t="s">
        <v>32</v>
      </c>
      <c r="F2110" s="1" t="str">
        <f>"2077572460"</f>
        <v>2077572460</v>
      </c>
      <c r="G2110" s="1" t="s">
        <v>33</v>
      </c>
      <c r="H2110" s="1" t="str">
        <f t="shared" si="395"/>
        <v>20220910</v>
      </c>
      <c r="I2110" s="1" t="str">
        <f>"140157"</f>
        <v>140157</v>
      </c>
      <c r="J2110" s="1" t="s">
        <v>34</v>
      </c>
      <c r="K2110" s="1" t="s">
        <v>34</v>
      </c>
      <c r="L2110" s="1" t="str">
        <f>""</f>
        <v/>
      </c>
      <c r="M2110" s="1" t="str">
        <f>""</f>
        <v/>
      </c>
      <c r="P2110" s="1" t="s">
        <v>88</v>
      </c>
      <c r="Q2110" s="1">
        <v>25</v>
      </c>
      <c r="R2110" s="1">
        <v>25</v>
      </c>
      <c r="S2110" s="1">
        <v>0</v>
      </c>
      <c r="T2110" s="1">
        <v>0</v>
      </c>
      <c r="U2110" s="1">
        <v>0</v>
      </c>
      <c r="V2110" s="1" t="str">
        <f>"里程返程"</f>
        <v>里程返程</v>
      </c>
      <c r="W2110" s="1" t="str">
        <f t="shared" si="401"/>
        <v>2020</v>
      </c>
      <c r="X2110" s="1" t="s">
        <v>35</v>
      </c>
    </row>
    <row r="2111" spans="1:24" x14ac:dyDescent="0.3">
      <c r="A2111" s="1" t="str">
        <f t="shared" si="393"/>
        <v>59820</v>
      </c>
      <c r="B2111" s="1" t="s">
        <v>53</v>
      </c>
      <c r="C2111" s="1" t="s">
        <v>54</v>
      </c>
      <c r="D2111" s="1" t="str">
        <f t="shared" si="399"/>
        <v>9803</v>
      </c>
      <c r="E2111" s="1" t="s">
        <v>32</v>
      </c>
      <c r="F2111" s="1" t="str">
        <f>"1661321557"</f>
        <v>1661321557</v>
      </c>
      <c r="G2111" s="1" t="s">
        <v>33</v>
      </c>
      <c r="H2111" s="1" t="str">
        <f t="shared" si="395"/>
        <v>20220910</v>
      </c>
      <c r="I2111" s="1" t="str">
        <f>"140201"</f>
        <v>140201</v>
      </c>
      <c r="J2111" s="1" t="s">
        <v>34</v>
      </c>
      <c r="K2111" s="1" t="s">
        <v>34</v>
      </c>
      <c r="L2111" s="1" t="str">
        <f t="shared" ref="L2111:L2142" si="402">"20220910"</f>
        <v>20220910</v>
      </c>
      <c r="M2111" s="1" t="str">
        <f>"142950"</f>
        <v>142950</v>
      </c>
      <c r="N2111" s="1" t="s">
        <v>28</v>
      </c>
      <c r="O2111" s="1" t="s">
        <v>28</v>
      </c>
      <c r="P2111" s="1" t="s">
        <v>55</v>
      </c>
      <c r="Q2111" s="1">
        <v>25</v>
      </c>
      <c r="R2111" s="1">
        <v>25</v>
      </c>
      <c r="S2111" s="1">
        <v>0</v>
      </c>
      <c r="T2111" s="1">
        <v>0</v>
      </c>
      <c r="U2111" s="1">
        <v>0</v>
      </c>
      <c r="V2111" s="1" t="str">
        <f>"里程返程"</f>
        <v>里程返程</v>
      </c>
      <c r="W2111" s="1" t="str">
        <f t="shared" si="401"/>
        <v>2020</v>
      </c>
      <c r="X2111" s="1" t="s">
        <v>35</v>
      </c>
    </row>
    <row r="2112" spans="1:24" x14ac:dyDescent="0.3">
      <c r="A2112" s="1" t="str">
        <f t="shared" si="393"/>
        <v>59820</v>
      </c>
      <c r="B2112" s="1" t="s">
        <v>53</v>
      </c>
      <c r="C2112" s="1" t="s">
        <v>54</v>
      </c>
      <c r="D2112" s="1" t="str">
        <f>"9805"</f>
        <v>9805</v>
      </c>
      <c r="E2112" s="1" t="s">
        <v>57</v>
      </c>
      <c r="F2112" s="1" t="str">
        <f>"1139503861"</f>
        <v>1139503861</v>
      </c>
      <c r="G2112" s="1" t="s">
        <v>33</v>
      </c>
      <c r="H2112" s="1" t="str">
        <f t="shared" si="395"/>
        <v>20220910</v>
      </c>
      <c r="I2112" s="1" t="str">
        <f>"151820"</f>
        <v>151820</v>
      </c>
      <c r="J2112" s="1" t="s">
        <v>28</v>
      </c>
      <c r="K2112" s="1" t="s">
        <v>28</v>
      </c>
      <c r="L2112" s="1" t="str">
        <f t="shared" si="402"/>
        <v>20220910</v>
      </c>
      <c r="M2112" s="1" t="str">
        <f>"153057"</f>
        <v>153057</v>
      </c>
      <c r="N2112" s="1" t="s">
        <v>61</v>
      </c>
      <c r="O2112" s="1" t="s">
        <v>28</v>
      </c>
      <c r="P2112" s="1" t="s">
        <v>55</v>
      </c>
      <c r="Q2112" s="1">
        <v>25</v>
      </c>
      <c r="R2112" s="1">
        <v>25</v>
      </c>
      <c r="S2112" s="1">
        <v>0</v>
      </c>
      <c r="T2112" s="1">
        <v>0</v>
      </c>
      <c r="U2112" s="1">
        <v>0</v>
      </c>
      <c r="V2112" s="1" t="str">
        <f>"里程去程"</f>
        <v>里程去程</v>
      </c>
      <c r="W2112" s="1" t="str">
        <f>"0320"</f>
        <v>0320</v>
      </c>
      <c r="X2112" s="1" t="s">
        <v>35</v>
      </c>
    </row>
    <row r="2113" spans="1:24" x14ac:dyDescent="0.3">
      <c r="A2113" s="1" t="str">
        <f t="shared" si="393"/>
        <v>59820</v>
      </c>
      <c r="B2113" s="1" t="s">
        <v>53</v>
      </c>
      <c r="C2113" s="1" t="s">
        <v>54</v>
      </c>
      <c r="D2113" s="1" t="str">
        <f>"9805"</f>
        <v>9805</v>
      </c>
      <c r="E2113" s="1" t="s">
        <v>57</v>
      </c>
      <c r="F2113" s="1" t="str">
        <f>"933060901"</f>
        <v>933060901</v>
      </c>
      <c r="G2113" s="1" t="s">
        <v>33</v>
      </c>
      <c r="H2113" s="1" t="str">
        <f t="shared" si="395"/>
        <v>20220910</v>
      </c>
      <c r="I2113" s="1" t="str">
        <f>"151823"</f>
        <v>151823</v>
      </c>
      <c r="J2113" s="1" t="s">
        <v>28</v>
      </c>
      <c r="K2113" s="1" t="s">
        <v>28</v>
      </c>
      <c r="L2113" s="1" t="str">
        <f t="shared" si="402"/>
        <v>20220910</v>
      </c>
      <c r="M2113" s="1" t="str">
        <f>"153054"</f>
        <v>153054</v>
      </c>
      <c r="N2113" s="1" t="s">
        <v>61</v>
      </c>
      <c r="O2113" s="1" t="s">
        <v>28</v>
      </c>
      <c r="P2113" s="1" t="s">
        <v>55</v>
      </c>
      <c r="Q2113" s="1">
        <v>25</v>
      </c>
      <c r="R2113" s="1">
        <v>25</v>
      </c>
      <c r="S2113" s="1">
        <v>0</v>
      </c>
      <c r="T2113" s="1">
        <v>0</v>
      </c>
      <c r="U2113" s="1">
        <v>0</v>
      </c>
      <c r="V2113" s="1" t="str">
        <f>"里程去程"</f>
        <v>里程去程</v>
      </c>
      <c r="W2113" s="1" t="str">
        <f>"0320"</f>
        <v>0320</v>
      </c>
      <c r="X2113" s="1" t="s">
        <v>35</v>
      </c>
    </row>
    <row r="2114" spans="1:24" x14ac:dyDescent="0.3">
      <c r="A2114" s="1" t="str">
        <f t="shared" si="393"/>
        <v>59820</v>
      </c>
      <c r="B2114" s="1" t="s">
        <v>53</v>
      </c>
      <c r="C2114" s="1" t="s">
        <v>54</v>
      </c>
      <c r="D2114" s="1" t="str">
        <f>"9805"</f>
        <v>9805</v>
      </c>
      <c r="E2114" s="1" t="s">
        <v>57</v>
      </c>
      <c r="F2114" s="1" t="str">
        <f>"1082324373"</f>
        <v>1082324373</v>
      </c>
      <c r="G2114" s="1" t="s">
        <v>33</v>
      </c>
      <c r="H2114" s="1" t="str">
        <f t="shared" si="395"/>
        <v>20220910</v>
      </c>
      <c r="I2114" s="1" t="str">
        <f>"151827"</f>
        <v>151827</v>
      </c>
      <c r="J2114" s="1" t="s">
        <v>28</v>
      </c>
      <c r="K2114" s="1" t="s">
        <v>28</v>
      </c>
      <c r="L2114" s="1" t="str">
        <f t="shared" si="402"/>
        <v>20220910</v>
      </c>
      <c r="M2114" s="1" t="str">
        <f>"153051"</f>
        <v>153051</v>
      </c>
      <c r="N2114" s="1" t="s">
        <v>61</v>
      </c>
      <c r="O2114" s="1" t="s">
        <v>28</v>
      </c>
      <c r="P2114" s="1" t="s">
        <v>55</v>
      </c>
      <c r="Q2114" s="1">
        <v>25</v>
      </c>
      <c r="R2114" s="1">
        <v>25</v>
      </c>
      <c r="S2114" s="1">
        <v>0</v>
      </c>
      <c r="T2114" s="1">
        <v>0</v>
      </c>
      <c r="U2114" s="1">
        <v>0</v>
      </c>
      <c r="V2114" s="1" t="str">
        <f>"里程去程"</f>
        <v>里程去程</v>
      </c>
      <c r="W2114" s="1" t="str">
        <f>"0320"</f>
        <v>0320</v>
      </c>
      <c r="X2114" s="1" t="s">
        <v>35</v>
      </c>
    </row>
    <row r="2115" spans="1:24" x14ac:dyDescent="0.3">
      <c r="A2115" s="1" t="str">
        <f t="shared" si="393"/>
        <v>59820</v>
      </c>
      <c r="B2115" s="1" t="s">
        <v>53</v>
      </c>
      <c r="C2115" s="1" t="s">
        <v>54</v>
      </c>
      <c r="D2115" s="1" t="str">
        <f>"9805"</f>
        <v>9805</v>
      </c>
      <c r="E2115" s="1" t="s">
        <v>57</v>
      </c>
      <c r="F2115" s="1" t="str">
        <f>"1082355781"</f>
        <v>1082355781</v>
      </c>
      <c r="G2115" s="1" t="s">
        <v>33</v>
      </c>
      <c r="H2115" s="1" t="str">
        <f t="shared" si="395"/>
        <v>20220910</v>
      </c>
      <c r="I2115" s="1" t="str">
        <f>"151832"</f>
        <v>151832</v>
      </c>
      <c r="J2115" s="1" t="s">
        <v>28</v>
      </c>
      <c r="K2115" s="1" t="s">
        <v>28</v>
      </c>
      <c r="L2115" s="1" t="str">
        <f t="shared" si="402"/>
        <v>20220910</v>
      </c>
      <c r="M2115" s="1" t="str">
        <f>"153043"</f>
        <v>153043</v>
      </c>
      <c r="N2115" s="1" t="s">
        <v>61</v>
      </c>
      <c r="O2115" s="1" t="s">
        <v>28</v>
      </c>
      <c r="P2115" s="1" t="s">
        <v>55</v>
      </c>
      <c r="Q2115" s="1">
        <v>25</v>
      </c>
      <c r="R2115" s="1">
        <v>25</v>
      </c>
      <c r="S2115" s="1">
        <v>0</v>
      </c>
      <c r="T2115" s="1">
        <v>0</v>
      </c>
      <c r="U2115" s="1">
        <v>0</v>
      </c>
      <c r="V2115" s="1" t="str">
        <f>"里程去程"</f>
        <v>里程去程</v>
      </c>
      <c r="W2115" s="1" t="str">
        <f>"0320"</f>
        <v>0320</v>
      </c>
      <c r="X2115" s="1" t="s">
        <v>35</v>
      </c>
    </row>
    <row r="2116" spans="1:24" x14ac:dyDescent="0.3">
      <c r="A2116" s="1" t="str">
        <f t="shared" si="393"/>
        <v>59820</v>
      </c>
      <c r="B2116" s="1" t="s">
        <v>53</v>
      </c>
      <c r="C2116" s="1" t="s">
        <v>54</v>
      </c>
      <c r="D2116" s="1" t="str">
        <f t="shared" ref="D2116:D2126" si="403">"9803"</f>
        <v>9803</v>
      </c>
      <c r="E2116" s="1" t="s">
        <v>32</v>
      </c>
      <c r="F2116" s="1" t="str">
        <f>"2683545771"</f>
        <v>2683545771</v>
      </c>
      <c r="G2116" s="1" t="s">
        <v>33</v>
      </c>
      <c r="H2116" s="1" t="str">
        <f t="shared" si="395"/>
        <v>20220910</v>
      </c>
      <c r="I2116" s="1" t="str">
        <f>"180833"</f>
        <v>180833</v>
      </c>
      <c r="J2116" s="1" t="s">
        <v>34</v>
      </c>
      <c r="K2116" s="1" t="s">
        <v>34</v>
      </c>
      <c r="L2116" s="1" t="str">
        <f t="shared" si="402"/>
        <v>20220910</v>
      </c>
      <c r="M2116" s="1" t="str">
        <f>"183238"</f>
        <v>183238</v>
      </c>
      <c r="N2116" s="1" t="s">
        <v>28</v>
      </c>
      <c r="O2116" s="1" t="s">
        <v>28</v>
      </c>
      <c r="P2116" s="1" t="s">
        <v>55</v>
      </c>
      <c r="Q2116" s="1">
        <v>25</v>
      </c>
      <c r="R2116" s="1">
        <v>25</v>
      </c>
      <c r="S2116" s="1">
        <v>0</v>
      </c>
      <c r="T2116" s="1">
        <v>0</v>
      </c>
      <c r="U2116" s="1">
        <v>0</v>
      </c>
      <c r="V2116" s="1" t="str">
        <f t="shared" ref="V2116:V2146" si="404">"里程返程"</f>
        <v>里程返程</v>
      </c>
      <c r="W2116" s="1" t="str">
        <f>"2020"</f>
        <v>2020</v>
      </c>
      <c r="X2116" s="1" t="s">
        <v>35</v>
      </c>
    </row>
    <row r="2117" spans="1:24" x14ac:dyDescent="0.3">
      <c r="A2117" s="1" t="str">
        <f t="shared" si="393"/>
        <v>59820</v>
      </c>
      <c r="B2117" s="1" t="s">
        <v>53</v>
      </c>
      <c r="C2117" s="1" t="s">
        <v>54</v>
      </c>
      <c r="D2117" s="1" t="str">
        <f t="shared" si="403"/>
        <v>9803</v>
      </c>
      <c r="E2117" s="1" t="s">
        <v>32</v>
      </c>
      <c r="F2117" s="1" t="str">
        <f>"455009521"</f>
        <v>455009521</v>
      </c>
      <c r="G2117" s="1" t="s">
        <v>33</v>
      </c>
      <c r="H2117" s="1" t="str">
        <f t="shared" si="395"/>
        <v>20220910</v>
      </c>
      <c r="I2117" s="1" t="str">
        <f>"180837"</f>
        <v>180837</v>
      </c>
      <c r="J2117" s="1" t="s">
        <v>34</v>
      </c>
      <c r="K2117" s="1" t="s">
        <v>34</v>
      </c>
      <c r="L2117" s="1" t="str">
        <f t="shared" si="402"/>
        <v>20220910</v>
      </c>
      <c r="M2117" s="1" t="str">
        <f>"183311"</f>
        <v>183311</v>
      </c>
      <c r="N2117" s="1" t="s">
        <v>28</v>
      </c>
      <c r="O2117" s="1" t="s">
        <v>28</v>
      </c>
      <c r="P2117" s="1" t="s">
        <v>55</v>
      </c>
      <c r="Q2117" s="1">
        <v>25</v>
      </c>
      <c r="R2117" s="1">
        <v>25</v>
      </c>
      <c r="S2117" s="1">
        <v>0</v>
      </c>
      <c r="T2117" s="1">
        <v>0</v>
      </c>
      <c r="U2117" s="1">
        <v>0</v>
      </c>
      <c r="V2117" s="1" t="str">
        <f t="shared" si="404"/>
        <v>里程返程</v>
      </c>
      <c r="W2117" s="1" t="str">
        <f>"2120"</f>
        <v>2120</v>
      </c>
      <c r="X2117" s="1" t="s">
        <v>35</v>
      </c>
    </row>
    <row r="2118" spans="1:24" x14ac:dyDescent="0.3">
      <c r="A2118" s="1" t="str">
        <f t="shared" si="393"/>
        <v>59820</v>
      </c>
      <c r="B2118" s="1" t="s">
        <v>53</v>
      </c>
      <c r="C2118" s="1" t="s">
        <v>54</v>
      </c>
      <c r="D2118" s="1" t="str">
        <f t="shared" si="403"/>
        <v>9803</v>
      </c>
      <c r="E2118" s="1" t="s">
        <v>32</v>
      </c>
      <c r="F2118" s="1" t="str">
        <f>"1259294981"</f>
        <v>1259294981</v>
      </c>
      <c r="G2118" s="1" t="s">
        <v>38</v>
      </c>
      <c r="H2118" s="1" t="str">
        <f t="shared" si="395"/>
        <v>20220910</v>
      </c>
      <c r="I2118" s="1" t="str">
        <f>"180840"</f>
        <v>180840</v>
      </c>
      <c r="J2118" s="1" t="s">
        <v>34</v>
      </c>
      <c r="K2118" s="1" t="s">
        <v>34</v>
      </c>
      <c r="L2118" s="1" t="str">
        <f t="shared" si="402"/>
        <v>20220910</v>
      </c>
      <c r="M2118" s="1" t="str">
        <f>"183242"</f>
        <v>183242</v>
      </c>
      <c r="N2118" s="1" t="s">
        <v>28</v>
      </c>
      <c r="O2118" s="1" t="s">
        <v>28</v>
      </c>
      <c r="P2118" s="1" t="s">
        <v>55</v>
      </c>
      <c r="Q2118" s="1">
        <v>25</v>
      </c>
      <c r="R2118" s="1">
        <v>25</v>
      </c>
      <c r="S2118" s="1">
        <v>0</v>
      </c>
      <c r="T2118" s="1">
        <v>0</v>
      </c>
      <c r="U2118" s="1">
        <v>0</v>
      </c>
      <c r="V2118" s="1" t="str">
        <f t="shared" si="404"/>
        <v>里程返程</v>
      </c>
      <c r="W2118" s="1" t="str">
        <f>"2120"</f>
        <v>2120</v>
      </c>
      <c r="X2118" s="1" t="s">
        <v>35</v>
      </c>
    </row>
    <row r="2119" spans="1:24" x14ac:dyDescent="0.3">
      <c r="A2119" s="1" t="str">
        <f t="shared" si="393"/>
        <v>59820</v>
      </c>
      <c r="B2119" s="1" t="s">
        <v>53</v>
      </c>
      <c r="C2119" s="1" t="s">
        <v>54</v>
      </c>
      <c r="D2119" s="1" t="str">
        <f t="shared" si="403"/>
        <v>9803</v>
      </c>
      <c r="E2119" s="1" t="s">
        <v>32</v>
      </c>
      <c r="F2119" s="1" t="str">
        <f>"3917422115"</f>
        <v>3917422115</v>
      </c>
      <c r="G2119" s="1" t="s">
        <v>33</v>
      </c>
      <c r="H2119" s="1" t="str">
        <f t="shared" si="395"/>
        <v>20220910</v>
      </c>
      <c r="I2119" s="1" t="str">
        <f>"180844"</f>
        <v>180844</v>
      </c>
      <c r="J2119" s="1" t="s">
        <v>34</v>
      </c>
      <c r="K2119" s="1" t="s">
        <v>34</v>
      </c>
      <c r="L2119" s="1" t="str">
        <f t="shared" si="402"/>
        <v>20220910</v>
      </c>
      <c r="M2119" s="1" t="str">
        <f>"183228"</f>
        <v>183228</v>
      </c>
      <c r="N2119" s="1" t="s">
        <v>28</v>
      </c>
      <c r="O2119" s="1" t="s">
        <v>28</v>
      </c>
      <c r="P2119" s="1" t="s">
        <v>55</v>
      </c>
      <c r="Q2119" s="1">
        <v>25</v>
      </c>
      <c r="R2119" s="1">
        <v>25</v>
      </c>
      <c r="S2119" s="1">
        <v>0</v>
      </c>
      <c r="T2119" s="1">
        <v>0</v>
      </c>
      <c r="U2119" s="1">
        <v>0</v>
      </c>
      <c r="V2119" s="1" t="str">
        <f t="shared" si="404"/>
        <v>里程返程</v>
      </c>
      <c r="W2119" s="1" t="str">
        <f>"2020"</f>
        <v>2020</v>
      </c>
      <c r="X2119" s="1" t="s">
        <v>35</v>
      </c>
    </row>
    <row r="2120" spans="1:24" x14ac:dyDescent="0.3">
      <c r="A2120" s="1" t="str">
        <f t="shared" si="393"/>
        <v>59820</v>
      </c>
      <c r="B2120" s="1" t="s">
        <v>53</v>
      </c>
      <c r="C2120" s="1" t="s">
        <v>54</v>
      </c>
      <c r="D2120" s="1" t="str">
        <f t="shared" si="403"/>
        <v>9803</v>
      </c>
      <c r="E2120" s="1" t="s">
        <v>32</v>
      </c>
      <c r="F2120" s="1" t="str">
        <f>"1020014053"</f>
        <v>1020014053</v>
      </c>
      <c r="G2120" s="1" t="s">
        <v>38</v>
      </c>
      <c r="H2120" s="1" t="str">
        <f t="shared" si="395"/>
        <v>20220910</v>
      </c>
      <c r="I2120" s="1" t="str">
        <f>"180850"</f>
        <v>180850</v>
      </c>
      <c r="J2120" s="1" t="s">
        <v>34</v>
      </c>
      <c r="K2120" s="1" t="s">
        <v>34</v>
      </c>
      <c r="L2120" s="1" t="str">
        <f t="shared" si="402"/>
        <v>20220910</v>
      </c>
      <c r="M2120" s="1" t="str">
        <f>"183321"</f>
        <v>183321</v>
      </c>
      <c r="N2120" s="1" t="s">
        <v>28</v>
      </c>
      <c r="O2120" s="1" t="s">
        <v>28</v>
      </c>
      <c r="P2120" s="1" t="s">
        <v>55</v>
      </c>
      <c r="Q2120" s="1">
        <v>25</v>
      </c>
      <c r="R2120" s="1">
        <v>25</v>
      </c>
      <c r="S2120" s="1">
        <v>0</v>
      </c>
      <c r="T2120" s="1">
        <v>0</v>
      </c>
      <c r="U2120" s="1">
        <v>0</v>
      </c>
      <c r="V2120" s="1" t="str">
        <f t="shared" si="404"/>
        <v>里程返程</v>
      </c>
      <c r="W2120" s="1" t="str">
        <f>"0820"</f>
        <v>0820</v>
      </c>
      <c r="X2120" s="1" t="s">
        <v>35</v>
      </c>
    </row>
    <row r="2121" spans="1:24" x14ac:dyDescent="0.3">
      <c r="A2121" s="1" t="str">
        <f t="shared" si="393"/>
        <v>59820</v>
      </c>
      <c r="B2121" s="1" t="s">
        <v>53</v>
      </c>
      <c r="C2121" s="1" t="s">
        <v>54</v>
      </c>
      <c r="D2121" s="1" t="str">
        <f t="shared" si="403"/>
        <v>9803</v>
      </c>
      <c r="E2121" s="1" t="s">
        <v>32</v>
      </c>
      <c r="F2121" s="1" t="str">
        <f>"1111838357"</f>
        <v>1111838357</v>
      </c>
      <c r="G2121" s="1" t="s">
        <v>38</v>
      </c>
      <c r="H2121" s="1" t="str">
        <f t="shared" si="395"/>
        <v>20220910</v>
      </c>
      <c r="I2121" s="1" t="str">
        <f>"180856"</f>
        <v>180856</v>
      </c>
      <c r="J2121" s="1" t="s">
        <v>34</v>
      </c>
      <c r="K2121" s="1" t="s">
        <v>34</v>
      </c>
      <c r="L2121" s="1" t="str">
        <f t="shared" si="402"/>
        <v>20220910</v>
      </c>
      <c r="M2121" s="1" t="str">
        <f>"183328"</f>
        <v>183328</v>
      </c>
      <c r="N2121" s="1" t="s">
        <v>28</v>
      </c>
      <c r="O2121" s="1" t="s">
        <v>28</v>
      </c>
      <c r="P2121" s="1" t="s">
        <v>55</v>
      </c>
      <c r="Q2121" s="1">
        <v>25</v>
      </c>
      <c r="R2121" s="1">
        <v>25</v>
      </c>
      <c r="S2121" s="1">
        <v>0</v>
      </c>
      <c r="T2121" s="1">
        <v>0</v>
      </c>
      <c r="U2121" s="1">
        <v>0</v>
      </c>
      <c r="V2121" s="1" t="str">
        <f t="shared" si="404"/>
        <v>里程返程</v>
      </c>
      <c r="W2121" s="1" t="str">
        <f>"2020"</f>
        <v>2020</v>
      </c>
      <c r="X2121" s="1" t="s">
        <v>35</v>
      </c>
    </row>
    <row r="2122" spans="1:24" x14ac:dyDescent="0.3">
      <c r="A2122" s="1" t="str">
        <f t="shared" si="393"/>
        <v>59820</v>
      </c>
      <c r="B2122" s="1" t="s">
        <v>53</v>
      </c>
      <c r="C2122" s="1" t="s">
        <v>54</v>
      </c>
      <c r="D2122" s="1" t="str">
        <f t="shared" si="403"/>
        <v>9803</v>
      </c>
      <c r="E2122" s="1" t="s">
        <v>32</v>
      </c>
      <c r="F2122" s="1" t="str">
        <f>"1435480657"</f>
        <v>1435480657</v>
      </c>
      <c r="G2122" s="1" t="s">
        <v>33</v>
      </c>
      <c r="H2122" s="1" t="str">
        <f t="shared" si="395"/>
        <v>20220910</v>
      </c>
      <c r="I2122" s="1" t="str">
        <f>"180858"</f>
        <v>180858</v>
      </c>
      <c r="J2122" s="1" t="s">
        <v>34</v>
      </c>
      <c r="K2122" s="1" t="s">
        <v>34</v>
      </c>
      <c r="L2122" s="1" t="str">
        <f t="shared" si="402"/>
        <v>20220910</v>
      </c>
      <c r="M2122" s="1" t="str">
        <f>"183327"</f>
        <v>183327</v>
      </c>
      <c r="N2122" s="1" t="s">
        <v>28</v>
      </c>
      <c r="O2122" s="1" t="s">
        <v>28</v>
      </c>
      <c r="P2122" s="1" t="s">
        <v>55</v>
      </c>
      <c r="Q2122" s="1">
        <v>25</v>
      </c>
      <c r="R2122" s="1">
        <v>25</v>
      </c>
      <c r="S2122" s="1">
        <v>0</v>
      </c>
      <c r="T2122" s="1">
        <v>0</v>
      </c>
      <c r="U2122" s="1">
        <v>0</v>
      </c>
      <c r="V2122" s="1" t="str">
        <f t="shared" si="404"/>
        <v>里程返程</v>
      </c>
      <c r="W2122" s="1" t="str">
        <f>"2020"</f>
        <v>2020</v>
      </c>
      <c r="X2122" s="1" t="s">
        <v>35</v>
      </c>
    </row>
    <row r="2123" spans="1:24" x14ac:dyDescent="0.3">
      <c r="A2123" s="1" t="str">
        <f t="shared" si="393"/>
        <v>59820</v>
      </c>
      <c r="B2123" s="1" t="s">
        <v>53</v>
      </c>
      <c r="C2123" s="1" t="s">
        <v>54</v>
      </c>
      <c r="D2123" s="1" t="str">
        <f t="shared" si="403"/>
        <v>9803</v>
      </c>
      <c r="E2123" s="1" t="s">
        <v>32</v>
      </c>
      <c r="F2123" s="1" t="str">
        <f>"7A193DD08E8804004759441159103407"</f>
        <v>7A193DD08E8804004759441159103407</v>
      </c>
      <c r="G2123" s="1" t="s">
        <v>58</v>
      </c>
      <c r="H2123" s="1" t="str">
        <f t="shared" si="395"/>
        <v>20220910</v>
      </c>
      <c r="I2123" s="1" t="str">
        <f>"180912"</f>
        <v>180912</v>
      </c>
      <c r="J2123" s="1" t="s">
        <v>34</v>
      </c>
      <c r="K2123" s="1" t="s">
        <v>34</v>
      </c>
      <c r="L2123" s="1" t="str">
        <f t="shared" si="402"/>
        <v>20220910</v>
      </c>
      <c r="M2123" s="1" t="str">
        <f>"183248"</f>
        <v>183248</v>
      </c>
      <c r="N2123" s="1" t="s">
        <v>28</v>
      </c>
      <c r="O2123" s="1" t="s">
        <v>28</v>
      </c>
      <c r="P2123" s="1" t="s">
        <v>55</v>
      </c>
      <c r="Q2123" s="1">
        <v>25</v>
      </c>
      <c r="R2123" s="1">
        <v>25</v>
      </c>
      <c r="S2123" s="1">
        <v>0</v>
      </c>
      <c r="T2123" s="1">
        <v>0</v>
      </c>
      <c r="U2123" s="1">
        <v>0</v>
      </c>
      <c r="V2123" s="1" t="str">
        <f t="shared" si="404"/>
        <v>里程返程</v>
      </c>
      <c r="W2123" s="1" t="str">
        <f>"0020"</f>
        <v>0020</v>
      </c>
      <c r="X2123" s="1" t="s">
        <v>29</v>
      </c>
    </row>
    <row r="2124" spans="1:24" x14ac:dyDescent="0.3">
      <c r="A2124" s="1" t="str">
        <f t="shared" si="393"/>
        <v>59820</v>
      </c>
      <c r="B2124" s="1" t="s">
        <v>53</v>
      </c>
      <c r="C2124" s="1" t="s">
        <v>54</v>
      </c>
      <c r="D2124" s="1" t="str">
        <f t="shared" si="403"/>
        <v>9803</v>
      </c>
      <c r="E2124" s="1" t="s">
        <v>32</v>
      </c>
      <c r="F2124" s="1" t="str">
        <f>"937176373"</f>
        <v>937176373</v>
      </c>
      <c r="G2124" s="1" t="s">
        <v>33</v>
      </c>
      <c r="H2124" s="1" t="str">
        <f t="shared" si="395"/>
        <v>20220910</v>
      </c>
      <c r="I2124" s="1" t="str">
        <f>"180917"</f>
        <v>180917</v>
      </c>
      <c r="J2124" s="1" t="s">
        <v>34</v>
      </c>
      <c r="K2124" s="1" t="s">
        <v>34</v>
      </c>
      <c r="L2124" s="1" t="str">
        <f t="shared" si="402"/>
        <v>20220910</v>
      </c>
      <c r="M2124" s="1" t="str">
        <f>"183318"</f>
        <v>183318</v>
      </c>
      <c r="N2124" s="1" t="s">
        <v>28</v>
      </c>
      <c r="O2124" s="1" t="s">
        <v>28</v>
      </c>
      <c r="P2124" s="1" t="s">
        <v>55</v>
      </c>
      <c r="Q2124" s="1">
        <v>25</v>
      </c>
      <c r="R2124" s="1">
        <v>25</v>
      </c>
      <c r="S2124" s="1">
        <v>0</v>
      </c>
      <c r="T2124" s="1">
        <v>0</v>
      </c>
      <c r="U2124" s="1">
        <v>0</v>
      </c>
      <c r="V2124" s="1" t="str">
        <f t="shared" si="404"/>
        <v>里程返程</v>
      </c>
      <c r="W2124" s="1" t="str">
        <f>"2020"</f>
        <v>2020</v>
      </c>
      <c r="X2124" s="1" t="s">
        <v>35</v>
      </c>
    </row>
    <row r="2125" spans="1:24" x14ac:dyDescent="0.3">
      <c r="A2125" s="1" t="str">
        <f t="shared" si="393"/>
        <v>59820</v>
      </c>
      <c r="B2125" s="1" t="s">
        <v>53</v>
      </c>
      <c r="C2125" s="1" t="s">
        <v>54</v>
      </c>
      <c r="D2125" s="1" t="str">
        <f t="shared" si="403"/>
        <v>9803</v>
      </c>
      <c r="E2125" s="1" t="s">
        <v>32</v>
      </c>
      <c r="F2125" s="1" t="str">
        <f>"A1A49E51CA2804001C00000000000000"</f>
        <v>A1A49E51CA2804001C00000000000000</v>
      </c>
      <c r="G2125" s="1" t="s">
        <v>58</v>
      </c>
      <c r="H2125" s="1" t="str">
        <f t="shared" si="395"/>
        <v>20220910</v>
      </c>
      <c r="I2125" s="1" t="str">
        <f>"180920"</f>
        <v>180920</v>
      </c>
      <c r="J2125" s="1" t="s">
        <v>34</v>
      </c>
      <c r="K2125" s="1" t="s">
        <v>34</v>
      </c>
      <c r="L2125" s="1" t="str">
        <f t="shared" si="402"/>
        <v>20220910</v>
      </c>
      <c r="M2125" s="1" t="str">
        <f>"183315"</f>
        <v>183315</v>
      </c>
      <c r="N2125" s="1" t="s">
        <v>28</v>
      </c>
      <c r="O2125" s="1" t="s">
        <v>28</v>
      </c>
      <c r="P2125" s="1" t="s">
        <v>55</v>
      </c>
      <c r="Q2125" s="1">
        <v>25</v>
      </c>
      <c r="R2125" s="1">
        <v>25</v>
      </c>
      <c r="S2125" s="1">
        <v>0</v>
      </c>
      <c r="T2125" s="1">
        <v>0</v>
      </c>
      <c r="U2125" s="1">
        <v>0</v>
      </c>
      <c r="V2125" s="1" t="str">
        <f t="shared" si="404"/>
        <v>里程返程</v>
      </c>
      <c r="W2125" s="1" t="str">
        <f>"0020"</f>
        <v>0020</v>
      </c>
      <c r="X2125" s="1" t="s">
        <v>29</v>
      </c>
    </row>
    <row r="2126" spans="1:24" x14ac:dyDescent="0.3">
      <c r="A2126" s="1" t="str">
        <f t="shared" si="393"/>
        <v>59820</v>
      </c>
      <c r="B2126" s="1" t="s">
        <v>53</v>
      </c>
      <c r="C2126" s="1" t="s">
        <v>54</v>
      </c>
      <c r="D2126" s="1" t="str">
        <f t="shared" si="403"/>
        <v>9803</v>
      </c>
      <c r="E2126" s="1" t="s">
        <v>32</v>
      </c>
      <c r="F2126" s="1" t="str">
        <f>"3493080471"</f>
        <v>3493080471</v>
      </c>
      <c r="G2126" s="1" t="s">
        <v>33</v>
      </c>
      <c r="H2126" s="1" t="str">
        <f t="shared" si="395"/>
        <v>20220910</v>
      </c>
      <c r="I2126" s="1" t="str">
        <f>"180926"</f>
        <v>180926</v>
      </c>
      <c r="J2126" s="1" t="s">
        <v>34</v>
      </c>
      <c r="K2126" s="1" t="s">
        <v>34</v>
      </c>
      <c r="L2126" s="1" t="str">
        <f t="shared" si="402"/>
        <v>20220910</v>
      </c>
      <c r="M2126" s="1" t="str">
        <f>"183306"</f>
        <v>183306</v>
      </c>
      <c r="N2126" s="1" t="s">
        <v>28</v>
      </c>
      <c r="O2126" s="1" t="s">
        <v>28</v>
      </c>
      <c r="P2126" s="1" t="s">
        <v>55</v>
      </c>
      <c r="Q2126" s="1">
        <v>25</v>
      </c>
      <c r="R2126" s="1">
        <v>25</v>
      </c>
      <c r="S2126" s="1">
        <v>0</v>
      </c>
      <c r="T2126" s="1">
        <v>0</v>
      </c>
      <c r="U2126" s="1">
        <v>0</v>
      </c>
      <c r="V2126" s="1" t="str">
        <f t="shared" si="404"/>
        <v>里程返程</v>
      </c>
      <c r="W2126" s="1" t="str">
        <f>"0620"</f>
        <v>0620</v>
      </c>
      <c r="X2126" s="1" t="s">
        <v>35</v>
      </c>
    </row>
    <row r="2127" spans="1:24" x14ac:dyDescent="0.3">
      <c r="A2127" s="1" t="str">
        <f t="shared" ref="A2127:A2171" si="405">"59822"</f>
        <v>59822</v>
      </c>
      <c r="B2127" s="1" t="s">
        <v>39</v>
      </c>
      <c r="C2127" s="1" t="s">
        <v>40</v>
      </c>
      <c r="D2127" s="1" t="str">
        <f t="shared" ref="D2127:D2146" si="406">"9801"</f>
        <v>9801</v>
      </c>
      <c r="E2127" s="1" t="s">
        <v>25</v>
      </c>
      <c r="F2127" s="1" t="str">
        <f>"1199359025"</f>
        <v>1199359025</v>
      </c>
      <c r="G2127" s="1" t="s">
        <v>33</v>
      </c>
      <c r="H2127" s="1" t="str">
        <f t="shared" si="395"/>
        <v>20220910</v>
      </c>
      <c r="I2127" s="1" t="str">
        <f>"083336"</f>
        <v>083336</v>
      </c>
      <c r="J2127" s="1" t="s">
        <v>100</v>
      </c>
      <c r="K2127" s="1" t="s">
        <v>45</v>
      </c>
      <c r="L2127" s="1" t="str">
        <f t="shared" si="402"/>
        <v>20220910</v>
      </c>
      <c r="M2127" s="1" t="str">
        <f>"085217"</f>
        <v>085217</v>
      </c>
      <c r="N2127" s="1" t="s">
        <v>28</v>
      </c>
      <c r="O2127" s="1" t="s">
        <v>28</v>
      </c>
      <c r="P2127" s="1" t="s">
        <v>55</v>
      </c>
      <c r="Q2127" s="1">
        <v>25</v>
      </c>
      <c r="R2127" s="1">
        <v>25</v>
      </c>
      <c r="S2127" s="1">
        <v>0</v>
      </c>
      <c r="T2127" s="1">
        <v>0</v>
      </c>
      <c r="U2127" s="1">
        <v>0</v>
      </c>
      <c r="V2127" s="1" t="str">
        <f t="shared" si="404"/>
        <v>里程返程</v>
      </c>
      <c r="W2127" s="1" t="str">
        <f>"2020"</f>
        <v>2020</v>
      </c>
      <c r="X2127" s="1" t="s">
        <v>35</v>
      </c>
    </row>
    <row r="2128" spans="1:24" x14ac:dyDescent="0.3">
      <c r="A2128" s="1" t="str">
        <f t="shared" si="405"/>
        <v>59822</v>
      </c>
      <c r="B2128" s="1" t="s">
        <v>39</v>
      </c>
      <c r="C2128" s="1" t="s">
        <v>40</v>
      </c>
      <c r="D2128" s="1" t="str">
        <f t="shared" si="406"/>
        <v>9801</v>
      </c>
      <c r="E2128" s="1" t="s">
        <v>25</v>
      </c>
      <c r="F2128" s="1" t="str">
        <f>"03A6A9454988040048B994D749703809"</f>
        <v>03A6A9454988040048B994D749703809</v>
      </c>
      <c r="G2128" s="1" t="s">
        <v>64</v>
      </c>
      <c r="H2128" s="1" t="str">
        <f t="shared" si="395"/>
        <v>20220910</v>
      </c>
      <c r="I2128" s="1" t="str">
        <f>"085244"</f>
        <v>085244</v>
      </c>
      <c r="J2128" s="1" t="s">
        <v>28</v>
      </c>
      <c r="K2128" s="1" t="s">
        <v>28</v>
      </c>
      <c r="L2128" s="1" t="str">
        <f t="shared" si="402"/>
        <v>20220910</v>
      </c>
      <c r="M2128" s="1" t="str">
        <f>"090500"</f>
        <v>090500</v>
      </c>
      <c r="N2128" s="1" t="s">
        <v>67</v>
      </c>
      <c r="O2128" s="1" t="s">
        <v>52</v>
      </c>
      <c r="P2128" s="1" t="s">
        <v>55</v>
      </c>
      <c r="Q2128" s="1">
        <v>13</v>
      </c>
      <c r="R2128" s="1">
        <v>13</v>
      </c>
      <c r="S2128" s="1">
        <v>0</v>
      </c>
      <c r="T2128" s="1">
        <v>0</v>
      </c>
      <c r="U2128" s="1">
        <v>0</v>
      </c>
      <c r="V2128" s="1" t="str">
        <f t="shared" si="404"/>
        <v>里程返程</v>
      </c>
      <c r="W2128" s="1" t="str">
        <f>"0020"</f>
        <v>0020</v>
      </c>
      <c r="X2128" s="1" t="s">
        <v>29</v>
      </c>
    </row>
    <row r="2129" spans="1:24" x14ac:dyDescent="0.3">
      <c r="A2129" s="1" t="str">
        <f t="shared" si="405"/>
        <v>59822</v>
      </c>
      <c r="B2129" s="1" t="s">
        <v>39</v>
      </c>
      <c r="C2129" s="1" t="s">
        <v>40</v>
      </c>
      <c r="D2129" s="1" t="str">
        <f t="shared" si="406"/>
        <v>9801</v>
      </c>
      <c r="E2129" s="1" t="s">
        <v>25</v>
      </c>
      <c r="F2129" s="1" t="str">
        <f>"1336732257"</f>
        <v>1336732257</v>
      </c>
      <c r="G2129" s="1" t="s">
        <v>33</v>
      </c>
      <c r="H2129" s="1" t="str">
        <f t="shared" si="395"/>
        <v>20220910</v>
      </c>
      <c r="I2129" s="1" t="str">
        <f>"091611"</f>
        <v>091611</v>
      </c>
      <c r="J2129" s="1" t="s">
        <v>71</v>
      </c>
      <c r="K2129" s="1" t="s">
        <v>52</v>
      </c>
      <c r="L2129" s="1" t="str">
        <f t="shared" si="402"/>
        <v>20220910</v>
      </c>
      <c r="M2129" s="1" t="str">
        <f>"092233"</f>
        <v>092233</v>
      </c>
      <c r="N2129" s="1" t="s">
        <v>52</v>
      </c>
      <c r="O2129" s="1" t="s">
        <v>52</v>
      </c>
      <c r="P2129" s="1" t="s">
        <v>55</v>
      </c>
      <c r="Q2129" s="1">
        <v>25</v>
      </c>
      <c r="R2129" s="1">
        <v>0</v>
      </c>
      <c r="S2129" s="1">
        <v>25</v>
      </c>
      <c r="T2129" s="1">
        <v>0</v>
      </c>
      <c r="U2129" s="1">
        <v>0</v>
      </c>
      <c r="V2129" s="1" t="str">
        <f t="shared" si="404"/>
        <v>里程返程</v>
      </c>
      <c r="W2129" s="1" t="str">
        <f>"2020"</f>
        <v>2020</v>
      </c>
      <c r="X2129" s="1" t="s">
        <v>35</v>
      </c>
    </row>
    <row r="2130" spans="1:24" x14ac:dyDescent="0.3">
      <c r="A2130" s="1" t="str">
        <f t="shared" si="405"/>
        <v>59822</v>
      </c>
      <c r="B2130" s="1" t="s">
        <v>39</v>
      </c>
      <c r="C2130" s="1" t="s">
        <v>40</v>
      </c>
      <c r="D2130" s="1" t="str">
        <f t="shared" si="406"/>
        <v>9801</v>
      </c>
      <c r="E2130" s="1" t="s">
        <v>25</v>
      </c>
      <c r="F2130" s="1" t="str">
        <f>"1336732257"</f>
        <v>1336732257</v>
      </c>
      <c r="G2130" s="1" t="s">
        <v>33</v>
      </c>
      <c r="H2130" s="1" t="str">
        <f t="shared" si="395"/>
        <v>20220910</v>
      </c>
      <c r="I2130" s="1" t="str">
        <f>"092303"</f>
        <v>092303</v>
      </c>
      <c r="J2130" s="1" t="s">
        <v>44</v>
      </c>
      <c r="K2130" s="1" t="s">
        <v>45</v>
      </c>
      <c r="L2130" s="1" t="str">
        <f t="shared" si="402"/>
        <v>20220910</v>
      </c>
      <c r="M2130" s="1" t="str">
        <f>"094926"</f>
        <v>094926</v>
      </c>
      <c r="N2130" s="1" t="s">
        <v>28</v>
      </c>
      <c r="O2130" s="1" t="s">
        <v>28</v>
      </c>
      <c r="P2130" s="1" t="s">
        <v>55</v>
      </c>
      <c r="Q2130" s="1">
        <v>25</v>
      </c>
      <c r="R2130" s="1">
        <v>25</v>
      </c>
      <c r="S2130" s="1">
        <v>0</v>
      </c>
      <c r="T2130" s="1">
        <v>0</v>
      </c>
      <c r="U2130" s="1">
        <v>0</v>
      </c>
      <c r="V2130" s="1" t="str">
        <f t="shared" si="404"/>
        <v>里程返程</v>
      </c>
      <c r="W2130" s="1" t="str">
        <f>"2020"</f>
        <v>2020</v>
      </c>
      <c r="X2130" s="1" t="s">
        <v>35</v>
      </c>
    </row>
    <row r="2131" spans="1:24" x14ac:dyDescent="0.3">
      <c r="A2131" s="1" t="str">
        <f t="shared" si="405"/>
        <v>59822</v>
      </c>
      <c r="B2131" s="1" t="s">
        <v>39</v>
      </c>
      <c r="C2131" s="1" t="s">
        <v>40</v>
      </c>
      <c r="D2131" s="1" t="str">
        <f t="shared" si="406"/>
        <v>9801</v>
      </c>
      <c r="E2131" s="1" t="s">
        <v>25</v>
      </c>
      <c r="F2131" s="1" t="str">
        <f>"52F01A03BB880400C834002000000015"</f>
        <v>52F01A03BB880400C834002000000015</v>
      </c>
      <c r="G2131" s="1" t="s">
        <v>26</v>
      </c>
      <c r="H2131" s="1" t="str">
        <f t="shared" si="395"/>
        <v>20220910</v>
      </c>
      <c r="I2131" s="1" t="str">
        <f>"093949"</f>
        <v>093949</v>
      </c>
      <c r="J2131" s="1" t="s">
        <v>56</v>
      </c>
      <c r="K2131" s="1" t="s">
        <v>45</v>
      </c>
      <c r="L2131" s="1" t="str">
        <f t="shared" si="402"/>
        <v>20220910</v>
      </c>
      <c r="M2131" s="1" t="str">
        <f>"094922"</f>
        <v>094922</v>
      </c>
      <c r="N2131" s="1" t="s">
        <v>28</v>
      </c>
      <c r="O2131" s="1" t="s">
        <v>28</v>
      </c>
      <c r="P2131" s="1" t="s">
        <v>68</v>
      </c>
      <c r="Q2131" s="1">
        <v>13</v>
      </c>
      <c r="R2131" s="1">
        <v>0</v>
      </c>
      <c r="S2131" s="1">
        <v>0</v>
      </c>
      <c r="T2131" s="1">
        <v>13</v>
      </c>
      <c r="U2131" s="1">
        <v>0</v>
      </c>
      <c r="V2131" s="1" t="str">
        <f t="shared" si="404"/>
        <v>里程返程</v>
      </c>
      <c r="W2131" s="1" t="str">
        <f>"0020"</f>
        <v>0020</v>
      </c>
      <c r="X2131" s="1" t="s">
        <v>29</v>
      </c>
    </row>
    <row r="2132" spans="1:24" x14ac:dyDescent="0.3">
      <c r="A2132" s="1" t="str">
        <f t="shared" si="405"/>
        <v>59822</v>
      </c>
      <c r="B2132" s="1" t="s">
        <v>39</v>
      </c>
      <c r="C2132" s="1" t="s">
        <v>40</v>
      </c>
      <c r="D2132" s="1" t="str">
        <f t="shared" si="406"/>
        <v>9801</v>
      </c>
      <c r="E2132" s="1" t="s">
        <v>25</v>
      </c>
      <c r="F2132" s="1" t="str">
        <f>"6117182019051201"</f>
        <v>6117182019051201</v>
      </c>
      <c r="G2132" s="1" t="s">
        <v>33</v>
      </c>
      <c r="H2132" s="1" t="str">
        <f t="shared" si="395"/>
        <v>20220910</v>
      </c>
      <c r="I2132" s="1" t="str">
        <f>"094935"</f>
        <v>094935</v>
      </c>
      <c r="J2132" s="1" t="s">
        <v>28</v>
      </c>
      <c r="K2132" s="1" t="s">
        <v>28</v>
      </c>
      <c r="L2132" s="1" t="str">
        <f t="shared" si="402"/>
        <v>20220910</v>
      </c>
      <c r="M2132" s="1" t="str">
        <f>"101527"</f>
        <v>101527</v>
      </c>
      <c r="N2132" s="1" t="s">
        <v>72</v>
      </c>
      <c r="O2132" s="1" t="s">
        <v>52</v>
      </c>
      <c r="P2132" s="1" t="s">
        <v>55</v>
      </c>
      <c r="Q2132" s="1">
        <v>25</v>
      </c>
      <c r="R2132" s="1">
        <v>25</v>
      </c>
      <c r="S2132" s="1">
        <v>0</v>
      </c>
      <c r="T2132" s="1">
        <v>0</v>
      </c>
      <c r="U2132" s="1">
        <v>0</v>
      </c>
      <c r="V2132" s="1" t="str">
        <f t="shared" si="404"/>
        <v>里程返程</v>
      </c>
      <c r="W2132" s="1" t="str">
        <f>"193B"</f>
        <v>193B</v>
      </c>
      <c r="X2132" s="1" t="s">
        <v>109</v>
      </c>
    </row>
    <row r="2133" spans="1:24" x14ac:dyDescent="0.3">
      <c r="A2133" s="1" t="str">
        <f t="shared" si="405"/>
        <v>59822</v>
      </c>
      <c r="B2133" s="1" t="s">
        <v>39</v>
      </c>
      <c r="C2133" s="1" t="s">
        <v>40</v>
      </c>
      <c r="D2133" s="1" t="str">
        <f t="shared" si="406"/>
        <v>9801</v>
      </c>
      <c r="E2133" s="1" t="s">
        <v>25</v>
      </c>
      <c r="F2133" s="1" t="str">
        <f>"1040913125"</f>
        <v>1040913125</v>
      </c>
      <c r="G2133" s="1" t="s">
        <v>33</v>
      </c>
      <c r="H2133" s="1" t="str">
        <f t="shared" si="395"/>
        <v>20220910</v>
      </c>
      <c r="I2133" s="1" t="str">
        <f>"094940"</f>
        <v>094940</v>
      </c>
      <c r="J2133" s="1" t="s">
        <v>28</v>
      </c>
      <c r="K2133" s="1" t="s">
        <v>28</v>
      </c>
      <c r="L2133" s="1" t="str">
        <f t="shared" si="402"/>
        <v>20220910</v>
      </c>
      <c r="M2133" s="1" t="str">
        <f>"101426"</f>
        <v>101426</v>
      </c>
      <c r="N2133" s="1" t="s">
        <v>65</v>
      </c>
      <c r="O2133" s="1" t="s">
        <v>52</v>
      </c>
      <c r="P2133" s="1" t="s">
        <v>55</v>
      </c>
      <c r="Q2133" s="1">
        <v>25</v>
      </c>
      <c r="R2133" s="1">
        <v>25</v>
      </c>
      <c r="S2133" s="1">
        <v>0</v>
      </c>
      <c r="T2133" s="1">
        <v>0</v>
      </c>
      <c r="U2133" s="1">
        <v>0</v>
      </c>
      <c r="V2133" s="1" t="str">
        <f t="shared" si="404"/>
        <v>里程返程</v>
      </c>
      <c r="W2133" s="1" t="str">
        <f>"0120"</f>
        <v>0120</v>
      </c>
      <c r="X2133" s="1" t="s">
        <v>35</v>
      </c>
    </row>
    <row r="2134" spans="1:24" x14ac:dyDescent="0.3">
      <c r="A2134" s="1" t="str">
        <f t="shared" si="405"/>
        <v>59822</v>
      </c>
      <c r="B2134" s="1" t="s">
        <v>39</v>
      </c>
      <c r="C2134" s="1" t="s">
        <v>40</v>
      </c>
      <c r="D2134" s="1" t="str">
        <f t="shared" si="406"/>
        <v>9801</v>
      </c>
      <c r="E2134" s="1" t="s">
        <v>25</v>
      </c>
      <c r="F2134" s="1" t="str">
        <f>"1635078757"</f>
        <v>1635078757</v>
      </c>
      <c r="G2134" s="1" t="s">
        <v>33</v>
      </c>
      <c r="H2134" s="1" t="str">
        <f t="shared" si="395"/>
        <v>20220910</v>
      </c>
      <c r="I2134" s="1" t="str">
        <f>"094947"</f>
        <v>094947</v>
      </c>
      <c r="J2134" s="1" t="s">
        <v>28</v>
      </c>
      <c r="K2134" s="1" t="s">
        <v>28</v>
      </c>
      <c r="L2134" s="1" t="str">
        <f t="shared" si="402"/>
        <v>20220910</v>
      </c>
      <c r="M2134" s="1" t="str">
        <f>"100329"</f>
        <v>100329</v>
      </c>
      <c r="N2134" s="1" t="s">
        <v>67</v>
      </c>
      <c r="O2134" s="1" t="s">
        <v>52</v>
      </c>
      <c r="P2134" s="1" t="s">
        <v>55</v>
      </c>
      <c r="Q2134" s="1">
        <v>25</v>
      </c>
      <c r="R2134" s="1">
        <v>0</v>
      </c>
      <c r="S2134" s="1">
        <v>25</v>
      </c>
      <c r="T2134" s="1">
        <v>0</v>
      </c>
      <c r="U2134" s="1">
        <v>0</v>
      </c>
      <c r="V2134" s="1" t="str">
        <f t="shared" si="404"/>
        <v>里程返程</v>
      </c>
      <c r="W2134" s="1" t="str">
        <f>"2020"</f>
        <v>2020</v>
      </c>
      <c r="X2134" s="1" t="s">
        <v>35</v>
      </c>
    </row>
    <row r="2135" spans="1:24" x14ac:dyDescent="0.3">
      <c r="A2135" s="1" t="str">
        <f t="shared" si="405"/>
        <v>59822</v>
      </c>
      <c r="B2135" s="1" t="s">
        <v>39</v>
      </c>
      <c r="C2135" s="1" t="s">
        <v>40</v>
      </c>
      <c r="D2135" s="1" t="str">
        <f t="shared" si="406"/>
        <v>9801</v>
      </c>
      <c r="E2135" s="1" t="s">
        <v>25</v>
      </c>
      <c r="F2135" s="1" t="str">
        <f>"1109041365"</f>
        <v>1109041365</v>
      </c>
      <c r="G2135" s="1" t="s">
        <v>33</v>
      </c>
      <c r="H2135" s="1" t="str">
        <f t="shared" si="395"/>
        <v>20220910</v>
      </c>
      <c r="I2135" s="1" t="str">
        <f>"095208"</f>
        <v>095208</v>
      </c>
      <c r="J2135" s="1" t="s">
        <v>28</v>
      </c>
      <c r="K2135" s="1" t="s">
        <v>28</v>
      </c>
      <c r="L2135" s="1" t="str">
        <f t="shared" si="402"/>
        <v>20220910</v>
      </c>
      <c r="M2135" s="1" t="str">
        <f>"102239"</f>
        <v>102239</v>
      </c>
      <c r="N2135" s="1" t="s">
        <v>52</v>
      </c>
      <c r="O2135" s="1" t="s">
        <v>52</v>
      </c>
      <c r="P2135" s="1" t="s">
        <v>55</v>
      </c>
      <c r="Q2135" s="1">
        <v>25</v>
      </c>
      <c r="R2135" s="1">
        <v>25</v>
      </c>
      <c r="S2135" s="1">
        <v>0</v>
      </c>
      <c r="T2135" s="1">
        <v>0</v>
      </c>
      <c r="U2135" s="1">
        <v>0</v>
      </c>
      <c r="V2135" s="1" t="str">
        <f t="shared" si="404"/>
        <v>里程返程</v>
      </c>
      <c r="W2135" s="1" t="str">
        <f>"1c20"</f>
        <v>1c20</v>
      </c>
      <c r="X2135" s="1" t="s">
        <v>35</v>
      </c>
    </row>
    <row r="2136" spans="1:24" x14ac:dyDescent="0.3">
      <c r="A2136" s="1" t="str">
        <f t="shared" si="405"/>
        <v>59822</v>
      </c>
      <c r="B2136" s="1" t="s">
        <v>39</v>
      </c>
      <c r="C2136" s="1" t="s">
        <v>40</v>
      </c>
      <c r="D2136" s="1" t="str">
        <f t="shared" si="406"/>
        <v>9801</v>
      </c>
      <c r="E2136" s="1" t="s">
        <v>25</v>
      </c>
      <c r="F2136" s="1" t="str">
        <f>"1207813445"</f>
        <v>1207813445</v>
      </c>
      <c r="G2136" s="1" t="s">
        <v>33</v>
      </c>
      <c r="H2136" s="1" t="str">
        <f t="shared" si="395"/>
        <v>20220910</v>
      </c>
      <c r="I2136" s="1" t="str">
        <f>"095224"</f>
        <v>095224</v>
      </c>
      <c r="J2136" s="1" t="s">
        <v>28</v>
      </c>
      <c r="K2136" s="1" t="s">
        <v>28</v>
      </c>
      <c r="L2136" s="1" t="str">
        <f t="shared" si="402"/>
        <v>20220910</v>
      </c>
      <c r="M2136" s="1" t="str">
        <f>"102242"</f>
        <v>102242</v>
      </c>
      <c r="N2136" s="1" t="s">
        <v>52</v>
      </c>
      <c r="O2136" s="1" t="s">
        <v>52</v>
      </c>
      <c r="P2136" s="1" t="s">
        <v>55</v>
      </c>
      <c r="Q2136" s="1">
        <v>25</v>
      </c>
      <c r="R2136" s="1">
        <v>0</v>
      </c>
      <c r="S2136" s="1">
        <v>25</v>
      </c>
      <c r="T2136" s="1">
        <v>0</v>
      </c>
      <c r="U2136" s="1">
        <v>0</v>
      </c>
      <c r="V2136" s="1" t="str">
        <f t="shared" si="404"/>
        <v>里程返程</v>
      </c>
      <c r="W2136" s="1" t="str">
        <f>"2120"</f>
        <v>2120</v>
      </c>
      <c r="X2136" s="1" t="s">
        <v>35</v>
      </c>
    </row>
    <row r="2137" spans="1:24" x14ac:dyDescent="0.3">
      <c r="A2137" s="1" t="str">
        <f t="shared" si="405"/>
        <v>59822</v>
      </c>
      <c r="B2137" s="1" t="s">
        <v>39</v>
      </c>
      <c r="C2137" s="1" t="s">
        <v>40</v>
      </c>
      <c r="D2137" s="1" t="str">
        <f t="shared" si="406"/>
        <v>9801</v>
      </c>
      <c r="E2137" s="1" t="s">
        <v>25</v>
      </c>
      <c r="F2137" s="1" t="str">
        <f>"1840134417"</f>
        <v>1840134417</v>
      </c>
      <c r="G2137" s="1" t="s">
        <v>33</v>
      </c>
      <c r="H2137" s="1" t="str">
        <f t="shared" si="395"/>
        <v>20220910</v>
      </c>
      <c r="I2137" s="1" t="str">
        <f>"103357"</f>
        <v>103357</v>
      </c>
      <c r="J2137" s="1" t="s">
        <v>100</v>
      </c>
      <c r="K2137" s="1" t="s">
        <v>45</v>
      </c>
      <c r="L2137" s="1" t="str">
        <f t="shared" si="402"/>
        <v>20220910</v>
      </c>
      <c r="M2137" s="1" t="str">
        <f>"105130"</f>
        <v>105130</v>
      </c>
      <c r="N2137" s="1" t="s">
        <v>28</v>
      </c>
      <c r="O2137" s="1" t="s">
        <v>28</v>
      </c>
      <c r="P2137" s="1" t="s">
        <v>55</v>
      </c>
      <c r="Q2137" s="1">
        <v>25</v>
      </c>
      <c r="R2137" s="1">
        <v>25</v>
      </c>
      <c r="S2137" s="1">
        <v>0</v>
      </c>
      <c r="T2137" s="1">
        <v>0</v>
      </c>
      <c r="U2137" s="1">
        <v>0</v>
      </c>
      <c r="V2137" s="1" t="str">
        <f t="shared" si="404"/>
        <v>里程返程</v>
      </c>
      <c r="W2137" s="1" t="str">
        <f>"2020"</f>
        <v>2020</v>
      </c>
      <c r="X2137" s="1" t="s">
        <v>35</v>
      </c>
    </row>
    <row r="2138" spans="1:24" x14ac:dyDescent="0.3">
      <c r="A2138" s="1" t="str">
        <f t="shared" si="405"/>
        <v>59822</v>
      </c>
      <c r="B2138" s="1" t="s">
        <v>39</v>
      </c>
      <c r="C2138" s="1" t="s">
        <v>40</v>
      </c>
      <c r="D2138" s="1" t="str">
        <f t="shared" si="406"/>
        <v>9801</v>
      </c>
      <c r="E2138" s="1" t="s">
        <v>25</v>
      </c>
      <c r="F2138" s="1" t="str">
        <f>"222FE702E8880400C834002000000015"</f>
        <v>222FE702E8880400C834002000000015</v>
      </c>
      <c r="G2138" s="1" t="s">
        <v>74</v>
      </c>
      <c r="H2138" s="1" t="str">
        <f t="shared" si="395"/>
        <v>20220910</v>
      </c>
      <c r="I2138" s="1" t="str">
        <f>"105143"</f>
        <v>105143</v>
      </c>
      <c r="J2138" s="1" t="s">
        <v>28</v>
      </c>
      <c r="K2138" s="1" t="s">
        <v>28</v>
      </c>
      <c r="L2138" s="1" t="str">
        <f t="shared" si="402"/>
        <v>20220910</v>
      </c>
      <c r="M2138" s="1" t="str">
        <f>"111941"</f>
        <v>111941</v>
      </c>
      <c r="N2138" s="1" t="s">
        <v>60</v>
      </c>
      <c r="O2138" s="1" t="s">
        <v>52</v>
      </c>
      <c r="P2138" s="1" t="s">
        <v>68</v>
      </c>
      <c r="Q2138" s="1">
        <v>13</v>
      </c>
      <c r="R2138" s="1">
        <v>0</v>
      </c>
      <c r="S2138" s="1">
        <v>0</v>
      </c>
      <c r="T2138" s="1">
        <v>13</v>
      </c>
      <c r="U2138" s="1">
        <v>0</v>
      </c>
      <c r="V2138" s="1" t="str">
        <f t="shared" si="404"/>
        <v>里程返程</v>
      </c>
      <c r="W2138" s="1" t="str">
        <f>"0020"</f>
        <v>0020</v>
      </c>
      <c r="X2138" s="1" t="s">
        <v>29</v>
      </c>
    </row>
    <row r="2139" spans="1:24" x14ac:dyDescent="0.3">
      <c r="A2139" s="1" t="str">
        <f t="shared" si="405"/>
        <v>59822</v>
      </c>
      <c r="B2139" s="1" t="s">
        <v>39</v>
      </c>
      <c r="C2139" s="1" t="s">
        <v>40</v>
      </c>
      <c r="D2139" s="1" t="str">
        <f t="shared" si="406"/>
        <v>9801</v>
      </c>
      <c r="E2139" s="1" t="s">
        <v>25</v>
      </c>
      <c r="F2139" s="1" t="str">
        <f>"1251685461"</f>
        <v>1251685461</v>
      </c>
      <c r="G2139" s="1" t="s">
        <v>38</v>
      </c>
      <c r="H2139" s="1" t="str">
        <f t="shared" si="395"/>
        <v>20220910</v>
      </c>
      <c r="I2139" s="1" t="str">
        <f>"105151"</f>
        <v>105151</v>
      </c>
      <c r="J2139" s="1" t="s">
        <v>28</v>
      </c>
      <c r="K2139" s="1" t="s">
        <v>28</v>
      </c>
      <c r="L2139" s="1" t="str">
        <f t="shared" si="402"/>
        <v>20220910</v>
      </c>
      <c r="M2139" s="1" t="str">
        <f>"110646"</f>
        <v>110646</v>
      </c>
      <c r="N2139" s="1" t="s">
        <v>77</v>
      </c>
      <c r="O2139" s="1" t="s">
        <v>52</v>
      </c>
      <c r="P2139" s="1" t="s">
        <v>55</v>
      </c>
      <c r="Q2139" s="1">
        <v>25</v>
      </c>
      <c r="R2139" s="1">
        <v>25</v>
      </c>
      <c r="S2139" s="1">
        <v>0</v>
      </c>
      <c r="T2139" s="1">
        <v>0</v>
      </c>
      <c r="U2139" s="1">
        <v>0</v>
      </c>
      <c r="V2139" s="1" t="str">
        <f t="shared" si="404"/>
        <v>里程返程</v>
      </c>
      <c r="W2139" s="1" t="str">
        <f>"0c20"</f>
        <v>0c20</v>
      </c>
      <c r="X2139" s="1" t="s">
        <v>35</v>
      </c>
    </row>
    <row r="2140" spans="1:24" x14ac:dyDescent="0.3">
      <c r="A2140" s="1" t="str">
        <f t="shared" si="405"/>
        <v>59822</v>
      </c>
      <c r="B2140" s="1" t="s">
        <v>39</v>
      </c>
      <c r="C2140" s="1" t="s">
        <v>40</v>
      </c>
      <c r="D2140" s="1" t="str">
        <f t="shared" si="406"/>
        <v>9801</v>
      </c>
      <c r="E2140" s="1" t="s">
        <v>25</v>
      </c>
      <c r="F2140" s="1" t="str">
        <f>"1456848897"</f>
        <v>1456848897</v>
      </c>
      <c r="G2140" s="1" t="s">
        <v>33</v>
      </c>
      <c r="H2140" s="1" t="str">
        <f t="shared" si="395"/>
        <v>20220910</v>
      </c>
      <c r="I2140" s="1" t="str">
        <f>"105158"</f>
        <v>105158</v>
      </c>
      <c r="J2140" s="1" t="s">
        <v>28</v>
      </c>
      <c r="K2140" s="1" t="s">
        <v>28</v>
      </c>
      <c r="L2140" s="1" t="str">
        <f t="shared" si="402"/>
        <v>20220910</v>
      </c>
      <c r="M2140" s="1" t="str">
        <f>"111136"</f>
        <v>111136</v>
      </c>
      <c r="N2140" s="1" t="s">
        <v>97</v>
      </c>
      <c r="O2140" s="1" t="s">
        <v>52</v>
      </c>
      <c r="P2140" s="1" t="s">
        <v>55</v>
      </c>
      <c r="Q2140" s="1">
        <v>25</v>
      </c>
      <c r="R2140" s="1">
        <v>0</v>
      </c>
      <c r="S2140" s="1">
        <v>25</v>
      </c>
      <c r="T2140" s="1">
        <v>0</v>
      </c>
      <c r="U2140" s="1">
        <v>0</v>
      </c>
      <c r="V2140" s="1" t="str">
        <f t="shared" si="404"/>
        <v>里程返程</v>
      </c>
      <c r="W2140" s="1" t="str">
        <f>"0820"</f>
        <v>0820</v>
      </c>
      <c r="X2140" s="1" t="s">
        <v>35</v>
      </c>
    </row>
    <row r="2141" spans="1:24" x14ac:dyDescent="0.3">
      <c r="A2141" s="1" t="str">
        <f t="shared" si="405"/>
        <v>59822</v>
      </c>
      <c r="B2141" s="1" t="s">
        <v>39</v>
      </c>
      <c r="C2141" s="1" t="s">
        <v>40</v>
      </c>
      <c r="D2141" s="1" t="str">
        <f t="shared" si="406"/>
        <v>9801</v>
      </c>
      <c r="E2141" s="1" t="s">
        <v>25</v>
      </c>
      <c r="F2141" s="1" t="str">
        <f>"5294A50063880400C801002000000015"</f>
        <v>5294A50063880400C801002000000015</v>
      </c>
      <c r="G2141" s="1" t="s">
        <v>58</v>
      </c>
      <c r="H2141" s="1" t="str">
        <f t="shared" si="395"/>
        <v>20220910</v>
      </c>
      <c r="I2141" s="1" t="str">
        <f>"105201"</f>
        <v>105201</v>
      </c>
      <c r="J2141" s="1" t="s">
        <v>28</v>
      </c>
      <c r="K2141" s="1" t="s">
        <v>28</v>
      </c>
      <c r="L2141" s="1" t="str">
        <f t="shared" si="402"/>
        <v>20220910</v>
      </c>
      <c r="M2141" s="1" t="str">
        <f>"111945"</f>
        <v>111945</v>
      </c>
      <c r="N2141" s="1" t="s">
        <v>60</v>
      </c>
      <c r="O2141" s="1" t="s">
        <v>52</v>
      </c>
      <c r="P2141" s="1" t="s">
        <v>55</v>
      </c>
      <c r="Q2141" s="1">
        <v>25</v>
      </c>
      <c r="R2141" s="1">
        <v>0</v>
      </c>
      <c r="S2141" s="1">
        <v>25</v>
      </c>
      <c r="T2141" s="1">
        <v>0</v>
      </c>
      <c r="U2141" s="1">
        <v>0</v>
      </c>
      <c r="V2141" s="1" t="str">
        <f t="shared" si="404"/>
        <v>里程返程</v>
      </c>
      <c r="W2141" s="1" t="str">
        <f>"0620"</f>
        <v>0620</v>
      </c>
      <c r="X2141" s="1" t="s">
        <v>29</v>
      </c>
    </row>
    <row r="2142" spans="1:24" x14ac:dyDescent="0.3">
      <c r="A2142" s="1" t="str">
        <f t="shared" si="405"/>
        <v>59822</v>
      </c>
      <c r="B2142" s="1" t="s">
        <v>39</v>
      </c>
      <c r="C2142" s="1" t="s">
        <v>40</v>
      </c>
      <c r="D2142" s="1" t="str">
        <f t="shared" si="406"/>
        <v>9801</v>
      </c>
      <c r="E2142" s="1" t="s">
        <v>25</v>
      </c>
      <c r="F2142" s="1" t="str">
        <f>"E10B9169122804001C00000000000000"</f>
        <v>E10B9169122804001C00000000000000</v>
      </c>
      <c r="G2142" s="1" t="s">
        <v>58</v>
      </c>
      <c r="H2142" s="1" t="str">
        <f t="shared" si="395"/>
        <v>20220910</v>
      </c>
      <c r="I2142" s="1" t="str">
        <f>"112423"</f>
        <v>112423</v>
      </c>
      <c r="J2142" s="1" t="s">
        <v>44</v>
      </c>
      <c r="K2142" s="1" t="s">
        <v>45</v>
      </c>
      <c r="L2142" s="1" t="str">
        <f t="shared" si="402"/>
        <v>20220910</v>
      </c>
      <c r="M2142" s="1" t="str">
        <f>"114440"</f>
        <v>114440</v>
      </c>
      <c r="N2142" s="1" t="s">
        <v>45</v>
      </c>
      <c r="O2142" s="1" t="s">
        <v>45</v>
      </c>
      <c r="P2142" s="1" t="s">
        <v>55</v>
      </c>
      <c r="Q2142" s="1">
        <v>25</v>
      </c>
      <c r="R2142" s="1">
        <v>25</v>
      </c>
      <c r="S2142" s="1">
        <v>0</v>
      </c>
      <c r="T2142" s="1">
        <v>0</v>
      </c>
      <c r="U2142" s="1">
        <v>0</v>
      </c>
      <c r="V2142" s="1" t="str">
        <f t="shared" si="404"/>
        <v>里程返程</v>
      </c>
      <c r="W2142" s="1" t="str">
        <f>"0020"</f>
        <v>0020</v>
      </c>
      <c r="X2142" s="1" t="s">
        <v>29</v>
      </c>
    </row>
    <row r="2143" spans="1:24" x14ac:dyDescent="0.3">
      <c r="A2143" s="1" t="str">
        <f t="shared" si="405"/>
        <v>59822</v>
      </c>
      <c r="B2143" s="1" t="s">
        <v>39</v>
      </c>
      <c r="C2143" s="1" t="s">
        <v>40</v>
      </c>
      <c r="D2143" s="1" t="str">
        <f t="shared" si="406"/>
        <v>9801</v>
      </c>
      <c r="E2143" s="1" t="s">
        <v>25</v>
      </c>
      <c r="F2143" s="1" t="str">
        <f>"82D5FB02AE880400C834002000000015"</f>
        <v>82D5FB02AE880400C834002000000015</v>
      </c>
      <c r="G2143" s="1" t="s">
        <v>26</v>
      </c>
      <c r="H2143" s="1" t="str">
        <f t="shared" si="395"/>
        <v>20220910</v>
      </c>
      <c r="I2143" s="1" t="str">
        <f>"113535"</f>
        <v>113535</v>
      </c>
      <c r="J2143" s="1" t="s">
        <v>100</v>
      </c>
      <c r="K2143" s="1" t="s">
        <v>45</v>
      </c>
      <c r="L2143" s="1" t="str">
        <f t="shared" ref="L2143:L2174" si="407">"20220910"</f>
        <v>20220910</v>
      </c>
      <c r="M2143" s="1" t="str">
        <f>"121635"</f>
        <v>121635</v>
      </c>
      <c r="N2143" s="1" t="s">
        <v>51</v>
      </c>
      <c r="O2143" s="1" t="s">
        <v>52</v>
      </c>
      <c r="P2143" s="1" t="s">
        <v>68</v>
      </c>
      <c r="Q2143" s="1">
        <v>25</v>
      </c>
      <c r="R2143" s="1">
        <v>0</v>
      </c>
      <c r="S2143" s="1">
        <v>0</v>
      </c>
      <c r="T2143" s="1">
        <v>25</v>
      </c>
      <c r="U2143" s="1">
        <v>0</v>
      </c>
      <c r="V2143" s="1" t="str">
        <f t="shared" si="404"/>
        <v>里程返程</v>
      </c>
      <c r="W2143" s="1" t="str">
        <f>"0020"</f>
        <v>0020</v>
      </c>
      <c r="X2143" s="1" t="s">
        <v>29</v>
      </c>
    </row>
    <row r="2144" spans="1:24" x14ac:dyDescent="0.3">
      <c r="A2144" s="1" t="str">
        <f t="shared" si="405"/>
        <v>59822</v>
      </c>
      <c r="B2144" s="1" t="s">
        <v>39</v>
      </c>
      <c r="C2144" s="1" t="s">
        <v>40</v>
      </c>
      <c r="D2144" s="1" t="str">
        <f t="shared" si="406"/>
        <v>9801</v>
      </c>
      <c r="E2144" s="1" t="s">
        <v>25</v>
      </c>
      <c r="F2144" s="1" t="str">
        <f>"234067845"</f>
        <v>234067845</v>
      </c>
      <c r="G2144" s="1" t="s">
        <v>33</v>
      </c>
      <c r="H2144" s="1" t="str">
        <f t="shared" si="395"/>
        <v>20220910</v>
      </c>
      <c r="I2144" s="1" t="str">
        <f>"115355"</f>
        <v>115355</v>
      </c>
      <c r="J2144" s="1" t="s">
        <v>28</v>
      </c>
      <c r="K2144" s="1" t="s">
        <v>28</v>
      </c>
      <c r="L2144" s="1" t="str">
        <f t="shared" si="407"/>
        <v>20220910</v>
      </c>
      <c r="M2144" s="1" t="str">
        <f>"122050"</f>
        <v>122050</v>
      </c>
      <c r="N2144" s="1" t="s">
        <v>52</v>
      </c>
      <c r="O2144" s="1" t="s">
        <v>52</v>
      </c>
      <c r="P2144" s="1" t="s">
        <v>55</v>
      </c>
      <c r="Q2144" s="1">
        <v>25</v>
      </c>
      <c r="R2144" s="1">
        <v>25</v>
      </c>
      <c r="S2144" s="1">
        <v>0</v>
      </c>
      <c r="T2144" s="1">
        <v>0</v>
      </c>
      <c r="U2144" s="1">
        <v>0</v>
      </c>
      <c r="V2144" s="1" t="str">
        <f t="shared" si="404"/>
        <v>里程返程</v>
      </c>
      <c r="W2144" s="1" t="str">
        <f>"0c20"</f>
        <v>0c20</v>
      </c>
      <c r="X2144" s="1" t="s">
        <v>35</v>
      </c>
    </row>
    <row r="2145" spans="1:24" x14ac:dyDescent="0.3">
      <c r="A2145" s="1" t="str">
        <f t="shared" si="405"/>
        <v>59822</v>
      </c>
      <c r="B2145" s="1" t="s">
        <v>39</v>
      </c>
      <c r="C2145" s="1" t="s">
        <v>40</v>
      </c>
      <c r="D2145" s="1" t="str">
        <f t="shared" si="406"/>
        <v>9801</v>
      </c>
      <c r="E2145" s="1" t="s">
        <v>25</v>
      </c>
      <c r="F2145" s="1" t="str">
        <f>"832508977"</f>
        <v>832508977</v>
      </c>
      <c r="G2145" s="1" t="s">
        <v>33</v>
      </c>
      <c r="H2145" s="1" t="str">
        <f t="shared" si="395"/>
        <v>20220910</v>
      </c>
      <c r="I2145" s="1" t="str">
        <f>"115358"</f>
        <v>115358</v>
      </c>
      <c r="J2145" s="1" t="s">
        <v>28</v>
      </c>
      <c r="K2145" s="1" t="s">
        <v>28</v>
      </c>
      <c r="L2145" s="1" t="str">
        <f t="shared" si="407"/>
        <v>20220910</v>
      </c>
      <c r="M2145" s="1" t="str">
        <f>"122053"</f>
        <v>122053</v>
      </c>
      <c r="N2145" s="1" t="s">
        <v>52</v>
      </c>
      <c r="O2145" s="1" t="s">
        <v>52</v>
      </c>
      <c r="P2145" s="1" t="s">
        <v>55</v>
      </c>
      <c r="Q2145" s="1">
        <v>25</v>
      </c>
      <c r="R2145" s="1">
        <v>25</v>
      </c>
      <c r="S2145" s="1">
        <v>0</v>
      </c>
      <c r="T2145" s="1">
        <v>0</v>
      </c>
      <c r="U2145" s="1">
        <v>0</v>
      </c>
      <c r="V2145" s="1" t="str">
        <f t="shared" si="404"/>
        <v>里程返程</v>
      </c>
      <c r="W2145" s="1" t="str">
        <f>"0c20"</f>
        <v>0c20</v>
      </c>
      <c r="X2145" s="1" t="s">
        <v>35</v>
      </c>
    </row>
    <row r="2146" spans="1:24" x14ac:dyDescent="0.3">
      <c r="A2146" s="1" t="str">
        <f t="shared" si="405"/>
        <v>59822</v>
      </c>
      <c r="B2146" s="1" t="s">
        <v>39</v>
      </c>
      <c r="C2146" s="1" t="s">
        <v>40</v>
      </c>
      <c r="D2146" s="1" t="str">
        <f t="shared" si="406"/>
        <v>9801</v>
      </c>
      <c r="E2146" s="1" t="s">
        <v>25</v>
      </c>
      <c r="F2146" s="1" t="str">
        <f>"3610900947"</f>
        <v>3610900947</v>
      </c>
      <c r="G2146" s="1" t="s">
        <v>33</v>
      </c>
      <c r="H2146" s="1" t="str">
        <f t="shared" si="395"/>
        <v>20220910</v>
      </c>
      <c r="I2146" s="1" t="str">
        <f>"115400"</f>
        <v>115400</v>
      </c>
      <c r="J2146" s="1" t="s">
        <v>28</v>
      </c>
      <c r="K2146" s="1" t="s">
        <v>28</v>
      </c>
      <c r="L2146" s="1" t="str">
        <f t="shared" si="407"/>
        <v>20220910</v>
      </c>
      <c r="M2146" s="1" t="str">
        <f>"122056"</f>
        <v>122056</v>
      </c>
      <c r="N2146" s="1" t="s">
        <v>52</v>
      </c>
      <c r="O2146" s="1" t="s">
        <v>52</v>
      </c>
      <c r="P2146" s="1" t="s">
        <v>55</v>
      </c>
      <c r="Q2146" s="1">
        <v>25</v>
      </c>
      <c r="R2146" s="1">
        <v>25</v>
      </c>
      <c r="S2146" s="1">
        <v>0</v>
      </c>
      <c r="T2146" s="1">
        <v>0</v>
      </c>
      <c r="U2146" s="1">
        <v>0</v>
      </c>
      <c r="V2146" s="1" t="str">
        <f t="shared" si="404"/>
        <v>里程返程</v>
      </c>
      <c r="W2146" s="1" t="str">
        <f>"0c20"</f>
        <v>0c20</v>
      </c>
      <c r="X2146" s="1" t="s">
        <v>35</v>
      </c>
    </row>
    <row r="2147" spans="1:24" x14ac:dyDescent="0.3">
      <c r="A2147" s="1" t="str">
        <f t="shared" si="405"/>
        <v>59822</v>
      </c>
      <c r="B2147" s="1" t="s">
        <v>39</v>
      </c>
      <c r="C2147" s="1" t="s">
        <v>40</v>
      </c>
      <c r="D2147" s="1" t="str">
        <f t="shared" ref="D2147:D2154" si="408">"9805"</f>
        <v>9805</v>
      </c>
      <c r="E2147" s="1" t="s">
        <v>57</v>
      </c>
      <c r="F2147" s="1" t="str">
        <f>"1036407829"</f>
        <v>1036407829</v>
      </c>
      <c r="G2147" s="1" t="s">
        <v>33</v>
      </c>
      <c r="H2147" s="1" t="str">
        <f t="shared" si="395"/>
        <v>20220910</v>
      </c>
      <c r="I2147" s="1" t="str">
        <f>"143013"</f>
        <v>143013</v>
      </c>
      <c r="J2147" s="1" t="s">
        <v>28</v>
      </c>
      <c r="K2147" s="1" t="s">
        <v>28</v>
      </c>
      <c r="L2147" s="1" t="str">
        <f t="shared" si="407"/>
        <v>20220910</v>
      </c>
      <c r="M2147" s="1" t="str">
        <f>"144530"</f>
        <v>144530</v>
      </c>
      <c r="N2147" s="1" t="s">
        <v>62</v>
      </c>
      <c r="O2147" s="1" t="s">
        <v>28</v>
      </c>
      <c r="P2147" s="1" t="s">
        <v>55</v>
      </c>
      <c r="Q2147" s="1">
        <v>25</v>
      </c>
      <c r="R2147" s="1">
        <v>0</v>
      </c>
      <c r="S2147" s="1">
        <v>25</v>
      </c>
      <c r="T2147" s="1">
        <v>0</v>
      </c>
      <c r="U2147" s="1">
        <v>0</v>
      </c>
      <c r="V2147" s="1" t="str">
        <f t="shared" ref="V2147:V2154" si="409">"里程去程"</f>
        <v>里程去程</v>
      </c>
      <c r="W2147" s="1" t="str">
        <f>"2120"</f>
        <v>2120</v>
      </c>
      <c r="X2147" s="1" t="s">
        <v>35</v>
      </c>
    </row>
    <row r="2148" spans="1:24" x14ac:dyDescent="0.3">
      <c r="A2148" s="1" t="str">
        <f t="shared" si="405"/>
        <v>59822</v>
      </c>
      <c r="B2148" s="1" t="s">
        <v>39</v>
      </c>
      <c r="C2148" s="1" t="s">
        <v>40</v>
      </c>
      <c r="D2148" s="1" t="str">
        <f t="shared" si="408"/>
        <v>9805</v>
      </c>
      <c r="E2148" s="1" t="s">
        <v>57</v>
      </c>
      <c r="F2148" s="1" t="str">
        <f>"1402996849"</f>
        <v>1402996849</v>
      </c>
      <c r="G2148" s="1" t="s">
        <v>33</v>
      </c>
      <c r="H2148" s="1" t="str">
        <f t="shared" ref="H2148:H2211" si="410">"20220910"</f>
        <v>20220910</v>
      </c>
      <c r="I2148" s="1" t="str">
        <f>"143019"</f>
        <v>143019</v>
      </c>
      <c r="J2148" s="1" t="s">
        <v>28</v>
      </c>
      <c r="K2148" s="1" t="s">
        <v>28</v>
      </c>
      <c r="L2148" s="1" t="str">
        <f t="shared" si="407"/>
        <v>20220910</v>
      </c>
      <c r="M2148" s="1" t="str">
        <f>"143956"</f>
        <v>143956</v>
      </c>
      <c r="N2148" s="1" t="s">
        <v>46</v>
      </c>
      <c r="O2148" s="1" t="s">
        <v>28</v>
      </c>
      <c r="P2148" s="1" t="s">
        <v>55</v>
      </c>
      <c r="Q2148" s="1">
        <v>25</v>
      </c>
      <c r="R2148" s="1">
        <v>25</v>
      </c>
      <c r="S2148" s="1">
        <v>0</v>
      </c>
      <c r="T2148" s="1">
        <v>0</v>
      </c>
      <c r="U2148" s="1">
        <v>0</v>
      </c>
      <c r="V2148" s="1" t="str">
        <f t="shared" si="409"/>
        <v>里程去程</v>
      </c>
      <c r="W2148" s="1" t="str">
        <f>"1420"</f>
        <v>1420</v>
      </c>
      <c r="X2148" s="1" t="s">
        <v>35</v>
      </c>
    </row>
    <row r="2149" spans="1:24" x14ac:dyDescent="0.3">
      <c r="A2149" s="1" t="str">
        <f t="shared" si="405"/>
        <v>59822</v>
      </c>
      <c r="B2149" s="1" t="s">
        <v>39</v>
      </c>
      <c r="C2149" s="1" t="s">
        <v>40</v>
      </c>
      <c r="D2149" s="1" t="str">
        <f t="shared" si="408"/>
        <v>9805</v>
      </c>
      <c r="E2149" s="1" t="s">
        <v>57</v>
      </c>
      <c r="F2149" s="1" t="str">
        <f>"837738181"</f>
        <v>837738181</v>
      </c>
      <c r="G2149" s="1" t="s">
        <v>33</v>
      </c>
      <c r="H2149" s="1" t="str">
        <f t="shared" si="410"/>
        <v>20220910</v>
      </c>
      <c r="I2149" s="1" t="str">
        <f>"143022"</f>
        <v>143022</v>
      </c>
      <c r="J2149" s="1" t="s">
        <v>28</v>
      </c>
      <c r="K2149" s="1" t="s">
        <v>28</v>
      </c>
      <c r="L2149" s="1" t="str">
        <f t="shared" si="407"/>
        <v>20220910</v>
      </c>
      <c r="M2149" s="1" t="str">
        <f>"144531"</f>
        <v>144531</v>
      </c>
      <c r="N2149" s="1" t="s">
        <v>62</v>
      </c>
      <c r="O2149" s="1" t="s">
        <v>28</v>
      </c>
      <c r="P2149" s="1" t="s">
        <v>55</v>
      </c>
      <c r="Q2149" s="1">
        <v>25</v>
      </c>
      <c r="R2149" s="1">
        <v>25</v>
      </c>
      <c r="S2149" s="1">
        <v>0</v>
      </c>
      <c r="T2149" s="1">
        <v>0</v>
      </c>
      <c r="U2149" s="1">
        <v>0</v>
      </c>
      <c r="V2149" s="1" t="str">
        <f t="shared" si="409"/>
        <v>里程去程</v>
      </c>
      <c r="W2149" s="1" t="str">
        <f>"0820"</f>
        <v>0820</v>
      </c>
      <c r="X2149" s="1" t="s">
        <v>35</v>
      </c>
    </row>
    <row r="2150" spans="1:24" x14ac:dyDescent="0.3">
      <c r="A2150" s="1" t="str">
        <f t="shared" si="405"/>
        <v>59822</v>
      </c>
      <c r="B2150" s="1" t="s">
        <v>39</v>
      </c>
      <c r="C2150" s="1" t="s">
        <v>40</v>
      </c>
      <c r="D2150" s="1" t="str">
        <f t="shared" si="408"/>
        <v>9805</v>
      </c>
      <c r="E2150" s="1" t="s">
        <v>57</v>
      </c>
      <c r="F2150" s="1" t="str">
        <f>"807150177"</f>
        <v>807150177</v>
      </c>
      <c r="G2150" s="1" t="s">
        <v>33</v>
      </c>
      <c r="H2150" s="1" t="str">
        <f t="shared" si="410"/>
        <v>20220910</v>
      </c>
      <c r="I2150" s="1" t="str">
        <f>"143030"</f>
        <v>143030</v>
      </c>
      <c r="J2150" s="1" t="s">
        <v>28</v>
      </c>
      <c r="K2150" s="1" t="s">
        <v>28</v>
      </c>
      <c r="L2150" s="1" t="str">
        <f t="shared" si="407"/>
        <v>20220910</v>
      </c>
      <c r="M2150" s="1" t="str">
        <f>"144409"</f>
        <v>144409</v>
      </c>
      <c r="N2150" s="1" t="s">
        <v>56</v>
      </c>
      <c r="O2150" s="1" t="s">
        <v>28</v>
      </c>
      <c r="P2150" s="1" t="s">
        <v>55</v>
      </c>
      <c r="Q2150" s="1">
        <v>25</v>
      </c>
      <c r="R2150" s="1">
        <v>0</v>
      </c>
      <c r="S2150" s="1">
        <v>25</v>
      </c>
      <c r="T2150" s="1">
        <v>0</v>
      </c>
      <c r="U2150" s="1">
        <v>0</v>
      </c>
      <c r="V2150" s="1" t="str">
        <f t="shared" si="409"/>
        <v>里程去程</v>
      </c>
      <c r="W2150" s="1" t="str">
        <f>"1920"</f>
        <v>1920</v>
      </c>
      <c r="X2150" s="1" t="s">
        <v>35</v>
      </c>
    </row>
    <row r="2151" spans="1:24" x14ac:dyDescent="0.3">
      <c r="A2151" s="1" t="str">
        <f t="shared" si="405"/>
        <v>59822</v>
      </c>
      <c r="B2151" s="1" t="s">
        <v>39</v>
      </c>
      <c r="C2151" s="1" t="s">
        <v>40</v>
      </c>
      <c r="D2151" s="1" t="str">
        <f t="shared" si="408"/>
        <v>9805</v>
      </c>
      <c r="E2151" s="1" t="s">
        <v>57</v>
      </c>
      <c r="F2151" s="1" t="str">
        <f>"1750063872"</f>
        <v>1750063872</v>
      </c>
      <c r="G2151" s="1" t="s">
        <v>33</v>
      </c>
      <c r="H2151" s="1" t="str">
        <f t="shared" si="410"/>
        <v>20220910</v>
      </c>
      <c r="I2151" s="1" t="str">
        <f>"143031"</f>
        <v>143031</v>
      </c>
      <c r="J2151" s="1" t="s">
        <v>28</v>
      </c>
      <c r="K2151" s="1" t="s">
        <v>28</v>
      </c>
      <c r="L2151" s="1" t="str">
        <f t="shared" si="407"/>
        <v>20220910</v>
      </c>
      <c r="M2151" s="1" t="str">
        <f>"144405"</f>
        <v>144405</v>
      </c>
      <c r="N2151" s="1" t="s">
        <v>56</v>
      </c>
      <c r="O2151" s="1" t="s">
        <v>28</v>
      </c>
      <c r="P2151" s="1" t="s">
        <v>55</v>
      </c>
      <c r="Q2151" s="1">
        <v>25</v>
      </c>
      <c r="R2151" s="1">
        <v>25</v>
      </c>
      <c r="S2151" s="1">
        <v>0</v>
      </c>
      <c r="T2151" s="1">
        <v>0</v>
      </c>
      <c r="U2151" s="1">
        <v>0</v>
      </c>
      <c r="V2151" s="1" t="str">
        <f t="shared" si="409"/>
        <v>里程去程</v>
      </c>
      <c r="W2151" s="1" t="str">
        <f>"0e20"</f>
        <v>0e20</v>
      </c>
      <c r="X2151" s="1" t="s">
        <v>35</v>
      </c>
    </row>
    <row r="2152" spans="1:24" x14ac:dyDescent="0.3">
      <c r="A2152" s="1" t="str">
        <f t="shared" si="405"/>
        <v>59822</v>
      </c>
      <c r="B2152" s="1" t="s">
        <v>39</v>
      </c>
      <c r="C2152" s="1" t="s">
        <v>40</v>
      </c>
      <c r="D2152" s="1" t="str">
        <f t="shared" si="408"/>
        <v>9805</v>
      </c>
      <c r="E2152" s="1" t="s">
        <v>57</v>
      </c>
      <c r="F2152" s="1" t="str">
        <f>"519532049"</f>
        <v>519532049</v>
      </c>
      <c r="G2152" s="1" t="s">
        <v>33</v>
      </c>
      <c r="H2152" s="1" t="str">
        <f t="shared" si="410"/>
        <v>20220910</v>
      </c>
      <c r="I2152" s="1" t="str">
        <f>"143036"</f>
        <v>143036</v>
      </c>
      <c r="J2152" s="1" t="s">
        <v>28</v>
      </c>
      <c r="K2152" s="1" t="s">
        <v>28</v>
      </c>
      <c r="L2152" s="1" t="str">
        <f t="shared" si="407"/>
        <v>20220910</v>
      </c>
      <c r="M2152" s="1" t="str">
        <f>"144853"</f>
        <v>144853</v>
      </c>
      <c r="N2152" s="1" t="s">
        <v>52</v>
      </c>
      <c r="O2152" s="1" t="s">
        <v>52</v>
      </c>
      <c r="P2152" s="1" t="s">
        <v>55</v>
      </c>
      <c r="Q2152" s="1">
        <v>25</v>
      </c>
      <c r="R2152" s="1">
        <v>25</v>
      </c>
      <c r="S2152" s="1">
        <v>0</v>
      </c>
      <c r="T2152" s="1">
        <v>0</v>
      </c>
      <c r="U2152" s="1">
        <v>0</v>
      </c>
      <c r="V2152" s="1" t="str">
        <f t="shared" si="409"/>
        <v>里程去程</v>
      </c>
      <c r="W2152" s="1" t="str">
        <f>"0120"</f>
        <v>0120</v>
      </c>
      <c r="X2152" s="1" t="s">
        <v>35</v>
      </c>
    </row>
    <row r="2153" spans="1:24" x14ac:dyDescent="0.3">
      <c r="A2153" s="1" t="str">
        <f t="shared" si="405"/>
        <v>59822</v>
      </c>
      <c r="B2153" s="1" t="s">
        <v>39</v>
      </c>
      <c r="C2153" s="1" t="s">
        <v>40</v>
      </c>
      <c r="D2153" s="1" t="str">
        <f t="shared" si="408"/>
        <v>9805</v>
      </c>
      <c r="E2153" s="1" t="s">
        <v>57</v>
      </c>
      <c r="F2153" s="1" t="str">
        <f>"1375088721"</f>
        <v>1375088721</v>
      </c>
      <c r="G2153" s="1" t="s">
        <v>33</v>
      </c>
      <c r="H2153" s="1" t="str">
        <f t="shared" si="410"/>
        <v>20220910</v>
      </c>
      <c r="I2153" s="1" t="str">
        <f>"143458"</f>
        <v>143458</v>
      </c>
      <c r="J2153" s="1" t="s">
        <v>90</v>
      </c>
      <c r="K2153" s="1" t="s">
        <v>28</v>
      </c>
      <c r="L2153" s="1" t="str">
        <f t="shared" si="407"/>
        <v>20220910</v>
      </c>
      <c r="M2153" s="1" t="str">
        <f>"144105"</f>
        <v>144105</v>
      </c>
      <c r="N2153" s="1" t="s">
        <v>46</v>
      </c>
      <c r="O2153" s="1" t="s">
        <v>28</v>
      </c>
      <c r="P2153" s="1" t="s">
        <v>55</v>
      </c>
      <c r="Q2153" s="1">
        <v>25</v>
      </c>
      <c r="R2153" s="1">
        <v>25</v>
      </c>
      <c r="S2153" s="1">
        <v>0</v>
      </c>
      <c r="T2153" s="1">
        <v>0</v>
      </c>
      <c r="U2153" s="1">
        <v>0</v>
      </c>
      <c r="V2153" s="1" t="str">
        <f t="shared" si="409"/>
        <v>里程去程</v>
      </c>
      <c r="W2153" s="1" t="str">
        <f>"0120"</f>
        <v>0120</v>
      </c>
      <c r="X2153" s="1" t="s">
        <v>35</v>
      </c>
    </row>
    <row r="2154" spans="1:24" x14ac:dyDescent="0.3">
      <c r="A2154" s="1" t="str">
        <f t="shared" si="405"/>
        <v>59822</v>
      </c>
      <c r="B2154" s="1" t="s">
        <v>39</v>
      </c>
      <c r="C2154" s="1" t="s">
        <v>40</v>
      </c>
      <c r="D2154" s="1" t="str">
        <f t="shared" si="408"/>
        <v>9805</v>
      </c>
      <c r="E2154" s="1" t="s">
        <v>57</v>
      </c>
      <c r="F2154" s="1" t="str">
        <f>"B2B044185E880400C819002000000019"</f>
        <v>B2B044185E880400C819002000000019</v>
      </c>
      <c r="G2154" s="1" t="s">
        <v>64</v>
      </c>
      <c r="H2154" s="1" t="str">
        <f t="shared" si="410"/>
        <v>20220910</v>
      </c>
      <c r="I2154" s="1" t="str">
        <f>"143501"</f>
        <v>143501</v>
      </c>
      <c r="J2154" s="1" t="s">
        <v>90</v>
      </c>
      <c r="K2154" s="1" t="s">
        <v>28</v>
      </c>
      <c r="L2154" s="1" t="str">
        <f t="shared" si="407"/>
        <v>20220910</v>
      </c>
      <c r="M2154" s="1" t="str">
        <f>"144102"</f>
        <v>144102</v>
      </c>
      <c r="N2154" s="1" t="s">
        <v>46</v>
      </c>
      <c r="O2154" s="1" t="s">
        <v>28</v>
      </c>
      <c r="P2154" s="1" t="s">
        <v>55</v>
      </c>
      <c r="Q2154" s="1">
        <v>13</v>
      </c>
      <c r="R2154" s="1">
        <v>13</v>
      </c>
      <c r="S2154" s="1">
        <v>0</v>
      </c>
      <c r="T2154" s="1">
        <v>0</v>
      </c>
      <c r="U2154" s="1">
        <v>0</v>
      </c>
      <c r="V2154" s="1" t="str">
        <f t="shared" si="409"/>
        <v>里程去程</v>
      </c>
      <c r="W2154" s="1" t="str">
        <f>"0020"</f>
        <v>0020</v>
      </c>
      <c r="X2154" s="1" t="s">
        <v>29</v>
      </c>
    </row>
    <row r="2155" spans="1:24" x14ac:dyDescent="0.3">
      <c r="A2155" s="1" t="str">
        <f t="shared" si="405"/>
        <v>59822</v>
      </c>
      <c r="B2155" s="1" t="s">
        <v>39</v>
      </c>
      <c r="C2155" s="1" t="s">
        <v>40</v>
      </c>
      <c r="D2155" s="1" t="str">
        <f t="shared" ref="D2155:D2164" si="411">"9803"</f>
        <v>9803</v>
      </c>
      <c r="E2155" s="1" t="s">
        <v>32</v>
      </c>
      <c r="F2155" s="1" t="str">
        <f>"1160144065"</f>
        <v>1160144065</v>
      </c>
      <c r="G2155" s="1" t="s">
        <v>33</v>
      </c>
      <c r="H2155" s="1" t="str">
        <f t="shared" si="410"/>
        <v>20220910</v>
      </c>
      <c r="I2155" s="1" t="str">
        <f>"152936"</f>
        <v>152936</v>
      </c>
      <c r="J2155" s="1" t="s">
        <v>34</v>
      </c>
      <c r="K2155" s="1" t="s">
        <v>34</v>
      </c>
      <c r="L2155" s="1" t="str">
        <f t="shared" si="407"/>
        <v>20220910</v>
      </c>
      <c r="M2155" s="1" t="str">
        <f>"160203"</f>
        <v>160203</v>
      </c>
      <c r="N2155" s="1" t="s">
        <v>92</v>
      </c>
      <c r="O2155" s="1" t="s">
        <v>28</v>
      </c>
      <c r="P2155" s="1" t="s">
        <v>55</v>
      </c>
      <c r="Q2155" s="1">
        <v>25</v>
      </c>
      <c r="R2155" s="1">
        <v>25</v>
      </c>
      <c r="S2155" s="1">
        <v>0</v>
      </c>
      <c r="T2155" s="1">
        <v>0</v>
      </c>
      <c r="U2155" s="1">
        <v>0</v>
      </c>
      <c r="V2155" s="1" t="str">
        <f t="shared" ref="V2155:V2171" si="412">"里程返程"</f>
        <v>里程返程</v>
      </c>
      <c r="W2155" s="1" t="str">
        <f>"2020"</f>
        <v>2020</v>
      </c>
      <c r="X2155" s="1" t="s">
        <v>35</v>
      </c>
    </row>
    <row r="2156" spans="1:24" x14ac:dyDescent="0.3">
      <c r="A2156" s="1" t="str">
        <f t="shared" si="405"/>
        <v>59822</v>
      </c>
      <c r="B2156" s="1" t="s">
        <v>39</v>
      </c>
      <c r="C2156" s="1" t="s">
        <v>40</v>
      </c>
      <c r="D2156" s="1" t="str">
        <f t="shared" si="411"/>
        <v>9803</v>
      </c>
      <c r="E2156" s="1" t="s">
        <v>32</v>
      </c>
      <c r="F2156" s="1" t="str">
        <f>"E1C1343A2E2804001C00000000000000"</f>
        <v>E1C1343A2E2804001C00000000000000</v>
      </c>
      <c r="G2156" s="1" t="s">
        <v>58</v>
      </c>
      <c r="H2156" s="1" t="str">
        <f t="shared" si="410"/>
        <v>20220910</v>
      </c>
      <c r="I2156" s="1" t="str">
        <f>"153846"</f>
        <v>153846</v>
      </c>
      <c r="J2156" s="1" t="s">
        <v>34</v>
      </c>
      <c r="K2156" s="1" t="s">
        <v>34</v>
      </c>
      <c r="L2156" s="1" t="str">
        <f t="shared" si="407"/>
        <v>20220910</v>
      </c>
      <c r="M2156" s="1" t="str">
        <f>"161018"</f>
        <v>161018</v>
      </c>
      <c r="N2156" s="1" t="s">
        <v>28</v>
      </c>
      <c r="O2156" s="1" t="s">
        <v>28</v>
      </c>
      <c r="P2156" s="1" t="s">
        <v>55</v>
      </c>
      <c r="Q2156" s="1">
        <v>25</v>
      </c>
      <c r="R2156" s="1">
        <v>25</v>
      </c>
      <c r="S2156" s="1">
        <v>0</v>
      </c>
      <c r="T2156" s="1">
        <v>0</v>
      </c>
      <c r="U2156" s="1">
        <v>0</v>
      </c>
      <c r="V2156" s="1" t="str">
        <f t="shared" si="412"/>
        <v>里程返程</v>
      </c>
      <c r="W2156" s="1" t="str">
        <f>"0020"</f>
        <v>0020</v>
      </c>
      <c r="X2156" s="1" t="s">
        <v>29</v>
      </c>
    </row>
    <row r="2157" spans="1:24" x14ac:dyDescent="0.3">
      <c r="A2157" s="1" t="str">
        <f t="shared" si="405"/>
        <v>59822</v>
      </c>
      <c r="B2157" s="1" t="s">
        <v>39</v>
      </c>
      <c r="C2157" s="1" t="s">
        <v>40</v>
      </c>
      <c r="D2157" s="1" t="str">
        <f t="shared" si="411"/>
        <v>9803</v>
      </c>
      <c r="E2157" s="1" t="s">
        <v>32</v>
      </c>
      <c r="F2157" s="1" t="str">
        <f>"848982305"</f>
        <v>848982305</v>
      </c>
      <c r="G2157" s="1" t="s">
        <v>33</v>
      </c>
      <c r="H2157" s="1" t="str">
        <f t="shared" si="410"/>
        <v>20220910</v>
      </c>
      <c r="I2157" s="1" t="str">
        <f>"153850"</f>
        <v>153850</v>
      </c>
      <c r="J2157" s="1" t="s">
        <v>34</v>
      </c>
      <c r="K2157" s="1" t="s">
        <v>34</v>
      </c>
      <c r="L2157" s="1" t="str">
        <f t="shared" si="407"/>
        <v>20220910</v>
      </c>
      <c r="M2157" s="1" t="str">
        <f>"161023"</f>
        <v>161023</v>
      </c>
      <c r="N2157" s="1" t="s">
        <v>28</v>
      </c>
      <c r="O2157" s="1" t="s">
        <v>28</v>
      </c>
      <c r="P2157" s="1" t="s">
        <v>55</v>
      </c>
      <c r="Q2157" s="1">
        <v>25</v>
      </c>
      <c r="R2157" s="1">
        <v>25</v>
      </c>
      <c r="S2157" s="1">
        <v>0</v>
      </c>
      <c r="T2157" s="1">
        <v>0</v>
      </c>
      <c r="U2157" s="1">
        <v>0</v>
      </c>
      <c r="V2157" s="1" t="str">
        <f t="shared" si="412"/>
        <v>里程返程</v>
      </c>
      <c r="W2157" s="1" t="str">
        <f>"2020"</f>
        <v>2020</v>
      </c>
      <c r="X2157" s="1" t="s">
        <v>35</v>
      </c>
    </row>
    <row r="2158" spans="1:24" x14ac:dyDescent="0.3">
      <c r="A2158" s="1" t="str">
        <f t="shared" si="405"/>
        <v>59822</v>
      </c>
      <c r="B2158" s="1" t="s">
        <v>39</v>
      </c>
      <c r="C2158" s="1" t="s">
        <v>40</v>
      </c>
      <c r="D2158" s="1" t="str">
        <f t="shared" si="411"/>
        <v>9803</v>
      </c>
      <c r="E2158" s="1" t="s">
        <v>32</v>
      </c>
      <c r="F2158" s="1" t="str">
        <f>"1648338293"</f>
        <v>1648338293</v>
      </c>
      <c r="G2158" s="1" t="s">
        <v>33</v>
      </c>
      <c r="H2158" s="1" t="str">
        <f t="shared" si="410"/>
        <v>20220910</v>
      </c>
      <c r="I2158" s="1" t="str">
        <f>"153859"</f>
        <v>153859</v>
      </c>
      <c r="J2158" s="1" t="s">
        <v>34</v>
      </c>
      <c r="K2158" s="1" t="s">
        <v>34</v>
      </c>
      <c r="L2158" s="1" t="str">
        <f t="shared" si="407"/>
        <v>20220910</v>
      </c>
      <c r="M2158" s="1" t="str">
        <f>"161013"</f>
        <v>161013</v>
      </c>
      <c r="N2158" s="1" t="s">
        <v>28</v>
      </c>
      <c r="O2158" s="1" t="s">
        <v>28</v>
      </c>
      <c r="P2158" s="1" t="s">
        <v>55</v>
      </c>
      <c r="Q2158" s="1">
        <v>25</v>
      </c>
      <c r="R2158" s="1">
        <v>25</v>
      </c>
      <c r="S2158" s="1">
        <v>0</v>
      </c>
      <c r="T2158" s="1">
        <v>0</v>
      </c>
      <c r="U2158" s="1">
        <v>0</v>
      </c>
      <c r="V2158" s="1" t="str">
        <f t="shared" si="412"/>
        <v>里程返程</v>
      </c>
      <c r="W2158" s="1" t="str">
        <f>"2020"</f>
        <v>2020</v>
      </c>
      <c r="X2158" s="1" t="s">
        <v>35</v>
      </c>
    </row>
    <row r="2159" spans="1:24" x14ac:dyDescent="0.3">
      <c r="A2159" s="1" t="str">
        <f t="shared" si="405"/>
        <v>59822</v>
      </c>
      <c r="B2159" s="1" t="s">
        <v>39</v>
      </c>
      <c r="C2159" s="1" t="s">
        <v>40</v>
      </c>
      <c r="D2159" s="1" t="str">
        <f t="shared" si="411"/>
        <v>9803</v>
      </c>
      <c r="E2159" s="1" t="s">
        <v>32</v>
      </c>
      <c r="F2159" s="1" t="str">
        <f>"1772710161"</f>
        <v>1772710161</v>
      </c>
      <c r="G2159" s="1" t="s">
        <v>33</v>
      </c>
      <c r="H2159" s="1" t="str">
        <f t="shared" si="410"/>
        <v>20220910</v>
      </c>
      <c r="I2159" s="1" t="str">
        <f>"153932"</f>
        <v>153932</v>
      </c>
      <c r="J2159" s="1" t="s">
        <v>34</v>
      </c>
      <c r="K2159" s="1" t="s">
        <v>34</v>
      </c>
      <c r="L2159" s="1" t="str">
        <f t="shared" si="407"/>
        <v>20220910</v>
      </c>
      <c r="M2159" s="1" t="str">
        <f>"161046"</f>
        <v>161046</v>
      </c>
      <c r="N2159" s="1" t="s">
        <v>28</v>
      </c>
      <c r="O2159" s="1" t="s">
        <v>28</v>
      </c>
      <c r="P2159" s="1" t="s">
        <v>55</v>
      </c>
      <c r="Q2159" s="1">
        <v>25</v>
      </c>
      <c r="R2159" s="1">
        <v>25</v>
      </c>
      <c r="S2159" s="1">
        <v>0</v>
      </c>
      <c r="T2159" s="1">
        <v>0</v>
      </c>
      <c r="U2159" s="1">
        <v>0</v>
      </c>
      <c r="V2159" s="1" t="str">
        <f t="shared" si="412"/>
        <v>里程返程</v>
      </c>
      <c r="W2159" s="1" t="str">
        <f>"0220"</f>
        <v>0220</v>
      </c>
      <c r="X2159" s="1" t="s">
        <v>35</v>
      </c>
    </row>
    <row r="2160" spans="1:24" x14ac:dyDescent="0.3">
      <c r="A2160" s="1" t="str">
        <f t="shared" si="405"/>
        <v>59822</v>
      </c>
      <c r="B2160" s="1" t="s">
        <v>39</v>
      </c>
      <c r="C2160" s="1" t="s">
        <v>40</v>
      </c>
      <c r="D2160" s="1" t="str">
        <f t="shared" si="411"/>
        <v>9803</v>
      </c>
      <c r="E2160" s="1" t="s">
        <v>32</v>
      </c>
      <c r="F2160" s="1" t="str">
        <f>"1249173505"</f>
        <v>1249173505</v>
      </c>
      <c r="G2160" s="1" t="s">
        <v>33</v>
      </c>
      <c r="H2160" s="1" t="str">
        <f t="shared" si="410"/>
        <v>20220910</v>
      </c>
      <c r="I2160" s="1" t="str">
        <f>"153939"</f>
        <v>153939</v>
      </c>
      <c r="J2160" s="1" t="s">
        <v>34</v>
      </c>
      <c r="K2160" s="1" t="s">
        <v>34</v>
      </c>
      <c r="L2160" s="1" t="str">
        <f t="shared" si="407"/>
        <v>20220910</v>
      </c>
      <c r="M2160" s="1" t="str">
        <f>"161042"</f>
        <v>161042</v>
      </c>
      <c r="N2160" s="1" t="s">
        <v>28</v>
      </c>
      <c r="O2160" s="1" t="s">
        <v>28</v>
      </c>
      <c r="P2160" s="1" t="s">
        <v>55</v>
      </c>
      <c r="Q2160" s="1">
        <v>25</v>
      </c>
      <c r="R2160" s="1">
        <v>25</v>
      </c>
      <c r="S2160" s="1">
        <v>0</v>
      </c>
      <c r="T2160" s="1">
        <v>0</v>
      </c>
      <c r="U2160" s="1">
        <v>0</v>
      </c>
      <c r="V2160" s="1" t="str">
        <f t="shared" si="412"/>
        <v>里程返程</v>
      </c>
      <c r="W2160" s="1" t="str">
        <f>"2020"</f>
        <v>2020</v>
      </c>
      <c r="X2160" s="1" t="s">
        <v>35</v>
      </c>
    </row>
    <row r="2161" spans="1:24" x14ac:dyDescent="0.3">
      <c r="A2161" s="1" t="str">
        <f t="shared" si="405"/>
        <v>59822</v>
      </c>
      <c r="B2161" s="1" t="s">
        <v>39</v>
      </c>
      <c r="C2161" s="1" t="s">
        <v>40</v>
      </c>
      <c r="D2161" s="1" t="str">
        <f t="shared" si="411"/>
        <v>9803</v>
      </c>
      <c r="E2161" s="1" t="s">
        <v>32</v>
      </c>
      <c r="F2161" s="1" t="str">
        <f>"800433061"</f>
        <v>800433061</v>
      </c>
      <c r="G2161" s="1" t="s">
        <v>33</v>
      </c>
      <c r="H2161" s="1" t="str">
        <f t="shared" si="410"/>
        <v>20220910</v>
      </c>
      <c r="I2161" s="1" t="str">
        <f>"160221"</f>
        <v>160221</v>
      </c>
      <c r="J2161" s="1" t="s">
        <v>92</v>
      </c>
      <c r="K2161" s="1" t="s">
        <v>28</v>
      </c>
      <c r="L2161" s="1" t="str">
        <f t="shared" si="407"/>
        <v>20220910</v>
      </c>
      <c r="M2161" s="1" t="str">
        <f>"161001"</f>
        <v>161001</v>
      </c>
      <c r="N2161" s="1" t="s">
        <v>28</v>
      </c>
      <c r="O2161" s="1" t="s">
        <v>28</v>
      </c>
      <c r="P2161" s="1" t="s">
        <v>55</v>
      </c>
      <c r="Q2161" s="1">
        <v>25</v>
      </c>
      <c r="R2161" s="1">
        <v>25</v>
      </c>
      <c r="S2161" s="1">
        <v>0</v>
      </c>
      <c r="T2161" s="1">
        <v>0</v>
      </c>
      <c r="U2161" s="1">
        <v>0</v>
      </c>
      <c r="V2161" s="1" t="str">
        <f t="shared" si="412"/>
        <v>里程返程</v>
      </c>
      <c r="W2161" s="1" t="str">
        <f>"2020"</f>
        <v>2020</v>
      </c>
      <c r="X2161" s="1" t="s">
        <v>35</v>
      </c>
    </row>
    <row r="2162" spans="1:24" x14ac:dyDescent="0.3">
      <c r="A2162" s="1" t="str">
        <f t="shared" si="405"/>
        <v>59822</v>
      </c>
      <c r="B2162" s="1" t="s">
        <v>39</v>
      </c>
      <c r="C2162" s="1" t="s">
        <v>40</v>
      </c>
      <c r="D2162" s="1" t="str">
        <f t="shared" si="411"/>
        <v>9803</v>
      </c>
      <c r="E2162" s="1" t="s">
        <v>32</v>
      </c>
      <c r="F2162" s="1" t="str">
        <f>"6617152011007127"</f>
        <v>6617152011007127</v>
      </c>
      <c r="G2162" s="1" t="s">
        <v>33</v>
      </c>
      <c r="H2162" s="1" t="str">
        <f t="shared" si="410"/>
        <v>20220910</v>
      </c>
      <c r="I2162" s="1" t="str">
        <f>"160235"</f>
        <v>160235</v>
      </c>
      <c r="J2162" s="1" t="s">
        <v>92</v>
      </c>
      <c r="K2162" s="1" t="s">
        <v>28</v>
      </c>
      <c r="L2162" s="1" t="str">
        <f t="shared" si="407"/>
        <v>20220910</v>
      </c>
      <c r="M2162" s="1" t="str">
        <f>"160952"</f>
        <v>160952</v>
      </c>
      <c r="N2162" s="1" t="s">
        <v>28</v>
      </c>
      <c r="O2162" s="1" t="s">
        <v>28</v>
      </c>
      <c r="P2162" s="1" t="s">
        <v>55</v>
      </c>
      <c r="Q2162" s="1">
        <v>25</v>
      </c>
      <c r="R2162" s="1">
        <v>25</v>
      </c>
      <c r="S2162" s="1">
        <v>0</v>
      </c>
      <c r="T2162" s="1">
        <v>0</v>
      </c>
      <c r="U2162" s="1">
        <v>0</v>
      </c>
      <c r="V2162" s="1" t="str">
        <f t="shared" si="412"/>
        <v>里程返程</v>
      </c>
      <c r="W2162" s="1" t="str">
        <f>"3B8B"</f>
        <v>3B8B</v>
      </c>
      <c r="X2162" s="1" t="s">
        <v>109</v>
      </c>
    </row>
    <row r="2163" spans="1:24" x14ac:dyDescent="0.3">
      <c r="A2163" s="1" t="str">
        <f t="shared" si="405"/>
        <v>59822</v>
      </c>
      <c r="B2163" s="1" t="s">
        <v>39</v>
      </c>
      <c r="C2163" s="1" t="s">
        <v>40</v>
      </c>
      <c r="D2163" s="1" t="str">
        <f t="shared" si="411"/>
        <v>9803</v>
      </c>
      <c r="E2163" s="1" t="s">
        <v>32</v>
      </c>
      <c r="F2163" s="1" t="str">
        <f>"1259505905"</f>
        <v>1259505905</v>
      </c>
      <c r="G2163" s="1" t="s">
        <v>33</v>
      </c>
      <c r="H2163" s="1" t="str">
        <f t="shared" si="410"/>
        <v>20220910</v>
      </c>
      <c r="I2163" s="1" t="str">
        <f>"160244"</f>
        <v>160244</v>
      </c>
      <c r="J2163" s="1" t="s">
        <v>92</v>
      </c>
      <c r="K2163" s="1" t="s">
        <v>28</v>
      </c>
      <c r="L2163" s="1" t="str">
        <f t="shared" si="407"/>
        <v>20220910</v>
      </c>
      <c r="M2163" s="1" t="str">
        <f>"161007"</f>
        <v>161007</v>
      </c>
      <c r="N2163" s="1" t="s">
        <v>28</v>
      </c>
      <c r="O2163" s="1" t="s">
        <v>28</v>
      </c>
      <c r="P2163" s="1" t="s">
        <v>55</v>
      </c>
      <c r="Q2163" s="1">
        <v>25</v>
      </c>
      <c r="R2163" s="1">
        <v>25</v>
      </c>
      <c r="S2163" s="1">
        <v>0</v>
      </c>
      <c r="T2163" s="1">
        <v>0</v>
      </c>
      <c r="U2163" s="1">
        <v>0</v>
      </c>
      <c r="V2163" s="1" t="str">
        <f t="shared" si="412"/>
        <v>里程返程</v>
      </c>
      <c r="W2163" s="1" t="str">
        <f>"2020"</f>
        <v>2020</v>
      </c>
      <c r="X2163" s="1" t="s">
        <v>35</v>
      </c>
    </row>
    <row r="2164" spans="1:24" x14ac:dyDescent="0.3">
      <c r="A2164" s="1" t="str">
        <f t="shared" si="405"/>
        <v>59822</v>
      </c>
      <c r="B2164" s="1" t="s">
        <v>39</v>
      </c>
      <c r="C2164" s="1" t="s">
        <v>40</v>
      </c>
      <c r="D2164" s="1" t="str">
        <f t="shared" si="411"/>
        <v>9803</v>
      </c>
      <c r="E2164" s="1" t="s">
        <v>32</v>
      </c>
      <c r="F2164" s="1" t="str">
        <f>"7191B655032804001C00000000000000"</f>
        <v>7191B655032804001C00000000000000</v>
      </c>
      <c r="G2164" s="1" t="s">
        <v>58</v>
      </c>
      <c r="H2164" s="1" t="str">
        <f t="shared" si="410"/>
        <v>20220910</v>
      </c>
      <c r="I2164" s="1" t="str">
        <f>"160252"</f>
        <v>160252</v>
      </c>
      <c r="J2164" s="1" t="s">
        <v>92</v>
      </c>
      <c r="K2164" s="1" t="s">
        <v>28</v>
      </c>
      <c r="L2164" s="1" t="str">
        <f t="shared" si="407"/>
        <v>20220910</v>
      </c>
      <c r="M2164" s="1" t="str">
        <f>"160956"</f>
        <v>160956</v>
      </c>
      <c r="N2164" s="1" t="s">
        <v>28</v>
      </c>
      <c r="O2164" s="1" t="s">
        <v>28</v>
      </c>
      <c r="P2164" s="1" t="s">
        <v>55</v>
      </c>
      <c r="Q2164" s="1">
        <v>25</v>
      </c>
      <c r="R2164" s="1">
        <v>25</v>
      </c>
      <c r="S2164" s="1">
        <v>0</v>
      </c>
      <c r="T2164" s="1">
        <v>0</v>
      </c>
      <c r="U2164" s="1">
        <v>0</v>
      </c>
      <c r="V2164" s="1" t="str">
        <f t="shared" si="412"/>
        <v>里程返程</v>
      </c>
      <c r="W2164" s="1" t="str">
        <f>"0020"</f>
        <v>0020</v>
      </c>
      <c r="X2164" s="1" t="s">
        <v>29</v>
      </c>
    </row>
    <row r="2165" spans="1:24" x14ac:dyDescent="0.3">
      <c r="A2165" s="1" t="str">
        <f t="shared" si="405"/>
        <v>59822</v>
      </c>
      <c r="B2165" s="1" t="s">
        <v>39</v>
      </c>
      <c r="C2165" s="1" t="s">
        <v>40</v>
      </c>
      <c r="D2165" s="1" t="str">
        <f>"9801"</f>
        <v>9801</v>
      </c>
      <c r="E2165" s="1" t="s">
        <v>25</v>
      </c>
      <c r="F2165" s="1" t="str">
        <f>"1375088721"</f>
        <v>1375088721</v>
      </c>
      <c r="G2165" s="1" t="s">
        <v>33</v>
      </c>
      <c r="H2165" s="1" t="str">
        <f t="shared" si="410"/>
        <v>20220910</v>
      </c>
      <c r="I2165" s="1" t="str">
        <f>"190001"</f>
        <v>190001</v>
      </c>
      <c r="J2165" s="1" t="s">
        <v>44</v>
      </c>
      <c r="K2165" s="1" t="s">
        <v>45</v>
      </c>
      <c r="L2165" s="1" t="str">
        <f t="shared" si="407"/>
        <v>20220910</v>
      </c>
      <c r="M2165" s="1" t="str">
        <f>"192150"</f>
        <v>192150</v>
      </c>
      <c r="N2165" s="1" t="s">
        <v>85</v>
      </c>
      <c r="O2165" s="1" t="s">
        <v>28</v>
      </c>
      <c r="P2165" s="1" t="s">
        <v>55</v>
      </c>
      <c r="Q2165" s="1">
        <v>25</v>
      </c>
      <c r="R2165" s="1">
        <v>0</v>
      </c>
      <c r="S2165" s="1">
        <v>25</v>
      </c>
      <c r="T2165" s="1">
        <v>0</v>
      </c>
      <c r="U2165" s="1">
        <v>0</v>
      </c>
      <c r="V2165" s="1" t="str">
        <f t="shared" si="412"/>
        <v>里程返程</v>
      </c>
      <c r="W2165" s="1" t="str">
        <f>"2020"</f>
        <v>2020</v>
      </c>
      <c r="X2165" s="1" t="s">
        <v>35</v>
      </c>
    </row>
    <row r="2166" spans="1:24" x14ac:dyDescent="0.3">
      <c r="A2166" s="1" t="str">
        <f t="shared" si="405"/>
        <v>59822</v>
      </c>
      <c r="B2166" s="1" t="s">
        <v>39</v>
      </c>
      <c r="C2166" s="1" t="s">
        <v>40</v>
      </c>
      <c r="D2166" s="1" t="str">
        <f>"9801"</f>
        <v>9801</v>
      </c>
      <c r="E2166" s="1" t="s">
        <v>25</v>
      </c>
      <c r="F2166" s="1" t="str">
        <f>"B2B044185E880400C819002000000019"</f>
        <v>B2B044185E880400C819002000000019</v>
      </c>
      <c r="G2166" s="1" t="s">
        <v>64</v>
      </c>
      <c r="H2166" s="1" t="str">
        <f t="shared" si="410"/>
        <v>20220910</v>
      </c>
      <c r="I2166" s="1" t="str">
        <f>"190003"</f>
        <v>190003</v>
      </c>
      <c r="J2166" s="1" t="s">
        <v>44</v>
      </c>
      <c r="K2166" s="1" t="s">
        <v>45</v>
      </c>
      <c r="L2166" s="1" t="str">
        <f t="shared" si="407"/>
        <v>20220910</v>
      </c>
      <c r="M2166" s="1" t="str">
        <f>"192146"</f>
        <v>192146</v>
      </c>
      <c r="N2166" s="1" t="s">
        <v>85</v>
      </c>
      <c r="O2166" s="1" t="s">
        <v>28</v>
      </c>
      <c r="P2166" s="1" t="s">
        <v>55</v>
      </c>
      <c r="Q2166" s="1">
        <v>13</v>
      </c>
      <c r="R2166" s="1">
        <v>0</v>
      </c>
      <c r="S2166" s="1">
        <v>13</v>
      </c>
      <c r="T2166" s="1">
        <v>0</v>
      </c>
      <c r="U2166" s="1">
        <v>0</v>
      </c>
      <c r="V2166" s="1" t="str">
        <f t="shared" si="412"/>
        <v>里程返程</v>
      </c>
      <c r="W2166" s="1" t="str">
        <f>"2020"</f>
        <v>2020</v>
      </c>
      <c r="X2166" s="1" t="s">
        <v>29</v>
      </c>
    </row>
    <row r="2167" spans="1:24" x14ac:dyDescent="0.3">
      <c r="A2167" s="1" t="str">
        <f t="shared" si="405"/>
        <v>59822</v>
      </c>
      <c r="B2167" s="1" t="s">
        <v>39</v>
      </c>
      <c r="C2167" s="1" t="s">
        <v>40</v>
      </c>
      <c r="D2167" s="1" t="str">
        <f>"9801"</f>
        <v>9801</v>
      </c>
      <c r="E2167" s="1" t="s">
        <v>25</v>
      </c>
      <c r="F2167" s="1" t="str">
        <f>"1030952037"</f>
        <v>1030952037</v>
      </c>
      <c r="G2167" s="1" t="s">
        <v>33</v>
      </c>
      <c r="H2167" s="1" t="str">
        <f t="shared" si="410"/>
        <v>20220910</v>
      </c>
      <c r="I2167" s="1" t="str">
        <f>"190705"</f>
        <v>190705</v>
      </c>
      <c r="J2167" s="1" t="s">
        <v>91</v>
      </c>
      <c r="K2167" s="1" t="s">
        <v>45</v>
      </c>
      <c r="L2167" s="1" t="str">
        <f t="shared" si="407"/>
        <v>20220910</v>
      </c>
      <c r="M2167" s="1" t="str">
        <f>"191107"</f>
        <v>191107</v>
      </c>
      <c r="N2167" s="1" t="s">
        <v>56</v>
      </c>
      <c r="O2167" s="1" t="s">
        <v>45</v>
      </c>
      <c r="P2167" s="1" t="s">
        <v>55</v>
      </c>
      <c r="Q2167" s="1">
        <v>25</v>
      </c>
      <c r="R2167" s="1">
        <v>0</v>
      </c>
      <c r="S2167" s="1">
        <v>25</v>
      </c>
      <c r="T2167" s="1">
        <v>0</v>
      </c>
      <c r="U2167" s="1">
        <v>0</v>
      </c>
      <c r="V2167" s="1" t="str">
        <f t="shared" si="412"/>
        <v>里程返程</v>
      </c>
      <c r="W2167" s="1" t="str">
        <f>"2120"</f>
        <v>2120</v>
      </c>
      <c r="X2167" s="1" t="s">
        <v>35</v>
      </c>
    </row>
    <row r="2168" spans="1:24" x14ac:dyDescent="0.3">
      <c r="A2168" s="1" t="str">
        <f t="shared" si="405"/>
        <v>59822</v>
      </c>
      <c r="B2168" s="1" t="s">
        <v>39</v>
      </c>
      <c r="C2168" s="1" t="s">
        <v>40</v>
      </c>
      <c r="D2168" s="1" t="str">
        <f>"9801"</f>
        <v>9801</v>
      </c>
      <c r="E2168" s="1" t="s">
        <v>25</v>
      </c>
      <c r="F2168" s="1" t="str">
        <f>"2698035450"</f>
        <v>2698035450</v>
      </c>
      <c r="G2168" s="1" t="s">
        <v>33</v>
      </c>
      <c r="H2168" s="1" t="str">
        <f t="shared" si="410"/>
        <v>20220910</v>
      </c>
      <c r="I2168" s="1" t="str">
        <f>"192412"</f>
        <v>192412</v>
      </c>
      <c r="J2168" s="1" t="s">
        <v>85</v>
      </c>
      <c r="K2168" s="1" t="s">
        <v>28</v>
      </c>
      <c r="L2168" s="1" t="str">
        <f t="shared" si="407"/>
        <v>20220910</v>
      </c>
      <c r="M2168" s="1" t="str">
        <f>"194212"</f>
        <v>194212</v>
      </c>
      <c r="N2168" s="1" t="s">
        <v>80</v>
      </c>
      <c r="O2168" s="1" t="s">
        <v>52</v>
      </c>
      <c r="P2168" s="1" t="s">
        <v>55</v>
      </c>
      <c r="Q2168" s="1">
        <v>25</v>
      </c>
      <c r="R2168" s="1">
        <v>25</v>
      </c>
      <c r="S2168" s="1">
        <v>0</v>
      </c>
      <c r="T2168" s="1">
        <v>0</v>
      </c>
      <c r="U2168" s="1">
        <v>0</v>
      </c>
      <c r="V2168" s="1" t="str">
        <f t="shared" si="412"/>
        <v>里程返程</v>
      </c>
      <c r="W2168" s="1" t="str">
        <f>"2020"</f>
        <v>2020</v>
      </c>
      <c r="X2168" s="1" t="s">
        <v>35</v>
      </c>
    </row>
    <row r="2169" spans="1:24" x14ac:dyDescent="0.3">
      <c r="A2169" s="1" t="str">
        <f t="shared" si="405"/>
        <v>59822</v>
      </c>
      <c r="B2169" s="1" t="s">
        <v>39</v>
      </c>
      <c r="C2169" s="1" t="s">
        <v>40</v>
      </c>
      <c r="D2169" s="1" t="str">
        <f>"9805"</f>
        <v>9805</v>
      </c>
      <c r="E2169" s="1" t="s">
        <v>57</v>
      </c>
      <c r="F2169" s="1" t="str">
        <f>"674609125"</f>
        <v>674609125</v>
      </c>
      <c r="G2169" s="1" t="s">
        <v>33</v>
      </c>
      <c r="H2169" s="1" t="str">
        <f t="shared" si="410"/>
        <v>20220910</v>
      </c>
      <c r="I2169" s="1" t="str">
        <f>"195515"</f>
        <v>195515</v>
      </c>
      <c r="J2169" s="1" t="s">
        <v>52</v>
      </c>
      <c r="K2169" s="1" t="s">
        <v>52</v>
      </c>
      <c r="L2169" s="1" t="str">
        <f t="shared" si="407"/>
        <v>20220910</v>
      </c>
      <c r="M2169" s="1" t="str">
        <f>"201806"</f>
        <v>201806</v>
      </c>
      <c r="N2169" s="1" t="s">
        <v>28</v>
      </c>
      <c r="O2169" s="1" t="s">
        <v>28</v>
      </c>
      <c r="P2169" s="1" t="s">
        <v>55</v>
      </c>
      <c r="Q2169" s="1">
        <v>25</v>
      </c>
      <c r="R2169" s="1">
        <v>25</v>
      </c>
      <c r="S2169" s="1">
        <v>0</v>
      </c>
      <c r="T2169" s="1">
        <v>0</v>
      </c>
      <c r="U2169" s="1">
        <v>0</v>
      </c>
      <c r="V2169" s="1" t="str">
        <f t="shared" si="412"/>
        <v>里程返程</v>
      </c>
      <c r="W2169" s="1" t="str">
        <f>"2120"</f>
        <v>2120</v>
      </c>
      <c r="X2169" s="1" t="s">
        <v>35</v>
      </c>
    </row>
    <row r="2170" spans="1:24" x14ac:dyDescent="0.3">
      <c r="A2170" s="1" t="str">
        <f t="shared" si="405"/>
        <v>59822</v>
      </c>
      <c r="B2170" s="1" t="s">
        <v>39</v>
      </c>
      <c r="C2170" s="1" t="s">
        <v>40</v>
      </c>
      <c r="D2170" s="1" t="str">
        <f>"9805"</f>
        <v>9805</v>
      </c>
      <c r="E2170" s="1" t="s">
        <v>57</v>
      </c>
      <c r="F2170" s="1" t="str">
        <f>"1503519329"</f>
        <v>1503519329</v>
      </c>
      <c r="G2170" s="1" t="s">
        <v>33</v>
      </c>
      <c r="H2170" s="1" t="str">
        <f t="shared" si="410"/>
        <v>20220910</v>
      </c>
      <c r="I2170" s="1" t="str">
        <f>"195549"</f>
        <v>195549</v>
      </c>
      <c r="J2170" s="1" t="s">
        <v>52</v>
      </c>
      <c r="K2170" s="1" t="s">
        <v>52</v>
      </c>
      <c r="L2170" s="1" t="str">
        <f t="shared" si="407"/>
        <v>20220910</v>
      </c>
      <c r="M2170" s="1" t="str">
        <f>"201813"</f>
        <v>201813</v>
      </c>
      <c r="N2170" s="1" t="s">
        <v>28</v>
      </c>
      <c r="O2170" s="1" t="s">
        <v>28</v>
      </c>
      <c r="P2170" s="1" t="s">
        <v>55</v>
      </c>
      <c r="Q2170" s="1">
        <v>25</v>
      </c>
      <c r="R2170" s="1">
        <v>25</v>
      </c>
      <c r="S2170" s="1">
        <v>0</v>
      </c>
      <c r="T2170" s="1">
        <v>0</v>
      </c>
      <c r="U2170" s="1">
        <v>0</v>
      </c>
      <c r="V2170" s="1" t="str">
        <f t="shared" si="412"/>
        <v>里程返程</v>
      </c>
      <c r="W2170" s="1" t="str">
        <f>"0820"</f>
        <v>0820</v>
      </c>
      <c r="X2170" s="1" t="s">
        <v>35</v>
      </c>
    </row>
    <row r="2171" spans="1:24" x14ac:dyDescent="0.3">
      <c r="A2171" s="1" t="str">
        <f t="shared" si="405"/>
        <v>59822</v>
      </c>
      <c r="B2171" s="1" t="s">
        <v>39</v>
      </c>
      <c r="C2171" s="1" t="s">
        <v>40</v>
      </c>
      <c r="D2171" s="1" t="str">
        <f>"9805"</f>
        <v>9805</v>
      </c>
      <c r="E2171" s="1" t="s">
        <v>57</v>
      </c>
      <c r="F2171" s="1" t="str">
        <f>"43666241"</f>
        <v>43666241</v>
      </c>
      <c r="G2171" s="1" t="s">
        <v>33</v>
      </c>
      <c r="H2171" s="1" t="str">
        <f t="shared" si="410"/>
        <v>20220910</v>
      </c>
      <c r="I2171" s="1" t="str">
        <f>"195555"</f>
        <v>195555</v>
      </c>
      <c r="J2171" s="1" t="s">
        <v>52</v>
      </c>
      <c r="K2171" s="1" t="s">
        <v>52</v>
      </c>
      <c r="L2171" s="1" t="str">
        <f t="shared" si="407"/>
        <v>20220910</v>
      </c>
      <c r="M2171" s="1" t="str">
        <f>"201816"</f>
        <v>201816</v>
      </c>
      <c r="N2171" s="1" t="s">
        <v>28</v>
      </c>
      <c r="O2171" s="1" t="s">
        <v>28</v>
      </c>
      <c r="P2171" s="1" t="s">
        <v>55</v>
      </c>
      <c r="Q2171" s="1">
        <v>25</v>
      </c>
      <c r="R2171" s="1">
        <v>0</v>
      </c>
      <c r="S2171" s="1">
        <v>25</v>
      </c>
      <c r="T2171" s="1">
        <v>0</v>
      </c>
      <c r="U2171" s="1">
        <v>0</v>
      </c>
      <c r="V2171" s="1" t="str">
        <f t="shared" si="412"/>
        <v>里程返程</v>
      </c>
      <c r="W2171" s="1" t="str">
        <f>"2120"</f>
        <v>2120</v>
      </c>
      <c r="X2171" s="1" t="s">
        <v>35</v>
      </c>
    </row>
    <row r="2172" spans="1:24" x14ac:dyDescent="0.3">
      <c r="A2172" s="1" t="str">
        <f t="shared" ref="A2172:A2203" si="413">"59825"</f>
        <v>59825</v>
      </c>
      <c r="B2172" s="1" t="s">
        <v>30</v>
      </c>
      <c r="C2172" s="1" t="s">
        <v>31</v>
      </c>
      <c r="D2172" s="1" t="str">
        <f t="shared" ref="D2172:D2203" si="414">"9803"</f>
        <v>9803</v>
      </c>
      <c r="E2172" s="1" t="s">
        <v>32</v>
      </c>
      <c r="F2172" s="1" t="str">
        <f>"1336732257"</f>
        <v>1336732257</v>
      </c>
      <c r="G2172" s="1" t="s">
        <v>33</v>
      </c>
      <c r="H2172" s="1" t="str">
        <f t="shared" si="410"/>
        <v>20220910</v>
      </c>
      <c r="I2172" s="1" t="str">
        <f>"073053"</f>
        <v>073053</v>
      </c>
      <c r="J2172" s="1" t="s">
        <v>28</v>
      </c>
      <c r="K2172" s="1" t="s">
        <v>28</v>
      </c>
      <c r="L2172" s="1" t="str">
        <f t="shared" si="407"/>
        <v>20220910</v>
      </c>
      <c r="M2172" s="1" t="str">
        <f>"073826"</f>
        <v>073826</v>
      </c>
      <c r="N2172" s="1" t="s">
        <v>79</v>
      </c>
      <c r="O2172" s="1" t="s">
        <v>28</v>
      </c>
      <c r="P2172" s="1" t="s">
        <v>55</v>
      </c>
      <c r="Q2172" s="1">
        <v>25</v>
      </c>
      <c r="R2172" s="1">
        <v>25</v>
      </c>
      <c r="S2172" s="1">
        <v>0</v>
      </c>
      <c r="T2172" s="1">
        <v>0</v>
      </c>
      <c r="U2172" s="1">
        <v>0</v>
      </c>
      <c r="V2172" s="1" t="str">
        <f>"里程去程"</f>
        <v>里程去程</v>
      </c>
      <c r="W2172" s="1" t="str">
        <f>"0120"</f>
        <v>0120</v>
      </c>
      <c r="X2172" s="1" t="s">
        <v>35</v>
      </c>
    </row>
    <row r="2173" spans="1:24" x14ac:dyDescent="0.3">
      <c r="A2173" s="1" t="str">
        <f t="shared" si="413"/>
        <v>59825</v>
      </c>
      <c r="B2173" s="1" t="s">
        <v>30</v>
      </c>
      <c r="C2173" s="1" t="s">
        <v>31</v>
      </c>
      <c r="D2173" s="1" t="str">
        <f t="shared" si="414"/>
        <v>9803</v>
      </c>
      <c r="E2173" s="1" t="s">
        <v>32</v>
      </c>
      <c r="F2173" s="1" t="str">
        <f>"4A2121612B880400C18514D049504512"</f>
        <v>4A2121612B880400C18514D049504512</v>
      </c>
      <c r="G2173" s="1" t="s">
        <v>58</v>
      </c>
      <c r="H2173" s="1" t="str">
        <f t="shared" si="410"/>
        <v>20220910</v>
      </c>
      <c r="I2173" s="1" t="str">
        <f>"073058"</f>
        <v>073058</v>
      </c>
      <c r="J2173" s="1" t="s">
        <v>28</v>
      </c>
      <c r="K2173" s="1" t="s">
        <v>28</v>
      </c>
      <c r="L2173" s="1" t="str">
        <f t="shared" si="407"/>
        <v>20220910</v>
      </c>
      <c r="M2173" s="1" t="str">
        <f>"074816"</f>
        <v>074816</v>
      </c>
      <c r="N2173" s="1" t="s">
        <v>34</v>
      </c>
      <c r="O2173" s="1" t="s">
        <v>34</v>
      </c>
      <c r="P2173" s="1" t="s">
        <v>55</v>
      </c>
      <c r="Q2173" s="1">
        <v>25</v>
      </c>
      <c r="R2173" s="1">
        <v>25</v>
      </c>
      <c r="S2173" s="1">
        <v>0</v>
      </c>
      <c r="T2173" s="1">
        <v>0</v>
      </c>
      <c r="U2173" s="1">
        <v>0</v>
      </c>
      <c r="V2173" s="1" t="str">
        <f>"里程去程"</f>
        <v>里程去程</v>
      </c>
      <c r="W2173" s="1" t="str">
        <f>"0020"</f>
        <v>0020</v>
      </c>
      <c r="X2173" s="1" t="s">
        <v>29</v>
      </c>
    </row>
    <row r="2174" spans="1:24" x14ac:dyDescent="0.3">
      <c r="A2174" s="1" t="str">
        <f t="shared" si="413"/>
        <v>59825</v>
      </c>
      <c r="B2174" s="1" t="s">
        <v>30</v>
      </c>
      <c r="C2174" s="1" t="s">
        <v>31</v>
      </c>
      <c r="D2174" s="1" t="str">
        <f t="shared" si="414"/>
        <v>9803</v>
      </c>
      <c r="E2174" s="1" t="s">
        <v>32</v>
      </c>
      <c r="F2174" s="1" t="str">
        <f>"1549604529"</f>
        <v>1549604529</v>
      </c>
      <c r="G2174" s="1" t="s">
        <v>33</v>
      </c>
      <c r="H2174" s="1" t="str">
        <f t="shared" si="410"/>
        <v>20220910</v>
      </c>
      <c r="I2174" s="1" t="str">
        <f>"082206"</f>
        <v>082206</v>
      </c>
      <c r="J2174" s="1" t="s">
        <v>92</v>
      </c>
      <c r="K2174" s="1" t="s">
        <v>28</v>
      </c>
      <c r="L2174" s="1" t="str">
        <f t="shared" si="407"/>
        <v>20220910</v>
      </c>
      <c r="M2174" s="1" t="str">
        <f>"082954"</f>
        <v>082954</v>
      </c>
      <c r="N2174" s="1" t="s">
        <v>28</v>
      </c>
      <c r="O2174" s="1" t="s">
        <v>28</v>
      </c>
      <c r="P2174" s="1" t="s">
        <v>55</v>
      </c>
      <c r="Q2174" s="1">
        <v>25</v>
      </c>
      <c r="R2174" s="1">
        <v>25</v>
      </c>
      <c r="S2174" s="1">
        <v>0</v>
      </c>
      <c r="T2174" s="1">
        <v>0</v>
      </c>
      <c r="U2174" s="1">
        <v>0</v>
      </c>
      <c r="V2174" s="1" t="str">
        <f>"里程返程"</f>
        <v>里程返程</v>
      </c>
      <c r="W2174" s="1" t="str">
        <f>"2120"</f>
        <v>2120</v>
      </c>
      <c r="X2174" s="1" t="s">
        <v>35</v>
      </c>
    </row>
    <row r="2175" spans="1:24" x14ac:dyDescent="0.3">
      <c r="A2175" s="1" t="str">
        <f t="shared" si="413"/>
        <v>59825</v>
      </c>
      <c r="B2175" s="1" t="s">
        <v>30</v>
      </c>
      <c r="C2175" s="1" t="s">
        <v>31</v>
      </c>
      <c r="D2175" s="1" t="str">
        <f t="shared" si="414"/>
        <v>9803</v>
      </c>
      <c r="E2175" s="1" t="s">
        <v>32</v>
      </c>
      <c r="F2175" s="1" t="str">
        <f>"82789B0061880400C801002000000015"</f>
        <v>82789B0061880400C801002000000015</v>
      </c>
      <c r="G2175" s="1" t="s">
        <v>58</v>
      </c>
      <c r="H2175" s="1" t="str">
        <f t="shared" si="410"/>
        <v>20220910</v>
      </c>
      <c r="I2175" s="1" t="str">
        <f>"084244"</f>
        <v>084244</v>
      </c>
      <c r="J2175" s="1" t="s">
        <v>46</v>
      </c>
      <c r="K2175" s="1" t="s">
        <v>28</v>
      </c>
      <c r="L2175" s="1" t="str">
        <f t="shared" ref="L2175:L2206" si="415">"20220910"</f>
        <v>20220910</v>
      </c>
      <c r="M2175" s="1" t="str">
        <f>"085207"</f>
        <v>085207</v>
      </c>
      <c r="N2175" s="1" t="s">
        <v>34</v>
      </c>
      <c r="O2175" s="1" t="s">
        <v>34</v>
      </c>
      <c r="P2175" s="1" t="s">
        <v>55</v>
      </c>
      <c r="Q2175" s="1">
        <v>25</v>
      </c>
      <c r="R2175" s="1">
        <v>25</v>
      </c>
      <c r="S2175" s="1">
        <v>0</v>
      </c>
      <c r="T2175" s="1">
        <v>0</v>
      </c>
      <c r="U2175" s="1">
        <v>0</v>
      </c>
      <c r="V2175" s="1" t="str">
        <f>"里程去程"</f>
        <v>里程去程</v>
      </c>
      <c r="W2175" s="1" t="str">
        <f>"0020"</f>
        <v>0020</v>
      </c>
      <c r="X2175" s="1" t="s">
        <v>29</v>
      </c>
    </row>
    <row r="2176" spans="1:24" x14ac:dyDescent="0.3">
      <c r="A2176" s="1" t="str">
        <f t="shared" si="413"/>
        <v>59825</v>
      </c>
      <c r="B2176" s="1" t="s">
        <v>30</v>
      </c>
      <c r="C2176" s="1" t="s">
        <v>31</v>
      </c>
      <c r="D2176" s="1" t="str">
        <f t="shared" si="414"/>
        <v>9803</v>
      </c>
      <c r="E2176" s="1" t="s">
        <v>32</v>
      </c>
      <c r="F2176" s="1" t="str">
        <f>"11826543B5280400F700000000000000"</f>
        <v>11826543B5280400F700000000000000</v>
      </c>
      <c r="G2176" s="1" t="s">
        <v>58</v>
      </c>
      <c r="H2176" s="1" t="str">
        <f t="shared" si="410"/>
        <v>20220910</v>
      </c>
      <c r="I2176" s="1" t="str">
        <f>"084246"</f>
        <v>084246</v>
      </c>
      <c r="J2176" s="1" t="s">
        <v>46</v>
      </c>
      <c r="K2176" s="1" t="s">
        <v>28</v>
      </c>
      <c r="L2176" s="1" t="str">
        <f t="shared" si="415"/>
        <v>20220910</v>
      </c>
      <c r="M2176" s="1" t="str">
        <f>"085203"</f>
        <v>085203</v>
      </c>
      <c r="N2176" s="1" t="s">
        <v>34</v>
      </c>
      <c r="O2176" s="1" t="s">
        <v>34</v>
      </c>
      <c r="P2176" s="1" t="s">
        <v>55</v>
      </c>
      <c r="Q2176" s="1">
        <v>25</v>
      </c>
      <c r="R2176" s="1">
        <v>25</v>
      </c>
      <c r="S2176" s="1">
        <v>0</v>
      </c>
      <c r="T2176" s="1">
        <v>0</v>
      </c>
      <c r="U2176" s="1">
        <v>0</v>
      </c>
      <c r="V2176" s="1" t="str">
        <f>"里程去程"</f>
        <v>里程去程</v>
      </c>
      <c r="W2176" s="1" t="str">
        <f>"0020"</f>
        <v>0020</v>
      </c>
      <c r="X2176" s="1" t="s">
        <v>29</v>
      </c>
    </row>
    <row r="2177" spans="1:24" x14ac:dyDescent="0.3">
      <c r="A2177" s="1" t="str">
        <f t="shared" si="413"/>
        <v>59825</v>
      </c>
      <c r="B2177" s="1" t="s">
        <v>30</v>
      </c>
      <c r="C2177" s="1" t="s">
        <v>31</v>
      </c>
      <c r="D2177" s="1" t="str">
        <f t="shared" si="414"/>
        <v>9803</v>
      </c>
      <c r="E2177" s="1" t="s">
        <v>32</v>
      </c>
      <c r="F2177" s="1" t="str">
        <f>"11826543B5280400F700000000000000"</f>
        <v>11826543B5280400F700000000000000</v>
      </c>
      <c r="G2177" s="1" t="s">
        <v>58</v>
      </c>
      <c r="H2177" s="1" t="str">
        <f t="shared" si="410"/>
        <v>20220910</v>
      </c>
      <c r="I2177" s="1" t="str">
        <f>"085941"</f>
        <v>085941</v>
      </c>
      <c r="J2177" s="1" t="s">
        <v>34</v>
      </c>
      <c r="K2177" s="1" t="s">
        <v>34</v>
      </c>
      <c r="L2177" s="1" t="str">
        <f t="shared" si="415"/>
        <v>20220910</v>
      </c>
      <c r="M2177" s="1" t="str">
        <f>"090524"</f>
        <v>090524</v>
      </c>
      <c r="N2177" s="1" t="s">
        <v>73</v>
      </c>
      <c r="O2177" s="1" t="s">
        <v>28</v>
      </c>
      <c r="P2177" s="1" t="s">
        <v>55</v>
      </c>
      <c r="Q2177" s="1">
        <v>25</v>
      </c>
      <c r="R2177" s="1">
        <v>25</v>
      </c>
      <c r="S2177" s="1">
        <v>0</v>
      </c>
      <c r="T2177" s="1">
        <v>0</v>
      </c>
      <c r="U2177" s="1">
        <v>0</v>
      </c>
      <c r="V2177" s="1" t="str">
        <f>"里程返程"</f>
        <v>里程返程</v>
      </c>
      <c r="W2177" s="1" t="str">
        <f>"0020"</f>
        <v>0020</v>
      </c>
      <c r="X2177" s="1" t="s">
        <v>29</v>
      </c>
    </row>
    <row r="2178" spans="1:24" x14ac:dyDescent="0.3">
      <c r="A2178" s="1" t="str">
        <f t="shared" si="413"/>
        <v>59825</v>
      </c>
      <c r="B2178" s="1" t="s">
        <v>30</v>
      </c>
      <c r="C2178" s="1" t="s">
        <v>31</v>
      </c>
      <c r="D2178" s="1" t="str">
        <f t="shared" si="414"/>
        <v>9803</v>
      </c>
      <c r="E2178" s="1" t="s">
        <v>32</v>
      </c>
      <c r="F2178" s="1" t="str">
        <f>"82789B0061880400C801002000000015"</f>
        <v>82789B0061880400C801002000000015</v>
      </c>
      <c r="G2178" s="1" t="s">
        <v>58</v>
      </c>
      <c r="H2178" s="1" t="str">
        <f t="shared" si="410"/>
        <v>20220910</v>
      </c>
      <c r="I2178" s="1" t="str">
        <f>"085942"</f>
        <v>085942</v>
      </c>
      <c r="J2178" s="1" t="s">
        <v>34</v>
      </c>
      <c r="K2178" s="1" t="s">
        <v>34</v>
      </c>
      <c r="L2178" s="1" t="str">
        <f t="shared" si="415"/>
        <v>20220910</v>
      </c>
      <c r="M2178" s="1" t="str">
        <f>"090529"</f>
        <v>090529</v>
      </c>
      <c r="N2178" s="1" t="s">
        <v>73</v>
      </c>
      <c r="O2178" s="1" t="s">
        <v>28</v>
      </c>
      <c r="P2178" s="1" t="s">
        <v>55</v>
      </c>
      <c r="Q2178" s="1">
        <v>25</v>
      </c>
      <c r="R2178" s="1">
        <v>25</v>
      </c>
      <c r="S2178" s="1">
        <v>0</v>
      </c>
      <c r="T2178" s="1">
        <v>0</v>
      </c>
      <c r="U2178" s="1">
        <v>0</v>
      </c>
      <c r="V2178" s="1" t="str">
        <f>"里程返程"</f>
        <v>里程返程</v>
      </c>
      <c r="W2178" s="1" t="str">
        <f>"0020"</f>
        <v>0020</v>
      </c>
      <c r="X2178" s="1" t="s">
        <v>29</v>
      </c>
    </row>
    <row r="2179" spans="1:24" x14ac:dyDescent="0.3">
      <c r="A2179" s="1" t="str">
        <f t="shared" si="413"/>
        <v>59825</v>
      </c>
      <c r="B2179" s="1" t="s">
        <v>30</v>
      </c>
      <c r="C2179" s="1" t="s">
        <v>31</v>
      </c>
      <c r="D2179" s="1" t="str">
        <f t="shared" si="414"/>
        <v>9803</v>
      </c>
      <c r="E2179" s="1" t="s">
        <v>32</v>
      </c>
      <c r="F2179" s="1" t="str">
        <f>"C2190A12C3880400C824002000000018"</f>
        <v>C2190A12C3880400C824002000000018</v>
      </c>
      <c r="G2179" s="1" t="s">
        <v>58</v>
      </c>
      <c r="H2179" s="1" t="str">
        <f t="shared" si="410"/>
        <v>20220910</v>
      </c>
      <c r="I2179" s="1" t="str">
        <f>"103015"</f>
        <v>103015</v>
      </c>
      <c r="J2179" s="1" t="s">
        <v>28</v>
      </c>
      <c r="K2179" s="1" t="s">
        <v>28</v>
      </c>
      <c r="L2179" s="1" t="str">
        <f t="shared" si="415"/>
        <v>20220910</v>
      </c>
      <c r="M2179" s="1" t="str">
        <f>"105012"</f>
        <v>105012</v>
      </c>
      <c r="N2179" s="1" t="s">
        <v>34</v>
      </c>
      <c r="O2179" s="1" t="s">
        <v>34</v>
      </c>
      <c r="P2179" s="1" t="s">
        <v>55</v>
      </c>
      <c r="Q2179" s="1">
        <v>25</v>
      </c>
      <c r="R2179" s="1">
        <v>25</v>
      </c>
      <c r="S2179" s="1">
        <v>0</v>
      </c>
      <c r="T2179" s="1">
        <v>0</v>
      </c>
      <c r="U2179" s="1">
        <v>0</v>
      </c>
      <c r="V2179" s="1" t="str">
        <f>"里程去程"</f>
        <v>里程去程</v>
      </c>
      <c r="W2179" s="1" t="str">
        <f>"0020"</f>
        <v>0020</v>
      </c>
      <c r="X2179" s="1" t="s">
        <v>29</v>
      </c>
    </row>
    <row r="2180" spans="1:24" x14ac:dyDescent="0.3">
      <c r="A2180" s="1" t="str">
        <f t="shared" si="413"/>
        <v>59825</v>
      </c>
      <c r="B2180" s="1" t="s">
        <v>30</v>
      </c>
      <c r="C2180" s="1" t="s">
        <v>31</v>
      </c>
      <c r="D2180" s="1" t="str">
        <f t="shared" si="414"/>
        <v>9803</v>
      </c>
      <c r="E2180" s="1" t="s">
        <v>32</v>
      </c>
      <c r="F2180" s="1" t="str">
        <f>"1532623633"</f>
        <v>1532623633</v>
      </c>
      <c r="G2180" s="1" t="s">
        <v>33</v>
      </c>
      <c r="H2180" s="1" t="str">
        <f t="shared" si="410"/>
        <v>20220910</v>
      </c>
      <c r="I2180" s="1" t="str">
        <f>"103019"</f>
        <v>103019</v>
      </c>
      <c r="J2180" s="1" t="s">
        <v>28</v>
      </c>
      <c r="K2180" s="1" t="s">
        <v>28</v>
      </c>
      <c r="L2180" s="1" t="str">
        <f t="shared" si="415"/>
        <v>20220910</v>
      </c>
      <c r="M2180" s="1" t="str">
        <f>"105027"</f>
        <v>105027</v>
      </c>
      <c r="N2180" s="1" t="s">
        <v>34</v>
      </c>
      <c r="O2180" s="1" t="s">
        <v>34</v>
      </c>
      <c r="P2180" s="1" t="s">
        <v>55</v>
      </c>
      <c r="Q2180" s="1">
        <v>25</v>
      </c>
      <c r="R2180" s="1">
        <v>25</v>
      </c>
      <c r="S2180" s="1">
        <v>0</v>
      </c>
      <c r="T2180" s="1">
        <v>0</v>
      </c>
      <c r="U2180" s="1">
        <v>0</v>
      </c>
      <c r="V2180" s="1" t="str">
        <f>"里程去程"</f>
        <v>里程去程</v>
      </c>
      <c r="W2180" s="1" t="str">
        <f>"0820"</f>
        <v>0820</v>
      </c>
      <c r="X2180" s="1" t="s">
        <v>35</v>
      </c>
    </row>
    <row r="2181" spans="1:24" x14ac:dyDescent="0.3">
      <c r="A2181" s="1" t="str">
        <f t="shared" si="413"/>
        <v>59825</v>
      </c>
      <c r="B2181" s="1" t="s">
        <v>30</v>
      </c>
      <c r="C2181" s="1" t="s">
        <v>31</v>
      </c>
      <c r="D2181" s="1" t="str">
        <f t="shared" si="414"/>
        <v>9803</v>
      </c>
      <c r="E2181" s="1" t="s">
        <v>32</v>
      </c>
      <c r="F2181" s="1" t="str">
        <f>"155724017"</f>
        <v>155724017</v>
      </c>
      <c r="G2181" s="1" t="s">
        <v>33</v>
      </c>
      <c r="H2181" s="1" t="str">
        <f t="shared" si="410"/>
        <v>20220910</v>
      </c>
      <c r="I2181" s="1" t="str">
        <f>"113143"</f>
        <v>113143</v>
      </c>
      <c r="J2181" s="1" t="s">
        <v>28</v>
      </c>
      <c r="K2181" s="1" t="s">
        <v>28</v>
      </c>
      <c r="L2181" s="1" t="str">
        <f t="shared" si="415"/>
        <v>20220910</v>
      </c>
      <c r="M2181" s="1" t="str">
        <f>"115309"</f>
        <v>115309</v>
      </c>
      <c r="N2181" s="1" t="s">
        <v>34</v>
      </c>
      <c r="O2181" s="1" t="s">
        <v>34</v>
      </c>
      <c r="P2181" s="1" t="s">
        <v>55</v>
      </c>
      <c r="Q2181" s="1">
        <v>25</v>
      </c>
      <c r="R2181" s="1">
        <v>25</v>
      </c>
      <c r="S2181" s="1">
        <v>0</v>
      </c>
      <c r="T2181" s="1">
        <v>0</v>
      </c>
      <c r="U2181" s="1">
        <v>0</v>
      </c>
      <c r="V2181" s="1" t="str">
        <f>"里程去程"</f>
        <v>里程去程</v>
      </c>
      <c r="W2181" s="1" t="str">
        <f>"0220"</f>
        <v>0220</v>
      </c>
      <c r="X2181" s="1" t="s">
        <v>35</v>
      </c>
    </row>
    <row r="2182" spans="1:24" x14ac:dyDescent="0.3">
      <c r="A2182" s="1" t="str">
        <f t="shared" si="413"/>
        <v>59825</v>
      </c>
      <c r="B2182" s="1" t="s">
        <v>30</v>
      </c>
      <c r="C2182" s="1" t="s">
        <v>31</v>
      </c>
      <c r="D2182" s="1" t="str">
        <f t="shared" si="414"/>
        <v>9803</v>
      </c>
      <c r="E2182" s="1" t="s">
        <v>32</v>
      </c>
      <c r="F2182" s="1" t="str">
        <f>"728240225"</f>
        <v>728240225</v>
      </c>
      <c r="G2182" s="1" t="s">
        <v>33</v>
      </c>
      <c r="H2182" s="1" t="str">
        <f t="shared" si="410"/>
        <v>20220910</v>
      </c>
      <c r="I2182" s="1" t="str">
        <f>"115340"</f>
        <v>115340</v>
      </c>
      <c r="J2182" s="1" t="s">
        <v>34</v>
      </c>
      <c r="K2182" s="1" t="s">
        <v>34</v>
      </c>
      <c r="L2182" s="1" t="str">
        <f t="shared" si="415"/>
        <v>20220910</v>
      </c>
      <c r="M2182" s="1" t="str">
        <f>"122747"</f>
        <v>122747</v>
      </c>
      <c r="N2182" s="1" t="s">
        <v>28</v>
      </c>
      <c r="O2182" s="1" t="s">
        <v>28</v>
      </c>
      <c r="P2182" s="1" t="s">
        <v>55</v>
      </c>
      <c r="Q2182" s="1">
        <v>25</v>
      </c>
      <c r="R2182" s="1">
        <v>25</v>
      </c>
      <c r="S2182" s="1">
        <v>0</v>
      </c>
      <c r="T2182" s="1">
        <v>0</v>
      </c>
      <c r="U2182" s="1">
        <v>0</v>
      </c>
      <c r="V2182" s="1" t="str">
        <f t="shared" ref="V2182:V2201" si="416">"里程返程"</f>
        <v>里程返程</v>
      </c>
      <c r="W2182" s="1" t="str">
        <f>"2020"</f>
        <v>2020</v>
      </c>
      <c r="X2182" s="1" t="s">
        <v>35</v>
      </c>
    </row>
    <row r="2183" spans="1:24" x14ac:dyDescent="0.3">
      <c r="A2183" s="1" t="str">
        <f t="shared" si="413"/>
        <v>59825</v>
      </c>
      <c r="B2183" s="1" t="s">
        <v>30</v>
      </c>
      <c r="C2183" s="1" t="s">
        <v>31</v>
      </c>
      <c r="D2183" s="1" t="str">
        <f t="shared" si="414"/>
        <v>9803</v>
      </c>
      <c r="E2183" s="1" t="s">
        <v>32</v>
      </c>
      <c r="F2183" s="1" t="str">
        <f>"255403041"</f>
        <v>255403041</v>
      </c>
      <c r="G2183" s="1" t="s">
        <v>33</v>
      </c>
      <c r="H2183" s="1" t="str">
        <f t="shared" si="410"/>
        <v>20220910</v>
      </c>
      <c r="I2183" s="1" t="str">
        <f>"115345"</f>
        <v>115345</v>
      </c>
      <c r="J2183" s="1" t="s">
        <v>34</v>
      </c>
      <c r="K2183" s="1" t="s">
        <v>34</v>
      </c>
      <c r="L2183" s="1" t="str">
        <f t="shared" si="415"/>
        <v>20220910</v>
      </c>
      <c r="M2183" s="1" t="str">
        <f>"122730"</f>
        <v>122730</v>
      </c>
      <c r="N2183" s="1" t="s">
        <v>28</v>
      </c>
      <c r="O2183" s="1" t="s">
        <v>28</v>
      </c>
      <c r="P2183" s="1" t="s">
        <v>55</v>
      </c>
      <c r="Q2183" s="1">
        <v>25</v>
      </c>
      <c r="R2183" s="1">
        <v>25</v>
      </c>
      <c r="S2183" s="1">
        <v>0</v>
      </c>
      <c r="T2183" s="1">
        <v>0</v>
      </c>
      <c r="U2183" s="1">
        <v>0</v>
      </c>
      <c r="V2183" s="1" t="str">
        <f t="shared" si="416"/>
        <v>里程返程</v>
      </c>
      <c r="W2183" s="1" t="str">
        <f>"2020"</f>
        <v>2020</v>
      </c>
      <c r="X2183" s="1" t="s">
        <v>35</v>
      </c>
    </row>
    <row r="2184" spans="1:24" x14ac:dyDescent="0.3">
      <c r="A2184" s="1" t="str">
        <f t="shared" si="413"/>
        <v>59825</v>
      </c>
      <c r="B2184" s="1" t="s">
        <v>30</v>
      </c>
      <c r="C2184" s="1" t="s">
        <v>31</v>
      </c>
      <c r="D2184" s="1" t="str">
        <f t="shared" si="414"/>
        <v>9803</v>
      </c>
      <c r="E2184" s="1" t="s">
        <v>32</v>
      </c>
      <c r="F2184" s="1" t="str">
        <f>"1768334289"</f>
        <v>1768334289</v>
      </c>
      <c r="G2184" s="1" t="s">
        <v>33</v>
      </c>
      <c r="H2184" s="1" t="str">
        <f t="shared" si="410"/>
        <v>20220910</v>
      </c>
      <c r="I2184" s="1" t="str">
        <f>"115349"</f>
        <v>115349</v>
      </c>
      <c r="J2184" s="1" t="s">
        <v>34</v>
      </c>
      <c r="K2184" s="1" t="s">
        <v>34</v>
      </c>
      <c r="L2184" s="1" t="str">
        <f t="shared" si="415"/>
        <v>20220910</v>
      </c>
      <c r="M2184" s="1" t="str">
        <f>"122832"</f>
        <v>122832</v>
      </c>
      <c r="N2184" s="1" t="s">
        <v>28</v>
      </c>
      <c r="O2184" s="1" t="s">
        <v>28</v>
      </c>
      <c r="P2184" s="1" t="s">
        <v>55</v>
      </c>
      <c r="Q2184" s="1">
        <v>25</v>
      </c>
      <c r="R2184" s="1">
        <v>25</v>
      </c>
      <c r="S2184" s="1">
        <v>0</v>
      </c>
      <c r="T2184" s="1">
        <v>0</v>
      </c>
      <c r="U2184" s="1">
        <v>0</v>
      </c>
      <c r="V2184" s="1" t="str">
        <f t="shared" si="416"/>
        <v>里程返程</v>
      </c>
      <c r="W2184" s="1" t="str">
        <f>"0220"</f>
        <v>0220</v>
      </c>
      <c r="X2184" s="1" t="s">
        <v>35</v>
      </c>
    </row>
    <row r="2185" spans="1:24" x14ac:dyDescent="0.3">
      <c r="A2185" s="1" t="str">
        <f t="shared" si="413"/>
        <v>59825</v>
      </c>
      <c r="B2185" s="1" t="s">
        <v>30</v>
      </c>
      <c r="C2185" s="1" t="s">
        <v>31</v>
      </c>
      <c r="D2185" s="1" t="str">
        <f t="shared" si="414"/>
        <v>9803</v>
      </c>
      <c r="E2185" s="1" t="s">
        <v>32</v>
      </c>
      <c r="F2185" s="1" t="str">
        <f>"1203799509"</f>
        <v>1203799509</v>
      </c>
      <c r="G2185" s="1" t="s">
        <v>38</v>
      </c>
      <c r="H2185" s="1" t="str">
        <f t="shared" si="410"/>
        <v>20220910</v>
      </c>
      <c r="I2185" s="1" t="str">
        <f>"115400"</f>
        <v>115400</v>
      </c>
      <c r="J2185" s="1" t="s">
        <v>34</v>
      </c>
      <c r="K2185" s="1" t="s">
        <v>34</v>
      </c>
      <c r="L2185" s="1" t="str">
        <f t="shared" si="415"/>
        <v>20220910</v>
      </c>
      <c r="M2185" s="1" t="str">
        <f>"122811"</f>
        <v>122811</v>
      </c>
      <c r="N2185" s="1" t="s">
        <v>28</v>
      </c>
      <c r="O2185" s="1" t="s">
        <v>28</v>
      </c>
      <c r="P2185" s="1" t="s">
        <v>55</v>
      </c>
      <c r="Q2185" s="1">
        <v>25</v>
      </c>
      <c r="R2185" s="1">
        <v>25</v>
      </c>
      <c r="S2185" s="1">
        <v>0</v>
      </c>
      <c r="T2185" s="1">
        <v>0</v>
      </c>
      <c r="U2185" s="1">
        <v>0</v>
      </c>
      <c r="V2185" s="1" t="str">
        <f t="shared" si="416"/>
        <v>里程返程</v>
      </c>
      <c r="W2185" s="1" t="str">
        <f>"2020"</f>
        <v>2020</v>
      </c>
      <c r="X2185" s="1" t="s">
        <v>35</v>
      </c>
    </row>
    <row r="2186" spans="1:24" x14ac:dyDescent="0.3">
      <c r="A2186" s="1" t="str">
        <f t="shared" si="413"/>
        <v>59825</v>
      </c>
      <c r="B2186" s="1" t="s">
        <v>30</v>
      </c>
      <c r="C2186" s="1" t="s">
        <v>31</v>
      </c>
      <c r="D2186" s="1" t="str">
        <f t="shared" si="414"/>
        <v>9803</v>
      </c>
      <c r="E2186" s="1" t="s">
        <v>32</v>
      </c>
      <c r="F2186" s="1" t="str">
        <f>"1207456357"</f>
        <v>1207456357</v>
      </c>
      <c r="G2186" s="1" t="s">
        <v>38</v>
      </c>
      <c r="H2186" s="1" t="str">
        <f t="shared" si="410"/>
        <v>20220910</v>
      </c>
      <c r="I2186" s="1" t="str">
        <f>"115405"</f>
        <v>115405</v>
      </c>
      <c r="J2186" s="1" t="s">
        <v>34</v>
      </c>
      <c r="K2186" s="1" t="s">
        <v>34</v>
      </c>
      <c r="L2186" s="1" t="str">
        <f t="shared" si="415"/>
        <v>20220910</v>
      </c>
      <c r="M2186" s="1" t="str">
        <f>"122803"</f>
        <v>122803</v>
      </c>
      <c r="N2186" s="1" t="s">
        <v>28</v>
      </c>
      <c r="O2186" s="1" t="s">
        <v>28</v>
      </c>
      <c r="P2186" s="1" t="s">
        <v>55</v>
      </c>
      <c r="Q2186" s="1">
        <v>25</v>
      </c>
      <c r="R2186" s="1">
        <v>25</v>
      </c>
      <c r="S2186" s="1">
        <v>0</v>
      </c>
      <c r="T2186" s="1">
        <v>0</v>
      </c>
      <c r="U2186" s="1">
        <v>0</v>
      </c>
      <c r="V2186" s="1" t="str">
        <f t="shared" si="416"/>
        <v>里程返程</v>
      </c>
      <c r="W2186" s="1" t="str">
        <f>"2020"</f>
        <v>2020</v>
      </c>
      <c r="X2186" s="1" t="s">
        <v>35</v>
      </c>
    </row>
    <row r="2187" spans="1:24" x14ac:dyDescent="0.3">
      <c r="A2187" s="1" t="str">
        <f t="shared" si="413"/>
        <v>59825</v>
      </c>
      <c r="B2187" s="1" t="s">
        <v>30</v>
      </c>
      <c r="C2187" s="1" t="s">
        <v>31</v>
      </c>
      <c r="D2187" s="1" t="str">
        <f t="shared" si="414"/>
        <v>9803</v>
      </c>
      <c r="E2187" s="1" t="s">
        <v>32</v>
      </c>
      <c r="F2187" s="1" t="str">
        <f>"1210347605"</f>
        <v>1210347605</v>
      </c>
      <c r="G2187" s="1" t="s">
        <v>38</v>
      </c>
      <c r="H2187" s="1" t="str">
        <f t="shared" si="410"/>
        <v>20220910</v>
      </c>
      <c r="I2187" s="1" t="str">
        <f>"115408"</f>
        <v>115408</v>
      </c>
      <c r="J2187" s="1" t="s">
        <v>34</v>
      </c>
      <c r="K2187" s="1" t="s">
        <v>34</v>
      </c>
      <c r="L2187" s="1" t="str">
        <f t="shared" si="415"/>
        <v>20220910</v>
      </c>
      <c r="M2187" s="1" t="str">
        <f>"122808"</f>
        <v>122808</v>
      </c>
      <c r="N2187" s="1" t="s">
        <v>28</v>
      </c>
      <c r="O2187" s="1" t="s">
        <v>28</v>
      </c>
      <c r="P2187" s="1" t="s">
        <v>55</v>
      </c>
      <c r="Q2187" s="1">
        <v>25</v>
      </c>
      <c r="R2187" s="1">
        <v>25</v>
      </c>
      <c r="S2187" s="1">
        <v>0</v>
      </c>
      <c r="T2187" s="1">
        <v>0</v>
      </c>
      <c r="U2187" s="1">
        <v>0</v>
      </c>
      <c r="V2187" s="1" t="str">
        <f t="shared" si="416"/>
        <v>里程返程</v>
      </c>
      <c r="W2187" s="1" t="str">
        <f>"2020"</f>
        <v>2020</v>
      </c>
      <c r="X2187" s="1" t="s">
        <v>35</v>
      </c>
    </row>
    <row r="2188" spans="1:24" x14ac:dyDescent="0.3">
      <c r="A2188" s="1" t="str">
        <f t="shared" si="413"/>
        <v>59825</v>
      </c>
      <c r="B2188" s="1" t="s">
        <v>30</v>
      </c>
      <c r="C2188" s="1" t="s">
        <v>31</v>
      </c>
      <c r="D2188" s="1" t="str">
        <f t="shared" si="414"/>
        <v>9803</v>
      </c>
      <c r="E2188" s="1" t="s">
        <v>32</v>
      </c>
      <c r="F2188" s="1" t="str">
        <f>"1204410949"</f>
        <v>1204410949</v>
      </c>
      <c r="G2188" s="1" t="s">
        <v>38</v>
      </c>
      <c r="H2188" s="1" t="str">
        <f t="shared" si="410"/>
        <v>20220910</v>
      </c>
      <c r="I2188" s="1" t="str">
        <f>"115411"</f>
        <v>115411</v>
      </c>
      <c r="J2188" s="1" t="s">
        <v>34</v>
      </c>
      <c r="K2188" s="1" t="s">
        <v>34</v>
      </c>
      <c r="L2188" s="1" t="str">
        <f t="shared" si="415"/>
        <v>20220910</v>
      </c>
      <c r="M2188" s="1" t="str">
        <f>"122759"</f>
        <v>122759</v>
      </c>
      <c r="N2188" s="1" t="s">
        <v>28</v>
      </c>
      <c r="O2188" s="1" t="s">
        <v>28</v>
      </c>
      <c r="P2188" s="1" t="s">
        <v>55</v>
      </c>
      <c r="Q2188" s="1">
        <v>25</v>
      </c>
      <c r="R2188" s="1">
        <v>25</v>
      </c>
      <c r="S2188" s="1">
        <v>0</v>
      </c>
      <c r="T2188" s="1">
        <v>0</v>
      </c>
      <c r="U2188" s="1">
        <v>0</v>
      </c>
      <c r="V2188" s="1" t="str">
        <f t="shared" si="416"/>
        <v>里程返程</v>
      </c>
      <c r="W2188" s="1" t="str">
        <f>"2020"</f>
        <v>2020</v>
      </c>
      <c r="X2188" s="1" t="s">
        <v>35</v>
      </c>
    </row>
    <row r="2189" spans="1:24" x14ac:dyDescent="0.3">
      <c r="A2189" s="1" t="str">
        <f t="shared" si="413"/>
        <v>59825</v>
      </c>
      <c r="B2189" s="1" t="s">
        <v>30</v>
      </c>
      <c r="C2189" s="1" t="s">
        <v>31</v>
      </c>
      <c r="D2189" s="1" t="str">
        <f t="shared" si="414"/>
        <v>9803</v>
      </c>
      <c r="E2189" s="1" t="s">
        <v>32</v>
      </c>
      <c r="F2189" s="1" t="str">
        <f>"1203662405"</f>
        <v>1203662405</v>
      </c>
      <c r="G2189" s="1" t="s">
        <v>38</v>
      </c>
      <c r="H2189" s="1" t="str">
        <f t="shared" si="410"/>
        <v>20220910</v>
      </c>
      <c r="I2189" s="1" t="str">
        <f>"115413"</f>
        <v>115413</v>
      </c>
      <c r="J2189" s="1" t="s">
        <v>34</v>
      </c>
      <c r="K2189" s="1" t="s">
        <v>34</v>
      </c>
      <c r="L2189" s="1" t="str">
        <f t="shared" si="415"/>
        <v>20220910</v>
      </c>
      <c r="M2189" s="1" t="str">
        <f>"122757"</f>
        <v>122757</v>
      </c>
      <c r="N2189" s="1" t="s">
        <v>28</v>
      </c>
      <c r="O2189" s="1" t="s">
        <v>28</v>
      </c>
      <c r="P2189" s="1" t="s">
        <v>55</v>
      </c>
      <c r="Q2189" s="1">
        <v>25</v>
      </c>
      <c r="R2189" s="1">
        <v>25</v>
      </c>
      <c r="S2189" s="1">
        <v>0</v>
      </c>
      <c r="T2189" s="1">
        <v>0</v>
      </c>
      <c r="U2189" s="1">
        <v>0</v>
      </c>
      <c r="V2189" s="1" t="str">
        <f t="shared" si="416"/>
        <v>里程返程</v>
      </c>
      <c r="W2189" s="1" t="str">
        <f>"2020"</f>
        <v>2020</v>
      </c>
      <c r="X2189" s="1" t="s">
        <v>35</v>
      </c>
    </row>
    <row r="2190" spans="1:24" x14ac:dyDescent="0.3">
      <c r="A2190" s="1" t="str">
        <f t="shared" si="413"/>
        <v>59825</v>
      </c>
      <c r="B2190" s="1" t="s">
        <v>30</v>
      </c>
      <c r="C2190" s="1" t="s">
        <v>31</v>
      </c>
      <c r="D2190" s="1" t="str">
        <f t="shared" si="414"/>
        <v>9803</v>
      </c>
      <c r="E2190" s="1" t="s">
        <v>32</v>
      </c>
      <c r="F2190" s="1" t="str">
        <f>"994620645"</f>
        <v>994620645</v>
      </c>
      <c r="G2190" s="1" t="s">
        <v>38</v>
      </c>
      <c r="H2190" s="1" t="str">
        <f t="shared" si="410"/>
        <v>20220910</v>
      </c>
      <c r="I2190" s="1" t="str">
        <f>"115423"</f>
        <v>115423</v>
      </c>
      <c r="J2190" s="1" t="s">
        <v>34</v>
      </c>
      <c r="K2190" s="1" t="s">
        <v>34</v>
      </c>
      <c r="L2190" s="1" t="str">
        <f t="shared" si="415"/>
        <v>20220910</v>
      </c>
      <c r="M2190" s="1" t="str">
        <f>"122817"</f>
        <v>122817</v>
      </c>
      <c r="N2190" s="1" t="s">
        <v>28</v>
      </c>
      <c r="O2190" s="1" t="s">
        <v>28</v>
      </c>
      <c r="P2190" s="1" t="s">
        <v>55</v>
      </c>
      <c r="Q2190" s="1">
        <v>25</v>
      </c>
      <c r="R2190" s="1">
        <v>25</v>
      </c>
      <c r="S2190" s="1">
        <v>0</v>
      </c>
      <c r="T2190" s="1">
        <v>0</v>
      </c>
      <c r="U2190" s="1">
        <v>0</v>
      </c>
      <c r="V2190" s="1" t="str">
        <f t="shared" si="416"/>
        <v>里程返程</v>
      </c>
      <c r="W2190" s="1" t="str">
        <f>"0120"</f>
        <v>0120</v>
      </c>
      <c r="X2190" s="1" t="s">
        <v>35</v>
      </c>
    </row>
    <row r="2191" spans="1:24" x14ac:dyDescent="0.3">
      <c r="A2191" s="1" t="str">
        <f t="shared" si="413"/>
        <v>59825</v>
      </c>
      <c r="B2191" s="1" t="s">
        <v>30</v>
      </c>
      <c r="C2191" s="1" t="s">
        <v>31</v>
      </c>
      <c r="D2191" s="1" t="str">
        <f t="shared" si="414"/>
        <v>9803</v>
      </c>
      <c r="E2191" s="1" t="s">
        <v>32</v>
      </c>
      <c r="F2191" s="1" t="str">
        <f>"1808831573"</f>
        <v>1808831573</v>
      </c>
      <c r="G2191" s="1" t="s">
        <v>38</v>
      </c>
      <c r="H2191" s="1" t="str">
        <f t="shared" si="410"/>
        <v>20220910</v>
      </c>
      <c r="I2191" s="1" t="str">
        <f>"115430"</f>
        <v>115430</v>
      </c>
      <c r="J2191" s="1" t="s">
        <v>34</v>
      </c>
      <c r="K2191" s="1" t="s">
        <v>34</v>
      </c>
      <c r="L2191" s="1" t="str">
        <f t="shared" si="415"/>
        <v>20220910</v>
      </c>
      <c r="M2191" s="1" t="str">
        <f>"122753"</f>
        <v>122753</v>
      </c>
      <c r="N2191" s="1" t="s">
        <v>28</v>
      </c>
      <c r="O2191" s="1" t="s">
        <v>28</v>
      </c>
      <c r="P2191" s="1" t="s">
        <v>55</v>
      </c>
      <c r="Q2191" s="1">
        <v>25</v>
      </c>
      <c r="R2191" s="1">
        <v>25</v>
      </c>
      <c r="S2191" s="1">
        <v>0</v>
      </c>
      <c r="T2191" s="1">
        <v>0</v>
      </c>
      <c r="U2191" s="1">
        <v>0</v>
      </c>
      <c r="V2191" s="1" t="str">
        <f t="shared" si="416"/>
        <v>里程返程</v>
      </c>
      <c r="W2191" s="1" t="str">
        <f t="shared" ref="W2191:W2197" si="417">"2020"</f>
        <v>2020</v>
      </c>
      <c r="X2191" s="1" t="s">
        <v>35</v>
      </c>
    </row>
    <row r="2192" spans="1:24" x14ac:dyDescent="0.3">
      <c r="A2192" s="1" t="str">
        <f t="shared" si="413"/>
        <v>59825</v>
      </c>
      <c r="B2192" s="1" t="s">
        <v>30</v>
      </c>
      <c r="C2192" s="1" t="s">
        <v>31</v>
      </c>
      <c r="D2192" s="1" t="str">
        <f t="shared" si="414"/>
        <v>9803</v>
      </c>
      <c r="E2192" s="1" t="s">
        <v>32</v>
      </c>
      <c r="F2192" s="1" t="str">
        <f>"935012037"</f>
        <v>935012037</v>
      </c>
      <c r="G2192" s="1" t="s">
        <v>38</v>
      </c>
      <c r="H2192" s="1" t="str">
        <f t="shared" si="410"/>
        <v>20220910</v>
      </c>
      <c r="I2192" s="1" t="str">
        <f>"115434"</f>
        <v>115434</v>
      </c>
      <c r="J2192" s="1" t="s">
        <v>34</v>
      </c>
      <c r="K2192" s="1" t="s">
        <v>34</v>
      </c>
      <c r="L2192" s="1" t="str">
        <f t="shared" si="415"/>
        <v>20220910</v>
      </c>
      <c r="M2192" s="1" t="str">
        <f>"122838"</f>
        <v>122838</v>
      </c>
      <c r="N2192" s="1" t="s">
        <v>28</v>
      </c>
      <c r="O2192" s="1" t="s">
        <v>28</v>
      </c>
      <c r="P2192" s="1" t="s">
        <v>55</v>
      </c>
      <c r="Q2192" s="1">
        <v>25</v>
      </c>
      <c r="R2192" s="1">
        <v>25</v>
      </c>
      <c r="S2192" s="1">
        <v>0</v>
      </c>
      <c r="T2192" s="1">
        <v>0</v>
      </c>
      <c r="U2192" s="1">
        <v>0</v>
      </c>
      <c r="V2192" s="1" t="str">
        <f t="shared" si="416"/>
        <v>里程返程</v>
      </c>
      <c r="W2192" s="1" t="str">
        <f t="shared" si="417"/>
        <v>2020</v>
      </c>
      <c r="X2192" s="1" t="s">
        <v>35</v>
      </c>
    </row>
    <row r="2193" spans="1:24" x14ac:dyDescent="0.3">
      <c r="A2193" s="1" t="str">
        <f t="shared" si="413"/>
        <v>59825</v>
      </c>
      <c r="B2193" s="1" t="s">
        <v>30</v>
      </c>
      <c r="C2193" s="1" t="s">
        <v>31</v>
      </c>
      <c r="D2193" s="1" t="str">
        <f t="shared" si="414"/>
        <v>9803</v>
      </c>
      <c r="E2193" s="1" t="s">
        <v>32</v>
      </c>
      <c r="F2193" s="1" t="str">
        <f>"577020593"</f>
        <v>577020593</v>
      </c>
      <c r="G2193" s="1" t="s">
        <v>33</v>
      </c>
      <c r="H2193" s="1" t="str">
        <f t="shared" si="410"/>
        <v>20220910</v>
      </c>
      <c r="I2193" s="1" t="str">
        <f>"115439"</f>
        <v>115439</v>
      </c>
      <c r="J2193" s="1" t="s">
        <v>34</v>
      </c>
      <c r="K2193" s="1" t="s">
        <v>34</v>
      </c>
      <c r="L2193" s="1" t="str">
        <f t="shared" si="415"/>
        <v>20220910</v>
      </c>
      <c r="M2193" s="1" t="str">
        <f>"122814"</f>
        <v>122814</v>
      </c>
      <c r="N2193" s="1" t="s">
        <v>28</v>
      </c>
      <c r="O2193" s="1" t="s">
        <v>28</v>
      </c>
      <c r="P2193" s="1" t="s">
        <v>55</v>
      </c>
      <c r="Q2193" s="1">
        <v>25</v>
      </c>
      <c r="R2193" s="1">
        <v>25</v>
      </c>
      <c r="S2193" s="1">
        <v>0</v>
      </c>
      <c r="T2193" s="1">
        <v>0</v>
      </c>
      <c r="U2193" s="1">
        <v>0</v>
      </c>
      <c r="V2193" s="1" t="str">
        <f t="shared" si="416"/>
        <v>里程返程</v>
      </c>
      <c r="W2193" s="1" t="str">
        <f t="shared" si="417"/>
        <v>2020</v>
      </c>
      <c r="X2193" s="1" t="s">
        <v>35</v>
      </c>
    </row>
    <row r="2194" spans="1:24" x14ac:dyDescent="0.3">
      <c r="A2194" s="1" t="str">
        <f t="shared" si="413"/>
        <v>59825</v>
      </c>
      <c r="B2194" s="1" t="s">
        <v>30</v>
      </c>
      <c r="C2194" s="1" t="s">
        <v>31</v>
      </c>
      <c r="D2194" s="1" t="str">
        <f t="shared" si="414"/>
        <v>9803</v>
      </c>
      <c r="E2194" s="1" t="s">
        <v>32</v>
      </c>
      <c r="F2194" s="1" t="str">
        <f>"1266806789"</f>
        <v>1266806789</v>
      </c>
      <c r="G2194" s="1" t="s">
        <v>38</v>
      </c>
      <c r="H2194" s="1" t="str">
        <f t="shared" si="410"/>
        <v>20220910</v>
      </c>
      <c r="I2194" s="1" t="str">
        <f>"115444"</f>
        <v>115444</v>
      </c>
      <c r="J2194" s="1" t="s">
        <v>34</v>
      </c>
      <c r="K2194" s="1" t="s">
        <v>34</v>
      </c>
      <c r="L2194" s="1" t="str">
        <f t="shared" si="415"/>
        <v>20220910</v>
      </c>
      <c r="M2194" s="1" t="str">
        <f>"122738"</f>
        <v>122738</v>
      </c>
      <c r="N2194" s="1" t="s">
        <v>28</v>
      </c>
      <c r="O2194" s="1" t="s">
        <v>28</v>
      </c>
      <c r="P2194" s="1" t="s">
        <v>55</v>
      </c>
      <c r="Q2194" s="1">
        <v>25</v>
      </c>
      <c r="R2194" s="1">
        <v>25</v>
      </c>
      <c r="S2194" s="1">
        <v>0</v>
      </c>
      <c r="T2194" s="1">
        <v>0</v>
      </c>
      <c r="U2194" s="1">
        <v>0</v>
      </c>
      <c r="V2194" s="1" t="str">
        <f t="shared" si="416"/>
        <v>里程返程</v>
      </c>
      <c r="W2194" s="1" t="str">
        <f t="shared" si="417"/>
        <v>2020</v>
      </c>
      <c r="X2194" s="1" t="s">
        <v>35</v>
      </c>
    </row>
    <row r="2195" spans="1:24" x14ac:dyDescent="0.3">
      <c r="A2195" s="1" t="str">
        <f t="shared" si="413"/>
        <v>59825</v>
      </c>
      <c r="B2195" s="1" t="s">
        <v>30</v>
      </c>
      <c r="C2195" s="1" t="s">
        <v>31</v>
      </c>
      <c r="D2195" s="1" t="str">
        <f t="shared" si="414"/>
        <v>9803</v>
      </c>
      <c r="E2195" s="1" t="s">
        <v>32</v>
      </c>
      <c r="F2195" s="1" t="str">
        <f>"637592050"</f>
        <v>637592050</v>
      </c>
      <c r="G2195" s="1" t="s">
        <v>33</v>
      </c>
      <c r="H2195" s="1" t="str">
        <f t="shared" si="410"/>
        <v>20220910</v>
      </c>
      <c r="I2195" s="1" t="str">
        <f>"115457"</f>
        <v>115457</v>
      </c>
      <c r="J2195" s="1" t="s">
        <v>34</v>
      </c>
      <c r="K2195" s="1" t="s">
        <v>34</v>
      </c>
      <c r="L2195" s="1" t="str">
        <f t="shared" si="415"/>
        <v>20220910</v>
      </c>
      <c r="M2195" s="1" t="str">
        <f>"122744"</f>
        <v>122744</v>
      </c>
      <c r="N2195" s="1" t="s">
        <v>28</v>
      </c>
      <c r="O2195" s="1" t="s">
        <v>28</v>
      </c>
      <c r="P2195" s="1" t="s">
        <v>55</v>
      </c>
      <c r="Q2195" s="1">
        <v>25</v>
      </c>
      <c r="R2195" s="1">
        <v>25</v>
      </c>
      <c r="S2195" s="1">
        <v>0</v>
      </c>
      <c r="T2195" s="1">
        <v>0</v>
      </c>
      <c r="U2195" s="1">
        <v>0</v>
      </c>
      <c r="V2195" s="1" t="str">
        <f t="shared" si="416"/>
        <v>里程返程</v>
      </c>
      <c r="W2195" s="1" t="str">
        <f t="shared" si="417"/>
        <v>2020</v>
      </c>
      <c r="X2195" s="1" t="s">
        <v>35</v>
      </c>
    </row>
    <row r="2196" spans="1:24" x14ac:dyDescent="0.3">
      <c r="A2196" s="1" t="str">
        <f t="shared" si="413"/>
        <v>59825</v>
      </c>
      <c r="B2196" s="1" t="s">
        <v>30</v>
      </c>
      <c r="C2196" s="1" t="s">
        <v>31</v>
      </c>
      <c r="D2196" s="1" t="str">
        <f t="shared" si="414"/>
        <v>9803</v>
      </c>
      <c r="E2196" s="1" t="s">
        <v>32</v>
      </c>
      <c r="F2196" s="1" t="str">
        <f>"1407191617"</f>
        <v>1407191617</v>
      </c>
      <c r="G2196" s="1" t="s">
        <v>38</v>
      </c>
      <c r="H2196" s="1" t="str">
        <f t="shared" si="410"/>
        <v>20220910</v>
      </c>
      <c r="I2196" s="1" t="str">
        <f>"115458"</f>
        <v>115458</v>
      </c>
      <c r="J2196" s="1" t="s">
        <v>34</v>
      </c>
      <c r="K2196" s="1" t="s">
        <v>34</v>
      </c>
      <c r="L2196" s="1" t="str">
        <f t="shared" si="415"/>
        <v>20220910</v>
      </c>
      <c r="M2196" s="1" t="str">
        <f>"122733"</f>
        <v>122733</v>
      </c>
      <c r="N2196" s="1" t="s">
        <v>28</v>
      </c>
      <c r="O2196" s="1" t="s">
        <v>28</v>
      </c>
      <c r="P2196" s="1" t="s">
        <v>55</v>
      </c>
      <c r="Q2196" s="1">
        <v>25</v>
      </c>
      <c r="R2196" s="1">
        <v>25</v>
      </c>
      <c r="S2196" s="1">
        <v>0</v>
      </c>
      <c r="T2196" s="1">
        <v>0</v>
      </c>
      <c r="U2196" s="1">
        <v>0</v>
      </c>
      <c r="V2196" s="1" t="str">
        <f t="shared" si="416"/>
        <v>里程返程</v>
      </c>
      <c r="W2196" s="1" t="str">
        <f t="shared" si="417"/>
        <v>2020</v>
      </c>
      <c r="X2196" s="1" t="s">
        <v>35</v>
      </c>
    </row>
    <row r="2197" spans="1:24" x14ac:dyDescent="0.3">
      <c r="A2197" s="1" t="str">
        <f t="shared" si="413"/>
        <v>59825</v>
      </c>
      <c r="B2197" s="1" t="s">
        <v>30</v>
      </c>
      <c r="C2197" s="1" t="s">
        <v>31</v>
      </c>
      <c r="D2197" s="1" t="str">
        <f t="shared" si="414"/>
        <v>9803</v>
      </c>
      <c r="E2197" s="1" t="s">
        <v>32</v>
      </c>
      <c r="F2197" s="1" t="str">
        <f>"3603658323"</f>
        <v>3603658323</v>
      </c>
      <c r="G2197" s="1" t="s">
        <v>33</v>
      </c>
      <c r="H2197" s="1" t="str">
        <f t="shared" si="410"/>
        <v>20220910</v>
      </c>
      <c r="I2197" s="1" t="str">
        <f>"115502"</f>
        <v>115502</v>
      </c>
      <c r="J2197" s="1" t="s">
        <v>34</v>
      </c>
      <c r="K2197" s="1" t="s">
        <v>34</v>
      </c>
      <c r="L2197" s="1" t="str">
        <f t="shared" si="415"/>
        <v>20220910</v>
      </c>
      <c r="M2197" s="1" t="str">
        <f>"122805"</f>
        <v>122805</v>
      </c>
      <c r="N2197" s="1" t="s">
        <v>28</v>
      </c>
      <c r="O2197" s="1" t="s">
        <v>28</v>
      </c>
      <c r="P2197" s="1" t="s">
        <v>55</v>
      </c>
      <c r="Q2197" s="1">
        <v>25</v>
      </c>
      <c r="R2197" s="1">
        <v>25</v>
      </c>
      <c r="S2197" s="1">
        <v>0</v>
      </c>
      <c r="T2197" s="1">
        <v>0</v>
      </c>
      <c r="U2197" s="1">
        <v>0</v>
      </c>
      <c r="V2197" s="1" t="str">
        <f t="shared" si="416"/>
        <v>里程返程</v>
      </c>
      <c r="W2197" s="1" t="str">
        <f t="shared" si="417"/>
        <v>2020</v>
      </c>
      <c r="X2197" s="1" t="s">
        <v>35</v>
      </c>
    </row>
    <row r="2198" spans="1:24" x14ac:dyDescent="0.3">
      <c r="A2198" s="1" t="str">
        <f t="shared" si="413"/>
        <v>59825</v>
      </c>
      <c r="B2198" s="1" t="s">
        <v>30</v>
      </c>
      <c r="C2198" s="1" t="s">
        <v>31</v>
      </c>
      <c r="D2198" s="1" t="str">
        <f t="shared" si="414"/>
        <v>9803</v>
      </c>
      <c r="E2198" s="1" t="s">
        <v>32</v>
      </c>
      <c r="F2198" s="1" t="str">
        <f>"5723DA45EB8804004328380000100208"</f>
        <v>5723DA45EB8804004328380000100208</v>
      </c>
      <c r="G2198" s="1" t="s">
        <v>58</v>
      </c>
      <c r="H2198" s="1" t="str">
        <f t="shared" si="410"/>
        <v>20220910</v>
      </c>
      <c r="I2198" s="1" t="str">
        <f>"115508"</f>
        <v>115508</v>
      </c>
      <c r="J2198" s="1" t="s">
        <v>34</v>
      </c>
      <c r="K2198" s="1" t="s">
        <v>34</v>
      </c>
      <c r="L2198" s="1" t="str">
        <f t="shared" si="415"/>
        <v>20220910</v>
      </c>
      <c r="M2198" s="1" t="str">
        <f>"122202"</f>
        <v>122202</v>
      </c>
      <c r="N2198" s="1" t="s">
        <v>92</v>
      </c>
      <c r="O2198" s="1" t="s">
        <v>28</v>
      </c>
      <c r="P2198" s="1" t="s">
        <v>55</v>
      </c>
      <c r="Q2198" s="1">
        <v>25</v>
      </c>
      <c r="R2198" s="1">
        <v>25</v>
      </c>
      <c r="S2198" s="1">
        <v>0</v>
      </c>
      <c r="T2198" s="1">
        <v>0</v>
      </c>
      <c r="U2198" s="1">
        <v>0</v>
      </c>
      <c r="V2198" s="1" t="str">
        <f t="shared" si="416"/>
        <v>里程返程</v>
      </c>
      <c r="W2198" s="1" t="str">
        <f>"0020"</f>
        <v>0020</v>
      </c>
      <c r="X2198" s="1" t="s">
        <v>29</v>
      </c>
    </row>
    <row r="2199" spans="1:24" x14ac:dyDescent="0.3">
      <c r="A2199" s="1" t="str">
        <f t="shared" si="413"/>
        <v>59825</v>
      </c>
      <c r="B2199" s="1" t="s">
        <v>30</v>
      </c>
      <c r="C2199" s="1" t="s">
        <v>31</v>
      </c>
      <c r="D2199" s="1" t="str">
        <f t="shared" si="414"/>
        <v>9803</v>
      </c>
      <c r="E2199" s="1" t="s">
        <v>32</v>
      </c>
      <c r="F2199" s="1" t="str">
        <f>"1772779665"</f>
        <v>1772779665</v>
      </c>
      <c r="G2199" s="1" t="s">
        <v>33</v>
      </c>
      <c r="H2199" s="1" t="str">
        <f t="shared" si="410"/>
        <v>20220910</v>
      </c>
      <c r="I2199" s="1" t="str">
        <f>"115521"</f>
        <v>115521</v>
      </c>
      <c r="J2199" s="1" t="s">
        <v>34</v>
      </c>
      <c r="K2199" s="1" t="s">
        <v>34</v>
      </c>
      <c r="L2199" s="1" t="str">
        <f t="shared" si="415"/>
        <v>20220910</v>
      </c>
      <c r="M2199" s="1" t="str">
        <f>"122726"</f>
        <v>122726</v>
      </c>
      <c r="N2199" s="1" t="s">
        <v>28</v>
      </c>
      <c r="O2199" s="1" t="s">
        <v>28</v>
      </c>
      <c r="P2199" s="1" t="s">
        <v>55</v>
      </c>
      <c r="Q2199" s="1">
        <v>25</v>
      </c>
      <c r="R2199" s="1">
        <v>25</v>
      </c>
      <c r="S2199" s="1">
        <v>0</v>
      </c>
      <c r="T2199" s="1">
        <v>0</v>
      </c>
      <c r="U2199" s="1">
        <v>0</v>
      </c>
      <c r="V2199" s="1" t="str">
        <f t="shared" si="416"/>
        <v>里程返程</v>
      </c>
      <c r="W2199" s="1" t="str">
        <f>"0320"</f>
        <v>0320</v>
      </c>
      <c r="X2199" s="1" t="s">
        <v>35</v>
      </c>
    </row>
    <row r="2200" spans="1:24" x14ac:dyDescent="0.3">
      <c r="A2200" s="1" t="str">
        <f t="shared" si="413"/>
        <v>59825</v>
      </c>
      <c r="B2200" s="1" t="s">
        <v>30</v>
      </c>
      <c r="C2200" s="1" t="s">
        <v>31</v>
      </c>
      <c r="D2200" s="1" t="str">
        <f t="shared" si="414"/>
        <v>9803</v>
      </c>
      <c r="E2200" s="1" t="s">
        <v>32</v>
      </c>
      <c r="F2200" s="1" t="str">
        <f>"1790644561"</f>
        <v>1790644561</v>
      </c>
      <c r="G2200" s="1" t="s">
        <v>33</v>
      </c>
      <c r="H2200" s="1" t="str">
        <f t="shared" si="410"/>
        <v>20220910</v>
      </c>
      <c r="I2200" s="1" t="str">
        <f>"115525"</f>
        <v>115525</v>
      </c>
      <c r="J2200" s="1" t="s">
        <v>34</v>
      </c>
      <c r="K2200" s="1" t="s">
        <v>34</v>
      </c>
      <c r="L2200" s="1" t="str">
        <f t="shared" si="415"/>
        <v>20220910</v>
      </c>
      <c r="M2200" s="1" t="str">
        <f>"122743"</f>
        <v>122743</v>
      </c>
      <c r="N2200" s="1" t="s">
        <v>28</v>
      </c>
      <c r="O2200" s="1" t="s">
        <v>28</v>
      </c>
      <c r="P2200" s="1" t="s">
        <v>55</v>
      </c>
      <c r="Q2200" s="1">
        <v>25</v>
      </c>
      <c r="R2200" s="1">
        <v>25</v>
      </c>
      <c r="S2200" s="1">
        <v>0</v>
      </c>
      <c r="T2200" s="1">
        <v>0</v>
      </c>
      <c r="U2200" s="1">
        <v>0</v>
      </c>
      <c r="V2200" s="1" t="str">
        <f t="shared" si="416"/>
        <v>里程返程</v>
      </c>
      <c r="W2200" s="1" t="str">
        <f>"0120"</f>
        <v>0120</v>
      </c>
      <c r="X2200" s="1" t="s">
        <v>35</v>
      </c>
    </row>
    <row r="2201" spans="1:24" x14ac:dyDescent="0.3">
      <c r="A2201" s="1" t="str">
        <f t="shared" si="413"/>
        <v>59825</v>
      </c>
      <c r="B2201" s="1" t="s">
        <v>30</v>
      </c>
      <c r="C2201" s="1" t="s">
        <v>31</v>
      </c>
      <c r="D2201" s="1" t="str">
        <f t="shared" si="414"/>
        <v>9803</v>
      </c>
      <c r="E2201" s="1" t="s">
        <v>32</v>
      </c>
      <c r="F2201" s="1" t="str">
        <f>"645154881"</f>
        <v>645154881</v>
      </c>
      <c r="G2201" s="1" t="s">
        <v>33</v>
      </c>
      <c r="H2201" s="1" t="str">
        <f t="shared" si="410"/>
        <v>20220910</v>
      </c>
      <c r="I2201" s="1" t="str">
        <f>"120304"</f>
        <v>120304</v>
      </c>
      <c r="J2201" s="1" t="s">
        <v>34</v>
      </c>
      <c r="K2201" s="1" t="s">
        <v>34</v>
      </c>
      <c r="L2201" s="1" t="str">
        <f t="shared" si="415"/>
        <v>20220910</v>
      </c>
      <c r="M2201" s="1" t="str">
        <f>"122723"</f>
        <v>122723</v>
      </c>
      <c r="N2201" s="1" t="s">
        <v>28</v>
      </c>
      <c r="O2201" s="1" t="s">
        <v>28</v>
      </c>
      <c r="P2201" s="1" t="s">
        <v>55</v>
      </c>
      <c r="Q2201" s="1">
        <v>25</v>
      </c>
      <c r="R2201" s="1">
        <v>25</v>
      </c>
      <c r="S2201" s="1">
        <v>0</v>
      </c>
      <c r="T2201" s="1">
        <v>0</v>
      </c>
      <c r="U2201" s="1">
        <v>0</v>
      </c>
      <c r="V2201" s="1" t="str">
        <f t="shared" si="416"/>
        <v>里程返程</v>
      </c>
      <c r="W2201" s="1" t="str">
        <f>"0e20"</f>
        <v>0e20</v>
      </c>
      <c r="X2201" s="1" t="s">
        <v>35</v>
      </c>
    </row>
    <row r="2202" spans="1:24" x14ac:dyDescent="0.3">
      <c r="A2202" s="1" t="str">
        <f t="shared" si="413"/>
        <v>59825</v>
      </c>
      <c r="B2202" s="1" t="s">
        <v>30</v>
      </c>
      <c r="C2202" s="1" t="s">
        <v>31</v>
      </c>
      <c r="D2202" s="1" t="str">
        <f t="shared" si="414"/>
        <v>9803</v>
      </c>
      <c r="E2202" s="1" t="s">
        <v>32</v>
      </c>
      <c r="F2202" s="1" t="str">
        <f>"B252B70B5C880400C827002000000017"</f>
        <v>B252B70B5C880400C827002000000017</v>
      </c>
      <c r="G2202" s="1" t="s">
        <v>58</v>
      </c>
      <c r="H2202" s="1" t="str">
        <f t="shared" si="410"/>
        <v>20220910</v>
      </c>
      <c r="I2202" s="1" t="str">
        <f>"122909"</f>
        <v>122909</v>
      </c>
      <c r="J2202" s="1" t="s">
        <v>28</v>
      </c>
      <c r="K2202" s="1" t="s">
        <v>28</v>
      </c>
      <c r="L2202" s="1" t="str">
        <f t="shared" si="415"/>
        <v>20220910</v>
      </c>
      <c r="M2202" s="1" t="str">
        <f>"125255"</f>
        <v>125255</v>
      </c>
      <c r="N2202" s="1" t="s">
        <v>34</v>
      </c>
      <c r="O2202" s="1" t="s">
        <v>34</v>
      </c>
      <c r="P2202" s="1" t="s">
        <v>55</v>
      </c>
      <c r="Q2202" s="1">
        <v>25</v>
      </c>
      <c r="R2202" s="1">
        <v>25</v>
      </c>
      <c r="S2202" s="1">
        <v>0</v>
      </c>
      <c r="T2202" s="1">
        <v>0</v>
      </c>
      <c r="U2202" s="1">
        <v>0</v>
      </c>
      <c r="V2202" s="1" t="str">
        <f>"里程去程"</f>
        <v>里程去程</v>
      </c>
      <c r="W2202" s="1" t="str">
        <f>"0020"</f>
        <v>0020</v>
      </c>
      <c r="X2202" s="1" t="s">
        <v>29</v>
      </c>
    </row>
    <row r="2203" spans="1:24" x14ac:dyDescent="0.3">
      <c r="A2203" s="1" t="str">
        <f t="shared" si="413"/>
        <v>59825</v>
      </c>
      <c r="B2203" s="1" t="s">
        <v>30</v>
      </c>
      <c r="C2203" s="1" t="s">
        <v>31</v>
      </c>
      <c r="D2203" s="1" t="str">
        <f t="shared" si="414"/>
        <v>9803</v>
      </c>
      <c r="E2203" s="1" t="s">
        <v>32</v>
      </c>
      <c r="F2203" s="1" t="str">
        <f>"261566160"</f>
        <v>261566160</v>
      </c>
      <c r="G2203" s="1" t="s">
        <v>33</v>
      </c>
      <c r="H2203" s="1" t="str">
        <f t="shared" si="410"/>
        <v>20220910</v>
      </c>
      <c r="I2203" s="1" t="str">
        <f>"125323"</f>
        <v>125323</v>
      </c>
      <c r="J2203" s="1" t="s">
        <v>34</v>
      </c>
      <c r="K2203" s="1" t="s">
        <v>34</v>
      </c>
      <c r="L2203" s="1" t="str">
        <f t="shared" si="415"/>
        <v>20220910</v>
      </c>
      <c r="M2203" s="1" t="str">
        <f>"132243"</f>
        <v>132243</v>
      </c>
      <c r="N2203" s="1" t="s">
        <v>28</v>
      </c>
      <c r="O2203" s="1" t="s">
        <v>28</v>
      </c>
      <c r="P2203" s="1" t="s">
        <v>55</v>
      </c>
      <c r="Q2203" s="1">
        <v>25</v>
      </c>
      <c r="R2203" s="1">
        <v>25</v>
      </c>
      <c r="S2203" s="1">
        <v>0</v>
      </c>
      <c r="T2203" s="1">
        <v>0</v>
      </c>
      <c r="U2203" s="1">
        <v>0</v>
      </c>
      <c r="V2203" s="1" t="str">
        <f t="shared" ref="V2203:V2212" si="418">"里程返程"</f>
        <v>里程返程</v>
      </c>
      <c r="W2203" s="1" t="str">
        <f>"0120"</f>
        <v>0120</v>
      </c>
      <c r="X2203" s="1" t="s">
        <v>35</v>
      </c>
    </row>
    <row r="2204" spans="1:24" x14ac:dyDescent="0.3">
      <c r="A2204" s="1" t="str">
        <f t="shared" ref="A2204:A2235" si="419">"59825"</f>
        <v>59825</v>
      </c>
      <c r="B2204" s="1" t="s">
        <v>30</v>
      </c>
      <c r="C2204" s="1" t="s">
        <v>31</v>
      </c>
      <c r="D2204" s="1" t="str">
        <f t="shared" ref="D2204:D2223" si="420">"9803"</f>
        <v>9803</v>
      </c>
      <c r="E2204" s="1" t="s">
        <v>32</v>
      </c>
      <c r="F2204" s="1" t="str">
        <f>"234541877"</f>
        <v>234541877</v>
      </c>
      <c r="G2204" s="1" t="s">
        <v>33</v>
      </c>
      <c r="H2204" s="1" t="str">
        <f t="shared" si="410"/>
        <v>20220910</v>
      </c>
      <c r="I2204" s="1" t="str">
        <f>"125611"</f>
        <v>125611</v>
      </c>
      <c r="J2204" s="1" t="s">
        <v>34</v>
      </c>
      <c r="K2204" s="1" t="s">
        <v>34</v>
      </c>
      <c r="L2204" s="1" t="str">
        <f t="shared" si="415"/>
        <v>20220910</v>
      </c>
      <c r="M2204" s="1" t="str">
        <f>"132229"</f>
        <v>132229</v>
      </c>
      <c r="N2204" s="1" t="s">
        <v>28</v>
      </c>
      <c r="O2204" s="1" t="s">
        <v>28</v>
      </c>
      <c r="P2204" s="1" t="s">
        <v>55</v>
      </c>
      <c r="Q2204" s="1">
        <v>25</v>
      </c>
      <c r="R2204" s="1">
        <v>25</v>
      </c>
      <c r="S2204" s="1">
        <v>0</v>
      </c>
      <c r="T2204" s="1">
        <v>0</v>
      </c>
      <c r="U2204" s="1">
        <v>0</v>
      </c>
      <c r="V2204" s="1" t="str">
        <f t="shared" si="418"/>
        <v>里程返程</v>
      </c>
      <c r="W2204" s="1" t="str">
        <f>"2120"</f>
        <v>2120</v>
      </c>
      <c r="X2204" s="1" t="s">
        <v>35</v>
      </c>
    </row>
    <row r="2205" spans="1:24" x14ac:dyDescent="0.3">
      <c r="A2205" s="1" t="str">
        <f t="shared" si="419"/>
        <v>59825</v>
      </c>
      <c r="B2205" s="1" t="s">
        <v>30</v>
      </c>
      <c r="C2205" s="1" t="s">
        <v>31</v>
      </c>
      <c r="D2205" s="1" t="str">
        <f t="shared" si="420"/>
        <v>9803</v>
      </c>
      <c r="E2205" s="1" t="s">
        <v>32</v>
      </c>
      <c r="F2205" s="1" t="str">
        <f>"1259505905"</f>
        <v>1259505905</v>
      </c>
      <c r="G2205" s="1" t="s">
        <v>33</v>
      </c>
      <c r="H2205" s="1" t="str">
        <f t="shared" si="410"/>
        <v>20220910</v>
      </c>
      <c r="I2205" s="1" t="str">
        <f>"130106"</f>
        <v>130106</v>
      </c>
      <c r="J2205" s="1" t="s">
        <v>34</v>
      </c>
      <c r="K2205" s="1" t="s">
        <v>34</v>
      </c>
      <c r="L2205" s="1" t="str">
        <f t="shared" si="415"/>
        <v>20220910</v>
      </c>
      <c r="M2205" s="1" t="str">
        <f>"131555"</f>
        <v>131555</v>
      </c>
      <c r="N2205" s="1" t="s">
        <v>92</v>
      </c>
      <c r="O2205" s="1" t="s">
        <v>28</v>
      </c>
      <c r="P2205" s="1" t="s">
        <v>55</v>
      </c>
      <c r="Q2205" s="1">
        <v>25</v>
      </c>
      <c r="R2205" s="1">
        <v>25</v>
      </c>
      <c r="S2205" s="1">
        <v>0</v>
      </c>
      <c r="T2205" s="1">
        <v>0</v>
      </c>
      <c r="U2205" s="1">
        <v>0</v>
      </c>
      <c r="V2205" s="1" t="str">
        <f t="shared" si="418"/>
        <v>里程返程</v>
      </c>
      <c r="W2205" s="1" t="str">
        <f>"0320"</f>
        <v>0320</v>
      </c>
      <c r="X2205" s="1" t="s">
        <v>35</v>
      </c>
    </row>
    <row r="2206" spans="1:24" x14ac:dyDescent="0.3">
      <c r="A2206" s="1" t="str">
        <f t="shared" si="419"/>
        <v>59825</v>
      </c>
      <c r="B2206" s="1" t="s">
        <v>30</v>
      </c>
      <c r="C2206" s="1" t="s">
        <v>31</v>
      </c>
      <c r="D2206" s="1" t="str">
        <f t="shared" si="420"/>
        <v>9803</v>
      </c>
      <c r="E2206" s="1" t="s">
        <v>32</v>
      </c>
      <c r="F2206" s="1" t="str">
        <f>"7191B655032804001C00000000000000"</f>
        <v>7191B655032804001C00000000000000</v>
      </c>
      <c r="G2206" s="1" t="s">
        <v>58</v>
      </c>
      <c r="H2206" s="1" t="str">
        <f t="shared" si="410"/>
        <v>20220910</v>
      </c>
      <c r="I2206" s="1" t="str">
        <f>"130156"</f>
        <v>130156</v>
      </c>
      <c r="J2206" s="1" t="s">
        <v>34</v>
      </c>
      <c r="K2206" s="1" t="s">
        <v>34</v>
      </c>
      <c r="L2206" s="1" t="str">
        <f t="shared" si="415"/>
        <v>20220910</v>
      </c>
      <c r="M2206" s="1" t="str">
        <f>"131524"</f>
        <v>131524</v>
      </c>
      <c r="N2206" s="1" t="s">
        <v>92</v>
      </c>
      <c r="O2206" s="1" t="s">
        <v>28</v>
      </c>
      <c r="P2206" s="1" t="s">
        <v>55</v>
      </c>
      <c r="Q2206" s="1">
        <v>25</v>
      </c>
      <c r="R2206" s="1">
        <v>25</v>
      </c>
      <c r="S2206" s="1">
        <v>0</v>
      </c>
      <c r="T2206" s="1">
        <v>0</v>
      </c>
      <c r="U2206" s="1">
        <v>0</v>
      </c>
      <c r="V2206" s="1" t="str">
        <f t="shared" si="418"/>
        <v>里程返程</v>
      </c>
      <c r="W2206" s="1" t="str">
        <f>"0020"</f>
        <v>0020</v>
      </c>
      <c r="X2206" s="1" t="s">
        <v>29</v>
      </c>
    </row>
    <row r="2207" spans="1:24" x14ac:dyDescent="0.3">
      <c r="A2207" s="1" t="str">
        <f t="shared" si="419"/>
        <v>59825</v>
      </c>
      <c r="B2207" s="1" t="s">
        <v>30</v>
      </c>
      <c r="C2207" s="1" t="s">
        <v>110</v>
      </c>
      <c r="D2207" s="1" t="str">
        <f t="shared" si="420"/>
        <v>9803</v>
      </c>
      <c r="E2207" s="1" t="s">
        <v>32</v>
      </c>
      <c r="F2207" s="1" t="str">
        <f>"6617152011007127"</f>
        <v>6617152011007127</v>
      </c>
      <c r="G2207" s="1" t="s">
        <v>33</v>
      </c>
      <c r="H2207" s="1" t="str">
        <f t="shared" si="410"/>
        <v>20220910</v>
      </c>
      <c r="I2207" s="1" t="str">
        <f>"130216"</f>
        <v>130216</v>
      </c>
      <c r="J2207" s="1" t="s">
        <v>34</v>
      </c>
      <c r="K2207" s="1" t="s">
        <v>34</v>
      </c>
      <c r="L2207" s="1" t="str">
        <f t="shared" ref="L2207:L2238" si="421">"20220910"</f>
        <v>20220910</v>
      </c>
      <c r="M2207" s="1" t="str">
        <f>"131535"</f>
        <v>131535</v>
      </c>
      <c r="N2207" s="1" t="s">
        <v>92</v>
      </c>
      <c r="O2207" s="1" t="s">
        <v>28</v>
      </c>
      <c r="P2207" s="1" t="s">
        <v>55</v>
      </c>
      <c r="Q2207" s="1">
        <v>25</v>
      </c>
      <c r="R2207" s="1">
        <v>25</v>
      </c>
      <c r="S2207" s="1">
        <v>0</v>
      </c>
      <c r="T2207" s="1">
        <v>0</v>
      </c>
      <c r="U2207" s="1">
        <v>0</v>
      </c>
      <c r="V2207" s="1" t="str">
        <f t="shared" si="418"/>
        <v>里程返程</v>
      </c>
      <c r="W2207" s="1" t="str">
        <f>"273B"</f>
        <v>273B</v>
      </c>
      <c r="X2207" s="1" t="s">
        <v>109</v>
      </c>
    </row>
    <row r="2208" spans="1:24" x14ac:dyDescent="0.3">
      <c r="A2208" s="1" t="str">
        <f t="shared" si="419"/>
        <v>59825</v>
      </c>
      <c r="B2208" s="1" t="s">
        <v>30</v>
      </c>
      <c r="C2208" s="1" t="s">
        <v>31</v>
      </c>
      <c r="D2208" s="1" t="str">
        <f t="shared" si="420"/>
        <v>9803</v>
      </c>
      <c r="E2208" s="1" t="s">
        <v>32</v>
      </c>
      <c r="F2208" s="1" t="str">
        <f>"800433061"</f>
        <v>800433061</v>
      </c>
      <c r="G2208" s="1" t="s">
        <v>33</v>
      </c>
      <c r="H2208" s="1" t="str">
        <f t="shared" si="410"/>
        <v>20220910</v>
      </c>
      <c r="I2208" s="1" t="str">
        <f>"130220"</f>
        <v>130220</v>
      </c>
      <c r="J2208" s="1" t="s">
        <v>34</v>
      </c>
      <c r="K2208" s="1" t="s">
        <v>34</v>
      </c>
      <c r="L2208" s="1" t="str">
        <f t="shared" si="421"/>
        <v>20220910</v>
      </c>
      <c r="M2208" s="1" t="str">
        <f>"131540"</f>
        <v>131540</v>
      </c>
      <c r="N2208" s="1" t="s">
        <v>92</v>
      </c>
      <c r="O2208" s="1" t="s">
        <v>28</v>
      </c>
      <c r="P2208" s="1" t="s">
        <v>55</v>
      </c>
      <c r="Q2208" s="1">
        <v>25</v>
      </c>
      <c r="R2208" s="1">
        <v>25</v>
      </c>
      <c r="S2208" s="1">
        <v>0</v>
      </c>
      <c r="T2208" s="1">
        <v>0</v>
      </c>
      <c r="U2208" s="1">
        <v>0</v>
      </c>
      <c r="V2208" s="1" t="str">
        <f t="shared" si="418"/>
        <v>里程返程</v>
      </c>
      <c r="W2208" s="1" t="str">
        <f>"0320"</f>
        <v>0320</v>
      </c>
      <c r="X2208" s="1" t="s">
        <v>35</v>
      </c>
    </row>
    <row r="2209" spans="1:24" x14ac:dyDescent="0.3">
      <c r="A2209" s="1" t="str">
        <f t="shared" si="419"/>
        <v>59825</v>
      </c>
      <c r="B2209" s="1" t="s">
        <v>30</v>
      </c>
      <c r="C2209" s="1" t="s">
        <v>31</v>
      </c>
      <c r="D2209" s="1" t="str">
        <f t="shared" si="420"/>
        <v>9803</v>
      </c>
      <c r="E2209" s="1" t="s">
        <v>32</v>
      </c>
      <c r="F2209" s="1" t="str">
        <f>"C2190A12C3880400C824002000000018"</f>
        <v>C2190A12C3880400C824002000000018</v>
      </c>
      <c r="G2209" s="1" t="s">
        <v>58</v>
      </c>
      <c r="H2209" s="1" t="str">
        <f t="shared" si="410"/>
        <v>20220910</v>
      </c>
      <c r="I2209" s="1" t="str">
        <f>"130416"</f>
        <v>130416</v>
      </c>
      <c r="J2209" s="1" t="s">
        <v>73</v>
      </c>
      <c r="K2209" s="1" t="s">
        <v>28</v>
      </c>
      <c r="L2209" s="1" t="str">
        <f t="shared" si="421"/>
        <v>20220910</v>
      </c>
      <c r="M2209" s="1" t="str">
        <f>"132216"</f>
        <v>132216</v>
      </c>
      <c r="N2209" s="1" t="s">
        <v>28</v>
      </c>
      <c r="O2209" s="1" t="s">
        <v>28</v>
      </c>
      <c r="P2209" s="1" t="s">
        <v>55</v>
      </c>
      <c r="Q2209" s="1">
        <v>25</v>
      </c>
      <c r="R2209" s="1">
        <v>25</v>
      </c>
      <c r="S2209" s="1">
        <v>0</v>
      </c>
      <c r="T2209" s="1">
        <v>0</v>
      </c>
      <c r="U2209" s="1">
        <v>0</v>
      </c>
      <c r="V2209" s="1" t="str">
        <f t="shared" si="418"/>
        <v>里程返程</v>
      </c>
      <c r="W2209" s="1" t="str">
        <f>"0020"</f>
        <v>0020</v>
      </c>
      <c r="X2209" s="1" t="s">
        <v>29</v>
      </c>
    </row>
    <row r="2210" spans="1:24" x14ac:dyDescent="0.3">
      <c r="A2210" s="1" t="str">
        <f t="shared" si="419"/>
        <v>59825</v>
      </c>
      <c r="B2210" s="1" t="s">
        <v>30</v>
      </c>
      <c r="C2210" s="1" t="s">
        <v>31</v>
      </c>
      <c r="D2210" s="1" t="str">
        <f t="shared" si="420"/>
        <v>9803</v>
      </c>
      <c r="E2210" s="1" t="s">
        <v>32</v>
      </c>
      <c r="F2210" s="1" t="str">
        <f>"1532623633"</f>
        <v>1532623633</v>
      </c>
      <c r="G2210" s="1" t="s">
        <v>33</v>
      </c>
      <c r="H2210" s="1" t="str">
        <f t="shared" si="410"/>
        <v>20220910</v>
      </c>
      <c r="I2210" s="1" t="str">
        <f>"130421"</f>
        <v>130421</v>
      </c>
      <c r="J2210" s="1" t="s">
        <v>73</v>
      </c>
      <c r="K2210" s="1" t="s">
        <v>28</v>
      </c>
      <c r="L2210" s="1" t="str">
        <f t="shared" si="421"/>
        <v>20220910</v>
      </c>
      <c r="M2210" s="1" t="str">
        <f>"132221"</f>
        <v>132221</v>
      </c>
      <c r="N2210" s="1" t="s">
        <v>28</v>
      </c>
      <c r="O2210" s="1" t="s">
        <v>28</v>
      </c>
      <c r="P2210" s="1" t="s">
        <v>55</v>
      </c>
      <c r="Q2210" s="1">
        <v>25</v>
      </c>
      <c r="R2210" s="1">
        <v>25</v>
      </c>
      <c r="S2210" s="1">
        <v>0</v>
      </c>
      <c r="T2210" s="1">
        <v>0</v>
      </c>
      <c r="U2210" s="1">
        <v>0</v>
      </c>
      <c r="V2210" s="1" t="str">
        <f t="shared" si="418"/>
        <v>里程返程</v>
      </c>
      <c r="W2210" s="1" t="str">
        <f>"2020"</f>
        <v>2020</v>
      </c>
      <c r="X2210" s="1" t="s">
        <v>35</v>
      </c>
    </row>
    <row r="2211" spans="1:24" x14ac:dyDescent="0.3">
      <c r="A2211" s="1" t="str">
        <f t="shared" si="419"/>
        <v>59825</v>
      </c>
      <c r="B2211" s="1" t="s">
        <v>30</v>
      </c>
      <c r="C2211" s="1" t="s">
        <v>31</v>
      </c>
      <c r="D2211" s="1" t="str">
        <f t="shared" si="420"/>
        <v>9803</v>
      </c>
      <c r="E2211" s="1" t="s">
        <v>32</v>
      </c>
      <c r="F2211" s="1" t="str">
        <f>"1387930881"</f>
        <v>1387930881</v>
      </c>
      <c r="G2211" s="1" t="s">
        <v>74</v>
      </c>
      <c r="H2211" s="1" t="str">
        <f t="shared" si="410"/>
        <v>20220910</v>
      </c>
      <c r="I2211" s="1" t="str">
        <f>"160449"</f>
        <v>160449</v>
      </c>
      <c r="J2211" s="1" t="s">
        <v>34</v>
      </c>
      <c r="K2211" s="1" t="s">
        <v>34</v>
      </c>
      <c r="L2211" s="1" t="str">
        <f t="shared" si="421"/>
        <v>20220910</v>
      </c>
      <c r="M2211" s="1" t="str">
        <f>"163720"</f>
        <v>163720</v>
      </c>
      <c r="N2211" s="1" t="s">
        <v>28</v>
      </c>
      <c r="O2211" s="1" t="s">
        <v>28</v>
      </c>
      <c r="P2211" s="1" t="s">
        <v>55</v>
      </c>
      <c r="Q2211" s="1">
        <v>13</v>
      </c>
      <c r="R2211" s="1">
        <v>0</v>
      </c>
      <c r="S2211" s="1">
        <v>13</v>
      </c>
      <c r="T2211" s="1">
        <v>0</v>
      </c>
      <c r="U2211" s="1">
        <v>0</v>
      </c>
      <c r="V2211" s="1" t="str">
        <f t="shared" si="418"/>
        <v>里程返程</v>
      </c>
      <c r="W2211" s="1" t="str">
        <f>"2120"</f>
        <v>2120</v>
      </c>
      <c r="X2211" s="1" t="s">
        <v>35</v>
      </c>
    </row>
    <row r="2212" spans="1:24" x14ac:dyDescent="0.3">
      <c r="A2212" s="1" t="str">
        <f t="shared" si="419"/>
        <v>59825</v>
      </c>
      <c r="B2212" s="1" t="s">
        <v>30</v>
      </c>
      <c r="C2212" s="1" t="s">
        <v>31</v>
      </c>
      <c r="D2212" s="1" t="str">
        <f t="shared" si="420"/>
        <v>9803</v>
      </c>
      <c r="E2212" s="1" t="s">
        <v>32</v>
      </c>
      <c r="F2212" s="1" t="str">
        <f>"1648803584"</f>
        <v>1648803584</v>
      </c>
      <c r="G2212" s="1" t="s">
        <v>33</v>
      </c>
      <c r="H2212" s="1" t="str">
        <f t="shared" ref="H2212:H2275" si="422">"20220910"</f>
        <v>20220910</v>
      </c>
      <c r="I2212" s="1" t="str">
        <f>"160816"</f>
        <v>160816</v>
      </c>
      <c r="J2212" s="1" t="s">
        <v>34</v>
      </c>
      <c r="K2212" s="1" t="s">
        <v>34</v>
      </c>
      <c r="L2212" s="1" t="str">
        <f t="shared" si="421"/>
        <v>20220910</v>
      </c>
      <c r="M2212" s="1" t="str">
        <f>"163649"</f>
        <v>163649</v>
      </c>
      <c r="N2212" s="1" t="s">
        <v>28</v>
      </c>
      <c r="O2212" s="1" t="s">
        <v>28</v>
      </c>
      <c r="P2212" s="1" t="s">
        <v>55</v>
      </c>
      <c r="Q2212" s="1">
        <v>25</v>
      </c>
      <c r="R2212" s="1">
        <v>25</v>
      </c>
      <c r="S2212" s="1">
        <v>0</v>
      </c>
      <c r="T2212" s="1">
        <v>0</v>
      </c>
      <c r="U2212" s="1">
        <v>0</v>
      </c>
      <c r="V2212" s="1" t="str">
        <f t="shared" si="418"/>
        <v>里程返程</v>
      </c>
      <c r="W2212" s="1" t="str">
        <f>"0220"</f>
        <v>0220</v>
      </c>
      <c r="X2212" s="1" t="s">
        <v>35</v>
      </c>
    </row>
    <row r="2213" spans="1:24" x14ac:dyDescent="0.3">
      <c r="A2213" s="1" t="str">
        <f t="shared" si="419"/>
        <v>59825</v>
      </c>
      <c r="B2213" s="1" t="s">
        <v>30</v>
      </c>
      <c r="C2213" s="1" t="s">
        <v>31</v>
      </c>
      <c r="D2213" s="1" t="str">
        <f t="shared" si="420"/>
        <v>9803</v>
      </c>
      <c r="E2213" s="1" t="s">
        <v>32</v>
      </c>
      <c r="F2213" s="1" t="str">
        <f>"3813170099"</f>
        <v>3813170099</v>
      </c>
      <c r="G2213" s="1" t="s">
        <v>33</v>
      </c>
      <c r="H2213" s="1" t="str">
        <f t="shared" si="422"/>
        <v>20220910</v>
      </c>
      <c r="I2213" s="1" t="str">
        <f>"163912"</f>
        <v>163912</v>
      </c>
      <c r="J2213" s="1" t="s">
        <v>28</v>
      </c>
      <c r="K2213" s="1" t="s">
        <v>28</v>
      </c>
      <c r="L2213" s="1" t="str">
        <f t="shared" si="421"/>
        <v>20220910</v>
      </c>
      <c r="M2213" s="1" t="str">
        <f>"165223"</f>
        <v>165223</v>
      </c>
      <c r="N2213" s="1" t="s">
        <v>46</v>
      </c>
      <c r="O2213" s="1" t="s">
        <v>28</v>
      </c>
      <c r="P2213" s="1" t="s">
        <v>55</v>
      </c>
      <c r="Q2213" s="1">
        <v>25</v>
      </c>
      <c r="R2213" s="1">
        <v>25</v>
      </c>
      <c r="S2213" s="1">
        <v>0</v>
      </c>
      <c r="T2213" s="1">
        <v>0</v>
      </c>
      <c r="U2213" s="1">
        <v>0</v>
      </c>
      <c r="V2213" s="1" t="str">
        <f>"里程去程"</f>
        <v>里程去程</v>
      </c>
      <c r="W2213" s="1" t="str">
        <f>"0120"</f>
        <v>0120</v>
      </c>
      <c r="X2213" s="1" t="s">
        <v>35</v>
      </c>
    </row>
    <row r="2214" spans="1:24" x14ac:dyDescent="0.3">
      <c r="A2214" s="1" t="str">
        <f t="shared" si="419"/>
        <v>59825</v>
      </c>
      <c r="B2214" s="1" t="s">
        <v>30</v>
      </c>
      <c r="C2214" s="1" t="s">
        <v>31</v>
      </c>
      <c r="D2214" s="1" t="str">
        <f t="shared" si="420"/>
        <v>9803</v>
      </c>
      <c r="E2214" s="1" t="s">
        <v>32</v>
      </c>
      <c r="F2214" s="1" t="str">
        <f>"1249333201"</f>
        <v>1249333201</v>
      </c>
      <c r="G2214" s="1" t="s">
        <v>33</v>
      </c>
      <c r="H2214" s="1" t="str">
        <f t="shared" si="422"/>
        <v>20220910</v>
      </c>
      <c r="I2214" s="1" t="str">
        <f>"170443"</f>
        <v>170443</v>
      </c>
      <c r="J2214" s="1" t="s">
        <v>34</v>
      </c>
      <c r="K2214" s="1" t="s">
        <v>34</v>
      </c>
      <c r="L2214" s="1" t="str">
        <f t="shared" si="421"/>
        <v>20220910</v>
      </c>
      <c r="M2214" s="1" t="str">
        <f>"175930"</f>
        <v>175930</v>
      </c>
      <c r="N2214" s="1" t="s">
        <v>28</v>
      </c>
      <c r="O2214" s="1" t="s">
        <v>28</v>
      </c>
      <c r="P2214" s="1" t="s">
        <v>55</v>
      </c>
      <c r="Q2214" s="1">
        <v>25</v>
      </c>
      <c r="R2214" s="1">
        <v>25</v>
      </c>
      <c r="S2214" s="1">
        <v>0</v>
      </c>
      <c r="T2214" s="1">
        <v>0</v>
      </c>
      <c r="U2214" s="1">
        <v>0</v>
      </c>
      <c r="V2214" s="1" t="str">
        <f t="shared" ref="V2214:V2223" si="423">"里程返程"</f>
        <v>里程返程</v>
      </c>
      <c r="W2214" s="1" t="str">
        <f>"2020"</f>
        <v>2020</v>
      </c>
      <c r="X2214" s="1" t="s">
        <v>35</v>
      </c>
    </row>
    <row r="2215" spans="1:24" x14ac:dyDescent="0.3">
      <c r="A2215" s="1" t="str">
        <f t="shared" si="419"/>
        <v>59825</v>
      </c>
      <c r="B2215" s="1" t="s">
        <v>30</v>
      </c>
      <c r="C2215" s="1" t="s">
        <v>31</v>
      </c>
      <c r="D2215" s="1" t="str">
        <f t="shared" si="420"/>
        <v>9803</v>
      </c>
      <c r="E2215" s="1" t="s">
        <v>32</v>
      </c>
      <c r="F2215" s="1" t="str">
        <f>"1124559617"</f>
        <v>1124559617</v>
      </c>
      <c r="G2215" s="1" t="s">
        <v>33</v>
      </c>
      <c r="H2215" s="1" t="str">
        <f t="shared" si="422"/>
        <v>20220910</v>
      </c>
      <c r="I2215" s="1" t="str">
        <f>"170449"</f>
        <v>170449</v>
      </c>
      <c r="J2215" s="1" t="s">
        <v>34</v>
      </c>
      <c r="K2215" s="1" t="s">
        <v>34</v>
      </c>
      <c r="L2215" s="1" t="str">
        <f t="shared" si="421"/>
        <v>20220910</v>
      </c>
      <c r="M2215" s="1" t="str">
        <f>"175929"</f>
        <v>175929</v>
      </c>
      <c r="N2215" s="1" t="s">
        <v>28</v>
      </c>
      <c r="O2215" s="1" t="s">
        <v>28</v>
      </c>
      <c r="P2215" s="1" t="s">
        <v>55</v>
      </c>
      <c r="Q2215" s="1">
        <v>25</v>
      </c>
      <c r="R2215" s="1">
        <v>25</v>
      </c>
      <c r="S2215" s="1">
        <v>0</v>
      </c>
      <c r="T2215" s="1">
        <v>0</v>
      </c>
      <c r="U2215" s="1">
        <v>0</v>
      </c>
      <c r="V2215" s="1" t="str">
        <f t="shared" si="423"/>
        <v>里程返程</v>
      </c>
      <c r="W2215" s="1" t="str">
        <f>"2020"</f>
        <v>2020</v>
      </c>
      <c r="X2215" s="1" t="s">
        <v>35</v>
      </c>
    </row>
    <row r="2216" spans="1:24" x14ac:dyDescent="0.3">
      <c r="A2216" s="1" t="str">
        <f t="shared" si="419"/>
        <v>59825</v>
      </c>
      <c r="B2216" s="1" t="s">
        <v>30</v>
      </c>
      <c r="C2216" s="1" t="s">
        <v>31</v>
      </c>
      <c r="D2216" s="1" t="str">
        <f t="shared" si="420"/>
        <v>9803</v>
      </c>
      <c r="E2216" s="1" t="s">
        <v>32</v>
      </c>
      <c r="F2216" s="1" t="str">
        <f>"4100769556"</f>
        <v>4100769556</v>
      </c>
      <c r="G2216" s="1" t="s">
        <v>33</v>
      </c>
      <c r="H2216" s="1" t="str">
        <f t="shared" si="422"/>
        <v>20220910</v>
      </c>
      <c r="I2216" s="1" t="str">
        <f>"170500"</f>
        <v>170500</v>
      </c>
      <c r="J2216" s="1" t="s">
        <v>34</v>
      </c>
      <c r="K2216" s="1" t="s">
        <v>34</v>
      </c>
      <c r="L2216" s="1" t="str">
        <f t="shared" si="421"/>
        <v>20220910</v>
      </c>
      <c r="M2216" s="1" t="str">
        <f>"175933"</f>
        <v>175933</v>
      </c>
      <c r="N2216" s="1" t="s">
        <v>28</v>
      </c>
      <c r="O2216" s="1" t="s">
        <v>28</v>
      </c>
      <c r="P2216" s="1" t="s">
        <v>55</v>
      </c>
      <c r="Q2216" s="1">
        <v>25</v>
      </c>
      <c r="R2216" s="1">
        <v>25</v>
      </c>
      <c r="S2216" s="1">
        <v>0</v>
      </c>
      <c r="T2216" s="1">
        <v>0</v>
      </c>
      <c r="U2216" s="1">
        <v>0</v>
      </c>
      <c r="V2216" s="1" t="str">
        <f t="shared" si="423"/>
        <v>里程返程</v>
      </c>
      <c r="W2216" s="1" t="str">
        <f>"1420"</f>
        <v>1420</v>
      </c>
      <c r="X2216" s="1" t="s">
        <v>35</v>
      </c>
    </row>
    <row r="2217" spans="1:24" x14ac:dyDescent="0.3">
      <c r="A2217" s="1" t="str">
        <f t="shared" si="419"/>
        <v>59825</v>
      </c>
      <c r="B2217" s="1" t="s">
        <v>30</v>
      </c>
      <c r="C2217" s="1" t="s">
        <v>31</v>
      </c>
      <c r="D2217" s="1" t="str">
        <f t="shared" si="420"/>
        <v>9803</v>
      </c>
      <c r="E2217" s="1" t="s">
        <v>32</v>
      </c>
      <c r="F2217" s="1" t="str">
        <f>"616648367"</f>
        <v>616648367</v>
      </c>
      <c r="G2217" s="1" t="s">
        <v>33</v>
      </c>
      <c r="H2217" s="1" t="str">
        <f t="shared" si="422"/>
        <v>20220910</v>
      </c>
      <c r="I2217" s="1" t="str">
        <f>"170513"</f>
        <v>170513</v>
      </c>
      <c r="J2217" s="1" t="s">
        <v>34</v>
      </c>
      <c r="K2217" s="1" t="s">
        <v>34</v>
      </c>
      <c r="L2217" s="1" t="str">
        <f t="shared" si="421"/>
        <v>20220910</v>
      </c>
      <c r="M2217" s="1" t="str">
        <f>"175939"</f>
        <v>175939</v>
      </c>
      <c r="N2217" s="1" t="s">
        <v>28</v>
      </c>
      <c r="O2217" s="1" t="s">
        <v>28</v>
      </c>
      <c r="P2217" s="1" t="s">
        <v>55</v>
      </c>
      <c r="Q2217" s="1">
        <v>25</v>
      </c>
      <c r="R2217" s="1">
        <v>25</v>
      </c>
      <c r="S2217" s="1">
        <v>0</v>
      </c>
      <c r="T2217" s="1">
        <v>0</v>
      </c>
      <c r="U2217" s="1">
        <v>0</v>
      </c>
      <c r="V2217" s="1" t="str">
        <f t="shared" si="423"/>
        <v>里程返程</v>
      </c>
      <c r="W2217" s="1" t="str">
        <f>"1220"</f>
        <v>1220</v>
      </c>
      <c r="X2217" s="1" t="s">
        <v>35</v>
      </c>
    </row>
    <row r="2218" spans="1:24" x14ac:dyDescent="0.3">
      <c r="A2218" s="1" t="str">
        <f t="shared" si="419"/>
        <v>59825</v>
      </c>
      <c r="B2218" s="1" t="s">
        <v>30</v>
      </c>
      <c r="C2218" s="1" t="s">
        <v>31</v>
      </c>
      <c r="D2218" s="1" t="str">
        <f t="shared" si="420"/>
        <v>9803</v>
      </c>
      <c r="E2218" s="1" t="s">
        <v>32</v>
      </c>
      <c r="F2218" s="1" t="str">
        <f>"1773397333"</f>
        <v>1773397333</v>
      </c>
      <c r="G2218" s="1" t="s">
        <v>33</v>
      </c>
      <c r="H2218" s="1" t="str">
        <f t="shared" si="422"/>
        <v>20220910</v>
      </c>
      <c r="I2218" s="1" t="str">
        <f>"170524"</f>
        <v>170524</v>
      </c>
      <c r="J2218" s="1" t="s">
        <v>34</v>
      </c>
      <c r="K2218" s="1" t="s">
        <v>34</v>
      </c>
      <c r="L2218" s="1" t="str">
        <f t="shared" si="421"/>
        <v>20220910</v>
      </c>
      <c r="M2218" s="1" t="str">
        <f>"175815"</f>
        <v>175815</v>
      </c>
      <c r="N2218" s="1" t="s">
        <v>95</v>
      </c>
      <c r="O2218" s="1" t="s">
        <v>28</v>
      </c>
      <c r="P2218" s="1" t="s">
        <v>55</v>
      </c>
      <c r="Q2218" s="1">
        <v>25</v>
      </c>
      <c r="R2218" s="1">
        <v>25</v>
      </c>
      <c r="S2218" s="1">
        <v>0</v>
      </c>
      <c r="T2218" s="1">
        <v>0</v>
      </c>
      <c r="U2218" s="1">
        <v>0</v>
      </c>
      <c r="V2218" s="1" t="str">
        <f t="shared" si="423"/>
        <v>里程返程</v>
      </c>
      <c r="W2218" s="1" t="str">
        <f>"2120"</f>
        <v>2120</v>
      </c>
      <c r="X2218" s="1" t="s">
        <v>35</v>
      </c>
    </row>
    <row r="2219" spans="1:24" x14ac:dyDescent="0.3">
      <c r="A2219" s="1" t="str">
        <f t="shared" si="419"/>
        <v>59825</v>
      </c>
      <c r="B2219" s="1" t="s">
        <v>30</v>
      </c>
      <c r="C2219" s="1" t="s">
        <v>31</v>
      </c>
      <c r="D2219" s="1" t="str">
        <f t="shared" si="420"/>
        <v>9803</v>
      </c>
      <c r="E2219" s="1" t="s">
        <v>32</v>
      </c>
      <c r="F2219" s="1" t="str">
        <f>"A53C550FC3180200D200000C22400417"</f>
        <v>A53C550FC3180200D200000C22400417</v>
      </c>
      <c r="G2219" s="1" t="s">
        <v>58</v>
      </c>
      <c r="H2219" s="1" t="str">
        <f t="shared" si="422"/>
        <v>20220910</v>
      </c>
      <c r="I2219" s="1" t="str">
        <f>"170527"</f>
        <v>170527</v>
      </c>
      <c r="J2219" s="1" t="s">
        <v>34</v>
      </c>
      <c r="K2219" s="1" t="s">
        <v>34</v>
      </c>
      <c r="L2219" s="1" t="str">
        <f t="shared" si="421"/>
        <v>20220910</v>
      </c>
      <c r="M2219" s="1" t="str">
        <f>"175819"</f>
        <v>175819</v>
      </c>
      <c r="N2219" s="1" t="s">
        <v>95</v>
      </c>
      <c r="O2219" s="1" t="s">
        <v>28</v>
      </c>
      <c r="P2219" s="1" t="s">
        <v>55</v>
      </c>
      <c r="Q2219" s="1">
        <v>25</v>
      </c>
      <c r="R2219" s="1">
        <v>25</v>
      </c>
      <c r="S2219" s="1">
        <v>0</v>
      </c>
      <c r="T2219" s="1">
        <v>0</v>
      </c>
      <c r="U2219" s="1">
        <v>0</v>
      </c>
      <c r="V2219" s="1" t="str">
        <f t="shared" si="423"/>
        <v>里程返程</v>
      </c>
      <c r="W2219" s="1" t="str">
        <f>"0020"</f>
        <v>0020</v>
      </c>
      <c r="X2219" s="1" t="s">
        <v>29</v>
      </c>
    </row>
    <row r="2220" spans="1:24" x14ac:dyDescent="0.3">
      <c r="A2220" s="1" t="str">
        <f t="shared" si="419"/>
        <v>59825</v>
      </c>
      <c r="B2220" s="1" t="s">
        <v>30</v>
      </c>
      <c r="C2220" s="1" t="s">
        <v>31</v>
      </c>
      <c r="D2220" s="1" t="str">
        <f t="shared" si="420"/>
        <v>9803</v>
      </c>
      <c r="E2220" s="1" t="s">
        <v>32</v>
      </c>
      <c r="F2220" s="1" t="str">
        <f>"C1595B2BE82804001C00000000000000"</f>
        <v>C1595B2BE82804001C00000000000000</v>
      </c>
      <c r="G2220" s="1" t="s">
        <v>58</v>
      </c>
      <c r="H2220" s="1" t="str">
        <f t="shared" si="422"/>
        <v>20220910</v>
      </c>
      <c r="I2220" s="1" t="str">
        <f>"170534"</f>
        <v>170534</v>
      </c>
      <c r="J2220" s="1" t="s">
        <v>34</v>
      </c>
      <c r="K2220" s="1" t="s">
        <v>34</v>
      </c>
      <c r="L2220" s="1" t="str">
        <f t="shared" si="421"/>
        <v>20220910</v>
      </c>
      <c r="M2220" s="1" t="str">
        <f>"174857"</f>
        <v>174857</v>
      </c>
      <c r="N2220" s="1" t="s">
        <v>46</v>
      </c>
      <c r="O2220" s="1" t="s">
        <v>28</v>
      </c>
      <c r="P2220" s="1" t="s">
        <v>55</v>
      </c>
      <c r="Q2220" s="1">
        <v>25</v>
      </c>
      <c r="R2220" s="1">
        <v>25</v>
      </c>
      <c r="S2220" s="1">
        <v>0</v>
      </c>
      <c r="T2220" s="1">
        <v>0</v>
      </c>
      <c r="U2220" s="1">
        <v>0</v>
      </c>
      <c r="V2220" s="1" t="str">
        <f t="shared" si="423"/>
        <v>里程返程</v>
      </c>
      <c r="W2220" s="1" t="str">
        <f>"0020"</f>
        <v>0020</v>
      </c>
      <c r="X2220" s="1" t="s">
        <v>29</v>
      </c>
    </row>
    <row r="2221" spans="1:24" x14ac:dyDescent="0.3">
      <c r="A2221" s="1" t="str">
        <f t="shared" si="419"/>
        <v>59825</v>
      </c>
      <c r="B2221" s="1" t="s">
        <v>30</v>
      </c>
      <c r="C2221" s="1" t="s">
        <v>31</v>
      </c>
      <c r="D2221" s="1" t="str">
        <f t="shared" si="420"/>
        <v>9803</v>
      </c>
      <c r="E2221" s="1" t="s">
        <v>32</v>
      </c>
      <c r="F2221" s="1" t="str">
        <f>"1587036449"</f>
        <v>1587036449</v>
      </c>
      <c r="G2221" s="1" t="s">
        <v>33</v>
      </c>
      <c r="H2221" s="1" t="str">
        <f t="shared" si="422"/>
        <v>20220910</v>
      </c>
      <c r="I2221" s="1" t="str">
        <f>"170541"</f>
        <v>170541</v>
      </c>
      <c r="J2221" s="1" t="s">
        <v>34</v>
      </c>
      <c r="K2221" s="1" t="s">
        <v>34</v>
      </c>
      <c r="L2221" s="1" t="str">
        <f t="shared" si="421"/>
        <v>20220910</v>
      </c>
      <c r="M2221" s="1" t="str">
        <f>"174850"</f>
        <v>174850</v>
      </c>
      <c r="N2221" s="1" t="s">
        <v>46</v>
      </c>
      <c r="O2221" s="1" t="s">
        <v>28</v>
      </c>
      <c r="P2221" s="1" t="s">
        <v>55</v>
      </c>
      <c r="Q2221" s="1">
        <v>25</v>
      </c>
      <c r="R2221" s="1">
        <v>25</v>
      </c>
      <c r="S2221" s="1">
        <v>0</v>
      </c>
      <c r="T2221" s="1">
        <v>0</v>
      </c>
      <c r="U2221" s="1">
        <v>0</v>
      </c>
      <c r="V2221" s="1" t="str">
        <f t="shared" si="423"/>
        <v>里程返程</v>
      </c>
      <c r="W2221" s="1" t="str">
        <f>"2020"</f>
        <v>2020</v>
      </c>
      <c r="X2221" s="1" t="s">
        <v>35</v>
      </c>
    </row>
    <row r="2222" spans="1:24" x14ac:dyDescent="0.3">
      <c r="A2222" s="1" t="str">
        <f t="shared" si="419"/>
        <v>59825</v>
      </c>
      <c r="B2222" s="1" t="s">
        <v>30</v>
      </c>
      <c r="C2222" s="1" t="s">
        <v>31</v>
      </c>
      <c r="D2222" s="1" t="str">
        <f t="shared" si="420"/>
        <v>9803</v>
      </c>
      <c r="E2222" s="1" t="s">
        <v>32</v>
      </c>
      <c r="F2222" s="1" t="str">
        <f>"4A2121612B880400C18514D049504512"</f>
        <v>4A2121612B880400C18514D049504512</v>
      </c>
      <c r="G2222" s="1" t="s">
        <v>58</v>
      </c>
      <c r="H2222" s="1" t="str">
        <f t="shared" si="422"/>
        <v>20220910</v>
      </c>
      <c r="I2222" s="1" t="str">
        <f>"172331"</f>
        <v>172331</v>
      </c>
      <c r="J2222" s="1" t="s">
        <v>34</v>
      </c>
      <c r="K2222" s="1" t="s">
        <v>34</v>
      </c>
      <c r="L2222" s="1" t="str">
        <f t="shared" si="421"/>
        <v>20220910</v>
      </c>
      <c r="M2222" s="1" t="str">
        <f>"175941"</f>
        <v>175941</v>
      </c>
      <c r="N2222" s="1" t="s">
        <v>28</v>
      </c>
      <c r="O2222" s="1" t="s">
        <v>28</v>
      </c>
      <c r="P2222" s="1" t="s">
        <v>55</v>
      </c>
      <c r="Q2222" s="1">
        <v>25</v>
      </c>
      <c r="R2222" s="1">
        <v>25</v>
      </c>
      <c r="S2222" s="1">
        <v>0</v>
      </c>
      <c r="T2222" s="1">
        <v>0</v>
      </c>
      <c r="U2222" s="1">
        <v>0</v>
      </c>
      <c r="V2222" s="1" t="str">
        <f t="shared" si="423"/>
        <v>里程返程</v>
      </c>
      <c r="W2222" s="1" t="str">
        <f>"0020"</f>
        <v>0020</v>
      </c>
      <c r="X2222" s="1" t="s">
        <v>29</v>
      </c>
    </row>
    <row r="2223" spans="1:24" x14ac:dyDescent="0.3">
      <c r="A2223" s="1" t="str">
        <f t="shared" si="419"/>
        <v>59825</v>
      </c>
      <c r="B2223" s="1" t="s">
        <v>30</v>
      </c>
      <c r="C2223" s="1" t="s">
        <v>31</v>
      </c>
      <c r="D2223" s="1" t="str">
        <f t="shared" si="420"/>
        <v>9803</v>
      </c>
      <c r="E2223" s="1" t="s">
        <v>32</v>
      </c>
      <c r="F2223" s="1" t="str">
        <f>"1709069061"</f>
        <v>1709069061</v>
      </c>
      <c r="G2223" s="1" t="s">
        <v>33</v>
      </c>
      <c r="H2223" s="1" t="str">
        <f t="shared" si="422"/>
        <v>20220910</v>
      </c>
      <c r="I2223" s="1" t="str">
        <f>"172816"</f>
        <v>172816</v>
      </c>
      <c r="J2223" s="1" t="s">
        <v>34</v>
      </c>
      <c r="K2223" s="1" t="s">
        <v>34</v>
      </c>
      <c r="L2223" s="1" t="str">
        <f t="shared" si="421"/>
        <v>20220910</v>
      </c>
      <c r="M2223" s="1" t="str">
        <f>"174835"</f>
        <v>174835</v>
      </c>
      <c r="N2223" s="1" t="s">
        <v>46</v>
      </c>
      <c r="O2223" s="1" t="s">
        <v>28</v>
      </c>
      <c r="P2223" s="1" t="s">
        <v>55</v>
      </c>
      <c r="Q2223" s="1">
        <v>25</v>
      </c>
      <c r="R2223" s="1">
        <v>25</v>
      </c>
      <c r="S2223" s="1">
        <v>0</v>
      </c>
      <c r="T2223" s="1">
        <v>0</v>
      </c>
      <c r="U2223" s="1">
        <v>0</v>
      </c>
      <c r="V2223" s="1" t="str">
        <f t="shared" si="423"/>
        <v>里程返程</v>
      </c>
      <c r="W2223" s="1" t="str">
        <f>"2020"</f>
        <v>2020</v>
      </c>
      <c r="X2223" s="1" t="s">
        <v>35</v>
      </c>
    </row>
    <row r="2224" spans="1:24" x14ac:dyDescent="0.3">
      <c r="A2224" s="1" t="str">
        <f t="shared" si="419"/>
        <v>59825</v>
      </c>
      <c r="B2224" s="1" t="s">
        <v>30</v>
      </c>
      <c r="C2224" s="1" t="s">
        <v>31</v>
      </c>
      <c r="D2224" s="1" t="str">
        <f t="shared" ref="D2224:D2235" si="424">"9805"</f>
        <v>9805</v>
      </c>
      <c r="E2224" s="1" t="s">
        <v>57</v>
      </c>
      <c r="F2224" s="1" t="str">
        <f>"1894224283"</f>
        <v>1894224283</v>
      </c>
      <c r="G2224" s="1" t="s">
        <v>33</v>
      </c>
      <c r="H2224" s="1" t="str">
        <f t="shared" si="422"/>
        <v>20220910</v>
      </c>
      <c r="I2224" s="1" t="str">
        <f>"180130"</f>
        <v>180130</v>
      </c>
      <c r="J2224" s="1" t="s">
        <v>28</v>
      </c>
      <c r="K2224" s="1" t="s">
        <v>28</v>
      </c>
      <c r="L2224" s="1" t="str">
        <f t="shared" si="421"/>
        <v>20220910</v>
      </c>
      <c r="M2224" s="1" t="str">
        <f>"181618"</f>
        <v>181618</v>
      </c>
      <c r="N2224" s="1" t="s">
        <v>62</v>
      </c>
      <c r="O2224" s="1" t="s">
        <v>28</v>
      </c>
      <c r="P2224" s="1" t="s">
        <v>55</v>
      </c>
      <c r="Q2224" s="1">
        <v>25</v>
      </c>
      <c r="R2224" s="1">
        <v>0</v>
      </c>
      <c r="S2224" s="1">
        <v>25</v>
      </c>
      <c r="T2224" s="1">
        <v>0</v>
      </c>
      <c r="U2224" s="1">
        <v>0</v>
      </c>
      <c r="V2224" s="1" t="str">
        <f>"里程去程"</f>
        <v>里程去程</v>
      </c>
      <c r="W2224" s="1" t="str">
        <f>"0820"</f>
        <v>0820</v>
      </c>
      <c r="X2224" s="1" t="s">
        <v>35</v>
      </c>
    </row>
    <row r="2225" spans="1:24" x14ac:dyDescent="0.3">
      <c r="A2225" s="1" t="str">
        <f t="shared" si="419"/>
        <v>59825</v>
      </c>
      <c r="B2225" s="1" t="s">
        <v>30</v>
      </c>
      <c r="C2225" s="1" t="s">
        <v>31</v>
      </c>
      <c r="D2225" s="1" t="str">
        <f t="shared" si="424"/>
        <v>9805</v>
      </c>
      <c r="E2225" s="1" t="s">
        <v>57</v>
      </c>
      <c r="F2225" s="1" t="str">
        <f>"32322A042E880400C838002000000015"</f>
        <v>32322A042E880400C838002000000015</v>
      </c>
      <c r="G2225" s="1" t="s">
        <v>59</v>
      </c>
      <c r="H2225" s="1" t="str">
        <f t="shared" si="422"/>
        <v>20220910</v>
      </c>
      <c r="I2225" s="1" t="str">
        <f>"180212"</f>
        <v>180212</v>
      </c>
      <c r="J2225" s="1" t="s">
        <v>28</v>
      </c>
      <c r="K2225" s="1" t="s">
        <v>28</v>
      </c>
      <c r="L2225" s="1" t="str">
        <f t="shared" si="421"/>
        <v>20220910</v>
      </c>
      <c r="M2225" s="1" t="str">
        <f>"180643"</f>
        <v>180643</v>
      </c>
      <c r="N2225" s="1" t="s">
        <v>70</v>
      </c>
      <c r="O2225" s="1" t="s">
        <v>28</v>
      </c>
      <c r="P2225" s="1" t="s">
        <v>55</v>
      </c>
      <c r="Q2225" s="1">
        <v>13</v>
      </c>
      <c r="R2225" s="1">
        <v>13</v>
      </c>
      <c r="S2225" s="1">
        <v>0</v>
      </c>
      <c r="T2225" s="1">
        <v>0</v>
      </c>
      <c r="U2225" s="1">
        <v>0</v>
      </c>
      <c r="V2225" s="1" t="str">
        <f>"里程去程"</f>
        <v>里程去程</v>
      </c>
      <c r="W2225" s="1" t="str">
        <f>"0020"</f>
        <v>0020</v>
      </c>
      <c r="X2225" s="1" t="s">
        <v>29</v>
      </c>
    </row>
    <row r="2226" spans="1:24" x14ac:dyDescent="0.3">
      <c r="A2226" s="1" t="str">
        <f t="shared" si="419"/>
        <v>59825</v>
      </c>
      <c r="B2226" s="1" t="s">
        <v>30</v>
      </c>
      <c r="C2226" s="1" t="s">
        <v>31</v>
      </c>
      <c r="D2226" s="1" t="str">
        <f t="shared" si="424"/>
        <v>9805</v>
      </c>
      <c r="E2226" s="1" t="s">
        <v>57</v>
      </c>
      <c r="F2226" s="1" t="str">
        <f>"E16AF9027088040043252B4B0008050F"</f>
        <v>E16AF9027088040043252B4B0008050F</v>
      </c>
      <c r="G2226" s="1" t="s">
        <v>64</v>
      </c>
      <c r="H2226" s="1" t="str">
        <f t="shared" si="422"/>
        <v>20220910</v>
      </c>
      <c r="I2226" s="1" t="str">
        <f>"180238"</f>
        <v>180238</v>
      </c>
      <c r="J2226" s="1" t="s">
        <v>28</v>
      </c>
      <c r="K2226" s="1" t="s">
        <v>28</v>
      </c>
      <c r="L2226" s="1" t="str">
        <f t="shared" si="421"/>
        <v>20220910</v>
      </c>
      <c r="M2226" s="1" t="str">
        <f>"180632"</f>
        <v>180632</v>
      </c>
      <c r="N2226" s="1" t="s">
        <v>70</v>
      </c>
      <c r="O2226" s="1" t="s">
        <v>28</v>
      </c>
      <c r="P2226" s="1" t="s">
        <v>55</v>
      </c>
      <c r="Q2226" s="1">
        <v>13</v>
      </c>
      <c r="R2226" s="1">
        <v>13</v>
      </c>
      <c r="S2226" s="1">
        <v>0</v>
      </c>
      <c r="T2226" s="1">
        <v>0</v>
      </c>
      <c r="U2226" s="1">
        <v>0</v>
      </c>
      <c r="V2226" s="1" t="str">
        <f>"里程去程"</f>
        <v>里程去程</v>
      </c>
      <c r="W2226" s="1" t="str">
        <f>"0020"</f>
        <v>0020</v>
      </c>
      <c r="X2226" s="1" t="s">
        <v>29</v>
      </c>
    </row>
    <row r="2227" spans="1:24" x14ac:dyDescent="0.3">
      <c r="A2227" s="1" t="str">
        <f t="shared" si="419"/>
        <v>59825</v>
      </c>
      <c r="B2227" s="1" t="s">
        <v>30</v>
      </c>
      <c r="C2227" s="1" t="s">
        <v>31</v>
      </c>
      <c r="D2227" s="1" t="str">
        <f t="shared" si="424"/>
        <v>9805</v>
      </c>
      <c r="E2227" s="1" t="s">
        <v>57</v>
      </c>
      <c r="F2227" s="1" t="str">
        <f>"E1DF46364E2804001C00000000000000"</f>
        <v>E1DF46364E2804001C00000000000000</v>
      </c>
      <c r="G2227" s="1" t="s">
        <v>58</v>
      </c>
      <c r="H2227" s="1" t="str">
        <f t="shared" si="422"/>
        <v>20220910</v>
      </c>
      <c r="I2227" s="1" t="str">
        <f>"180318"</f>
        <v>180318</v>
      </c>
      <c r="J2227" s="1" t="s">
        <v>28</v>
      </c>
      <c r="K2227" s="1" t="s">
        <v>28</v>
      </c>
      <c r="L2227" s="1" t="str">
        <f t="shared" si="421"/>
        <v>20220910</v>
      </c>
      <c r="M2227" s="1" t="str">
        <f>"180624"</f>
        <v>180624</v>
      </c>
      <c r="N2227" s="1" t="s">
        <v>70</v>
      </c>
      <c r="O2227" s="1" t="s">
        <v>28</v>
      </c>
      <c r="P2227" s="1" t="s">
        <v>55</v>
      </c>
      <c r="Q2227" s="1">
        <v>25</v>
      </c>
      <c r="R2227" s="1">
        <v>25</v>
      </c>
      <c r="S2227" s="1">
        <v>0</v>
      </c>
      <c r="T2227" s="1">
        <v>0</v>
      </c>
      <c r="U2227" s="1">
        <v>0</v>
      </c>
      <c r="V2227" s="1" t="str">
        <f>"里程去程"</f>
        <v>里程去程</v>
      </c>
      <c r="W2227" s="1" t="str">
        <f>"0020"</f>
        <v>0020</v>
      </c>
      <c r="X2227" s="1" t="s">
        <v>29</v>
      </c>
    </row>
    <row r="2228" spans="1:24" x14ac:dyDescent="0.3">
      <c r="A2228" s="1" t="str">
        <f t="shared" si="419"/>
        <v>59825</v>
      </c>
      <c r="B2228" s="1" t="s">
        <v>30</v>
      </c>
      <c r="C2228" s="1" t="s">
        <v>31</v>
      </c>
      <c r="D2228" s="1" t="str">
        <f t="shared" si="424"/>
        <v>9805</v>
      </c>
      <c r="E2228" s="1" t="s">
        <v>57</v>
      </c>
      <c r="F2228" s="1" t="str">
        <f>"D161E14918280400F700000000000000"</f>
        <v>D161E14918280400F700000000000000</v>
      </c>
      <c r="G2228" s="1" t="s">
        <v>58</v>
      </c>
      <c r="H2228" s="1" t="str">
        <f t="shared" si="422"/>
        <v>20220910</v>
      </c>
      <c r="I2228" s="1" t="str">
        <f>"180324"</f>
        <v>180324</v>
      </c>
      <c r="J2228" s="1" t="s">
        <v>28</v>
      </c>
      <c r="K2228" s="1" t="s">
        <v>28</v>
      </c>
      <c r="L2228" s="1" t="str">
        <f t="shared" si="421"/>
        <v>20220910</v>
      </c>
      <c r="M2228" s="1" t="str">
        <f>"180628"</f>
        <v>180628</v>
      </c>
      <c r="N2228" s="1" t="s">
        <v>70</v>
      </c>
      <c r="O2228" s="1" t="s">
        <v>28</v>
      </c>
      <c r="P2228" s="1" t="s">
        <v>55</v>
      </c>
      <c r="Q2228" s="1">
        <v>25</v>
      </c>
      <c r="R2228" s="1">
        <v>25</v>
      </c>
      <c r="S2228" s="1">
        <v>0</v>
      </c>
      <c r="T2228" s="1">
        <v>0</v>
      </c>
      <c r="U2228" s="1">
        <v>0</v>
      </c>
      <c r="V2228" s="1" t="str">
        <f>"里程去程"</f>
        <v>里程去程</v>
      </c>
      <c r="W2228" s="1" t="str">
        <f>"0020"</f>
        <v>0020</v>
      </c>
      <c r="X2228" s="1" t="s">
        <v>29</v>
      </c>
    </row>
    <row r="2229" spans="1:24" x14ac:dyDescent="0.3">
      <c r="A2229" s="1" t="str">
        <f t="shared" si="419"/>
        <v>59825</v>
      </c>
      <c r="B2229" s="1" t="s">
        <v>30</v>
      </c>
      <c r="C2229" s="1" t="s">
        <v>31</v>
      </c>
      <c r="D2229" s="1" t="str">
        <f t="shared" si="424"/>
        <v>9805</v>
      </c>
      <c r="E2229" s="1" t="s">
        <v>57</v>
      </c>
      <c r="F2229" s="1" t="str">
        <f>"1082355781"</f>
        <v>1082355781</v>
      </c>
      <c r="G2229" s="1" t="s">
        <v>33</v>
      </c>
      <c r="H2229" s="1" t="str">
        <f t="shared" si="422"/>
        <v>20220910</v>
      </c>
      <c r="I2229" s="1" t="str">
        <f>"182509"</f>
        <v>182509</v>
      </c>
      <c r="J2229" s="1" t="s">
        <v>62</v>
      </c>
      <c r="K2229" s="1" t="s">
        <v>28</v>
      </c>
      <c r="L2229" s="1" t="str">
        <f t="shared" si="421"/>
        <v>20220910</v>
      </c>
      <c r="M2229" s="1" t="str">
        <f>"184017"</f>
        <v>184017</v>
      </c>
      <c r="N2229" s="1" t="s">
        <v>95</v>
      </c>
      <c r="O2229" s="1" t="s">
        <v>28</v>
      </c>
      <c r="P2229" s="1" t="s">
        <v>55</v>
      </c>
      <c r="Q2229" s="1">
        <v>25</v>
      </c>
      <c r="R2229" s="1">
        <v>25</v>
      </c>
      <c r="S2229" s="1">
        <v>0</v>
      </c>
      <c r="T2229" s="1">
        <v>0</v>
      </c>
      <c r="U2229" s="1">
        <v>0</v>
      </c>
      <c r="V2229" s="1" t="str">
        <f t="shared" ref="V2229:V2242" si="425">"里程返程"</f>
        <v>里程返程</v>
      </c>
      <c r="W2229" s="1" t="str">
        <f>"2020"</f>
        <v>2020</v>
      </c>
      <c r="X2229" s="1" t="s">
        <v>35</v>
      </c>
    </row>
    <row r="2230" spans="1:24" x14ac:dyDescent="0.3">
      <c r="A2230" s="1" t="str">
        <f t="shared" si="419"/>
        <v>59825</v>
      </c>
      <c r="B2230" s="1" t="s">
        <v>30</v>
      </c>
      <c r="C2230" s="1" t="s">
        <v>31</v>
      </c>
      <c r="D2230" s="1" t="str">
        <f t="shared" si="424"/>
        <v>9805</v>
      </c>
      <c r="E2230" s="1" t="s">
        <v>57</v>
      </c>
      <c r="F2230" s="1" t="str">
        <f>"1082324373"</f>
        <v>1082324373</v>
      </c>
      <c r="G2230" s="1" t="s">
        <v>33</v>
      </c>
      <c r="H2230" s="1" t="str">
        <f t="shared" si="422"/>
        <v>20220910</v>
      </c>
      <c r="I2230" s="1" t="str">
        <f>"182512"</f>
        <v>182512</v>
      </c>
      <c r="J2230" s="1" t="s">
        <v>62</v>
      </c>
      <c r="K2230" s="1" t="s">
        <v>28</v>
      </c>
      <c r="L2230" s="1" t="str">
        <f t="shared" si="421"/>
        <v>20220910</v>
      </c>
      <c r="M2230" s="1" t="str">
        <f>"184022"</f>
        <v>184022</v>
      </c>
      <c r="N2230" s="1" t="s">
        <v>95</v>
      </c>
      <c r="O2230" s="1" t="s">
        <v>28</v>
      </c>
      <c r="P2230" s="1" t="s">
        <v>55</v>
      </c>
      <c r="Q2230" s="1">
        <v>25</v>
      </c>
      <c r="R2230" s="1">
        <v>25</v>
      </c>
      <c r="S2230" s="1">
        <v>0</v>
      </c>
      <c r="T2230" s="1">
        <v>0</v>
      </c>
      <c r="U2230" s="1">
        <v>0</v>
      </c>
      <c r="V2230" s="1" t="str">
        <f t="shared" si="425"/>
        <v>里程返程</v>
      </c>
      <c r="W2230" s="1" t="str">
        <f>"2020"</f>
        <v>2020</v>
      </c>
      <c r="X2230" s="1" t="s">
        <v>35</v>
      </c>
    </row>
    <row r="2231" spans="1:24" x14ac:dyDescent="0.3">
      <c r="A2231" s="1" t="str">
        <f t="shared" si="419"/>
        <v>59825</v>
      </c>
      <c r="B2231" s="1" t="s">
        <v>30</v>
      </c>
      <c r="C2231" s="1" t="s">
        <v>31</v>
      </c>
      <c r="D2231" s="1" t="str">
        <f t="shared" si="424"/>
        <v>9805</v>
      </c>
      <c r="E2231" s="1" t="s">
        <v>57</v>
      </c>
      <c r="F2231" s="1" t="str">
        <f>"933060901"</f>
        <v>933060901</v>
      </c>
      <c r="G2231" s="1" t="s">
        <v>33</v>
      </c>
      <c r="H2231" s="1" t="str">
        <f t="shared" si="422"/>
        <v>20220910</v>
      </c>
      <c r="I2231" s="1" t="str">
        <f>"182515"</f>
        <v>182515</v>
      </c>
      <c r="J2231" s="1" t="s">
        <v>62</v>
      </c>
      <c r="K2231" s="1" t="s">
        <v>28</v>
      </c>
      <c r="L2231" s="1" t="str">
        <f t="shared" si="421"/>
        <v>20220910</v>
      </c>
      <c r="M2231" s="1" t="str">
        <f>"184026"</f>
        <v>184026</v>
      </c>
      <c r="N2231" s="1" t="s">
        <v>95</v>
      </c>
      <c r="O2231" s="1" t="s">
        <v>28</v>
      </c>
      <c r="P2231" s="1" t="s">
        <v>55</v>
      </c>
      <c r="Q2231" s="1">
        <v>25</v>
      </c>
      <c r="R2231" s="1">
        <v>25</v>
      </c>
      <c r="S2231" s="1">
        <v>0</v>
      </c>
      <c r="T2231" s="1">
        <v>0</v>
      </c>
      <c r="U2231" s="1">
        <v>0</v>
      </c>
      <c r="V2231" s="1" t="str">
        <f t="shared" si="425"/>
        <v>里程返程</v>
      </c>
      <c r="W2231" s="1" t="str">
        <f>"2020"</f>
        <v>2020</v>
      </c>
      <c r="X2231" s="1" t="s">
        <v>35</v>
      </c>
    </row>
    <row r="2232" spans="1:24" x14ac:dyDescent="0.3">
      <c r="A2232" s="1" t="str">
        <f t="shared" si="419"/>
        <v>59825</v>
      </c>
      <c r="B2232" s="1" t="s">
        <v>30</v>
      </c>
      <c r="C2232" s="1" t="s">
        <v>31</v>
      </c>
      <c r="D2232" s="1" t="str">
        <f t="shared" si="424"/>
        <v>9805</v>
      </c>
      <c r="E2232" s="1" t="s">
        <v>57</v>
      </c>
      <c r="F2232" s="1" t="str">
        <f>"1139503861"</f>
        <v>1139503861</v>
      </c>
      <c r="G2232" s="1" t="s">
        <v>33</v>
      </c>
      <c r="H2232" s="1" t="str">
        <f t="shared" si="422"/>
        <v>20220910</v>
      </c>
      <c r="I2232" s="1" t="str">
        <f>"182518"</f>
        <v>182518</v>
      </c>
      <c r="J2232" s="1" t="s">
        <v>62</v>
      </c>
      <c r="K2232" s="1" t="s">
        <v>28</v>
      </c>
      <c r="L2232" s="1" t="str">
        <f t="shared" si="421"/>
        <v>20220910</v>
      </c>
      <c r="M2232" s="1" t="str">
        <f>"184029"</f>
        <v>184029</v>
      </c>
      <c r="N2232" s="1" t="s">
        <v>95</v>
      </c>
      <c r="O2232" s="1" t="s">
        <v>28</v>
      </c>
      <c r="P2232" s="1" t="s">
        <v>55</v>
      </c>
      <c r="Q2232" s="1">
        <v>25</v>
      </c>
      <c r="R2232" s="1">
        <v>25</v>
      </c>
      <c r="S2232" s="1">
        <v>0</v>
      </c>
      <c r="T2232" s="1">
        <v>0</v>
      </c>
      <c r="U2232" s="1">
        <v>0</v>
      </c>
      <c r="V2232" s="1" t="str">
        <f t="shared" si="425"/>
        <v>里程返程</v>
      </c>
      <c r="W2232" s="1" t="str">
        <f>"2020"</f>
        <v>2020</v>
      </c>
      <c r="X2232" s="1" t="s">
        <v>35</v>
      </c>
    </row>
    <row r="2233" spans="1:24" x14ac:dyDescent="0.3">
      <c r="A2233" s="1" t="str">
        <f t="shared" si="419"/>
        <v>59825</v>
      </c>
      <c r="B2233" s="1" t="s">
        <v>30</v>
      </c>
      <c r="C2233" s="1" t="s">
        <v>31</v>
      </c>
      <c r="D2233" s="1" t="str">
        <f t="shared" si="424"/>
        <v>9805</v>
      </c>
      <c r="E2233" s="1" t="s">
        <v>57</v>
      </c>
      <c r="F2233" s="1" t="str">
        <f>"941308853"</f>
        <v>941308853</v>
      </c>
      <c r="G2233" s="1" t="s">
        <v>33</v>
      </c>
      <c r="H2233" s="1" t="str">
        <f t="shared" si="422"/>
        <v>20220910</v>
      </c>
      <c r="I2233" s="1" t="str">
        <f>"182522"</f>
        <v>182522</v>
      </c>
      <c r="J2233" s="1" t="s">
        <v>62</v>
      </c>
      <c r="K2233" s="1" t="s">
        <v>28</v>
      </c>
      <c r="L2233" s="1" t="str">
        <f t="shared" si="421"/>
        <v>20220910</v>
      </c>
      <c r="M2233" s="1" t="str">
        <f>"184122"</f>
        <v>184122</v>
      </c>
      <c r="N2233" s="1" t="s">
        <v>28</v>
      </c>
      <c r="O2233" s="1" t="s">
        <v>28</v>
      </c>
      <c r="P2233" s="1" t="s">
        <v>55</v>
      </c>
      <c r="Q2233" s="1">
        <v>25</v>
      </c>
      <c r="R2233" s="1">
        <v>0</v>
      </c>
      <c r="S2233" s="1">
        <v>25</v>
      </c>
      <c r="T2233" s="1">
        <v>0</v>
      </c>
      <c r="U2233" s="1">
        <v>0</v>
      </c>
      <c r="V2233" s="1" t="str">
        <f t="shared" si="425"/>
        <v>里程返程</v>
      </c>
      <c r="W2233" s="1" t="str">
        <f>"2120"</f>
        <v>2120</v>
      </c>
      <c r="X2233" s="1" t="s">
        <v>35</v>
      </c>
    </row>
    <row r="2234" spans="1:24" x14ac:dyDescent="0.3">
      <c r="A2234" s="1" t="str">
        <f t="shared" si="419"/>
        <v>59825</v>
      </c>
      <c r="B2234" s="1" t="s">
        <v>30</v>
      </c>
      <c r="C2234" s="1" t="s">
        <v>110</v>
      </c>
      <c r="D2234" s="1" t="str">
        <f t="shared" si="424"/>
        <v>9805</v>
      </c>
      <c r="E2234" s="1" t="s">
        <v>57</v>
      </c>
      <c r="F2234" s="1" t="str">
        <f>"7111200191001275"</f>
        <v>7111200191001275</v>
      </c>
      <c r="G2234" s="1" t="s">
        <v>33</v>
      </c>
      <c r="H2234" s="1" t="str">
        <f t="shared" si="422"/>
        <v>20220910</v>
      </c>
      <c r="I2234" s="1" t="str">
        <f>"182544"</f>
        <v>182544</v>
      </c>
      <c r="J2234" s="1" t="s">
        <v>62</v>
      </c>
      <c r="K2234" s="1" t="s">
        <v>28</v>
      </c>
      <c r="L2234" s="1" t="str">
        <f t="shared" si="421"/>
        <v>20220910</v>
      </c>
      <c r="M2234" s="1" t="str">
        <f>"184134"</f>
        <v>184134</v>
      </c>
      <c r="N2234" s="1" t="s">
        <v>28</v>
      </c>
      <c r="O2234" s="1" t="s">
        <v>28</v>
      </c>
      <c r="P2234" s="1" t="s">
        <v>55</v>
      </c>
      <c r="Q2234" s="1">
        <v>25</v>
      </c>
      <c r="R2234" s="1">
        <v>0</v>
      </c>
      <c r="S2234" s="1">
        <v>25</v>
      </c>
      <c r="T2234" s="1">
        <v>0</v>
      </c>
      <c r="U2234" s="1">
        <v>0</v>
      </c>
      <c r="V2234" s="1" t="str">
        <f t="shared" si="425"/>
        <v>里程返程</v>
      </c>
      <c r="W2234" s="1" t="str">
        <f>"3A3B"</f>
        <v>3A3B</v>
      </c>
      <c r="X2234" s="1" t="s">
        <v>109</v>
      </c>
    </row>
    <row r="2235" spans="1:24" x14ac:dyDescent="0.3">
      <c r="A2235" s="1" t="str">
        <f t="shared" si="419"/>
        <v>59825</v>
      </c>
      <c r="B2235" s="1" t="s">
        <v>30</v>
      </c>
      <c r="C2235" s="1" t="s">
        <v>31</v>
      </c>
      <c r="D2235" s="1" t="str">
        <f t="shared" si="424"/>
        <v>9805</v>
      </c>
      <c r="E2235" s="1" t="s">
        <v>57</v>
      </c>
      <c r="F2235" s="1" t="str">
        <f>"3489793415"</f>
        <v>3489793415</v>
      </c>
      <c r="G2235" s="1" t="s">
        <v>33</v>
      </c>
      <c r="H2235" s="1" t="str">
        <f t="shared" si="422"/>
        <v>20220910</v>
      </c>
      <c r="I2235" s="1" t="str">
        <f>"182737"</f>
        <v>182737</v>
      </c>
      <c r="J2235" s="1" t="s">
        <v>103</v>
      </c>
      <c r="K2235" s="1" t="s">
        <v>28</v>
      </c>
      <c r="L2235" s="1" t="str">
        <f t="shared" si="421"/>
        <v>20220910</v>
      </c>
      <c r="M2235" s="1" t="str">
        <f>"184127"</f>
        <v>184127</v>
      </c>
      <c r="N2235" s="1" t="s">
        <v>28</v>
      </c>
      <c r="O2235" s="1" t="s">
        <v>28</v>
      </c>
      <c r="P2235" s="1" t="s">
        <v>55</v>
      </c>
      <c r="Q2235" s="1">
        <v>25</v>
      </c>
      <c r="R2235" s="1">
        <v>25</v>
      </c>
      <c r="S2235" s="1">
        <v>0</v>
      </c>
      <c r="T2235" s="1">
        <v>0</v>
      </c>
      <c r="U2235" s="1">
        <v>0</v>
      </c>
      <c r="V2235" s="1" t="str">
        <f t="shared" si="425"/>
        <v>里程返程</v>
      </c>
      <c r="W2235" s="1" t="str">
        <f>"0120"</f>
        <v>0120</v>
      </c>
      <c r="X2235" s="1" t="s">
        <v>35</v>
      </c>
    </row>
    <row r="2236" spans="1:24" x14ac:dyDescent="0.3">
      <c r="A2236" s="1" t="str">
        <f t="shared" ref="A2236:A2273" si="426">"59828"</f>
        <v>59828</v>
      </c>
      <c r="B2236" s="1" t="s">
        <v>23</v>
      </c>
      <c r="C2236" s="1" t="s">
        <v>24</v>
      </c>
      <c r="D2236" s="1" t="str">
        <f t="shared" ref="D2236:D2273" si="427">"9801"</f>
        <v>9801</v>
      </c>
      <c r="E2236" s="1" t="s">
        <v>25</v>
      </c>
      <c r="F2236" s="1" t="str">
        <f>"3638840938"</f>
        <v>3638840938</v>
      </c>
      <c r="G2236" s="1" t="s">
        <v>33</v>
      </c>
      <c r="H2236" s="1" t="str">
        <f t="shared" si="422"/>
        <v>20220910</v>
      </c>
      <c r="I2236" s="1" t="str">
        <f>"060507"</f>
        <v>060507</v>
      </c>
      <c r="J2236" s="1" t="s">
        <v>91</v>
      </c>
      <c r="K2236" s="1" t="s">
        <v>45</v>
      </c>
      <c r="L2236" s="1" t="str">
        <f t="shared" si="421"/>
        <v>20220910</v>
      </c>
      <c r="M2236" s="1" t="str">
        <f>"061822"</f>
        <v>061822</v>
      </c>
      <c r="N2236" s="1" t="s">
        <v>28</v>
      </c>
      <c r="O2236" s="1" t="s">
        <v>28</v>
      </c>
      <c r="P2236" s="1" t="s">
        <v>55</v>
      </c>
      <c r="Q2236" s="1">
        <v>25</v>
      </c>
      <c r="R2236" s="1">
        <v>25</v>
      </c>
      <c r="S2236" s="1">
        <v>0</v>
      </c>
      <c r="T2236" s="1">
        <v>0</v>
      </c>
      <c r="U2236" s="1">
        <v>0</v>
      </c>
      <c r="V2236" s="1" t="str">
        <f t="shared" si="425"/>
        <v>里程返程</v>
      </c>
      <c r="W2236" s="1" t="str">
        <f>"0820"</f>
        <v>0820</v>
      </c>
      <c r="X2236" s="1" t="s">
        <v>35</v>
      </c>
    </row>
    <row r="2237" spans="1:24" x14ac:dyDescent="0.3">
      <c r="A2237" s="1" t="str">
        <f t="shared" si="426"/>
        <v>59828</v>
      </c>
      <c r="B2237" s="1" t="s">
        <v>23</v>
      </c>
      <c r="C2237" s="1" t="s">
        <v>24</v>
      </c>
      <c r="D2237" s="1" t="str">
        <f t="shared" si="427"/>
        <v>9801</v>
      </c>
      <c r="E2237" s="1" t="s">
        <v>25</v>
      </c>
      <c r="F2237" s="1" t="str">
        <f>"F282E40195880400C821002000000015"</f>
        <v>F282E40195880400C821002000000015</v>
      </c>
      <c r="G2237" s="1" t="s">
        <v>58</v>
      </c>
      <c r="H2237" s="1" t="str">
        <f t="shared" si="422"/>
        <v>20220910</v>
      </c>
      <c r="I2237" s="1" t="str">
        <f>"063213"</f>
        <v>063213</v>
      </c>
      <c r="J2237" s="1" t="s">
        <v>28</v>
      </c>
      <c r="K2237" s="1" t="s">
        <v>28</v>
      </c>
      <c r="L2237" s="1" t="str">
        <f t="shared" si="421"/>
        <v>20220910</v>
      </c>
      <c r="M2237" s="1" t="str">
        <f>"065308"</f>
        <v>065308</v>
      </c>
      <c r="N2237" s="1" t="s">
        <v>65</v>
      </c>
      <c r="O2237" s="1" t="s">
        <v>52</v>
      </c>
      <c r="P2237" s="1" t="s">
        <v>55</v>
      </c>
      <c r="Q2237" s="1">
        <v>25</v>
      </c>
      <c r="R2237" s="1">
        <v>0</v>
      </c>
      <c r="S2237" s="1">
        <v>25</v>
      </c>
      <c r="T2237" s="1">
        <v>0</v>
      </c>
      <c r="U2237" s="1">
        <v>0</v>
      </c>
      <c r="V2237" s="1" t="str">
        <f t="shared" si="425"/>
        <v>里程返程</v>
      </c>
      <c r="W2237" s="1" t="str">
        <f>"0620"</f>
        <v>0620</v>
      </c>
      <c r="X2237" s="1" t="s">
        <v>29</v>
      </c>
    </row>
    <row r="2238" spans="1:24" x14ac:dyDescent="0.3">
      <c r="A2238" s="1" t="str">
        <f t="shared" si="426"/>
        <v>59828</v>
      </c>
      <c r="B2238" s="1" t="s">
        <v>23</v>
      </c>
      <c r="C2238" s="1" t="s">
        <v>24</v>
      </c>
      <c r="D2238" s="1" t="str">
        <f t="shared" si="427"/>
        <v>9801</v>
      </c>
      <c r="E2238" s="1" t="s">
        <v>25</v>
      </c>
      <c r="F2238" s="1" t="str">
        <f>"814104785"</f>
        <v>814104785</v>
      </c>
      <c r="G2238" s="1" t="s">
        <v>74</v>
      </c>
      <c r="H2238" s="1" t="str">
        <f t="shared" si="422"/>
        <v>20220910</v>
      </c>
      <c r="I2238" s="1" t="str">
        <f>"063220"</f>
        <v>063220</v>
      </c>
      <c r="J2238" s="1" t="s">
        <v>28</v>
      </c>
      <c r="K2238" s="1" t="s">
        <v>28</v>
      </c>
      <c r="L2238" s="1" t="str">
        <f t="shared" si="421"/>
        <v>20220910</v>
      </c>
      <c r="M2238" s="1" t="str">
        <f>"070151"</f>
        <v>070151</v>
      </c>
      <c r="N2238" s="1" t="s">
        <v>52</v>
      </c>
      <c r="O2238" s="1" t="s">
        <v>52</v>
      </c>
      <c r="P2238" s="1" t="s">
        <v>55</v>
      </c>
      <c r="Q2238" s="1">
        <v>13</v>
      </c>
      <c r="R2238" s="1">
        <v>13</v>
      </c>
      <c r="S2238" s="1">
        <v>0</v>
      </c>
      <c r="T2238" s="1">
        <v>0</v>
      </c>
      <c r="U2238" s="1">
        <v>0</v>
      </c>
      <c r="V2238" s="1" t="str">
        <f t="shared" si="425"/>
        <v>里程返程</v>
      </c>
      <c r="W2238" s="1" t="str">
        <f>"0620"</f>
        <v>0620</v>
      </c>
      <c r="X2238" s="1" t="s">
        <v>35</v>
      </c>
    </row>
    <row r="2239" spans="1:24" x14ac:dyDescent="0.3">
      <c r="A2239" s="1" t="str">
        <f t="shared" si="426"/>
        <v>59828</v>
      </c>
      <c r="B2239" s="1" t="s">
        <v>23</v>
      </c>
      <c r="C2239" s="1" t="s">
        <v>24</v>
      </c>
      <c r="D2239" s="1" t="str">
        <f t="shared" si="427"/>
        <v>9801</v>
      </c>
      <c r="E2239" s="1" t="s">
        <v>25</v>
      </c>
      <c r="F2239" s="1" t="str">
        <f>"E27D1D0381880400C834002000000015"</f>
        <v>E27D1D0381880400C834002000000015</v>
      </c>
      <c r="G2239" s="1" t="s">
        <v>26</v>
      </c>
      <c r="H2239" s="1" t="str">
        <f t="shared" si="422"/>
        <v>20220910</v>
      </c>
      <c r="I2239" s="1" t="str">
        <f>"063227"</f>
        <v>063227</v>
      </c>
      <c r="J2239" s="1" t="s">
        <v>28</v>
      </c>
      <c r="K2239" s="1" t="s">
        <v>28</v>
      </c>
      <c r="L2239" s="1" t="str">
        <f t="shared" ref="L2239:L2270" si="428">"20220910"</f>
        <v>20220910</v>
      </c>
      <c r="M2239" s="1" t="str">
        <f>"065312"</f>
        <v>065312</v>
      </c>
      <c r="N2239" s="1" t="s">
        <v>65</v>
      </c>
      <c r="O2239" s="1" t="s">
        <v>52</v>
      </c>
      <c r="P2239" s="1" t="s">
        <v>68</v>
      </c>
      <c r="Q2239" s="1">
        <v>13</v>
      </c>
      <c r="R2239" s="1">
        <v>0</v>
      </c>
      <c r="S2239" s="1">
        <v>0</v>
      </c>
      <c r="T2239" s="1">
        <v>13</v>
      </c>
      <c r="U2239" s="1">
        <v>0</v>
      </c>
      <c r="V2239" s="1" t="str">
        <f t="shared" si="425"/>
        <v>里程返程</v>
      </c>
      <c r="W2239" s="1" t="str">
        <f>"0020"</f>
        <v>0020</v>
      </c>
      <c r="X2239" s="1" t="s">
        <v>29</v>
      </c>
    </row>
    <row r="2240" spans="1:24" x14ac:dyDescent="0.3">
      <c r="A2240" s="1" t="str">
        <f t="shared" si="426"/>
        <v>59828</v>
      </c>
      <c r="B2240" s="1" t="s">
        <v>23</v>
      </c>
      <c r="C2240" s="1" t="s">
        <v>24</v>
      </c>
      <c r="D2240" s="1" t="str">
        <f t="shared" si="427"/>
        <v>9801</v>
      </c>
      <c r="E2240" s="1" t="s">
        <v>25</v>
      </c>
      <c r="F2240" s="1" t="str">
        <f>"71FA3654E92804001C00000000000000"</f>
        <v>71FA3654E92804001C00000000000000</v>
      </c>
      <c r="G2240" s="1" t="s">
        <v>58</v>
      </c>
      <c r="H2240" s="1" t="str">
        <f t="shared" si="422"/>
        <v>20220910</v>
      </c>
      <c r="I2240" s="1" t="str">
        <f>"063236"</f>
        <v>063236</v>
      </c>
      <c r="J2240" s="1" t="s">
        <v>28</v>
      </c>
      <c r="K2240" s="1" t="s">
        <v>28</v>
      </c>
      <c r="L2240" s="1" t="str">
        <f t="shared" si="428"/>
        <v>20220910</v>
      </c>
      <c r="M2240" s="1" t="str">
        <f>"070154"</f>
        <v>070154</v>
      </c>
      <c r="N2240" s="1" t="s">
        <v>52</v>
      </c>
      <c r="O2240" s="1" t="s">
        <v>52</v>
      </c>
      <c r="P2240" s="1" t="s">
        <v>55</v>
      </c>
      <c r="Q2240" s="1">
        <v>25</v>
      </c>
      <c r="R2240" s="1">
        <v>0</v>
      </c>
      <c r="S2240" s="1">
        <v>25</v>
      </c>
      <c r="T2240" s="1">
        <v>0</v>
      </c>
      <c r="U2240" s="1">
        <v>0</v>
      </c>
      <c r="V2240" s="1" t="str">
        <f t="shared" si="425"/>
        <v>里程返程</v>
      </c>
      <c r="W2240" s="1" t="str">
        <f>"0620"</f>
        <v>0620</v>
      </c>
      <c r="X2240" s="1" t="s">
        <v>29</v>
      </c>
    </row>
    <row r="2241" spans="1:24" x14ac:dyDescent="0.3">
      <c r="A2241" s="1" t="str">
        <f t="shared" si="426"/>
        <v>59828</v>
      </c>
      <c r="B2241" s="1" t="s">
        <v>23</v>
      </c>
      <c r="C2241" s="1" t="s">
        <v>24</v>
      </c>
      <c r="D2241" s="1" t="str">
        <f t="shared" si="427"/>
        <v>9801</v>
      </c>
      <c r="E2241" s="1" t="s">
        <v>25</v>
      </c>
      <c r="F2241" s="1" t="str">
        <f>"1056059141"</f>
        <v>1056059141</v>
      </c>
      <c r="G2241" s="1" t="s">
        <v>33</v>
      </c>
      <c r="H2241" s="1" t="str">
        <f t="shared" si="422"/>
        <v>20220910</v>
      </c>
      <c r="I2241" s="1" t="str">
        <f>"072510"</f>
        <v>072510</v>
      </c>
      <c r="J2241" s="1" t="s">
        <v>28</v>
      </c>
      <c r="K2241" s="1" t="s">
        <v>28</v>
      </c>
      <c r="L2241" s="1" t="str">
        <f t="shared" si="428"/>
        <v>20220910</v>
      </c>
      <c r="M2241" s="1" t="str">
        <f>"075243"</f>
        <v>075243</v>
      </c>
      <c r="N2241" s="1" t="s">
        <v>52</v>
      </c>
      <c r="O2241" s="1" t="s">
        <v>52</v>
      </c>
      <c r="P2241" s="1" t="s">
        <v>55</v>
      </c>
      <c r="Q2241" s="1">
        <v>25</v>
      </c>
      <c r="R2241" s="1">
        <v>25</v>
      </c>
      <c r="S2241" s="1">
        <v>0</v>
      </c>
      <c r="T2241" s="1">
        <v>0</v>
      </c>
      <c r="U2241" s="1">
        <v>0</v>
      </c>
      <c r="V2241" s="1" t="str">
        <f t="shared" si="425"/>
        <v>里程返程</v>
      </c>
      <c r="W2241" s="1" t="str">
        <f>"0e20"</f>
        <v>0e20</v>
      </c>
      <c r="X2241" s="1" t="s">
        <v>35</v>
      </c>
    </row>
    <row r="2242" spans="1:24" x14ac:dyDescent="0.3">
      <c r="A2242" s="1" t="str">
        <f t="shared" si="426"/>
        <v>59828</v>
      </c>
      <c r="B2242" s="1" t="s">
        <v>23</v>
      </c>
      <c r="C2242" s="1" t="s">
        <v>24</v>
      </c>
      <c r="D2242" s="1" t="str">
        <f t="shared" si="427"/>
        <v>9801</v>
      </c>
      <c r="E2242" s="1" t="s">
        <v>25</v>
      </c>
      <c r="F2242" s="1" t="str">
        <f>"1048887317"</f>
        <v>1048887317</v>
      </c>
      <c r="G2242" s="1" t="s">
        <v>26</v>
      </c>
      <c r="H2242" s="1" t="str">
        <f t="shared" si="422"/>
        <v>20220910</v>
      </c>
      <c r="I2242" s="1" t="str">
        <f>"072522"</f>
        <v>072522</v>
      </c>
      <c r="J2242" s="1" t="s">
        <v>28</v>
      </c>
      <c r="K2242" s="1" t="s">
        <v>28</v>
      </c>
      <c r="L2242" s="1" t="str">
        <f t="shared" si="428"/>
        <v>20220910</v>
      </c>
      <c r="M2242" s="1" t="str">
        <f>"075247"</f>
        <v>075247</v>
      </c>
      <c r="N2242" s="1" t="s">
        <v>52</v>
      </c>
      <c r="O2242" s="1" t="s">
        <v>52</v>
      </c>
      <c r="P2242" s="1" t="s">
        <v>55</v>
      </c>
      <c r="Q2242" s="1">
        <v>13</v>
      </c>
      <c r="R2242" s="1">
        <v>13</v>
      </c>
      <c r="S2242" s="1">
        <v>0</v>
      </c>
      <c r="T2242" s="1">
        <v>0</v>
      </c>
      <c r="U2242" s="1">
        <v>0</v>
      </c>
      <c r="V2242" s="1" t="str">
        <f t="shared" si="425"/>
        <v>里程返程</v>
      </c>
      <c r="W2242" s="1" t="str">
        <f>"0e20"</f>
        <v>0e20</v>
      </c>
      <c r="X2242" s="1" t="s">
        <v>35</v>
      </c>
    </row>
    <row r="2243" spans="1:24" x14ac:dyDescent="0.3">
      <c r="A2243" s="1" t="str">
        <f t="shared" si="426"/>
        <v>59828</v>
      </c>
      <c r="B2243" s="1" t="s">
        <v>23</v>
      </c>
      <c r="C2243" s="1" t="s">
        <v>24</v>
      </c>
      <c r="D2243" s="1" t="str">
        <f t="shared" si="427"/>
        <v>9801</v>
      </c>
      <c r="E2243" s="1" t="s">
        <v>25</v>
      </c>
      <c r="F2243" s="1" t="str">
        <f>"1636928213"</f>
        <v>1636928213</v>
      </c>
      <c r="G2243" s="1" t="s">
        <v>33</v>
      </c>
      <c r="H2243" s="1" t="str">
        <f t="shared" si="422"/>
        <v>20220910</v>
      </c>
      <c r="I2243" s="1" t="str">
        <f>"092024"</f>
        <v>092024</v>
      </c>
      <c r="J2243" s="1" t="s">
        <v>69</v>
      </c>
      <c r="K2243" s="1" t="s">
        <v>52</v>
      </c>
      <c r="L2243" s="1" t="str">
        <f t="shared" si="428"/>
        <v>20220910</v>
      </c>
      <c r="M2243" s="1" t="str">
        <f>"093049"</f>
        <v>093049</v>
      </c>
      <c r="N2243" s="1" t="s">
        <v>70</v>
      </c>
      <c r="O2243" s="1" t="s">
        <v>28</v>
      </c>
      <c r="P2243" s="1" t="s">
        <v>55</v>
      </c>
      <c r="Q2243" s="1">
        <v>25</v>
      </c>
      <c r="R2243" s="1">
        <v>25</v>
      </c>
      <c r="S2243" s="1">
        <v>0</v>
      </c>
      <c r="T2243" s="1">
        <v>0</v>
      </c>
      <c r="U2243" s="1">
        <v>0</v>
      </c>
      <c r="V2243" s="1" t="str">
        <f>"里程去程"</f>
        <v>里程去程</v>
      </c>
      <c r="W2243" s="1" t="str">
        <f>"2020"</f>
        <v>2020</v>
      </c>
      <c r="X2243" s="1" t="s">
        <v>35</v>
      </c>
    </row>
    <row r="2244" spans="1:24" x14ac:dyDescent="0.3">
      <c r="A2244" s="1" t="str">
        <f t="shared" si="426"/>
        <v>59828</v>
      </c>
      <c r="B2244" s="1" t="s">
        <v>23</v>
      </c>
      <c r="C2244" s="1" t="s">
        <v>24</v>
      </c>
      <c r="D2244" s="1" t="str">
        <f t="shared" si="427"/>
        <v>9801</v>
      </c>
      <c r="E2244" s="1" t="s">
        <v>25</v>
      </c>
      <c r="F2244" s="1" t="str">
        <f>"3608740355"</f>
        <v>3608740355</v>
      </c>
      <c r="G2244" s="1" t="s">
        <v>33</v>
      </c>
      <c r="H2244" s="1" t="str">
        <f t="shared" si="422"/>
        <v>20220910</v>
      </c>
      <c r="I2244" s="1" t="str">
        <f>"092029"</f>
        <v>092029</v>
      </c>
      <c r="J2244" s="1" t="s">
        <v>69</v>
      </c>
      <c r="K2244" s="1" t="s">
        <v>52</v>
      </c>
      <c r="L2244" s="1" t="str">
        <f t="shared" si="428"/>
        <v>20220910</v>
      </c>
      <c r="M2244" s="1" t="str">
        <f>"093052"</f>
        <v>093052</v>
      </c>
      <c r="N2244" s="1" t="s">
        <v>70</v>
      </c>
      <c r="O2244" s="1" t="s">
        <v>28</v>
      </c>
      <c r="P2244" s="1" t="s">
        <v>55</v>
      </c>
      <c r="Q2244" s="1">
        <v>25</v>
      </c>
      <c r="R2244" s="1">
        <v>25</v>
      </c>
      <c r="S2244" s="1">
        <v>0</v>
      </c>
      <c r="T2244" s="1">
        <v>0</v>
      </c>
      <c r="U2244" s="1">
        <v>0</v>
      </c>
      <c r="V2244" s="1" t="str">
        <f>"里程去程"</f>
        <v>里程去程</v>
      </c>
      <c r="W2244" s="1" t="str">
        <f>"2020"</f>
        <v>2020</v>
      </c>
      <c r="X2244" s="1" t="s">
        <v>35</v>
      </c>
    </row>
    <row r="2245" spans="1:24" x14ac:dyDescent="0.3">
      <c r="A2245" s="1" t="str">
        <f t="shared" si="426"/>
        <v>59828</v>
      </c>
      <c r="B2245" s="1" t="s">
        <v>23</v>
      </c>
      <c r="C2245" s="1" t="s">
        <v>24</v>
      </c>
      <c r="D2245" s="1" t="str">
        <f t="shared" si="427"/>
        <v>9801</v>
      </c>
      <c r="E2245" s="1" t="s">
        <v>25</v>
      </c>
      <c r="F2245" s="1" t="str">
        <f>"6280E61A1E880400C817002000000021"</f>
        <v>6280E61A1E880400C817002000000021</v>
      </c>
      <c r="G2245" s="1" t="s">
        <v>58</v>
      </c>
      <c r="H2245" s="1" t="str">
        <f t="shared" si="422"/>
        <v>20220910</v>
      </c>
      <c r="I2245" s="1" t="str">
        <f>"093108"</f>
        <v>093108</v>
      </c>
      <c r="J2245" s="1" t="s">
        <v>27</v>
      </c>
      <c r="K2245" s="1" t="s">
        <v>28</v>
      </c>
      <c r="L2245" s="1" t="str">
        <f t="shared" si="428"/>
        <v>20220910</v>
      </c>
      <c r="M2245" s="1" t="str">
        <f>"095558"</f>
        <v>095558</v>
      </c>
      <c r="N2245" s="1" t="s">
        <v>44</v>
      </c>
      <c r="O2245" s="1" t="s">
        <v>45</v>
      </c>
      <c r="P2245" s="1" t="s">
        <v>55</v>
      </c>
      <c r="Q2245" s="1">
        <v>25</v>
      </c>
      <c r="R2245" s="1">
        <v>0</v>
      </c>
      <c r="S2245" s="1">
        <v>25</v>
      </c>
      <c r="T2245" s="1">
        <v>0</v>
      </c>
      <c r="U2245" s="1">
        <v>0</v>
      </c>
      <c r="V2245" s="1" t="str">
        <f>"里程去程"</f>
        <v>里程去程</v>
      </c>
      <c r="W2245" s="1" t="str">
        <f>"0620"</f>
        <v>0620</v>
      </c>
      <c r="X2245" s="1" t="s">
        <v>29</v>
      </c>
    </row>
    <row r="2246" spans="1:24" x14ac:dyDescent="0.3">
      <c r="A2246" s="1" t="str">
        <f t="shared" si="426"/>
        <v>59828</v>
      </c>
      <c r="B2246" s="1" t="s">
        <v>23</v>
      </c>
      <c r="C2246" s="1" t="s">
        <v>24</v>
      </c>
      <c r="D2246" s="1" t="str">
        <f t="shared" si="427"/>
        <v>9801</v>
      </c>
      <c r="E2246" s="1" t="s">
        <v>25</v>
      </c>
      <c r="F2246" s="1" t="str">
        <f>"E213BD024E880400C834002000000015"</f>
        <v>E213BD024E880400C834002000000015</v>
      </c>
      <c r="G2246" s="1" t="s">
        <v>74</v>
      </c>
      <c r="H2246" s="1" t="str">
        <f t="shared" si="422"/>
        <v>20220910</v>
      </c>
      <c r="I2246" s="1" t="str">
        <f>"093143"</f>
        <v>093143</v>
      </c>
      <c r="J2246" s="1" t="s">
        <v>27</v>
      </c>
      <c r="K2246" s="1" t="s">
        <v>28</v>
      </c>
      <c r="L2246" s="1" t="str">
        <f t="shared" si="428"/>
        <v>20220910</v>
      </c>
      <c r="M2246" s="1" t="str">
        <f>"095554"</f>
        <v>095554</v>
      </c>
      <c r="N2246" s="1" t="s">
        <v>44</v>
      </c>
      <c r="O2246" s="1" t="s">
        <v>45</v>
      </c>
      <c r="P2246" s="1" t="s">
        <v>68</v>
      </c>
      <c r="Q2246" s="1">
        <v>13</v>
      </c>
      <c r="R2246" s="1">
        <v>0</v>
      </c>
      <c r="S2246" s="1">
        <v>0</v>
      </c>
      <c r="T2246" s="1">
        <v>13</v>
      </c>
      <c r="U2246" s="1">
        <v>0</v>
      </c>
      <c r="V2246" s="1" t="str">
        <f>"里程去程"</f>
        <v>里程去程</v>
      </c>
      <c r="W2246" s="1" t="str">
        <f>"0020"</f>
        <v>0020</v>
      </c>
      <c r="X2246" s="1" t="s">
        <v>29</v>
      </c>
    </row>
    <row r="2247" spans="1:24" x14ac:dyDescent="0.3">
      <c r="A2247" s="1" t="str">
        <f t="shared" si="426"/>
        <v>59828</v>
      </c>
      <c r="B2247" s="1" t="s">
        <v>23</v>
      </c>
      <c r="C2247" s="1" t="s">
        <v>24</v>
      </c>
      <c r="D2247" s="1" t="str">
        <f t="shared" si="427"/>
        <v>9801</v>
      </c>
      <c r="E2247" s="1" t="s">
        <v>25</v>
      </c>
      <c r="F2247" s="1" t="str">
        <f>"1789433292"</f>
        <v>1789433292</v>
      </c>
      <c r="G2247" s="1" t="s">
        <v>33</v>
      </c>
      <c r="H2247" s="1" t="str">
        <f t="shared" si="422"/>
        <v>20220910</v>
      </c>
      <c r="I2247" s="1" t="str">
        <f>"125301"</f>
        <v>125301</v>
      </c>
      <c r="J2247" s="1" t="s">
        <v>28</v>
      </c>
      <c r="K2247" s="1" t="s">
        <v>28</v>
      </c>
      <c r="L2247" s="1" t="str">
        <f t="shared" si="428"/>
        <v>20220910</v>
      </c>
      <c r="M2247" s="1" t="str">
        <f>"131225"</f>
        <v>131225</v>
      </c>
      <c r="N2247" s="1" t="s">
        <v>65</v>
      </c>
      <c r="O2247" s="1" t="s">
        <v>52</v>
      </c>
      <c r="P2247" s="1" t="s">
        <v>55</v>
      </c>
      <c r="Q2247" s="1">
        <v>25</v>
      </c>
      <c r="R2247" s="1">
        <v>25</v>
      </c>
      <c r="S2247" s="1">
        <v>0</v>
      </c>
      <c r="T2247" s="1">
        <v>0</v>
      </c>
      <c r="U2247" s="1">
        <v>0</v>
      </c>
      <c r="V2247" s="1" t="str">
        <f t="shared" ref="V2247:V2273" si="429">"里程返程"</f>
        <v>里程返程</v>
      </c>
      <c r="W2247" s="1" t="str">
        <f>"0620"</f>
        <v>0620</v>
      </c>
      <c r="X2247" s="1" t="s">
        <v>35</v>
      </c>
    </row>
    <row r="2248" spans="1:24" x14ac:dyDescent="0.3">
      <c r="A2248" s="1" t="str">
        <f t="shared" si="426"/>
        <v>59828</v>
      </c>
      <c r="B2248" s="1" t="s">
        <v>23</v>
      </c>
      <c r="C2248" s="1" t="s">
        <v>24</v>
      </c>
      <c r="D2248" s="1" t="str">
        <f t="shared" si="427"/>
        <v>9801</v>
      </c>
      <c r="E2248" s="1" t="s">
        <v>25</v>
      </c>
      <c r="F2248" s="1" t="str">
        <f>"931601381"</f>
        <v>931601381</v>
      </c>
      <c r="G2248" s="1" t="s">
        <v>33</v>
      </c>
      <c r="H2248" s="1" t="str">
        <f t="shared" si="422"/>
        <v>20220910</v>
      </c>
      <c r="I2248" s="1" t="str">
        <f>"125302"</f>
        <v>125302</v>
      </c>
      <c r="J2248" s="1" t="s">
        <v>28</v>
      </c>
      <c r="K2248" s="1" t="s">
        <v>28</v>
      </c>
      <c r="L2248" s="1" t="str">
        <f t="shared" si="428"/>
        <v>20220910</v>
      </c>
      <c r="M2248" s="1" t="str">
        <f>"131234"</f>
        <v>131234</v>
      </c>
      <c r="N2248" s="1" t="s">
        <v>65</v>
      </c>
      <c r="O2248" s="1" t="s">
        <v>52</v>
      </c>
      <c r="P2248" s="1" t="s">
        <v>55</v>
      </c>
      <c r="Q2248" s="1">
        <v>25</v>
      </c>
      <c r="R2248" s="1">
        <v>25</v>
      </c>
      <c r="S2248" s="1">
        <v>0</v>
      </c>
      <c r="T2248" s="1">
        <v>0</v>
      </c>
      <c r="U2248" s="1">
        <v>0</v>
      </c>
      <c r="V2248" s="1" t="str">
        <f t="shared" si="429"/>
        <v>里程返程</v>
      </c>
      <c r="W2248" s="1" t="str">
        <f>"0220"</f>
        <v>0220</v>
      </c>
      <c r="X2248" s="1" t="s">
        <v>35</v>
      </c>
    </row>
    <row r="2249" spans="1:24" x14ac:dyDescent="0.3">
      <c r="A2249" s="1" t="str">
        <f t="shared" si="426"/>
        <v>59828</v>
      </c>
      <c r="B2249" s="1" t="s">
        <v>23</v>
      </c>
      <c r="C2249" s="1" t="s">
        <v>24</v>
      </c>
      <c r="D2249" s="1" t="str">
        <f t="shared" si="427"/>
        <v>9801</v>
      </c>
      <c r="E2249" s="1" t="s">
        <v>25</v>
      </c>
      <c r="F2249" s="1" t="str">
        <f>"1ABEA75B58880400C18514D041604512"</f>
        <v>1ABEA75B58880400C18514D041604512</v>
      </c>
      <c r="G2249" s="1" t="s">
        <v>58</v>
      </c>
      <c r="H2249" s="1" t="str">
        <f t="shared" si="422"/>
        <v>20220910</v>
      </c>
      <c r="I2249" s="1" t="str">
        <f>"125305"</f>
        <v>125305</v>
      </c>
      <c r="J2249" s="1" t="s">
        <v>28</v>
      </c>
      <c r="K2249" s="1" t="s">
        <v>28</v>
      </c>
      <c r="L2249" s="1" t="str">
        <f t="shared" si="428"/>
        <v>20220910</v>
      </c>
      <c r="M2249" s="1" t="str">
        <f>"131331"</f>
        <v>131331</v>
      </c>
      <c r="N2249" s="1" t="s">
        <v>72</v>
      </c>
      <c r="O2249" s="1" t="s">
        <v>52</v>
      </c>
      <c r="P2249" s="1" t="s">
        <v>55</v>
      </c>
      <c r="Q2249" s="1">
        <v>25</v>
      </c>
      <c r="R2249" s="1">
        <v>25</v>
      </c>
      <c r="S2249" s="1">
        <v>0</v>
      </c>
      <c r="T2249" s="1">
        <v>0</v>
      </c>
      <c r="U2249" s="1">
        <v>0</v>
      </c>
      <c r="V2249" s="1" t="str">
        <f t="shared" si="429"/>
        <v>里程返程</v>
      </c>
      <c r="W2249" s="1" t="str">
        <f>"0020"</f>
        <v>0020</v>
      </c>
      <c r="X2249" s="1" t="s">
        <v>29</v>
      </c>
    </row>
    <row r="2250" spans="1:24" x14ac:dyDescent="0.3">
      <c r="A2250" s="1" t="str">
        <f t="shared" si="426"/>
        <v>59828</v>
      </c>
      <c r="B2250" s="1" t="s">
        <v>23</v>
      </c>
      <c r="C2250" s="1" t="s">
        <v>24</v>
      </c>
      <c r="D2250" s="1" t="str">
        <f t="shared" si="427"/>
        <v>9801</v>
      </c>
      <c r="E2250" s="1" t="s">
        <v>25</v>
      </c>
      <c r="F2250" s="1" t="str">
        <f>"1222216849"</f>
        <v>1222216849</v>
      </c>
      <c r="G2250" s="1" t="s">
        <v>33</v>
      </c>
      <c r="H2250" s="1" t="str">
        <f t="shared" si="422"/>
        <v>20220910</v>
      </c>
      <c r="I2250" s="1" t="str">
        <f>"125311"</f>
        <v>125311</v>
      </c>
      <c r="J2250" s="1" t="s">
        <v>28</v>
      </c>
      <c r="K2250" s="1" t="s">
        <v>28</v>
      </c>
      <c r="L2250" s="1" t="str">
        <f t="shared" si="428"/>
        <v>20220910</v>
      </c>
      <c r="M2250" s="1" t="str">
        <f>"131324"</f>
        <v>131324</v>
      </c>
      <c r="N2250" s="1" t="s">
        <v>72</v>
      </c>
      <c r="O2250" s="1" t="s">
        <v>52</v>
      </c>
      <c r="P2250" s="1" t="s">
        <v>55</v>
      </c>
      <c r="Q2250" s="1">
        <v>25</v>
      </c>
      <c r="R2250" s="1">
        <v>25</v>
      </c>
      <c r="S2250" s="1">
        <v>0</v>
      </c>
      <c r="T2250" s="1">
        <v>0</v>
      </c>
      <c r="U2250" s="1">
        <v>0</v>
      </c>
      <c r="V2250" s="1" t="str">
        <f t="shared" si="429"/>
        <v>里程返程</v>
      </c>
      <c r="W2250" s="1" t="str">
        <f>"1120"</f>
        <v>1120</v>
      </c>
      <c r="X2250" s="1" t="s">
        <v>35</v>
      </c>
    </row>
    <row r="2251" spans="1:24" x14ac:dyDescent="0.3">
      <c r="A2251" s="1" t="str">
        <f t="shared" si="426"/>
        <v>59828</v>
      </c>
      <c r="B2251" s="1" t="s">
        <v>23</v>
      </c>
      <c r="C2251" s="1" t="s">
        <v>24</v>
      </c>
      <c r="D2251" s="1" t="str">
        <f t="shared" si="427"/>
        <v>9801</v>
      </c>
      <c r="E2251" s="1" t="s">
        <v>25</v>
      </c>
      <c r="F2251" s="1" t="str">
        <f>"F249B60C01880400C827002000000017"</f>
        <v>F249B60C01880400C827002000000017</v>
      </c>
      <c r="G2251" s="1" t="s">
        <v>58</v>
      </c>
      <c r="H2251" s="1" t="str">
        <f t="shared" si="422"/>
        <v>20220910</v>
      </c>
      <c r="I2251" s="1" t="str">
        <f>"125316"</f>
        <v>125316</v>
      </c>
      <c r="J2251" s="1" t="s">
        <v>28</v>
      </c>
      <c r="K2251" s="1" t="s">
        <v>28</v>
      </c>
      <c r="L2251" s="1" t="str">
        <f t="shared" si="428"/>
        <v>20220910</v>
      </c>
      <c r="M2251" s="1" t="str">
        <f>"132053"</f>
        <v>132053</v>
      </c>
      <c r="N2251" s="1" t="s">
        <v>52</v>
      </c>
      <c r="O2251" s="1" t="s">
        <v>52</v>
      </c>
      <c r="P2251" s="1" t="s">
        <v>55</v>
      </c>
      <c r="Q2251" s="1">
        <v>25</v>
      </c>
      <c r="R2251" s="1">
        <v>25</v>
      </c>
      <c r="S2251" s="1">
        <v>0</v>
      </c>
      <c r="T2251" s="1">
        <v>0</v>
      </c>
      <c r="U2251" s="1">
        <v>0</v>
      </c>
      <c r="V2251" s="1" t="str">
        <f t="shared" si="429"/>
        <v>里程返程</v>
      </c>
      <c r="W2251" s="1" t="str">
        <f>"0020"</f>
        <v>0020</v>
      </c>
      <c r="X2251" s="1" t="s">
        <v>29</v>
      </c>
    </row>
    <row r="2252" spans="1:24" x14ac:dyDescent="0.3">
      <c r="A2252" s="1" t="str">
        <f t="shared" si="426"/>
        <v>59828</v>
      </c>
      <c r="B2252" s="1" t="s">
        <v>23</v>
      </c>
      <c r="C2252" s="1" t="s">
        <v>24</v>
      </c>
      <c r="D2252" s="1" t="str">
        <f t="shared" si="427"/>
        <v>9801</v>
      </c>
      <c r="E2252" s="1" t="s">
        <v>25</v>
      </c>
      <c r="F2252" s="1" t="str">
        <f>"685721701"</f>
        <v>685721701</v>
      </c>
      <c r="G2252" s="1" t="s">
        <v>33</v>
      </c>
      <c r="H2252" s="1" t="str">
        <f t="shared" si="422"/>
        <v>20220910</v>
      </c>
      <c r="I2252" s="1" t="str">
        <f>"125322"</f>
        <v>125322</v>
      </c>
      <c r="J2252" s="1" t="s">
        <v>28</v>
      </c>
      <c r="K2252" s="1" t="s">
        <v>28</v>
      </c>
      <c r="L2252" s="1" t="str">
        <f t="shared" si="428"/>
        <v>20220910</v>
      </c>
      <c r="M2252" s="1" t="str">
        <f>"132051"</f>
        <v>132051</v>
      </c>
      <c r="N2252" s="1" t="s">
        <v>52</v>
      </c>
      <c r="O2252" s="1" t="s">
        <v>52</v>
      </c>
      <c r="P2252" s="1" t="s">
        <v>55</v>
      </c>
      <c r="Q2252" s="1">
        <v>25</v>
      </c>
      <c r="R2252" s="1">
        <v>25</v>
      </c>
      <c r="S2252" s="1">
        <v>0</v>
      </c>
      <c r="T2252" s="1">
        <v>0</v>
      </c>
      <c r="U2252" s="1">
        <v>0</v>
      </c>
      <c r="V2252" s="1" t="str">
        <f t="shared" si="429"/>
        <v>里程返程</v>
      </c>
      <c r="W2252" s="1" t="str">
        <f>"0220"</f>
        <v>0220</v>
      </c>
      <c r="X2252" s="1" t="s">
        <v>35</v>
      </c>
    </row>
    <row r="2253" spans="1:24" x14ac:dyDescent="0.3">
      <c r="A2253" s="1" t="str">
        <f t="shared" si="426"/>
        <v>59828</v>
      </c>
      <c r="B2253" s="1" t="s">
        <v>23</v>
      </c>
      <c r="C2253" s="1" t="s">
        <v>24</v>
      </c>
      <c r="D2253" s="1" t="str">
        <f t="shared" si="427"/>
        <v>9801</v>
      </c>
      <c r="E2253" s="1" t="s">
        <v>25</v>
      </c>
      <c r="F2253" s="1" t="str">
        <f>"1100656565"</f>
        <v>1100656565</v>
      </c>
      <c r="G2253" s="1" t="s">
        <v>33</v>
      </c>
      <c r="H2253" s="1" t="str">
        <f t="shared" si="422"/>
        <v>20220910</v>
      </c>
      <c r="I2253" s="1" t="str">
        <f>"125452"</f>
        <v>125452</v>
      </c>
      <c r="J2253" s="1" t="s">
        <v>28</v>
      </c>
      <c r="K2253" s="1" t="s">
        <v>28</v>
      </c>
      <c r="L2253" s="1" t="str">
        <f t="shared" si="428"/>
        <v>20220910</v>
      </c>
      <c r="M2253" s="1" t="str">
        <f>"132056"</f>
        <v>132056</v>
      </c>
      <c r="N2253" s="1" t="s">
        <v>52</v>
      </c>
      <c r="O2253" s="1" t="s">
        <v>52</v>
      </c>
      <c r="P2253" s="1" t="s">
        <v>55</v>
      </c>
      <c r="Q2253" s="1">
        <v>25</v>
      </c>
      <c r="R2253" s="1">
        <v>25</v>
      </c>
      <c r="S2253" s="1">
        <v>0</v>
      </c>
      <c r="T2253" s="1">
        <v>0</v>
      </c>
      <c r="U2253" s="1">
        <v>0</v>
      </c>
      <c r="V2253" s="1" t="str">
        <f t="shared" si="429"/>
        <v>里程返程</v>
      </c>
      <c r="W2253" s="1" t="str">
        <f>"0320"</f>
        <v>0320</v>
      </c>
      <c r="X2253" s="1" t="s">
        <v>35</v>
      </c>
    </row>
    <row r="2254" spans="1:24" x14ac:dyDescent="0.3">
      <c r="A2254" s="1" t="str">
        <f t="shared" si="426"/>
        <v>59828</v>
      </c>
      <c r="B2254" s="1" t="s">
        <v>23</v>
      </c>
      <c r="C2254" s="1" t="s">
        <v>24</v>
      </c>
      <c r="D2254" s="1" t="str">
        <f t="shared" si="427"/>
        <v>9801</v>
      </c>
      <c r="E2254" s="1" t="s">
        <v>25</v>
      </c>
      <c r="F2254" s="1" t="str">
        <f>"1144447797"</f>
        <v>1144447797</v>
      </c>
      <c r="G2254" s="1" t="s">
        <v>33</v>
      </c>
      <c r="H2254" s="1" t="str">
        <f t="shared" si="422"/>
        <v>20220910</v>
      </c>
      <c r="I2254" s="1" t="str">
        <f>"142919"</f>
        <v>142919</v>
      </c>
      <c r="J2254" s="1" t="s">
        <v>44</v>
      </c>
      <c r="K2254" s="1" t="s">
        <v>45</v>
      </c>
      <c r="L2254" s="1" t="str">
        <f t="shared" si="428"/>
        <v>20220910</v>
      </c>
      <c r="M2254" s="1" t="str">
        <f>"143659"</f>
        <v>143659</v>
      </c>
      <c r="N2254" s="1" t="s">
        <v>91</v>
      </c>
      <c r="O2254" s="1" t="s">
        <v>45</v>
      </c>
      <c r="P2254" s="1" t="s">
        <v>55</v>
      </c>
      <c r="Q2254" s="1">
        <v>25</v>
      </c>
      <c r="R2254" s="1">
        <v>0</v>
      </c>
      <c r="S2254" s="1">
        <v>25</v>
      </c>
      <c r="T2254" s="1">
        <v>0</v>
      </c>
      <c r="U2254" s="1">
        <v>0</v>
      </c>
      <c r="V2254" s="1" t="str">
        <f t="shared" si="429"/>
        <v>里程返程</v>
      </c>
      <c r="W2254" s="1" t="str">
        <f>"2020"</f>
        <v>2020</v>
      </c>
      <c r="X2254" s="1" t="s">
        <v>35</v>
      </c>
    </row>
    <row r="2255" spans="1:24" x14ac:dyDescent="0.3">
      <c r="A2255" s="1" t="str">
        <f t="shared" si="426"/>
        <v>59828</v>
      </c>
      <c r="B2255" s="1" t="s">
        <v>23</v>
      </c>
      <c r="C2255" s="1" t="s">
        <v>24</v>
      </c>
      <c r="D2255" s="1" t="str">
        <f t="shared" si="427"/>
        <v>9801</v>
      </c>
      <c r="E2255" s="1" t="s">
        <v>25</v>
      </c>
      <c r="F2255" s="1" t="str">
        <f>"1147247877"</f>
        <v>1147247877</v>
      </c>
      <c r="G2255" s="1" t="s">
        <v>38</v>
      </c>
      <c r="H2255" s="1" t="str">
        <f t="shared" si="422"/>
        <v>20220910</v>
      </c>
      <c r="I2255" s="1" t="str">
        <f>"142922"</f>
        <v>142922</v>
      </c>
      <c r="J2255" s="1" t="s">
        <v>44</v>
      </c>
      <c r="K2255" s="1" t="s">
        <v>45</v>
      </c>
      <c r="L2255" s="1" t="str">
        <f t="shared" si="428"/>
        <v>20220910</v>
      </c>
      <c r="M2255" s="1" t="str">
        <f>"143702"</f>
        <v>143702</v>
      </c>
      <c r="N2255" s="1" t="s">
        <v>91</v>
      </c>
      <c r="O2255" s="1" t="s">
        <v>45</v>
      </c>
      <c r="P2255" s="1" t="s">
        <v>55</v>
      </c>
      <c r="Q2255" s="1">
        <v>25</v>
      </c>
      <c r="R2255" s="1">
        <v>0</v>
      </c>
      <c r="S2255" s="1">
        <v>25</v>
      </c>
      <c r="T2255" s="1">
        <v>0</v>
      </c>
      <c r="U2255" s="1">
        <v>0</v>
      </c>
      <c r="V2255" s="1" t="str">
        <f t="shared" si="429"/>
        <v>里程返程</v>
      </c>
      <c r="W2255" s="1" t="str">
        <f>"2020"</f>
        <v>2020</v>
      </c>
      <c r="X2255" s="1" t="s">
        <v>35</v>
      </c>
    </row>
    <row r="2256" spans="1:24" x14ac:dyDescent="0.3">
      <c r="A2256" s="1" t="str">
        <f t="shared" si="426"/>
        <v>59828</v>
      </c>
      <c r="B2256" s="1" t="s">
        <v>23</v>
      </c>
      <c r="C2256" s="1" t="s">
        <v>24</v>
      </c>
      <c r="D2256" s="1" t="str">
        <f t="shared" si="427"/>
        <v>9801</v>
      </c>
      <c r="E2256" s="1" t="s">
        <v>25</v>
      </c>
      <c r="F2256" s="1" t="str">
        <f>"1695105317"</f>
        <v>1695105317</v>
      </c>
      <c r="G2256" s="1" t="s">
        <v>33</v>
      </c>
      <c r="H2256" s="1" t="str">
        <f t="shared" si="422"/>
        <v>20220910</v>
      </c>
      <c r="I2256" s="1" t="str">
        <f>"142927"</f>
        <v>142927</v>
      </c>
      <c r="J2256" s="1" t="s">
        <v>44</v>
      </c>
      <c r="K2256" s="1" t="s">
        <v>45</v>
      </c>
      <c r="L2256" s="1" t="str">
        <f t="shared" si="428"/>
        <v>20220910</v>
      </c>
      <c r="M2256" s="1" t="str">
        <f>"145111"</f>
        <v>145111</v>
      </c>
      <c r="N2256" s="1" t="s">
        <v>28</v>
      </c>
      <c r="O2256" s="1" t="s">
        <v>28</v>
      </c>
      <c r="P2256" s="1" t="s">
        <v>55</v>
      </c>
      <c r="Q2256" s="1">
        <v>25</v>
      </c>
      <c r="R2256" s="1">
        <v>25</v>
      </c>
      <c r="S2256" s="1">
        <v>0</v>
      </c>
      <c r="T2256" s="1">
        <v>0</v>
      </c>
      <c r="U2256" s="1">
        <v>0</v>
      </c>
      <c r="V2256" s="1" t="str">
        <f t="shared" si="429"/>
        <v>里程返程</v>
      </c>
      <c r="W2256" s="1" t="str">
        <f>"2020"</f>
        <v>2020</v>
      </c>
      <c r="X2256" s="1" t="s">
        <v>35</v>
      </c>
    </row>
    <row r="2257" spans="1:24" x14ac:dyDescent="0.3">
      <c r="A2257" s="1" t="str">
        <f t="shared" si="426"/>
        <v>59828</v>
      </c>
      <c r="B2257" s="1" t="s">
        <v>23</v>
      </c>
      <c r="C2257" s="1" t="s">
        <v>24</v>
      </c>
      <c r="D2257" s="1" t="str">
        <f t="shared" si="427"/>
        <v>9801</v>
      </c>
      <c r="E2257" s="1" t="s">
        <v>25</v>
      </c>
      <c r="F2257" s="1" t="str">
        <f>"4D7115C1E88804004885145841004110"</f>
        <v>4D7115C1E88804004885145841004110</v>
      </c>
      <c r="G2257" s="1" t="s">
        <v>59</v>
      </c>
      <c r="H2257" s="1" t="str">
        <f t="shared" si="422"/>
        <v>20220910</v>
      </c>
      <c r="I2257" s="1" t="str">
        <f>"144041"</f>
        <v>144041</v>
      </c>
      <c r="J2257" s="1" t="s">
        <v>56</v>
      </c>
      <c r="K2257" s="1" t="s">
        <v>45</v>
      </c>
      <c r="L2257" s="1" t="str">
        <f t="shared" si="428"/>
        <v>20220910</v>
      </c>
      <c r="M2257" s="1" t="str">
        <f>"145117"</f>
        <v>145117</v>
      </c>
      <c r="N2257" s="1" t="s">
        <v>28</v>
      </c>
      <c r="O2257" s="1" t="s">
        <v>28</v>
      </c>
      <c r="P2257" s="1" t="s">
        <v>55</v>
      </c>
      <c r="Q2257" s="1">
        <v>25</v>
      </c>
      <c r="R2257" s="1">
        <v>25</v>
      </c>
      <c r="S2257" s="1">
        <v>0</v>
      </c>
      <c r="T2257" s="1">
        <v>0</v>
      </c>
      <c r="U2257" s="1">
        <v>0</v>
      </c>
      <c r="V2257" s="1" t="str">
        <f t="shared" si="429"/>
        <v>里程返程</v>
      </c>
      <c r="W2257" s="1" t="str">
        <f>"0020"</f>
        <v>0020</v>
      </c>
      <c r="X2257" s="1" t="s">
        <v>29</v>
      </c>
    </row>
    <row r="2258" spans="1:24" x14ac:dyDescent="0.3">
      <c r="A2258" s="1" t="str">
        <f t="shared" si="426"/>
        <v>59828</v>
      </c>
      <c r="B2258" s="1" t="s">
        <v>23</v>
      </c>
      <c r="C2258" s="1" t="s">
        <v>24</v>
      </c>
      <c r="D2258" s="1" t="str">
        <f t="shared" si="427"/>
        <v>9801</v>
      </c>
      <c r="E2258" s="1" t="s">
        <v>25</v>
      </c>
      <c r="F2258" s="1" t="str">
        <f>"247449573"</f>
        <v>247449573</v>
      </c>
      <c r="G2258" s="1" t="s">
        <v>33</v>
      </c>
      <c r="H2258" s="1" t="str">
        <f t="shared" si="422"/>
        <v>20220910</v>
      </c>
      <c r="I2258" s="1" t="str">
        <f>"144045"</f>
        <v>144045</v>
      </c>
      <c r="J2258" s="1" t="s">
        <v>56</v>
      </c>
      <c r="K2258" s="1" t="s">
        <v>45</v>
      </c>
      <c r="L2258" s="1" t="str">
        <f t="shared" si="428"/>
        <v>20220910</v>
      </c>
      <c r="M2258" s="1" t="str">
        <f>"145116"</f>
        <v>145116</v>
      </c>
      <c r="N2258" s="1" t="s">
        <v>28</v>
      </c>
      <c r="O2258" s="1" t="s">
        <v>28</v>
      </c>
      <c r="P2258" s="1" t="s">
        <v>55</v>
      </c>
      <c r="Q2258" s="1">
        <v>25</v>
      </c>
      <c r="R2258" s="1">
        <v>25</v>
      </c>
      <c r="S2258" s="1">
        <v>0</v>
      </c>
      <c r="T2258" s="1">
        <v>0</v>
      </c>
      <c r="U2258" s="1">
        <v>0</v>
      </c>
      <c r="V2258" s="1" t="str">
        <f t="shared" si="429"/>
        <v>里程返程</v>
      </c>
      <c r="W2258" s="1" t="str">
        <f>"2120"</f>
        <v>2120</v>
      </c>
      <c r="X2258" s="1" t="s">
        <v>35</v>
      </c>
    </row>
    <row r="2259" spans="1:24" x14ac:dyDescent="0.3">
      <c r="A2259" s="1" t="str">
        <f t="shared" si="426"/>
        <v>59828</v>
      </c>
      <c r="B2259" s="1" t="s">
        <v>23</v>
      </c>
      <c r="C2259" s="1" t="s">
        <v>24</v>
      </c>
      <c r="D2259" s="1" t="str">
        <f t="shared" si="427"/>
        <v>9801</v>
      </c>
      <c r="E2259" s="1" t="s">
        <v>25</v>
      </c>
      <c r="F2259" s="1" t="str">
        <f>"62790D0315880400C834002000000015"</f>
        <v>62790D0315880400C834002000000015</v>
      </c>
      <c r="G2259" s="1" t="s">
        <v>26</v>
      </c>
      <c r="H2259" s="1" t="str">
        <f t="shared" si="422"/>
        <v>20220910</v>
      </c>
      <c r="I2259" s="1" t="str">
        <f>"145237"</f>
        <v>145237</v>
      </c>
      <c r="J2259" s="1" t="s">
        <v>28</v>
      </c>
      <c r="K2259" s="1" t="s">
        <v>28</v>
      </c>
      <c r="L2259" s="1" t="str">
        <f t="shared" si="428"/>
        <v>20220910</v>
      </c>
      <c r="M2259" s="1" t="str">
        <f>"150203"</f>
        <v>150203</v>
      </c>
      <c r="N2259" s="1" t="s">
        <v>67</v>
      </c>
      <c r="O2259" s="1" t="s">
        <v>52</v>
      </c>
      <c r="P2259" s="1" t="s">
        <v>68</v>
      </c>
      <c r="Q2259" s="1">
        <v>13</v>
      </c>
      <c r="R2259" s="1">
        <v>0</v>
      </c>
      <c r="S2259" s="1">
        <v>0</v>
      </c>
      <c r="T2259" s="1">
        <v>13</v>
      </c>
      <c r="U2259" s="1">
        <v>0</v>
      </c>
      <c r="V2259" s="1" t="str">
        <f t="shared" si="429"/>
        <v>里程返程</v>
      </c>
      <c r="W2259" s="1" t="str">
        <f>"0020"</f>
        <v>0020</v>
      </c>
      <c r="X2259" s="1" t="s">
        <v>29</v>
      </c>
    </row>
    <row r="2260" spans="1:24" x14ac:dyDescent="0.3">
      <c r="A2260" s="1" t="str">
        <f t="shared" si="426"/>
        <v>59828</v>
      </c>
      <c r="B2260" s="1" t="s">
        <v>23</v>
      </c>
      <c r="C2260" s="1" t="s">
        <v>24</v>
      </c>
      <c r="D2260" s="1" t="str">
        <f t="shared" si="427"/>
        <v>9801</v>
      </c>
      <c r="E2260" s="1" t="s">
        <v>25</v>
      </c>
      <c r="F2260" s="1" t="str">
        <f>"C2359E167F880400C814002000000019"</f>
        <v>C2359E167F880400C814002000000019</v>
      </c>
      <c r="G2260" s="1" t="s">
        <v>82</v>
      </c>
      <c r="H2260" s="1" t="str">
        <f t="shared" si="422"/>
        <v>20220910</v>
      </c>
      <c r="I2260" s="1" t="str">
        <f>"152657"</f>
        <v>152657</v>
      </c>
      <c r="J2260" s="1" t="s">
        <v>44</v>
      </c>
      <c r="K2260" s="1" t="s">
        <v>45</v>
      </c>
      <c r="L2260" s="1" t="str">
        <f t="shared" si="428"/>
        <v>20220910</v>
      </c>
      <c r="M2260" s="1" t="str">
        <f>"153631"</f>
        <v>153631</v>
      </c>
      <c r="N2260" s="1" t="s">
        <v>91</v>
      </c>
      <c r="O2260" s="1" t="s">
        <v>45</v>
      </c>
      <c r="P2260" s="1" t="s">
        <v>55</v>
      </c>
      <c r="Q2260" s="1">
        <v>13</v>
      </c>
      <c r="R2260" s="1">
        <v>0</v>
      </c>
      <c r="S2260" s="1">
        <v>13</v>
      </c>
      <c r="T2260" s="1">
        <v>0</v>
      </c>
      <c r="U2260" s="1">
        <v>0</v>
      </c>
      <c r="V2260" s="1" t="str">
        <f t="shared" si="429"/>
        <v>里程返程</v>
      </c>
      <c r="W2260" s="1" t="str">
        <f>"1120"</f>
        <v>1120</v>
      </c>
      <c r="X2260" s="1" t="s">
        <v>29</v>
      </c>
    </row>
    <row r="2261" spans="1:24" x14ac:dyDescent="0.3">
      <c r="A2261" s="1" t="str">
        <f t="shared" si="426"/>
        <v>59828</v>
      </c>
      <c r="B2261" s="1" t="s">
        <v>23</v>
      </c>
      <c r="C2261" s="1" t="s">
        <v>24</v>
      </c>
      <c r="D2261" s="1" t="str">
        <f t="shared" si="427"/>
        <v>9801</v>
      </c>
      <c r="E2261" s="1" t="s">
        <v>25</v>
      </c>
      <c r="F2261" s="1" t="str">
        <f>"801654885"</f>
        <v>801654885</v>
      </c>
      <c r="G2261" s="1" t="s">
        <v>26</v>
      </c>
      <c r="H2261" s="1" t="str">
        <f t="shared" si="422"/>
        <v>20220910</v>
      </c>
      <c r="I2261" s="1" t="str">
        <f>"152704"</f>
        <v>152704</v>
      </c>
      <c r="J2261" s="1" t="s">
        <v>44</v>
      </c>
      <c r="K2261" s="1" t="s">
        <v>45</v>
      </c>
      <c r="L2261" s="1" t="str">
        <f t="shared" si="428"/>
        <v>20220910</v>
      </c>
      <c r="M2261" s="1" t="str">
        <f>"153629"</f>
        <v>153629</v>
      </c>
      <c r="N2261" s="1" t="s">
        <v>91</v>
      </c>
      <c r="O2261" s="1" t="s">
        <v>45</v>
      </c>
      <c r="P2261" s="1" t="s">
        <v>55</v>
      </c>
      <c r="Q2261" s="1">
        <v>13</v>
      </c>
      <c r="R2261" s="1">
        <v>0</v>
      </c>
      <c r="S2261" s="1">
        <v>13</v>
      </c>
      <c r="T2261" s="1">
        <v>0</v>
      </c>
      <c r="U2261" s="1">
        <v>0</v>
      </c>
      <c r="V2261" s="1" t="str">
        <f t="shared" si="429"/>
        <v>里程返程</v>
      </c>
      <c r="W2261" s="1" t="str">
        <f>"2120"</f>
        <v>2120</v>
      </c>
      <c r="X2261" s="1" t="s">
        <v>35</v>
      </c>
    </row>
    <row r="2262" spans="1:24" x14ac:dyDescent="0.3">
      <c r="A2262" s="1" t="str">
        <f t="shared" si="426"/>
        <v>59828</v>
      </c>
      <c r="B2262" s="1" t="s">
        <v>23</v>
      </c>
      <c r="C2262" s="1" t="s">
        <v>24</v>
      </c>
      <c r="D2262" s="1" t="str">
        <f t="shared" si="427"/>
        <v>9801</v>
      </c>
      <c r="E2262" s="1" t="s">
        <v>25</v>
      </c>
      <c r="F2262" s="1" t="str">
        <f>"1147247877"</f>
        <v>1147247877</v>
      </c>
      <c r="G2262" s="1" t="s">
        <v>38</v>
      </c>
      <c r="H2262" s="1" t="str">
        <f t="shared" si="422"/>
        <v>20220910</v>
      </c>
      <c r="I2262" s="1" t="str">
        <f>"153642"</f>
        <v>153642</v>
      </c>
      <c r="J2262" s="1" t="s">
        <v>91</v>
      </c>
      <c r="K2262" s="1" t="s">
        <v>45</v>
      </c>
      <c r="L2262" s="1" t="str">
        <f t="shared" si="428"/>
        <v>20220910</v>
      </c>
      <c r="M2262" s="1" t="str">
        <f>"155211"</f>
        <v>155211</v>
      </c>
      <c r="N2262" s="1" t="s">
        <v>28</v>
      </c>
      <c r="O2262" s="1" t="s">
        <v>28</v>
      </c>
      <c r="P2262" s="1" t="s">
        <v>55</v>
      </c>
      <c r="Q2262" s="1">
        <v>25</v>
      </c>
      <c r="R2262" s="1">
        <v>25</v>
      </c>
      <c r="S2262" s="1">
        <v>0</v>
      </c>
      <c r="T2262" s="1">
        <v>0</v>
      </c>
      <c r="U2262" s="1">
        <v>0</v>
      </c>
      <c r="V2262" s="1" t="str">
        <f t="shared" si="429"/>
        <v>里程返程</v>
      </c>
      <c r="W2262" s="1" t="str">
        <f>"2020"</f>
        <v>2020</v>
      </c>
      <c r="X2262" s="1" t="s">
        <v>35</v>
      </c>
    </row>
    <row r="2263" spans="1:24" x14ac:dyDescent="0.3">
      <c r="A2263" s="1" t="str">
        <f t="shared" si="426"/>
        <v>59828</v>
      </c>
      <c r="B2263" s="1" t="s">
        <v>23</v>
      </c>
      <c r="C2263" s="1" t="s">
        <v>24</v>
      </c>
      <c r="D2263" s="1" t="str">
        <f t="shared" si="427"/>
        <v>9801</v>
      </c>
      <c r="E2263" s="1" t="s">
        <v>25</v>
      </c>
      <c r="F2263" s="1" t="str">
        <f>"1144447797"</f>
        <v>1144447797</v>
      </c>
      <c r="G2263" s="1" t="s">
        <v>33</v>
      </c>
      <c r="H2263" s="1" t="str">
        <f t="shared" si="422"/>
        <v>20220910</v>
      </c>
      <c r="I2263" s="1" t="str">
        <f>"153644"</f>
        <v>153644</v>
      </c>
      <c r="J2263" s="1" t="s">
        <v>91</v>
      </c>
      <c r="K2263" s="1" t="s">
        <v>45</v>
      </c>
      <c r="L2263" s="1" t="str">
        <f t="shared" si="428"/>
        <v>20220910</v>
      </c>
      <c r="M2263" s="1" t="str">
        <f>"155208"</f>
        <v>155208</v>
      </c>
      <c r="N2263" s="1" t="s">
        <v>28</v>
      </c>
      <c r="O2263" s="1" t="s">
        <v>28</v>
      </c>
      <c r="P2263" s="1" t="s">
        <v>55</v>
      </c>
      <c r="Q2263" s="1">
        <v>25</v>
      </c>
      <c r="R2263" s="1">
        <v>25</v>
      </c>
      <c r="S2263" s="1">
        <v>0</v>
      </c>
      <c r="T2263" s="1">
        <v>0</v>
      </c>
      <c r="U2263" s="1">
        <v>0</v>
      </c>
      <c r="V2263" s="1" t="str">
        <f t="shared" si="429"/>
        <v>里程返程</v>
      </c>
      <c r="W2263" s="1" t="str">
        <f>"2020"</f>
        <v>2020</v>
      </c>
      <c r="X2263" s="1" t="s">
        <v>35</v>
      </c>
    </row>
    <row r="2264" spans="1:24" x14ac:dyDescent="0.3">
      <c r="A2264" s="1" t="str">
        <f t="shared" si="426"/>
        <v>59828</v>
      </c>
      <c r="B2264" s="1" t="s">
        <v>23</v>
      </c>
      <c r="C2264" s="1" t="s">
        <v>24</v>
      </c>
      <c r="D2264" s="1" t="str">
        <f t="shared" si="427"/>
        <v>9801</v>
      </c>
      <c r="E2264" s="1" t="s">
        <v>25</v>
      </c>
      <c r="F2264" s="1" t="str">
        <f>"12F38E1877880400C819002000000019"</f>
        <v>12F38E1877880400C819002000000019</v>
      </c>
      <c r="G2264" s="1" t="s">
        <v>58</v>
      </c>
      <c r="H2264" s="1" t="str">
        <f t="shared" si="422"/>
        <v>20220910</v>
      </c>
      <c r="I2264" s="1" t="str">
        <f>"153651"</f>
        <v>153651</v>
      </c>
      <c r="J2264" s="1" t="s">
        <v>91</v>
      </c>
      <c r="K2264" s="1" t="s">
        <v>45</v>
      </c>
      <c r="L2264" s="1" t="str">
        <f t="shared" si="428"/>
        <v>20220910</v>
      </c>
      <c r="M2264" s="1" t="str">
        <f>"155205"</f>
        <v>155205</v>
      </c>
      <c r="N2264" s="1" t="s">
        <v>28</v>
      </c>
      <c r="O2264" s="1" t="s">
        <v>28</v>
      </c>
      <c r="P2264" s="1" t="s">
        <v>55</v>
      </c>
      <c r="Q2264" s="1">
        <v>25</v>
      </c>
      <c r="R2264" s="1">
        <v>0</v>
      </c>
      <c r="S2264" s="1">
        <v>25</v>
      </c>
      <c r="T2264" s="1">
        <v>0</v>
      </c>
      <c r="U2264" s="1">
        <v>0</v>
      </c>
      <c r="V2264" s="1" t="str">
        <f t="shared" si="429"/>
        <v>里程返程</v>
      </c>
      <c r="W2264" s="1" t="str">
        <f>"1120"</f>
        <v>1120</v>
      </c>
      <c r="X2264" s="1" t="s">
        <v>29</v>
      </c>
    </row>
    <row r="2265" spans="1:24" x14ac:dyDescent="0.3">
      <c r="A2265" s="1" t="str">
        <f t="shared" si="426"/>
        <v>59828</v>
      </c>
      <c r="B2265" s="1" t="s">
        <v>23</v>
      </c>
      <c r="C2265" s="1" t="s">
        <v>24</v>
      </c>
      <c r="D2265" s="1" t="str">
        <f t="shared" si="427"/>
        <v>9801</v>
      </c>
      <c r="E2265" s="1" t="s">
        <v>25</v>
      </c>
      <c r="F2265" s="1" t="str">
        <f>"72AB1C16D3880400C810002000000019"</f>
        <v>72AB1C16D3880400C810002000000019</v>
      </c>
      <c r="G2265" s="1" t="s">
        <v>26</v>
      </c>
      <c r="H2265" s="1" t="str">
        <f t="shared" si="422"/>
        <v>20220910</v>
      </c>
      <c r="I2265" s="1" t="str">
        <f>"155235"</f>
        <v>155235</v>
      </c>
      <c r="J2265" s="1" t="s">
        <v>28</v>
      </c>
      <c r="K2265" s="1" t="s">
        <v>28</v>
      </c>
      <c r="L2265" s="1" t="str">
        <f t="shared" si="428"/>
        <v>20220910</v>
      </c>
      <c r="M2265" s="1" t="str">
        <f>"160220"</f>
        <v>160220</v>
      </c>
      <c r="N2265" s="1" t="s">
        <v>83</v>
      </c>
      <c r="O2265" s="1" t="s">
        <v>52</v>
      </c>
      <c r="P2265" s="1" t="s">
        <v>55</v>
      </c>
      <c r="Q2265" s="1">
        <v>13</v>
      </c>
      <c r="R2265" s="1">
        <v>0</v>
      </c>
      <c r="S2265" s="1">
        <v>13</v>
      </c>
      <c r="T2265" s="1">
        <v>0</v>
      </c>
      <c r="U2265" s="1">
        <v>0</v>
      </c>
      <c r="V2265" s="1" t="str">
        <f t="shared" si="429"/>
        <v>里程返程</v>
      </c>
      <c r="W2265" s="1" t="str">
        <f>"0620"</f>
        <v>0620</v>
      </c>
      <c r="X2265" s="1" t="s">
        <v>29</v>
      </c>
    </row>
    <row r="2266" spans="1:24" x14ac:dyDescent="0.3">
      <c r="A2266" s="1" t="str">
        <f t="shared" si="426"/>
        <v>59828</v>
      </c>
      <c r="B2266" s="1" t="s">
        <v>23</v>
      </c>
      <c r="C2266" s="1" t="s">
        <v>24</v>
      </c>
      <c r="D2266" s="1" t="str">
        <f t="shared" si="427"/>
        <v>9801</v>
      </c>
      <c r="E2266" s="1" t="s">
        <v>25</v>
      </c>
      <c r="F2266" s="1" t="str">
        <f>"4E987FE148880400C823002000000015"</f>
        <v>4E987FE148880400C823002000000015</v>
      </c>
      <c r="G2266" s="1" t="s">
        <v>58</v>
      </c>
      <c r="H2266" s="1" t="str">
        <f t="shared" si="422"/>
        <v>20220910</v>
      </c>
      <c r="I2266" s="1" t="str">
        <f>"155248"</f>
        <v>155248</v>
      </c>
      <c r="J2266" s="1" t="s">
        <v>28</v>
      </c>
      <c r="K2266" s="1" t="s">
        <v>28</v>
      </c>
      <c r="L2266" s="1" t="str">
        <f t="shared" si="428"/>
        <v>20220910</v>
      </c>
      <c r="M2266" s="1" t="str">
        <f>"160217"</f>
        <v>160217</v>
      </c>
      <c r="N2266" s="1" t="s">
        <v>83</v>
      </c>
      <c r="O2266" s="1" t="s">
        <v>52</v>
      </c>
      <c r="P2266" s="1" t="s">
        <v>55</v>
      </c>
      <c r="Q2266" s="1">
        <v>25</v>
      </c>
      <c r="R2266" s="1">
        <v>25</v>
      </c>
      <c r="S2266" s="1">
        <v>0</v>
      </c>
      <c r="T2266" s="1">
        <v>0</v>
      </c>
      <c r="U2266" s="1">
        <v>0</v>
      </c>
      <c r="V2266" s="1" t="str">
        <f t="shared" si="429"/>
        <v>里程返程</v>
      </c>
      <c r="W2266" s="1" t="str">
        <f>"0020"</f>
        <v>0020</v>
      </c>
      <c r="X2266" s="1" t="s">
        <v>29</v>
      </c>
    </row>
    <row r="2267" spans="1:24" x14ac:dyDescent="0.3">
      <c r="A2267" s="1" t="str">
        <f t="shared" si="426"/>
        <v>59828</v>
      </c>
      <c r="B2267" s="1" t="s">
        <v>23</v>
      </c>
      <c r="C2267" s="1" t="s">
        <v>24</v>
      </c>
      <c r="D2267" s="1" t="str">
        <f t="shared" si="427"/>
        <v>9801</v>
      </c>
      <c r="E2267" s="1" t="s">
        <v>25</v>
      </c>
      <c r="F2267" s="1" t="str">
        <f>"9517172009463583"</f>
        <v>9517172009463583</v>
      </c>
      <c r="G2267" s="1" t="s">
        <v>33</v>
      </c>
      <c r="H2267" s="1" t="str">
        <f t="shared" si="422"/>
        <v>20220910</v>
      </c>
      <c r="I2267" s="1" t="str">
        <f>"155318"</f>
        <v>155318</v>
      </c>
      <c r="J2267" s="1" t="s">
        <v>28</v>
      </c>
      <c r="K2267" s="1" t="s">
        <v>28</v>
      </c>
      <c r="L2267" s="1" t="str">
        <f t="shared" si="428"/>
        <v>20220910</v>
      </c>
      <c r="M2267" s="1" t="str">
        <f>"162044"</f>
        <v>162044</v>
      </c>
      <c r="N2267" s="1" t="s">
        <v>86</v>
      </c>
      <c r="O2267" s="1" t="s">
        <v>52</v>
      </c>
      <c r="P2267" s="1" t="s">
        <v>55</v>
      </c>
      <c r="Q2267" s="1">
        <v>25</v>
      </c>
      <c r="R2267" s="1">
        <v>25</v>
      </c>
      <c r="S2267" s="1">
        <v>0</v>
      </c>
      <c r="T2267" s="1">
        <v>0</v>
      </c>
      <c r="U2267" s="1">
        <v>0</v>
      </c>
      <c r="V2267" s="1" t="str">
        <f t="shared" si="429"/>
        <v>里程返程</v>
      </c>
      <c r="W2267" s="1" t="str">
        <f>"123B"</f>
        <v>123B</v>
      </c>
      <c r="X2267" s="1" t="s">
        <v>109</v>
      </c>
    </row>
    <row r="2268" spans="1:24" x14ac:dyDescent="0.3">
      <c r="A2268" s="1" t="str">
        <f t="shared" si="426"/>
        <v>59828</v>
      </c>
      <c r="B2268" s="1" t="s">
        <v>23</v>
      </c>
      <c r="C2268" s="1" t="s">
        <v>24</v>
      </c>
      <c r="D2268" s="1" t="str">
        <f t="shared" si="427"/>
        <v>9801</v>
      </c>
      <c r="E2268" s="1" t="s">
        <v>25</v>
      </c>
      <c r="F2268" s="1" t="str">
        <f>"1464085585"</f>
        <v>1464085585</v>
      </c>
      <c r="G2268" s="1" t="s">
        <v>33</v>
      </c>
      <c r="H2268" s="1" t="str">
        <f t="shared" si="422"/>
        <v>20220910</v>
      </c>
      <c r="I2268" s="1" t="str">
        <f>"155321"</f>
        <v>155321</v>
      </c>
      <c r="J2268" s="1" t="s">
        <v>28</v>
      </c>
      <c r="K2268" s="1" t="s">
        <v>28</v>
      </c>
      <c r="L2268" s="1" t="str">
        <f t="shared" si="428"/>
        <v>20220910</v>
      </c>
      <c r="M2268" s="1" t="str">
        <f>"162047"</f>
        <v>162047</v>
      </c>
      <c r="N2268" s="1" t="s">
        <v>86</v>
      </c>
      <c r="O2268" s="1" t="s">
        <v>52</v>
      </c>
      <c r="P2268" s="1" t="s">
        <v>55</v>
      </c>
      <c r="Q2268" s="1">
        <v>25</v>
      </c>
      <c r="R2268" s="1">
        <v>25</v>
      </c>
      <c r="S2268" s="1">
        <v>0</v>
      </c>
      <c r="T2268" s="1">
        <v>0</v>
      </c>
      <c r="U2268" s="1">
        <v>0</v>
      </c>
      <c r="V2268" s="1" t="str">
        <f t="shared" si="429"/>
        <v>里程返程</v>
      </c>
      <c r="W2268" s="1" t="str">
        <f>"0020"</f>
        <v>0020</v>
      </c>
      <c r="X2268" s="1" t="s">
        <v>35</v>
      </c>
    </row>
    <row r="2269" spans="1:24" x14ac:dyDescent="0.3">
      <c r="A2269" s="1" t="str">
        <f t="shared" si="426"/>
        <v>59828</v>
      </c>
      <c r="B2269" s="1" t="s">
        <v>23</v>
      </c>
      <c r="C2269" s="1" t="s">
        <v>24</v>
      </c>
      <c r="D2269" s="1" t="str">
        <f t="shared" si="427"/>
        <v>9801</v>
      </c>
      <c r="E2269" s="1" t="s">
        <v>25</v>
      </c>
      <c r="F2269" s="1" t="str">
        <f>"D150B35A682804001C00000000000000"</f>
        <v>D150B35A682804001C00000000000000</v>
      </c>
      <c r="G2269" s="1" t="s">
        <v>58</v>
      </c>
      <c r="H2269" s="1" t="str">
        <f t="shared" si="422"/>
        <v>20220910</v>
      </c>
      <c r="I2269" s="1" t="str">
        <f>"155324"</f>
        <v>155324</v>
      </c>
      <c r="J2269" s="1" t="s">
        <v>28</v>
      </c>
      <c r="K2269" s="1" t="s">
        <v>28</v>
      </c>
      <c r="L2269" s="1" t="str">
        <f t="shared" si="428"/>
        <v>20220910</v>
      </c>
      <c r="M2269" s="1" t="str">
        <f>"162041"</f>
        <v>162041</v>
      </c>
      <c r="N2269" s="1" t="s">
        <v>86</v>
      </c>
      <c r="O2269" s="1" t="s">
        <v>52</v>
      </c>
      <c r="P2269" s="1" t="s">
        <v>55</v>
      </c>
      <c r="Q2269" s="1">
        <v>25</v>
      </c>
      <c r="R2269" s="1">
        <v>25</v>
      </c>
      <c r="S2269" s="1">
        <v>0</v>
      </c>
      <c r="T2269" s="1">
        <v>0</v>
      </c>
      <c r="U2269" s="1">
        <v>0</v>
      </c>
      <c r="V2269" s="1" t="str">
        <f t="shared" si="429"/>
        <v>里程返程</v>
      </c>
      <c r="W2269" s="1" t="str">
        <f>"0020"</f>
        <v>0020</v>
      </c>
      <c r="X2269" s="1" t="s">
        <v>29</v>
      </c>
    </row>
    <row r="2270" spans="1:24" x14ac:dyDescent="0.3">
      <c r="A2270" s="1" t="str">
        <f t="shared" si="426"/>
        <v>59828</v>
      </c>
      <c r="B2270" s="1" t="s">
        <v>23</v>
      </c>
      <c r="C2270" s="1" t="s">
        <v>24</v>
      </c>
      <c r="D2270" s="1" t="str">
        <f t="shared" si="427"/>
        <v>9801</v>
      </c>
      <c r="E2270" s="1" t="s">
        <v>25</v>
      </c>
      <c r="F2270" s="1" t="str">
        <f>"A145DF152E280400F700000000000000"</f>
        <v>A145DF152E280400F700000000000000</v>
      </c>
      <c r="G2270" s="1" t="s">
        <v>58</v>
      </c>
      <c r="H2270" s="1" t="str">
        <f t="shared" si="422"/>
        <v>20220910</v>
      </c>
      <c r="I2270" s="1" t="str">
        <f>"162312"</f>
        <v>162312</v>
      </c>
      <c r="J2270" s="1" t="s">
        <v>44</v>
      </c>
      <c r="K2270" s="1" t="s">
        <v>45</v>
      </c>
      <c r="L2270" s="1" t="str">
        <f t="shared" si="428"/>
        <v>20220910</v>
      </c>
      <c r="M2270" s="1" t="str">
        <f>"165016"</f>
        <v>165016</v>
      </c>
      <c r="N2270" s="1" t="s">
        <v>28</v>
      </c>
      <c r="O2270" s="1" t="s">
        <v>28</v>
      </c>
      <c r="P2270" s="1" t="s">
        <v>55</v>
      </c>
      <c r="Q2270" s="1">
        <v>25</v>
      </c>
      <c r="R2270" s="1">
        <v>25</v>
      </c>
      <c r="S2270" s="1">
        <v>0</v>
      </c>
      <c r="T2270" s="1">
        <v>0</v>
      </c>
      <c r="U2270" s="1">
        <v>0</v>
      </c>
      <c r="V2270" s="1" t="str">
        <f t="shared" si="429"/>
        <v>里程返程</v>
      </c>
      <c r="W2270" s="1" t="str">
        <f>"0020"</f>
        <v>0020</v>
      </c>
      <c r="X2270" s="1" t="s">
        <v>29</v>
      </c>
    </row>
    <row r="2271" spans="1:24" x14ac:dyDescent="0.3">
      <c r="A2271" s="1" t="str">
        <f t="shared" si="426"/>
        <v>59828</v>
      </c>
      <c r="B2271" s="1" t="s">
        <v>23</v>
      </c>
      <c r="C2271" s="1" t="s">
        <v>24</v>
      </c>
      <c r="D2271" s="1" t="str">
        <f t="shared" si="427"/>
        <v>9801</v>
      </c>
      <c r="E2271" s="1" t="s">
        <v>25</v>
      </c>
      <c r="F2271" s="1" t="str">
        <f>"269465857"</f>
        <v>269465857</v>
      </c>
      <c r="G2271" s="1" t="s">
        <v>33</v>
      </c>
      <c r="H2271" s="1" t="str">
        <f t="shared" si="422"/>
        <v>20220910</v>
      </c>
      <c r="I2271" s="1" t="str">
        <f>"163557"</f>
        <v>163557</v>
      </c>
      <c r="J2271" s="1" t="s">
        <v>91</v>
      </c>
      <c r="K2271" s="1" t="s">
        <v>45</v>
      </c>
      <c r="L2271" s="1" t="str">
        <f t="shared" ref="L2271:L2305" si="430">"20220910"</f>
        <v>20220910</v>
      </c>
      <c r="M2271" s="1" t="str">
        <f>"165010"</f>
        <v>165010</v>
      </c>
      <c r="N2271" s="1" t="s">
        <v>28</v>
      </c>
      <c r="O2271" s="1" t="s">
        <v>28</v>
      </c>
      <c r="P2271" s="1" t="s">
        <v>55</v>
      </c>
      <c r="Q2271" s="1">
        <v>25</v>
      </c>
      <c r="R2271" s="1">
        <v>0</v>
      </c>
      <c r="S2271" s="1">
        <v>25</v>
      </c>
      <c r="T2271" s="1">
        <v>0</v>
      </c>
      <c r="U2271" s="1">
        <v>0</v>
      </c>
      <c r="V2271" s="1" t="str">
        <f t="shared" si="429"/>
        <v>里程返程</v>
      </c>
      <c r="W2271" s="1" t="str">
        <f>"2120"</f>
        <v>2120</v>
      </c>
      <c r="X2271" s="1" t="s">
        <v>35</v>
      </c>
    </row>
    <row r="2272" spans="1:24" x14ac:dyDescent="0.3">
      <c r="A2272" s="1" t="str">
        <f t="shared" si="426"/>
        <v>59828</v>
      </c>
      <c r="B2272" s="1" t="s">
        <v>23</v>
      </c>
      <c r="C2272" s="1" t="s">
        <v>24</v>
      </c>
      <c r="D2272" s="1" t="str">
        <f t="shared" si="427"/>
        <v>9801</v>
      </c>
      <c r="E2272" s="1" t="s">
        <v>25</v>
      </c>
      <c r="F2272" s="1" t="str">
        <f>"931601381"</f>
        <v>931601381</v>
      </c>
      <c r="G2272" s="1" t="s">
        <v>33</v>
      </c>
      <c r="H2272" s="1" t="str">
        <f t="shared" si="422"/>
        <v>20220910</v>
      </c>
      <c r="I2272" s="1" t="str">
        <f>"163803"</f>
        <v>163803</v>
      </c>
      <c r="J2272" s="1" t="s">
        <v>75</v>
      </c>
      <c r="K2272" s="1" t="s">
        <v>45</v>
      </c>
      <c r="L2272" s="1" t="str">
        <f t="shared" si="430"/>
        <v>20220910</v>
      </c>
      <c r="M2272" s="1" t="str">
        <f>"165022"</f>
        <v>165022</v>
      </c>
      <c r="N2272" s="1" t="s">
        <v>28</v>
      </c>
      <c r="O2272" s="1" t="s">
        <v>28</v>
      </c>
      <c r="P2272" s="1" t="s">
        <v>55</v>
      </c>
      <c r="Q2272" s="1">
        <v>25</v>
      </c>
      <c r="R2272" s="1">
        <v>25</v>
      </c>
      <c r="S2272" s="1">
        <v>0</v>
      </c>
      <c r="T2272" s="1">
        <v>0</v>
      </c>
      <c r="U2272" s="1">
        <v>0</v>
      </c>
      <c r="V2272" s="1" t="str">
        <f t="shared" si="429"/>
        <v>里程返程</v>
      </c>
      <c r="W2272" s="1" t="str">
        <f>"2020"</f>
        <v>2020</v>
      </c>
      <c r="X2272" s="1" t="s">
        <v>35</v>
      </c>
    </row>
    <row r="2273" spans="1:24" x14ac:dyDescent="0.3">
      <c r="A2273" s="1" t="str">
        <f t="shared" si="426"/>
        <v>59828</v>
      </c>
      <c r="B2273" s="1" t="s">
        <v>23</v>
      </c>
      <c r="C2273" s="1" t="s">
        <v>24</v>
      </c>
      <c r="D2273" s="1" t="str">
        <f t="shared" si="427"/>
        <v>9801</v>
      </c>
      <c r="E2273" s="1" t="s">
        <v>25</v>
      </c>
      <c r="F2273" s="1" t="str">
        <f>"1789433292"</f>
        <v>1789433292</v>
      </c>
      <c r="G2273" s="1" t="s">
        <v>33</v>
      </c>
      <c r="H2273" s="1" t="str">
        <f t="shared" si="422"/>
        <v>20220910</v>
      </c>
      <c r="I2273" s="1" t="str">
        <f>"163806"</f>
        <v>163806</v>
      </c>
      <c r="J2273" s="1" t="s">
        <v>75</v>
      </c>
      <c r="K2273" s="1" t="s">
        <v>45</v>
      </c>
      <c r="L2273" s="1" t="str">
        <f t="shared" si="430"/>
        <v>20220910</v>
      </c>
      <c r="M2273" s="1" t="str">
        <f>"165020"</f>
        <v>165020</v>
      </c>
      <c r="N2273" s="1" t="s">
        <v>28</v>
      </c>
      <c r="O2273" s="1" t="s">
        <v>28</v>
      </c>
      <c r="P2273" s="1" t="s">
        <v>55</v>
      </c>
      <c r="Q2273" s="1">
        <v>25</v>
      </c>
      <c r="R2273" s="1">
        <v>25</v>
      </c>
      <c r="S2273" s="1">
        <v>0</v>
      </c>
      <c r="T2273" s="1">
        <v>0</v>
      </c>
      <c r="U2273" s="1">
        <v>0</v>
      </c>
      <c r="V2273" s="1" t="str">
        <f t="shared" si="429"/>
        <v>里程返程</v>
      </c>
      <c r="W2273" s="1" t="str">
        <f>"2020"</f>
        <v>2020</v>
      </c>
      <c r="X2273" s="1" t="s">
        <v>35</v>
      </c>
    </row>
    <row r="2274" spans="1:24" x14ac:dyDescent="0.3">
      <c r="A2274" s="1" t="str">
        <f t="shared" ref="A2274:A2305" si="431">"59829"</f>
        <v>59829</v>
      </c>
      <c r="B2274" s="1" t="s">
        <v>47</v>
      </c>
      <c r="C2274" s="1" t="s">
        <v>48</v>
      </c>
      <c r="D2274" s="1" t="str">
        <f>"9805"</f>
        <v>9805</v>
      </c>
      <c r="E2274" s="1" t="s">
        <v>57</v>
      </c>
      <c r="F2274" s="1" t="str">
        <f>"52F01A03BB880400C834002000000015"</f>
        <v>52F01A03BB880400C834002000000015</v>
      </c>
      <c r="G2274" s="1" t="s">
        <v>26</v>
      </c>
      <c r="H2274" s="1" t="str">
        <f t="shared" si="422"/>
        <v>20220910</v>
      </c>
      <c r="I2274" s="1" t="str">
        <f>"104338"</f>
        <v>104338</v>
      </c>
      <c r="J2274" s="1" t="s">
        <v>28</v>
      </c>
      <c r="K2274" s="1" t="s">
        <v>28</v>
      </c>
      <c r="L2274" s="1" t="str">
        <f t="shared" si="430"/>
        <v>20220910</v>
      </c>
      <c r="M2274" s="1" t="str">
        <f>"105626"</f>
        <v>105626</v>
      </c>
      <c r="N2274" s="1" t="s">
        <v>56</v>
      </c>
      <c r="O2274" s="1" t="s">
        <v>28</v>
      </c>
      <c r="P2274" s="1" t="s">
        <v>68</v>
      </c>
      <c r="Q2274" s="1">
        <v>13</v>
      </c>
      <c r="R2274" s="1">
        <v>0</v>
      </c>
      <c r="S2274" s="1">
        <v>0</v>
      </c>
      <c r="T2274" s="1">
        <v>13</v>
      </c>
      <c r="U2274" s="1">
        <v>0</v>
      </c>
      <c r="V2274" s="1" t="str">
        <f t="shared" ref="V2274:V2294" si="432">"里程去程"</f>
        <v>里程去程</v>
      </c>
      <c r="W2274" s="1" t="str">
        <f>"0020"</f>
        <v>0020</v>
      </c>
      <c r="X2274" s="1" t="s">
        <v>29</v>
      </c>
    </row>
    <row r="2275" spans="1:24" x14ac:dyDescent="0.3">
      <c r="A2275" s="1" t="str">
        <f t="shared" si="431"/>
        <v>59829</v>
      </c>
      <c r="B2275" s="1" t="s">
        <v>47</v>
      </c>
      <c r="C2275" s="1" t="s">
        <v>48</v>
      </c>
      <c r="D2275" s="1" t="str">
        <f>"9805"</f>
        <v>9805</v>
      </c>
      <c r="E2275" s="1" t="s">
        <v>57</v>
      </c>
      <c r="F2275" s="1" t="str">
        <f>"1405852465"</f>
        <v>1405852465</v>
      </c>
      <c r="G2275" s="1" t="s">
        <v>38</v>
      </c>
      <c r="H2275" s="1" t="str">
        <f t="shared" si="422"/>
        <v>20220910</v>
      </c>
      <c r="I2275" s="1" t="str">
        <f>"104421"</f>
        <v>104421</v>
      </c>
      <c r="J2275" s="1" t="s">
        <v>28</v>
      </c>
      <c r="K2275" s="1" t="s">
        <v>28</v>
      </c>
      <c r="L2275" s="1" t="str">
        <f t="shared" si="430"/>
        <v>20220910</v>
      </c>
      <c r="M2275" s="1" t="str">
        <f>"110313"</f>
        <v>110313</v>
      </c>
      <c r="N2275" s="1" t="s">
        <v>52</v>
      </c>
      <c r="O2275" s="1" t="s">
        <v>52</v>
      </c>
      <c r="P2275" s="1" t="s">
        <v>55</v>
      </c>
      <c r="Q2275" s="1">
        <v>25</v>
      </c>
      <c r="R2275" s="1">
        <v>25</v>
      </c>
      <c r="S2275" s="1">
        <v>0</v>
      </c>
      <c r="T2275" s="1">
        <v>0</v>
      </c>
      <c r="U2275" s="1">
        <v>0</v>
      </c>
      <c r="V2275" s="1" t="str">
        <f t="shared" si="432"/>
        <v>里程去程</v>
      </c>
      <c r="W2275" s="1" t="str">
        <f>"2520"</f>
        <v>2520</v>
      </c>
      <c r="X2275" s="1" t="s">
        <v>35</v>
      </c>
    </row>
    <row r="2276" spans="1:24" x14ac:dyDescent="0.3">
      <c r="A2276" s="1" t="str">
        <f t="shared" si="431"/>
        <v>59829</v>
      </c>
      <c r="B2276" s="1" t="s">
        <v>47</v>
      </c>
      <c r="C2276" s="1" t="s">
        <v>48</v>
      </c>
      <c r="D2276" s="1" t="str">
        <f>"9805"</f>
        <v>9805</v>
      </c>
      <c r="E2276" s="1" t="s">
        <v>57</v>
      </c>
      <c r="F2276" s="1" t="str">
        <f>"1034705537"</f>
        <v>1034705537</v>
      </c>
      <c r="G2276" s="1" t="s">
        <v>38</v>
      </c>
      <c r="H2276" s="1" t="str">
        <f t="shared" ref="H2276:H2305" si="433">"20220910"</f>
        <v>20220910</v>
      </c>
      <c r="I2276" s="1" t="str">
        <f>"104504"</f>
        <v>104504</v>
      </c>
      <c r="J2276" s="1" t="s">
        <v>28</v>
      </c>
      <c r="K2276" s="1" t="s">
        <v>28</v>
      </c>
      <c r="L2276" s="1" t="str">
        <f t="shared" si="430"/>
        <v>20220910</v>
      </c>
      <c r="M2276" s="1" t="str">
        <f>"110257"</f>
        <v>110257</v>
      </c>
      <c r="N2276" s="1" t="s">
        <v>52</v>
      </c>
      <c r="O2276" s="1" t="s">
        <v>52</v>
      </c>
      <c r="P2276" s="1" t="s">
        <v>55</v>
      </c>
      <c r="Q2276" s="1">
        <v>25</v>
      </c>
      <c r="R2276" s="1">
        <v>25</v>
      </c>
      <c r="S2276" s="1">
        <v>0</v>
      </c>
      <c r="T2276" s="1">
        <v>0</v>
      </c>
      <c r="U2276" s="1">
        <v>0</v>
      </c>
      <c r="V2276" s="1" t="str">
        <f t="shared" si="432"/>
        <v>里程去程</v>
      </c>
      <c r="W2276" s="1" t="str">
        <f>"2520"</f>
        <v>2520</v>
      </c>
      <c r="X2276" s="1" t="s">
        <v>35</v>
      </c>
    </row>
    <row r="2277" spans="1:24" x14ac:dyDescent="0.3">
      <c r="A2277" s="1" t="str">
        <f t="shared" si="431"/>
        <v>59829</v>
      </c>
      <c r="B2277" s="1" t="s">
        <v>47</v>
      </c>
      <c r="C2277" s="1" t="s">
        <v>48</v>
      </c>
      <c r="D2277" s="1" t="str">
        <f>"9805"</f>
        <v>9805</v>
      </c>
      <c r="E2277" s="1" t="s">
        <v>57</v>
      </c>
      <c r="F2277" s="1" t="str">
        <f>"32780D0344880400C834002000000015"</f>
        <v>32780D0344880400C834002000000015</v>
      </c>
      <c r="G2277" s="1" t="s">
        <v>26</v>
      </c>
      <c r="H2277" s="1" t="str">
        <f t="shared" si="433"/>
        <v>20220910</v>
      </c>
      <c r="I2277" s="1" t="str">
        <f>"104655"</f>
        <v>104655</v>
      </c>
      <c r="J2277" s="1" t="s">
        <v>28</v>
      </c>
      <c r="K2277" s="1" t="s">
        <v>28</v>
      </c>
      <c r="L2277" s="1" t="str">
        <f t="shared" si="430"/>
        <v>20220910</v>
      </c>
      <c r="M2277" s="1" t="str">
        <f>"105803"</f>
        <v>105803</v>
      </c>
      <c r="N2277" s="1" t="s">
        <v>62</v>
      </c>
      <c r="O2277" s="1" t="s">
        <v>28</v>
      </c>
      <c r="P2277" s="1" t="s">
        <v>68</v>
      </c>
      <c r="Q2277" s="1">
        <v>13</v>
      </c>
      <c r="R2277" s="1">
        <v>0</v>
      </c>
      <c r="S2277" s="1">
        <v>0</v>
      </c>
      <c r="T2277" s="1">
        <v>13</v>
      </c>
      <c r="U2277" s="1">
        <v>0</v>
      </c>
      <c r="V2277" s="1" t="str">
        <f t="shared" si="432"/>
        <v>里程去程</v>
      </c>
      <c r="W2277" s="1" t="str">
        <f>"0020"</f>
        <v>0020</v>
      </c>
      <c r="X2277" s="1" t="s">
        <v>29</v>
      </c>
    </row>
    <row r="2278" spans="1:24" x14ac:dyDescent="0.3">
      <c r="A2278" s="1" t="str">
        <f t="shared" si="431"/>
        <v>59829</v>
      </c>
      <c r="B2278" s="1" t="s">
        <v>47</v>
      </c>
      <c r="C2278" s="1" t="s">
        <v>48</v>
      </c>
      <c r="D2278" s="1" t="str">
        <f t="shared" ref="D2278:D2303" si="434">"9801"</f>
        <v>9801</v>
      </c>
      <c r="E2278" s="1" t="s">
        <v>25</v>
      </c>
      <c r="F2278" s="1" t="str">
        <f>"612122529"</f>
        <v>612122529</v>
      </c>
      <c r="G2278" s="1" t="s">
        <v>33</v>
      </c>
      <c r="H2278" s="1" t="str">
        <f t="shared" si="433"/>
        <v>20220910</v>
      </c>
      <c r="I2278" s="1" t="str">
        <f>"120244"</f>
        <v>120244</v>
      </c>
      <c r="J2278" s="1" t="s">
        <v>100</v>
      </c>
      <c r="K2278" s="1" t="s">
        <v>45</v>
      </c>
      <c r="L2278" s="1" t="str">
        <f t="shared" si="430"/>
        <v>20220910</v>
      </c>
      <c r="M2278" s="1" t="str">
        <f>"120617"</f>
        <v>120617</v>
      </c>
      <c r="N2278" s="1" t="s">
        <v>44</v>
      </c>
      <c r="O2278" s="1" t="s">
        <v>45</v>
      </c>
      <c r="P2278" s="1" t="s">
        <v>55</v>
      </c>
      <c r="Q2278" s="1">
        <v>25</v>
      </c>
      <c r="R2278" s="1">
        <v>0</v>
      </c>
      <c r="S2278" s="1">
        <v>25</v>
      </c>
      <c r="T2278" s="1">
        <v>0</v>
      </c>
      <c r="U2278" s="1">
        <v>0</v>
      </c>
      <c r="V2278" s="1" t="str">
        <f t="shared" si="432"/>
        <v>里程去程</v>
      </c>
      <c r="W2278" s="1" t="str">
        <f>"2120"</f>
        <v>2120</v>
      </c>
      <c r="X2278" s="1" t="s">
        <v>35</v>
      </c>
    </row>
    <row r="2279" spans="1:24" x14ac:dyDescent="0.3">
      <c r="A2279" s="1" t="str">
        <f t="shared" si="431"/>
        <v>59829</v>
      </c>
      <c r="B2279" s="1" t="s">
        <v>47</v>
      </c>
      <c r="C2279" s="1" t="s">
        <v>48</v>
      </c>
      <c r="D2279" s="1" t="str">
        <f t="shared" si="434"/>
        <v>9801</v>
      </c>
      <c r="E2279" s="1" t="s">
        <v>25</v>
      </c>
      <c r="F2279" s="1" t="str">
        <f>"1612591253"</f>
        <v>1612591253</v>
      </c>
      <c r="G2279" s="1" t="s">
        <v>33</v>
      </c>
      <c r="H2279" s="1" t="str">
        <f t="shared" si="433"/>
        <v>20220910</v>
      </c>
      <c r="I2279" s="1" t="str">
        <f>"120245"</f>
        <v>120245</v>
      </c>
      <c r="J2279" s="1" t="s">
        <v>100</v>
      </c>
      <c r="K2279" s="1" t="s">
        <v>45</v>
      </c>
      <c r="L2279" s="1" t="str">
        <f t="shared" si="430"/>
        <v>20220910</v>
      </c>
      <c r="M2279" s="1" t="str">
        <f>"120614"</f>
        <v>120614</v>
      </c>
      <c r="N2279" s="1" t="s">
        <v>44</v>
      </c>
      <c r="O2279" s="1" t="s">
        <v>45</v>
      </c>
      <c r="P2279" s="1" t="s">
        <v>55</v>
      </c>
      <c r="Q2279" s="1">
        <v>25</v>
      </c>
      <c r="R2279" s="1">
        <v>0</v>
      </c>
      <c r="S2279" s="1">
        <v>25</v>
      </c>
      <c r="T2279" s="1">
        <v>0</v>
      </c>
      <c r="U2279" s="1">
        <v>0</v>
      </c>
      <c r="V2279" s="1" t="str">
        <f t="shared" si="432"/>
        <v>里程去程</v>
      </c>
      <c r="W2279" s="1" t="str">
        <f>"2120"</f>
        <v>2120</v>
      </c>
      <c r="X2279" s="1" t="s">
        <v>35</v>
      </c>
    </row>
    <row r="2280" spans="1:24" x14ac:dyDescent="0.3">
      <c r="A2280" s="1" t="str">
        <f t="shared" si="431"/>
        <v>59829</v>
      </c>
      <c r="B2280" s="1" t="s">
        <v>47</v>
      </c>
      <c r="C2280" s="1" t="s">
        <v>48</v>
      </c>
      <c r="D2280" s="1" t="str">
        <f t="shared" si="434"/>
        <v>9801</v>
      </c>
      <c r="E2280" s="1" t="s">
        <v>25</v>
      </c>
      <c r="F2280" s="1" t="str">
        <f>"1634461989"</f>
        <v>1634461989</v>
      </c>
      <c r="G2280" s="1" t="s">
        <v>33</v>
      </c>
      <c r="H2280" s="1" t="str">
        <f t="shared" si="433"/>
        <v>20220910</v>
      </c>
      <c r="I2280" s="1" t="str">
        <f>"120248"</f>
        <v>120248</v>
      </c>
      <c r="J2280" s="1" t="s">
        <v>100</v>
      </c>
      <c r="K2280" s="1" t="s">
        <v>45</v>
      </c>
      <c r="L2280" s="1" t="str">
        <f t="shared" si="430"/>
        <v>20220910</v>
      </c>
      <c r="M2280" s="1" t="str">
        <f>"120620"</f>
        <v>120620</v>
      </c>
      <c r="N2280" s="1" t="s">
        <v>44</v>
      </c>
      <c r="O2280" s="1" t="s">
        <v>45</v>
      </c>
      <c r="P2280" s="1" t="s">
        <v>55</v>
      </c>
      <c r="Q2280" s="1">
        <v>25</v>
      </c>
      <c r="R2280" s="1">
        <v>0</v>
      </c>
      <c r="S2280" s="1">
        <v>25</v>
      </c>
      <c r="T2280" s="1">
        <v>0</v>
      </c>
      <c r="U2280" s="1">
        <v>0</v>
      </c>
      <c r="V2280" s="1" t="str">
        <f t="shared" si="432"/>
        <v>里程去程</v>
      </c>
      <c r="W2280" s="1" t="str">
        <f>"2120"</f>
        <v>2120</v>
      </c>
      <c r="X2280" s="1" t="s">
        <v>35</v>
      </c>
    </row>
    <row r="2281" spans="1:24" x14ac:dyDescent="0.3">
      <c r="A2281" s="1" t="str">
        <f t="shared" si="431"/>
        <v>59829</v>
      </c>
      <c r="B2281" s="1" t="s">
        <v>47</v>
      </c>
      <c r="C2281" s="1" t="s">
        <v>48</v>
      </c>
      <c r="D2281" s="1" t="str">
        <f t="shared" si="434"/>
        <v>9801</v>
      </c>
      <c r="E2281" s="1" t="s">
        <v>25</v>
      </c>
      <c r="F2281" s="1" t="str">
        <f>"32780D0344880400C834002000000015"</f>
        <v>32780D0344880400C834002000000015</v>
      </c>
      <c r="G2281" s="1" t="s">
        <v>26</v>
      </c>
      <c r="H2281" s="1" t="str">
        <f t="shared" si="433"/>
        <v>20220910</v>
      </c>
      <c r="I2281" s="1" t="str">
        <f>"120655"</f>
        <v>120655</v>
      </c>
      <c r="J2281" s="1" t="s">
        <v>52</v>
      </c>
      <c r="K2281" s="1" t="s">
        <v>52</v>
      </c>
      <c r="L2281" s="1" t="str">
        <f t="shared" si="430"/>
        <v>20220910</v>
      </c>
      <c r="M2281" s="1" t="str">
        <f>"123651"</f>
        <v>123651</v>
      </c>
      <c r="N2281" s="1" t="s">
        <v>70</v>
      </c>
      <c r="O2281" s="1" t="s">
        <v>28</v>
      </c>
      <c r="P2281" s="1" t="s">
        <v>68</v>
      </c>
      <c r="Q2281" s="1">
        <v>13</v>
      </c>
      <c r="R2281" s="1">
        <v>0</v>
      </c>
      <c r="S2281" s="1">
        <v>0</v>
      </c>
      <c r="T2281" s="1">
        <v>13</v>
      </c>
      <c r="U2281" s="1">
        <v>0</v>
      </c>
      <c r="V2281" s="1" t="str">
        <f t="shared" si="432"/>
        <v>里程去程</v>
      </c>
      <c r="W2281" s="1" t="str">
        <f>"0020"</f>
        <v>0020</v>
      </c>
      <c r="X2281" s="1" t="s">
        <v>29</v>
      </c>
    </row>
    <row r="2282" spans="1:24" x14ac:dyDescent="0.3">
      <c r="A2282" s="1" t="str">
        <f t="shared" si="431"/>
        <v>59829</v>
      </c>
      <c r="B2282" s="1" t="s">
        <v>47</v>
      </c>
      <c r="C2282" s="1" t="s">
        <v>48</v>
      </c>
      <c r="D2282" s="1" t="str">
        <f t="shared" si="434"/>
        <v>9801</v>
      </c>
      <c r="E2282" s="1" t="s">
        <v>25</v>
      </c>
      <c r="F2282" s="1" t="str">
        <f>"1634396261"</f>
        <v>1634396261</v>
      </c>
      <c r="G2282" s="1" t="s">
        <v>33</v>
      </c>
      <c r="H2282" s="1" t="str">
        <f t="shared" si="433"/>
        <v>20220910</v>
      </c>
      <c r="I2282" s="1" t="str">
        <f>"123030"</f>
        <v>123030</v>
      </c>
      <c r="J2282" s="1" t="s">
        <v>83</v>
      </c>
      <c r="K2282" s="1" t="s">
        <v>52</v>
      </c>
      <c r="L2282" s="1" t="str">
        <f t="shared" si="430"/>
        <v>20220910</v>
      </c>
      <c r="M2282" s="1" t="str">
        <f>"123801"</f>
        <v>123801</v>
      </c>
      <c r="N2282" s="1" t="s">
        <v>70</v>
      </c>
      <c r="O2282" s="1" t="s">
        <v>28</v>
      </c>
      <c r="P2282" s="1" t="s">
        <v>55</v>
      </c>
      <c r="Q2282" s="1">
        <v>25</v>
      </c>
      <c r="R2282" s="1">
        <v>25</v>
      </c>
      <c r="S2282" s="1">
        <v>0</v>
      </c>
      <c r="T2282" s="1">
        <v>0</v>
      </c>
      <c r="U2282" s="1">
        <v>0</v>
      </c>
      <c r="V2282" s="1" t="str">
        <f t="shared" si="432"/>
        <v>里程去程</v>
      </c>
      <c r="W2282" s="1" t="str">
        <f>"2120"</f>
        <v>2120</v>
      </c>
      <c r="X2282" s="1" t="s">
        <v>35</v>
      </c>
    </row>
    <row r="2283" spans="1:24" x14ac:dyDescent="0.3">
      <c r="A2283" s="1" t="str">
        <f t="shared" si="431"/>
        <v>59829</v>
      </c>
      <c r="B2283" s="1" t="s">
        <v>47</v>
      </c>
      <c r="C2283" s="1" t="s">
        <v>48</v>
      </c>
      <c r="D2283" s="1" t="str">
        <f t="shared" si="434"/>
        <v>9801</v>
      </c>
      <c r="E2283" s="1" t="s">
        <v>25</v>
      </c>
      <c r="F2283" s="1" t="str">
        <f>"62790D0315880400C834002000000015"</f>
        <v>62790D0315880400C834002000000015</v>
      </c>
      <c r="G2283" s="1" t="s">
        <v>26</v>
      </c>
      <c r="H2283" s="1" t="str">
        <f t="shared" si="433"/>
        <v>20220910</v>
      </c>
      <c r="I2283" s="1" t="str">
        <f>"123034"</f>
        <v>123034</v>
      </c>
      <c r="J2283" s="1" t="s">
        <v>83</v>
      </c>
      <c r="K2283" s="1" t="s">
        <v>52</v>
      </c>
      <c r="L2283" s="1" t="str">
        <f t="shared" si="430"/>
        <v>20220910</v>
      </c>
      <c r="M2283" s="1" t="str">
        <f>"123757"</f>
        <v>123757</v>
      </c>
      <c r="N2283" s="1" t="s">
        <v>70</v>
      </c>
      <c r="O2283" s="1" t="s">
        <v>28</v>
      </c>
      <c r="P2283" s="1" t="s">
        <v>68</v>
      </c>
      <c r="Q2283" s="1">
        <v>13</v>
      </c>
      <c r="R2283" s="1">
        <v>0</v>
      </c>
      <c r="S2283" s="1">
        <v>0</v>
      </c>
      <c r="T2283" s="1">
        <v>13</v>
      </c>
      <c r="U2283" s="1">
        <v>0</v>
      </c>
      <c r="V2283" s="1" t="str">
        <f t="shared" si="432"/>
        <v>里程去程</v>
      </c>
      <c r="W2283" s="1" t="str">
        <f>"0020"</f>
        <v>0020</v>
      </c>
      <c r="X2283" s="1" t="s">
        <v>29</v>
      </c>
    </row>
    <row r="2284" spans="1:24" x14ac:dyDescent="0.3">
      <c r="A2284" s="1" t="str">
        <f t="shared" si="431"/>
        <v>59829</v>
      </c>
      <c r="B2284" s="1" t="s">
        <v>47</v>
      </c>
      <c r="C2284" s="1" t="s">
        <v>48</v>
      </c>
      <c r="D2284" s="1" t="str">
        <f t="shared" si="434"/>
        <v>9801</v>
      </c>
      <c r="E2284" s="1" t="s">
        <v>25</v>
      </c>
      <c r="F2284" s="1" t="str">
        <f>"1695105317"</f>
        <v>1695105317</v>
      </c>
      <c r="G2284" s="1" t="s">
        <v>33</v>
      </c>
      <c r="H2284" s="1" t="str">
        <f t="shared" si="433"/>
        <v>20220910</v>
      </c>
      <c r="I2284" s="1" t="str">
        <f>"123815"</f>
        <v>123815</v>
      </c>
      <c r="J2284" s="1" t="s">
        <v>27</v>
      </c>
      <c r="K2284" s="1" t="s">
        <v>28</v>
      </c>
      <c r="L2284" s="1" t="str">
        <f t="shared" si="430"/>
        <v>20220910</v>
      </c>
      <c r="M2284" s="1" t="str">
        <f>"130150"</f>
        <v>130150</v>
      </c>
      <c r="N2284" s="1" t="s">
        <v>44</v>
      </c>
      <c r="O2284" s="1" t="s">
        <v>45</v>
      </c>
      <c r="P2284" s="1" t="s">
        <v>55</v>
      </c>
      <c r="Q2284" s="1">
        <v>25</v>
      </c>
      <c r="R2284" s="1">
        <v>25</v>
      </c>
      <c r="S2284" s="1">
        <v>0</v>
      </c>
      <c r="T2284" s="1">
        <v>0</v>
      </c>
      <c r="U2284" s="1">
        <v>0</v>
      </c>
      <c r="V2284" s="1" t="str">
        <f t="shared" si="432"/>
        <v>里程去程</v>
      </c>
      <c r="W2284" s="1" t="str">
        <f>"0820"</f>
        <v>0820</v>
      </c>
      <c r="X2284" s="1" t="s">
        <v>35</v>
      </c>
    </row>
    <row r="2285" spans="1:24" x14ac:dyDescent="0.3">
      <c r="A2285" s="1" t="str">
        <f t="shared" si="431"/>
        <v>59829</v>
      </c>
      <c r="B2285" s="1" t="s">
        <v>47</v>
      </c>
      <c r="C2285" s="1" t="s">
        <v>48</v>
      </c>
      <c r="D2285" s="1" t="str">
        <f t="shared" si="434"/>
        <v>9801</v>
      </c>
      <c r="E2285" s="1" t="s">
        <v>25</v>
      </c>
      <c r="F2285" s="1" t="str">
        <f>"1737283381"</f>
        <v>1737283381</v>
      </c>
      <c r="G2285" s="1" t="s">
        <v>33</v>
      </c>
      <c r="H2285" s="1" t="str">
        <f t="shared" si="433"/>
        <v>20220910</v>
      </c>
      <c r="I2285" s="1" t="str">
        <f>"133426"</f>
        <v>133426</v>
      </c>
      <c r="J2285" s="1" t="s">
        <v>28</v>
      </c>
      <c r="K2285" s="1" t="s">
        <v>28</v>
      </c>
      <c r="L2285" s="1" t="str">
        <f t="shared" si="430"/>
        <v>20220910</v>
      </c>
      <c r="M2285" s="1" t="str">
        <f>"135724"</f>
        <v>135724</v>
      </c>
      <c r="N2285" s="1" t="s">
        <v>44</v>
      </c>
      <c r="O2285" s="1" t="s">
        <v>45</v>
      </c>
      <c r="P2285" s="1" t="s">
        <v>55</v>
      </c>
      <c r="Q2285" s="1">
        <v>25</v>
      </c>
      <c r="R2285" s="1">
        <v>25</v>
      </c>
      <c r="S2285" s="1">
        <v>0</v>
      </c>
      <c r="T2285" s="1">
        <v>0</v>
      </c>
      <c r="U2285" s="1">
        <v>0</v>
      </c>
      <c r="V2285" s="1" t="str">
        <f t="shared" si="432"/>
        <v>里程去程</v>
      </c>
      <c r="W2285" s="1" t="str">
        <f>"2020"</f>
        <v>2020</v>
      </c>
      <c r="X2285" s="1" t="s">
        <v>35</v>
      </c>
    </row>
    <row r="2286" spans="1:24" x14ac:dyDescent="0.3">
      <c r="A2286" s="1" t="str">
        <f t="shared" si="431"/>
        <v>59829</v>
      </c>
      <c r="B2286" s="1" t="s">
        <v>47</v>
      </c>
      <c r="C2286" s="1" t="s">
        <v>48</v>
      </c>
      <c r="D2286" s="1" t="str">
        <f t="shared" si="434"/>
        <v>9801</v>
      </c>
      <c r="E2286" s="1" t="s">
        <v>25</v>
      </c>
      <c r="F2286" s="1" t="str">
        <f>"63384849"</f>
        <v>63384849</v>
      </c>
      <c r="G2286" s="1" t="s">
        <v>33</v>
      </c>
      <c r="H2286" s="1" t="str">
        <f t="shared" si="433"/>
        <v>20220910</v>
      </c>
      <c r="I2286" s="1" t="str">
        <f>"133454"</f>
        <v>133454</v>
      </c>
      <c r="J2286" s="1" t="s">
        <v>28</v>
      </c>
      <c r="K2286" s="1" t="s">
        <v>28</v>
      </c>
      <c r="L2286" s="1" t="str">
        <f t="shared" si="430"/>
        <v>20220910</v>
      </c>
      <c r="M2286" s="1" t="str">
        <f>"134408"</f>
        <v>134408</v>
      </c>
      <c r="N2286" s="1" t="s">
        <v>45</v>
      </c>
      <c r="O2286" s="1" t="s">
        <v>45</v>
      </c>
      <c r="P2286" s="1" t="s">
        <v>55</v>
      </c>
      <c r="Q2286" s="1">
        <v>25</v>
      </c>
      <c r="R2286" s="1">
        <v>25</v>
      </c>
      <c r="S2286" s="1">
        <v>0</v>
      </c>
      <c r="T2286" s="1">
        <v>0</v>
      </c>
      <c r="U2286" s="1">
        <v>0</v>
      </c>
      <c r="V2286" s="1" t="str">
        <f t="shared" si="432"/>
        <v>里程去程</v>
      </c>
      <c r="W2286" s="1" t="str">
        <f>"0120"</f>
        <v>0120</v>
      </c>
      <c r="X2286" s="1" t="s">
        <v>35</v>
      </c>
    </row>
    <row r="2287" spans="1:24" x14ac:dyDescent="0.3">
      <c r="A2287" s="1" t="str">
        <f t="shared" si="431"/>
        <v>59829</v>
      </c>
      <c r="B2287" s="1" t="s">
        <v>47</v>
      </c>
      <c r="C2287" s="1" t="s">
        <v>48</v>
      </c>
      <c r="D2287" s="1" t="str">
        <f t="shared" si="434"/>
        <v>9801</v>
      </c>
      <c r="E2287" s="1" t="s">
        <v>25</v>
      </c>
      <c r="F2287" s="1" t="str">
        <f>"729EFE140628040080CEDA1449914018"</f>
        <v>729EFE140628040080CEDA1449914018</v>
      </c>
      <c r="G2287" s="1" t="s">
        <v>59</v>
      </c>
      <c r="H2287" s="1" t="str">
        <f t="shared" si="433"/>
        <v>20220910</v>
      </c>
      <c r="I2287" s="1" t="str">
        <f>"133505"</f>
        <v>133505</v>
      </c>
      <c r="J2287" s="1" t="s">
        <v>28</v>
      </c>
      <c r="K2287" s="1" t="s">
        <v>28</v>
      </c>
      <c r="L2287" s="1" t="str">
        <f t="shared" si="430"/>
        <v>20220910</v>
      </c>
      <c r="M2287" s="1" t="str">
        <f>"134404"</f>
        <v>134404</v>
      </c>
      <c r="N2287" s="1" t="s">
        <v>45</v>
      </c>
      <c r="O2287" s="1" t="s">
        <v>45</v>
      </c>
      <c r="P2287" s="1" t="s">
        <v>55</v>
      </c>
      <c r="Q2287" s="1">
        <v>25</v>
      </c>
      <c r="R2287" s="1">
        <v>25</v>
      </c>
      <c r="S2287" s="1">
        <v>0</v>
      </c>
      <c r="T2287" s="1">
        <v>0</v>
      </c>
      <c r="U2287" s="1">
        <v>0</v>
      </c>
      <c r="V2287" s="1" t="str">
        <f t="shared" si="432"/>
        <v>里程去程</v>
      </c>
      <c r="W2287" s="1" t="str">
        <f>"0020"</f>
        <v>0020</v>
      </c>
      <c r="X2287" s="1" t="s">
        <v>29</v>
      </c>
    </row>
    <row r="2288" spans="1:24" x14ac:dyDescent="0.3">
      <c r="A2288" s="1" t="str">
        <f t="shared" si="431"/>
        <v>59829</v>
      </c>
      <c r="B2288" s="1" t="s">
        <v>47</v>
      </c>
      <c r="C2288" s="1" t="s">
        <v>48</v>
      </c>
      <c r="D2288" s="1" t="str">
        <f t="shared" si="434"/>
        <v>9801</v>
      </c>
      <c r="E2288" s="1" t="s">
        <v>25</v>
      </c>
      <c r="F2288" s="1" t="str">
        <f>"F27CE6026A880400C834002000000015"</f>
        <v>F27CE6026A880400C834002000000015</v>
      </c>
      <c r="G2288" s="1" t="s">
        <v>74</v>
      </c>
      <c r="H2288" s="1" t="str">
        <f t="shared" si="433"/>
        <v>20220910</v>
      </c>
      <c r="I2288" s="1" t="str">
        <f>"150220"</f>
        <v>150220</v>
      </c>
      <c r="J2288" s="1" t="s">
        <v>52</v>
      </c>
      <c r="K2288" s="1" t="s">
        <v>52</v>
      </c>
      <c r="L2288" s="1" t="str">
        <f t="shared" si="430"/>
        <v>20220910</v>
      </c>
      <c r="M2288" s="1" t="str">
        <f>"150817"</f>
        <v>150817</v>
      </c>
      <c r="N2288" s="1" t="s">
        <v>60</v>
      </c>
      <c r="O2288" s="1" t="s">
        <v>52</v>
      </c>
      <c r="P2288" s="1" t="s">
        <v>68</v>
      </c>
      <c r="Q2288" s="1">
        <v>13</v>
      </c>
      <c r="R2288" s="1">
        <v>0</v>
      </c>
      <c r="S2288" s="1">
        <v>0</v>
      </c>
      <c r="T2288" s="1">
        <v>13</v>
      </c>
      <c r="U2288" s="1">
        <v>0</v>
      </c>
      <c r="V2288" s="1" t="str">
        <f t="shared" si="432"/>
        <v>里程去程</v>
      </c>
      <c r="W2288" s="1" t="str">
        <f>"0020"</f>
        <v>0020</v>
      </c>
      <c r="X2288" s="1" t="s">
        <v>29</v>
      </c>
    </row>
    <row r="2289" spans="1:24" x14ac:dyDescent="0.3">
      <c r="A2289" s="1" t="str">
        <f t="shared" si="431"/>
        <v>59829</v>
      </c>
      <c r="B2289" s="1" t="s">
        <v>47</v>
      </c>
      <c r="C2289" s="1" t="s">
        <v>48</v>
      </c>
      <c r="D2289" s="1" t="str">
        <f t="shared" si="434"/>
        <v>9801</v>
      </c>
      <c r="E2289" s="1" t="s">
        <v>25</v>
      </c>
      <c r="F2289" s="1" t="str">
        <f>"C2F219032A880400C834002000000015"</f>
        <v>C2F219032A880400C834002000000015</v>
      </c>
      <c r="G2289" s="1" t="s">
        <v>26</v>
      </c>
      <c r="H2289" s="1" t="str">
        <f t="shared" si="433"/>
        <v>20220910</v>
      </c>
      <c r="I2289" s="1" t="str">
        <f>"150628"</f>
        <v>150628</v>
      </c>
      <c r="J2289" s="1" t="s">
        <v>86</v>
      </c>
      <c r="K2289" s="1" t="s">
        <v>52</v>
      </c>
      <c r="L2289" s="1" t="str">
        <f t="shared" si="430"/>
        <v>20220910</v>
      </c>
      <c r="M2289" s="1" t="str">
        <f>"151122"</f>
        <v>151122</v>
      </c>
      <c r="N2289" s="1" t="s">
        <v>51</v>
      </c>
      <c r="O2289" s="1" t="s">
        <v>52</v>
      </c>
      <c r="P2289" s="1" t="s">
        <v>68</v>
      </c>
      <c r="Q2289" s="1">
        <v>13</v>
      </c>
      <c r="R2289" s="1">
        <v>0</v>
      </c>
      <c r="S2289" s="1">
        <v>0</v>
      </c>
      <c r="T2289" s="1">
        <v>13</v>
      </c>
      <c r="U2289" s="1">
        <v>0</v>
      </c>
      <c r="V2289" s="1" t="str">
        <f t="shared" si="432"/>
        <v>里程去程</v>
      </c>
      <c r="W2289" s="1" t="str">
        <f>"0020"</f>
        <v>0020</v>
      </c>
      <c r="X2289" s="1" t="s">
        <v>29</v>
      </c>
    </row>
    <row r="2290" spans="1:24" x14ac:dyDescent="0.3">
      <c r="A2290" s="1" t="str">
        <f t="shared" si="431"/>
        <v>59829</v>
      </c>
      <c r="B2290" s="1" t="s">
        <v>47</v>
      </c>
      <c r="C2290" s="1" t="s">
        <v>48</v>
      </c>
      <c r="D2290" s="1" t="str">
        <f t="shared" si="434"/>
        <v>9801</v>
      </c>
      <c r="E2290" s="1" t="s">
        <v>25</v>
      </c>
      <c r="F2290" s="1" t="str">
        <f>"82789B0061880400C801002000000015"</f>
        <v>82789B0061880400C801002000000015</v>
      </c>
      <c r="G2290" s="1" t="s">
        <v>58</v>
      </c>
      <c r="H2290" s="1" t="str">
        <f t="shared" si="433"/>
        <v>20220910</v>
      </c>
      <c r="I2290" s="1" t="str">
        <f>"163232"</f>
        <v>163232</v>
      </c>
      <c r="J2290" s="1" t="s">
        <v>27</v>
      </c>
      <c r="K2290" s="1" t="s">
        <v>28</v>
      </c>
      <c r="L2290" s="1" t="str">
        <f t="shared" si="430"/>
        <v>20220910</v>
      </c>
      <c r="M2290" s="1" t="str">
        <f>"164531"</f>
        <v>164531</v>
      </c>
      <c r="N2290" s="1" t="s">
        <v>45</v>
      </c>
      <c r="O2290" s="1" t="s">
        <v>45</v>
      </c>
      <c r="P2290" s="1" t="s">
        <v>55</v>
      </c>
      <c r="Q2290" s="1">
        <v>25</v>
      </c>
      <c r="R2290" s="1">
        <v>0</v>
      </c>
      <c r="S2290" s="1">
        <v>25</v>
      </c>
      <c r="T2290" s="1">
        <v>0</v>
      </c>
      <c r="U2290" s="1">
        <v>0</v>
      </c>
      <c r="V2290" s="1" t="str">
        <f t="shared" si="432"/>
        <v>里程去程</v>
      </c>
      <c r="W2290" s="1" t="str">
        <f>"1120"</f>
        <v>1120</v>
      </c>
      <c r="X2290" s="1" t="s">
        <v>29</v>
      </c>
    </row>
    <row r="2291" spans="1:24" x14ac:dyDescent="0.3">
      <c r="A2291" s="1" t="str">
        <f t="shared" si="431"/>
        <v>59829</v>
      </c>
      <c r="B2291" s="1" t="s">
        <v>47</v>
      </c>
      <c r="C2291" s="1" t="s">
        <v>48</v>
      </c>
      <c r="D2291" s="1" t="str">
        <f t="shared" si="434"/>
        <v>9801</v>
      </c>
      <c r="E2291" s="1" t="s">
        <v>25</v>
      </c>
      <c r="F2291" s="1" t="str">
        <f>"1270070065"</f>
        <v>1270070065</v>
      </c>
      <c r="G2291" s="1" t="s">
        <v>33</v>
      </c>
      <c r="H2291" s="1" t="str">
        <f t="shared" si="433"/>
        <v>20220910</v>
      </c>
      <c r="I2291" s="1" t="str">
        <f>"163239"</f>
        <v>163239</v>
      </c>
      <c r="J2291" s="1" t="s">
        <v>27</v>
      </c>
      <c r="K2291" s="1" t="s">
        <v>28</v>
      </c>
      <c r="L2291" s="1" t="str">
        <f t="shared" si="430"/>
        <v>20220910</v>
      </c>
      <c r="M2291" s="1" t="str">
        <f>"164533"</f>
        <v>164533</v>
      </c>
      <c r="N2291" s="1" t="s">
        <v>45</v>
      </c>
      <c r="O2291" s="1" t="s">
        <v>45</v>
      </c>
      <c r="P2291" s="1" t="s">
        <v>55</v>
      </c>
      <c r="Q2291" s="1">
        <v>25</v>
      </c>
      <c r="R2291" s="1">
        <v>25</v>
      </c>
      <c r="S2291" s="1">
        <v>0</v>
      </c>
      <c r="T2291" s="1">
        <v>0</v>
      </c>
      <c r="U2291" s="1">
        <v>0</v>
      </c>
      <c r="V2291" s="1" t="str">
        <f t="shared" si="432"/>
        <v>里程去程</v>
      </c>
      <c r="W2291" s="1" t="str">
        <f>"1420"</f>
        <v>1420</v>
      </c>
      <c r="X2291" s="1" t="s">
        <v>35</v>
      </c>
    </row>
    <row r="2292" spans="1:24" x14ac:dyDescent="0.3">
      <c r="A2292" s="1" t="str">
        <f t="shared" si="431"/>
        <v>59829</v>
      </c>
      <c r="B2292" s="1" t="s">
        <v>47</v>
      </c>
      <c r="C2292" s="1" t="s">
        <v>48</v>
      </c>
      <c r="D2292" s="1" t="str">
        <f t="shared" si="434"/>
        <v>9801</v>
      </c>
      <c r="E2292" s="1" t="s">
        <v>25</v>
      </c>
      <c r="F2292" s="1" t="str">
        <f>"C2359E167F880400C814002000000019"</f>
        <v>C2359E167F880400C814002000000019</v>
      </c>
      <c r="G2292" s="1" t="s">
        <v>82</v>
      </c>
      <c r="H2292" s="1" t="str">
        <f t="shared" si="433"/>
        <v>20220910</v>
      </c>
      <c r="I2292" s="1" t="str">
        <f>"165136"</f>
        <v>165136</v>
      </c>
      <c r="J2292" s="1" t="s">
        <v>91</v>
      </c>
      <c r="K2292" s="1" t="s">
        <v>45</v>
      </c>
      <c r="L2292" s="1" t="str">
        <f t="shared" si="430"/>
        <v>20220910</v>
      </c>
      <c r="M2292" s="1" t="str">
        <f>"165917"</f>
        <v>165917</v>
      </c>
      <c r="N2292" s="1" t="s">
        <v>44</v>
      </c>
      <c r="O2292" s="1" t="s">
        <v>45</v>
      </c>
      <c r="P2292" s="1" t="s">
        <v>55</v>
      </c>
      <c r="Q2292" s="1">
        <v>13</v>
      </c>
      <c r="R2292" s="1">
        <v>13</v>
      </c>
      <c r="S2292" s="1">
        <v>0</v>
      </c>
      <c r="T2292" s="1">
        <v>0</v>
      </c>
      <c r="U2292" s="1">
        <v>0</v>
      </c>
      <c r="V2292" s="1" t="str">
        <f t="shared" si="432"/>
        <v>里程去程</v>
      </c>
      <c r="W2292" s="1" t="str">
        <f>"0020"</f>
        <v>0020</v>
      </c>
      <c r="X2292" s="1" t="s">
        <v>29</v>
      </c>
    </row>
    <row r="2293" spans="1:24" x14ac:dyDescent="0.3">
      <c r="A2293" s="1" t="str">
        <f t="shared" si="431"/>
        <v>59829</v>
      </c>
      <c r="B2293" s="1" t="s">
        <v>47</v>
      </c>
      <c r="C2293" s="1" t="s">
        <v>48</v>
      </c>
      <c r="D2293" s="1" t="str">
        <f t="shared" si="434"/>
        <v>9801</v>
      </c>
      <c r="E2293" s="1" t="s">
        <v>25</v>
      </c>
      <c r="F2293" s="1" t="str">
        <f>"801654885"</f>
        <v>801654885</v>
      </c>
      <c r="G2293" s="1" t="s">
        <v>26</v>
      </c>
      <c r="H2293" s="1" t="str">
        <f t="shared" si="433"/>
        <v>20220910</v>
      </c>
      <c r="I2293" s="1" t="str">
        <f>"165140"</f>
        <v>165140</v>
      </c>
      <c r="J2293" s="1" t="s">
        <v>91</v>
      </c>
      <c r="K2293" s="1" t="s">
        <v>45</v>
      </c>
      <c r="L2293" s="1" t="str">
        <f t="shared" si="430"/>
        <v>20220910</v>
      </c>
      <c r="M2293" s="1" t="str">
        <f>"165915"</f>
        <v>165915</v>
      </c>
      <c r="N2293" s="1" t="s">
        <v>44</v>
      </c>
      <c r="O2293" s="1" t="s">
        <v>45</v>
      </c>
      <c r="P2293" s="1" t="s">
        <v>55</v>
      </c>
      <c r="Q2293" s="1">
        <v>13</v>
      </c>
      <c r="R2293" s="1">
        <v>13</v>
      </c>
      <c r="S2293" s="1">
        <v>0</v>
      </c>
      <c r="T2293" s="1">
        <v>0</v>
      </c>
      <c r="U2293" s="1">
        <v>0</v>
      </c>
      <c r="V2293" s="1" t="str">
        <f t="shared" si="432"/>
        <v>里程去程</v>
      </c>
      <c r="W2293" s="1" t="str">
        <f>"2020"</f>
        <v>2020</v>
      </c>
      <c r="X2293" s="1" t="s">
        <v>35</v>
      </c>
    </row>
    <row r="2294" spans="1:24" x14ac:dyDescent="0.3">
      <c r="A2294" s="1" t="str">
        <f t="shared" si="431"/>
        <v>59829</v>
      </c>
      <c r="B2294" s="1" t="s">
        <v>47</v>
      </c>
      <c r="C2294" s="1" t="s">
        <v>48</v>
      </c>
      <c r="D2294" s="1" t="str">
        <f t="shared" si="434"/>
        <v>9801</v>
      </c>
      <c r="E2294" s="1" t="s">
        <v>25</v>
      </c>
      <c r="F2294" s="1" t="str">
        <f>"943695589"</f>
        <v>943695589</v>
      </c>
      <c r="G2294" s="1" t="s">
        <v>33</v>
      </c>
      <c r="H2294" s="1" t="str">
        <f t="shared" si="433"/>
        <v>20220910</v>
      </c>
      <c r="I2294" s="1" t="str">
        <f>"165143"</f>
        <v>165143</v>
      </c>
      <c r="J2294" s="1" t="s">
        <v>91</v>
      </c>
      <c r="K2294" s="1" t="s">
        <v>45</v>
      </c>
      <c r="L2294" s="1" t="str">
        <f t="shared" si="430"/>
        <v>20220910</v>
      </c>
      <c r="M2294" s="1" t="str">
        <f>"165920"</f>
        <v>165920</v>
      </c>
      <c r="N2294" s="1" t="s">
        <v>44</v>
      </c>
      <c r="O2294" s="1" t="s">
        <v>45</v>
      </c>
      <c r="P2294" s="1" t="s">
        <v>55</v>
      </c>
      <c r="Q2294" s="1">
        <v>25</v>
      </c>
      <c r="R2294" s="1">
        <v>0</v>
      </c>
      <c r="S2294" s="1">
        <v>25</v>
      </c>
      <c r="T2294" s="1">
        <v>0</v>
      </c>
      <c r="U2294" s="1">
        <v>0</v>
      </c>
      <c r="V2294" s="1" t="str">
        <f t="shared" si="432"/>
        <v>里程去程</v>
      </c>
      <c r="W2294" s="1" t="str">
        <f>"2120"</f>
        <v>2120</v>
      </c>
      <c r="X2294" s="1" t="s">
        <v>35</v>
      </c>
    </row>
    <row r="2295" spans="1:24" x14ac:dyDescent="0.3">
      <c r="A2295" s="1" t="str">
        <f t="shared" si="431"/>
        <v>59829</v>
      </c>
      <c r="B2295" s="1" t="s">
        <v>47</v>
      </c>
      <c r="C2295" s="1" t="s">
        <v>48</v>
      </c>
      <c r="D2295" s="1" t="str">
        <f t="shared" si="434"/>
        <v>9801</v>
      </c>
      <c r="E2295" s="1" t="s">
        <v>25</v>
      </c>
      <c r="F2295" s="1" t="str">
        <f>"1737283381"</f>
        <v>1737283381</v>
      </c>
      <c r="G2295" s="1" t="s">
        <v>33</v>
      </c>
      <c r="H2295" s="1" t="str">
        <f t="shared" si="433"/>
        <v>20220910</v>
      </c>
      <c r="I2295" s="1" t="str">
        <f>"172522"</f>
        <v>172522</v>
      </c>
      <c r="J2295" s="1" t="s">
        <v>44</v>
      </c>
      <c r="K2295" s="1" t="s">
        <v>45</v>
      </c>
      <c r="L2295" s="1" t="str">
        <f t="shared" si="430"/>
        <v>20220910</v>
      </c>
      <c r="M2295" s="1" t="str">
        <f>"175209"</f>
        <v>175209</v>
      </c>
      <c r="N2295" s="1" t="s">
        <v>28</v>
      </c>
      <c r="O2295" s="1" t="s">
        <v>28</v>
      </c>
      <c r="P2295" s="1" t="s">
        <v>55</v>
      </c>
      <c r="Q2295" s="1">
        <v>25</v>
      </c>
      <c r="R2295" s="1">
        <v>25</v>
      </c>
      <c r="S2295" s="1">
        <v>0</v>
      </c>
      <c r="T2295" s="1">
        <v>0</v>
      </c>
      <c r="U2295" s="1">
        <v>0</v>
      </c>
      <c r="V2295" s="1" t="str">
        <f>"里程返程"</f>
        <v>里程返程</v>
      </c>
      <c r="W2295" s="1" t="str">
        <f>"2020"</f>
        <v>2020</v>
      </c>
      <c r="X2295" s="1" t="s">
        <v>35</v>
      </c>
    </row>
    <row r="2296" spans="1:24" x14ac:dyDescent="0.3">
      <c r="A2296" s="1" t="str">
        <f t="shared" si="431"/>
        <v>59829</v>
      </c>
      <c r="B2296" s="1" t="s">
        <v>47</v>
      </c>
      <c r="C2296" s="1" t="s">
        <v>48</v>
      </c>
      <c r="D2296" s="1" t="str">
        <f t="shared" si="434"/>
        <v>9801</v>
      </c>
      <c r="E2296" s="1" t="s">
        <v>25</v>
      </c>
      <c r="F2296" s="1" t="str">
        <f>"943695589"</f>
        <v>943695589</v>
      </c>
      <c r="G2296" s="1" t="s">
        <v>33</v>
      </c>
      <c r="H2296" s="1" t="str">
        <f t="shared" si="433"/>
        <v>20220910</v>
      </c>
      <c r="I2296" s="1" t="str">
        <f>"182822"</f>
        <v>182822</v>
      </c>
      <c r="J2296" s="1" t="s">
        <v>44</v>
      </c>
      <c r="K2296" s="1" t="s">
        <v>45</v>
      </c>
      <c r="L2296" s="1" t="str">
        <f t="shared" si="430"/>
        <v>20220910</v>
      </c>
      <c r="M2296" s="1" t="str">
        <f>"185316"</f>
        <v>185316</v>
      </c>
      <c r="N2296" s="1" t="s">
        <v>28</v>
      </c>
      <c r="O2296" s="1" t="s">
        <v>28</v>
      </c>
      <c r="P2296" s="1" t="s">
        <v>55</v>
      </c>
      <c r="Q2296" s="1">
        <v>25</v>
      </c>
      <c r="R2296" s="1">
        <v>25</v>
      </c>
      <c r="S2296" s="1">
        <v>0</v>
      </c>
      <c r="T2296" s="1">
        <v>0</v>
      </c>
      <c r="U2296" s="1">
        <v>0</v>
      </c>
      <c r="V2296" s="1" t="str">
        <f>"里程返程"</f>
        <v>里程返程</v>
      </c>
      <c r="W2296" s="1" t="str">
        <f>"2020"</f>
        <v>2020</v>
      </c>
      <c r="X2296" s="1" t="s">
        <v>35</v>
      </c>
    </row>
    <row r="2297" spans="1:24" x14ac:dyDescent="0.3">
      <c r="A2297" s="1" t="str">
        <f t="shared" si="431"/>
        <v>59829</v>
      </c>
      <c r="B2297" s="1" t="s">
        <v>47</v>
      </c>
      <c r="C2297" s="1" t="s">
        <v>48</v>
      </c>
      <c r="D2297" s="1" t="str">
        <f t="shared" si="434"/>
        <v>9801</v>
      </c>
      <c r="E2297" s="1" t="s">
        <v>25</v>
      </c>
      <c r="F2297" s="1" t="str">
        <f>"985824849"</f>
        <v>985824849</v>
      </c>
      <c r="G2297" s="1" t="s">
        <v>33</v>
      </c>
      <c r="H2297" s="1" t="str">
        <f t="shared" si="433"/>
        <v>20220910</v>
      </c>
      <c r="I2297" s="1" t="str">
        <f>"183641"</f>
        <v>183641</v>
      </c>
      <c r="J2297" s="1" t="s">
        <v>91</v>
      </c>
      <c r="K2297" s="1" t="s">
        <v>45</v>
      </c>
      <c r="L2297" s="1" t="str">
        <f t="shared" si="430"/>
        <v>20220910</v>
      </c>
      <c r="M2297" s="1" t="str">
        <f>"191142"</f>
        <v>191142</v>
      </c>
      <c r="N2297" s="1" t="s">
        <v>65</v>
      </c>
      <c r="O2297" s="1" t="s">
        <v>52</v>
      </c>
      <c r="P2297" s="1" t="s">
        <v>55</v>
      </c>
      <c r="Q2297" s="1">
        <v>50</v>
      </c>
      <c r="R2297" s="1">
        <v>50</v>
      </c>
      <c r="S2297" s="1">
        <v>0</v>
      </c>
      <c r="T2297" s="1">
        <v>0</v>
      </c>
      <c r="U2297" s="1">
        <v>0</v>
      </c>
      <c r="V2297" s="1" t="str">
        <f>"里程返程"</f>
        <v>里程返程</v>
      </c>
      <c r="W2297" s="1" t="str">
        <f>"2020"</f>
        <v>2020</v>
      </c>
      <c r="X2297" s="1" t="s">
        <v>35</v>
      </c>
    </row>
    <row r="2298" spans="1:24" x14ac:dyDescent="0.3">
      <c r="A2298" s="1" t="str">
        <f t="shared" si="431"/>
        <v>59829</v>
      </c>
      <c r="B2298" s="1" t="s">
        <v>47</v>
      </c>
      <c r="C2298" s="1" t="s">
        <v>48</v>
      </c>
      <c r="D2298" s="1" t="str">
        <f t="shared" si="434"/>
        <v>9801</v>
      </c>
      <c r="E2298" s="1" t="s">
        <v>25</v>
      </c>
      <c r="F2298" s="1" t="str">
        <f>"107026497"</f>
        <v>107026497</v>
      </c>
      <c r="G2298" s="1" t="s">
        <v>74</v>
      </c>
      <c r="H2298" s="1" t="str">
        <f t="shared" si="433"/>
        <v>20220910</v>
      </c>
      <c r="I2298" s="1" t="str">
        <f>"183643"</f>
        <v>183643</v>
      </c>
      <c r="J2298" s="1" t="s">
        <v>91</v>
      </c>
      <c r="K2298" s="1" t="s">
        <v>45</v>
      </c>
      <c r="L2298" s="1" t="str">
        <f t="shared" si="430"/>
        <v>20220910</v>
      </c>
      <c r="M2298" s="1" t="str">
        <f>"191150"</f>
        <v>191150</v>
      </c>
      <c r="N2298" s="1" t="s">
        <v>65</v>
      </c>
      <c r="O2298" s="1" t="s">
        <v>52</v>
      </c>
      <c r="P2298" s="1" t="s">
        <v>55</v>
      </c>
      <c r="Q2298" s="1">
        <v>25</v>
      </c>
      <c r="R2298" s="1">
        <v>25</v>
      </c>
      <c r="S2298" s="1">
        <v>0</v>
      </c>
      <c r="T2298" s="1">
        <v>0</v>
      </c>
      <c r="U2298" s="1">
        <v>0</v>
      </c>
      <c r="V2298" s="1" t="str">
        <f>"里程返程"</f>
        <v>里程返程</v>
      </c>
      <c r="W2298" s="1" t="str">
        <f>"2020"</f>
        <v>2020</v>
      </c>
      <c r="X2298" s="1" t="s">
        <v>35</v>
      </c>
    </row>
    <row r="2299" spans="1:24" x14ac:dyDescent="0.3">
      <c r="A2299" s="1" t="str">
        <f t="shared" si="431"/>
        <v>59829</v>
      </c>
      <c r="B2299" s="1" t="s">
        <v>47</v>
      </c>
      <c r="C2299" s="1" t="s">
        <v>48</v>
      </c>
      <c r="D2299" s="1" t="str">
        <f t="shared" si="434"/>
        <v>9801</v>
      </c>
      <c r="E2299" s="1" t="s">
        <v>25</v>
      </c>
      <c r="F2299" s="1" t="str">
        <f>"1076855893"</f>
        <v>1076855893</v>
      </c>
      <c r="G2299" s="1" t="s">
        <v>33</v>
      </c>
      <c r="H2299" s="1" t="str">
        <f t="shared" si="433"/>
        <v>20220910</v>
      </c>
      <c r="I2299" s="1" t="str">
        <f>"195623"</f>
        <v>195623</v>
      </c>
      <c r="J2299" s="1" t="s">
        <v>52</v>
      </c>
      <c r="K2299" s="1" t="s">
        <v>52</v>
      </c>
      <c r="L2299" s="1" t="str">
        <f t="shared" si="430"/>
        <v>20220910</v>
      </c>
      <c r="M2299" s="1" t="str">
        <f>"202502"</f>
        <v>202502</v>
      </c>
      <c r="N2299" s="1" t="s">
        <v>83</v>
      </c>
      <c r="O2299" s="1" t="s">
        <v>52</v>
      </c>
      <c r="P2299" s="1" t="s">
        <v>55</v>
      </c>
      <c r="Q2299" s="1">
        <v>25</v>
      </c>
      <c r="R2299" s="1">
        <v>0</v>
      </c>
      <c r="S2299" s="1">
        <v>25</v>
      </c>
      <c r="T2299" s="1">
        <v>0</v>
      </c>
      <c r="U2299" s="1">
        <v>0</v>
      </c>
      <c r="V2299" s="1" t="str">
        <f>"里程去程"</f>
        <v>里程去程</v>
      </c>
      <c r="W2299" s="1" t="str">
        <f>"2120"</f>
        <v>2120</v>
      </c>
      <c r="X2299" s="1" t="s">
        <v>35</v>
      </c>
    </row>
    <row r="2300" spans="1:24" x14ac:dyDescent="0.3">
      <c r="A2300" s="1" t="str">
        <f t="shared" si="431"/>
        <v>59829</v>
      </c>
      <c r="B2300" s="1" t="s">
        <v>47</v>
      </c>
      <c r="C2300" s="1" t="s">
        <v>48</v>
      </c>
      <c r="D2300" s="1" t="str">
        <f t="shared" si="434"/>
        <v>9801</v>
      </c>
      <c r="E2300" s="1" t="s">
        <v>25</v>
      </c>
      <c r="F2300" s="1" t="str">
        <f>"1069836597"</f>
        <v>1069836597</v>
      </c>
      <c r="G2300" s="1" t="s">
        <v>33</v>
      </c>
      <c r="H2300" s="1" t="str">
        <f t="shared" si="433"/>
        <v>20220910</v>
      </c>
      <c r="I2300" s="1" t="str">
        <f>"195640"</f>
        <v>195640</v>
      </c>
      <c r="J2300" s="1" t="s">
        <v>52</v>
      </c>
      <c r="K2300" s="1" t="s">
        <v>52</v>
      </c>
      <c r="L2300" s="1" t="str">
        <f t="shared" si="430"/>
        <v>20220910</v>
      </c>
      <c r="M2300" s="1" t="str">
        <f>"202510"</f>
        <v>202510</v>
      </c>
      <c r="N2300" s="1" t="s">
        <v>83</v>
      </c>
      <c r="O2300" s="1" t="s">
        <v>52</v>
      </c>
      <c r="P2300" s="1" t="s">
        <v>55</v>
      </c>
      <c r="Q2300" s="1">
        <v>25</v>
      </c>
      <c r="R2300" s="1">
        <v>0</v>
      </c>
      <c r="S2300" s="1">
        <v>25</v>
      </c>
      <c r="T2300" s="1">
        <v>0</v>
      </c>
      <c r="U2300" s="1">
        <v>0</v>
      </c>
      <c r="V2300" s="1" t="str">
        <f>"里程去程"</f>
        <v>里程去程</v>
      </c>
      <c r="W2300" s="1" t="str">
        <f>"2120"</f>
        <v>2120</v>
      </c>
      <c r="X2300" s="1" t="s">
        <v>35</v>
      </c>
    </row>
    <row r="2301" spans="1:24" x14ac:dyDescent="0.3">
      <c r="A2301" s="1" t="str">
        <f t="shared" si="431"/>
        <v>59829</v>
      </c>
      <c r="B2301" s="1" t="s">
        <v>47</v>
      </c>
      <c r="C2301" s="1" t="s">
        <v>48</v>
      </c>
      <c r="D2301" s="1" t="str">
        <f t="shared" si="434"/>
        <v>9801</v>
      </c>
      <c r="E2301" s="1" t="s">
        <v>25</v>
      </c>
      <c r="F2301" s="1" t="str">
        <f>"81C3140F59280400F700000000000000"</f>
        <v>81C3140F59280400F700000000000000</v>
      </c>
      <c r="G2301" s="1" t="s">
        <v>58</v>
      </c>
      <c r="H2301" s="1" t="str">
        <f t="shared" si="433"/>
        <v>20220910</v>
      </c>
      <c r="I2301" s="1" t="str">
        <f>"201244"</f>
        <v>201244</v>
      </c>
      <c r="J2301" s="1" t="s">
        <v>72</v>
      </c>
      <c r="K2301" s="1" t="s">
        <v>52</v>
      </c>
      <c r="L2301" s="1" t="str">
        <f t="shared" si="430"/>
        <v>20220910</v>
      </c>
      <c r="M2301" s="1" t="str">
        <f>"202956"</f>
        <v>202956</v>
      </c>
      <c r="N2301" s="1" t="s">
        <v>70</v>
      </c>
      <c r="O2301" s="1" t="s">
        <v>28</v>
      </c>
      <c r="P2301" s="1" t="s">
        <v>55</v>
      </c>
      <c r="Q2301" s="1">
        <v>25</v>
      </c>
      <c r="R2301" s="1">
        <v>25</v>
      </c>
      <c r="S2301" s="1">
        <v>0</v>
      </c>
      <c r="T2301" s="1">
        <v>0</v>
      </c>
      <c r="U2301" s="1">
        <v>0</v>
      </c>
      <c r="V2301" s="1" t="str">
        <f>"里程去程"</f>
        <v>里程去程</v>
      </c>
      <c r="W2301" s="1" t="str">
        <f>"0020"</f>
        <v>0020</v>
      </c>
      <c r="X2301" s="1" t="s">
        <v>29</v>
      </c>
    </row>
    <row r="2302" spans="1:24" x14ac:dyDescent="0.3">
      <c r="A2302" s="1" t="str">
        <f t="shared" si="431"/>
        <v>59829</v>
      </c>
      <c r="B2302" s="1" t="s">
        <v>47</v>
      </c>
      <c r="C2302" s="1" t="s">
        <v>48</v>
      </c>
      <c r="D2302" s="1" t="str">
        <f t="shared" si="434"/>
        <v>9801</v>
      </c>
      <c r="E2302" s="1" t="s">
        <v>25</v>
      </c>
      <c r="F2302" s="1" t="str">
        <f>"1821966757"</f>
        <v>1821966757</v>
      </c>
      <c r="G2302" s="1" t="s">
        <v>33</v>
      </c>
      <c r="H2302" s="1" t="str">
        <f t="shared" si="433"/>
        <v>20220910</v>
      </c>
      <c r="I2302" s="1" t="str">
        <f>"201247"</f>
        <v>201247</v>
      </c>
      <c r="J2302" s="1" t="s">
        <v>72</v>
      </c>
      <c r="K2302" s="1" t="s">
        <v>52</v>
      </c>
      <c r="L2302" s="1" t="str">
        <f t="shared" si="430"/>
        <v>20220910</v>
      </c>
      <c r="M2302" s="1" t="str">
        <f>"202954"</f>
        <v>202954</v>
      </c>
      <c r="N2302" s="1" t="s">
        <v>70</v>
      </c>
      <c r="O2302" s="1" t="s">
        <v>28</v>
      </c>
      <c r="P2302" s="1" t="s">
        <v>55</v>
      </c>
      <c r="Q2302" s="1">
        <v>25</v>
      </c>
      <c r="R2302" s="1">
        <v>25</v>
      </c>
      <c r="S2302" s="1">
        <v>0</v>
      </c>
      <c r="T2302" s="1">
        <v>0</v>
      </c>
      <c r="U2302" s="1">
        <v>0</v>
      </c>
      <c r="V2302" s="1" t="str">
        <f>"里程去程"</f>
        <v>里程去程</v>
      </c>
      <c r="W2302" s="1" t="str">
        <f>"1920"</f>
        <v>1920</v>
      </c>
      <c r="X2302" s="1" t="s">
        <v>35</v>
      </c>
    </row>
    <row r="2303" spans="1:24" x14ac:dyDescent="0.3">
      <c r="A2303" s="1" t="str">
        <f t="shared" si="431"/>
        <v>59829</v>
      </c>
      <c r="B2303" s="1" t="s">
        <v>47</v>
      </c>
      <c r="C2303" s="1" t="s">
        <v>48</v>
      </c>
      <c r="D2303" s="1" t="str">
        <f t="shared" si="434"/>
        <v>9801</v>
      </c>
      <c r="E2303" s="1" t="s">
        <v>25</v>
      </c>
      <c r="F2303" s="1" t="str">
        <f>"2710043119"</f>
        <v>2710043119</v>
      </c>
      <c r="G2303" s="1" t="s">
        <v>33</v>
      </c>
      <c r="H2303" s="1" t="str">
        <f t="shared" si="433"/>
        <v>20220910</v>
      </c>
      <c r="I2303" s="1" t="str">
        <f>"203132"</f>
        <v>203132</v>
      </c>
      <c r="J2303" s="1" t="s">
        <v>27</v>
      </c>
      <c r="K2303" s="1" t="s">
        <v>28</v>
      </c>
      <c r="L2303" s="1" t="str">
        <f t="shared" si="430"/>
        <v>20220910</v>
      </c>
      <c r="M2303" s="1" t="str">
        <f>"205549"</f>
        <v>205549</v>
      </c>
      <c r="N2303" s="1" t="s">
        <v>44</v>
      </c>
      <c r="O2303" s="1" t="s">
        <v>45</v>
      </c>
      <c r="P2303" s="1" t="s">
        <v>55</v>
      </c>
      <c r="Q2303" s="1">
        <v>25</v>
      </c>
      <c r="R2303" s="1">
        <v>0</v>
      </c>
      <c r="S2303" s="1">
        <v>25</v>
      </c>
      <c r="T2303" s="1">
        <v>0</v>
      </c>
      <c r="U2303" s="1">
        <v>0</v>
      </c>
      <c r="V2303" s="1" t="str">
        <f>"里程去程"</f>
        <v>里程去程</v>
      </c>
      <c r="W2303" s="1" t="str">
        <f>"2120"</f>
        <v>2120</v>
      </c>
      <c r="X2303" s="1" t="s">
        <v>35</v>
      </c>
    </row>
    <row r="2304" spans="1:24" x14ac:dyDescent="0.3">
      <c r="A2304" s="1" t="str">
        <f t="shared" si="431"/>
        <v>59829</v>
      </c>
      <c r="B2304" s="1" t="s">
        <v>47</v>
      </c>
      <c r="C2304" s="1" t="s">
        <v>48</v>
      </c>
      <c r="D2304" s="1" t="str">
        <f>"9805"</f>
        <v>9805</v>
      </c>
      <c r="E2304" s="1" t="s">
        <v>57</v>
      </c>
      <c r="F2304" s="1" t="str">
        <f>"266532176"</f>
        <v>266532176</v>
      </c>
      <c r="G2304" s="1" t="s">
        <v>33</v>
      </c>
      <c r="H2304" s="1" t="str">
        <f t="shared" si="433"/>
        <v>20220910</v>
      </c>
      <c r="I2304" s="1" t="str">
        <f>"205636"</f>
        <v>205636</v>
      </c>
      <c r="J2304" s="1" t="s">
        <v>52</v>
      </c>
      <c r="K2304" s="1" t="s">
        <v>52</v>
      </c>
      <c r="L2304" s="1" t="str">
        <f t="shared" si="430"/>
        <v>20220910</v>
      </c>
      <c r="M2304" s="1" t="str">
        <f>"211709"</f>
        <v>211709</v>
      </c>
      <c r="N2304" s="1" t="s">
        <v>28</v>
      </c>
      <c r="O2304" s="1" t="s">
        <v>28</v>
      </c>
      <c r="P2304" s="1" t="s">
        <v>55</v>
      </c>
      <c r="Q2304" s="1">
        <v>25</v>
      </c>
      <c r="R2304" s="1">
        <v>25</v>
      </c>
      <c r="S2304" s="1">
        <v>0</v>
      </c>
      <c r="T2304" s="1">
        <v>0</v>
      </c>
      <c r="U2304" s="1">
        <v>0</v>
      </c>
      <c r="V2304" s="1" t="str">
        <f>"里程返程"</f>
        <v>里程返程</v>
      </c>
      <c r="W2304" s="1" t="str">
        <f>"2120"</f>
        <v>2120</v>
      </c>
      <c r="X2304" s="1" t="s">
        <v>35</v>
      </c>
    </row>
    <row r="2305" spans="1:24" x14ac:dyDescent="0.3">
      <c r="A2305" s="1" t="str">
        <f t="shared" si="431"/>
        <v>59829</v>
      </c>
      <c r="B2305" s="1" t="s">
        <v>47</v>
      </c>
      <c r="C2305" s="1" t="s">
        <v>48</v>
      </c>
      <c r="D2305" s="1" t="str">
        <f>"9805"</f>
        <v>9805</v>
      </c>
      <c r="E2305" s="1" t="s">
        <v>57</v>
      </c>
      <c r="F2305" s="1" t="str">
        <f>"68806805"</f>
        <v>68806805</v>
      </c>
      <c r="G2305" s="1" t="s">
        <v>33</v>
      </c>
      <c r="H2305" s="1" t="str">
        <f t="shared" si="433"/>
        <v>20220910</v>
      </c>
      <c r="I2305" s="1" t="str">
        <f>"205641"</f>
        <v>205641</v>
      </c>
      <c r="J2305" s="1" t="s">
        <v>52</v>
      </c>
      <c r="K2305" s="1" t="s">
        <v>52</v>
      </c>
      <c r="L2305" s="1" t="str">
        <f t="shared" si="430"/>
        <v>20220910</v>
      </c>
      <c r="M2305" s="1" t="str">
        <f>"211658"</f>
        <v>211658</v>
      </c>
      <c r="N2305" s="1" t="s">
        <v>28</v>
      </c>
      <c r="O2305" s="1" t="s">
        <v>28</v>
      </c>
      <c r="P2305" s="1" t="s">
        <v>55</v>
      </c>
      <c r="Q2305" s="1">
        <v>25</v>
      </c>
      <c r="R2305" s="1">
        <v>25</v>
      </c>
      <c r="S2305" s="1">
        <v>0</v>
      </c>
      <c r="T2305" s="1">
        <v>0</v>
      </c>
      <c r="U2305" s="1">
        <v>0</v>
      </c>
      <c r="V2305" s="1" t="str">
        <f>"里程返程"</f>
        <v>里程返程</v>
      </c>
      <c r="W2305" s="1" t="str">
        <f>"2120"</f>
        <v>2120</v>
      </c>
      <c r="X2305" s="1" t="s">
        <v>35</v>
      </c>
    </row>
    <row r="2306" spans="1:24" x14ac:dyDescent="0.3">
      <c r="A2306" s="1" t="str">
        <f t="shared" ref="A2306:A2337" si="435">"59809"</f>
        <v>59809</v>
      </c>
      <c r="B2306" s="1" t="s">
        <v>42</v>
      </c>
      <c r="C2306" s="1" t="s">
        <v>43</v>
      </c>
      <c r="D2306" s="1" t="str">
        <f>"9805"</f>
        <v>9805</v>
      </c>
      <c r="E2306" s="1" t="s">
        <v>57</v>
      </c>
      <c r="F2306" s="1" t="str">
        <f>"886055601"</f>
        <v>886055601</v>
      </c>
      <c r="G2306" s="1" t="s">
        <v>33</v>
      </c>
      <c r="H2306" s="1" t="str">
        <f t="shared" ref="H2306:H2369" si="436">"20220911"</f>
        <v>20220911</v>
      </c>
      <c r="I2306" s="1" t="str">
        <f>"103405"</f>
        <v>103405</v>
      </c>
      <c r="J2306" s="1" t="s">
        <v>28</v>
      </c>
      <c r="K2306" s="1" t="s">
        <v>28</v>
      </c>
      <c r="L2306" s="1" t="str">
        <f t="shared" ref="L2306:L2337" si="437">"20220911"</f>
        <v>20220911</v>
      </c>
      <c r="M2306" s="1" t="str">
        <f>"105459"</f>
        <v>105459</v>
      </c>
      <c r="N2306" s="1" t="s">
        <v>52</v>
      </c>
      <c r="O2306" s="1" t="s">
        <v>52</v>
      </c>
      <c r="P2306" s="1" t="s">
        <v>55</v>
      </c>
      <c r="Q2306" s="1">
        <v>25</v>
      </c>
      <c r="R2306" s="1">
        <v>0</v>
      </c>
      <c r="S2306" s="1">
        <v>25</v>
      </c>
      <c r="T2306" s="1">
        <v>0</v>
      </c>
      <c r="U2306" s="1">
        <v>0</v>
      </c>
      <c r="V2306" s="1" t="str">
        <f t="shared" ref="V2306:V2331" si="438">"里程去程"</f>
        <v>里程去程</v>
      </c>
      <c r="W2306" s="1" t="str">
        <f>"2120"</f>
        <v>2120</v>
      </c>
      <c r="X2306" s="1" t="s">
        <v>35</v>
      </c>
    </row>
    <row r="2307" spans="1:24" x14ac:dyDescent="0.3">
      <c r="A2307" s="1" t="str">
        <f t="shared" si="435"/>
        <v>59809</v>
      </c>
      <c r="B2307" s="1" t="s">
        <v>42</v>
      </c>
      <c r="C2307" s="1" t="s">
        <v>43</v>
      </c>
      <c r="D2307" s="1" t="str">
        <f>"9805"</f>
        <v>9805</v>
      </c>
      <c r="E2307" s="1" t="s">
        <v>57</v>
      </c>
      <c r="F2307" s="1" t="str">
        <f>"1819859284"</f>
        <v>1819859284</v>
      </c>
      <c r="G2307" s="1" t="s">
        <v>33</v>
      </c>
      <c r="H2307" s="1" t="str">
        <f t="shared" si="436"/>
        <v>20220911</v>
      </c>
      <c r="I2307" s="1" t="str">
        <f>"104756"</f>
        <v>104756</v>
      </c>
      <c r="J2307" s="1" t="s">
        <v>79</v>
      </c>
      <c r="K2307" s="1" t="s">
        <v>28</v>
      </c>
      <c r="L2307" s="1" t="str">
        <f t="shared" si="437"/>
        <v>20220911</v>
      </c>
      <c r="M2307" s="1" t="str">
        <f>"104842"</f>
        <v>104842</v>
      </c>
      <c r="N2307" s="1" t="s">
        <v>46</v>
      </c>
      <c r="O2307" s="1" t="s">
        <v>28</v>
      </c>
      <c r="P2307" s="1" t="s">
        <v>55</v>
      </c>
      <c r="Q2307" s="1">
        <v>25</v>
      </c>
      <c r="R2307" s="1">
        <v>25</v>
      </c>
      <c r="S2307" s="1">
        <v>0</v>
      </c>
      <c r="T2307" s="1">
        <v>0</v>
      </c>
      <c r="U2307" s="1">
        <v>0</v>
      </c>
      <c r="V2307" s="1" t="str">
        <f t="shared" si="438"/>
        <v>里程去程</v>
      </c>
      <c r="W2307" s="1" t="str">
        <f>"0820"</f>
        <v>0820</v>
      </c>
      <c r="X2307" s="1" t="s">
        <v>35</v>
      </c>
    </row>
    <row r="2308" spans="1:24" x14ac:dyDescent="0.3">
      <c r="A2308" s="1" t="str">
        <f t="shared" si="435"/>
        <v>59809</v>
      </c>
      <c r="B2308" s="1" t="s">
        <v>42</v>
      </c>
      <c r="C2308" s="1" t="s">
        <v>43</v>
      </c>
      <c r="D2308" s="1" t="str">
        <f t="shared" ref="D2308:D2349" si="439">"9801"</f>
        <v>9801</v>
      </c>
      <c r="E2308" s="1" t="s">
        <v>25</v>
      </c>
      <c r="F2308" s="1" t="str">
        <f>"1868372705"</f>
        <v>1868372705</v>
      </c>
      <c r="G2308" s="1" t="s">
        <v>33</v>
      </c>
      <c r="H2308" s="1" t="str">
        <f t="shared" si="436"/>
        <v>20220911</v>
      </c>
      <c r="I2308" s="1" t="str">
        <f>"111239"</f>
        <v>111239</v>
      </c>
      <c r="J2308" s="1" t="s">
        <v>65</v>
      </c>
      <c r="K2308" s="1" t="s">
        <v>52</v>
      </c>
      <c r="L2308" s="1" t="str">
        <f t="shared" si="437"/>
        <v>20220911</v>
      </c>
      <c r="M2308" s="1" t="str">
        <f>"113102"</f>
        <v>113102</v>
      </c>
      <c r="N2308" s="1" t="s">
        <v>70</v>
      </c>
      <c r="O2308" s="1" t="s">
        <v>28</v>
      </c>
      <c r="P2308" s="1" t="s">
        <v>55</v>
      </c>
      <c r="Q2308" s="1">
        <v>25</v>
      </c>
      <c r="R2308" s="1">
        <v>25</v>
      </c>
      <c r="S2308" s="1">
        <v>0</v>
      </c>
      <c r="T2308" s="1">
        <v>0</v>
      </c>
      <c r="U2308" s="1">
        <v>0</v>
      </c>
      <c r="V2308" s="1" t="str">
        <f t="shared" si="438"/>
        <v>里程去程</v>
      </c>
      <c r="W2308" s="1" t="str">
        <f>"0120"</f>
        <v>0120</v>
      </c>
      <c r="X2308" s="1" t="s">
        <v>35</v>
      </c>
    </row>
    <row r="2309" spans="1:24" x14ac:dyDescent="0.3">
      <c r="A2309" s="1" t="str">
        <f t="shared" si="435"/>
        <v>59809</v>
      </c>
      <c r="B2309" s="1" t="s">
        <v>42</v>
      </c>
      <c r="C2309" s="1" t="s">
        <v>43</v>
      </c>
      <c r="D2309" s="1" t="str">
        <f t="shared" si="439"/>
        <v>9801</v>
      </c>
      <c r="E2309" s="1" t="s">
        <v>25</v>
      </c>
      <c r="F2309" s="1" t="str">
        <f>"432884369"</f>
        <v>432884369</v>
      </c>
      <c r="G2309" s="1" t="s">
        <v>33</v>
      </c>
      <c r="H2309" s="1" t="str">
        <f t="shared" si="436"/>
        <v>20220911</v>
      </c>
      <c r="I2309" s="1" t="str">
        <f>"111246"</f>
        <v>111246</v>
      </c>
      <c r="J2309" s="1" t="s">
        <v>65</v>
      </c>
      <c r="K2309" s="1" t="s">
        <v>52</v>
      </c>
      <c r="L2309" s="1" t="str">
        <f t="shared" si="437"/>
        <v>20220911</v>
      </c>
      <c r="M2309" s="1" t="str">
        <f>"113104"</f>
        <v>113104</v>
      </c>
      <c r="N2309" s="1" t="s">
        <v>70</v>
      </c>
      <c r="O2309" s="1" t="s">
        <v>28</v>
      </c>
      <c r="P2309" s="1" t="s">
        <v>55</v>
      </c>
      <c r="Q2309" s="1">
        <v>25</v>
      </c>
      <c r="R2309" s="1">
        <v>25</v>
      </c>
      <c r="S2309" s="1">
        <v>0</v>
      </c>
      <c r="T2309" s="1">
        <v>0</v>
      </c>
      <c r="U2309" s="1">
        <v>0</v>
      </c>
      <c r="V2309" s="1" t="str">
        <f t="shared" si="438"/>
        <v>里程去程</v>
      </c>
      <c r="W2309" s="1" t="str">
        <f>"0120"</f>
        <v>0120</v>
      </c>
      <c r="X2309" s="1" t="s">
        <v>35</v>
      </c>
    </row>
    <row r="2310" spans="1:24" x14ac:dyDescent="0.3">
      <c r="A2310" s="1" t="str">
        <f t="shared" si="435"/>
        <v>59809</v>
      </c>
      <c r="B2310" s="1" t="s">
        <v>42</v>
      </c>
      <c r="C2310" s="1" t="s">
        <v>43</v>
      </c>
      <c r="D2310" s="1" t="str">
        <f t="shared" si="439"/>
        <v>9801</v>
      </c>
      <c r="E2310" s="1" t="s">
        <v>25</v>
      </c>
      <c r="F2310" s="1" t="str">
        <f>"141704815"</f>
        <v>141704815</v>
      </c>
      <c r="G2310" s="1" t="s">
        <v>33</v>
      </c>
      <c r="H2310" s="1" t="str">
        <f t="shared" si="436"/>
        <v>20220911</v>
      </c>
      <c r="I2310" s="1" t="str">
        <f>"111849"</f>
        <v>111849</v>
      </c>
      <c r="J2310" s="1" t="s">
        <v>69</v>
      </c>
      <c r="K2310" s="1" t="s">
        <v>52</v>
      </c>
      <c r="L2310" s="1" t="str">
        <f t="shared" si="437"/>
        <v>20220911</v>
      </c>
      <c r="M2310" s="1" t="str">
        <f>"113057"</f>
        <v>113057</v>
      </c>
      <c r="N2310" s="1" t="s">
        <v>70</v>
      </c>
      <c r="O2310" s="1" t="s">
        <v>28</v>
      </c>
      <c r="P2310" s="1" t="s">
        <v>55</v>
      </c>
      <c r="Q2310" s="1">
        <v>25</v>
      </c>
      <c r="R2310" s="1">
        <v>25</v>
      </c>
      <c r="S2310" s="1">
        <v>0</v>
      </c>
      <c r="T2310" s="1">
        <v>0</v>
      </c>
      <c r="U2310" s="1">
        <v>0</v>
      </c>
      <c r="V2310" s="1" t="str">
        <f t="shared" si="438"/>
        <v>里程去程</v>
      </c>
      <c r="W2310" s="1" t="str">
        <f>"2020"</f>
        <v>2020</v>
      </c>
      <c r="X2310" s="1" t="s">
        <v>35</v>
      </c>
    </row>
    <row r="2311" spans="1:24" x14ac:dyDescent="0.3">
      <c r="A2311" s="1" t="str">
        <f t="shared" si="435"/>
        <v>59809</v>
      </c>
      <c r="B2311" s="1" t="s">
        <v>42</v>
      </c>
      <c r="C2311" s="1" t="s">
        <v>43</v>
      </c>
      <c r="D2311" s="1" t="str">
        <f t="shared" si="439"/>
        <v>9801</v>
      </c>
      <c r="E2311" s="1" t="s">
        <v>25</v>
      </c>
      <c r="F2311" s="1" t="str">
        <f>"12BD280285880400C821002000000015"</f>
        <v>12BD280285880400C821002000000015</v>
      </c>
      <c r="G2311" s="1" t="s">
        <v>58</v>
      </c>
      <c r="H2311" s="1" t="str">
        <f t="shared" si="436"/>
        <v>20220911</v>
      </c>
      <c r="I2311" s="1" t="str">
        <f>"112319"</f>
        <v>112319</v>
      </c>
      <c r="J2311" s="1" t="s">
        <v>83</v>
      </c>
      <c r="K2311" s="1" t="s">
        <v>52</v>
      </c>
      <c r="L2311" s="1" t="str">
        <f t="shared" si="437"/>
        <v>20220911</v>
      </c>
      <c r="M2311" s="1" t="str">
        <f>"115537"</f>
        <v>115537</v>
      </c>
      <c r="N2311" s="1" t="s">
        <v>44</v>
      </c>
      <c r="O2311" s="1" t="s">
        <v>45</v>
      </c>
      <c r="P2311" s="1" t="s">
        <v>55</v>
      </c>
      <c r="Q2311" s="1">
        <v>50</v>
      </c>
      <c r="R2311" s="1">
        <v>50</v>
      </c>
      <c r="S2311" s="1">
        <v>0</v>
      </c>
      <c r="T2311" s="1">
        <v>0</v>
      </c>
      <c r="U2311" s="1">
        <v>0</v>
      </c>
      <c r="V2311" s="1" t="str">
        <f t="shared" si="438"/>
        <v>里程去程</v>
      </c>
      <c r="W2311" s="1" t="str">
        <f>"0020"</f>
        <v>0020</v>
      </c>
      <c r="X2311" s="1" t="s">
        <v>29</v>
      </c>
    </row>
    <row r="2312" spans="1:24" x14ac:dyDescent="0.3">
      <c r="A2312" s="1" t="str">
        <f t="shared" si="435"/>
        <v>59809</v>
      </c>
      <c r="B2312" s="1" t="s">
        <v>42</v>
      </c>
      <c r="C2312" s="1" t="s">
        <v>43</v>
      </c>
      <c r="D2312" s="1" t="str">
        <f t="shared" si="439"/>
        <v>9801</v>
      </c>
      <c r="E2312" s="1" t="s">
        <v>25</v>
      </c>
      <c r="F2312" s="1" t="str">
        <f>"1532623633"</f>
        <v>1532623633</v>
      </c>
      <c r="G2312" s="1" t="s">
        <v>33</v>
      </c>
      <c r="H2312" s="1" t="str">
        <f t="shared" si="436"/>
        <v>20220911</v>
      </c>
      <c r="I2312" s="1" t="str">
        <f>"112324"</f>
        <v>112324</v>
      </c>
      <c r="J2312" s="1" t="s">
        <v>83</v>
      </c>
      <c r="K2312" s="1" t="s">
        <v>52</v>
      </c>
      <c r="L2312" s="1" t="str">
        <f t="shared" si="437"/>
        <v>20220911</v>
      </c>
      <c r="M2312" s="1" t="str">
        <f>"115540"</f>
        <v>115540</v>
      </c>
      <c r="N2312" s="1" t="s">
        <v>44</v>
      </c>
      <c r="O2312" s="1" t="s">
        <v>45</v>
      </c>
      <c r="P2312" s="1" t="s">
        <v>55</v>
      </c>
      <c r="Q2312" s="1">
        <v>50</v>
      </c>
      <c r="R2312" s="1">
        <v>50</v>
      </c>
      <c r="S2312" s="1">
        <v>0</v>
      </c>
      <c r="T2312" s="1">
        <v>0</v>
      </c>
      <c r="U2312" s="1">
        <v>0</v>
      </c>
      <c r="V2312" s="1" t="str">
        <f t="shared" si="438"/>
        <v>里程去程</v>
      </c>
      <c r="W2312" s="1" t="str">
        <f>"2020"</f>
        <v>2020</v>
      </c>
      <c r="X2312" s="1" t="s">
        <v>35</v>
      </c>
    </row>
    <row r="2313" spans="1:24" x14ac:dyDescent="0.3">
      <c r="A2313" s="1" t="str">
        <f t="shared" si="435"/>
        <v>59809</v>
      </c>
      <c r="B2313" s="1" t="s">
        <v>42</v>
      </c>
      <c r="C2313" s="1" t="s">
        <v>43</v>
      </c>
      <c r="D2313" s="1" t="str">
        <f t="shared" si="439"/>
        <v>9801</v>
      </c>
      <c r="E2313" s="1" t="s">
        <v>25</v>
      </c>
      <c r="F2313" s="1" t="str">
        <f>"725356549"</f>
        <v>725356549</v>
      </c>
      <c r="G2313" s="1" t="s">
        <v>33</v>
      </c>
      <c r="H2313" s="1" t="str">
        <f t="shared" si="436"/>
        <v>20220911</v>
      </c>
      <c r="I2313" s="1" t="str">
        <f>"113209"</f>
        <v>113209</v>
      </c>
      <c r="J2313" s="1" t="s">
        <v>27</v>
      </c>
      <c r="K2313" s="1" t="s">
        <v>28</v>
      </c>
      <c r="L2313" s="1" t="str">
        <f t="shared" si="437"/>
        <v>20220911</v>
      </c>
      <c r="M2313" s="1" t="str">
        <f>"115914"</f>
        <v>115914</v>
      </c>
      <c r="N2313" s="1" t="s">
        <v>44</v>
      </c>
      <c r="O2313" s="1" t="s">
        <v>45</v>
      </c>
      <c r="P2313" s="1" t="s">
        <v>55</v>
      </c>
      <c r="Q2313" s="1">
        <v>25</v>
      </c>
      <c r="R2313" s="1">
        <v>25</v>
      </c>
      <c r="S2313" s="1">
        <v>0</v>
      </c>
      <c r="T2313" s="1">
        <v>0</v>
      </c>
      <c r="U2313" s="1">
        <v>0</v>
      </c>
      <c r="V2313" s="1" t="str">
        <f t="shared" si="438"/>
        <v>里程去程</v>
      </c>
      <c r="W2313" s="1" t="str">
        <f>"0820"</f>
        <v>0820</v>
      </c>
      <c r="X2313" s="1" t="s">
        <v>35</v>
      </c>
    </row>
    <row r="2314" spans="1:24" x14ac:dyDescent="0.3">
      <c r="A2314" s="1" t="str">
        <f t="shared" si="435"/>
        <v>59809</v>
      </c>
      <c r="B2314" s="1" t="s">
        <v>42</v>
      </c>
      <c r="C2314" s="1" t="s">
        <v>43</v>
      </c>
      <c r="D2314" s="1" t="str">
        <f t="shared" si="439"/>
        <v>9801</v>
      </c>
      <c r="E2314" s="1" t="s">
        <v>25</v>
      </c>
      <c r="F2314" s="1" t="str">
        <f>"728202449"</f>
        <v>728202449</v>
      </c>
      <c r="G2314" s="1" t="s">
        <v>33</v>
      </c>
      <c r="H2314" s="1" t="str">
        <f t="shared" si="436"/>
        <v>20220911</v>
      </c>
      <c r="I2314" s="1" t="str">
        <f>"122935"</f>
        <v>122935</v>
      </c>
      <c r="J2314" s="1" t="s">
        <v>27</v>
      </c>
      <c r="K2314" s="1" t="s">
        <v>28</v>
      </c>
      <c r="L2314" s="1" t="str">
        <f t="shared" si="437"/>
        <v>20220911</v>
      </c>
      <c r="M2314" s="1" t="str">
        <f>"125325"</f>
        <v>125325</v>
      </c>
      <c r="N2314" s="1" t="s">
        <v>100</v>
      </c>
      <c r="O2314" s="1" t="s">
        <v>45</v>
      </c>
      <c r="P2314" s="1" t="s">
        <v>55</v>
      </c>
      <c r="Q2314" s="1">
        <v>25</v>
      </c>
      <c r="R2314" s="1">
        <v>0</v>
      </c>
      <c r="S2314" s="1">
        <v>25</v>
      </c>
      <c r="T2314" s="1">
        <v>0</v>
      </c>
      <c r="U2314" s="1">
        <v>0</v>
      </c>
      <c r="V2314" s="1" t="str">
        <f t="shared" si="438"/>
        <v>里程去程</v>
      </c>
      <c r="W2314" s="1" t="str">
        <f>"2020"</f>
        <v>2020</v>
      </c>
      <c r="X2314" s="1" t="s">
        <v>35</v>
      </c>
    </row>
    <row r="2315" spans="1:24" x14ac:dyDescent="0.3">
      <c r="A2315" s="1" t="str">
        <f t="shared" si="435"/>
        <v>59809</v>
      </c>
      <c r="B2315" s="1" t="s">
        <v>42</v>
      </c>
      <c r="C2315" s="1" t="s">
        <v>43</v>
      </c>
      <c r="D2315" s="1" t="str">
        <f t="shared" si="439"/>
        <v>9801</v>
      </c>
      <c r="E2315" s="1" t="s">
        <v>25</v>
      </c>
      <c r="F2315" s="1" t="str">
        <f>"1751651749"</f>
        <v>1751651749</v>
      </c>
      <c r="G2315" s="1" t="s">
        <v>33</v>
      </c>
      <c r="H2315" s="1" t="str">
        <f t="shared" si="436"/>
        <v>20220911</v>
      </c>
      <c r="I2315" s="1" t="str">
        <f>"122939"</f>
        <v>122939</v>
      </c>
      <c r="J2315" s="1" t="s">
        <v>27</v>
      </c>
      <c r="K2315" s="1" t="s">
        <v>28</v>
      </c>
      <c r="L2315" s="1" t="str">
        <f t="shared" si="437"/>
        <v>20220911</v>
      </c>
      <c r="M2315" s="1" t="str">
        <f>"125334"</f>
        <v>125334</v>
      </c>
      <c r="N2315" s="1" t="s">
        <v>100</v>
      </c>
      <c r="O2315" s="1" t="s">
        <v>45</v>
      </c>
      <c r="P2315" s="1" t="s">
        <v>55</v>
      </c>
      <c r="Q2315" s="1">
        <v>25</v>
      </c>
      <c r="R2315" s="1">
        <v>0</v>
      </c>
      <c r="S2315" s="1">
        <v>25</v>
      </c>
      <c r="T2315" s="1">
        <v>0</v>
      </c>
      <c r="U2315" s="1">
        <v>0</v>
      </c>
      <c r="V2315" s="1" t="str">
        <f t="shared" si="438"/>
        <v>里程去程</v>
      </c>
      <c r="W2315" s="1" t="str">
        <f>"2020"</f>
        <v>2020</v>
      </c>
      <c r="X2315" s="1" t="s">
        <v>35</v>
      </c>
    </row>
    <row r="2316" spans="1:24" x14ac:dyDescent="0.3">
      <c r="A2316" s="1" t="str">
        <f t="shared" si="435"/>
        <v>59809</v>
      </c>
      <c r="B2316" s="1" t="s">
        <v>42</v>
      </c>
      <c r="C2316" s="1" t="s">
        <v>43</v>
      </c>
      <c r="D2316" s="1" t="str">
        <f t="shared" si="439"/>
        <v>9801</v>
      </c>
      <c r="E2316" s="1" t="s">
        <v>25</v>
      </c>
      <c r="F2316" s="1" t="str">
        <f>"750773861"</f>
        <v>750773861</v>
      </c>
      <c r="G2316" s="1" t="s">
        <v>33</v>
      </c>
      <c r="H2316" s="1" t="str">
        <f t="shared" si="436"/>
        <v>20220911</v>
      </c>
      <c r="I2316" s="1" t="str">
        <f>"122945"</f>
        <v>122945</v>
      </c>
      <c r="J2316" s="1" t="s">
        <v>27</v>
      </c>
      <c r="K2316" s="1" t="s">
        <v>28</v>
      </c>
      <c r="L2316" s="1" t="str">
        <f t="shared" si="437"/>
        <v>20220911</v>
      </c>
      <c r="M2316" s="1" t="str">
        <f>"124621"</f>
        <v>124621</v>
      </c>
      <c r="N2316" s="1" t="s">
        <v>56</v>
      </c>
      <c r="O2316" s="1" t="s">
        <v>45</v>
      </c>
      <c r="P2316" s="1" t="s">
        <v>55</v>
      </c>
      <c r="Q2316" s="1">
        <v>25</v>
      </c>
      <c r="R2316" s="1">
        <v>25</v>
      </c>
      <c r="S2316" s="1">
        <v>0</v>
      </c>
      <c r="T2316" s="1">
        <v>0</v>
      </c>
      <c r="U2316" s="1">
        <v>0</v>
      </c>
      <c r="V2316" s="1" t="str">
        <f t="shared" si="438"/>
        <v>里程去程</v>
      </c>
      <c r="W2316" s="1" t="str">
        <f>"0920"</f>
        <v>0920</v>
      </c>
      <c r="X2316" s="1" t="s">
        <v>35</v>
      </c>
    </row>
    <row r="2317" spans="1:24" x14ac:dyDescent="0.3">
      <c r="A2317" s="1" t="str">
        <f t="shared" si="435"/>
        <v>59809</v>
      </c>
      <c r="B2317" s="1" t="s">
        <v>42</v>
      </c>
      <c r="C2317" s="1" t="s">
        <v>43</v>
      </c>
      <c r="D2317" s="1" t="str">
        <f t="shared" si="439"/>
        <v>9801</v>
      </c>
      <c r="E2317" s="1" t="s">
        <v>25</v>
      </c>
      <c r="F2317" s="1" t="str">
        <f>"02E2D30635880400C838002000000015"</f>
        <v>02E2D30635880400C838002000000015</v>
      </c>
      <c r="G2317" s="1" t="s">
        <v>26</v>
      </c>
      <c r="H2317" s="1" t="str">
        <f t="shared" si="436"/>
        <v>20220911</v>
      </c>
      <c r="I2317" s="1" t="str">
        <f>"123014"</f>
        <v>123014</v>
      </c>
      <c r="J2317" s="1" t="s">
        <v>27</v>
      </c>
      <c r="K2317" s="1" t="s">
        <v>28</v>
      </c>
      <c r="L2317" s="1" t="str">
        <f t="shared" si="437"/>
        <v>20220911</v>
      </c>
      <c r="M2317" s="1" t="str">
        <f>"124524"</f>
        <v>124524</v>
      </c>
      <c r="N2317" s="1" t="s">
        <v>61</v>
      </c>
      <c r="O2317" s="1" t="s">
        <v>45</v>
      </c>
      <c r="P2317" s="1" t="s">
        <v>68</v>
      </c>
      <c r="Q2317" s="1">
        <v>13</v>
      </c>
      <c r="R2317" s="1">
        <v>0</v>
      </c>
      <c r="S2317" s="1">
        <v>0</v>
      </c>
      <c r="T2317" s="1">
        <v>13</v>
      </c>
      <c r="U2317" s="1">
        <v>0</v>
      </c>
      <c r="V2317" s="1" t="str">
        <f t="shared" si="438"/>
        <v>里程去程</v>
      </c>
      <c r="W2317" s="1" t="str">
        <f>"0020"</f>
        <v>0020</v>
      </c>
      <c r="X2317" s="1" t="s">
        <v>29</v>
      </c>
    </row>
    <row r="2318" spans="1:24" x14ac:dyDescent="0.3">
      <c r="A2318" s="1" t="str">
        <f t="shared" si="435"/>
        <v>59809</v>
      </c>
      <c r="B2318" s="1" t="s">
        <v>42</v>
      </c>
      <c r="C2318" s="1" t="s">
        <v>43</v>
      </c>
      <c r="D2318" s="1" t="str">
        <f t="shared" si="439"/>
        <v>9801</v>
      </c>
      <c r="E2318" s="1" t="s">
        <v>25</v>
      </c>
      <c r="F2318" s="1" t="str">
        <f>"520DD00689880400C838002000000015"</f>
        <v>520DD00689880400C838002000000015</v>
      </c>
      <c r="G2318" s="1" t="s">
        <v>26</v>
      </c>
      <c r="H2318" s="1" t="str">
        <f t="shared" si="436"/>
        <v>20220911</v>
      </c>
      <c r="I2318" s="1" t="str">
        <f>"123016"</f>
        <v>123016</v>
      </c>
      <c r="J2318" s="1" t="s">
        <v>27</v>
      </c>
      <c r="K2318" s="1" t="s">
        <v>28</v>
      </c>
      <c r="L2318" s="1" t="str">
        <f t="shared" si="437"/>
        <v>20220911</v>
      </c>
      <c r="M2318" s="1" t="str">
        <f>"124528"</f>
        <v>124528</v>
      </c>
      <c r="N2318" s="1" t="s">
        <v>61</v>
      </c>
      <c r="O2318" s="1" t="s">
        <v>45</v>
      </c>
      <c r="P2318" s="1" t="s">
        <v>68</v>
      </c>
      <c r="Q2318" s="1">
        <v>13</v>
      </c>
      <c r="R2318" s="1">
        <v>0</v>
      </c>
      <c r="S2318" s="1">
        <v>0</v>
      </c>
      <c r="T2318" s="1">
        <v>13</v>
      </c>
      <c r="U2318" s="1">
        <v>0</v>
      </c>
      <c r="V2318" s="1" t="str">
        <f t="shared" si="438"/>
        <v>里程去程</v>
      </c>
      <c r="W2318" s="1" t="str">
        <f>"0020"</f>
        <v>0020</v>
      </c>
      <c r="X2318" s="1" t="s">
        <v>29</v>
      </c>
    </row>
    <row r="2319" spans="1:24" x14ac:dyDescent="0.3">
      <c r="A2319" s="1" t="str">
        <f t="shared" si="435"/>
        <v>59809</v>
      </c>
      <c r="B2319" s="1" t="s">
        <v>42</v>
      </c>
      <c r="C2319" s="1" t="s">
        <v>43</v>
      </c>
      <c r="D2319" s="1" t="str">
        <f t="shared" si="439"/>
        <v>9801</v>
      </c>
      <c r="E2319" s="1" t="s">
        <v>25</v>
      </c>
      <c r="F2319" s="1" t="str">
        <f>"B97A3C8E71280400F700000000000000"</f>
        <v>B97A3C8E71280400F700000000000000</v>
      </c>
      <c r="G2319" s="1" t="s">
        <v>59</v>
      </c>
      <c r="H2319" s="1" t="str">
        <f t="shared" si="436"/>
        <v>20220911</v>
      </c>
      <c r="I2319" s="1" t="str">
        <f>"123032"</f>
        <v>123032</v>
      </c>
      <c r="J2319" s="1" t="s">
        <v>27</v>
      </c>
      <c r="K2319" s="1" t="s">
        <v>28</v>
      </c>
      <c r="L2319" s="1" t="str">
        <f t="shared" si="437"/>
        <v>20220911</v>
      </c>
      <c r="M2319" s="1" t="str">
        <f>"125853"</f>
        <v>125853</v>
      </c>
      <c r="N2319" s="1" t="s">
        <v>44</v>
      </c>
      <c r="O2319" s="1" t="s">
        <v>45</v>
      </c>
      <c r="P2319" s="1" t="s">
        <v>55</v>
      </c>
      <c r="Q2319" s="1">
        <v>25</v>
      </c>
      <c r="R2319" s="1">
        <v>25</v>
      </c>
      <c r="S2319" s="1">
        <v>0</v>
      </c>
      <c r="T2319" s="1">
        <v>0</v>
      </c>
      <c r="U2319" s="1">
        <v>0</v>
      </c>
      <c r="V2319" s="1" t="str">
        <f t="shared" si="438"/>
        <v>里程去程</v>
      </c>
      <c r="W2319" s="1" t="str">
        <f>"0020"</f>
        <v>0020</v>
      </c>
      <c r="X2319" s="1" t="s">
        <v>29</v>
      </c>
    </row>
    <row r="2320" spans="1:24" x14ac:dyDescent="0.3">
      <c r="A2320" s="1" t="str">
        <f t="shared" si="435"/>
        <v>59809</v>
      </c>
      <c r="B2320" s="1" t="s">
        <v>42</v>
      </c>
      <c r="C2320" s="1" t="s">
        <v>43</v>
      </c>
      <c r="D2320" s="1" t="str">
        <f t="shared" si="439"/>
        <v>9801</v>
      </c>
      <c r="E2320" s="1" t="s">
        <v>25</v>
      </c>
      <c r="F2320" s="1" t="str">
        <f>"1239496661"</f>
        <v>1239496661</v>
      </c>
      <c r="G2320" s="1" t="s">
        <v>33</v>
      </c>
      <c r="H2320" s="1" t="str">
        <f t="shared" si="436"/>
        <v>20220911</v>
      </c>
      <c r="I2320" s="1" t="str">
        <f>"123058"</f>
        <v>123058</v>
      </c>
      <c r="J2320" s="1" t="s">
        <v>27</v>
      </c>
      <c r="K2320" s="1" t="s">
        <v>28</v>
      </c>
      <c r="L2320" s="1" t="str">
        <f t="shared" si="437"/>
        <v>20220911</v>
      </c>
      <c r="M2320" s="1" t="str">
        <f>"124520"</f>
        <v>124520</v>
      </c>
      <c r="N2320" s="1" t="s">
        <v>61</v>
      </c>
      <c r="O2320" s="1" t="s">
        <v>45</v>
      </c>
      <c r="P2320" s="1" t="s">
        <v>55</v>
      </c>
      <c r="Q2320" s="1">
        <v>25</v>
      </c>
      <c r="R2320" s="1">
        <v>25</v>
      </c>
      <c r="S2320" s="1">
        <v>0</v>
      </c>
      <c r="T2320" s="1">
        <v>0</v>
      </c>
      <c r="U2320" s="1">
        <v>0</v>
      </c>
      <c r="V2320" s="1" t="str">
        <f t="shared" si="438"/>
        <v>里程去程</v>
      </c>
      <c r="W2320" s="1" t="str">
        <f>"1320"</f>
        <v>1320</v>
      </c>
      <c r="X2320" s="1" t="s">
        <v>35</v>
      </c>
    </row>
    <row r="2321" spans="1:24" x14ac:dyDescent="0.3">
      <c r="A2321" s="1" t="str">
        <f t="shared" si="435"/>
        <v>59809</v>
      </c>
      <c r="B2321" s="1" t="s">
        <v>42</v>
      </c>
      <c r="C2321" s="1" t="s">
        <v>43</v>
      </c>
      <c r="D2321" s="1" t="str">
        <f t="shared" si="439"/>
        <v>9801</v>
      </c>
      <c r="E2321" s="1" t="s">
        <v>25</v>
      </c>
      <c r="F2321" s="1" t="str">
        <f>"3237590268"</f>
        <v>3237590268</v>
      </c>
      <c r="G2321" s="1" t="s">
        <v>33</v>
      </c>
      <c r="H2321" s="1" t="str">
        <f t="shared" si="436"/>
        <v>20220911</v>
      </c>
      <c r="I2321" s="1" t="str">
        <f>"123256"</f>
        <v>123256</v>
      </c>
      <c r="J2321" s="1" t="s">
        <v>27</v>
      </c>
      <c r="K2321" s="1" t="s">
        <v>28</v>
      </c>
      <c r="L2321" s="1" t="str">
        <f t="shared" si="437"/>
        <v>20220911</v>
      </c>
      <c r="M2321" s="1" t="str">
        <f>"125902"</f>
        <v>125902</v>
      </c>
      <c r="N2321" s="1" t="s">
        <v>44</v>
      </c>
      <c r="O2321" s="1" t="s">
        <v>45</v>
      </c>
      <c r="P2321" s="1" t="s">
        <v>55</v>
      </c>
      <c r="Q2321" s="1">
        <v>25</v>
      </c>
      <c r="R2321" s="1">
        <v>25</v>
      </c>
      <c r="S2321" s="1">
        <v>0</v>
      </c>
      <c r="T2321" s="1">
        <v>0</v>
      </c>
      <c r="U2321" s="1">
        <v>0</v>
      </c>
      <c r="V2321" s="1" t="str">
        <f t="shared" si="438"/>
        <v>里程去程</v>
      </c>
      <c r="W2321" s="1" t="str">
        <f>"0220"</f>
        <v>0220</v>
      </c>
      <c r="X2321" s="1" t="s">
        <v>35</v>
      </c>
    </row>
    <row r="2322" spans="1:24" x14ac:dyDescent="0.3">
      <c r="A2322" s="1" t="str">
        <f t="shared" si="435"/>
        <v>59809</v>
      </c>
      <c r="B2322" s="1" t="s">
        <v>42</v>
      </c>
      <c r="C2322" s="1" t="s">
        <v>43</v>
      </c>
      <c r="D2322" s="1" t="str">
        <f t="shared" si="439"/>
        <v>9801</v>
      </c>
      <c r="E2322" s="1" t="s">
        <v>25</v>
      </c>
      <c r="F2322" s="1" t="str">
        <f>"1328778177"</f>
        <v>1328778177</v>
      </c>
      <c r="G2322" s="1" t="s">
        <v>33</v>
      </c>
      <c r="H2322" s="1" t="str">
        <f t="shared" si="436"/>
        <v>20220911</v>
      </c>
      <c r="I2322" s="1" t="str">
        <f>"130546"</f>
        <v>130546</v>
      </c>
      <c r="J2322" s="1" t="s">
        <v>60</v>
      </c>
      <c r="K2322" s="1" t="s">
        <v>52</v>
      </c>
      <c r="L2322" s="1" t="str">
        <f t="shared" si="437"/>
        <v>20220911</v>
      </c>
      <c r="M2322" s="1" t="str">
        <f>"132806"</f>
        <v>132806</v>
      </c>
      <c r="N2322" s="1" t="s">
        <v>70</v>
      </c>
      <c r="O2322" s="1" t="s">
        <v>28</v>
      </c>
      <c r="P2322" s="1" t="s">
        <v>55</v>
      </c>
      <c r="Q2322" s="1">
        <v>25</v>
      </c>
      <c r="R2322" s="1">
        <v>25</v>
      </c>
      <c r="S2322" s="1">
        <v>0</v>
      </c>
      <c r="T2322" s="1">
        <v>0</v>
      </c>
      <c r="U2322" s="1">
        <v>0</v>
      </c>
      <c r="V2322" s="1" t="str">
        <f t="shared" si="438"/>
        <v>里程去程</v>
      </c>
      <c r="W2322" s="1" t="str">
        <f>"2020"</f>
        <v>2020</v>
      </c>
      <c r="X2322" s="1" t="s">
        <v>35</v>
      </c>
    </row>
    <row r="2323" spans="1:24" x14ac:dyDescent="0.3">
      <c r="A2323" s="1" t="str">
        <f t="shared" si="435"/>
        <v>59809</v>
      </c>
      <c r="B2323" s="1" t="s">
        <v>42</v>
      </c>
      <c r="C2323" s="1" t="s">
        <v>43</v>
      </c>
      <c r="D2323" s="1" t="str">
        <f t="shared" si="439"/>
        <v>9801</v>
      </c>
      <c r="E2323" s="1" t="s">
        <v>25</v>
      </c>
      <c r="F2323" s="1" t="str">
        <f>"F27CE6026A880400C834002000000015"</f>
        <v>F27CE6026A880400C834002000000015</v>
      </c>
      <c r="G2323" s="1" t="s">
        <v>74</v>
      </c>
      <c r="H2323" s="1" t="str">
        <f t="shared" si="436"/>
        <v>20220911</v>
      </c>
      <c r="I2323" s="1" t="str">
        <f>"145536"</f>
        <v>145536</v>
      </c>
      <c r="J2323" s="1" t="s">
        <v>52</v>
      </c>
      <c r="K2323" s="1" t="s">
        <v>52</v>
      </c>
      <c r="L2323" s="1" t="str">
        <f t="shared" si="437"/>
        <v>20220911</v>
      </c>
      <c r="M2323" s="1" t="str">
        <f>"150536"</f>
        <v>150536</v>
      </c>
      <c r="N2323" s="1" t="s">
        <v>60</v>
      </c>
      <c r="O2323" s="1" t="s">
        <v>52</v>
      </c>
      <c r="P2323" s="1" t="s">
        <v>68</v>
      </c>
      <c r="Q2323" s="1">
        <v>13</v>
      </c>
      <c r="R2323" s="1">
        <v>0</v>
      </c>
      <c r="S2323" s="1">
        <v>0</v>
      </c>
      <c r="T2323" s="1">
        <v>13</v>
      </c>
      <c r="U2323" s="1">
        <v>0</v>
      </c>
      <c r="V2323" s="1" t="str">
        <f t="shared" si="438"/>
        <v>里程去程</v>
      </c>
      <c r="W2323" s="1" t="str">
        <f>"0020"</f>
        <v>0020</v>
      </c>
      <c r="X2323" s="1" t="s">
        <v>29</v>
      </c>
    </row>
    <row r="2324" spans="1:24" x14ac:dyDescent="0.3">
      <c r="A2324" s="1" t="str">
        <f t="shared" si="435"/>
        <v>59809</v>
      </c>
      <c r="B2324" s="1" t="s">
        <v>42</v>
      </c>
      <c r="C2324" s="1" t="s">
        <v>43</v>
      </c>
      <c r="D2324" s="1" t="str">
        <f t="shared" si="439"/>
        <v>9801</v>
      </c>
      <c r="E2324" s="1" t="s">
        <v>25</v>
      </c>
      <c r="F2324" s="1" t="str">
        <f>"C2F219032A880400C834002000000015"</f>
        <v>C2F219032A880400C834002000000015</v>
      </c>
      <c r="G2324" s="1" t="s">
        <v>26</v>
      </c>
      <c r="H2324" s="1" t="str">
        <f t="shared" si="436"/>
        <v>20220911</v>
      </c>
      <c r="I2324" s="1" t="str">
        <f>"150438"</f>
        <v>150438</v>
      </c>
      <c r="J2324" s="1" t="s">
        <v>86</v>
      </c>
      <c r="K2324" s="1" t="s">
        <v>52</v>
      </c>
      <c r="L2324" s="1" t="str">
        <f t="shared" si="437"/>
        <v>20220911</v>
      </c>
      <c r="M2324" s="1" t="str">
        <f>"150724"</f>
        <v>150724</v>
      </c>
      <c r="N2324" s="1" t="s">
        <v>51</v>
      </c>
      <c r="O2324" s="1" t="s">
        <v>52</v>
      </c>
      <c r="P2324" s="1" t="s">
        <v>68</v>
      </c>
      <c r="Q2324" s="1">
        <v>13</v>
      </c>
      <c r="R2324" s="1">
        <v>0</v>
      </c>
      <c r="S2324" s="1">
        <v>0</v>
      </c>
      <c r="T2324" s="1">
        <v>13</v>
      </c>
      <c r="U2324" s="1">
        <v>0</v>
      </c>
      <c r="V2324" s="1" t="str">
        <f t="shared" si="438"/>
        <v>里程去程</v>
      </c>
      <c r="W2324" s="1" t="str">
        <f>"0020"</f>
        <v>0020</v>
      </c>
      <c r="X2324" s="1" t="s">
        <v>29</v>
      </c>
    </row>
    <row r="2325" spans="1:24" x14ac:dyDescent="0.3">
      <c r="A2325" s="1" t="str">
        <f t="shared" si="435"/>
        <v>59809</v>
      </c>
      <c r="B2325" s="1" t="s">
        <v>42</v>
      </c>
      <c r="C2325" s="1" t="s">
        <v>43</v>
      </c>
      <c r="D2325" s="1" t="str">
        <f t="shared" si="439"/>
        <v>9801</v>
      </c>
      <c r="E2325" s="1" t="s">
        <v>25</v>
      </c>
      <c r="F2325" s="1" t="str">
        <f>"1264654885"</f>
        <v>1264654885</v>
      </c>
      <c r="G2325" s="1" t="s">
        <v>33</v>
      </c>
      <c r="H2325" s="1" t="str">
        <f t="shared" si="436"/>
        <v>20220911</v>
      </c>
      <c r="I2325" s="1" t="str">
        <f>"153402"</f>
        <v>153402</v>
      </c>
      <c r="J2325" s="1" t="s">
        <v>27</v>
      </c>
      <c r="K2325" s="1" t="s">
        <v>28</v>
      </c>
      <c r="L2325" s="1" t="str">
        <f t="shared" si="437"/>
        <v>20220911</v>
      </c>
      <c r="M2325" s="1" t="str">
        <f>"155741"</f>
        <v>155741</v>
      </c>
      <c r="N2325" s="1" t="s">
        <v>44</v>
      </c>
      <c r="O2325" s="1" t="s">
        <v>45</v>
      </c>
      <c r="P2325" s="1" t="s">
        <v>55</v>
      </c>
      <c r="Q2325" s="1">
        <v>25</v>
      </c>
      <c r="R2325" s="1">
        <v>25</v>
      </c>
      <c r="S2325" s="1">
        <v>0</v>
      </c>
      <c r="T2325" s="1">
        <v>0</v>
      </c>
      <c r="U2325" s="1">
        <v>0</v>
      </c>
      <c r="V2325" s="1" t="str">
        <f t="shared" si="438"/>
        <v>里程去程</v>
      </c>
      <c r="W2325" s="1" t="str">
        <f>"1420"</f>
        <v>1420</v>
      </c>
      <c r="X2325" s="1" t="s">
        <v>35</v>
      </c>
    </row>
    <row r="2326" spans="1:24" x14ac:dyDescent="0.3">
      <c r="A2326" s="1" t="str">
        <f t="shared" si="435"/>
        <v>59809</v>
      </c>
      <c r="B2326" s="1" t="s">
        <v>42</v>
      </c>
      <c r="C2326" s="1" t="s">
        <v>43</v>
      </c>
      <c r="D2326" s="1" t="str">
        <f t="shared" si="439"/>
        <v>9801</v>
      </c>
      <c r="E2326" s="1" t="s">
        <v>25</v>
      </c>
      <c r="F2326" s="1" t="str">
        <f>"323ED318C7880400C821002000000019"</f>
        <v>323ED318C7880400C821002000000019</v>
      </c>
      <c r="G2326" s="1" t="s">
        <v>58</v>
      </c>
      <c r="H2326" s="1" t="str">
        <f t="shared" si="436"/>
        <v>20220911</v>
      </c>
      <c r="I2326" s="1" t="str">
        <f>"153512"</f>
        <v>153512</v>
      </c>
      <c r="J2326" s="1" t="s">
        <v>27</v>
      </c>
      <c r="K2326" s="1" t="s">
        <v>28</v>
      </c>
      <c r="L2326" s="1" t="str">
        <f t="shared" si="437"/>
        <v>20220911</v>
      </c>
      <c r="M2326" s="1" t="str">
        <f>"155732"</f>
        <v>155732</v>
      </c>
      <c r="N2326" s="1" t="s">
        <v>44</v>
      </c>
      <c r="O2326" s="1" t="s">
        <v>45</v>
      </c>
      <c r="P2326" s="1" t="s">
        <v>55</v>
      </c>
      <c r="Q2326" s="1">
        <v>25</v>
      </c>
      <c r="R2326" s="1">
        <v>25</v>
      </c>
      <c r="S2326" s="1">
        <v>0</v>
      </c>
      <c r="T2326" s="1">
        <v>0</v>
      </c>
      <c r="U2326" s="1">
        <v>0</v>
      </c>
      <c r="V2326" s="1" t="str">
        <f t="shared" si="438"/>
        <v>里程去程</v>
      </c>
      <c r="W2326" s="1" t="str">
        <f>"0020"</f>
        <v>0020</v>
      </c>
      <c r="X2326" s="1" t="s">
        <v>29</v>
      </c>
    </row>
    <row r="2327" spans="1:24" x14ac:dyDescent="0.3">
      <c r="A2327" s="1" t="str">
        <f t="shared" si="435"/>
        <v>59809</v>
      </c>
      <c r="B2327" s="1" t="s">
        <v>42</v>
      </c>
      <c r="C2327" s="1" t="s">
        <v>43</v>
      </c>
      <c r="D2327" s="1" t="str">
        <f t="shared" si="439"/>
        <v>9801</v>
      </c>
      <c r="E2327" s="1" t="s">
        <v>25</v>
      </c>
      <c r="F2327" s="1" t="str">
        <f>"951739489"</f>
        <v>951739489</v>
      </c>
      <c r="G2327" s="1" t="s">
        <v>33</v>
      </c>
      <c r="H2327" s="1" t="str">
        <f t="shared" si="436"/>
        <v>20220911</v>
      </c>
      <c r="I2327" s="1" t="str">
        <f>"155804"</f>
        <v>155804</v>
      </c>
      <c r="J2327" s="1" t="s">
        <v>52</v>
      </c>
      <c r="K2327" s="1" t="s">
        <v>52</v>
      </c>
      <c r="L2327" s="1" t="str">
        <f t="shared" si="437"/>
        <v>20220911</v>
      </c>
      <c r="M2327" s="1" t="str">
        <f>"162040"</f>
        <v>162040</v>
      </c>
      <c r="N2327" s="1" t="s">
        <v>67</v>
      </c>
      <c r="O2327" s="1" t="s">
        <v>52</v>
      </c>
      <c r="P2327" s="1" t="s">
        <v>55</v>
      </c>
      <c r="Q2327" s="1">
        <v>25</v>
      </c>
      <c r="R2327" s="1">
        <v>0</v>
      </c>
      <c r="S2327" s="1">
        <v>25</v>
      </c>
      <c r="T2327" s="1">
        <v>0</v>
      </c>
      <c r="U2327" s="1">
        <v>0</v>
      </c>
      <c r="V2327" s="1" t="str">
        <f t="shared" si="438"/>
        <v>里程去程</v>
      </c>
      <c r="W2327" s="1" t="str">
        <f>"2120"</f>
        <v>2120</v>
      </c>
      <c r="X2327" s="1" t="s">
        <v>35</v>
      </c>
    </row>
    <row r="2328" spans="1:24" x14ac:dyDescent="0.3">
      <c r="A2328" s="1" t="str">
        <f t="shared" si="435"/>
        <v>59809</v>
      </c>
      <c r="B2328" s="1" t="s">
        <v>42</v>
      </c>
      <c r="C2328" s="1" t="s">
        <v>43</v>
      </c>
      <c r="D2328" s="1" t="str">
        <f t="shared" si="439"/>
        <v>9801</v>
      </c>
      <c r="E2328" s="1" t="s">
        <v>25</v>
      </c>
      <c r="F2328" s="1" t="str">
        <f>"E2C1CD0AE4880400C810002000000016"</f>
        <v>E2C1CD0AE4880400C810002000000016</v>
      </c>
      <c r="G2328" s="1" t="s">
        <v>58</v>
      </c>
      <c r="H2328" s="1" t="str">
        <f t="shared" si="436"/>
        <v>20220911</v>
      </c>
      <c r="I2328" s="1" t="str">
        <f>"162809"</f>
        <v>162809</v>
      </c>
      <c r="J2328" s="1" t="s">
        <v>27</v>
      </c>
      <c r="K2328" s="1" t="s">
        <v>28</v>
      </c>
      <c r="L2328" s="1" t="str">
        <f t="shared" si="437"/>
        <v>20220911</v>
      </c>
      <c r="M2328" s="1" t="str">
        <f>"165654"</f>
        <v>165654</v>
      </c>
      <c r="N2328" s="1" t="s">
        <v>44</v>
      </c>
      <c r="O2328" s="1" t="s">
        <v>45</v>
      </c>
      <c r="P2328" s="1" t="s">
        <v>55</v>
      </c>
      <c r="Q2328" s="1">
        <v>25</v>
      </c>
      <c r="R2328" s="1">
        <v>0</v>
      </c>
      <c r="S2328" s="1">
        <v>25</v>
      </c>
      <c r="T2328" s="1">
        <v>0</v>
      </c>
      <c r="U2328" s="1">
        <v>0</v>
      </c>
      <c r="V2328" s="1" t="str">
        <f t="shared" si="438"/>
        <v>里程去程</v>
      </c>
      <c r="W2328" s="1" t="str">
        <f>"0620"</f>
        <v>0620</v>
      </c>
      <c r="X2328" s="1" t="s">
        <v>29</v>
      </c>
    </row>
    <row r="2329" spans="1:24" x14ac:dyDescent="0.3">
      <c r="A2329" s="1" t="str">
        <f t="shared" si="435"/>
        <v>59809</v>
      </c>
      <c r="B2329" s="1" t="s">
        <v>42</v>
      </c>
      <c r="C2329" s="1" t="s">
        <v>43</v>
      </c>
      <c r="D2329" s="1" t="str">
        <f t="shared" si="439"/>
        <v>9801</v>
      </c>
      <c r="E2329" s="1" t="s">
        <v>25</v>
      </c>
      <c r="F2329" s="1" t="str">
        <f>"987447221"</f>
        <v>987447221</v>
      </c>
      <c r="G2329" s="1" t="s">
        <v>33</v>
      </c>
      <c r="H2329" s="1" t="str">
        <f t="shared" si="436"/>
        <v>20220911</v>
      </c>
      <c r="I2329" s="1" t="str">
        <f>"163525"</f>
        <v>163525</v>
      </c>
      <c r="J2329" s="1" t="s">
        <v>27</v>
      </c>
      <c r="K2329" s="1" t="s">
        <v>28</v>
      </c>
      <c r="L2329" s="1" t="str">
        <f t="shared" si="437"/>
        <v>20220911</v>
      </c>
      <c r="M2329" s="1" t="str">
        <f>"164924"</f>
        <v>164924</v>
      </c>
      <c r="N2329" s="1" t="s">
        <v>75</v>
      </c>
      <c r="O2329" s="1" t="s">
        <v>45</v>
      </c>
      <c r="P2329" s="1" t="s">
        <v>55</v>
      </c>
      <c r="Q2329" s="1">
        <v>25</v>
      </c>
      <c r="R2329" s="1">
        <v>0</v>
      </c>
      <c r="S2329" s="1">
        <v>25</v>
      </c>
      <c r="T2329" s="1">
        <v>0</v>
      </c>
      <c r="U2329" s="1">
        <v>0</v>
      </c>
      <c r="V2329" s="1" t="str">
        <f t="shared" si="438"/>
        <v>里程去程</v>
      </c>
      <c r="W2329" s="1" t="str">
        <f>"0820"</f>
        <v>0820</v>
      </c>
      <c r="X2329" s="1" t="s">
        <v>35</v>
      </c>
    </row>
    <row r="2330" spans="1:24" x14ac:dyDescent="0.3">
      <c r="A2330" s="1" t="str">
        <f t="shared" si="435"/>
        <v>59809</v>
      </c>
      <c r="B2330" s="1" t="s">
        <v>42</v>
      </c>
      <c r="C2330" s="1" t="s">
        <v>43</v>
      </c>
      <c r="D2330" s="1" t="str">
        <f t="shared" si="439"/>
        <v>9801</v>
      </c>
      <c r="E2330" s="1" t="s">
        <v>25</v>
      </c>
      <c r="F2330" s="1" t="str">
        <f>"922533413"</f>
        <v>922533413</v>
      </c>
      <c r="G2330" s="1" t="s">
        <v>33</v>
      </c>
      <c r="H2330" s="1" t="str">
        <f t="shared" si="436"/>
        <v>20220911</v>
      </c>
      <c r="I2330" s="1" t="str">
        <f>"163531"</f>
        <v>163531</v>
      </c>
      <c r="J2330" s="1" t="s">
        <v>27</v>
      </c>
      <c r="K2330" s="1" t="s">
        <v>28</v>
      </c>
      <c r="L2330" s="1" t="str">
        <f t="shared" si="437"/>
        <v>20220911</v>
      </c>
      <c r="M2330" s="1" t="str">
        <f>"164754"</f>
        <v>164754</v>
      </c>
      <c r="N2330" s="1" t="s">
        <v>61</v>
      </c>
      <c r="O2330" s="1" t="s">
        <v>45</v>
      </c>
      <c r="P2330" s="1" t="s">
        <v>55</v>
      </c>
      <c r="Q2330" s="1">
        <v>25</v>
      </c>
      <c r="R2330" s="1">
        <v>25</v>
      </c>
      <c r="S2330" s="1">
        <v>0</v>
      </c>
      <c r="T2330" s="1">
        <v>0</v>
      </c>
      <c r="U2330" s="1">
        <v>0</v>
      </c>
      <c r="V2330" s="1" t="str">
        <f t="shared" si="438"/>
        <v>里程去程</v>
      </c>
      <c r="W2330" s="1" t="str">
        <f>"0120"</f>
        <v>0120</v>
      </c>
      <c r="X2330" s="1" t="s">
        <v>35</v>
      </c>
    </row>
    <row r="2331" spans="1:24" x14ac:dyDescent="0.3">
      <c r="A2331" s="1" t="str">
        <f t="shared" si="435"/>
        <v>59809</v>
      </c>
      <c r="B2331" s="1" t="s">
        <v>42</v>
      </c>
      <c r="C2331" s="1" t="s">
        <v>43</v>
      </c>
      <c r="D2331" s="1" t="str">
        <f t="shared" si="439"/>
        <v>9801</v>
      </c>
      <c r="E2331" s="1" t="s">
        <v>25</v>
      </c>
      <c r="F2331" s="1" t="str">
        <f>"1100848005"</f>
        <v>1100848005</v>
      </c>
      <c r="G2331" s="1" t="s">
        <v>38</v>
      </c>
      <c r="H2331" s="1" t="str">
        <f t="shared" si="436"/>
        <v>20220911</v>
      </c>
      <c r="I2331" s="1" t="str">
        <f>"163536"</f>
        <v>163536</v>
      </c>
      <c r="J2331" s="1" t="s">
        <v>27</v>
      </c>
      <c r="K2331" s="1" t="s">
        <v>28</v>
      </c>
      <c r="L2331" s="1" t="str">
        <f t="shared" si="437"/>
        <v>20220911</v>
      </c>
      <c r="M2331" s="1" t="str">
        <f>"165910"</f>
        <v>165910</v>
      </c>
      <c r="N2331" s="1" t="s">
        <v>44</v>
      </c>
      <c r="O2331" s="1" t="s">
        <v>45</v>
      </c>
      <c r="P2331" s="1" t="s">
        <v>55</v>
      </c>
      <c r="Q2331" s="1">
        <v>25</v>
      </c>
      <c r="R2331" s="1">
        <v>25</v>
      </c>
      <c r="S2331" s="1">
        <v>0</v>
      </c>
      <c r="T2331" s="1">
        <v>0</v>
      </c>
      <c r="U2331" s="1">
        <v>0</v>
      </c>
      <c r="V2331" s="1" t="str">
        <f t="shared" si="438"/>
        <v>里程去程</v>
      </c>
      <c r="W2331" s="1" t="str">
        <f>"0120"</f>
        <v>0120</v>
      </c>
      <c r="X2331" s="1" t="s">
        <v>35</v>
      </c>
    </row>
    <row r="2332" spans="1:24" x14ac:dyDescent="0.3">
      <c r="A2332" s="1" t="str">
        <f t="shared" si="435"/>
        <v>59809</v>
      </c>
      <c r="B2332" s="1" t="s">
        <v>42</v>
      </c>
      <c r="C2332" s="1" t="s">
        <v>43</v>
      </c>
      <c r="D2332" s="1" t="str">
        <f t="shared" si="439"/>
        <v>9801</v>
      </c>
      <c r="E2332" s="1" t="s">
        <v>25</v>
      </c>
      <c r="F2332" s="1" t="str">
        <f>"259091601"</f>
        <v>259091601</v>
      </c>
      <c r="G2332" s="1" t="s">
        <v>33</v>
      </c>
      <c r="H2332" s="1" t="str">
        <f t="shared" si="436"/>
        <v>20220911</v>
      </c>
      <c r="I2332" s="1" t="str">
        <f>"173214"</f>
        <v>173214</v>
      </c>
      <c r="J2332" s="1" t="s">
        <v>44</v>
      </c>
      <c r="K2332" s="1" t="s">
        <v>45</v>
      </c>
      <c r="L2332" s="1" t="str">
        <f t="shared" si="437"/>
        <v>20220911</v>
      </c>
      <c r="M2332" s="1" t="str">
        <f>"174921"</f>
        <v>174921</v>
      </c>
      <c r="N2332" s="1" t="s">
        <v>28</v>
      </c>
      <c r="O2332" s="1" t="s">
        <v>28</v>
      </c>
      <c r="P2332" s="1" t="s">
        <v>55</v>
      </c>
      <c r="Q2332" s="1">
        <v>25</v>
      </c>
      <c r="R2332" s="1">
        <v>0</v>
      </c>
      <c r="S2332" s="1">
        <v>25</v>
      </c>
      <c r="T2332" s="1">
        <v>0</v>
      </c>
      <c r="U2332" s="1">
        <v>0</v>
      </c>
      <c r="V2332" s="1" t="str">
        <f t="shared" ref="V2332:V2347" si="440">"里程返程"</f>
        <v>里程返程</v>
      </c>
      <c r="W2332" s="1" t="str">
        <f>"2020"</f>
        <v>2020</v>
      </c>
      <c r="X2332" s="1" t="s">
        <v>35</v>
      </c>
    </row>
    <row r="2333" spans="1:24" x14ac:dyDescent="0.3">
      <c r="A2333" s="1" t="str">
        <f t="shared" si="435"/>
        <v>59809</v>
      </c>
      <c r="B2333" s="1" t="s">
        <v>42</v>
      </c>
      <c r="C2333" s="1" t="s">
        <v>43</v>
      </c>
      <c r="D2333" s="1" t="str">
        <f t="shared" si="439"/>
        <v>9801</v>
      </c>
      <c r="E2333" s="1" t="s">
        <v>25</v>
      </c>
      <c r="F2333" s="1" t="str">
        <f>"92E18116E4880400C814002000000019"</f>
        <v>92E18116E4880400C814002000000019</v>
      </c>
      <c r="G2333" s="1" t="s">
        <v>64</v>
      </c>
      <c r="H2333" s="1" t="str">
        <f t="shared" si="436"/>
        <v>20220911</v>
      </c>
      <c r="I2333" s="1" t="str">
        <f>"173216"</f>
        <v>173216</v>
      </c>
      <c r="J2333" s="1" t="s">
        <v>44</v>
      </c>
      <c r="K2333" s="1" t="s">
        <v>45</v>
      </c>
      <c r="L2333" s="1" t="str">
        <f t="shared" si="437"/>
        <v>20220911</v>
      </c>
      <c r="M2333" s="1" t="str">
        <f>"174920"</f>
        <v>174920</v>
      </c>
      <c r="N2333" s="1" t="s">
        <v>28</v>
      </c>
      <c r="O2333" s="1" t="s">
        <v>28</v>
      </c>
      <c r="P2333" s="1" t="s">
        <v>55</v>
      </c>
      <c r="Q2333" s="1">
        <v>13</v>
      </c>
      <c r="R2333" s="1">
        <v>0</v>
      </c>
      <c r="S2333" s="1">
        <v>13</v>
      </c>
      <c r="T2333" s="1">
        <v>0</v>
      </c>
      <c r="U2333" s="1">
        <v>0</v>
      </c>
      <c r="V2333" s="1" t="str">
        <f t="shared" si="440"/>
        <v>里程返程</v>
      </c>
      <c r="W2333" s="1" t="str">
        <f>"2020"</f>
        <v>2020</v>
      </c>
      <c r="X2333" s="1" t="s">
        <v>29</v>
      </c>
    </row>
    <row r="2334" spans="1:24" x14ac:dyDescent="0.3">
      <c r="A2334" s="1" t="str">
        <f t="shared" si="435"/>
        <v>59809</v>
      </c>
      <c r="B2334" s="1" t="s">
        <v>42</v>
      </c>
      <c r="C2334" s="1" t="s">
        <v>43</v>
      </c>
      <c r="D2334" s="1" t="str">
        <f t="shared" si="439"/>
        <v>9801</v>
      </c>
      <c r="E2334" s="1" t="s">
        <v>25</v>
      </c>
      <c r="F2334" s="1" t="str">
        <f>"1626022917"</f>
        <v>1626022917</v>
      </c>
      <c r="G2334" s="1" t="s">
        <v>26</v>
      </c>
      <c r="H2334" s="1" t="str">
        <f t="shared" si="436"/>
        <v>20220911</v>
      </c>
      <c r="I2334" s="1" t="str">
        <f>"173218"</f>
        <v>173218</v>
      </c>
      <c r="J2334" s="1" t="s">
        <v>44</v>
      </c>
      <c r="K2334" s="1" t="s">
        <v>45</v>
      </c>
      <c r="L2334" s="1" t="str">
        <f t="shared" si="437"/>
        <v>20220911</v>
      </c>
      <c r="M2334" s="1" t="str">
        <f>"174916"</f>
        <v>174916</v>
      </c>
      <c r="N2334" s="1" t="s">
        <v>28</v>
      </c>
      <c r="O2334" s="1" t="s">
        <v>28</v>
      </c>
      <c r="P2334" s="1" t="s">
        <v>55</v>
      </c>
      <c r="Q2334" s="1">
        <v>13</v>
      </c>
      <c r="R2334" s="1">
        <v>0</v>
      </c>
      <c r="S2334" s="1">
        <v>13</v>
      </c>
      <c r="T2334" s="1">
        <v>0</v>
      </c>
      <c r="U2334" s="1">
        <v>0</v>
      </c>
      <c r="V2334" s="1" t="str">
        <f t="shared" si="440"/>
        <v>里程返程</v>
      </c>
      <c r="W2334" s="1" t="str">
        <f>"2020"</f>
        <v>2020</v>
      </c>
      <c r="X2334" s="1" t="s">
        <v>35</v>
      </c>
    </row>
    <row r="2335" spans="1:24" x14ac:dyDescent="0.3">
      <c r="A2335" s="1" t="str">
        <f t="shared" si="435"/>
        <v>59809</v>
      </c>
      <c r="B2335" s="1" t="s">
        <v>42</v>
      </c>
      <c r="C2335" s="1" t="s">
        <v>43</v>
      </c>
      <c r="D2335" s="1" t="str">
        <f t="shared" si="439"/>
        <v>9801</v>
      </c>
      <c r="E2335" s="1" t="s">
        <v>25</v>
      </c>
      <c r="F2335" s="1" t="str">
        <f>"967412997"</f>
        <v>967412997</v>
      </c>
      <c r="G2335" s="1" t="s">
        <v>33</v>
      </c>
      <c r="H2335" s="1" t="str">
        <f t="shared" si="436"/>
        <v>20220911</v>
      </c>
      <c r="I2335" s="1" t="str">
        <f>"174950"</f>
        <v>174950</v>
      </c>
      <c r="J2335" s="1" t="s">
        <v>28</v>
      </c>
      <c r="K2335" s="1" t="s">
        <v>28</v>
      </c>
      <c r="L2335" s="1" t="str">
        <f t="shared" si="437"/>
        <v>20220911</v>
      </c>
      <c r="M2335" s="1" t="str">
        <f>"181435"</f>
        <v>181435</v>
      </c>
      <c r="N2335" s="1" t="s">
        <v>65</v>
      </c>
      <c r="O2335" s="1" t="s">
        <v>52</v>
      </c>
      <c r="P2335" s="1" t="s">
        <v>55</v>
      </c>
      <c r="Q2335" s="1">
        <v>25</v>
      </c>
      <c r="R2335" s="1">
        <v>0</v>
      </c>
      <c r="S2335" s="1">
        <v>25</v>
      </c>
      <c r="T2335" s="1">
        <v>0</v>
      </c>
      <c r="U2335" s="1">
        <v>0</v>
      </c>
      <c r="V2335" s="1" t="str">
        <f t="shared" si="440"/>
        <v>里程返程</v>
      </c>
      <c r="W2335" s="1" t="str">
        <f>"0820"</f>
        <v>0820</v>
      </c>
      <c r="X2335" s="1" t="s">
        <v>35</v>
      </c>
    </row>
    <row r="2336" spans="1:24" x14ac:dyDescent="0.3">
      <c r="A2336" s="1" t="str">
        <f t="shared" si="435"/>
        <v>59809</v>
      </c>
      <c r="B2336" s="1" t="s">
        <v>42</v>
      </c>
      <c r="C2336" s="1" t="s">
        <v>43</v>
      </c>
      <c r="D2336" s="1" t="str">
        <f t="shared" si="439"/>
        <v>9801</v>
      </c>
      <c r="E2336" s="1" t="s">
        <v>25</v>
      </c>
      <c r="F2336" s="1" t="str">
        <f>"A295321B1E880400C817002000000021"</f>
        <v>A295321B1E880400C817002000000021</v>
      </c>
      <c r="G2336" s="1" t="s">
        <v>59</v>
      </c>
      <c r="H2336" s="1" t="str">
        <f t="shared" si="436"/>
        <v>20220911</v>
      </c>
      <c r="I2336" s="1" t="str">
        <f>"175105"</f>
        <v>175105</v>
      </c>
      <c r="J2336" s="1" t="s">
        <v>28</v>
      </c>
      <c r="K2336" s="1" t="s">
        <v>28</v>
      </c>
      <c r="L2336" s="1" t="str">
        <f t="shared" si="437"/>
        <v>20220911</v>
      </c>
      <c r="M2336" s="1" t="str">
        <f>"182251"</f>
        <v>182251</v>
      </c>
      <c r="N2336" s="1" t="s">
        <v>52</v>
      </c>
      <c r="O2336" s="1" t="s">
        <v>52</v>
      </c>
      <c r="P2336" s="1" t="s">
        <v>55</v>
      </c>
      <c r="Q2336" s="1">
        <v>25</v>
      </c>
      <c r="R2336" s="1">
        <v>25</v>
      </c>
      <c r="S2336" s="1">
        <v>0</v>
      </c>
      <c r="T2336" s="1">
        <v>0</v>
      </c>
      <c r="U2336" s="1">
        <v>0</v>
      </c>
      <c r="V2336" s="1" t="str">
        <f t="shared" si="440"/>
        <v>里程返程</v>
      </c>
      <c r="W2336" s="1" t="str">
        <f>"0020"</f>
        <v>0020</v>
      </c>
      <c r="X2336" s="1" t="s">
        <v>29</v>
      </c>
    </row>
    <row r="2337" spans="1:24" x14ac:dyDescent="0.3">
      <c r="A2337" s="1" t="str">
        <f t="shared" si="435"/>
        <v>59809</v>
      </c>
      <c r="B2337" s="1" t="s">
        <v>42</v>
      </c>
      <c r="C2337" s="1" t="s">
        <v>43</v>
      </c>
      <c r="D2337" s="1" t="str">
        <f t="shared" si="439"/>
        <v>9801</v>
      </c>
      <c r="E2337" s="1" t="s">
        <v>25</v>
      </c>
      <c r="F2337" s="1" t="str">
        <f>"980329205"</f>
        <v>980329205</v>
      </c>
      <c r="G2337" s="1" t="s">
        <v>33</v>
      </c>
      <c r="H2337" s="1" t="str">
        <f t="shared" si="436"/>
        <v>20220911</v>
      </c>
      <c r="I2337" s="1" t="str">
        <f>"175120"</f>
        <v>175120</v>
      </c>
      <c r="J2337" s="1" t="s">
        <v>28</v>
      </c>
      <c r="K2337" s="1" t="s">
        <v>28</v>
      </c>
      <c r="L2337" s="1" t="str">
        <f t="shared" si="437"/>
        <v>20220911</v>
      </c>
      <c r="M2337" s="1" t="str">
        <f>"182301"</f>
        <v>182301</v>
      </c>
      <c r="N2337" s="1" t="s">
        <v>52</v>
      </c>
      <c r="O2337" s="1" t="s">
        <v>52</v>
      </c>
      <c r="P2337" s="1" t="s">
        <v>55</v>
      </c>
      <c r="Q2337" s="1">
        <v>25</v>
      </c>
      <c r="R2337" s="1">
        <v>25</v>
      </c>
      <c r="S2337" s="1">
        <v>0</v>
      </c>
      <c r="T2337" s="1">
        <v>0</v>
      </c>
      <c r="U2337" s="1">
        <v>0</v>
      </c>
      <c r="V2337" s="1" t="str">
        <f t="shared" si="440"/>
        <v>里程返程</v>
      </c>
      <c r="W2337" s="1" t="str">
        <f>"2220"</f>
        <v>2220</v>
      </c>
      <c r="X2337" s="1" t="s">
        <v>35</v>
      </c>
    </row>
    <row r="2338" spans="1:24" x14ac:dyDescent="0.3">
      <c r="A2338" s="1" t="str">
        <f t="shared" ref="A2338:A2358" si="441">"59809"</f>
        <v>59809</v>
      </c>
      <c r="B2338" s="1" t="s">
        <v>42</v>
      </c>
      <c r="C2338" s="1" t="s">
        <v>43</v>
      </c>
      <c r="D2338" s="1" t="str">
        <f t="shared" si="439"/>
        <v>9801</v>
      </c>
      <c r="E2338" s="1" t="s">
        <v>25</v>
      </c>
      <c r="F2338" s="1" t="str">
        <f>"159462593"</f>
        <v>159462593</v>
      </c>
      <c r="G2338" s="1" t="s">
        <v>33</v>
      </c>
      <c r="H2338" s="1" t="str">
        <f t="shared" si="436"/>
        <v>20220911</v>
      </c>
      <c r="I2338" s="1" t="str">
        <f>"175207"</f>
        <v>175207</v>
      </c>
      <c r="J2338" s="1" t="s">
        <v>28</v>
      </c>
      <c r="K2338" s="1" t="s">
        <v>28</v>
      </c>
      <c r="L2338" s="1" t="str">
        <f t="shared" ref="L2338:L2369" si="442">"20220911"</f>
        <v>20220911</v>
      </c>
      <c r="M2338" s="1" t="str">
        <f>"181812"</f>
        <v>181812</v>
      </c>
      <c r="N2338" s="1" t="s">
        <v>51</v>
      </c>
      <c r="O2338" s="1" t="s">
        <v>52</v>
      </c>
      <c r="P2338" s="1" t="s">
        <v>55</v>
      </c>
      <c r="Q2338" s="1">
        <v>25</v>
      </c>
      <c r="R2338" s="1">
        <v>25</v>
      </c>
      <c r="S2338" s="1">
        <v>0</v>
      </c>
      <c r="T2338" s="1">
        <v>0</v>
      </c>
      <c r="U2338" s="1">
        <v>0</v>
      </c>
      <c r="V2338" s="1" t="str">
        <f t="shared" si="440"/>
        <v>里程返程</v>
      </c>
      <c r="W2338" s="1" t="str">
        <f>"2020"</f>
        <v>2020</v>
      </c>
      <c r="X2338" s="1" t="s">
        <v>35</v>
      </c>
    </row>
    <row r="2339" spans="1:24" x14ac:dyDescent="0.3">
      <c r="A2339" s="1" t="str">
        <f t="shared" si="441"/>
        <v>59809</v>
      </c>
      <c r="B2339" s="1" t="s">
        <v>42</v>
      </c>
      <c r="C2339" s="1" t="s">
        <v>43</v>
      </c>
      <c r="D2339" s="1" t="str">
        <f t="shared" si="439"/>
        <v>9801</v>
      </c>
      <c r="E2339" s="1" t="s">
        <v>25</v>
      </c>
      <c r="F2339" s="1" t="str">
        <f>"F2F7F100F4880400C801002000000015"</f>
        <v>F2F7F100F4880400C801002000000015</v>
      </c>
      <c r="G2339" s="1" t="s">
        <v>58</v>
      </c>
      <c r="H2339" s="1" t="str">
        <f t="shared" si="436"/>
        <v>20220911</v>
      </c>
      <c r="I2339" s="1" t="str">
        <f>"175219"</f>
        <v>175219</v>
      </c>
      <c r="J2339" s="1" t="s">
        <v>28</v>
      </c>
      <c r="K2339" s="1" t="s">
        <v>28</v>
      </c>
      <c r="L2339" s="1" t="str">
        <f t="shared" si="442"/>
        <v>20220911</v>
      </c>
      <c r="M2339" s="1" t="str">
        <f>"182239"</f>
        <v>182239</v>
      </c>
      <c r="N2339" s="1" t="s">
        <v>52</v>
      </c>
      <c r="O2339" s="1" t="s">
        <v>52</v>
      </c>
      <c r="P2339" s="1" t="s">
        <v>55</v>
      </c>
      <c r="Q2339" s="1">
        <v>25</v>
      </c>
      <c r="R2339" s="1">
        <v>25</v>
      </c>
      <c r="S2339" s="1">
        <v>0</v>
      </c>
      <c r="T2339" s="1">
        <v>0</v>
      </c>
      <c r="U2339" s="1">
        <v>0</v>
      </c>
      <c r="V2339" s="1" t="str">
        <f t="shared" si="440"/>
        <v>里程返程</v>
      </c>
      <c r="W2339" s="1" t="str">
        <f>"0020"</f>
        <v>0020</v>
      </c>
      <c r="X2339" s="1" t="s">
        <v>29</v>
      </c>
    </row>
    <row r="2340" spans="1:24" x14ac:dyDescent="0.3">
      <c r="A2340" s="1" t="str">
        <f t="shared" si="441"/>
        <v>59809</v>
      </c>
      <c r="B2340" s="1" t="s">
        <v>42</v>
      </c>
      <c r="C2340" s="1" t="s">
        <v>43</v>
      </c>
      <c r="D2340" s="1" t="str">
        <f t="shared" si="439"/>
        <v>9801</v>
      </c>
      <c r="E2340" s="1" t="s">
        <v>25</v>
      </c>
      <c r="F2340" s="1" t="str">
        <f>"A2394502DC880400C821002000000015"</f>
        <v>A2394502DC880400C821002000000015</v>
      </c>
      <c r="G2340" s="1" t="s">
        <v>26</v>
      </c>
      <c r="H2340" s="1" t="str">
        <f t="shared" si="436"/>
        <v>20220911</v>
      </c>
      <c r="I2340" s="1" t="str">
        <f>"175224"</f>
        <v>175224</v>
      </c>
      <c r="J2340" s="1" t="s">
        <v>28</v>
      </c>
      <c r="K2340" s="1" t="s">
        <v>28</v>
      </c>
      <c r="L2340" s="1" t="str">
        <f t="shared" si="442"/>
        <v>20220911</v>
      </c>
      <c r="M2340" s="1" t="str">
        <f>"181830"</f>
        <v>181830</v>
      </c>
      <c r="N2340" s="1" t="s">
        <v>51</v>
      </c>
      <c r="O2340" s="1" t="s">
        <v>52</v>
      </c>
      <c r="P2340" s="1" t="s">
        <v>68</v>
      </c>
      <c r="Q2340" s="1">
        <v>13</v>
      </c>
      <c r="R2340" s="1">
        <v>0</v>
      </c>
      <c r="S2340" s="1">
        <v>0</v>
      </c>
      <c r="T2340" s="1">
        <v>13</v>
      </c>
      <c r="U2340" s="1">
        <v>0</v>
      </c>
      <c r="V2340" s="1" t="str">
        <f t="shared" si="440"/>
        <v>里程返程</v>
      </c>
      <c r="W2340" s="1" t="str">
        <f>"0020"</f>
        <v>0020</v>
      </c>
      <c r="X2340" s="1" t="s">
        <v>29</v>
      </c>
    </row>
    <row r="2341" spans="1:24" x14ac:dyDescent="0.3">
      <c r="A2341" s="1" t="str">
        <f t="shared" si="441"/>
        <v>59809</v>
      </c>
      <c r="B2341" s="1" t="s">
        <v>42</v>
      </c>
      <c r="C2341" s="1" t="s">
        <v>43</v>
      </c>
      <c r="D2341" s="1" t="str">
        <f t="shared" si="439"/>
        <v>9801</v>
      </c>
      <c r="E2341" s="1" t="s">
        <v>25</v>
      </c>
      <c r="F2341" s="1" t="str">
        <f>"1024701937"</f>
        <v>1024701937</v>
      </c>
      <c r="G2341" s="1" t="s">
        <v>33</v>
      </c>
      <c r="H2341" s="1" t="str">
        <f t="shared" si="436"/>
        <v>20220911</v>
      </c>
      <c r="I2341" s="1" t="str">
        <f>"175343"</f>
        <v>175343</v>
      </c>
      <c r="J2341" s="1" t="s">
        <v>28</v>
      </c>
      <c r="K2341" s="1" t="s">
        <v>28</v>
      </c>
      <c r="L2341" s="1" t="str">
        <f t="shared" si="442"/>
        <v>20220911</v>
      </c>
      <c r="M2341" s="1" t="str">
        <f>"182257"</f>
        <v>182257</v>
      </c>
      <c r="N2341" s="1" t="s">
        <v>52</v>
      </c>
      <c r="O2341" s="1" t="s">
        <v>52</v>
      </c>
      <c r="P2341" s="1" t="s">
        <v>55</v>
      </c>
      <c r="Q2341" s="1">
        <v>25</v>
      </c>
      <c r="R2341" s="1">
        <v>25</v>
      </c>
      <c r="S2341" s="1">
        <v>0</v>
      </c>
      <c r="T2341" s="1">
        <v>0</v>
      </c>
      <c r="U2341" s="1">
        <v>0</v>
      </c>
      <c r="V2341" s="1" t="str">
        <f t="shared" si="440"/>
        <v>里程返程</v>
      </c>
      <c r="W2341" s="1" t="str">
        <f>"2020"</f>
        <v>2020</v>
      </c>
      <c r="X2341" s="1" t="s">
        <v>35</v>
      </c>
    </row>
    <row r="2342" spans="1:24" x14ac:dyDescent="0.3">
      <c r="A2342" s="1" t="str">
        <f t="shared" si="441"/>
        <v>59809</v>
      </c>
      <c r="B2342" s="1" t="s">
        <v>42</v>
      </c>
      <c r="C2342" s="1" t="s">
        <v>43</v>
      </c>
      <c r="D2342" s="1" t="str">
        <f t="shared" si="439"/>
        <v>9801</v>
      </c>
      <c r="E2342" s="1" t="s">
        <v>25</v>
      </c>
      <c r="F2342" s="1" t="str">
        <f>"752197777"</f>
        <v>752197777</v>
      </c>
      <c r="G2342" s="1" t="s">
        <v>33</v>
      </c>
      <c r="H2342" s="1" t="str">
        <f t="shared" si="436"/>
        <v>20220911</v>
      </c>
      <c r="I2342" s="1" t="str">
        <f>"185319"</f>
        <v>185319</v>
      </c>
      <c r="J2342" s="1" t="s">
        <v>28</v>
      </c>
      <c r="K2342" s="1" t="s">
        <v>28</v>
      </c>
      <c r="L2342" s="1" t="str">
        <f t="shared" si="442"/>
        <v>20220911</v>
      </c>
      <c r="M2342" s="1" t="str">
        <f>"190854"</f>
        <v>190854</v>
      </c>
      <c r="N2342" s="1" t="s">
        <v>77</v>
      </c>
      <c r="O2342" s="1" t="s">
        <v>52</v>
      </c>
      <c r="P2342" s="1" t="s">
        <v>55</v>
      </c>
      <c r="Q2342" s="1">
        <v>25</v>
      </c>
      <c r="R2342" s="1">
        <v>25</v>
      </c>
      <c r="S2342" s="1">
        <v>0</v>
      </c>
      <c r="T2342" s="1">
        <v>0</v>
      </c>
      <c r="U2342" s="1">
        <v>0</v>
      </c>
      <c r="V2342" s="1" t="str">
        <f t="shared" si="440"/>
        <v>里程返程</v>
      </c>
      <c r="W2342" s="1" t="str">
        <f>"0320"</f>
        <v>0320</v>
      </c>
      <c r="X2342" s="1" t="s">
        <v>35</v>
      </c>
    </row>
    <row r="2343" spans="1:24" x14ac:dyDescent="0.3">
      <c r="A2343" s="1" t="str">
        <f t="shared" si="441"/>
        <v>59809</v>
      </c>
      <c r="B2343" s="1" t="s">
        <v>42</v>
      </c>
      <c r="C2343" s="1" t="s">
        <v>43</v>
      </c>
      <c r="D2343" s="1" t="str">
        <f t="shared" si="439"/>
        <v>9801</v>
      </c>
      <c r="E2343" s="1" t="s">
        <v>25</v>
      </c>
      <c r="F2343" s="1" t="str">
        <f>"281610544"</f>
        <v>281610544</v>
      </c>
      <c r="G2343" s="1" t="s">
        <v>33</v>
      </c>
      <c r="H2343" s="1" t="str">
        <f t="shared" si="436"/>
        <v>20220911</v>
      </c>
      <c r="I2343" s="1" t="str">
        <f>"185322"</f>
        <v>185322</v>
      </c>
      <c r="J2343" s="1" t="s">
        <v>28</v>
      </c>
      <c r="K2343" s="1" t="s">
        <v>28</v>
      </c>
      <c r="L2343" s="1" t="str">
        <f t="shared" si="442"/>
        <v>20220911</v>
      </c>
      <c r="M2343" s="1" t="str">
        <f>"191357"</f>
        <v>191357</v>
      </c>
      <c r="N2343" s="1" t="s">
        <v>72</v>
      </c>
      <c r="O2343" s="1" t="s">
        <v>52</v>
      </c>
      <c r="P2343" s="1" t="s">
        <v>55</v>
      </c>
      <c r="Q2343" s="1">
        <v>25</v>
      </c>
      <c r="R2343" s="1">
        <v>0</v>
      </c>
      <c r="S2343" s="1">
        <v>25</v>
      </c>
      <c r="T2343" s="1">
        <v>0</v>
      </c>
      <c r="U2343" s="1">
        <v>0</v>
      </c>
      <c r="V2343" s="1" t="str">
        <f t="shared" si="440"/>
        <v>里程返程</v>
      </c>
      <c r="W2343" s="1" t="str">
        <f>"0820"</f>
        <v>0820</v>
      </c>
      <c r="X2343" s="1" t="s">
        <v>35</v>
      </c>
    </row>
    <row r="2344" spans="1:24" x14ac:dyDescent="0.3">
      <c r="A2344" s="1" t="str">
        <f t="shared" si="441"/>
        <v>59809</v>
      </c>
      <c r="B2344" s="1" t="s">
        <v>42</v>
      </c>
      <c r="C2344" s="1" t="s">
        <v>43</v>
      </c>
      <c r="D2344" s="1" t="str">
        <f t="shared" si="439"/>
        <v>9801</v>
      </c>
      <c r="E2344" s="1" t="s">
        <v>25</v>
      </c>
      <c r="F2344" s="1" t="str">
        <f>"6203D912AA28040080CEBCD765212818"</f>
        <v>6203D912AA28040080CEBCD765212818</v>
      </c>
      <c r="G2344" s="1" t="s">
        <v>58</v>
      </c>
      <c r="H2344" s="1" t="str">
        <f t="shared" si="436"/>
        <v>20220911</v>
      </c>
      <c r="I2344" s="1" t="str">
        <f>"185337"</f>
        <v>185337</v>
      </c>
      <c r="J2344" s="1" t="s">
        <v>28</v>
      </c>
      <c r="K2344" s="1" t="s">
        <v>28</v>
      </c>
      <c r="L2344" s="1" t="str">
        <f t="shared" si="442"/>
        <v>20220911</v>
      </c>
      <c r="M2344" s="1" t="str">
        <f>"190339"</f>
        <v>190339</v>
      </c>
      <c r="N2344" s="1" t="s">
        <v>67</v>
      </c>
      <c r="O2344" s="1" t="s">
        <v>52</v>
      </c>
      <c r="P2344" s="1" t="s">
        <v>55</v>
      </c>
      <c r="Q2344" s="1">
        <v>25</v>
      </c>
      <c r="R2344" s="1">
        <v>25</v>
      </c>
      <c r="S2344" s="1">
        <v>0</v>
      </c>
      <c r="T2344" s="1">
        <v>0</v>
      </c>
      <c r="U2344" s="1">
        <v>0</v>
      </c>
      <c r="V2344" s="1" t="str">
        <f t="shared" si="440"/>
        <v>里程返程</v>
      </c>
      <c r="W2344" s="1" t="str">
        <f>"0020"</f>
        <v>0020</v>
      </c>
      <c r="X2344" s="1" t="s">
        <v>29</v>
      </c>
    </row>
    <row r="2345" spans="1:24" x14ac:dyDescent="0.3">
      <c r="A2345" s="1" t="str">
        <f t="shared" si="441"/>
        <v>59809</v>
      </c>
      <c r="B2345" s="1" t="s">
        <v>42</v>
      </c>
      <c r="C2345" s="1" t="s">
        <v>43</v>
      </c>
      <c r="D2345" s="1" t="str">
        <f t="shared" si="439"/>
        <v>9801</v>
      </c>
      <c r="E2345" s="1" t="s">
        <v>25</v>
      </c>
      <c r="F2345" s="1" t="str">
        <f>"4243C413D6880400C831002000000018"</f>
        <v>4243C413D6880400C831002000000018</v>
      </c>
      <c r="G2345" s="1" t="s">
        <v>58</v>
      </c>
      <c r="H2345" s="1" t="str">
        <f t="shared" si="436"/>
        <v>20220911</v>
      </c>
      <c r="I2345" s="1" t="str">
        <f>"185341"</f>
        <v>185341</v>
      </c>
      <c r="J2345" s="1" t="s">
        <v>28</v>
      </c>
      <c r="K2345" s="1" t="s">
        <v>28</v>
      </c>
      <c r="L2345" s="1" t="str">
        <f t="shared" si="442"/>
        <v>20220911</v>
      </c>
      <c r="M2345" s="1" t="str">
        <f>"190333"</f>
        <v>190333</v>
      </c>
      <c r="N2345" s="1" t="s">
        <v>67</v>
      </c>
      <c r="O2345" s="1" t="s">
        <v>52</v>
      </c>
      <c r="P2345" s="1" t="s">
        <v>55</v>
      </c>
      <c r="Q2345" s="1">
        <v>25</v>
      </c>
      <c r="R2345" s="1">
        <v>25</v>
      </c>
      <c r="S2345" s="1">
        <v>0</v>
      </c>
      <c r="T2345" s="1">
        <v>0</v>
      </c>
      <c r="U2345" s="1">
        <v>0</v>
      </c>
      <c r="V2345" s="1" t="str">
        <f t="shared" si="440"/>
        <v>里程返程</v>
      </c>
      <c r="W2345" s="1" t="str">
        <f>"0020"</f>
        <v>0020</v>
      </c>
      <c r="X2345" s="1" t="s">
        <v>29</v>
      </c>
    </row>
    <row r="2346" spans="1:24" x14ac:dyDescent="0.3">
      <c r="A2346" s="1" t="str">
        <f t="shared" si="441"/>
        <v>59809</v>
      </c>
      <c r="B2346" s="1" t="s">
        <v>42</v>
      </c>
      <c r="C2346" s="1" t="s">
        <v>43</v>
      </c>
      <c r="D2346" s="1" t="str">
        <f t="shared" si="439"/>
        <v>9801</v>
      </c>
      <c r="E2346" s="1" t="s">
        <v>25</v>
      </c>
      <c r="F2346" s="1" t="str">
        <f>"265403360"</f>
        <v>265403360</v>
      </c>
      <c r="G2346" s="1" t="s">
        <v>33</v>
      </c>
      <c r="H2346" s="1" t="str">
        <f t="shared" si="436"/>
        <v>20220911</v>
      </c>
      <c r="I2346" s="1" t="str">
        <f>"185353"</f>
        <v>185353</v>
      </c>
      <c r="J2346" s="1" t="s">
        <v>28</v>
      </c>
      <c r="K2346" s="1" t="s">
        <v>28</v>
      </c>
      <c r="L2346" s="1" t="str">
        <f t="shared" si="442"/>
        <v>20220911</v>
      </c>
      <c r="M2346" s="1" t="str">
        <f>"192107"</f>
        <v>192107</v>
      </c>
      <c r="N2346" s="1" t="s">
        <v>52</v>
      </c>
      <c r="O2346" s="1" t="s">
        <v>52</v>
      </c>
      <c r="P2346" s="1" t="s">
        <v>55</v>
      </c>
      <c r="Q2346" s="1">
        <v>25</v>
      </c>
      <c r="R2346" s="1">
        <v>25</v>
      </c>
      <c r="S2346" s="1">
        <v>0</v>
      </c>
      <c r="T2346" s="1">
        <v>0</v>
      </c>
      <c r="U2346" s="1">
        <v>0</v>
      </c>
      <c r="V2346" s="1" t="str">
        <f t="shared" si="440"/>
        <v>里程返程</v>
      </c>
      <c r="W2346" s="1" t="str">
        <f>"0120"</f>
        <v>0120</v>
      </c>
      <c r="X2346" s="1" t="s">
        <v>35</v>
      </c>
    </row>
    <row r="2347" spans="1:24" x14ac:dyDescent="0.3">
      <c r="A2347" s="1" t="str">
        <f t="shared" si="441"/>
        <v>59809</v>
      </c>
      <c r="B2347" s="1" t="s">
        <v>42</v>
      </c>
      <c r="C2347" s="1" t="s">
        <v>43</v>
      </c>
      <c r="D2347" s="1" t="str">
        <f t="shared" si="439"/>
        <v>9801</v>
      </c>
      <c r="E2347" s="1" t="s">
        <v>25</v>
      </c>
      <c r="F2347" s="1" t="str">
        <f>"930875253"</f>
        <v>930875253</v>
      </c>
      <c r="G2347" s="1" t="s">
        <v>38</v>
      </c>
      <c r="H2347" s="1" t="str">
        <f t="shared" si="436"/>
        <v>20220911</v>
      </c>
      <c r="I2347" s="1" t="str">
        <f>"185417"</f>
        <v>185417</v>
      </c>
      <c r="J2347" s="1" t="s">
        <v>28</v>
      </c>
      <c r="K2347" s="1" t="s">
        <v>28</v>
      </c>
      <c r="L2347" s="1" t="str">
        <f t="shared" si="442"/>
        <v>20220911</v>
      </c>
      <c r="M2347" s="1" t="str">
        <f>"192114"</f>
        <v>192114</v>
      </c>
      <c r="N2347" s="1" t="s">
        <v>52</v>
      </c>
      <c r="O2347" s="1" t="s">
        <v>52</v>
      </c>
      <c r="P2347" s="1" t="s">
        <v>55</v>
      </c>
      <c r="Q2347" s="1">
        <v>25</v>
      </c>
      <c r="R2347" s="1">
        <v>25</v>
      </c>
      <c r="S2347" s="1">
        <v>0</v>
      </c>
      <c r="T2347" s="1">
        <v>0</v>
      </c>
      <c r="U2347" s="1">
        <v>0</v>
      </c>
      <c r="V2347" s="1" t="str">
        <f t="shared" si="440"/>
        <v>里程返程</v>
      </c>
      <c r="W2347" s="1" t="str">
        <f>"0820"</f>
        <v>0820</v>
      </c>
      <c r="X2347" s="1" t="s">
        <v>35</v>
      </c>
    </row>
    <row r="2348" spans="1:24" x14ac:dyDescent="0.3">
      <c r="A2348" s="1" t="str">
        <f t="shared" si="441"/>
        <v>59809</v>
      </c>
      <c r="B2348" s="1" t="s">
        <v>42</v>
      </c>
      <c r="C2348" s="1" t="s">
        <v>43</v>
      </c>
      <c r="D2348" s="1" t="str">
        <f t="shared" si="439"/>
        <v>9801</v>
      </c>
      <c r="E2348" s="1" t="s">
        <v>25</v>
      </c>
      <c r="F2348" s="1" t="str">
        <f>"1425603921"</f>
        <v>1425603921</v>
      </c>
      <c r="G2348" s="1" t="s">
        <v>33</v>
      </c>
      <c r="H2348" s="1" t="str">
        <f t="shared" si="436"/>
        <v>20220911</v>
      </c>
      <c r="I2348" s="1" t="str">
        <f>"200016"</f>
        <v>200016</v>
      </c>
      <c r="J2348" s="1" t="s">
        <v>52</v>
      </c>
      <c r="K2348" s="1" t="s">
        <v>52</v>
      </c>
      <c r="L2348" s="1" t="str">
        <f t="shared" si="442"/>
        <v>20220911</v>
      </c>
      <c r="M2348" s="1" t="str">
        <f>"200629"</f>
        <v>200629</v>
      </c>
      <c r="N2348" s="1" t="s">
        <v>51</v>
      </c>
      <c r="O2348" s="1" t="s">
        <v>52</v>
      </c>
      <c r="P2348" s="1" t="s">
        <v>55</v>
      </c>
      <c r="Q2348" s="1">
        <v>25</v>
      </c>
      <c r="R2348" s="1">
        <v>25</v>
      </c>
      <c r="S2348" s="1">
        <v>0</v>
      </c>
      <c r="T2348" s="1">
        <v>0</v>
      </c>
      <c r="U2348" s="1">
        <v>0</v>
      </c>
      <c r="V2348" s="1" t="str">
        <f>"里程去程"</f>
        <v>里程去程</v>
      </c>
      <c r="W2348" s="1" t="str">
        <f>"0a20"</f>
        <v>0a20</v>
      </c>
      <c r="X2348" s="1" t="s">
        <v>35</v>
      </c>
    </row>
    <row r="2349" spans="1:24" x14ac:dyDescent="0.3">
      <c r="A2349" s="1" t="str">
        <f t="shared" si="441"/>
        <v>59809</v>
      </c>
      <c r="B2349" s="1" t="s">
        <v>42</v>
      </c>
      <c r="C2349" s="1" t="s">
        <v>43</v>
      </c>
      <c r="D2349" s="1" t="str">
        <f t="shared" si="439"/>
        <v>9801</v>
      </c>
      <c r="E2349" s="1" t="s">
        <v>25</v>
      </c>
      <c r="F2349" s="1" t="str">
        <f>"92D08619DD880400C824002000000020"</f>
        <v>92D08619DD880400C824002000000020</v>
      </c>
      <c r="G2349" s="1" t="s">
        <v>59</v>
      </c>
      <c r="H2349" s="1" t="str">
        <f t="shared" si="436"/>
        <v>20220911</v>
      </c>
      <c r="I2349" s="1" t="str">
        <f>"202935"</f>
        <v>202935</v>
      </c>
      <c r="J2349" s="1" t="s">
        <v>27</v>
      </c>
      <c r="K2349" s="1" t="s">
        <v>28</v>
      </c>
      <c r="L2349" s="1" t="str">
        <f t="shared" si="442"/>
        <v>20220911</v>
      </c>
      <c r="M2349" s="1" t="str">
        <f>"204752"</f>
        <v>204752</v>
      </c>
      <c r="N2349" s="1" t="s">
        <v>56</v>
      </c>
      <c r="O2349" s="1" t="s">
        <v>45</v>
      </c>
      <c r="P2349" s="1" t="s">
        <v>55</v>
      </c>
      <c r="Q2349" s="1">
        <v>25</v>
      </c>
      <c r="R2349" s="1">
        <v>25</v>
      </c>
      <c r="S2349" s="1">
        <v>0</v>
      </c>
      <c r="T2349" s="1">
        <v>0</v>
      </c>
      <c r="U2349" s="1">
        <v>0</v>
      </c>
      <c r="V2349" s="1" t="str">
        <f>"里程去程"</f>
        <v>里程去程</v>
      </c>
      <c r="W2349" s="1" t="str">
        <f>"0020"</f>
        <v>0020</v>
      </c>
      <c r="X2349" s="1" t="s">
        <v>29</v>
      </c>
    </row>
    <row r="2350" spans="1:24" x14ac:dyDescent="0.3">
      <c r="A2350" s="1" t="str">
        <f t="shared" si="441"/>
        <v>59809</v>
      </c>
      <c r="B2350" s="1" t="s">
        <v>42</v>
      </c>
      <c r="C2350" s="1" t="s">
        <v>43</v>
      </c>
      <c r="D2350" s="1" t="str">
        <f t="shared" ref="D2350:D2358" si="443">"9805"</f>
        <v>9805</v>
      </c>
      <c r="E2350" s="1" t="s">
        <v>57</v>
      </c>
      <c r="F2350" s="1" t="str">
        <f>"585413487"</f>
        <v>585413487</v>
      </c>
      <c r="G2350" s="1" t="s">
        <v>33</v>
      </c>
      <c r="H2350" s="1" t="str">
        <f t="shared" si="436"/>
        <v>20220911</v>
      </c>
      <c r="I2350" s="1" t="str">
        <f>"205618"</f>
        <v>205618</v>
      </c>
      <c r="J2350" s="1" t="s">
        <v>52</v>
      </c>
      <c r="K2350" s="1" t="s">
        <v>52</v>
      </c>
      <c r="L2350" s="1" t="str">
        <f t="shared" si="442"/>
        <v>20220911</v>
      </c>
      <c r="M2350" s="1" t="str">
        <f>"211415"</f>
        <v>211415</v>
      </c>
      <c r="N2350" s="1" t="s">
        <v>28</v>
      </c>
      <c r="O2350" s="1" t="s">
        <v>28</v>
      </c>
      <c r="P2350" s="1" t="s">
        <v>55</v>
      </c>
      <c r="Q2350" s="1">
        <v>25</v>
      </c>
      <c r="R2350" s="1">
        <v>25</v>
      </c>
      <c r="S2350" s="1">
        <v>0</v>
      </c>
      <c r="T2350" s="1">
        <v>0</v>
      </c>
      <c r="U2350" s="1">
        <v>0</v>
      </c>
      <c r="V2350" s="1" t="str">
        <f>"里程返程"</f>
        <v>里程返程</v>
      </c>
      <c r="W2350" s="1" t="str">
        <f>"2020"</f>
        <v>2020</v>
      </c>
      <c r="X2350" s="1" t="s">
        <v>35</v>
      </c>
    </row>
    <row r="2351" spans="1:24" x14ac:dyDescent="0.3">
      <c r="A2351" s="1" t="str">
        <f t="shared" si="441"/>
        <v>59809</v>
      </c>
      <c r="B2351" s="1" t="s">
        <v>42</v>
      </c>
      <c r="C2351" s="1" t="s">
        <v>43</v>
      </c>
      <c r="D2351" s="1" t="str">
        <f t="shared" si="443"/>
        <v>9805</v>
      </c>
      <c r="E2351" s="1" t="s">
        <v>57</v>
      </c>
      <c r="F2351" s="1" t="str">
        <f>"1783806229"</f>
        <v>1783806229</v>
      </c>
      <c r="G2351" s="1" t="s">
        <v>33</v>
      </c>
      <c r="H2351" s="1" t="str">
        <f t="shared" si="436"/>
        <v>20220911</v>
      </c>
      <c r="I2351" s="1" t="str">
        <f>"205620"</f>
        <v>205620</v>
      </c>
      <c r="J2351" s="1" t="s">
        <v>52</v>
      </c>
      <c r="K2351" s="1" t="s">
        <v>52</v>
      </c>
      <c r="L2351" s="1" t="str">
        <f t="shared" si="442"/>
        <v>20220911</v>
      </c>
      <c r="M2351" s="1" t="str">
        <f>"211412"</f>
        <v>211412</v>
      </c>
      <c r="N2351" s="1" t="s">
        <v>28</v>
      </c>
      <c r="O2351" s="1" t="s">
        <v>28</v>
      </c>
      <c r="P2351" s="1" t="s">
        <v>55</v>
      </c>
      <c r="Q2351" s="1">
        <v>25</v>
      </c>
      <c r="R2351" s="1">
        <v>25</v>
      </c>
      <c r="S2351" s="1">
        <v>0</v>
      </c>
      <c r="T2351" s="1">
        <v>0</v>
      </c>
      <c r="U2351" s="1">
        <v>0</v>
      </c>
      <c r="V2351" s="1" t="str">
        <f>"里程返程"</f>
        <v>里程返程</v>
      </c>
      <c r="W2351" s="1" t="str">
        <f>"2020"</f>
        <v>2020</v>
      </c>
      <c r="X2351" s="1" t="s">
        <v>35</v>
      </c>
    </row>
    <row r="2352" spans="1:24" x14ac:dyDescent="0.3">
      <c r="A2352" s="1" t="str">
        <f t="shared" si="441"/>
        <v>59809</v>
      </c>
      <c r="B2352" s="1" t="s">
        <v>42</v>
      </c>
      <c r="C2352" s="1" t="s">
        <v>43</v>
      </c>
      <c r="D2352" s="1" t="str">
        <f t="shared" si="443"/>
        <v>9805</v>
      </c>
      <c r="E2352" s="1" t="s">
        <v>57</v>
      </c>
      <c r="F2352" s="1" t="str">
        <f>"895868389"</f>
        <v>895868389</v>
      </c>
      <c r="G2352" s="1" t="s">
        <v>33</v>
      </c>
      <c r="H2352" s="1" t="str">
        <f t="shared" si="436"/>
        <v>20220911</v>
      </c>
      <c r="I2352" s="1" t="str">
        <f>"211436"</f>
        <v>211436</v>
      </c>
      <c r="J2352" s="1" t="s">
        <v>28</v>
      </c>
      <c r="K2352" s="1" t="s">
        <v>28</v>
      </c>
      <c r="L2352" s="1" t="str">
        <f t="shared" si="442"/>
        <v>20220911</v>
      </c>
      <c r="M2352" s="1" t="str">
        <f>"213103"</f>
        <v>213103</v>
      </c>
      <c r="N2352" s="1" t="s">
        <v>56</v>
      </c>
      <c r="O2352" s="1" t="s">
        <v>28</v>
      </c>
      <c r="P2352" s="1" t="s">
        <v>55</v>
      </c>
      <c r="Q2352" s="1">
        <v>25</v>
      </c>
      <c r="R2352" s="1">
        <v>25</v>
      </c>
      <c r="S2352" s="1">
        <v>0</v>
      </c>
      <c r="T2352" s="1">
        <v>0</v>
      </c>
      <c r="U2352" s="1">
        <v>0</v>
      </c>
      <c r="V2352" s="1" t="str">
        <f>"里程去程"</f>
        <v>里程去程</v>
      </c>
      <c r="W2352" s="1" t="str">
        <f>"2020"</f>
        <v>2020</v>
      </c>
      <c r="X2352" s="1" t="s">
        <v>35</v>
      </c>
    </row>
    <row r="2353" spans="1:24" x14ac:dyDescent="0.3">
      <c r="A2353" s="1" t="str">
        <f t="shared" si="441"/>
        <v>59809</v>
      </c>
      <c r="B2353" s="1" t="s">
        <v>42</v>
      </c>
      <c r="C2353" s="1" t="s">
        <v>43</v>
      </c>
      <c r="D2353" s="1" t="str">
        <f t="shared" si="443"/>
        <v>9805</v>
      </c>
      <c r="E2353" s="1" t="s">
        <v>57</v>
      </c>
      <c r="F2353" s="1" t="str">
        <f>"1103653621"</f>
        <v>1103653621</v>
      </c>
      <c r="G2353" s="1" t="s">
        <v>38</v>
      </c>
      <c r="H2353" s="1" t="str">
        <f t="shared" si="436"/>
        <v>20220911</v>
      </c>
      <c r="I2353" s="1" t="str">
        <f>"211441"</f>
        <v>211441</v>
      </c>
      <c r="J2353" s="1" t="s">
        <v>28</v>
      </c>
      <c r="K2353" s="1" t="s">
        <v>28</v>
      </c>
      <c r="L2353" s="1" t="str">
        <f t="shared" si="442"/>
        <v>20220911</v>
      </c>
      <c r="M2353" s="1" t="str">
        <f>"213100"</f>
        <v>213100</v>
      </c>
      <c r="N2353" s="1" t="s">
        <v>56</v>
      </c>
      <c r="O2353" s="1" t="s">
        <v>28</v>
      </c>
      <c r="P2353" s="1" t="s">
        <v>55</v>
      </c>
      <c r="Q2353" s="1">
        <v>25</v>
      </c>
      <c r="R2353" s="1">
        <v>25</v>
      </c>
      <c r="S2353" s="1">
        <v>0</v>
      </c>
      <c r="T2353" s="1">
        <v>0</v>
      </c>
      <c r="U2353" s="1">
        <v>0</v>
      </c>
      <c r="V2353" s="1" t="str">
        <f>"里程去程"</f>
        <v>里程去程</v>
      </c>
      <c r="W2353" s="1" t="str">
        <f>"2020"</f>
        <v>2020</v>
      </c>
      <c r="X2353" s="1" t="s">
        <v>35</v>
      </c>
    </row>
    <row r="2354" spans="1:24" x14ac:dyDescent="0.3">
      <c r="A2354" s="1" t="str">
        <f t="shared" si="441"/>
        <v>59809</v>
      </c>
      <c r="B2354" s="1" t="s">
        <v>42</v>
      </c>
      <c r="C2354" s="1" t="s">
        <v>43</v>
      </c>
      <c r="D2354" s="1" t="str">
        <f t="shared" si="443"/>
        <v>9805</v>
      </c>
      <c r="E2354" s="1" t="s">
        <v>57</v>
      </c>
      <c r="F2354" s="1" t="str">
        <f>"904946181"</f>
        <v>904946181</v>
      </c>
      <c r="G2354" s="1" t="s">
        <v>33</v>
      </c>
      <c r="H2354" s="1" t="str">
        <f t="shared" si="436"/>
        <v>20220911</v>
      </c>
      <c r="I2354" s="1" t="str">
        <f>"211447"</f>
        <v>211447</v>
      </c>
      <c r="J2354" s="1" t="s">
        <v>28</v>
      </c>
      <c r="K2354" s="1" t="s">
        <v>28</v>
      </c>
      <c r="L2354" s="1" t="str">
        <f t="shared" si="442"/>
        <v>20220911</v>
      </c>
      <c r="M2354" s="1" t="str">
        <f>"213051"</f>
        <v>213051</v>
      </c>
      <c r="N2354" s="1" t="s">
        <v>56</v>
      </c>
      <c r="O2354" s="1" t="s">
        <v>28</v>
      </c>
      <c r="P2354" s="1" t="s">
        <v>55</v>
      </c>
      <c r="Q2354" s="1">
        <v>25</v>
      </c>
      <c r="R2354" s="1">
        <v>25</v>
      </c>
      <c r="S2354" s="1">
        <v>0</v>
      </c>
      <c r="T2354" s="1">
        <v>0</v>
      </c>
      <c r="U2354" s="1">
        <v>0</v>
      </c>
      <c r="V2354" s="1" t="str">
        <f>"里程去程"</f>
        <v>里程去程</v>
      </c>
      <c r="W2354" s="1" t="str">
        <f>"2020"</f>
        <v>2020</v>
      </c>
      <c r="X2354" s="1" t="s">
        <v>35</v>
      </c>
    </row>
    <row r="2355" spans="1:24" x14ac:dyDescent="0.3">
      <c r="A2355" s="1" t="str">
        <f t="shared" si="441"/>
        <v>59809</v>
      </c>
      <c r="B2355" s="1" t="s">
        <v>42</v>
      </c>
      <c r="C2355" s="1" t="s">
        <v>43</v>
      </c>
      <c r="D2355" s="1" t="str">
        <f t="shared" si="443"/>
        <v>9805</v>
      </c>
      <c r="E2355" s="1" t="s">
        <v>57</v>
      </c>
      <c r="F2355" s="1" t="str">
        <f>"3822937454"</f>
        <v>3822937454</v>
      </c>
      <c r="G2355" s="1" t="s">
        <v>33</v>
      </c>
      <c r="H2355" s="1" t="str">
        <f t="shared" si="436"/>
        <v>20220911</v>
      </c>
      <c r="I2355" s="1" t="str">
        <f>"211450"</f>
        <v>211450</v>
      </c>
      <c r="J2355" s="1" t="s">
        <v>28</v>
      </c>
      <c r="K2355" s="1" t="s">
        <v>28</v>
      </c>
      <c r="L2355" s="1" t="str">
        <f t="shared" si="442"/>
        <v>20220911</v>
      </c>
      <c r="M2355" s="1" t="str">
        <f>"213057"</f>
        <v>213057</v>
      </c>
      <c r="N2355" s="1" t="s">
        <v>56</v>
      </c>
      <c r="O2355" s="1" t="s">
        <v>28</v>
      </c>
      <c r="P2355" s="1" t="s">
        <v>55</v>
      </c>
      <c r="Q2355" s="1">
        <v>25</v>
      </c>
      <c r="R2355" s="1">
        <v>25</v>
      </c>
      <c r="S2355" s="1">
        <v>0</v>
      </c>
      <c r="T2355" s="1">
        <v>0</v>
      </c>
      <c r="U2355" s="1">
        <v>0</v>
      </c>
      <c r="V2355" s="1" t="str">
        <f>"里程去程"</f>
        <v>里程去程</v>
      </c>
      <c r="W2355" s="1" t="str">
        <f>"1620"</f>
        <v>1620</v>
      </c>
      <c r="X2355" s="1" t="s">
        <v>35</v>
      </c>
    </row>
    <row r="2356" spans="1:24" x14ac:dyDescent="0.3">
      <c r="A2356" s="1" t="str">
        <f t="shared" si="441"/>
        <v>59809</v>
      </c>
      <c r="B2356" s="1" t="s">
        <v>42</v>
      </c>
      <c r="C2356" s="1" t="s">
        <v>43</v>
      </c>
      <c r="D2356" s="1" t="str">
        <f t="shared" si="443"/>
        <v>9805</v>
      </c>
      <c r="E2356" s="1" t="s">
        <v>57</v>
      </c>
      <c r="F2356" s="1" t="str">
        <f>"1412281841"</f>
        <v>1412281841</v>
      </c>
      <c r="G2356" s="1" t="s">
        <v>33</v>
      </c>
      <c r="H2356" s="1" t="str">
        <f t="shared" si="436"/>
        <v>20220911</v>
      </c>
      <c r="I2356" s="1" t="str">
        <f>"213414"</f>
        <v>213414</v>
      </c>
      <c r="J2356" s="1" t="s">
        <v>52</v>
      </c>
      <c r="K2356" s="1" t="s">
        <v>52</v>
      </c>
      <c r="L2356" s="1" t="str">
        <f t="shared" si="442"/>
        <v>20220911</v>
      </c>
      <c r="M2356" s="1" t="str">
        <f>"215424"</f>
        <v>215424</v>
      </c>
      <c r="N2356" s="1" t="s">
        <v>28</v>
      </c>
      <c r="O2356" s="1" t="s">
        <v>28</v>
      </c>
      <c r="P2356" s="1" t="s">
        <v>55</v>
      </c>
      <c r="Q2356" s="1">
        <v>25</v>
      </c>
      <c r="R2356" s="1">
        <v>0</v>
      </c>
      <c r="S2356" s="1">
        <v>25</v>
      </c>
      <c r="T2356" s="1">
        <v>0</v>
      </c>
      <c r="U2356" s="1">
        <v>0</v>
      </c>
      <c r="V2356" s="1" t="str">
        <f t="shared" ref="V2356:V2364" si="444">"里程返程"</f>
        <v>里程返程</v>
      </c>
      <c r="W2356" s="1" t="str">
        <f>"2120"</f>
        <v>2120</v>
      </c>
      <c r="X2356" s="1" t="s">
        <v>35</v>
      </c>
    </row>
    <row r="2357" spans="1:24" x14ac:dyDescent="0.3">
      <c r="A2357" s="1" t="str">
        <f t="shared" si="441"/>
        <v>59809</v>
      </c>
      <c r="B2357" s="1" t="s">
        <v>42</v>
      </c>
      <c r="C2357" s="1" t="s">
        <v>43</v>
      </c>
      <c r="D2357" s="1" t="str">
        <f t="shared" si="443"/>
        <v>9805</v>
      </c>
      <c r="E2357" s="1" t="s">
        <v>57</v>
      </c>
      <c r="F2357" s="1" t="str">
        <f>"242292725"</f>
        <v>242292725</v>
      </c>
      <c r="G2357" s="1" t="s">
        <v>33</v>
      </c>
      <c r="H2357" s="1" t="str">
        <f t="shared" si="436"/>
        <v>20220911</v>
      </c>
      <c r="I2357" s="1" t="str">
        <f>"214527"</f>
        <v>214527</v>
      </c>
      <c r="J2357" s="1" t="s">
        <v>94</v>
      </c>
      <c r="K2357" s="1" t="s">
        <v>28</v>
      </c>
      <c r="L2357" s="1" t="str">
        <f t="shared" si="442"/>
        <v>20220911</v>
      </c>
      <c r="M2357" s="1" t="str">
        <f>"215418"</f>
        <v>215418</v>
      </c>
      <c r="N2357" s="1" t="s">
        <v>28</v>
      </c>
      <c r="O2357" s="1" t="s">
        <v>28</v>
      </c>
      <c r="P2357" s="1" t="s">
        <v>55</v>
      </c>
      <c r="Q2357" s="1">
        <v>25</v>
      </c>
      <c r="R2357" s="1">
        <v>25</v>
      </c>
      <c r="S2357" s="1">
        <v>0</v>
      </c>
      <c r="T2357" s="1">
        <v>0</v>
      </c>
      <c r="U2357" s="1">
        <v>0</v>
      </c>
      <c r="V2357" s="1" t="str">
        <f t="shared" si="444"/>
        <v>里程返程</v>
      </c>
      <c r="W2357" s="1" t="str">
        <f>"0820"</f>
        <v>0820</v>
      </c>
      <c r="X2357" s="1" t="s">
        <v>35</v>
      </c>
    </row>
    <row r="2358" spans="1:24" x14ac:dyDescent="0.3">
      <c r="A2358" s="1" t="str">
        <f t="shared" si="441"/>
        <v>59809</v>
      </c>
      <c r="B2358" s="1" t="s">
        <v>42</v>
      </c>
      <c r="C2358" s="1" t="s">
        <v>43</v>
      </c>
      <c r="D2358" s="1" t="str">
        <f t="shared" si="443"/>
        <v>9805</v>
      </c>
      <c r="E2358" s="1" t="s">
        <v>57</v>
      </c>
      <c r="F2358" s="1" t="str">
        <f>"1744370757"</f>
        <v>1744370757</v>
      </c>
      <c r="G2358" s="1" t="s">
        <v>33</v>
      </c>
      <c r="H2358" s="1" t="str">
        <f t="shared" si="436"/>
        <v>20220911</v>
      </c>
      <c r="I2358" s="1" t="str">
        <f>"214535"</f>
        <v>214535</v>
      </c>
      <c r="J2358" s="1" t="s">
        <v>94</v>
      </c>
      <c r="K2358" s="1" t="s">
        <v>28</v>
      </c>
      <c r="L2358" s="1" t="str">
        <f t="shared" si="442"/>
        <v>20220911</v>
      </c>
      <c r="M2358" s="1" t="str">
        <f>"215427"</f>
        <v>215427</v>
      </c>
      <c r="N2358" s="1" t="s">
        <v>28</v>
      </c>
      <c r="O2358" s="1" t="s">
        <v>28</v>
      </c>
      <c r="P2358" s="1" t="s">
        <v>55</v>
      </c>
      <c r="Q2358" s="1">
        <v>25</v>
      </c>
      <c r="R2358" s="1">
        <v>25</v>
      </c>
      <c r="S2358" s="1">
        <v>0</v>
      </c>
      <c r="T2358" s="1">
        <v>0</v>
      </c>
      <c r="U2358" s="1">
        <v>0</v>
      </c>
      <c r="V2358" s="1" t="str">
        <f t="shared" si="444"/>
        <v>里程返程</v>
      </c>
      <c r="W2358" s="1" t="str">
        <f>"2120"</f>
        <v>2120</v>
      </c>
      <c r="X2358" s="1" t="s">
        <v>35</v>
      </c>
    </row>
    <row r="2359" spans="1:24" x14ac:dyDescent="0.3">
      <c r="A2359" s="1" t="str">
        <f t="shared" ref="A2359:A2390" si="445">"59820"</f>
        <v>59820</v>
      </c>
      <c r="B2359" s="1" t="s">
        <v>53</v>
      </c>
      <c r="C2359" s="1" t="s">
        <v>54</v>
      </c>
      <c r="D2359" s="1" t="str">
        <f>"9803"</f>
        <v>9803</v>
      </c>
      <c r="E2359" s="1" t="s">
        <v>32</v>
      </c>
      <c r="F2359" s="1" t="str">
        <f>"1652987973"</f>
        <v>1652987973</v>
      </c>
      <c r="G2359" s="1" t="s">
        <v>33</v>
      </c>
      <c r="H2359" s="1" t="str">
        <f t="shared" si="436"/>
        <v>20220911</v>
      </c>
      <c r="I2359" s="1" t="str">
        <f>"070305"</f>
        <v>070305</v>
      </c>
      <c r="J2359" s="1" t="s">
        <v>73</v>
      </c>
      <c r="K2359" s="1" t="s">
        <v>28</v>
      </c>
      <c r="L2359" s="1" t="str">
        <f t="shared" si="442"/>
        <v>20220911</v>
      </c>
      <c r="M2359" s="1" t="str">
        <f>"072648"</f>
        <v>072648</v>
      </c>
      <c r="N2359" s="1" t="s">
        <v>28</v>
      </c>
      <c r="O2359" s="1" t="s">
        <v>28</v>
      </c>
      <c r="P2359" s="1" t="s">
        <v>55</v>
      </c>
      <c r="Q2359" s="1">
        <v>25</v>
      </c>
      <c r="R2359" s="1">
        <v>25</v>
      </c>
      <c r="S2359" s="1">
        <v>0</v>
      </c>
      <c r="T2359" s="1">
        <v>0</v>
      </c>
      <c r="U2359" s="1">
        <v>0</v>
      </c>
      <c r="V2359" s="1" t="str">
        <f t="shared" si="444"/>
        <v>里程返程</v>
      </c>
      <c r="W2359" s="1" t="str">
        <f>"0120"</f>
        <v>0120</v>
      </c>
      <c r="X2359" s="1" t="s">
        <v>35</v>
      </c>
    </row>
    <row r="2360" spans="1:24" x14ac:dyDescent="0.3">
      <c r="A2360" s="1" t="str">
        <f t="shared" si="445"/>
        <v>59820</v>
      </c>
      <c r="B2360" s="1" t="s">
        <v>53</v>
      </c>
      <c r="C2360" s="1" t="s">
        <v>54</v>
      </c>
      <c r="D2360" s="1" t="str">
        <f>"9803"</f>
        <v>9803</v>
      </c>
      <c r="E2360" s="1" t="s">
        <v>32</v>
      </c>
      <c r="F2360" s="1" t="str">
        <f>"1045821989"</f>
        <v>1045821989</v>
      </c>
      <c r="G2360" s="1" t="s">
        <v>96</v>
      </c>
      <c r="H2360" s="1" t="str">
        <f t="shared" si="436"/>
        <v>20220911</v>
      </c>
      <c r="I2360" s="1" t="str">
        <f>"070307"</f>
        <v>070307</v>
      </c>
      <c r="J2360" s="1" t="s">
        <v>73</v>
      </c>
      <c r="K2360" s="1" t="s">
        <v>28</v>
      </c>
      <c r="L2360" s="1" t="str">
        <f t="shared" si="442"/>
        <v>20220911</v>
      </c>
      <c r="M2360" s="1" t="str">
        <f>"072639"</f>
        <v>072639</v>
      </c>
      <c r="N2360" s="1" t="s">
        <v>28</v>
      </c>
      <c r="O2360" s="1" t="s">
        <v>28</v>
      </c>
      <c r="P2360" s="1" t="s">
        <v>55</v>
      </c>
      <c r="Q2360" s="1">
        <v>13</v>
      </c>
      <c r="R2360" s="1">
        <v>13</v>
      </c>
      <c r="S2360" s="1">
        <v>0</v>
      </c>
      <c r="T2360" s="1">
        <v>0</v>
      </c>
      <c r="U2360" s="1">
        <v>0</v>
      </c>
      <c r="V2360" s="1" t="str">
        <f t="shared" si="444"/>
        <v>里程返程</v>
      </c>
      <c r="W2360" s="1" t="str">
        <f>"0120"</f>
        <v>0120</v>
      </c>
      <c r="X2360" s="1" t="s">
        <v>35</v>
      </c>
    </row>
    <row r="2361" spans="1:24" x14ac:dyDescent="0.3">
      <c r="A2361" s="1" t="str">
        <f t="shared" si="445"/>
        <v>59820</v>
      </c>
      <c r="B2361" s="1" t="s">
        <v>53</v>
      </c>
      <c r="C2361" s="1" t="s">
        <v>54</v>
      </c>
      <c r="D2361" s="1" t="str">
        <f>"9803"</f>
        <v>9803</v>
      </c>
      <c r="E2361" s="1" t="s">
        <v>32</v>
      </c>
      <c r="F2361" s="1" t="str">
        <f>"1134887509"</f>
        <v>1134887509</v>
      </c>
      <c r="G2361" s="1" t="s">
        <v>33</v>
      </c>
      <c r="H2361" s="1" t="str">
        <f t="shared" si="436"/>
        <v>20220911</v>
      </c>
      <c r="I2361" s="1" t="str">
        <f>"070310"</f>
        <v>070310</v>
      </c>
      <c r="J2361" s="1" t="s">
        <v>73</v>
      </c>
      <c r="K2361" s="1" t="s">
        <v>28</v>
      </c>
      <c r="L2361" s="1" t="str">
        <f t="shared" si="442"/>
        <v>20220911</v>
      </c>
      <c r="M2361" s="1" t="str">
        <f>"072643"</f>
        <v>072643</v>
      </c>
      <c r="N2361" s="1" t="s">
        <v>28</v>
      </c>
      <c r="O2361" s="1" t="s">
        <v>28</v>
      </c>
      <c r="P2361" s="1" t="s">
        <v>55</v>
      </c>
      <c r="Q2361" s="1">
        <v>25</v>
      </c>
      <c r="R2361" s="1">
        <v>25</v>
      </c>
      <c r="S2361" s="1">
        <v>0</v>
      </c>
      <c r="T2361" s="1">
        <v>0</v>
      </c>
      <c r="U2361" s="1">
        <v>0</v>
      </c>
      <c r="V2361" s="1" t="str">
        <f t="shared" si="444"/>
        <v>里程返程</v>
      </c>
      <c r="W2361" s="1" t="str">
        <f>"0120"</f>
        <v>0120</v>
      </c>
      <c r="X2361" s="1" t="s">
        <v>35</v>
      </c>
    </row>
    <row r="2362" spans="1:24" x14ac:dyDescent="0.3">
      <c r="A2362" s="1" t="str">
        <f t="shared" si="445"/>
        <v>59820</v>
      </c>
      <c r="B2362" s="1" t="s">
        <v>53</v>
      </c>
      <c r="C2362" s="1" t="s">
        <v>54</v>
      </c>
      <c r="D2362" s="1" t="str">
        <f>"9803"</f>
        <v>9803</v>
      </c>
      <c r="E2362" s="1" t="s">
        <v>32</v>
      </c>
      <c r="F2362" s="1" t="str">
        <f>"C26DF5055F880400C838002000000015"</f>
        <v>C26DF5055F880400C838002000000015</v>
      </c>
      <c r="G2362" s="1" t="s">
        <v>26</v>
      </c>
      <c r="H2362" s="1" t="str">
        <f t="shared" si="436"/>
        <v>20220911</v>
      </c>
      <c r="I2362" s="1" t="str">
        <f>"070312"</f>
        <v>070312</v>
      </c>
      <c r="J2362" s="1" t="s">
        <v>73</v>
      </c>
      <c r="K2362" s="1" t="s">
        <v>28</v>
      </c>
      <c r="L2362" s="1" t="str">
        <f t="shared" si="442"/>
        <v>20220911</v>
      </c>
      <c r="M2362" s="1" t="str">
        <f>"072645"</f>
        <v>072645</v>
      </c>
      <c r="N2362" s="1" t="s">
        <v>28</v>
      </c>
      <c r="O2362" s="1" t="s">
        <v>28</v>
      </c>
      <c r="P2362" s="1" t="s">
        <v>68</v>
      </c>
      <c r="Q2362" s="1">
        <v>13</v>
      </c>
      <c r="R2362" s="1">
        <v>0</v>
      </c>
      <c r="S2362" s="1">
        <v>0</v>
      </c>
      <c r="T2362" s="1">
        <v>13</v>
      </c>
      <c r="U2362" s="1">
        <v>0</v>
      </c>
      <c r="V2362" s="1" t="str">
        <f t="shared" si="444"/>
        <v>里程返程</v>
      </c>
      <c r="W2362" s="1" t="str">
        <f>"0020"</f>
        <v>0020</v>
      </c>
      <c r="X2362" s="1" t="s">
        <v>29</v>
      </c>
    </row>
    <row r="2363" spans="1:24" x14ac:dyDescent="0.3">
      <c r="A2363" s="1" t="str">
        <f t="shared" si="445"/>
        <v>59820</v>
      </c>
      <c r="B2363" s="1" t="s">
        <v>53</v>
      </c>
      <c r="C2363" s="1" t="s">
        <v>54</v>
      </c>
      <c r="D2363" s="1" t="str">
        <f>"9806"</f>
        <v>9806</v>
      </c>
      <c r="E2363" s="1" t="s">
        <v>49</v>
      </c>
      <c r="F2363" s="1" t="str">
        <f>"1513712641"</f>
        <v>1513712641</v>
      </c>
      <c r="G2363" s="1" t="s">
        <v>33</v>
      </c>
      <c r="H2363" s="1" t="str">
        <f t="shared" si="436"/>
        <v>20220911</v>
      </c>
      <c r="I2363" s="1" t="str">
        <f>"072727"</f>
        <v>072727</v>
      </c>
      <c r="J2363" s="1" t="s">
        <v>28</v>
      </c>
      <c r="K2363" s="1" t="s">
        <v>28</v>
      </c>
      <c r="L2363" s="1" t="str">
        <f t="shared" si="442"/>
        <v>20220911</v>
      </c>
      <c r="M2363" s="1" t="str">
        <f>"074747"</f>
        <v>074747</v>
      </c>
      <c r="N2363" s="1" t="s">
        <v>50</v>
      </c>
      <c r="O2363" s="1" t="s">
        <v>50</v>
      </c>
      <c r="P2363" s="1" t="s">
        <v>55</v>
      </c>
      <c r="Q2363" s="1">
        <v>25</v>
      </c>
      <c r="R2363" s="1">
        <v>25</v>
      </c>
      <c r="S2363" s="1">
        <v>0</v>
      </c>
      <c r="T2363" s="1">
        <v>0</v>
      </c>
      <c r="U2363" s="1">
        <v>0</v>
      </c>
      <c r="V2363" s="1" t="str">
        <f t="shared" si="444"/>
        <v>里程返程</v>
      </c>
      <c r="W2363" s="1" t="str">
        <f>"2320"</f>
        <v>2320</v>
      </c>
      <c r="X2363" s="1" t="s">
        <v>35</v>
      </c>
    </row>
    <row r="2364" spans="1:24" x14ac:dyDescent="0.3">
      <c r="A2364" s="1" t="str">
        <f t="shared" si="445"/>
        <v>59820</v>
      </c>
      <c r="B2364" s="1" t="s">
        <v>53</v>
      </c>
      <c r="C2364" s="1" t="s">
        <v>54</v>
      </c>
      <c r="D2364" s="1" t="str">
        <f>"9806"</f>
        <v>9806</v>
      </c>
      <c r="E2364" s="1" t="s">
        <v>49</v>
      </c>
      <c r="F2364" s="1" t="str">
        <f>"1842327157"</f>
        <v>1842327157</v>
      </c>
      <c r="G2364" s="1" t="s">
        <v>33</v>
      </c>
      <c r="H2364" s="1" t="str">
        <f t="shared" si="436"/>
        <v>20220911</v>
      </c>
      <c r="I2364" s="1" t="str">
        <f>"072831"</f>
        <v>072831</v>
      </c>
      <c r="J2364" s="1" t="s">
        <v>28</v>
      </c>
      <c r="K2364" s="1" t="s">
        <v>28</v>
      </c>
      <c r="L2364" s="1" t="str">
        <f t="shared" si="442"/>
        <v>20220911</v>
      </c>
      <c r="M2364" s="1" t="str">
        <f>"072903"</f>
        <v>072903</v>
      </c>
      <c r="N2364" s="1" t="s">
        <v>90</v>
      </c>
      <c r="O2364" s="1" t="s">
        <v>28</v>
      </c>
      <c r="P2364" s="1" t="s">
        <v>55</v>
      </c>
      <c r="Q2364" s="1">
        <v>25</v>
      </c>
      <c r="R2364" s="1">
        <v>25</v>
      </c>
      <c r="S2364" s="1">
        <v>0</v>
      </c>
      <c r="T2364" s="1">
        <v>0</v>
      </c>
      <c r="U2364" s="1">
        <v>0</v>
      </c>
      <c r="V2364" s="1" t="str">
        <f t="shared" si="444"/>
        <v>里程返程</v>
      </c>
      <c r="W2364" s="1" t="str">
        <f>"2120"</f>
        <v>2120</v>
      </c>
      <c r="X2364" s="1" t="s">
        <v>35</v>
      </c>
    </row>
    <row r="2365" spans="1:24" x14ac:dyDescent="0.3">
      <c r="A2365" s="1" t="str">
        <f t="shared" si="445"/>
        <v>59820</v>
      </c>
      <c r="B2365" s="1" t="s">
        <v>53</v>
      </c>
      <c r="C2365" s="1" t="s">
        <v>54</v>
      </c>
      <c r="D2365" s="1" t="str">
        <f t="shared" ref="D2365:D2383" si="446">"9803"</f>
        <v>9803</v>
      </c>
      <c r="E2365" s="1" t="s">
        <v>32</v>
      </c>
      <c r="F2365" s="1" t="str">
        <f>"1041362229"</f>
        <v>1041362229</v>
      </c>
      <c r="G2365" s="1" t="s">
        <v>33</v>
      </c>
      <c r="H2365" s="1" t="str">
        <f t="shared" si="436"/>
        <v>20220911</v>
      </c>
      <c r="I2365" s="1" t="str">
        <f>"080932"</f>
        <v>080932</v>
      </c>
      <c r="J2365" s="1" t="s">
        <v>28</v>
      </c>
      <c r="K2365" s="1" t="s">
        <v>28</v>
      </c>
      <c r="L2365" s="1" t="str">
        <f t="shared" si="442"/>
        <v>20220911</v>
      </c>
      <c r="M2365" s="1" t="str">
        <f>"082009"</f>
        <v>082009</v>
      </c>
      <c r="N2365" s="1" t="s">
        <v>46</v>
      </c>
      <c r="O2365" s="1" t="s">
        <v>28</v>
      </c>
      <c r="P2365" s="1" t="s">
        <v>55</v>
      </c>
      <c r="Q2365" s="1">
        <v>25</v>
      </c>
      <c r="R2365" s="1">
        <v>25</v>
      </c>
      <c r="S2365" s="1">
        <v>0</v>
      </c>
      <c r="T2365" s="1">
        <v>0</v>
      </c>
      <c r="U2365" s="1">
        <v>0</v>
      </c>
      <c r="V2365" s="1" t="str">
        <f t="shared" ref="V2365:V2376" si="447">"里程去程"</f>
        <v>里程去程</v>
      </c>
      <c r="W2365" s="1" t="str">
        <f>"0820"</f>
        <v>0820</v>
      </c>
      <c r="X2365" s="1" t="s">
        <v>35</v>
      </c>
    </row>
    <row r="2366" spans="1:24" x14ac:dyDescent="0.3">
      <c r="A2366" s="1" t="str">
        <f t="shared" si="445"/>
        <v>59820</v>
      </c>
      <c r="B2366" s="1" t="s">
        <v>53</v>
      </c>
      <c r="C2366" s="1" t="s">
        <v>54</v>
      </c>
      <c r="D2366" s="1" t="str">
        <f t="shared" si="446"/>
        <v>9803</v>
      </c>
      <c r="E2366" s="1" t="s">
        <v>32</v>
      </c>
      <c r="F2366" s="1" t="str">
        <f>"01875B479A2804001C00000000000000"</f>
        <v>01875B479A2804001C00000000000000</v>
      </c>
      <c r="G2366" s="1" t="s">
        <v>58</v>
      </c>
      <c r="H2366" s="1" t="str">
        <f t="shared" si="436"/>
        <v>20220911</v>
      </c>
      <c r="I2366" s="1" t="str">
        <f>"080941"</f>
        <v>080941</v>
      </c>
      <c r="J2366" s="1" t="s">
        <v>28</v>
      </c>
      <c r="K2366" s="1" t="s">
        <v>28</v>
      </c>
      <c r="L2366" s="1" t="str">
        <f t="shared" si="442"/>
        <v>20220911</v>
      </c>
      <c r="M2366" s="1" t="str">
        <f>"082007"</f>
        <v>082007</v>
      </c>
      <c r="N2366" s="1" t="s">
        <v>46</v>
      </c>
      <c r="O2366" s="1" t="s">
        <v>28</v>
      </c>
      <c r="P2366" s="1" t="s">
        <v>55</v>
      </c>
      <c r="Q2366" s="1">
        <v>25</v>
      </c>
      <c r="R2366" s="1">
        <v>25</v>
      </c>
      <c r="S2366" s="1">
        <v>0</v>
      </c>
      <c r="T2366" s="1">
        <v>0</v>
      </c>
      <c r="U2366" s="1">
        <v>0</v>
      </c>
      <c r="V2366" s="1" t="str">
        <f t="shared" si="447"/>
        <v>里程去程</v>
      </c>
      <c r="W2366" s="1" t="str">
        <f>"0020"</f>
        <v>0020</v>
      </c>
      <c r="X2366" s="1" t="s">
        <v>29</v>
      </c>
    </row>
    <row r="2367" spans="1:24" x14ac:dyDescent="0.3">
      <c r="A2367" s="1" t="str">
        <f t="shared" si="445"/>
        <v>59820</v>
      </c>
      <c r="B2367" s="1" t="s">
        <v>53</v>
      </c>
      <c r="C2367" s="1" t="s">
        <v>54</v>
      </c>
      <c r="D2367" s="1" t="str">
        <f t="shared" si="446"/>
        <v>9803</v>
      </c>
      <c r="E2367" s="1" t="s">
        <v>32</v>
      </c>
      <c r="F2367" s="1" t="str">
        <f>"1503414721"</f>
        <v>1503414721</v>
      </c>
      <c r="G2367" s="1" t="s">
        <v>33</v>
      </c>
      <c r="H2367" s="1" t="str">
        <f t="shared" si="436"/>
        <v>20220911</v>
      </c>
      <c r="I2367" s="1" t="str">
        <f>"080957"</f>
        <v>080957</v>
      </c>
      <c r="J2367" s="1" t="s">
        <v>28</v>
      </c>
      <c r="K2367" s="1" t="s">
        <v>28</v>
      </c>
      <c r="L2367" s="1" t="str">
        <f t="shared" si="442"/>
        <v>20220911</v>
      </c>
      <c r="M2367" s="1" t="str">
        <f>"082940"</f>
        <v>082940</v>
      </c>
      <c r="N2367" s="1" t="s">
        <v>34</v>
      </c>
      <c r="O2367" s="1" t="s">
        <v>34</v>
      </c>
      <c r="P2367" s="1" t="s">
        <v>55</v>
      </c>
      <c r="Q2367" s="1">
        <v>25</v>
      </c>
      <c r="R2367" s="1">
        <v>0</v>
      </c>
      <c r="S2367" s="1">
        <v>25</v>
      </c>
      <c r="T2367" s="1">
        <v>0</v>
      </c>
      <c r="U2367" s="1">
        <v>0</v>
      </c>
      <c r="V2367" s="1" t="str">
        <f t="shared" si="447"/>
        <v>里程去程</v>
      </c>
      <c r="W2367" s="1" t="str">
        <f>"0820"</f>
        <v>0820</v>
      </c>
      <c r="X2367" s="1" t="s">
        <v>35</v>
      </c>
    </row>
    <row r="2368" spans="1:24" x14ac:dyDescent="0.3">
      <c r="A2368" s="1" t="str">
        <f t="shared" si="445"/>
        <v>59820</v>
      </c>
      <c r="B2368" s="1" t="s">
        <v>53</v>
      </c>
      <c r="C2368" s="1" t="s">
        <v>54</v>
      </c>
      <c r="D2368" s="1" t="str">
        <f t="shared" si="446"/>
        <v>9803</v>
      </c>
      <c r="E2368" s="1" t="s">
        <v>32</v>
      </c>
      <c r="F2368" s="1" t="str">
        <f>"161717441"</f>
        <v>161717441</v>
      </c>
      <c r="G2368" s="1" t="s">
        <v>33</v>
      </c>
      <c r="H2368" s="1" t="str">
        <f t="shared" si="436"/>
        <v>20220911</v>
      </c>
      <c r="I2368" s="1" t="str">
        <f>"081007"</f>
        <v>081007</v>
      </c>
      <c r="J2368" s="1" t="s">
        <v>28</v>
      </c>
      <c r="K2368" s="1" t="s">
        <v>28</v>
      </c>
      <c r="L2368" s="1" t="str">
        <f t="shared" si="442"/>
        <v>20220911</v>
      </c>
      <c r="M2368" s="1" t="str">
        <f>"082924"</f>
        <v>082924</v>
      </c>
      <c r="N2368" s="1" t="s">
        <v>34</v>
      </c>
      <c r="O2368" s="1" t="s">
        <v>34</v>
      </c>
      <c r="P2368" s="1" t="s">
        <v>55</v>
      </c>
      <c r="Q2368" s="1">
        <v>25</v>
      </c>
      <c r="R2368" s="1">
        <v>0</v>
      </c>
      <c r="S2368" s="1">
        <v>25</v>
      </c>
      <c r="T2368" s="1">
        <v>0</v>
      </c>
      <c r="U2368" s="1">
        <v>0</v>
      </c>
      <c r="V2368" s="1" t="str">
        <f t="shared" si="447"/>
        <v>里程去程</v>
      </c>
      <c r="W2368" s="1" t="str">
        <f>"0820"</f>
        <v>0820</v>
      </c>
      <c r="X2368" s="1" t="s">
        <v>35</v>
      </c>
    </row>
    <row r="2369" spans="1:24" x14ac:dyDescent="0.3">
      <c r="A2369" s="1" t="str">
        <f t="shared" si="445"/>
        <v>59820</v>
      </c>
      <c r="B2369" s="1" t="s">
        <v>53</v>
      </c>
      <c r="C2369" s="1" t="s">
        <v>54</v>
      </c>
      <c r="D2369" s="1" t="str">
        <f t="shared" si="446"/>
        <v>9803</v>
      </c>
      <c r="E2369" s="1" t="s">
        <v>32</v>
      </c>
      <c r="F2369" s="1" t="str">
        <f>"F545339C1F88040043265ABE00040710"</f>
        <v>F545339C1F88040043265ABE00040710</v>
      </c>
      <c r="G2369" s="1" t="s">
        <v>58</v>
      </c>
      <c r="H2369" s="1" t="str">
        <f t="shared" si="436"/>
        <v>20220911</v>
      </c>
      <c r="I2369" s="1" t="str">
        <f>"094623"</f>
        <v>094623</v>
      </c>
      <c r="J2369" s="1" t="s">
        <v>28</v>
      </c>
      <c r="K2369" s="1" t="s">
        <v>28</v>
      </c>
      <c r="L2369" s="1" t="str">
        <f t="shared" si="442"/>
        <v>20220911</v>
      </c>
      <c r="M2369" s="1" t="str">
        <f>"100714"</f>
        <v>100714</v>
      </c>
      <c r="N2369" s="1" t="s">
        <v>34</v>
      </c>
      <c r="O2369" s="1" t="s">
        <v>34</v>
      </c>
      <c r="P2369" s="1" t="s">
        <v>55</v>
      </c>
      <c r="Q2369" s="1">
        <v>25</v>
      </c>
      <c r="R2369" s="1">
        <v>25</v>
      </c>
      <c r="S2369" s="1">
        <v>0</v>
      </c>
      <c r="T2369" s="1">
        <v>0</v>
      </c>
      <c r="U2369" s="1">
        <v>0</v>
      </c>
      <c r="V2369" s="1" t="str">
        <f t="shared" si="447"/>
        <v>里程去程</v>
      </c>
      <c r="W2369" s="1" t="str">
        <f>"0020"</f>
        <v>0020</v>
      </c>
      <c r="X2369" s="1" t="s">
        <v>29</v>
      </c>
    </row>
    <row r="2370" spans="1:24" x14ac:dyDescent="0.3">
      <c r="A2370" s="1" t="str">
        <f t="shared" si="445"/>
        <v>59820</v>
      </c>
      <c r="B2370" s="1" t="s">
        <v>53</v>
      </c>
      <c r="C2370" s="1" t="s">
        <v>54</v>
      </c>
      <c r="D2370" s="1" t="str">
        <f t="shared" si="446"/>
        <v>9803</v>
      </c>
      <c r="E2370" s="1" t="s">
        <v>32</v>
      </c>
      <c r="F2370" s="1" t="str">
        <f>"A5697C45F528040081995125000E1520"</f>
        <v>A5697C45F528040081995125000E1520</v>
      </c>
      <c r="G2370" s="1" t="s">
        <v>58</v>
      </c>
      <c r="H2370" s="1" t="str">
        <f t="shared" ref="H2370:H2433" si="448">"20220911"</f>
        <v>20220911</v>
      </c>
      <c r="I2370" s="1" t="str">
        <f>"094629"</f>
        <v>094629</v>
      </c>
      <c r="J2370" s="1" t="s">
        <v>28</v>
      </c>
      <c r="K2370" s="1" t="s">
        <v>28</v>
      </c>
      <c r="L2370" s="1" t="str">
        <f t="shared" ref="L2370:L2401" si="449">"20220911"</f>
        <v>20220911</v>
      </c>
      <c r="M2370" s="1" t="str">
        <f>"100707"</f>
        <v>100707</v>
      </c>
      <c r="N2370" s="1" t="s">
        <v>34</v>
      </c>
      <c r="O2370" s="1" t="s">
        <v>34</v>
      </c>
      <c r="P2370" s="1" t="s">
        <v>55</v>
      </c>
      <c r="Q2370" s="1">
        <v>25</v>
      </c>
      <c r="R2370" s="1">
        <v>0</v>
      </c>
      <c r="S2370" s="1">
        <v>25</v>
      </c>
      <c r="T2370" s="1">
        <v>0</v>
      </c>
      <c r="U2370" s="1">
        <v>0</v>
      </c>
      <c r="V2370" s="1" t="str">
        <f t="shared" si="447"/>
        <v>里程去程</v>
      </c>
      <c r="W2370" s="1" t="str">
        <f>"0620"</f>
        <v>0620</v>
      </c>
      <c r="X2370" s="1" t="s">
        <v>29</v>
      </c>
    </row>
    <row r="2371" spans="1:24" x14ac:dyDescent="0.3">
      <c r="A2371" s="1" t="str">
        <f t="shared" si="445"/>
        <v>59820</v>
      </c>
      <c r="B2371" s="1" t="s">
        <v>53</v>
      </c>
      <c r="C2371" s="1" t="s">
        <v>54</v>
      </c>
      <c r="D2371" s="1" t="str">
        <f t="shared" si="446"/>
        <v>9803</v>
      </c>
      <c r="E2371" s="1" t="s">
        <v>32</v>
      </c>
      <c r="F2371" s="1" t="str">
        <f>"706020705"</f>
        <v>706020705</v>
      </c>
      <c r="G2371" s="1" t="s">
        <v>33</v>
      </c>
      <c r="H2371" s="1" t="str">
        <f t="shared" si="448"/>
        <v>20220911</v>
      </c>
      <c r="I2371" s="1" t="str">
        <f>"094646"</f>
        <v>094646</v>
      </c>
      <c r="J2371" s="1" t="s">
        <v>28</v>
      </c>
      <c r="K2371" s="1" t="s">
        <v>28</v>
      </c>
      <c r="L2371" s="1" t="str">
        <f t="shared" si="449"/>
        <v>20220911</v>
      </c>
      <c r="M2371" s="1" t="str">
        <f>"100704"</f>
        <v>100704</v>
      </c>
      <c r="N2371" s="1" t="s">
        <v>34</v>
      </c>
      <c r="O2371" s="1" t="s">
        <v>34</v>
      </c>
      <c r="P2371" s="1" t="s">
        <v>55</v>
      </c>
      <c r="Q2371" s="1">
        <v>25</v>
      </c>
      <c r="R2371" s="1">
        <v>25</v>
      </c>
      <c r="S2371" s="1">
        <v>0</v>
      </c>
      <c r="T2371" s="1">
        <v>0</v>
      </c>
      <c r="U2371" s="1">
        <v>0</v>
      </c>
      <c r="V2371" s="1" t="str">
        <f t="shared" si="447"/>
        <v>里程去程</v>
      </c>
      <c r="W2371" s="1" t="str">
        <f>"2120"</f>
        <v>2120</v>
      </c>
      <c r="X2371" s="1" t="s">
        <v>35</v>
      </c>
    </row>
    <row r="2372" spans="1:24" x14ac:dyDescent="0.3">
      <c r="A2372" s="1" t="str">
        <f t="shared" si="445"/>
        <v>59820</v>
      </c>
      <c r="B2372" s="1" t="s">
        <v>53</v>
      </c>
      <c r="C2372" s="1" t="s">
        <v>54</v>
      </c>
      <c r="D2372" s="1" t="str">
        <f t="shared" si="446"/>
        <v>9803</v>
      </c>
      <c r="E2372" s="1" t="s">
        <v>32</v>
      </c>
      <c r="F2372" s="1" t="str">
        <f>"7311150232010857"</f>
        <v>7311150232010857</v>
      </c>
      <c r="G2372" s="1" t="s">
        <v>33</v>
      </c>
      <c r="H2372" s="1" t="str">
        <f t="shared" si="448"/>
        <v>20220911</v>
      </c>
      <c r="I2372" s="1" t="str">
        <f>"094701"</f>
        <v>094701</v>
      </c>
      <c r="J2372" s="1" t="s">
        <v>28</v>
      </c>
      <c r="K2372" s="1" t="s">
        <v>28</v>
      </c>
      <c r="L2372" s="1" t="str">
        <f t="shared" si="449"/>
        <v>20220911</v>
      </c>
      <c r="M2372" s="1" t="str">
        <f>"100655"</f>
        <v>100655</v>
      </c>
      <c r="N2372" s="1" t="s">
        <v>34</v>
      </c>
      <c r="O2372" s="1" t="s">
        <v>34</v>
      </c>
      <c r="P2372" s="1" t="s">
        <v>55</v>
      </c>
      <c r="Q2372" s="1">
        <v>25</v>
      </c>
      <c r="R2372" s="1">
        <v>25</v>
      </c>
      <c r="S2372" s="1">
        <v>0</v>
      </c>
      <c r="T2372" s="1">
        <v>0</v>
      </c>
      <c r="U2372" s="1">
        <v>0</v>
      </c>
      <c r="V2372" s="1" t="str">
        <f t="shared" si="447"/>
        <v>里程去程</v>
      </c>
      <c r="W2372" s="1" t="str">
        <f>"3B8B"</f>
        <v>3B8B</v>
      </c>
      <c r="X2372" s="1" t="s">
        <v>109</v>
      </c>
    </row>
    <row r="2373" spans="1:24" x14ac:dyDescent="0.3">
      <c r="A2373" s="1" t="str">
        <f t="shared" si="445"/>
        <v>59820</v>
      </c>
      <c r="B2373" s="1" t="s">
        <v>53</v>
      </c>
      <c r="C2373" s="1" t="s">
        <v>54</v>
      </c>
      <c r="D2373" s="1" t="str">
        <f t="shared" si="446"/>
        <v>9803</v>
      </c>
      <c r="E2373" s="1" t="s">
        <v>32</v>
      </c>
      <c r="F2373" s="1" t="str">
        <f>"315906280"</f>
        <v>315906280</v>
      </c>
      <c r="G2373" s="1" t="s">
        <v>33</v>
      </c>
      <c r="H2373" s="1" t="str">
        <f t="shared" si="448"/>
        <v>20220911</v>
      </c>
      <c r="I2373" s="1" t="str">
        <f>"094708"</f>
        <v>094708</v>
      </c>
      <c r="J2373" s="1" t="s">
        <v>28</v>
      </c>
      <c r="K2373" s="1" t="s">
        <v>28</v>
      </c>
      <c r="L2373" s="1" t="str">
        <f t="shared" si="449"/>
        <v>20220911</v>
      </c>
      <c r="M2373" s="1" t="str">
        <f>"100649"</f>
        <v>100649</v>
      </c>
      <c r="N2373" s="1" t="s">
        <v>34</v>
      </c>
      <c r="O2373" s="1" t="s">
        <v>34</v>
      </c>
      <c r="P2373" s="1" t="s">
        <v>55</v>
      </c>
      <c r="Q2373" s="1">
        <v>25</v>
      </c>
      <c r="R2373" s="1">
        <v>25</v>
      </c>
      <c r="S2373" s="1">
        <v>0</v>
      </c>
      <c r="T2373" s="1">
        <v>0</v>
      </c>
      <c r="U2373" s="1">
        <v>0</v>
      </c>
      <c r="V2373" s="1" t="str">
        <f t="shared" si="447"/>
        <v>里程去程</v>
      </c>
      <c r="W2373" s="1" t="str">
        <f>"0320"</f>
        <v>0320</v>
      </c>
      <c r="X2373" s="1" t="s">
        <v>35</v>
      </c>
    </row>
    <row r="2374" spans="1:24" x14ac:dyDescent="0.3">
      <c r="A2374" s="1" t="str">
        <f t="shared" si="445"/>
        <v>59820</v>
      </c>
      <c r="B2374" s="1" t="s">
        <v>53</v>
      </c>
      <c r="C2374" s="1" t="s">
        <v>54</v>
      </c>
      <c r="D2374" s="1" t="str">
        <f t="shared" si="446"/>
        <v>9803</v>
      </c>
      <c r="E2374" s="1" t="s">
        <v>32</v>
      </c>
      <c r="F2374" s="1" t="str">
        <f>"402003073"</f>
        <v>402003073</v>
      </c>
      <c r="G2374" s="1" t="s">
        <v>33</v>
      </c>
      <c r="H2374" s="1" t="str">
        <f t="shared" si="448"/>
        <v>20220911</v>
      </c>
      <c r="I2374" s="1" t="str">
        <f>"094712"</f>
        <v>094712</v>
      </c>
      <c r="J2374" s="1" t="s">
        <v>28</v>
      </c>
      <c r="K2374" s="1" t="s">
        <v>28</v>
      </c>
      <c r="L2374" s="1" t="str">
        <f t="shared" si="449"/>
        <v>20220911</v>
      </c>
      <c r="M2374" s="1" t="str">
        <f>"100640"</f>
        <v>100640</v>
      </c>
      <c r="N2374" s="1" t="s">
        <v>34</v>
      </c>
      <c r="O2374" s="1" t="s">
        <v>34</v>
      </c>
      <c r="P2374" s="1" t="s">
        <v>55</v>
      </c>
      <c r="Q2374" s="1">
        <v>25</v>
      </c>
      <c r="R2374" s="1">
        <v>25</v>
      </c>
      <c r="S2374" s="1">
        <v>0</v>
      </c>
      <c r="T2374" s="1">
        <v>0</v>
      </c>
      <c r="U2374" s="1">
        <v>0</v>
      </c>
      <c r="V2374" s="1" t="str">
        <f t="shared" si="447"/>
        <v>里程去程</v>
      </c>
      <c r="W2374" s="1" t="str">
        <f>"0120"</f>
        <v>0120</v>
      </c>
      <c r="X2374" s="1" t="s">
        <v>35</v>
      </c>
    </row>
    <row r="2375" spans="1:24" x14ac:dyDescent="0.3">
      <c r="A2375" s="1" t="str">
        <f t="shared" si="445"/>
        <v>59820</v>
      </c>
      <c r="B2375" s="1" t="s">
        <v>53</v>
      </c>
      <c r="C2375" s="1" t="s">
        <v>54</v>
      </c>
      <c r="D2375" s="1" t="str">
        <f t="shared" si="446"/>
        <v>9803</v>
      </c>
      <c r="E2375" s="1" t="s">
        <v>32</v>
      </c>
      <c r="F2375" s="1" t="str">
        <f>"1685724325"</f>
        <v>1685724325</v>
      </c>
      <c r="G2375" s="1" t="s">
        <v>33</v>
      </c>
      <c r="H2375" s="1" t="str">
        <f t="shared" si="448"/>
        <v>20220911</v>
      </c>
      <c r="I2375" s="1" t="str">
        <f>"094719"</f>
        <v>094719</v>
      </c>
      <c r="J2375" s="1" t="s">
        <v>28</v>
      </c>
      <c r="K2375" s="1" t="s">
        <v>28</v>
      </c>
      <c r="L2375" s="1" t="str">
        <f t="shared" si="449"/>
        <v>20220911</v>
      </c>
      <c r="M2375" s="1" t="str">
        <f>"100633"</f>
        <v>100633</v>
      </c>
      <c r="N2375" s="1" t="s">
        <v>34</v>
      </c>
      <c r="O2375" s="1" t="s">
        <v>34</v>
      </c>
      <c r="P2375" s="1" t="s">
        <v>55</v>
      </c>
      <c r="Q2375" s="1">
        <v>25</v>
      </c>
      <c r="R2375" s="1">
        <v>0</v>
      </c>
      <c r="S2375" s="1">
        <v>25</v>
      </c>
      <c r="T2375" s="1">
        <v>0</v>
      </c>
      <c r="U2375" s="1">
        <v>0</v>
      </c>
      <c r="V2375" s="1" t="str">
        <f t="shared" si="447"/>
        <v>里程去程</v>
      </c>
      <c r="W2375" s="1" t="str">
        <f>"0820"</f>
        <v>0820</v>
      </c>
      <c r="X2375" s="1" t="s">
        <v>35</v>
      </c>
    </row>
    <row r="2376" spans="1:24" x14ac:dyDescent="0.3">
      <c r="A2376" s="1" t="str">
        <f t="shared" si="445"/>
        <v>59820</v>
      </c>
      <c r="B2376" s="1" t="s">
        <v>53</v>
      </c>
      <c r="C2376" s="1" t="s">
        <v>54</v>
      </c>
      <c r="D2376" s="1" t="str">
        <f t="shared" si="446"/>
        <v>9803</v>
      </c>
      <c r="E2376" s="1" t="s">
        <v>32</v>
      </c>
      <c r="F2376" s="1" t="str">
        <f>"327026600"</f>
        <v>327026600</v>
      </c>
      <c r="G2376" s="1" t="s">
        <v>33</v>
      </c>
      <c r="H2376" s="1" t="str">
        <f t="shared" si="448"/>
        <v>20220911</v>
      </c>
      <c r="I2376" s="1" t="str">
        <f>"094729"</f>
        <v>094729</v>
      </c>
      <c r="J2376" s="1" t="s">
        <v>28</v>
      </c>
      <c r="K2376" s="1" t="s">
        <v>28</v>
      </c>
      <c r="L2376" s="1" t="str">
        <f t="shared" si="449"/>
        <v>20220911</v>
      </c>
      <c r="M2376" s="1" t="str">
        <f>"100630"</f>
        <v>100630</v>
      </c>
      <c r="N2376" s="1" t="s">
        <v>34</v>
      </c>
      <c r="O2376" s="1" t="s">
        <v>34</v>
      </c>
      <c r="P2376" s="1" t="s">
        <v>55</v>
      </c>
      <c r="Q2376" s="1">
        <v>25</v>
      </c>
      <c r="R2376" s="1">
        <v>25</v>
      </c>
      <c r="S2376" s="1">
        <v>0</v>
      </c>
      <c r="T2376" s="1">
        <v>0</v>
      </c>
      <c r="U2376" s="1">
        <v>0</v>
      </c>
      <c r="V2376" s="1" t="str">
        <f t="shared" si="447"/>
        <v>里程去程</v>
      </c>
      <c r="W2376" s="1" t="str">
        <f>"0b20"</f>
        <v>0b20</v>
      </c>
      <c r="X2376" s="1" t="s">
        <v>35</v>
      </c>
    </row>
    <row r="2377" spans="1:24" x14ac:dyDescent="0.3">
      <c r="A2377" s="1" t="str">
        <f t="shared" si="445"/>
        <v>59820</v>
      </c>
      <c r="B2377" s="1" t="s">
        <v>53</v>
      </c>
      <c r="C2377" s="1" t="s">
        <v>54</v>
      </c>
      <c r="D2377" s="1" t="str">
        <f t="shared" si="446"/>
        <v>9803</v>
      </c>
      <c r="E2377" s="1" t="s">
        <v>32</v>
      </c>
      <c r="F2377" s="1" t="str">
        <f>"7111220500001916"</f>
        <v>7111220500001916</v>
      </c>
      <c r="G2377" s="1" t="s">
        <v>33</v>
      </c>
      <c r="H2377" s="1" t="str">
        <f t="shared" si="448"/>
        <v>20220911</v>
      </c>
      <c r="I2377" s="1" t="str">
        <f>"103429"</f>
        <v>103429</v>
      </c>
      <c r="J2377" s="1" t="s">
        <v>34</v>
      </c>
      <c r="K2377" s="1" t="s">
        <v>34</v>
      </c>
      <c r="L2377" s="1" t="str">
        <f t="shared" si="449"/>
        <v>20220911</v>
      </c>
      <c r="M2377" s="1" t="str">
        <f>"110703"</f>
        <v>110703</v>
      </c>
      <c r="N2377" s="1" t="s">
        <v>28</v>
      </c>
      <c r="O2377" s="1" t="s">
        <v>28</v>
      </c>
      <c r="P2377" s="1" t="s">
        <v>55</v>
      </c>
      <c r="Q2377" s="1">
        <v>25</v>
      </c>
      <c r="R2377" s="1">
        <v>25</v>
      </c>
      <c r="S2377" s="1">
        <v>0</v>
      </c>
      <c r="T2377" s="1">
        <v>0</v>
      </c>
      <c r="U2377" s="1">
        <v>0</v>
      </c>
      <c r="V2377" s="1" t="str">
        <f t="shared" ref="V2377:V2383" si="450">"里程返程"</f>
        <v>里程返程</v>
      </c>
      <c r="W2377" s="1" t="str">
        <f>"013B"</f>
        <v>013B</v>
      </c>
      <c r="X2377" s="1" t="s">
        <v>109</v>
      </c>
    </row>
    <row r="2378" spans="1:24" x14ac:dyDescent="0.3">
      <c r="A2378" s="1" t="str">
        <f t="shared" si="445"/>
        <v>59820</v>
      </c>
      <c r="B2378" s="1" t="s">
        <v>53</v>
      </c>
      <c r="C2378" s="1" t="s">
        <v>54</v>
      </c>
      <c r="D2378" s="1" t="str">
        <f t="shared" si="446"/>
        <v>9803</v>
      </c>
      <c r="E2378" s="1" t="s">
        <v>32</v>
      </c>
      <c r="F2378" s="1" t="str">
        <f>"1912883425"</f>
        <v>1912883425</v>
      </c>
      <c r="G2378" s="1" t="s">
        <v>33</v>
      </c>
      <c r="H2378" s="1" t="str">
        <f t="shared" si="448"/>
        <v>20220911</v>
      </c>
      <c r="I2378" s="1" t="str">
        <f>"103445"</f>
        <v>103445</v>
      </c>
      <c r="J2378" s="1" t="s">
        <v>34</v>
      </c>
      <c r="K2378" s="1" t="s">
        <v>34</v>
      </c>
      <c r="L2378" s="1" t="str">
        <f t="shared" si="449"/>
        <v>20220911</v>
      </c>
      <c r="M2378" s="1" t="str">
        <f>"110647"</f>
        <v>110647</v>
      </c>
      <c r="N2378" s="1" t="s">
        <v>28</v>
      </c>
      <c r="O2378" s="1" t="s">
        <v>28</v>
      </c>
      <c r="P2378" s="1" t="s">
        <v>55</v>
      </c>
      <c r="Q2378" s="1">
        <v>25</v>
      </c>
      <c r="R2378" s="1">
        <v>25</v>
      </c>
      <c r="S2378" s="1">
        <v>0</v>
      </c>
      <c r="T2378" s="1">
        <v>0</v>
      </c>
      <c r="U2378" s="1">
        <v>0</v>
      </c>
      <c r="V2378" s="1" t="str">
        <f t="shared" si="450"/>
        <v>里程返程</v>
      </c>
      <c r="W2378" s="1" t="str">
        <f>"0120"</f>
        <v>0120</v>
      </c>
      <c r="X2378" s="1" t="s">
        <v>35</v>
      </c>
    </row>
    <row r="2379" spans="1:24" x14ac:dyDescent="0.3">
      <c r="A2379" s="1" t="str">
        <f t="shared" si="445"/>
        <v>59820</v>
      </c>
      <c r="B2379" s="1" t="s">
        <v>53</v>
      </c>
      <c r="C2379" s="1" t="s">
        <v>54</v>
      </c>
      <c r="D2379" s="1" t="str">
        <f t="shared" si="446"/>
        <v>9803</v>
      </c>
      <c r="E2379" s="1" t="s">
        <v>32</v>
      </c>
      <c r="F2379" s="1" t="str">
        <f>"1304979041"</f>
        <v>1304979041</v>
      </c>
      <c r="G2379" s="1" t="s">
        <v>38</v>
      </c>
      <c r="H2379" s="1" t="str">
        <f t="shared" si="448"/>
        <v>20220911</v>
      </c>
      <c r="I2379" s="1" t="str">
        <f>"103503"</f>
        <v>103503</v>
      </c>
      <c r="J2379" s="1" t="s">
        <v>34</v>
      </c>
      <c r="K2379" s="1" t="s">
        <v>34</v>
      </c>
      <c r="L2379" s="1" t="str">
        <f t="shared" si="449"/>
        <v>20220911</v>
      </c>
      <c r="M2379" s="1" t="str">
        <f>"110714"</f>
        <v>110714</v>
      </c>
      <c r="N2379" s="1" t="s">
        <v>28</v>
      </c>
      <c r="O2379" s="1" t="s">
        <v>28</v>
      </c>
      <c r="P2379" s="1" t="s">
        <v>55</v>
      </c>
      <c r="Q2379" s="1">
        <v>25</v>
      </c>
      <c r="R2379" s="1">
        <v>25</v>
      </c>
      <c r="S2379" s="1">
        <v>0</v>
      </c>
      <c r="T2379" s="1">
        <v>0</v>
      </c>
      <c r="U2379" s="1">
        <v>0</v>
      </c>
      <c r="V2379" s="1" t="str">
        <f t="shared" si="450"/>
        <v>里程返程</v>
      </c>
      <c r="W2379" s="1" t="str">
        <f>"2020"</f>
        <v>2020</v>
      </c>
      <c r="X2379" s="1" t="s">
        <v>35</v>
      </c>
    </row>
    <row r="2380" spans="1:24" x14ac:dyDescent="0.3">
      <c r="A2380" s="1" t="str">
        <f t="shared" si="445"/>
        <v>59820</v>
      </c>
      <c r="B2380" s="1" t="s">
        <v>53</v>
      </c>
      <c r="C2380" s="1" t="s">
        <v>54</v>
      </c>
      <c r="D2380" s="1" t="str">
        <f t="shared" si="446"/>
        <v>9803</v>
      </c>
      <c r="E2380" s="1" t="s">
        <v>32</v>
      </c>
      <c r="F2380" s="1" t="str">
        <f>"F2817F171B880400C814002000000019"</f>
        <v>F2817F171B880400C814002000000019</v>
      </c>
      <c r="G2380" s="1" t="s">
        <v>59</v>
      </c>
      <c r="H2380" s="1" t="str">
        <f t="shared" si="448"/>
        <v>20220911</v>
      </c>
      <c r="I2380" s="1" t="str">
        <f>"103510"</f>
        <v>103510</v>
      </c>
      <c r="J2380" s="1" t="s">
        <v>34</v>
      </c>
      <c r="K2380" s="1" t="s">
        <v>34</v>
      </c>
      <c r="L2380" s="1" t="str">
        <f t="shared" si="449"/>
        <v>20220911</v>
      </c>
      <c r="M2380" s="1" t="str">
        <f>"110623"</f>
        <v>110623</v>
      </c>
      <c r="N2380" s="1" t="s">
        <v>28</v>
      </c>
      <c r="O2380" s="1" t="s">
        <v>28</v>
      </c>
      <c r="P2380" s="1" t="s">
        <v>55</v>
      </c>
      <c r="Q2380" s="1">
        <v>25</v>
      </c>
      <c r="R2380" s="1">
        <v>25</v>
      </c>
      <c r="S2380" s="1">
        <v>0</v>
      </c>
      <c r="T2380" s="1">
        <v>0</v>
      </c>
      <c r="U2380" s="1">
        <v>0</v>
      </c>
      <c r="V2380" s="1" t="str">
        <f t="shared" si="450"/>
        <v>里程返程</v>
      </c>
      <c r="W2380" s="1" t="str">
        <f>"0020"</f>
        <v>0020</v>
      </c>
      <c r="X2380" s="1" t="s">
        <v>29</v>
      </c>
    </row>
    <row r="2381" spans="1:24" x14ac:dyDescent="0.3">
      <c r="A2381" s="1" t="str">
        <f t="shared" si="445"/>
        <v>59820</v>
      </c>
      <c r="B2381" s="1" t="s">
        <v>53</v>
      </c>
      <c r="C2381" s="1" t="s">
        <v>54</v>
      </c>
      <c r="D2381" s="1" t="str">
        <f t="shared" si="446"/>
        <v>9803</v>
      </c>
      <c r="E2381" s="1" t="s">
        <v>32</v>
      </c>
      <c r="F2381" s="1" t="str">
        <f>"1227777873"</f>
        <v>1227777873</v>
      </c>
      <c r="G2381" s="1" t="s">
        <v>33</v>
      </c>
      <c r="H2381" s="1" t="str">
        <f t="shared" si="448"/>
        <v>20220911</v>
      </c>
      <c r="I2381" s="1" t="str">
        <f>"103517"</f>
        <v>103517</v>
      </c>
      <c r="J2381" s="1" t="s">
        <v>34</v>
      </c>
      <c r="K2381" s="1" t="s">
        <v>34</v>
      </c>
      <c r="L2381" s="1" t="str">
        <f t="shared" si="449"/>
        <v>20220911</v>
      </c>
      <c r="M2381" s="1" t="str">
        <f>"110635"</f>
        <v>110635</v>
      </c>
      <c r="N2381" s="1" t="s">
        <v>28</v>
      </c>
      <c r="O2381" s="1" t="s">
        <v>28</v>
      </c>
      <c r="P2381" s="1" t="s">
        <v>55</v>
      </c>
      <c r="Q2381" s="1">
        <v>25</v>
      </c>
      <c r="R2381" s="1">
        <v>25</v>
      </c>
      <c r="S2381" s="1">
        <v>0</v>
      </c>
      <c r="T2381" s="1">
        <v>0</v>
      </c>
      <c r="U2381" s="1">
        <v>0</v>
      </c>
      <c r="V2381" s="1" t="str">
        <f t="shared" si="450"/>
        <v>里程返程</v>
      </c>
      <c r="W2381" s="1" t="str">
        <f>"2020"</f>
        <v>2020</v>
      </c>
      <c r="X2381" s="1" t="s">
        <v>35</v>
      </c>
    </row>
    <row r="2382" spans="1:24" x14ac:dyDescent="0.3">
      <c r="A2382" s="1" t="str">
        <f t="shared" si="445"/>
        <v>59820</v>
      </c>
      <c r="B2382" s="1" t="s">
        <v>53</v>
      </c>
      <c r="C2382" s="1" t="s">
        <v>54</v>
      </c>
      <c r="D2382" s="1" t="str">
        <f t="shared" si="446"/>
        <v>9803</v>
      </c>
      <c r="E2382" s="1" t="s">
        <v>32</v>
      </c>
      <c r="F2382" s="1" t="str">
        <f>"F2D14C147B28040080CED9D049713218"</f>
        <v>F2D14C147B28040080CED9D049713218</v>
      </c>
      <c r="G2382" s="1" t="s">
        <v>59</v>
      </c>
      <c r="H2382" s="1" t="str">
        <f t="shared" si="448"/>
        <v>20220911</v>
      </c>
      <c r="I2382" s="1" t="str">
        <f>"103606"</f>
        <v>103606</v>
      </c>
      <c r="J2382" s="1" t="s">
        <v>34</v>
      </c>
      <c r="K2382" s="1" t="s">
        <v>34</v>
      </c>
      <c r="L2382" s="1" t="str">
        <f t="shared" si="449"/>
        <v>20220911</v>
      </c>
      <c r="M2382" s="1" t="str">
        <f>"110631"</f>
        <v>110631</v>
      </c>
      <c r="N2382" s="1" t="s">
        <v>28</v>
      </c>
      <c r="O2382" s="1" t="s">
        <v>28</v>
      </c>
      <c r="P2382" s="1" t="s">
        <v>55</v>
      </c>
      <c r="Q2382" s="1">
        <v>25</v>
      </c>
      <c r="R2382" s="1">
        <v>25</v>
      </c>
      <c r="S2382" s="1">
        <v>0</v>
      </c>
      <c r="T2382" s="1">
        <v>0</v>
      </c>
      <c r="U2382" s="1">
        <v>0</v>
      </c>
      <c r="V2382" s="1" t="str">
        <f t="shared" si="450"/>
        <v>里程返程</v>
      </c>
      <c r="W2382" s="1" t="str">
        <f>"0020"</f>
        <v>0020</v>
      </c>
      <c r="X2382" s="1" t="s">
        <v>29</v>
      </c>
    </row>
    <row r="2383" spans="1:24" x14ac:dyDescent="0.3">
      <c r="A2383" s="1" t="str">
        <f t="shared" si="445"/>
        <v>59820</v>
      </c>
      <c r="B2383" s="1" t="s">
        <v>53</v>
      </c>
      <c r="C2383" s="1" t="s">
        <v>54</v>
      </c>
      <c r="D2383" s="1" t="str">
        <f t="shared" si="446"/>
        <v>9803</v>
      </c>
      <c r="E2383" s="1" t="s">
        <v>32</v>
      </c>
      <c r="F2383" s="1" t="str">
        <f>"B2FCE402A8880400C834002000000015"</f>
        <v>B2FCE402A8880400C834002000000015</v>
      </c>
      <c r="G2383" s="1" t="s">
        <v>26</v>
      </c>
      <c r="H2383" s="1" t="str">
        <f t="shared" si="448"/>
        <v>20220911</v>
      </c>
      <c r="I2383" s="1" t="str">
        <f>"105054"</f>
        <v>105054</v>
      </c>
      <c r="J2383" s="1" t="s">
        <v>46</v>
      </c>
      <c r="K2383" s="1" t="s">
        <v>28</v>
      </c>
      <c r="L2383" s="1" t="str">
        <f t="shared" si="449"/>
        <v>20220911</v>
      </c>
      <c r="M2383" s="1" t="str">
        <f>"110614"</f>
        <v>110614</v>
      </c>
      <c r="N2383" s="1" t="s">
        <v>28</v>
      </c>
      <c r="O2383" s="1" t="s">
        <v>28</v>
      </c>
      <c r="P2383" s="1" t="s">
        <v>68</v>
      </c>
      <c r="Q2383" s="1">
        <v>13</v>
      </c>
      <c r="R2383" s="1">
        <v>0</v>
      </c>
      <c r="S2383" s="1">
        <v>0</v>
      </c>
      <c r="T2383" s="1">
        <v>13</v>
      </c>
      <c r="U2383" s="1">
        <v>0</v>
      </c>
      <c r="V2383" s="1" t="str">
        <f t="shared" si="450"/>
        <v>里程返程</v>
      </c>
      <c r="W2383" s="1" t="str">
        <f>"0020"</f>
        <v>0020</v>
      </c>
      <c r="X2383" s="1" t="s">
        <v>29</v>
      </c>
    </row>
    <row r="2384" spans="1:24" x14ac:dyDescent="0.3">
      <c r="A2384" s="1" t="str">
        <f t="shared" si="445"/>
        <v>59820</v>
      </c>
      <c r="B2384" s="1" t="s">
        <v>53</v>
      </c>
      <c r="C2384" s="1" t="s">
        <v>54</v>
      </c>
      <c r="D2384" s="1" t="str">
        <f t="shared" ref="D2384:D2391" si="451">"9805"</f>
        <v>9805</v>
      </c>
      <c r="E2384" s="1" t="s">
        <v>57</v>
      </c>
      <c r="F2384" s="1" t="str">
        <f>"524940134828040080CED9985D913018"</f>
        <v>524940134828040080CED9985D913018</v>
      </c>
      <c r="G2384" s="1" t="s">
        <v>58</v>
      </c>
      <c r="H2384" s="1" t="str">
        <f t="shared" si="448"/>
        <v>20220911</v>
      </c>
      <c r="I2384" s="1" t="str">
        <f>"120626"</f>
        <v>120626</v>
      </c>
      <c r="J2384" s="1" t="s">
        <v>28</v>
      </c>
      <c r="K2384" s="1" t="s">
        <v>28</v>
      </c>
      <c r="L2384" s="1" t="str">
        <f t="shared" si="449"/>
        <v>20220911</v>
      </c>
      <c r="M2384" s="1" t="str">
        <f>"122129"</f>
        <v>122129</v>
      </c>
      <c r="N2384" s="1" t="s">
        <v>56</v>
      </c>
      <c r="O2384" s="1" t="s">
        <v>28</v>
      </c>
      <c r="P2384" s="1" t="s">
        <v>55</v>
      </c>
      <c r="Q2384" s="1">
        <v>25</v>
      </c>
      <c r="R2384" s="1">
        <v>0</v>
      </c>
      <c r="S2384" s="1">
        <v>25</v>
      </c>
      <c r="T2384" s="1">
        <v>0</v>
      </c>
      <c r="U2384" s="1">
        <v>0</v>
      </c>
      <c r="V2384" s="1" t="str">
        <f t="shared" ref="V2384:V2389" si="452">"里程去程"</f>
        <v>里程去程</v>
      </c>
      <c r="W2384" s="1" t="str">
        <f>"0620"</f>
        <v>0620</v>
      </c>
      <c r="X2384" s="1" t="s">
        <v>29</v>
      </c>
    </row>
    <row r="2385" spans="1:24" x14ac:dyDescent="0.3">
      <c r="A2385" s="1" t="str">
        <f t="shared" si="445"/>
        <v>59820</v>
      </c>
      <c r="B2385" s="1" t="s">
        <v>53</v>
      </c>
      <c r="C2385" s="1" t="s">
        <v>54</v>
      </c>
      <c r="D2385" s="1" t="str">
        <f t="shared" si="451"/>
        <v>9805</v>
      </c>
      <c r="E2385" s="1" t="s">
        <v>57</v>
      </c>
      <c r="F2385" s="1" t="str">
        <f>"1015450469"</f>
        <v>1015450469</v>
      </c>
      <c r="G2385" s="1" t="s">
        <v>33</v>
      </c>
      <c r="H2385" s="1" t="str">
        <f t="shared" si="448"/>
        <v>20220911</v>
      </c>
      <c r="I2385" s="1" t="str">
        <f>"120630"</f>
        <v>120630</v>
      </c>
      <c r="J2385" s="1" t="s">
        <v>28</v>
      </c>
      <c r="K2385" s="1" t="s">
        <v>28</v>
      </c>
      <c r="L2385" s="1" t="str">
        <f t="shared" si="449"/>
        <v>20220911</v>
      </c>
      <c r="M2385" s="1" t="str">
        <f>"122132"</f>
        <v>122132</v>
      </c>
      <c r="N2385" s="1" t="s">
        <v>56</v>
      </c>
      <c r="O2385" s="1" t="s">
        <v>28</v>
      </c>
      <c r="P2385" s="1" t="s">
        <v>55</v>
      </c>
      <c r="Q2385" s="1">
        <v>25</v>
      </c>
      <c r="R2385" s="1">
        <v>25</v>
      </c>
      <c r="S2385" s="1">
        <v>0</v>
      </c>
      <c r="T2385" s="1">
        <v>0</v>
      </c>
      <c r="U2385" s="1">
        <v>0</v>
      </c>
      <c r="V2385" s="1" t="str">
        <f t="shared" si="452"/>
        <v>里程去程</v>
      </c>
      <c r="W2385" s="1" t="str">
        <f>"0820"</f>
        <v>0820</v>
      </c>
      <c r="X2385" s="1" t="s">
        <v>35</v>
      </c>
    </row>
    <row r="2386" spans="1:24" x14ac:dyDescent="0.3">
      <c r="A2386" s="1" t="str">
        <f t="shared" si="445"/>
        <v>59820</v>
      </c>
      <c r="B2386" s="1" t="s">
        <v>53</v>
      </c>
      <c r="C2386" s="1" t="s">
        <v>54</v>
      </c>
      <c r="D2386" s="1" t="str">
        <f t="shared" si="451"/>
        <v>9805</v>
      </c>
      <c r="E2386" s="1" t="s">
        <v>57</v>
      </c>
      <c r="F2386" s="1" t="str">
        <f>"6117182018051728"</f>
        <v>6117182018051728</v>
      </c>
      <c r="G2386" s="1" t="s">
        <v>33</v>
      </c>
      <c r="H2386" s="1" t="str">
        <f t="shared" si="448"/>
        <v>20220911</v>
      </c>
      <c r="I2386" s="1" t="str">
        <f>"120645"</f>
        <v>120645</v>
      </c>
      <c r="J2386" s="1" t="s">
        <v>28</v>
      </c>
      <c r="K2386" s="1" t="s">
        <v>28</v>
      </c>
      <c r="L2386" s="1" t="str">
        <f t="shared" si="449"/>
        <v>20220911</v>
      </c>
      <c r="M2386" s="1" t="str">
        <f>"122313"</f>
        <v>122313</v>
      </c>
      <c r="N2386" s="1" t="s">
        <v>62</v>
      </c>
      <c r="O2386" s="1" t="s">
        <v>28</v>
      </c>
      <c r="P2386" s="1" t="s">
        <v>55</v>
      </c>
      <c r="Q2386" s="1">
        <v>25</v>
      </c>
      <c r="R2386" s="1">
        <v>25</v>
      </c>
      <c r="S2386" s="1">
        <v>0</v>
      </c>
      <c r="T2386" s="1">
        <v>0</v>
      </c>
      <c r="U2386" s="1">
        <v>0</v>
      </c>
      <c r="V2386" s="1" t="str">
        <f t="shared" si="452"/>
        <v>里程去程</v>
      </c>
      <c r="W2386" s="1" t="str">
        <f>"013B"</f>
        <v>013B</v>
      </c>
      <c r="X2386" s="1" t="s">
        <v>109</v>
      </c>
    </row>
    <row r="2387" spans="1:24" x14ac:dyDescent="0.3">
      <c r="A2387" s="1" t="str">
        <f t="shared" si="445"/>
        <v>59820</v>
      </c>
      <c r="B2387" s="1" t="s">
        <v>53</v>
      </c>
      <c r="C2387" s="1" t="s">
        <v>54</v>
      </c>
      <c r="D2387" s="1" t="str">
        <f t="shared" si="451"/>
        <v>9805</v>
      </c>
      <c r="E2387" s="1" t="s">
        <v>57</v>
      </c>
      <c r="F2387" s="1" t="str">
        <f>"232353264"</f>
        <v>232353264</v>
      </c>
      <c r="G2387" s="1" t="s">
        <v>33</v>
      </c>
      <c r="H2387" s="1" t="str">
        <f t="shared" si="448"/>
        <v>20220911</v>
      </c>
      <c r="I2387" s="1" t="str">
        <f>"120700"</f>
        <v>120700</v>
      </c>
      <c r="J2387" s="1" t="s">
        <v>28</v>
      </c>
      <c r="K2387" s="1" t="s">
        <v>28</v>
      </c>
      <c r="L2387" s="1" t="str">
        <f t="shared" si="449"/>
        <v>20220911</v>
      </c>
      <c r="M2387" s="1" t="str">
        <f>"122330"</f>
        <v>122330</v>
      </c>
      <c r="N2387" s="1" t="s">
        <v>62</v>
      </c>
      <c r="O2387" s="1" t="s">
        <v>28</v>
      </c>
      <c r="P2387" s="1" t="s">
        <v>55</v>
      </c>
      <c r="Q2387" s="1">
        <v>25</v>
      </c>
      <c r="R2387" s="1">
        <v>25</v>
      </c>
      <c r="S2387" s="1">
        <v>0</v>
      </c>
      <c r="T2387" s="1">
        <v>0</v>
      </c>
      <c r="U2387" s="1">
        <v>0</v>
      </c>
      <c r="V2387" s="1" t="str">
        <f t="shared" si="452"/>
        <v>里程去程</v>
      </c>
      <c r="W2387" s="1" t="str">
        <f>"0120"</f>
        <v>0120</v>
      </c>
      <c r="X2387" s="1" t="s">
        <v>35</v>
      </c>
    </row>
    <row r="2388" spans="1:24" x14ac:dyDescent="0.3">
      <c r="A2388" s="1" t="str">
        <f t="shared" si="445"/>
        <v>59820</v>
      </c>
      <c r="B2388" s="1" t="s">
        <v>53</v>
      </c>
      <c r="C2388" s="1" t="s">
        <v>54</v>
      </c>
      <c r="D2388" s="1" t="str">
        <f t="shared" si="451"/>
        <v>9805</v>
      </c>
      <c r="E2388" s="1" t="s">
        <v>57</v>
      </c>
      <c r="F2388" s="1" t="str">
        <f>"611736049"</f>
        <v>611736049</v>
      </c>
      <c r="G2388" s="1" t="s">
        <v>33</v>
      </c>
      <c r="H2388" s="1" t="str">
        <f t="shared" si="448"/>
        <v>20220911</v>
      </c>
      <c r="I2388" s="1" t="str">
        <f>"120706"</f>
        <v>120706</v>
      </c>
      <c r="J2388" s="1" t="s">
        <v>28</v>
      </c>
      <c r="K2388" s="1" t="s">
        <v>28</v>
      </c>
      <c r="L2388" s="1" t="str">
        <f t="shared" si="449"/>
        <v>20220911</v>
      </c>
      <c r="M2388" s="1" t="str">
        <f>"122327"</f>
        <v>122327</v>
      </c>
      <c r="N2388" s="1" t="s">
        <v>62</v>
      </c>
      <c r="O2388" s="1" t="s">
        <v>28</v>
      </c>
      <c r="P2388" s="1" t="s">
        <v>55</v>
      </c>
      <c r="Q2388" s="1">
        <v>25</v>
      </c>
      <c r="R2388" s="1">
        <v>25</v>
      </c>
      <c r="S2388" s="1">
        <v>0</v>
      </c>
      <c r="T2388" s="1">
        <v>0</v>
      </c>
      <c r="U2388" s="1">
        <v>0</v>
      </c>
      <c r="V2388" s="1" t="str">
        <f t="shared" si="452"/>
        <v>里程去程</v>
      </c>
      <c r="W2388" s="1" t="str">
        <f>"0a20"</f>
        <v>0a20</v>
      </c>
      <c r="X2388" s="1" t="s">
        <v>35</v>
      </c>
    </row>
    <row r="2389" spans="1:24" x14ac:dyDescent="0.3">
      <c r="A2389" s="1" t="str">
        <f t="shared" si="445"/>
        <v>59820</v>
      </c>
      <c r="B2389" s="1" t="s">
        <v>53</v>
      </c>
      <c r="C2389" s="1" t="s">
        <v>54</v>
      </c>
      <c r="D2389" s="1" t="str">
        <f t="shared" si="451"/>
        <v>9805</v>
      </c>
      <c r="E2389" s="1" t="s">
        <v>57</v>
      </c>
      <c r="F2389" s="1" t="str">
        <f>"D28F1A0D4A880400C847002000000017"</f>
        <v>D28F1A0D4A880400C847002000000017</v>
      </c>
      <c r="G2389" s="1" t="s">
        <v>26</v>
      </c>
      <c r="H2389" s="1" t="str">
        <f t="shared" si="448"/>
        <v>20220911</v>
      </c>
      <c r="I2389" s="1" t="str">
        <f>"120710"</f>
        <v>120710</v>
      </c>
      <c r="J2389" s="1" t="s">
        <v>28</v>
      </c>
      <c r="K2389" s="1" t="s">
        <v>28</v>
      </c>
      <c r="L2389" s="1" t="str">
        <f t="shared" si="449"/>
        <v>20220911</v>
      </c>
      <c r="M2389" s="1" t="str">
        <f>"122612"</f>
        <v>122612</v>
      </c>
      <c r="N2389" s="1" t="s">
        <v>52</v>
      </c>
      <c r="O2389" s="1" t="s">
        <v>52</v>
      </c>
      <c r="P2389" s="1" t="s">
        <v>55</v>
      </c>
      <c r="Q2389" s="1">
        <v>13</v>
      </c>
      <c r="R2389" s="1">
        <v>0</v>
      </c>
      <c r="S2389" s="1">
        <v>13</v>
      </c>
      <c r="T2389" s="1">
        <v>0</v>
      </c>
      <c r="U2389" s="1">
        <v>0</v>
      </c>
      <c r="V2389" s="1" t="str">
        <f t="shared" si="452"/>
        <v>里程去程</v>
      </c>
      <c r="W2389" s="1" t="str">
        <f>"0620"</f>
        <v>0620</v>
      </c>
      <c r="X2389" s="1" t="s">
        <v>29</v>
      </c>
    </row>
    <row r="2390" spans="1:24" x14ac:dyDescent="0.3">
      <c r="A2390" s="1" t="str">
        <f t="shared" si="445"/>
        <v>59820</v>
      </c>
      <c r="B2390" s="1" t="s">
        <v>53</v>
      </c>
      <c r="C2390" s="1" t="s">
        <v>54</v>
      </c>
      <c r="D2390" s="1" t="str">
        <f t="shared" si="451"/>
        <v>9805</v>
      </c>
      <c r="E2390" s="1" t="s">
        <v>57</v>
      </c>
      <c r="F2390" s="1" t="str">
        <f>"971870709"</f>
        <v>971870709</v>
      </c>
      <c r="G2390" s="1" t="s">
        <v>33</v>
      </c>
      <c r="H2390" s="1" t="str">
        <f t="shared" si="448"/>
        <v>20220911</v>
      </c>
      <c r="I2390" s="1" t="str">
        <f>"130514"</f>
        <v>130514</v>
      </c>
      <c r="J2390" s="1" t="s">
        <v>52</v>
      </c>
      <c r="K2390" s="1" t="s">
        <v>52</v>
      </c>
      <c r="L2390" s="1" t="str">
        <f t="shared" si="449"/>
        <v>20220911</v>
      </c>
      <c r="M2390" s="1" t="str">
        <f>"132641"</f>
        <v>132641</v>
      </c>
      <c r="N2390" s="1" t="s">
        <v>28</v>
      </c>
      <c r="O2390" s="1" t="s">
        <v>28</v>
      </c>
      <c r="P2390" s="1" t="s">
        <v>55</v>
      </c>
      <c r="Q2390" s="1">
        <v>25</v>
      </c>
      <c r="R2390" s="1">
        <v>0</v>
      </c>
      <c r="S2390" s="1">
        <v>25</v>
      </c>
      <c r="T2390" s="1">
        <v>0</v>
      </c>
      <c r="U2390" s="1">
        <v>0</v>
      </c>
      <c r="V2390" s="1" t="str">
        <f>"里程返程"</f>
        <v>里程返程</v>
      </c>
      <c r="W2390" s="1" t="str">
        <f>"2120"</f>
        <v>2120</v>
      </c>
      <c r="X2390" s="1" t="s">
        <v>35</v>
      </c>
    </row>
    <row r="2391" spans="1:24" x14ac:dyDescent="0.3">
      <c r="A2391" s="1" t="str">
        <f t="shared" ref="A2391:A2414" si="453">"59820"</f>
        <v>59820</v>
      </c>
      <c r="B2391" s="1" t="s">
        <v>53</v>
      </c>
      <c r="C2391" s="1" t="s">
        <v>54</v>
      </c>
      <c r="D2391" s="1" t="str">
        <f t="shared" si="451"/>
        <v>9805</v>
      </c>
      <c r="E2391" s="1" t="s">
        <v>57</v>
      </c>
      <c r="F2391" s="1" t="str">
        <f>"1055957541"</f>
        <v>1055957541</v>
      </c>
      <c r="G2391" s="1" t="s">
        <v>38</v>
      </c>
      <c r="H2391" s="1" t="str">
        <f t="shared" si="448"/>
        <v>20220911</v>
      </c>
      <c r="I2391" s="1" t="str">
        <f>"131614"</f>
        <v>131614</v>
      </c>
      <c r="J2391" s="1" t="s">
        <v>94</v>
      </c>
      <c r="K2391" s="1" t="s">
        <v>28</v>
      </c>
      <c r="L2391" s="1" t="str">
        <f t="shared" si="449"/>
        <v>20220911</v>
      </c>
      <c r="M2391" s="1" t="str">
        <f>"132506"</f>
        <v>132506</v>
      </c>
      <c r="N2391" s="1" t="s">
        <v>95</v>
      </c>
      <c r="O2391" s="1" t="s">
        <v>28</v>
      </c>
      <c r="P2391" s="1" t="s">
        <v>55</v>
      </c>
      <c r="Q2391" s="1">
        <v>25</v>
      </c>
      <c r="R2391" s="1">
        <v>25</v>
      </c>
      <c r="S2391" s="1">
        <v>0</v>
      </c>
      <c r="T2391" s="1">
        <v>0</v>
      </c>
      <c r="U2391" s="1">
        <v>0</v>
      </c>
      <c r="V2391" s="1" t="str">
        <f>"里程返程"</f>
        <v>里程返程</v>
      </c>
      <c r="W2391" s="1" t="str">
        <f>"2020"</f>
        <v>2020</v>
      </c>
      <c r="X2391" s="1" t="s">
        <v>35</v>
      </c>
    </row>
    <row r="2392" spans="1:24" x14ac:dyDescent="0.3">
      <c r="A2392" s="1" t="str">
        <f t="shared" si="453"/>
        <v>59820</v>
      </c>
      <c r="B2392" s="1" t="s">
        <v>53</v>
      </c>
      <c r="C2392" s="1" t="s">
        <v>54</v>
      </c>
      <c r="D2392" s="1" t="str">
        <f t="shared" ref="D2392:D2405" si="454">"9803"</f>
        <v>9803</v>
      </c>
      <c r="E2392" s="1" t="s">
        <v>32</v>
      </c>
      <c r="F2392" s="1" t="str">
        <f>"1709069061"</f>
        <v>1709069061</v>
      </c>
      <c r="G2392" s="1" t="s">
        <v>33</v>
      </c>
      <c r="H2392" s="1" t="str">
        <f t="shared" si="448"/>
        <v>20220911</v>
      </c>
      <c r="I2392" s="1" t="str">
        <f>"133823"</f>
        <v>133823</v>
      </c>
      <c r="J2392" s="1" t="s">
        <v>46</v>
      </c>
      <c r="K2392" s="1" t="s">
        <v>28</v>
      </c>
      <c r="L2392" s="1" t="str">
        <f t="shared" si="449"/>
        <v>20220911</v>
      </c>
      <c r="M2392" s="1" t="str">
        <f>"134807"</f>
        <v>134807</v>
      </c>
      <c r="N2392" s="1" t="s">
        <v>34</v>
      </c>
      <c r="O2392" s="1" t="s">
        <v>34</v>
      </c>
      <c r="P2392" s="1" t="s">
        <v>55</v>
      </c>
      <c r="Q2392" s="1">
        <v>25</v>
      </c>
      <c r="R2392" s="1">
        <v>25</v>
      </c>
      <c r="S2392" s="1">
        <v>0</v>
      </c>
      <c r="T2392" s="1">
        <v>0</v>
      </c>
      <c r="U2392" s="1">
        <v>0</v>
      </c>
      <c r="V2392" s="1" t="str">
        <f>"里程去程"</f>
        <v>里程去程</v>
      </c>
      <c r="W2392" s="1" t="str">
        <f>"2020"</f>
        <v>2020</v>
      </c>
      <c r="X2392" s="1" t="s">
        <v>35</v>
      </c>
    </row>
    <row r="2393" spans="1:24" x14ac:dyDescent="0.3">
      <c r="A2393" s="1" t="str">
        <f t="shared" si="453"/>
        <v>59820</v>
      </c>
      <c r="B2393" s="1" t="s">
        <v>53</v>
      </c>
      <c r="C2393" s="1" t="s">
        <v>54</v>
      </c>
      <c r="D2393" s="1" t="str">
        <f t="shared" si="454"/>
        <v>9803</v>
      </c>
      <c r="E2393" s="1" t="s">
        <v>32</v>
      </c>
      <c r="F2393" s="1" t="str">
        <f>"889027745"</f>
        <v>889027745</v>
      </c>
      <c r="G2393" s="1" t="s">
        <v>33</v>
      </c>
      <c r="H2393" s="1" t="str">
        <f t="shared" si="448"/>
        <v>20220911</v>
      </c>
      <c r="I2393" s="1" t="str">
        <f>"140048"</f>
        <v>140048</v>
      </c>
      <c r="J2393" s="1" t="s">
        <v>34</v>
      </c>
      <c r="K2393" s="1" t="s">
        <v>34</v>
      </c>
      <c r="L2393" s="1" t="str">
        <f t="shared" si="449"/>
        <v>20220911</v>
      </c>
      <c r="M2393" s="1" t="str">
        <f>"142711"</f>
        <v>142711</v>
      </c>
      <c r="N2393" s="1" t="s">
        <v>28</v>
      </c>
      <c r="O2393" s="1" t="s">
        <v>28</v>
      </c>
      <c r="P2393" s="1" t="s">
        <v>55</v>
      </c>
      <c r="Q2393" s="1">
        <v>25</v>
      </c>
      <c r="R2393" s="1">
        <v>25</v>
      </c>
      <c r="S2393" s="1">
        <v>0</v>
      </c>
      <c r="T2393" s="1">
        <v>0</v>
      </c>
      <c r="U2393" s="1">
        <v>0</v>
      </c>
      <c r="V2393" s="1" t="str">
        <f t="shared" ref="V2393:V2405" si="455">"里程返程"</f>
        <v>里程返程</v>
      </c>
      <c r="W2393" s="1" t="str">
        <f>"2020"</f>
        <v>2020</v>
      </c>
      <c r="X2393" s="1" t="s">
        <v>35</v>
      </c>
    </row>
    <row r="2394" spans="1:24" x14ac:dyDescent="0.3">
      <c r="A2394" s="1" t="str">
        <f t="shared" si="453"/>
        <v>59820</v>
      </c>
      <c r="B2394" s="1" t="s">
        <v>53</v>
      </c>
      <c r="C2394" s="1" t="s">
        <v>54</v>
      </c>
      <c r="D2394" s="1" t="str">
        <f t="shared" si="454"/>
        <v>9803</v>
      </c>
      <c r="E2394" s="1" t="s">
        <v>32</v>
      </c>
      <c r="F2394" s="1" t="str">
        <f>"F15957659A8804004325CC9400080C0F"</f>
        <v>F15957659A8804004325CC9400080C0F</v>
      </c>
      <c r="G2394" s="1" t="s">
        <v>59</v>
      </c>
      <c r="H2394" s="1" t="str">
        <f t="shared" si="448"/>
        <v>20220911</v>
      </c>
      <c r="I2394" s="1" t="str">
        <f>"140057"</f>
        <v>140057</v>
      </c>
      <c r="J2394" s="1" t="s">
        <v>34</v>
      </c>
      <c r="K2394" s="1" t="s">
        <v>34</v>
      </c>
      <c r="L2394" s="1" t="str">
        <f t="shared" si="449"/>
        <v>20220911</v>
      </c>
      <c r="M2394" s="1" t="str">
        <f>"142717"</f>
        <v>142717</v>
      </c>
      <c r="N2394" s="1" t="s">
        <v>28</v>
      </c>
      <c r="O2394" s="1" t="s">
        <v>28</v>
      </c>
      <c r="P2394" s="1" t="s">
        <v>55</v>
      </c>
      <c r="Q2394" s="1">
        <v>25</v>
      </c>
      <c r="R2394" s="1">
        <v>25</v>
      </c>
      <c r="S2394" s="1">
        <v>0</v>
      </c>
      <c r="T2394" s="1">
        <v>0</v>
      </c>
      <c r="U2394" s="1">
        <v>0</v>
      </c>
      <c r="V2394" s="1" t="str">
        <f t="shared" si="455"/>
        <v>里程返程</v>
      </c>
      <c r="W2394" s="1" t="str">
        <f>"0020"</f>
        <v>0020</v>
      </c>
      <c r="X2394" s="1" t="s">
        <v>29</v>
      </c>
    </row>
    <row r="2395" spans="1:24" x14ac:dyDescent="0.3">
      <c r="A2395" s="1" t="str">
        <f t="shared" si="453"/>
        <v>59820</v>
      </c>
      <c r="B2395" s="1" t="s">
        <v>53</v>
      </c>
      <c r="C2395" s="1" t="s">
        <v>54</v>
      </c>
      <c r="D2395" s="1" t="str">
        <f t="shared" si="454"/>
        <v>9803</v>
      </c>
      <c r="E2395" s="1" t="s">
        <v>32</v>
      </c>
      <c r="F2395" s="1" t="str">
        <f>"1815018261"</f>
        <v>1815018261</v>
      </c>
      <c r="G2395" s="1" t="s">
        <v>33</v>
      </c>
      <c r="H2395" s="1" t="str">
        <f t="shared" si="448"/>
        <v>20220911</v>
      </c>
      <c r="I2395" s="1" t="str">
        <f>"140105"</f>
        <v>140105</v>
      </c>
      <c r="J2395" s="1" t="s">
        <v>34</v>
      </c>
      <c r="K2395" s="1" t="s">
        <v>34</v>
      </c>
      <c r="L2395" s="1" t="str">
        <f t="shared" si="449"/>
        <v>20220911</v>
      </c>
      <c r="M2395" s="1" t="str">
        <f>"142627"</f>
        <v>142627</v>
      </c>
      <c r="N2395" s="1" t="s">
        <v>28</v>
      </c>
      <c r="O2395" s="1" t="s">
        <v>28</v>
      </c>
      <c r="P2395" s="1" t="s">
        <v>55</v>
      </c>
      <c r="Q2395" s="1">
        <v>25</v>
      </c>
      <c r="R2395" s="1">
        <v>25</v>
      </c>
      <c r="S2395" s="1">
        <v>0</v>
      </c>
      <c r="T2395" s="1">
        <v>0</v>
      </c>
      <c r="U2395" s="1">
        <v>0</v>
      </c>
      <c r="V2395" s="1" t="str">
        <f t="shared" si="455"/>
        <v>里程返程</v>
      </c>
      <c r="W2395" s="1" t="str">
        <f>"2020"</f>
        <v>2020</v>
      </c>
      <c r="X2395" s="1" t="s">
        <v>35</v>
      </c>
    </row>
    <row r="2396" spans="1:24" x14ac:dyDescent="0.3">
      <c r="A2396" s="1" t="str">
        <f t="shared" si="453"/>
        <v>59820</v>
      </c>
      <c r="B2396" s="1" t="s">
        <v>53</v>
      </c>
      <c r="C2396" s="1" t="s">
        <v>54</v>
      </c>
      <c r="D2396" s="1" t="str">
        <f t="shared" si="454"/>
        <v>9803</v>
      </c>
      <c r="E2396" s="1" t="s">
        <v>32</v>
      </c>
      <c r="F2396" s="1" t="str">
        <f>"1105728661"</f>
        <v>1105728661</v>
      </c>
      <c r="G2396" s="1" t="s">
        <v>38</v>
      </c>
      <c r="H2396" s="1" t="str">
        <f t="shared" si="448"/>
        <v>20220911</v>
      </c>
      <c r="I2396" s="1" t="str">
        <f>"140115"</f>
        <v>140115</v>
      </c>
      <c r="J2396" s="1" t="s">
        <v>34</v>
      </c>
      <c r="K2396" s="1" t="s">
        <v>34</v>
      </c>
      <c r="L2396" s="1" t="str">
        <f t="shared" si="449"/>
        <v>20220911</v>
      </c>
      <c r="M2396" s="1" t="str">
        <f>"142652"</f>
        <v>142652</v>
      </c>
      <c r="N2396" s="1" t="s">
        <v>28</v>
      </c>
      <c r="O2396" s="1" t="s">
        <v>28</v>
      </c>
      <c r="P2396" s="1" t="s">
        <v>55</v>
      </c>
      <c r="Q2396" s="1">
        <v>25</v>
      </c>
      <c r="R2396" s="1">
        <v>25</v>
      </c>
      <c r="S2396" s="1">
        <v>0</v>
      </c>
      <c r="T2396" s="1">
        <v>0</v>
      </c>
      <c r="U2396" s="1">
        <v>0</v>
      </c>
      <c r="V2396" s="1" t="str">
        <f t="shared" si="455"/>
        <v>里程返程</v>
      </c>
      <c r="W2396" s="1" t="str">
        <f>"2020"</f>
        <v>2020</v>
      </c>
      <c r="X2396" s="1" t="s">
        <v>35</v>
      </c>
    </row>
    <row r="2397" spans="1:24" x14ac:dyDescent="0.3">
      <c r="A2397" s="1" t="str">
        <f t="shared" si="453"/>
        <v>59820</v>
      </c>
      <c r="B2397" s="1" t="s">
        <v>53</v>
      </c>
      <c r="C2397" s="1" t="s">
        <v>54</v>
      </c>
      <c r="D2397" s="1" t="str">
        <f t="shared" si="454"/>
        <v>9803</v>
      </c>
      <c r="E2397" s="1" t="s">
        <v>32</v>
      </c>
      <c r="F2397" s="1" t="str">
        <f>"1101226421"</f>
        <v>1101226421</v>
      </c>
      <c r="G2397" s="1" t="s">
        <v>38</v>
      </c>
      <c r="H2397" s="1" t="str">
        <f t="shared" si="448"/>
        <v>20220911</v>
      </c>
      <c r="I2397" s="1" t="str">
        <f>"140123"</f>
        <v>140123</v>
      </c>
      <c r="J2397" s="1" t="s">
        <v>34</v>
      </c>
      <c r="K2397" s="1" t="s">
        <v>34</v>
      </c>
      <c r="L2397" s="1" t="str">
        <f t="shared" si="449"/>
        <v>20220911</v>
      </c>
      <c r="M2397" s="1" t="str">
        <f>"142647"</f>
        <v>142647</v>
      </c>
      <c r="N2397" s="1" t="s">
        <v>28</v>
      </c>
      <c r="O2397" s="1" t="s">
        <v>28</v>
      </c>
      <c r="P2397" s="1" t="s">
        <v>55</v>
      </c>
      <c r="Q2397" s="1">
        <v>25</v>
      </c>
      <c r="R2397" s="1">
        <v>25</v>
      </c>
      <c r="S2397" s="1">
        <v>0</v>
      </c>
      <c r="T2397" s="1">
        <v>0</v>
      </c>
      <c r="U2397" s="1">
        <v>0</v>
      </c>
      <c r="V2397" s="1" t="str">
        <f t="shared" si="455"/>
        <v>里程返程</v>
      </c>
      <c r="W2397" s="1" t="str">
        <f>"2020"</f>
        <v>2020</v>
      </c>
      <c r="X2397" s="1" t="s">
        <v>35</v>
      </c>
    </row>
    <row r="2398" spans="1:24" x14ac:dyDescent="0.3">
      <c r="A2398" s="1" t="str">
        <f t="shared" si="453"/>
        <v>59820</v>
      </c>
      <c r="B2398" s="1" t="s">
        <v>53</v>
      </c>
      <c r="C2398" s="1" t="s">
        <v>54</v>
      </c>
      <c r="D2398" s="1" t="str">
        <f t="shared" si="454"/>
        <v>9803</v>
      </c>
      <c r="E2398" s="1" t="s">
        <v>32</v>
      </c>
      <c r="F2398" s="1" t="str">
        <f>"1079509237"</f>
        <v>1079509237</v>
      </c>
      <c r="G2398" s="1" t="s">
        <v>38</v>
      </c>
      <c r="H2398" s="1" t="str">
        <f t="shared" si="448"/>
        <v>20220911</v>
      </c>
      <c r="I2398" s="1" t="str">
        <f>"140131"</f>
        <v>140131</v>
      </c>
      <c r="J2398" s="1" t="s">
        <v>34</v>
      </c>
      <c r="K2398" s="1" t="s">
        <v>34</v>
      </c>
      <c r="L2398" s="1" t="str">
        <f t="shared" si="449"/>
        <v>20220911</v>
      </c>
      <c r="M2398" s="1" t="str">
        <f>"142639"</f>
        <v>142639</v>
      </c>
      <c r="N2398" s="1" t="s">
        <v>28</v>
      </c>
      <c r="O2398" s="1" t="s">
        <v>28</v>
      </c>
      <c r="P2398" s="1" t="s">
        <v>55</v>
      </c>
      <c r="Q2398" s="1">
        <v>25</v>
      </c>
      <c r="R2398" s="1">
        <v>25</v>
      </c>
      <c r="S2398" s="1">
        <v>0</v>
      </c>
      <c r="T2398" s="1">
        <v>0</v>
      </c>
      <c r="U2398" s="1">
        <v>0</v>
      </c>
      <c r="V2398" s="1" t="str">
        <f t="shared" si="455"/>
        <v>里程返程</v>
      </c>
      <c r="W2398" s="1" t="str">
        <f>"0820"</f>
        <v>0820</v>
      </c>
      <c r="X2398" s="1" t="s">
        <v>35</v>
      </c>
    </row>
    <row r="2399" spans="1:24" x14ac:dyDescent="0.3">
      <c r="A2399" s="1" t="str">
        <f t="shared" si="453"/>
        <v>59820</v>
      </c>
      <c r="B2399" s="1" t="s">
        <v>53</v>
      </c>
      <c r="C2399" s="1" t="s">
        <v>54</v>
      </c>
      <c r="D2399" s="1" t="str">
        <f t="shared" si="454"/>
        <v>9803</v>
      </c>
      <c r="E2399" s="1" t="s">
        <v>32</v>
      </c>
      <c r="F2399" s="1" t="str">
        <f>"934558773"</f>
        <v>934558773</v>
      </c>
      <c r="G2399" s="1" t="s">
        <v>38</v>
      </c>
      <c r="H2399" s="1" t="str">
        <f t="shared" si="448"/>
        <v>20220911</v>
      </c>
      <c r="I2399" s="1" t="str">
        <f>"140138"</f>
        <v>140138</v>
      </c>
      <c r="J2399" s="1" t="s">
        <v>34</v>
      </c>
      <c r="K2399" s="1" t="s">
        <v>34</v>
      </c>
      <c r="L2399" s="1" t="str">
        <f t="shared" si="449"/>
        <v>20220911</v>
      </c>
      <c r="M2399" s="1" t="str">
        <f>"142706"</f>
        <v>142706</v>
      </c>
      <c r="N2399" s="1" t="s">
        <v>28</v>
      </c>
      <c r="O2399" s="1" t="s">
        <v>28</v>
      </c>
      <c r="P2399" s="1" t="s">
        <v>55</v>
      </c>
      <c r="Q2399" s="1">
        <v>25</v>
      </c>
      <c r="R2399" s="1">
        <v>25</v>
      </c>
      <c r="S2399" s="1">
        <v>0</v>
      </c>
      <c r="T2399" s="1">
        <v>0</v>
      </c>
      <c r="U2399" s="1">
        <v>0</v>
      </c>
      <c r="V2399" s="1" t="str">
        <f t="shared" si="455"/>
        <v>里程返程</v>
      </c>
      <c r="W2399" s="1" t="str">
        <f>"2020"</f>
        <v>2020</v>
      </c>
      <c r="X2399" s="1" t="s">
        <v>35</v>
      </c>
    </row>
    <row r="2400" spans="1:24" x14ac:dyDescent="0.3">
      <c r="A2400" s="1" t="str">
        <f t="shared" si="453"/>
        <v>59820</v>
      </c>
      <c r="B2400" s="1" t="s">
        <v>53</v>
      </c>
      <c r="C2400" s="1" t="s">
        <v>54</v>
      </c>
      <c r="D2400" s="1" t="str">
        <f t="shared" si="454"/>
        <v>9803</v>
      </c>
      <c r="E2400" s="1" t="s">
        <v>32</v>
      </c>
      <c r="F2400" s="1" t="str">
        <f>"013AEB2FFF280400F700000000000000"</f>
        <v>013AEB2FFF280400F700000000000000</v>
      </c>
      <c r="G2400" s="1" t="s">
        <v>58</v>
      </c>
      <c r="H2400" s="1" t="str">
        <f t="shared" si="448"/>
        <v>20220911</v>
      </c>
      <c r="I2400" s="1" t="str">
        <f>"140140"</f>
        <v>140140</v>
      </c>
      <c r="J2400" s="1" t="s">
        <v>34</v>
      </c>
      <c r="K2400" s="1" t="s">
        <v>34</v>
      </c>
      <c r="L2400" s="1" t="str">
        <f t="shared" si="449"/>
        <v>20220911</v>
      </c>
      <c r="M2400" s="1" t="str">
        <f>"142618"</f>
        <v>142618</v>
      </c>
      <c r="N2400" s="1" t="s">
        <v>28</v>
      </c>
      <c r="O2400" s="1" t="s">
        <v>28</v>
      </c>
      <c r="P2400" s="1" t="s">
        <v>55</v>
      </c>
      <c r="Q2400" s="1">
        <v>25</v>
      </c>
      <c r="R2400" s="1">
        <v>25</v>
      </c>
      <c r="S2400" s="1">
        <v>0</v>
      </c>
      <c r="T2400" s="1">
        <v>0</v>
      </c>
      <c r="U2400" s="1">
        <v>0</v>
      </c>
      <c r="V2400" s="1" t="str">
        <f t="shared" si="455"/>
        <v>里程返程</v>
      </c>
      <c r="W2400" s="1" t="str">
        <f>"0020"</f>
        <v>0020</v>
      </c>
      <c r="X2400" s="1" t="s">
        <v>29</v>
      </c>
    </row>
    <row r="2401" spans="1:24" x14ac:dyDescent="0.3">
      <c r="A2401" s="1" t="str">
        <f t="shared" si="453"/>
        <v>59820</v>
      </c>
      <c r="B2401" s="1" t="s">
        <v>53</v>
      </c>
      <c r="C2401" s="1" t="s">
        <v>54</v>
      </c>
      <c r="D2401" s="1" t="str">
        <f t="shared" si="454"/>
        <v>9803</v>
      </c>
      <c r="E2401" s="1" t="s">
        <v>32</v>
      </c>
      <c r="F2401" s="1" t="str">
        <f>"965714193"</f>
        <v>965714193</v>
      </c>
      <c r="G2401" s="1" t="s">
        <v>38</v>
      </c>
      <c r="H2401" s="1" t="str">
        <f t="shared" si="448"/>
        <v>20220911</v>
      </c>
      <c r="I2401" s="1" t="str">
        <f>"140153"</f>
        <v>140153</v>
      </c>
      <c r="J2401" s="1" t="s">
        <v>34</v>
      </c>
      <c r="K2401" s="1" t="s">
        <v>34</v>
      </c>
      <c r="L2401" s="1" t="str">
        <f t="shared" si="449"/>
        <v>20220911</v>
      </c>
      <c r="M2401" s="1" t="str">
        <f>"142701"</f>
        <v>142701</v>
      </c>
      <c r="N2401" s="1" t="s">
        <v>28</v>
      </c>
      <c r="O2401" s="1" t="s">
        <v>28</v>
      </c>
      <c r="P2401" s="1" t="s">
        <v>55</v>
      </c>
      <c r="Q2401" s="1">
        <v>25</v>
      </c>
      <c r="R2401" s="1">
        <v>25</v>
      </c>
      <c r="S2401" s="1">
        <v>0</v>
      </c>
      <c r="T2401" s="1">
        <v>0</v>
      </c>
      <c r="U2401" s="1">
        <v>0</v>
      </c>
      <c r="V2401" s="1" t="str">
        <f t="shared" si="455"/>
        <v>里程返程</v>
      </c>
      <c r="W2401" s="1" t="str">
        <f>"2020"</f>
        <v>2020</v>
      </c>
      <c r="X2401" s="1" t="s">
        <v>35</v>
      </c>
    </row>
    <row r="2402" spans="1:24" x14ac:dyDescent="0.3">
      <c r="A2402" s="1" t="str">
        <f t="shared" si="453"/>
        <v>59820</v>
      </c>
      <c r="B2402" s="1" t="s">
        <v>53</v>
      </c>
      <c r="C2402" s="1" t="s">
        <v>54</v>
      </c>
      <c r="D2402" s="1" t="str">
        <f t="shared" si="454"/>
        <v>9803</v>
      </c>
      <c r="E2402" s="1" t="s">
        <v>32</v>
      </c>
      <c r="F2402" s="1" t="str">
        <f>"1079744741"</f>
        <v>1079744741</v>
      </c>
      <c r="G2402" s="1" t="s">
        <v>38</v>
      </c>
      <c r="H2402" s="1" t="str">
        <f t="shared" si="448"/>
        <v>20220911</v>
      </c>
      <c r="I2402" s="1" t="str">
        <f>"140158"</f>
        <v>140158</v>
      </c>
      <c r="J2402" s="1" t="s">
        <v>34</v>
      </c>
      <c r="K2402" s="1" t="s">
        <v>34</v>
      </c>
      <c r="L2402" s="1" t="str">
        <f t="shared" ref="L2402:L2413" si="456">"20220911"</f>
        <v>20220911</v>
      </c>
      <c r="M2402" s="1" t="str">
        <f>"142642"</f>
        <v>142642</v>
      </c>
      <c r="N2402" s="1" t="s">
        <v>28</v>
      </c>
      <c r="O2402" s="1" t="s">
        <v>28</v>
      </c>
      <c r="P2402" s="1" t="s">
        <v>55</v>
      </c>
      <c r="Q2402" s="1">
        <v>25</v>
      </c>
      <c r="R2402" s="1">
        <v>25</v>
      </c>
      <c r="S2402" s="1">
        <v>0</v>
      </c>
      <c r="T2402" s="1">
        <v>0</v>
      </c>
      <c r="U2402" s="1">
        <v>0</v>
      </c>
      <c r="V2402" s="1" t="str">
        <f t="shared" si="455"/>
        <v>里程返程</v>
      </c>
      <c r="W2402" s="1" t="str">
        <f>"2020"</f>
        <v>2020</v>
      </c>
      <c r="X2402" s="1" t="s">
        <v>35</v>
      </c>
    </row>
    <row r="2403" spans="1:24" x14ac:dyDescent="0.3">
      <c r="A2403" s="1" t="str">
        <f t="shared" si="453"/>
        <v>59820</v>
      </c>
      <c r="B2403" s="1" t="s">
        <v>53</v>
      </c>
      <c r="C2403" s="1" t="s">
        <v>54</v>
      </c>
      <c r="D2403" s="1" t="str">
        <f t="shared" si="454"/>
        <v>9803</v>
      </c>
      <c r="E2403" s="1" t="s">
        <v>32</v>
      </c>
      <c r="F2403" s="1" t="str">
        <f>"1755169781"</f>
        <v>1755169781</v>
      </c>
      <c r="G2403" s="1" t="s">
        <v>38</v>
      </c>
      <c r="H2403" s="1" t="str">
        <f t="shared" si="448"/>
        <v>20220911</v>
      </c>
      <c r="I2403" s="1" t="str">
        <f>"140204"</f>
        <v>140204</v>
      </c>
      <c r="J2403" s="1" t="s">
        <v>34</v>
      </c>
      <c r="K2403" s="1" t="s">
        <v>34</v>
      </c>
      <c r="L2403" s="1" t="str">
        <f t="shared" si="456"/>
        <v>20220911</v>
      </c>
      <c r="M2403" s="1" t="str">
        <f>"142634"</f>
        <v>142634</v>
      </c>
      <c r="N2403" s="1" t="s">
        <v>28</v>
      </c>
      <c r="O2403" s="1" t="s">
        <v>28</v>
      </c>
      <c r="P2403" s="1" t="s">
        <v>55</v>
      </c>
      <c r="Q2403" s="1">
        <v>25</v>
      </c>
      <c r="R2403" s="1">
        <v>25</v>
      </c>
      <c r="S2403" s="1">
        <v>0</v>
      </c>
      <c r="T2403" s="1">
        <v>0</v>
      </c>
      <c r="U2403" s="1">
        <v>0</v>
      </c>
      <c r="V2403" s="1" t="str">
        <f t="shared" si="455"/>
        <v>里程返程</v>
      </c>
      <c r="W2403" s="1" t="str">
        <f>"2020"</f>
        <v>2020</v>
      </c>
      <c r="X2403" s="1" t="s">
        <v>35</v>
      </c>
    </row>
    <row r="2404" spans="1:24" x14ac:dyDescent="0.3">
      <c r="A2404" s="1" t="str">
        <f t="shared" si="453"/>
        <v>59820</v>
      </c>
      <c r="B2404" s="1" t="s">
        <v>53</v>
      </c>
      <c r="C2404" s="1" t="s">
        <v>54</v>
      </c>
      <c r="D2404" s="1" t="str">
        <f t="shared" si="454"/>
        <v>9803</v>
      </c>
      <c r="E2404" s="1" t="s">
        <v>32</v>
      </c>
      <c r="F2404" s="1" t="str">
        <f>"735176469"</f>
        <v>735176469</v>
      </c>
      <c r="G2404" s="1" t="s">
        <v>33</v>
      </c>
      <c r="H2404" s="1" t="str">
        <f t="shared" si="448"/>
        <v>20220911</v>
      </c>
      <c r="I2404" s="1" t="str">
        <f>"140210"</f>
        <v>140210</v>
      </c>
      <c r="J2404" s="1" t="s">
        <v>34</v>
      </c>
      <c r="K2404" s="1" t="s">
        <v>34</v>
      </c>
      <c r="L2404" s="1" t="str">
        <f t="shared" si="456"/>
        <v>20220911</v>
      </c>
      <c r="M2404" s="1" t="str">
        <f>"142657"</f>
        <v>142657</v>
      </c>
      <c r="N2404" s="1" t="s">
        <v>28</v>
      </c>
      <c r="O2404" s="1" t="s">
        <v>28</v>
      </c>
      <c r="P2404" s="1" t="s">
        <v>55</v>
      </c>
      <c r="Q2404" s="1">
        <v>25</v>
      </c>
      <c r="R2404" s="1">
        <v>25</v>
      </c>
      <c r="S2404" s="1">
        <v>0</v>
      </c>
      <c r="T2404" s="1">
        <v>0</v>
      </c>
      <c r="U2404" s="1">
        <v>0</v>
      </c>
      <c r="V2404" s="1" t="str">
        <f t="shared" si="455"/>
        <v>里程返程</v>
      </c>
      <c r="W2404" s="1" t="str">
        <f>"2020"</f>
        <v>2020</v>
      </c>
      <c r="X2404" s="1" t="s">
        <v>35</v>
      </c>
    </row>
    <row r="2405" spans="1:24" x14ac:dyDescent="0.3">
      <c r="A2405" s="1" t="str">
        <f t="shared" si="453"/>
        <v>59820</v>
      </c>
      <c r="B2405" s="1" t="s">
        <v>53</v>
      </c>
      <c r="C2405" s="1" t="s">
        <v>54</v>
      </c>
      <c r="D2405" s="1" t="str">
        <f t="shared" si="454"/>
        <v>9803</v>
      </c>
      <c r="E2405" s="1" t="s">
        <v>32</v>
      </c>
      <c r="F2405" s="1" t="str">
        <f>"1666771377"</f>
        <v>1666771377</v>
      </c>
      <c r="G2405" s="1" t="s">
        <v>33</v>
      </c>
      <c r="H2405" s="1" t="str">
        <f t="shared" si="448"/>
        <v>20220911</v>
      </c>
      <c r="I2405" s="1" t="str">
        <f>"140217"</f>
        <v>140217</v>
      </c>
      <c r="J2405" s="1" t="s">
        <v>34</v>
      </c>
      <c r="K2405" s="1" t="s">
        <v>34</v>
      </c>
      <c r="L2405" s="1" t="str">
        <f t="shared" si="456"/>
        <v>20220911</v>
      </c>
      <c r="M2405" s="1" t="str">
        <f>"142714"</f>
        <v>142714</v>
      </c>
      <c r="N2405" s="1" t="s">
        <v>28</v>
      </c>
      <c r="O2405" s="1" t="s">
        <v>28</v>
      </c>
      <c r="P2405" s="1" t="s">
        <v>55</v>
      </c>
      <c r="Q2405" s="1">
        <v>25</v>
      </c>
      <c r="R2405" s="1">
        <v>25</v>
      </c>
      <c r="S2405" s="1">
        <v>0</v>
      </c>
      <c r="T2405" s="1">
        <v>0</v>
      </c>
      <c r="U2405" s="1">
        <v>0</v>
      </c>
      <c r="V2405" s="1" t="str">
        <f t="shared" si="455"/>
        <v>里程返程</v>
      </c>
      <c r="W2405" s="1" t="str">
        <f>"0820"</f>
        <v>0820</v>
      </c>
      <c r="X2405" s="1" t="s">
        <v>35</v>
      </c>
    </row>
    <row r="2406" spans="1:24" x14ac:dyDescent="0.3">
      <c r="A2406" s="1" t="str">
        <f t="shared" si="453"/>
        <v>59820</v>
      </c>
      <c r="B2406" s="1" t="s">
        <v>53</v>
      </c>
      <c r="C2406" s="1" t="s">
        <v>54</v>
      </c>
      <c r="D2406" s="1" t="str">
        <f>"9805"</f>
        <v>9805</v>
      </c>
      <c r="E2406" s="1" t="s">
        <v>57</v>
      </c>
      <c r="F2406" s="1" t="str">
        <f>"F1021B26CE8804004328091300170212"</f>
        <v>F1021B26CE8804004328091300170212</v>
      </c>
      <c r="G2406" s="1" t="s">
        <v>58</v>
      </c>
      <c r="H2406" s="1" t="str">
        <f t="shared" si="448"/>
        <v>20220911</v>
      </c>
      <c r="I2406" s="1" t="str">
        <f>"151744"</f>
        <v>151744</v>
      </c>
      <c r="J2406" s="1" t="s">
        <v>28</v>
      </c>
      <c r="K2406" s="1" t="s">
        <v>28</v>
      </c>
      <c r="L2406" s="1" t="str">
        <f t="shared" si="456"/>
        <v>20220911</v>
      </c>
      <c r="M2406" s="1" t="str">
        <f>"153447"</f>
        <v>153447</v>
      </c>
      <c r="N2406" s="1" t="s">
        <v>62</v>
      </c>
      <c r="O2406" s="1" t="s">
        <v>28</v>
      </c>
      <c r="P2406" s="1" t="s">
        <v>55</v>
      </c>
      <c r="Q2406" s="1">
        <v>25</v>
      </c>
      <c r="R2406" s="1">
        <v>25</v>
      </c>
      <c r="S2406" s="1">
        <v>0</v>
      </c>
      <c r="T2406" s="1">
        <v>0</v>
      </c>
      <c r="U2406" s="1">
        <v>0</v>
      </c>
      <c r="V2406" s="1" t="str">
        <f>"里程去程"</f>
        <v>里程去程</v>
      </c>
      <c r="W2406" s="1" t="str">
        <f>"0020"</f>
        <v>0020</v>
      </c>
      <c r="X2406" s="1" t="s">
        <v>29</v>
      </c>
    </row>
    <row r="2407" spans="1:24" x14ac:dyDescent="0.3">
      <c r="A2407" s="1" t="str">
        <f t="shared" si="453"/>
        <v>59820</v>
      </c>
      <c r="B2407" s="1" t="s">
        <v>53</v>
      </c>
      <c r="C2407" s="1" t="s">
        <v>54</v>
      </c>
      <c r="D2407" s="1" t="str">
        <f>"9805"</f>
        <v>9805</v>
      </c>
      <c r="E2407" s="1" t="s">
        <v>57</v>
      </c>
      <c r="F2407" s="1" t="str">
        <f>"8A40985B09880400C18514D041604512"</f>
        <v>8A40985B09880400C18514D041604512</v>
      </c>
      <c r="G2407" s="1" t="s">
        <v>58</v>
      </c>
      <c r="H2407" s="1" t="str">
        <f t="shared" si="448"/>
        <v>20220911</v>
      </c>
      <c r="I2407" s="1" t="str">
        <f>"151814"</f>
        <v>151814</v>
      </c>
      <c r="J2407" s="1" t="s">
        <v>28</v>
      </c>
      <c r="K2407" s="1" t="s">
        <v>28</v>
      </c>
      <c r="L2407" s="1" t="str">
        <f t="shared" si="456"/>
        <v>20220911</v>
      </c>
      <c r="M2407" s="1" t="str">
        <f>"153731"</f>
        <v>153731</v>
      </c>
      <c r="N2407" s="1" t="s">
        <v>52</v>
      </c>
      <c r="O2407" s="1" t="s">
        <v>52</v>
      </c>
      <c r="P2407" s="1" t="s">
        <v>55</v>
      </c>
      <c r="Q2407" s="1">
        <v>25</v>
      </c>
      <c r="R2407" s="1">
        <v>25</v>
      </c>
      <c r="S2407" s="1">
        <v>0</v>
      </c>
      <c r="T2407" s="1">
        <v>0</v>
      </c>
      <c r="U2407" s="1">
        <v>0</v>
      </c>
      <c r="V2407" s="1" t="str">
        <f>"里程去程"</f>
        <v>里程去程</v>
      </c>
      <c r="W2407" s="1" t="str">
        <f>"0020"</f>
        <v>0020</v>
      </c>
      <c r="X2407" s="1" t="s">
        <v>29</v>
      </c>
    </row>
    <row r="2408" spans="1:24" x14ac:dyDescent="0.3">
      <c r="A2408" s="1" t="str">
        <f t="shared" si="453"/>
        <v>59820</v>
      </c>
      <c r="B2408" s="1" t="s">
        <v>53</v>
      </c>
      <c r="C2408" s="1" t="s">
        <v>54</v>
      </c>
      <c r="D2408" s="1" t="str">
        <f>"9805"</f>
        <v>9805</v>
      </c>
      <c r="E2408" s="1" t="s">
        <v>57</v>
      </c>
      <c r="F2408" s="1" t="str">
        <f>"E2371A03CC880400C834002000000015"</f>
        <v>E2371A03CC880400C834002000000015</v>
      </c>
      <c r="G2408" s="1" t="s">
        <v>26</v>
      </c>
      <c r="H2408" s="1" t="str">
        <f t="shared" si="448"/>
        <v>20220911</v>
      </c>
      <c r="I2408" s="1" t="str">
        <f>"151927"</f>
        <v>151927</v>
      </c>
      <c r="J2408" s="1" t="s">
        <v>28</v>
      </c>
      <c r="K2408" s="1" t="s">
        <v>28</v>
      </c>
      <c r="L2408" s="1" t="str">
        <f t="shared" si="456"/>
        <v>20220911</v>
      </c>
      <c r="M2408" s="1" t="str">
        <f>"153601"</f>
        <v>153601</v>
      </c>
      <c r="N2408" s="1" t="s">
        <v>52</v>
      </c>
      <c r="O2408" s="1" t="s">
        <v>52</v>
      </c>
      <c r="P2408" s="1" t="s">
        <v>68</v>
      </c>
      <c r="Q2408" s="1">
        <v>13</v>
      </c>
      <c r="R2408" s="1">
        <v>0</v>
      </c>
      <c r="S2408" s="1">
        <v>0</v>
      </c>
      <c r="T2408" s="1">
        <v>13</v>
      </c>
      <c r="U2408" s="1">
        <v>0</v>
      </c>
      <c r="V2408" s="1" t="str">
        <f>"里程去程"</f>
        <v>里程去程</v>
      </c>
      <c r="W2408" s="1" t="str">
        <f>"0020"</f>
        <v>0020</v>
      </c>
      <c r="X2408" s="1" t="s">
        <v>29</v>
      </c>
    </row>
    <row r="2409" spans="1:24" x14ac:dyDescent="0.3">
      <c r="A2409" s="1" t="str">
        <f t="shared" si="453"/>
        <v>59820</v>
      </c>
      <c r="B2409" s="1" t="s">
        <v>53</v>
      </c>
      <c r="C2409" s="1" t="s">
        <v>54</v>
      </c>
      <c r="D2409" s="1" t="str">
        <f>"9805"</f>
        <v>9805</v>
      </c>
      <c r="E2409" s="1" t="s">
        <v>57</v>
      </c>
      <c r="F2409" s="1" t="str">
        <f>"1682295573"</f>
        <v>1682295573</v>
      </c>
      <c r="G2409" s="1" t="s">
        <v>38</v>
      </c>
      <c r="H2409" s="1" t="str">
        <f t="shared" si="448"/>
        <v>20220911</v>
      </c>
      <c r="I2409" s="1" t="str">
        <f>"151942"</f>
        <v>151942</v>
      </c>
      <c r="J2409" s="1" t="s">
        <v>28</v>
      </c>
      <c r="K2409" s="1" t="s">
        <v>28</v>
      </c>
      <c r="L2409" s="1" t="str">
        <f t="shared" si="456"/>
        <v>20220911</v>
      </c>
      <c r="M2409" s="1" t="str">
        <f>"153308"</f>
        <v>153308</v>
      </c>
      <c r="N2409" s="1" t="s">
        <v>56</v>
      </c>
      <c r="O2409" s="1" t="s">
        <v>28</v>
      </c>
      <c r="P2409" s="1" t="s">
        <v>55</v>
      </c>
      <c r="Q2409" s="1">
        <v>25</v>
      </c>
      <c r="R2409" s="1">
        <v>25</v>
      </c>
      <c r="S2409" s="1">
        <v>0</v>
      </c>
      <c r="T2409" s="1">
        <v>0</v>
      </c>
      <c r="U2409" s="1">
        <v>0</v>
      </c>
      <c r="V2409" s="1" t="str">
        <f>"里程去程"</f>
        <v>里程去程</v>
      </c>
      <c r="W2409" s="1" t="str">
        <f>"2220"</f>
        <v>2220</v>
      </c>
      <c r="X2409" s="1" t="s">
        <v>35</v>
      </c>
    </row>
    <row r="2410" spans="1:24" x14ac:dyDescent="0.3">
      <c r="A2410" s="1" t="str">
        <f t="shared" si="453"/>
        <v>59820</v>
      </c>
      <c r="B2410" s="1" t="s">
        <v>53</v>
      </c>
      <c r="C2410" s="1" t="s">
        <v>54</v>
      </c>
      <c r="D2410" s="1" t="str">
        <f>"9805"</f>
        <v>9805</v>
      </c>
      <c r="E2410" s="1" t="s">
        <v>57</v>
      </c>
      <c r="F2410" s="1" t="str">
        <f>"C29FF517BF880400C814002000000019"</f>
        <v>C29FF517BF880400C814002000000019</v>
      </c>
      <c r="G2410" s="1" t="s">
        <v>59</v>
      </c>
      <c r="H2410" s="1" t="str">
        <f t="shared" si="448"/>
        <v>20220911</v>
      </c>
      <c r="I2410" s="1" t="str">
        <f>"151945"</f>
        <v>151945</v>
      </c>
      <c r="J2410" s="1" t="s">
        <v>28</v>
      </c>
      <c r="K2410" s="1" t="s">
        <v>28</v>
      </c>
      <c r="L2410" s="1" t="str">
        <f t="shared" si="456"/>
        <v>20220911</v>
      </c>
      <c r="M2410" s="1" t="str">
        <f>"153304"</f>
        <v>153304</v>
      </c>
      <c r="N2410" s="1" t="s">
        <v>56</v>
      </c>
      <c r="O2410" s="1" t="s">
        <v>28</v>
      </c>
      <c r="P2410" s="1" t="s">
        <v>55</v>
      </c>
      <c r="Q2410" s="1">
        <v>25</v>
      </c>
      <c r="R2410" s="1">
        <v>0</v>
      </c>
      <c r="S2410" s="1">
        <v>25</v>
      </c>
      <c r="T2410" s="1">
        <v>0</v>
      </c>
      <c r="U2410" s="1">
        <v>0</v>
      </c>
      <c r="V2410" s="1" t="str">
        <f>"里程去程"</f>
        <v>里程去程</v>
      </c>
      <c r="W2410" s="1" t="str">
        <f>"0620"</f>
        <v>0620</v>
      </c>
      <c r="X2410" s="1" t="s">
        <v>29</v>
      </c>
    </row>
    <row r="2411" spans="1:24" x14ac:dyDescent="0.3">
      <c r="A2411" s="1" t="str">
        <f t="shared" si="453"/>
        <v>59820</v>
      </c>
      <c r="B2411" s="1" t="s">
        <v>53</v>
      </c>
      <c r="C2411" s="1" t="s">
        <v>54</v>
      </c>
      <c r="D2411" s="1" t="str">
        <f>"9803"</f>
        <v>9803</v>
      </c>
      <c r="E2411" s="1" t="s">
        <v>32</v>
      </c>
      <c r="F2411" s="1" t="str">
        <f>"1847348125"</f>
        <v>1847348125</v>
      </c>
      <c r="G2411" s="1" t="s">
        <v>33</v>
      </c>
      <c r="H2411" s="1" t="str">
        <f t="shared" si="448"/>
        <v>20220911</v>
      </c>
      <c r="I2411" s="1" t="str">
        <f>"164350"</f>
        <v>164350</v>
      </c>
      <c r="J2411" s="1" t="s">
        <v>46</v>
      </c>
      <c r="K2411" s="1" t="s">
        <v>28</v>
      </c>
      <c r="L2411" s="1" t="str">
        <f t="shared" si="456"/>
        <v>20220911</v>
      </c>
      <c r="M2411" s="1" t="str">
        <f>"165738"</f>
        <v>165738</v>
      </c>
      <c r="N2411" s="1" t="s">
        <v>28</v>
      </c>
      <c r="O2411" s="1" t="s">
        <v>28</v>
      </c>
      <c r="P2411" s="1" t="s">
        <v>55</v>
      </c>
      <c r="Q2411" s="1">
        <v>25</v>
      </c>
      <c r="R2411" s="1">
        <v>25</v>
      </c>
      <c r="S2411" s="1">
        <v>0</v>
      </c>
      <c r="T2411" s="1">
        <v>0</v>
      </c>
      <c r="U2411" s="1">
        <v>0</v>
      </c>
      <c r="V2411" s="1" t="str">
        <f>"里程返程"</f>
        <v>里程返程</v>
      </c>
      <c r="W2411" s="1" t="str">
        <f>"2020"</f>
        <v>2020</v>
      </c>
      <c r="X2411" s="1" t="s">
        <v>35</v>
      </c>
    </row>
    <row r="2412" spans="1:24" x14ac:dyDescent="0.3">
      <c r="A2412" s="1" t="str">
        <f t="shared" si="453"/>
        <v>59820</v>
      </c>
      <c r="B2412" s="1" t="s">
        <v>53</v>
      </c>
      <c r="C2412" s="1" t="s">
        <v>54</v>
      </c>
      <c r="D2412" s="1" t="str">
        <f>"9803"</f>
        <v>9803</v>
      </c>
      <c r="E2412" s="1" t="s">
        <v>32</v>
      </c>
      <c r="F2412" s="1" t="str">
        <f>"798093797"</f>
        <v>798093797</v>
      </c>
      <c r="G2412" s="1" t="s">
        <v>33</v>
      </c>
      <c r="H2412" s="1" t="str">
        <f t="shared" si="448"/>
        <v>20220911</v>
      </c>
      <c r="I2412" s="1" t="str">
        <f>"173944"</f>
        <v>173944</v>
      </c>
      <c r="J2412" s="1" t="s">
        <v>28</v>
      </c>
      <c r="K2412" s="1" t="s">
        <v>28</v>
      </c>
      <c r="L2412" s="1" t="str">
        <f t="shared" si="456"/>
        <v>20220911</v>
      </c>
      <c r="M2412" s="1" t="str">
        <f>"175940"</f>
        <v>175940</v>
      </c>
      <c r="N2412" s="1" t="s">
        <v>34</v>
      </c>
      <c r="O2412" s="1" t="s">
        <v>34</v>
      </c>
      <c r="P2412" s="1" t="s">
        <v>55</v>
      </c>
      <c r="Q2412" s="1">
        <v>25</v>
      </c>
      <c r="R2412" s="1">
        <v>25</v>
      </c>
      <c r="S2412" s="1">
        <v>0</v>
      </c>
      <c r="T2412" s="1">
        <v>0</v>
      </c>
      <c r="U2412" s="1">
        <v>0</v>
      </c>
      <c r="V2412" s="1" t="str">
        <f>"里程去程"</f>
        <v>里程去程</v>
      </c>
      <c r="W2412" s="1" t="str">
        <f>"0120"</f>
        <v>0120</v>
      </c>
      <c r="X2412" s="1" t="s">
        <v>35</v>
      </c>
    </row>
    <row r="2413" spans="1:24" x14ac:dyDescent="0.3">
      <c r="A2413" s="1" t="str">
        <f t="shared" si="453"/>
        <v>59820</v>
      </c>
      <c r="B2413" s="1" t="s">
        <v>53</v>
      </c>
      <c r="C2413" s="1" t="s">
        <v>54</v>
      </c>
      <c r="D2413" s="1" t="str">
        <f>"9803"</f>
        <v>9803</v>
      </c>
      <c r="E2413" s="1" t="s">
        <v>32</v>
      </c>
      <c r="F2413" s="1" t="str">
        <f>"1008707140"</f>
        <v>1008707140</v>
      </c>
      <c r="G2413" s="1" t="s">
        <v>33</v>
      </c>
      <c r="H2413" s="1" t="str">
        <f t="shared" si="448"/>
        <v>20220911</v>
      </c>
      <c r="I2413" s="1" t="str">
        <f>"173949"</f>
        <v>173949</v>
      </c>
      <c r="J2413" s="1" t="s">
        <v>28</v>
      </c>
      <c r="K2413" s="1" t="s">
        <v>28</v>
      </c>
      <c r="L2413" s="1" t="str">
        <f t="shared" si="456"/>
        <v>20220911</v>
      </c>
      <c r="M2413" s="1" t="str">
        <f>"175845"</f>
        <v>175845</v>
      </c>
      <c r="N2413" s="1" t="s">
        <v>89</v>
      </c>
      <c r="O2413" s="1" t="s">
        <v>28</v>
      </c>
      <c r="P2413" s="1" t="s">
        <v>55</v>
      </c>
      <c r="Q2413" s="1">
        <v>25</v>
      </c>
      <c r="R2413" s="1">
        <v>25</v>
      </c>
      <c r="S2413" s="1">
        <v>0</v>
      </c>
      <c r="T2413" s="1">
        <v>0</v>
      </c>
      <c r="U2413" s="1">
        <v>0</v>
      </c>
      <c r="V2413" s="1" t="str">
        <f>"里程去程"</f>
        <v>里程去程</v>
      </c>
      <c r="W2413" s="1" t="str">
        <f>"0120"</f>
        <v>0120</v>
      </c>
      <c r="X2413" s="1" t="s">
        <v>35</v>
      </c>
    </row>
    <row r="2414" spans="1:24" x14ac:dyDescent="0.3">
      <c r="A2414" s="1" t="str">
        <f t="shared" si="453"/>
        <v>59820</v>
      </c>
      <c r="B2414" s="1" t="s">
        <v>53</v>
      </c>
      <c r="C2414" s="1" t="s">
        <v>54</v>
      </c>
      <c r="D2414" s="1" t="str">
        <f>"9803"</f>
        <v>9803</v>
      </c>
      <c r="E2414" s="1" t="s">
        <v>32</v>
      </c>
      <c r="F2414" s="1" t="str">
        <f>"7511170261017478"</f>
        <v>7511170261017478</v>
      </c>
      <c r="G2414" s="1" t="s">
        <v>33</v>
      </c>
      <c r="H2414" s="1" t="str">
        <f t="shared" si="448"/>
        <v>20220911</v>
      </c>
      <c r="I2414" s="1" t="str">
        <f>"174017"</f>
        <v>174017</v>
      </c>
      <c r="J2414" s="1" t="s">
        <v>28</v>
      </c>
      <c r="K2414" s="1" t="s">
        <v>28</v>
      </c>
      <c r="L2414" s="1" t="str">
        <f>""</f>
        <v/>
      </c>
      <c r="M2414" s="1" t="str">
        <f>""</f>
        <v/>
      </c>
      <c r="P2414" s="1" t="s">
        <v>88</v>
      </c>
      <c r="Q2414" s="1">
        <v>25</v>
      </c>
      <c r="R2414" s="1">
        <v>25</v>
      </c>
      <c r="S2414" s="1">
        <v>0</v>
      </c>
      <c r="T2414" s="1">
        <v>0</v>
      </c>
      <c r="U2414" s="1">
        <v>0</v>
      </c>
      <c r="V2414" s="1" t="str">
        <f>"里程去程"</f>
        <v>里程去程</v>
      </c>
      <c r="W2414" s="1" t="str">
        <f>"0F3B"</f>
        <v>0F3B</v>
      </c>
      <c r="X2414" s="1" t="s">
        <v>109</v>
      </c>
    </row>
    <row r="2415" spans="1:24" x14ac:dyDescent="0.3">
      <c r="A2415" s="1" t="str">
        <f t="shared" ref="A2415:A2446" si="457">"59822"</f>
        <v>59822</v>
      </c>
      <c r="B2415" s="1" t="s">
        <v>39</v>
      </c>
      <c r="C2415" s="1" t="s">
        <v>40</v>
      </c>
      <c r="D2415" s="1" t="str">
        <f t="shared" ref="D2415:D2450" si="458">"9801"</f>
        <v>9801</v>
      </c>
      <c r="E2415" s="1" t="s">
        <v>25</v>
      </c>
      <c r="F2415" s="1" t="str">
        <f>"96692865"</f>
        <v>96692865</v>
      </c>
      <c r="G2415" s="1" t="s">
        <v>33</v>
      </c>
      <c r="H2415" s="1" t="str">
        <f t="shared" si="448"/>
        <v>20220911</v>
      </c>
      <c r="I2415" s="1" t="str">
        <f>"083511"</f>
        <v>083511</v>
      </c>
      <c r="J2415" s="1" t="s">
        <v>100</v>
      </c>
      <c r="K2415" s="1" t="s">
        <v>45</v>
      </c>
      <c r="L2415" s="1" t="str">
        <f t="shared" ref="L2415:L2446" si="459">"20220911"</f>
        <v>20220911</v>
      </c>
      <c r="M2415" s="1" t="str">
        <f>"085049"</f>
        <v>085049</v>
      </c>
      <c r="N2415" s="1" t="s">
        <v>28</v>
      </c>
      <c r="O2415" s="1" t="s">
        <v>28</v>
      </c>
      <c r="P2415" s="1" t="s">
        <v>55</v>
      </c>
      <c r="Q2415" s="1">
        <v>25</v>
      </c>
      <c r="R2415" s="1">
        <v>25</v>
      </c>
      <c r="S2415" s="1">
        <v>0</v>
      </c>
      <c r="T2415" s="1">
        <v>0</v>
      </c>
      <c r="U2415" s="1">
        <v>0</v>
      </c>
      <c r="V2415" s="1" t="str">
        <f t="shared" ref="V2415:V2453" si="460">"里程返程"</f>
        <v>里程返程</v>
      </c>
      <c r="W2415" s="1" t="str">
        <f>"2020"</f>
        <v>2020</v>
      </c>
      <c r="X2415" s="1" t="s">
        <v>35</v>
      </c>
    </row>
    <row r="2416" spans="1:24" x14ac:dyDescent="0.3">
      <c r="A2416" s="1" t="str">
        <f t="shared" si="457"/>
        <v>59822</v>
      </c>
      <c r="B2416" s="1" t="s">
        <v>39</v>
      </c>
      <c r="C2416" s="1" t="s">
        <v>40</v>
      </c>
      <c r="D2416" s="1" t="str">
        <f t="shared" si="458"/>
        <v>9801</v>
      </c>
      <c r="E2416" s="1" t="s">
        <v>25</v>
      </c>
      <c r="F2416" s="1" t="str">
        <f>"D11C194591280400F700000000000000"</f>
        <v>D11C194591280400F700000000000000</v>
      </c>
      <c r="G2416" s="1" t="s">
        <v>58</v>
      </c>
      <c r="H2416" s="1" t="str">
        <f t="shared" si="448"/>
        <v>20220911</v>
      </c>
      <c r="I2416" s="1" t="str">
        <f>"093342"</f>
        <v>093342</v>
      </c>
      <c r="J2416" s="1" t="s">
        <v>44</v>
      </c>
      <c r="K2416" s="1" t="s">
        <v>45</v>
      </c>
      <c r="L2416" s="1" t="str">
        <f t="shared" si="459"/>
        <v>20220911</v>
      </c>
      <c r="M2416" s="1" t="str">
        <f>"095304"</f>
        <v>095304</v>
      </c>
      <c r="N2416" s="1" t="s">
        <v>28</v>
      </c>
      <c r="O2416" s="1" t="s">
        <v>28</v>
      </c>
      <c r="P2416" s="1" t="s">
        <v>55</v>
      </c>
      <c r="Q2416" s="1">
        <v>25</v>
      </c>
      <c r="R2416" s="1">
        <v>25</v>
      </c>
      <c r="S2416" s="1">
        <v>0</v>
      </c>
      <c r="T2416" s="1">
        <v>0</v>
      </c>
      <c r="U2416" s="1">
        <v>0</v>
      </c>
      <c r="V2416" s="1" t="str">
        <f t="shared" si="460"/>
        <v>里程返程</v>
      </c>
      <c r="W2416" s="1" t="str">
        <f>"0020"</f>
        <v>0020</v>
      </c>
      <c r="X2416" s="1" t="s">
        <v>29</v>
      </c>
    </row>
    <row r="2417" spans="1:24" x14ac:dyDescent="0.3">
      <c r="A2417" s="1" t="str">
        <f t="shared" si="457"/>
        <v>59822</v>
      </c>
      <c r="B2417" s="1" t="s">
        <v>39</v>
      </c>
      <c r="C2417" s="1" t="s">
        <v>40</v>
      </c>
      <c r="D2417" s="1" t="str">
        <f t="shared" si="458"/>
        <v>9801</v>
      </c>
      <c r="E2417" s="1" t="s">
        <v>25</v>
      </c>
      <c r="F2417" s="1" t="str">
        <f>"115435621"</f>
        <v>115435621</v>
      </c>
      <c r="G2417" s="1" t="s">
        <v>33</v>
      </c>
      <c r="H2417" s="1" t="str">
        <f t="shared" si="448"/>
        <v>20220911</v>
      </c>
      <c r="I2417" s="1" t="str">
        <f>"093348"</f>
        <v>093348</v>
      </c>
      <c r="J2417" s="1" t="s">
        <v>44</v>
      </c>
      <c r="K2417" s="1" t="s">
        <v>45</v>
      </c>
      <c r="L2417" s="1" t="str">
        <f t="shared" si="459"/>
        <v>20220911</v>
      </c>
      <c r="M2417" s="1" t="str">
        <f>"095301"</f>
        <v>095301</v>
      </c>
      <c r="N2417" s="1" t="s">
        <v>28</v>
      </c>
      <c r="O2417" s="1" t="s">
        <v>28</v>
      </c>
      <c r="P2417" s="1" t="s">
        <v>55</v>
      </c>
      <c r="Q2417" s="1">
        <v>25</v>
      </c>
      <c r="R2417" s="1">
        <v>25</v>
      </c>
      <c r="S2417" s="1">
        <v>0</v>
      </c>
      <c r="T2417" s="1">
        <v>0</v>
      </c>
      <c r="U2417" s="1">
        <v>0</v>
      </c>
      <c r="V2417" s="1" t="str">
        <f t="shared" si="460"/>
        <v>里程返程</v>
      </c>
      <c r="W2417" s="1" t="str">
        <f>"0820"</f>
        <v>0820</v>
      </c>
      <c r="X2417" s="1" t="s">
        <v>35</v>
      </c>
    </row>
    <row r="2418" spans="1:24" x14ac:dyDescent="0.3">
      <c r="A2418" s="1" t="str">
        <f t="shared" si="457"/>
        <v>59822</v>
      </c>
      <c r="B2418" s="1" t="s">
        <v>39</v>
      </c>
      <c r="C2418" s="1" t="s">
        <v>40</v>
      </c>
      <c r="D2418" s="1" t="str">
        <f t="shared" si="458"/>
        <v>9801</v>
      </c>
      <c r="E2418" s="1" t="s">
        <v>25</v>
      </c>
      <c r="F2418" s="1" t="str">
        <f>"12F38E1877880400C819002000000019"</f>
        <v>12F38E1877880400C819002000000019</v>
      </c>
      <c r="G2418" s="1" t="s">
        <v>58</v>
      </c>
      <c r="H2418" s="1" t="str">
        <f t="shared" si="448"/>
        <v>20220911</v>
      </c>
      <c r="I2418" s="1" t="str">
        <f>"093754"</f>
        <v>093754</v>
      </c>
      <c r="J2418" s="1" t="s">
        <v>91</v>
      </c>
      <c r="K2418" s="1" t="s">
        <v>45</v>
      </c>
      <c r="L2418" s="1" t="str">
        <f t="shared" si="459"/>
        <v>20220911</v>
      </c>
      <c r="M2418" s="1" t="str">
        <f>"095245"</f>
        <v>095245</v>
      </c>
      <c r="N2418" s="1" t="s">
        <v>28</v>
      </c>
      <c r="O2418" s="1" t="s">
        <v>28</v>
      </c>
      <c r="P2418" s="1" t="s">
        <v>55</v>
      </c>
      <c r="Q2418" s="1">
        <v>25</v>
      </c>
      <c r="R2418" s="1">
        <v>25</v>
      </c>
      <c r="S2418" s="1">
        <v>0</v>
      </c>
      <c r="T2418" s="1">
        <v>0</v>
      </c>
      <c r="U2418" s="1">
        <v>0</v>
      </c>
      <c r="V2418" s="1" t="str">
        <f t="shared" si="460"/>
        <v>里程返程</v>
      </c>
      <c r="W2418" s="1" t="str">
        <f>"0020"</f>
        <v>0020</v>
      </c>
      <c r="X2418" s="1" t="s">
        <v>29</v>
      </c>
    </row>
    <row r="2419" spans="1:24" x14ac:dyDescent="0.3">
      <c r="A2419" s="1" t="str">
        <f t="shared" si="457"/>
        <v>59822</v>
      </c>
      <c r="B2419" s="1" t="s">
        <v>39</v>
      </c>
      <c r="C2419" s="1" t="s">
        <v>40</v>
      </c>
      <c r="D2419" s="1" t="str">
        <f t="shared" si="458"/>
        <v>9801</v>
      </c>
      <c r="E2419" s="1" t="s">
        <v>25</v>
      </c>
      <c r="F2419" s="1" t="str">
        <f>"E2F948154628040080CED9D64D214018"</f>
        <v>E2F948154628040080CED9D64D214018</v>
      </c>
      <c r="G2419" s="1" t="s">
        <v>59</v>
      </c>
      <c r="H2419" s="1" t="str">
        <f t="shared" si="448"/>
        <v>20220911</v>
      </c>
      <c r="I2419" s="1" t="str">
        <f>"094014"</f>
        <v>094014</v>
      </c>
      <c r="J2419" s="1" t="s">
        <v>75</v>
      </c>
      <c r="K2419" s="1" t="s">
        <v>45</v>
      </c>
      <c r="L2419" s="1" t="str">
        <f t="shared" si="459"/>
        <v>20220911</v>
      </c>
      <c r="M2419" s="1" t="str">
        <f>"095307"</f>
        <v>095307</v>
      </c>
      <c r="N2419" s="1" t="s">
        <v>28</v>
      </c>
      <c r="O2419" s="1" t="s">
        <v>28</v>
      </c>
      <c r="P2419" s="1" t="s">
        <v>55</v>
      </c>
      <c r="Q2419" s="1">
        <v>25</v>
      </c>
      <c r="R2419" s="1">
        <v>25</v>
      </c>
      <c r="S2419" s="1">
        <v>0</v>
      </c>
      <c r="T2419" s="1">
        <v>0</v>
      </c>
      <c r="U2419" s="1">
        <v>0</v>
      </c>
      <c r="V2419" s="1" t="str">
        <f t="shared" si="460"/>
        <v>里程返程</v>
      </c>
      <c r="W2419" s="1" t="str">
        <f>"0020"</f>
        <v>0020</v>
      </c>
      <c r="X2419" s="1" t="s">
        <v>29</v>
      </c>
    </row>
    <row r="2420" spans="1:24" x14ac:dyDescent="0.3">
      <c r="A2420" s="1" t="str">
        <f t="shared" si="457"/>
        <v>59822</v>
      </c>
      <c r="B2420" s="1" t="s">
        <v>39</v>
      </c>
      <c r="C2420" s="1" t="s">
        <v>40</v>
      </c>
      <c r="D2420" s="1" t="str">
        <f t="shared" si="458"/>
        <v>9801</v>
      </c>
      <c r="E2420" s="1" t="s">
        <v>25</v>
      </c>
      <c r="F2420" s="1" t="str">
        <f>"909632257"</f>
        <v>909632257</v>
      </c>
      <c r="G2420" s="1" t="s">
        <v>33</v>
      </c>
      <c r="H2420" s="1" t="str">
        <f t="shared" si="448"/>
        <v>20220911</v>
      </c>
      <c r="I2420" s="1" t="str">
        <f>"095318"</f>
        <v>095318</v>
      </c>
      <c r="J2420" s="1" t="s">
        <v>28</v>
      </c>
      <c r="K2420" s="1" t="s">
        <v>28</v>
      </c>
      <c r="L2420" s="1" t="str">
        <f t="shared" si="459"/>
        <v>20220911</v>
      </c>
      <c r="M2420" s="1" t="str">
        <f>"100611"</f>
        <v>100611</v>
      </c>
      <c r="N2420" s="1" t="s">
        <v>69</v>
      </c>
      <c r="O2420" s="1" t="s">
        <v>52</v>
      </c>
      <c r="P2420" s="1" t="s">
        <v>55</v>
      </c>
      <c r="Q2420" s="1">
        <v>25</v>
      </c>
      <c r="R2420" s="1">
        <v>25</v>
      </c>
      <c r="S2420" s="1">
        <v>0</v>
      </c>
      <c r="T2420" s="1">
        <v>0</v>
      </c>
      <c r="U2420" s="1">
        <v>0</v>
      </c>
      <c r="V2420" s="1" t="str">
        <f t="shared" si="460"/>
        <v>里程返程</v>
      </c>
      <c r="W2420" s="1" t="str">
        <f>"2120"</f>
        <v>2120</v>
      </c>
      <c r="X2420" s="1" t="s">
        <v>35</v>
      </c>
    </row>
    <row r="2421" spans="1:24" x14ac:dyDescent="0.3">
      <c r="A2421" s="1" t="str">
        <f t="shared" si="457"/>
        <v>59822</v>
      </c>
      <c r="B2421" s="1" t="s">
        <v>39</v>
      </c>
      <c r="C2421" s="1" t="s">
        <v>40</v>
      </c>
      <c r="D2421" s="1" t="str">
        <f t="shared" si="458"/>
        <v>9801</v>
      </c>
      <c r="E2421" s="1" t="s">
        <v>25</v>
      </c>
      <c r="F2421" s="1" t="str">
        <f>"1207813445"</f>
        <v>1207813445</v>
      </c>
      <c r="G2421" s="1" t="s">
        <v>33</v>
      </c>
      <c r="H2421" s="1" t="str">
        <f t="shared" si="448"/>
        <v>20220911</v>
      </c>
      <c r="I2421" s="1" t="str">
        <f>"095332"</f>
        <v>095332</v>
      </c>
      <c r="J2421" s="1" t="s">
        <v>28</v>
      </c>
      <c r="K2421" s="1" t="s">
        <v>28</v>
      </c>
      <c r="L2421" s="1" t="str">
        <f t="shared" si="459"/>
        <v>20220911</v>
      </c>
      <c r="M2421" s="1" t="str">
        <f>"102238"</f>
        <v>102238</v>
      </c>
      <c r="N2421" s="1" t="s">
        <v>52</v>
      </c>
      <c r="O2421" s="1" t="s">
        <v>52</v>
      </c>
      <c r="P2421" s="1" t="s">
        <v>55</v>
      </c>
      <c r="Q2421" s="1">
        <v>25</v>
      </c>
      <c r="R2421" s="1">
        <v>0</v>
      </c>
      <c r="S2421" s="1">
        <v>25</v>
      </c>
      <c r="T2421" s="1">
        <v>0</v>
      </c>
      <c r="U2421" s="1">
        <v>0</v>
      </c>
      <c r="V2421" s="1" t="str">
        <f t="shared" si="460"/>
        <v>里程返程</v>
      </c>
      <c r="W2421" s="1" t="str">
        <f>"2120"</f>
        <v>2120</v>
      </c>
      <c r="X2421" s="1" t="s">
        <v>35</v>
      </c>
    </row>
    <row r="2422" spans="1:24" x14ac:dyDescent="0.3">
      <c r="A2422" s="1" t="str">
        <f t="shared" si="457"/>
        <v>59822</v>
      </c>
      <c r="B2422" s="1" t="s">
        <v>39</v>
      </c>
      <c r="C2422" s="1" t="s">
        <v>40</v>
      </c>
      <c r="D2422" s="1" t="str">
        <f t="shared" si="458"/>
        <v>9801</v>
      </c>
      <c r="E2422" s="1" t="s">
        <v>25</v>
      </c>
      <c r="F2422" s="1" t="str">
        <f>"1861629928"</f>
        <v>1861629928</v>
      </c>
      <c r="G2422" s="1" t="s">
        <v>26</v>
      </c>
      <c r="H2422" s="1" t="str">
        <f t="shared" si="448"/>
        <v>20220911</v>
      </c>
      <c r="I2422" s="1" t="str">
        <f>"095546"</f>
        <v>095546</v>
      </c>
      <c r="J2422" s="1" t="s">
        <v>28</v>
      </c>
      <c r="K2422" s="1" t="s">
        <v>28</v>
      </c>
      <c r="L2422" s="1" t="str">
        <f t="shared" si="459"/>
        <v>20220911</v>
      </c>
      <c r="M2422" s="1" t="str">
        <f>"101037"</f>
        <v>101037</v>
      </c>
      <c r="N2422" s="1" t="s">
        <v>80</v>
      </c>
      <c r="O2422" s="1" t="s">
        <v>52</v>
      </c>
      <c r="P2422" s="1" t="s">
        <v>55</v>
      </c>
      <c r="Q2422" s="1">
        <v>13</v>
      </c>
      <c r="R2422" s="1">
        <v>13</v>
      </c>
      <c r="S2422" s="1">
        <v>0</v>
      </c>
      <c r="T2422" s="1">
        <v>0</v>
      </c>
      <c r="U2422" s="1">
        <v>0</v>
      </c>
      <c r="V2422" s="1" t="str">
        <f t="shared" si="460"/>
        <v>里程返程</v>
      </c>
      <c r="W2422" s="1" t="str">
        <f>"1f20"</f>
        <v>1f20</v>
      </c>
      <c r="X2422" s="1" t="s">
        <v>35</v>
      </c>
    </row>
    <row r="2423" spans="1:24" x14ac:dyDescent="0.3">
      <c r="A2423" s="1" t="str">
        <f t="shared" si="457"/>
        <v>59822</v>
      </c>
      <c r="B2423" s="1" t="s">
        <v>39</v>
      </c>
      <c r="C2423" s="1" t="s">
        <v>40</v>
      </c>
      <c r="D2423" s="1" t="str">
        <f t="shared" si="458"/>
        <v>9801</v>
      </c>
      <c r="E2423" s="1" t="s">
        <v>25</v>
      </c>
      <c r="F2423" s="1" t="str">
        <f>"1198A61837280400F700000000000000"</f>
        <v>1198A61837280400F700000000000000</v>
      </c>
      <c r="G2423" s="1" t="s">
        <v>58</v>
      </c>
      <c r="H2423" s="1" t="str">
        <f t="shared" si="448"/>
        <v>20220911</v>
      </c>
      <c r="I2423" s="1" t="str">
        <f>"095702"</f>
        <v>095702</v>
      </c>
      <c r="J2423" s="1" t="s">
        <v>41</v>
      </c>
      <c r="K2423" s="1" t="s">
        <v>28</v>
      </c>
      <c r="L2423" s="1" t="str">
        <f t="shared" si="459"/>
        <v>20220911</v>
      </c>
      <c r="M2423" s="1" t="str">
        <f>"102039"</f>
        <v>102039</v>
      </c>
      <c r="N2423" s="1" t="s">
        <v>86</v>
      </c>
      <c r="O2423" s="1" t="s">
        <v>52</v>
      </c>
      <c r="P2423" s="1" t="s">
        <v>55</v>
      </c>
      <c r="Q2423" s="1">
        <v>25</v>
      </c>
      <c r="R2423" s="1">
        <v>25</v>
      </c>
      <c r="S2423" s="1">
        <v>0</v>
      </c>
      <c r="T2423" s="1">
        <v>0</v>
      </c>
      <c r="U2423" s="1">
        <v>0</v>
      </c>
      <c r="V2423" s="1" t="str">
        <f t="shared" si="460"/>
        <v>里程返程</v>
      </c>
      <c r="W2423" s="1" t="str">
        <f>"0020"</f>
        <v>0020</v>
      </c>
      <c r="X2423" s="1" t="s">
        <v>29</v>
      </c>
    </row>
    <row r="2424" spans="1:24" x14ac:dyDescent="0.3">
      <c r="A2424" s="1" t="str">
        <f t="shared" si="457"/>
        <v>59822</v>
      </c>
      <c r="B2424" s="1" t="s">
        <v>39</v>
      </c>
      <c r="C2424" s="1" t="s">
        <v>40</v>
      </c>
      <c r="D2424" s="1" t="str">
        <f t="shared" si="458"/>
        <v>9801</v>
      </c>
      <c r="E2424" s="1" t="s">
        <v>25</v>
      </c>
      <c r="F2424" s="1" t="str">
        <f>"1370709329"</f>
        <v>1370709329</v>
      </c>
      <c r="G2424" s="1" t="s">
        <v>33</v>
      </c>
      <c r="H2424" s="1" t="str">
        <f t="shared" si="448"/>
        <v>20220911</v>
      </c>
      <c r="I2424" s="1" t="str">
        <f>"095711"</f>
        <v>095711</v>
      </c>
      <c r="J2424" s="1" t="s">
        <v>41</v>
      </c>
      <c r="K2424" s="1" t="s">
        <v>28</v>
      </c>
      <c r="L2424" s="1" t="str">
        <f t="shared" si="459"/>
        <v>20220911</v>
      </c>
      <c r="M2424" s="1" t="str">
        <f>"102002"</f>
        <v>102002</v>
      </c>
      <c r="N2424" s="1" t="s">
        <v>86</v>
      </c>
      <c r="O2424" s="1" t="s">
        <v>52</v>
      </c>
      <c r="P2424" s="1" t="s">
        <v>55</v>
      </c>
      <c r="Q2424" s="1">
        <v>25</v>
      </c>
      <c r="R2424" s="1">
        <v>25</v>
      </c>
      <c r="S2424" s="1">
        <v>0</v>
      </c>
      <c r="T2424" s="1">
        <v>0</v>
      </c>
      <c r="U2424" s="1">
        <v>0</v>
      </c>
      <c r="V2424" s="1" t="str">
        <f t="shared" si="460"/>
        <v>里程返程</v>
      </c>
      <c r="W2424" s="1" t="str">
        <f>"0220"</f>
        <v>0220</v>
      </c>
      <c r="X2424" s="1" t="s">
        <v>35</v>
      </c>
    </row>
    <row r="2425" spans="1:24" x14ac:dyDescent="0.3">
      <c r="A2425" s="1" t="str">
        <f t="shared" si="457"/>
        <v>59822</v>
      </c>
      <c r="B2425" s="1" t="s">
        <v>39</v>
      </c>
      <c r="C2425" s="1" t="s">
        <v>40</v>
      </c>
      <c r="D2425" s="1" t="str">
        <f t="shared" si="458"/>
        <v>9801</v>
      </c>
      <c r="E2425" s="1" t="s">
        <v>25</v>
      </c>
      <c r="F2425" s="1" t="str">
        <f>"947692737"</f>
        <v>947692737</v>
      </c>
      <c r="G2425" s="1" t="s">
        <v>96</v>
      </c>
      <c r="H2425" s="1" t="str">
        <f t="shared" si="448"/>
        <v>20220911</v>
      </c>
      <c r="I2425" s="1" t="str">
        <f>"095730"</f>
        <v>095730</v>
      </c>
      <c r="J2425" s="1" t="s">
        <v>41</v>
      </c>
      <c r="K2425" s="1" t="s">
        <v>28</v>
      </c>
      <c r="L2425" s="1" t="str">
        <f t="shared" si="459"/>
        <v>20220911</v>
      </c>
      <c r="M2425" s="1" t="str">
        <f>"102004"</f>
        <v>102004</v>
      </c>
      <c r="N2425" s="1" t="s">
        <v>86</v>
      </c>
      <c r="O2425" s="1" t="s">
        <v>52</v>
      </c>
      <c r="P2425" s="1" t="s">
        <v>55</v>
      </c>
      <c r="Q2425" s="1">
        <v>13</v>
      </c>
      <c r="R2425" s="1">
        <v>13</v>
      </c>
      <c r="S2425" s="1">
        <v>0</v>
      </c>
      <c r="T2425" s="1">
        <v>0</v>
      </c>
      <c r="U2425" s="1">
        <v>0</v>
      </c>
      <c r="V2425" s="1" t="str">
        <f t="shared" si="460"/>
        <v>里程返程</v>
      </c>
      <c r="W2425" s="1" t="str">
        <f>"0220"</f>
        <v>0220</v>
      </c>
      <c r="X2425" s="1" t="s">
        <v>35</v>
      </c>
    </row>
    <row r="2426" spans="1:24" x14ac:dyDescent="0.3">
      <c r="A2426" s="1" t="str">
        <f t="shared" si="457"/>
        <v>59822</v>
      </c>
      <c r="B2426" s="1" t="s">
        <v>39</v>
      </c>
      <c r="C2426" s="1" t="s">
        <v>40</v>
      </c>
      <c r="D2426" s="1" t="str">
        <f t="shared" si="458"/>
        <v>9801</v>
      </c>
      <c r="E2426" s="1" t="s">
        <v>25</v>
      </c>
      <c r="F2426" s="1" t="str">
        <f>"225692353"</f>
        <v>225692353</v>
      </c>
      <c r="G2426" s="1" t="s">
        <v>33</v>
      </c>
      <c r="H2426" s="1" t="str">
        <f t="shared" si="448"/>
        <v>20220911</v>
      </c>
      <c r="I2426" s="1" t="str">
        <f>"095735"</f>
        <v>095735</v>
      </c>
      <c r="J2426" s="1" t="s">
        <v>41</v>
      </c>
      <c r="K2426" s="1" t="s">
        <v>28</v>
      </c>
      <c r="L2426" s="1" t="str">
        <f t="shared" si="459"/>
        <v>20220911</v>
      </c>
      <c r="M2426" s="1" t="str">
        <f>"102038"</f>
        <v>102038</v>
      </c>
      <c r="N2426" s="1" t="s">
        <v>86</v>
      </c>
      <c r="O2426" s="1" t="s">
        <v>52</v>
      </c>
      <c r="P2426" s="1" t="s">
        <v>55</v>
      </c>
      <c r="Q2426" s="1">
        <v>25</v>
      </c>
      <c r="R2426" s="1">
        <v>25</v>
      </c>
      <c r="S2426" s="1">
        <v>0</v>
      </c>
      <c r="T2426" s="1">
        <v>0</v>
      </c>
      <c r="U2426" s="1">
        <v>0</v>
      </c>
      <c r="V2426" s="1" t="str">
        <f t="shared" si="460"/>
        <v>里程返程</v>
      </c>
      <c r="W2426" s="1" t="str">
        <f>"0620"</f>
        <v>0620</v>
      </c>
      <c r="X2426" s="1" t="s">
        <v>35</v>
      </c>
    </row>
    <row r="2427" spans="1:24" x14ac:dyDescent="0.3">
      <c r="A2427" s="1" t="str">
        <f t="shared" si="457"/>
        <v>59822</v>
      </c>
      <c r="B2427" s="1" t="s">
        <v>39</v>
      </c>
      <c r="C2427" s="1" t="s">
        <v>40</v>
      </c>
      <c r="D2427" s="1" t="str">
        <f t="shared" si="458"/>
        <v>9801</v>
      </c>
      <c r="E2427" s="1" t="s">
        <v>25</v>
      </c>
      <c r="F2427" s="1" t="str">
        <f>"1109041365"</f>
        <v>1109041365</v>
      </c>
      <c r="G2427" s="1" t="s">
        <v>33</v>
      </c>
      <c r="H2427" s="1" t="str">
        <f t="shared" si="448"/>
        <v>20220911</v>
      </c>
      <c r="I2427" s="1" t="str">
        <f>"102705"</f>
        <v>102705</v>
      </c>
      <c r="J2427" s="1" t="s">
        <v>44</v>
      </c>
      <c r="K2427" s="1" t="s">
        <v>45</v>
      </c>
      <c r="L2427" s="1" t="str">
        <f t="shared" si="459"/>
        <v>20220911</v>
      </c>
      <c r="M2427" s="1" t="str">
        <f>"105359"</f>
        <v>105359</v>
      </c>
      <c r="N2427" s="1" t="s">
        <v>28</v>
      </c>
      <c r="O2427" s="1" t="s">
        <v>28</v>
      </c>
      <c r="P2427" s="1" t="s">
        <v>55</v>
      </c>
      <c r="Q2427" s="1">
        <v>25</v>
      </c>
      <c r="R2427" s="1">
        <v>25</v>
      </c>
      <c r="S2427" s="1">
        <v>0</v>
      </c>
      <c r="T2427" s="1">
        <v>0</v>
      </c>
      <c r="U2427" s="1">
        <v>0</v>
      </c>
      <c r="V2427" s="1" t="str">
        <f t="shared" si="460"/>
        <v>里程返程</v>
      </c>
      <c r="W2427" s="1" t="str">
        <f>"2120"</f>
        <v>2120</v>
      </c>
      <c r="X2427" s="1" t="s">
        <v>35</v>
      </c>
    </row>
    <row r="2428" spans="1:24" x14ac:dyDescent="0.3">
      <c r="A2428" s="1" t="str">
        <f t="shared" si="457"/>
        <v>59822</v>
      </c>
      <c r="B2428" s="1" t="s">
        <v>39</v>
      </c>
      <c r="C2428" s="1" t="s">
        <v>40</v>
      </c>
      <c r="D2428" s="1" t="str">
        <f t="shared" si="458"/>
        <v>9801</v>
      </c>
      <c r="E2428" s="1" t="s">
        <v>25</v>
      </c>
      <c r="F2428" s="1" t="str">
        <f>"278846081"</f>
        <v>278846081</v>
      </c>
      <c r="G2428" s="1" t="s">
        <v>33</v>
      </c>
      <c r="H2428" s="1" t="str">
        <f t="shared" si="448"/>
        <v>20220911</v>
      </c>
      <c r="I2428" s="1" t="str">
        <f>"104037"</f>
        <v>104037</v>
      </c>
      <c r="J2428" s="1" t="s">
        <v>61</v>
      </c>
      <c r="K2428" s="1" t="s">
        <v>45</v>
      </c>
      <c r="L2428" s="1" t="str">
        <f t="shared" si="459"/>
        <v>20220911</v>
      </c>
      <c r="M2428" s="1" t="str">
        <f>"105414"</f>
        <v>105414</v>
      </c>
      <c r="N2428" s="1" t="s">
        <v>28</v>
      </c>
      <c r="O2428" s="1" t="s">
        <v>28</v>
      </c>
      <c r="P2428" s="1" t="s">
        <v>55</v>
      </c>
      <c r="Q2428" s="1">
        <v>25</v>
      </c>
      <c r="R2428" s="1">
        <v>25</v>
      </c>
      <c r="S2428" s="1">
        <v>0</v>
      </c>
      <c r="T2428" s="1">
        <v>0</v>
      </c>
      <c r="U2428" s="1">
        <v>0</v>
      </c>
      <c r="V2428" s="1" t="str">
        <f t="shared" si="460"/>
        <v>里程返程</v>
      </c>
      <c r="W2428" s="1" t="str">
        <f>"2020"</f>
        <v>2020</v>
      </c>
      <c r="X2428" s="1" t="s">
        <v>35</v>
      </c>
    </row>
    <row r="2429" spans="1:24" x14ac:dyDescent="0.3">
      <c r="A2429" s="1" t="str">
        <f t="shared" si="457"/>
        <v>59822</v>
      </c>
      <c r="B2429" s="1" t="s">
        <v>39</v>
      </c>
      <c r="C2429" s="1" t="s">
        <v>40</v>
      </c>
      <c r="D2429" s="1" t="str">
        <f t="shared" si="458"/>
        <v>9801</v>
      </c>
      <c r="E2429" s="1" t="s">
        <v>25</v>
      </c>
      <c r="F2429" s="1" t="str">
        <f>"FAAE4CDAC2880400474D949451101208"</f>
        <v>FAAE4CDAC2880400474D949451101208</v>
      </c>
      <c r="G2429" s="1" t="s">
        <v>58</v>
      </c>
      <c r="H2429" s="1" t="str">
        <f t="shared" si="448"/>
        <v>20220911</v>
      </c>
      <c r="I2429" s="1" t="str">
        <f>"104040"</f>
        <v>104040</v>
      </c>
      <c r="J2429" s="1" t="s">
        <v>61</v>
      </c>
      <c r="K2429" s="1" t="s">
        <v>45</v>
      </c>
      <c r="L2429" s="1" t="str">
        <f t="shared" si="459"/>
        <v>20220911</v>
      </c>
      <c r="M2429" s="1" t="str">
        <f>"105403"</f>
        <v>105403</v>
      </c>
      <c r="N2429" s="1" t="s">
        <v>28</v>
      </c>
      <c r="O2429" s="1" t="s">
        <v>28</v>
      </c>
      <c r="P2429" s="1" t="s">
        <v>55</v>
      </c>
      <c r="Q2429" s="1">
        <v>25</v>
      </c>
      <c r="R2429" s="1">
        <v>0</v>
      </c>
      <c r="S2429" s="1">
        <v>25</v>
      </c>
      <c r="T2429" s="1">
        <v>0</v>
      </c>
      <c r="U2429" s="1">
        <v>0</v>
      </c>
      <c r="V2429" s="1" t="str">
        <f t="shared" si="460"/>
        <v>里程返程</v>
      </c>
      <c r="W2429" s="1" t="str">
        <f>"1120"</f>
        <v>1120</v>
      </c>
      <c r="X2429" s="1" t="s">
        <v>29</v>
      </c>
    </row>
    <row r="2430" spans="1:24" x14ac:dyDescent="0.3">
      <c r="A2430" s="1" t="str">
        <f t="shared" si="457"/>
        <v>59822</v>
      </c>
      <c r="B2430" s="1" t="s">
        <v>39</v>
      </c>
      <c r="C2430" s="1" t="s">
        <v>40</v>
      </c>
      <c r="D2430" s="1" t="str">
        <f t="shared" si="458"/>
        <v>9801</v>
      </c>
      <c r="E2430" s="1" t="s">
        <v>25</v>
      </c>
      <c r="F2430" s="1" t="str">
        <f>"E370F1DBB988040046BA14184D900910"</f>
        <v>E370F1DBB988040046BA14184D900910</v>
      </c>
      <c r="G2430" s="1" t="s">
        <v>59</v>
      </c>
      <c r="H2430" s="1" t="str">
        <f t="shared" si="448"/>
        <v>20220911</v>
      </c>
      <c r="I2430" s="1" t="str">
        <f>"104045"</f>
        <v>104045</v>
      </c>
      <c r="J2430" s="1" t="s">
        <v>61</v>
      </c>
      <c r="K2430" s="1" t="s">
        <v>45</v>
      </c>
      <c r="L2430" s="1" t="str">
        <f t="shared" si="459"/>
        <v>20220911</v>
      </c>
      <c r="M2430" s="1" t="str">
        <f>"105417"</f>
        <v>105417</v>
      </c>
      <c r="N2430" s="1" t="s">
        <v>28</v>
      </c>
      <c r="O2430" s="1" t="s">
        <v>28</v>
      </c>
      <c r="P2430" s="1" t="s">
        <v>55</v>
      </c>
      <c r="Q2430" s="1">
        <v>25</v>
      </c>
      <c r="R2430" s="1">
        <v>0</v>
      </c>
      <c r="S2430" s="1">
        <v>25</v>
      </c>
      <c r="T2430" s="1">
        <v>0</v>
      </c>
      <c r="U2430" s="1">
        <v>0</v>
      </c>
      <c r="V2430" s="1" t="str">
        <f t="shared" si="460"/>
        <v>里程返程</v>
      </c>
      <c r="W2430" s="1" t="str">
        <f>"1120"</f>
        <v>1120</v>
      </c>
      <c r="X2430" s="1" t="s">
        <v>29</v>
      </c>
    </row>
    <row r="2431" spans="1:24" x14ac:dyDescent="0.3">
      <c r="A2431" s="1" t="str">
        <f t="shared" si="457"/>
        <v>59822</v>
      </c>
      <c r="B2431" s="1" t="s">
        <v>39</v>
      </c>
      <c r="C2431" s="1" t="s">
        <v>40</v>
      </c>
      <c r="D2431" s="1" t="str">
        <f t="shared" si="458"/>
        <v>9801</v>
      </c>
      <c r="E2431" s="1" t="s">
        <v>25</v>
      </c>
      <c r="F2431" s="1" t="str">
        <f>"D1FE0B0125880400432494C60011080E"</f>
        <v>D1FE0B0125880400432494C60011080E</v>
      </c>
      <c r="G2431" s="1" t="s">
        <v>59</v>
      </c>
      <c r="H2431" s="1" t="str">
        <f t="shared" si="448"/>
        <v>20220911</v>
      </c>
      <c r="I2431" s="1" t="str">
        <f>"104441"</f>
        <v>104441</v>
      </c>
      <c r="J2431" s="1" t="s">
        <v>79</v>
      </c>
      <c r="K2431" s="1" t="s">
        <v>45</v>
      </c>
      <c r="L2431" s="1" t="str">
        <f t="shared" si="459"/>
        <v>20220911</v>
      </c>
      <c r="M2431" s="1" t="str">
        <f>"105356"</f>
        <v>105356</v>
      </c>
      <c r="N2431" s="1" t="s">
        <v>28</v>
      </c>
      <c r="O2431" s="1" t="s">
        <v>28</v>
      </c>
      <c r="P2431" s="1" t="s">
        <v>55</v>
      </c>
      <c r="Q2431" s="1">
        <v>25</v>
      </c>
      <c r="R2431" s="1">
        <v>25</v>
      </c>
      <c r="S2431" s="1">
        <v>0</v>
      </c>
      <c r="T2431" s="1">
        <v>0</v>
      </c>
      <c r="U2431" s="1">
        <v>0</v>
      </c>
      <c r="V2431" s="1" t="str">
        <f t="shared" si="460"/>
        <v>里程返程</v>
      </c>
      <c r="W2431" s="1" t="str">
        <f>"0020"</f>
        <v>0020</v>
      </c>
      <c r="X2431" s="1" t="s">
        <v>29</v>
      </c>
    </row>
    <row r="2432" spans="1:24" x14ac:dyDescent="0.3">
      <c r="A2432" s="1" t="str">
        <f t="shared" si="457"/>
        <v>59822</v>
      </c>
      <c r="B2432" s="1" t="s">
        <v>39</v>
      </c>
      <c r="C2432" s="1" t="s">
        <v>40</v>
      </c>
      <c r="D2432" s="1" t="str">
        <f t="shared" si="458"/>
        <v>9801</v>
      </c>
      <c r="E2432" s="1" t="s">
        <v>25</v>
      </c>
      <c r="F2432" s="1" t="str">
        <f>"1687283072"</f>
        <v>1687283072</v>
      </c>
      <c r="G2432" s="1" t="s">
        <v>33</v>
      </c>
      <c r="H2432" s="1" t="str">
        <f t="shared" si="448"/>
        <v>20220911</v>
      </c>
      <c r="I2432" s="1" t="str">
        <f>"104445"</f>
        <v>104445</v>
      </c>
      <c r="J2432" s="1" t="s">
        <v>79</v>
      </c>
      <c r="K2432" s="1" t="s">
        <v>45</v>
      </c>
      <c r="L2432" s="1" t="str">
        <f t="shared" si="459"/>
        <v>20220911</v>
      </c>
      <c r="M2432" s="1" t="str">
        <f>"105339"</f>
        <v>105339</v>
      </c>
      <c r="N2432" s="1" t="s">
        <v>28</v>
      </c>
      <c r="O2432" s="1" t="s">
        <v>28</v>
      </c>
      <c r="P2432" s="1" t="s">
        <v>55</v>
      </c>
      <c r="Q2432" s="1">
        <v>25</v>
      </c>
      <c r="R2432" s="1">
        <v>25</v>
      </c>
      <c r="S2432" s="1">
        <v>0</v>
      </c>
      <c r="T2432" s="1">
        <v>0</v>
      </c>
      <c r="U2432" s="1">
        <v>0</v>
      </c>
      <c r="V2432" s="1" t="str">
        <f t="shared" si="460"/>
        <v>里程返程</v>
      </c>
      <c r="W2432" s="1" t="str">
        <f>"0820"</f>
        <v>0820</v>
      </c>
      <c r="X2432" s="1" t="s">
        <v>35</v>
      </c>
    </row>
    <row r="2433" spans="1:24" x14ac:dyDescent="0.3">
      <c r="A2433" s="1" t="str">
        <f t="shared" si="457"/>
        <v>59822</v>
      </c>
      <c r="B2433" s="1" t="s">
        <v>39</v>
      </c>
      <c r="C2433" s="1" t="s">
        <v>40</v>
      </c>
      <c r="D2433" s="1" t="str">
        <f t="shared" si="458"/>
        <v>9801</v>
      </c>
      <c r="E2433" s="1" t="s">
        <v>25</v>
      </c>
      <c r="F2433" s="1" t="str">
        <f>"846955237"</f>
        <v>846955237</v>
      </c>
      <c r="G2433" s="1" t="s">
        <v>33</v>
      </c>
      <c r="H2433" s="1" t="str">
        <f t="shared" si="448"/>
        <v>20220911</v>
      </c>
      <c r="I2433" s="1" t="str">
        <f>"105500"</f>
        <v>105500</v>
      </c>
      <c r="J2433" s="1" t="s">
        <v>28</v>
      </c>
      <c r="K2433" s="1" t="s">
        <v>28</v>
      </c>
      <c r="L2433" s="1" t="str">
        <f t="shared" si="459"/>
        <v>20220911</v>
      </c>
      <c r="M2433" s="1" t="str">
        <f>"112615"</f>
        <v>112615</v>
      </c>
      <c r="N2433" s="1" t="s">
        <v>52</v>
      </c>
      <c r="O2433" s="1" t="s">
        <v>52</v>
      </c>
      <c r="P2433" s="1" t="s">
        <v>55</v>
      </c>
      <c r="Q2433" s="1">
        <v>25</v>
      </c>
      <c r="R2433" s="1">
        <v>0</v>
      </c>
      <c r="S2433" s="1">
        <v>25</v>
      </c>
      <c r="T2433" s="1">
        <v>0</v>
      </c>
      <c r="U2433" s="1">
        <v>0</v>
      </c>
      <c r="V2433" s="1" t="str">
        <f t="shared" si="460"/>
        <v>里程返程</v>
      </c>
      <c r="W2433" s="1" t="str">
        <f>"0820"</f>
        <v>0820</v>
      </c>
      <c r="X2433" s="1" t="s">
        <v>35</v>
      </c>
    </row>
    <row r="2434" spans="1:24" x14ac:dyDescent="0.3">
      <c r="A2434" s="1" t="str">
        <f t="shared" si="457"/>
        <v>59822</v>
      </c>
      <c r="B2434" s="1" t="s">
        <v>39</v>
      </c>
      <c r="C2434" s="1" t="s">
        <v>40</v>
      </c>
      <c r="D2434" s="1" t="str">
        <f t="shared" si="458"/>
        <v>9801</v>
      </c>
      <c r="E2434" s="1" t="s">
        <v>25</v>
      </c>
      <c r="F2434" s="1" t="str">
        <f>"3586172003"</f>
        <v>3586172003</v>
      </c>
      <c r="G2434" s="1" t="s">
        <v>33</v>
      </c>
      <c r="H2434" s="1" t="str">
        <f t="shared" ref="H2434:H2497" si="461">"20220911"</f>
        <v>20220911</v>
      </c>
      <c r="I2434" s="1" t="str">
        <f>"105505"</f>
        <v>105505</v>
      </c>
      <c r="J2434" s="1" t="s">
        <v>28</v>
      </c>
      <c r="K2434" s="1" t="s">
        <v>28</v>
      </c>
      <c r="L2434" s="1" t="str">
        <f t="shared" si="459"/>
        <v>20220911</v>
      </c>
      <c r="M2434" s="1" t="str">
        <f>"112618"</f>
        <v>112618</v>
      </c>
      <c r="N2434" s="1" t="s">
        <v>52</v>
      </c>
      <c r="O2434" s="1" t="s">
        <v>52</v>
      </c>
      <c r="P2434" s="1" t="s">
        <v>55</v>
      </c>
      <c r="Q2434" s="1">
        <v>25</v>
      </c>
      <c r="R2434" s="1">
        <v>0</v>
      </c>
      <c r="S2434" s="1">
        <v>25</v>
      </c>
      <c r="T2434" s="1">
        <v>0</v>
      </c>
      <c r="U2434" s="1">
        <v>0</v>
      </c>
      <c r="V2434" s="1" t="str">
        <f t="shared" si="460"/>
        <v>里程返程</v>
      </c>
      <c r="W2434" s="1" t="str">
        <f>"0820"</f>
        <v>0820</v>
      </c>
      <c r="X2434" s="1" t="s">
        <v>35</v>
      </c>
    </row>
    <row r="2435" spans="1:24" x14ac:dyDescent="0.3">
      <c r="A2435" s="1" t="str">
        <f t="shared" si="457"/>
        <v>59822</v>
      </c>
      <c r="B2435" s="1" t="s">
        <v>39</v>
      </c>
      <c r="C2435" s="1" t="s">
        <v>40</v>
      </c>
      <c r="D2435" s="1" t="str">
        <f t="shared" si="458"/>
        <v>9801</v>
      </c>
      <c r="E2435" s="1" t="s">
        <v>25</v>
      </c>
      <c r="F2435" s="1" t="str">
        <f>"1271633973"</f>
        <v>1271633973</v>
      </c>
      <c r="G2435" s="1" t="s">
        <v>33</v>
      </c>
      <c r="H2435" s="1" t="str">
        <f t="shared" si="461"/>
        <v>20220911</v>
      </c>
      <c r="I2435" s="1" t="str">
        <f>"105510"</f>
        <v>105510</v>
      </c>
      <c r="J2435" s="1" t="s">
        <v>28</v>
      </c>
      <c r="K2435" s="1" t="s">
        <v>28</v>
      </c>
      <c r="L2435" s="1" t="str">
        <f t="shared" si="459"/>
        <v>20220911</v>
      </c>
      <c r="M2435" s="1" t="str">
        <f>"112620"</f>
        <v>112620</v>
      </c>
      <c r="N2435" s="1" t="s">
        <v>52</v>
      </c>
      <c r="O2435" s="1" t="s">
        <v>52</v>
      </c>
      <c r="P2435" s="1" t="s">
        <v>55</v>
      </c>
      <c r="Q2435" s="1">
        <v>25</v>
      </c>
      <c r="R2435" s="1">
        <v>0</v>
      </c>
      <c r="S2435" s="1">
        <v>25</v>
      </c>
      <c r="T2435" s="1">
        <v>0</v>
      </c>
      <c r="U2435" s="1">
        <v>0</v>
      </c>
      <c r="V2435" s="1" t="str">
        <f t="shared" si="460"/>
        <v>里程返程</v>
      </c>
      <c r="W2435" s="1" t="str">
        <f>"0820"</f>
        <v>0820</v>
      </c>
      <c r="X2435" s="1" t="s">
        <v>35</v>
      </c>
    </row>
    <row r="2436" spans="1:24" x14ac:dyDescent="0.3">
      <c r="A2436" s="1" t="str">
        <f t="shared" si="457"/>
        <v>59822</v>
      </c>
      <c r="B2436" s="1" t="s">
        <v>39</v>
      </c>
      <c r="C2436" s="1" t="s">
        <v>40</v>
      </c>
      <c r="D2436" s="1" t="str">
        <f t="shared" si="458"/>
        <v>9801</v>
      </c>
      <c r="E2436" s="1" t="s">
        <v>25</v>
      </c>
      <c r="F2436" s="1" t="str">
        <f>"E293E60295880400C834002000000015"</f>
        <v>E293E60295880400C834002000000015</v>
      </c>
      <c r="G2436" s="1" t="s">
        <v>74</v>
      </c>
      <c r="H2436" s="1" t="str">
        <f t="shared" si="461"/>
        <v>20220911</v>
      </c>
      <c r="I2436" s="1" t="str">
        <f>"111243"</f>
        <v>111243</v>
      </c>
      <c r="J2436" s="1" t="s">
        <v>80</v>
      </c>
      <c r="K2436" s="1" t="s">
        <v>52</v>
      </c>
      <c r="L2436" s="1" t="str">
        <f t="shared" si="459"/>
        <v>20220911</v>
      </c>
      <c r="M2436" s="1" t="str">
        <f>"111618"</f>
        <v>111618</v>
      </c>
      <c r="N2436" s="1" t="s">
        <v>65</v>
      </c>
      <c r="O2436" s="1" t="s">
        <v>52</v>
      </c>
      <c r="P2436" s="1" t="s">
        <v>68</v>
      </c>
      <c r="Q2436" s="1">
        <v>13</v>
      </c>
      <c r="R2436" s="1">
        <v>0</v>
      </c>
      <c r="S2436" s="1">
        <v>0</v>
      </c>
      <c r="T2436" s="1">
        <v>13</v>
      </c>
      <c r="U2436" s="1">
        <v>0</v>
      </c>
      <c r="V2436" s="1" t="str">
        <f t="shared" si="460"/>
        <v>里程返程</v>
      </c>
      <c r="W2436" s="1" t="str">
        <f>"0020"</f>
        <v>0020</v>
      </c>
      <c r="X2436" s="1" t="s">
        <v>29</v>
      </c>
    </row>
    <row r="2437" spans="1:24" x14ac:dyDescent="0.3">
      <c r="A2437" s="1" t="str">
        <f t="shared" si="457"/>
        <v>59822</v>
      </c>
      <c r="B2437" s="1" t="s">
        <v>39</v>
      </c>
      <c r="C2437" s="1" t="s">
        <v>40</v>
      </c>
      <c r="D2437" s="1" t="str">
        <f t="shared" si="458"/>
        <v>9801</v>
      </c>
      <c r="E2437" s="1" t="s">
        <v>25</v>
      </c>
      <c r="F2437" s="1" t="str">
        <f>"C2C219031A880400C834002000000015"</f>
        <v>C2C219031A880400C834002000000015</v>
      </c>
      <c r="G2437" s="1" t="s">
        <v>74</v>
      </c>
      <c r="H2437" s="1" t="str">
        <f t="shared" si="461"/>
        <v>20220911</v>
      </c>
      <c r="I2437" s="1" t="str">
        <f>"111247"</f>
        <v>111247</v>
      </c>
      <c r="J2437" s="1" t="s">
        <v>80</v>
      </c>
      <c r="K2437" s="1" t="s">
        <v>52</v>
      </c>
      <c r="L2437" s="1" t="str">
        <f t="shared" si="459"/>
        <v>20220911</v>
      </c>
      <c r="M2437" s="1" t="str">
        <f>"111613"</f>
        <v>111613</v>
      </c>
      <c r="N2437" s="1" t="s">
        <v>65</v>
      </c>
      <c r="O2437" s="1" t="s">
        <v>52</v>
      </c>
      <c r="P2437" s="1" t="s">
        <v>68</v>
      </c>
      <c r="Q2437" s="1">
        <v>13</v>
      </c>
      <c r="R2437" s="1">
        <v>0</v>
      </c>
      <c r="S2437" s="1">
        <v>0</v>
      </c>
      <c r="T2437" s="1">
        <v>13</v>
      </c>
      <c r="U2437" s="1">
        <v>0</v>
      </c>
      <c r="V2437" s="1" t="str">
        <f t="shared" si="460"/>
        <v>里程返程</v>
      </c>
      <c r="W2437" s="1" t="str">
        <f>"0020"</f>
        <v>0020</v>
      </c>
      <c r="X2437" s="1" t="s">
        <v>29</v>
      </c>
    </row>
    <row r="2438" spans="1:24" x14ac:dyDescent="0.3">
      <c r="A2438" s="1" t="str">
        <f t="shared" si="457"/>
        <v>59822</v>
      </c>
      <c r="B2438" s="1" t="s">
        <v>39</v>
      </c>
      <c r="C2438" s="1" t="s">
        <v>40</v>
      </c>
      <c r="D2438" s="1" t="str">
        <f t="shared" si="458"/>
        <v>9801</v>
      </c>
      <c r="E2438" s="1" t="s">
        <v>25</v>
      </c>
      <c r="F2438" s="1" t="str">
        <f>"1198A61837280400F700000000000000"</f>
        <v>1198A61837280400F700000000000000</v>
      </c>
      <c r="G2438" s="1" t="s">
        <v>58</v>
      </c>
      <c r="H2438" s="1" t="str">
        <f t="shared" si="461"/>
        <v>20220911</v>
      </c>
      <c r="I2438" s="1" t="str">
        <f>"112646"</f>
        <v>112646</v>
      </c>
      <c r="J2438" s="1" t="s">
        <v>44</v>
      </c>
      <c r="K2438" s="1" t="s">
        <v>45</v>
      </c>
      <c r="L2438" s="1" t="str">
        <f t="shared" si="459"/>
        <v>20220911</v>
      </c>
      <c r="M2438" s="1" t="str">
        <f>"115137"</f>
        <v>115137</v>
      </c>
      <c r="N2438" s="1" t="s">
        <v>28</v>
      </c>
      <c r="O2438" s="1" t="s">
        <v>28</v>
      </c>
      <c r="P2438" s="1" t="s">
        <v>55</v>
      </c>
      <c r="Q2438" s="1">
        <v>25</v>
      </c>
      <c r="R2438" s="1">
        <v>25</v>
      </c>
      <c r="S2438" s="1">
        <v>0</v>
      </c>
      <c r="T2438" s="1">
        <v>0</v>
      </c>
      <c r="U2438" s="1">
        <v>0</v>
      </c>
      <c r="V2438" s="1" t="str">
        <f t="shared" si="460"/>
        <v>里程返程</v>
      </c>
      <c r="W2438" s="1" t="str">
        <f>"0020"</f>
        <v>0020</v>
      </c>
      <c r="X2438" s="1" t="s">
        <v>29</v>
      </c>
    </row>
    <row r="2439" spans="1:24" x14ac:dyDescent="0.3">
      <c r="A2439" s="1" t="str">
        <f t="shared" si="457"/>
        <v>59822</v>
      </c>
      <c r="B2439" s="1" t="s">
        <v>39</v>
      </c>
      <c r="C2439" s="1" t="s">
        <v>40</v>
      </c>
      <c r="D2439" s="1" t="str">
        <f t="shared" si="458"/>
        <v>9801</v>
      </c>
      <c r="E2439" s="1" t="s">
        <v>25</v>
      </c>
      <c r="F2439" s="1" t="str">
        <f>"1370709329"</f>
        <v>1370709329</v>
      </c>
      <c r="G2439" s="1" t="s">
        <v>33</v>
      </c>
      <c r="H2439" s="1" t="str">
        <f t="shared" si="461"/>
        <v>20220911</v>
      </c>
      <c r="I2439" s="1" t="str">
        <f>"112648"</f>
        <v>112648</v>
      </c>
      <c r="J2439" s="1" t="s">
        <v>44</v>
      </c>
      <c r="K2439" s="1" t="s">
        <v>45</v>
      </c>
      <c r="L2439" s="1" t="str">
        <f t="shared" si="459"/>
        <v>20220911</v>
      </c>
      <c r="M2439" s="1" t="str">
        <f>"115140"</f>
        <v>115140</v>
      </c>
      <c r="N2439" s="1" t="s">
        <v>28</v>
      </c>
      <c r="O2439" s="1" t="s">
        <v>28</v>
      </c>
      <c r="P2439" s="1" t="s">
        <v>55</v>
      </c>
      <c r="Q2439" s="1">
        <v>25</v>
      </c>
      <c r="R2439" s="1">
        <v>25</v>
      </c>
      <c r="S2439" s="1">
        <v>0</v>
      </c>
      <c r="T2439" s="1">
        <v>0</v>
      </c>
      <c r="U2439" s="1">
        <v>0</v>
      </c>
      <c r="V2439" s="1" t="str">
        <f t="shared" si="460"/>
        <v>里程返程</v>
      </c>
      <c r="W2439" s="1" t="str">
        <f>"2020"</f>
        <v>2020</v>
      </c>
      <c r="X2439" s="1" t="s">
        <v>35</v>
      </c>
    </row>
    <row r="2440" spans="1:24" x14ac:dyDescent="0.3">
      <c r="A2440" s="1" t="str">
        <f t="shared" si="457"/>
        <v>59822</v>
      </c>
      <c r="B2440" s="1" t="s">
        <v>39</v>
      </c>
      <c r="C2440" s="1" t="s">
        <v>40</v>
      </c>
      <c r="D2440" s="1" t="str">
        <f t="shared" si="458"/>
        <v>9801</v>
      </c>
      <c r="E2440" s="1" t="s">
        <v>25</v>
      </c>
      <c r="F2440" s="1" t="str">
        <f>"947692737"</f>
        <v>947692737</v>
      </c>
      <c r="G2440" s="1" t="s">
        <v>96</v>
      </c>
      <c r="H2440" s="1" t="str">
        <f t="shared" si="461"/>
        <v>20220911</v>
      </c>
      <c r="I2440" s="1" t="str">
        <f>"112650"</f>
        <v>112650</v>
      </c>
      <c r="J2440" s="1" t="s">
        <v>44</v>
      </c>
      <c r="K2440" s="1" t="s">
        <v>45</v>
      </c>
      <c r="L2440" s="1" t="str">
        <f t="shared" si="459"/>
        <v>20220911</v>
      </c>
      <c r="M2440" s="1" t="str">
        <f>"115143"</f>
        <v>115143</v>
      </c>
      <c r="N2440" s="1" t="s">
        <v>28</v>
      </c>
      <c r="O2440" s="1" t="s">
        <v>28</v>
      </c>
      <c r="P2440" s="1" t="s">
        <v>55</v>
      </c>
      <c r="Q2440" s="1">
        <v>13</v>
      </c>
      <c r="R2440" s="1">
        <v>13</v>
      </c>
      <c r="S2440" s="1">
        <v>0</v>
      </c>
      <c r="T2440" s="1">
        <v>0</v>
      </c>
      <c r="U2440" s="1">
        <v>0</v>
      </c>
      <c r="V2440" s="1" t="str">
        <f t="shared" si="460"/>
        <v>里程返程</v>
      </c>
      <c r="W2440" s="1" t="str">
        <f>"2020"</f>
        <v>2020</v>
      </c>
      <c r="X2440" s="1" t="s">
        <v>35</v>
      </c>
    </row>
    <row r="2441" spans="1:24" x14ac:dyDescent="0.3">
      <c r="A2441" s="1" t="str">
        <f t="shared" si="457"/>
        <v>59822</v>
      </c>
      <c r="B2441" s="1" t="s">
        <v>39</v>
      </c>
      <c r="C2441" s="1" t="s">
        <v>40</v>
      </c>
      <c r="D2441" s="1" t="str">
        <f t="shared" si="458"/>
        <v>9801</v>
      </c>
      <c r="E2441" s="1" t="s">
        <v>25</v>
      </c>
      <c r="F2441" s="1" t="str">
        <f>"225692353"</f>
        <v>225692353</v>
      </c>
      <c r="G2441" s="1" t="s">
        <v>33</v>
      </c>
      <c r="H2441" s="1" t="str">
        <f t="shared" si="461"/>
        <v>20220911</v>
      </c>
      <c r="I2441" s="1" t="str">
        <f>"112652"</f>
        <v>112652</v>
      </c>
      <c r="J2441" s="1" t="s">
        <v>44</v>
      </c>
      <c r="K2441" s="1" t="s">
        <v>45</v>
      </c>
      <c r="L2441" s="1" t="str">
        <f t="shared" si="459"/>
        <v>20220911</v>
      </c>
      <c r="M2441" s="1" t="str">
        <f>"115130"</f>
        <v>115130</v>
      </c>
      <c r="N2441" s="1" t="s">
        <v>28</v>
      </c>
      <c r="O2441" s="1" t="s">
        <v>28</v>
      </c>
      <c r="P2441" s="1" t="s">
        <v>55</v>
      </c>
      <c r="Q2441" s="1">
        <v>25</v>
      </c>
      <c r="R2441" s="1">
        <v>25</v>
      </c>
      <c r="S2441" s="1">
        <v>0</v>
      </c>
      <c r="T2441" s="1">
        <v>0</v>
      </c>
      <c r="U2441" s="1">
        <v>0</v>
      </c>
      <c r="V2441" s="1" t="str">
        <f t="shared" si="460"/>
        <v>里程返程</v>
      </c>
      <c r="W2441" s="1" t="str">
        <f>"2020"</f>
        <v>2020</v>
      </c>
      <c r="X2441" s="1" t="s">
        <v>35</v>
      </c>
    </row>
    <row r="2442" spans="1:24" x14ac:dyDescent="0.3">
      <c r="A2442" s="1" t="str">
        <f t="shared" si="457"/>
        <v>59822</v>
      </c>
      <c r="B2442" s="1" t="s">
        <v>39</v>
      </c>
      <c r="C2442" s="1" t="s">
        <v>40</v>
      </c>
      <c r="D2442" s="1" t="str">
        <f t="shared" si="458"/>
        <v>9801</v>
      </c>
      <c r="E2442" s="1" t="s">
        <v>25</v>
      </c>
      <c r="F2442" s="1" t="str">
        <f>"980561093"</f>
        <v>980561093</v>
      </c>
      <c r="G2442" s="1" t="s">
        <v>33</v>
      </c>
      <c r="H2442" s="1" t="str">
        <f t="shared" si="461"/>
        <v>20220911</v>
      </c>
      <c r="I2442" s="1" t="str">
        <f>"112657"</f>
        <v>112657</v>
      </c>
      <c r="J2442" s="1" t="s">
        <v>44</v>
      </c>
      <c r="K2442" s="1" t="s">
        <v>45</v>
      </c>
      <c r="L2442" s="1" t="str">
        <f t="shared" si="459"/>
        <v>20220911</v>
      </c>
      <c r="M2442" s="1" t="str">
        <f>"113449"</f>
        <v>113449</v>
      </c>
      <c r="N2442" s="1" t="s">
        <v>91</v>
      </c>
      <c r="O2442" s="1" t="s">
        <v>45</v>
      </c>
      <c r="P2442" s="1" t="s">
        <v>55</v>
      </c>
      <c r="Q2442" s="1">
        <v>25</v>
      </c>
      <c r="R2442" s="1">
        <v>0</v>
      </c>
      <c r="S2442" s="1">
        <v>25</v>
      </c>
      <c r="T2442" s="1">
        <v>0</v>
      </c>
      <c r="U2442" s="1">
        <v>0</v>
      </c>
      <c r="V2442" s="1" t="str">
        <f t="shared" si="460"/>
        <v>里程返程</v>
      </c>
      <c r="W2442" s="1" t="str">
        <f>"2120"</f>
        <v>2120</v>
      </c>
      <c r="X2442" s="1" t="s">
        <v>35</v>
      </c>
    </row>
    <row r="2443" spans="1:24" x14ac:dyDescent="0.3">
      <c r="A2443" s="1" t="str">
        <f t="shared" si="457"/>
        <v>59822</v>
      </c>
      <c r="B2443" s="1" t="s">
        <v>39</v>
      </c>
      <c r="C2443" s="1" t="s">
        <v>40</v>
      </c>
      <c r="D2443" s="1" t="str">
        <f t="shared" si="458"/>
        <v>9801</v>
      </c>
      <c r="E2443" s="1" t="s">
        <v>25</v>
      </c>
      <c r="F2443" s="1" t="str">
        <f>"906742819"</f>
        <v>906742819</v>
      </c>
      <c r="G2443" s="1" t="s">
        <v>33</v>
      </c>
      <c r="H2443" s="1" t="str">
        <f t="shared" si="461"/>
        <v>20220911</v>
      </c>
      <c r="I2443" s="1" t="str">
        <f>"114212"</f>
        <v>114212</v>
      </c>
      <c r="J2443" s="1" t="s">
        <v>45</v>
      </c>
      <c r="K2443" s="1" t="s">
        <v>45</v>
      </c>
      <c r="L2443" s="1" t="str">
        <f t="shared" si="459"/>
        <v>20220911</v>
      </c>
      <c r="M2443" s="1" t="str">
        <f>"115151"</f>
        <v>115151</v>
      </c>
      <c r="N2443" s="1" t="s">
        <v>28</v>
      </c>
      <c r="O2443" s="1" t="s">
        <v>28</v>
      </c>
      <c r="P2443" s="1" t="s">
        <v>55</v>
      </c>
      <c r="Q2443" s="1">
        <v>25</v>
      </c>
      <c r="R2443" s="1">
        <v>25</v>
      </c>
      <c r="S2443" s="1">
        <v>0</v>
      </c>
      <c r="T2443" s="1">
        <v>0</v>
      </c>
      <c r="U2443" s="1">
        <v>0</v>
      </c>
      <c r="V2443" s="1" t="str">
        <f t="shared" si="460"/>
        <v>里程返程</v>
      </c>
      <c r="W2443" s="1" t="str">
        <f>"0120"</f>
        <v>0120</v>
      </c>
      <c r="X2443" s="1" t="s">
        <v>35</v>
      </c>
    </row>
    <row r="2444" spans="1:24" x14ac:dyDescent="0.3">
      <c r="A2444" s="1" t="str">
        <f t="shared" si="457"/>
        <v>59822</v>
      </c>
      <c r="B2444" s="1" t="s">
        <v>39</v>
      </c>
      <c r="C2444" s="1" t="s">
        <v>40</v>
      </c>
      <c r="D2444" s="1" t="str">
        <f t="shared" si="458"/>
        <v>9801</v>
      </c>
      <c r="E2444" s="1" t="s">
        <v>25</v>
      </c>
      <c r="F2444" s="1" t="str">
        <f>"589713537"</f>
        <v>589713537</v>
      </c>
      <c r="G2444" s="1" t="s">
        <v>33</v>
      </c>
      <c r="H2444" s="1" t="str">
        <f t="shared" si="461"/>
        <v>20220911</v>
      </c>
      <c r="I2444" s="1" t="str">
        <f>"114218"</f>
        <v>114218</v>
      </c>
      <c r="J2444" s="1" t="s">
        <v>45</v>
      </c>
      <c r="K2444" s="1" t="s">
        <v>45</v>
      </c>
      <c r="L2444" s="1" t="str">
        <f t="shared" si="459"/>
        <v>20220911</v>
      </c>
      <c r="M2444" s="1" t="str">
        <f>"115158"</f>
        <v>115158</v>
      </c>
      <c r="N2444" s="1" t="s">
        <v>28</v>
      </c>
      <c r="O2444" s="1" t="s">
        <v>28</v>
      </c>
      <c r="P2444" s="1" t="s">
        <v>55</v>
      </c>
      <c r="Q2444" s="1">
        <v>25</v>
      </c>
      <c r="R2444" s="1">
        <v>25</v>
      </c>
      <c r="S2444" s="1">
        <v>0</v>
      </c>
      <c r="T2444" s="1">
        <v>0</v>
      </c>
      <c r="U2444" s="1">
        <v>0</v>
      </c>
      <c r="V2444" s="1" t="str">
        <f t="shared" si="460"/>
        <v>里程返程</v>
      </c>
      <c r="W2444" s="1" t="str">
        <f>"0120"</f>
        <v>0120</v>
      </c>
      <c r="X2444" s="1" t="s">
        <v>35</v>
      </c>
    </row>
    <row r="2445" spans="1:24" x14ac:dyDescent="0.3">
      <c r="A2445" s="1" t="str">
        <f t="shared" si="457"/>
        <v>59822</v>
      </c>
      <c r="B2445" s="1" t="s">
        <v>39</v>
      </c>
      <c r="C2445" s="1" t="s">
        <v>40</v>
      </c>
      <c r="D2445" s="1" t="str">
        <f t="shared" si="458"/>
        <v>9801</v>
      </c>
      <c r="E2445" s="1" t="s">
        <v>25</v>
      </c>
      <c r="F2445" s="1" t="str">
        <f>"F238EE1531880400C810002000000019"</f>
        <v>F238EE1531880400C810002000000019</v>
      </c>
      <c r="G2445" s="1" t="s">
        <v>38</v>
      </c>
      <c r="H2445" s="1" t="str">
        <f t="shared" si="461"/>
        <v>20220911</v>
      </c>
      <c r="I2445" s="1" t="str">
        <f>"115219"</f>
        <v>115219</v>
      </c>
      <c r="J2445" s="1" t="s">
        <v>28</v>
      </c>
      <c r="K2445" s="1" t="s">
        <v>28</v>
      </c>
      <c r="L2445" s="1" t="str">
        <f t="shared" si="459"/>
        <v>20220911</v>
      </c>
      <c r="M2445" s="1" t="str">
        <f>"122502"</f>
        <v>122502</v>
      </c>
      <c r="N2445" s="1" t="s">
        <v>52</v>
      </c>
      <c r="O2445" s="1" t="s">
        <v>52</v>
      </c>
      <c r="P2445" s="1" t="s">
        <v>55</v>
      </c>
      <c r="Q2445" s="1">
        <v>25</v>
      </c>
      <c r="R2445" s="1">
        <v>0</v>
      </c>
      <c r="S2445" s="1">
        <v>25</v>
      </c>
      <c r="T2445" s="1">
        <v>0</v>
      </c>
      <c r="U2445" s="1">
        <v>0</v>
      </c>
      <c r="V2445" s="1" t="str">
        <f t="shared" si="460"/>
        <v>里程返程</v>
      </c>
      <c r="W2445" s="1" t="str">
        <f>"0620"</f>
        <v>0620</v>
      </c>
      <c r="X2445" s="1" t="s">
        <v>29</v>
      </c>
    </row>
    <row r="2446" spans="1:24" x14ac:dyDescent="0.3">
      <c r="A2446" s="1" t="str">
        <f t="shared" si="457"/>
        <v>59822</v>
      </c>
      <c r="B2446" s="1" t="s">
        <v>39</v>
      </c>
      <c r="C2446" s="1" t="s">
        <v>40</v>
      </c>
      <c r="D2446" s="1" t="str">
        <f t="shared" si="458"/>
        <v>9801</v>
      </c>
      <c r="E2446" s="1" t="s">
        <v>25</v>
      </c>
      <c r="F2446" s="1" t="str">
        <f>"30261F5C55880400468F74D84D102411"</f>
        <v>30261F5C55880400468F74D84D102411</v>
      </c>
      <c r="G2446" s="1" t="s">
        <v>59</v>
      </c>
      <c r="H2446" s="1" t="str">
        <f t="shared" si="461"/>
        <v>20220911</v>
      </c>
      <c r="I2446" s="1" t="str">
        <f>"115225"</f>
        <v>115225</v>
      </c>
      <c r="J2446" s="1" t="s">
        <v>28</v>
      </c>
      <c r="K2446" s="1" t="s">
        <v>28</v>
      </c>
      <c r="L2446" s="1" t="str">
        <f t="shared" si="459"/>
        <v>20220911</v>
      </c>
      <c r="M2446" s="1" t="str">
        <f>"120218"</f>
        <v>120218</v>
      </c>
      <c r="N2446" s="1" t="s">
        <v>83</v>
      </c>
      <c r="O2446" s="1" t="s">
        <v>52</v>
      </c>
      <c r="P2446" s="1" t="s">
        <v>55</v>
      </c>
      <c r="Q2446" s="1">
        <v>25</v>
      </c>
      <c r="R2446" s="1">
        <v>0</v>
      </c>
      <c r="S2446" s="1">
        <v>25</v>
      </c>
      <c r="T2446" s="1">
        <v>0</v>
      </c>
      <c r="U2446" s="1">
        <v>0</v>
      </c>
      <c r="V2446" s="1" t="str">
        <f t="shared" si="460"/>
        <v>里程返程</v>
      </c>
      <c r="W2446" s="1" t="str">
        <f>"0620"</f>
        <v>0620</v>
      </c>
      <c r="X2446" s="1" t="s">
        <v>29</v>
      </c>
    </row>
    <row r="2447" spans="1:24" x14ac:dyDescent="0.3">
      <c r="A2447" s="1" t="str">
        <f t="shared" ref="A2447:A2478" si="462">"59822"</f>
        <v>59822</v>
      </c>
      <c r="B2447" s="1" t="s">
        <v>39</v>
      </c>
      <c r="C2447" s="1" t="s">
        <v>40</v>
      </c>
      <c r="D2447" s="1" t="str">
        <f t="shared" si="458"/>
        <v>9801</v>
      </c>
      <c r="E2447" s="1" t="s">
        <v>25</v>
      </c>
      <c r="F2447" s="1" t="str">
        <f>"654037317"</f>
        <v>654037317</v>
      </c>
      <c r="G2447" s="1" t="s">
        <v>33</v>
      </c>
      <c r="H2447" s="1" t="str">
        <f t="shared" si="461"/>
        <v>20220911</v>
      </c>
      <c r="I2447" s="1" t="str">
        <f>"115231"</f>
        <v>115231</v>
      </c>
      <c r="J2447" s="1" t="s">
        <v>28</v>
      </c>
      <c r="K2447" s="1" t="s">
        <v>28</v>
      </c>
      <c r="L2447" s="1" t="str">
        <f t="shared" ref="L2447:L2478" si="463">"20220911"</f>
        <v>20220911</v>
      </c>
      <c r="M2447" s="1" t="str">
        <f>"122457"</f>
        <v>122457</v>
      </c>
      <c r="N2447" s="1" t="s">
        <v>52</v>
      </c>
      <c r="O2447" s="1" t="s">
        <v>52</v>
      </c>
      <c r="P2447" s="1" t="s">
        <v>55</v>
      </c>
      <c r="Q2447" s="1">
        <v>25</v>
      </c>
      <c r="R2447" s="1">
        <v>25</v>
      </c>
      <c r="S2447" s="1">
        <v>0</v>
      </c>
      <c r="T2447" s="1">
        <v>0</v>
      </c>
      <c r="U2447" s="1">
        <v>0</v>
      </c>
      <c r="V2447" s="1" t="str">
        <f t="shared" si="460"/>
        <v>里程返程</v>
      </c>
      <c r="W2447" s="1" t="str">
        <f>"0220"</f>
        <v>0220</v>
      </c>
      <c r="X2447" s="1" t="s">
        <v>35</v>
      </c>
    </row>
    <row r="2448" spans="1:24" x14ac:dyDescent="0.3">
      <c r="A2448" s="1" t="str">
        <f t="shared" si="462"/>
        <v>59822</v>
      </c>
      <c r="B2448" s="1" t="s">
        <v>39</v>
      </c>
      <c r="C2448" s="1" t="s">
        <v>40</v>
      </c>
      <c r="D2448" s="1" t="str">
        <f t="shared" si="458"/>
        <v>9801</v>
      </c>
      <c r="E2448" s="1" t="s">
        <v>25</v>
      </c>
      <c r="F2448" s="1" t="str">
        <f>"F542440CFF180200D200000C22400417"</f>
        <v>F542440CFF180200D200000C22400417</v>
      </c>
      <c r="G2448" s="1" t="s">
        <v>58</v>
      </c>
      <c r="H2448" s="1" t="str">
        <f t="shared" si="461"/>
        <v>20220911</v>
      </c>
      <c r="I2448" s="1" t="str">
        <f>"115240"</f>
        <v>115240</v>
      </c>
      <c r="J2448" s="1" t="s">
        <v>28</v>
      </c>
      <c r="K2448" s="1" t="s">
        <v>28</v>
      </c>
      <c r="L2448" s="1" t="str">
        <f t="shared" si="463"/>
        <v>20220911</v>
      </c>
      <c r="M2448" s="1" t="str">
        <f>"121852"</f>
        <v>121852</v>
      </c>
      <c r="N2448" s="1" t="s">
        <v>51</v>
      </c>
      <c r="O2448" s="1" t="s">
        <v>52</v>
      </c>
      <c r="P2448" s="1" t="s">
        <v>55</v>
      </c>
      <c r="Q2448" s="1">
        <v>25</v>
      </c>
      <c r="R2448" s="1">
        <v>0</v>
      </c>
      <c r="S2448" s="1">
        <v>25</v>
      </c>
      <c r="T2448" s="1">
        <v>0</v>
      </c>
      <c r="U2448" s="1">
        <v>0</v>
      </c>
      <c r="V2448" s="1" t="str">
        <f t="shared" si="460"/>
        <v>里程返程</v>
      </c>
      <c r="W2448" s="1" t="str">
        <f>"2020"</f>
        <v>2020</v>
      </c>
      <c r="X2448" s="1" t="s">
        <v>29</v>
      </c>
    </row>
    <row r="2449" spans="1:24" x14ac:dyDescent="0.3">
      <c r="A2449" s="1" t="str">
        <f t="shared" si="462"/>
        <v>59822</v>
      </c>
      <c r="B2449" s="1" t="s">
        <v>39</v>
      </c>
      <c r="C2449" s="1" t="s">
        <v>40</v>
      </c>
      <c r="D2449" s="1" t="str">
        <f t="shared" si="458"/>
        <v>9801</v>
      </c>
      <c r="E2449" s="1" t="s">
        <v>25</v>
      </c>
      <c r="F2449" s="1" t="str">
        <f>"2027144424"</f>
        <v>2027144424</v>
      </c>
      <c r="G2449" s="1" t="s">
        <v>33</v>
      </c>
      <c r="H2449" s="1" t="str">
        <f t="shared" si="461"/>
        <v>20220911</v>
      </c>
      <c r="I2449" s="1" t="str">
        <f>"115247"</f>
        <v>115247</v>
      </c>
      <c r="J2449" s="1" t="s">
        <v>28</v>
      </c>
      <c r="K2449" s="1" t="s">
        <v>28</v>
      </c>
      <c r="L2449" s="1" t="str">
        <f t="shared" si="463"/>
        <v>20220911</v>
      </c>
      <c r="M2449" s="1" t="str">
        <f>"121846"</f>
        <v>121846</v>
      </c>
      <c r="N2449" s="1" t="s">
        <v>51</v>
      </c>
      <c r="O2449" s="1" t="s">
        <v>52</v>
      </c>
      <c r="P2449" s="1" t="s">
        <v>55</v>
      </c>
      <c r="Q2449" s="1">
        <v>25</v>
      </c>
      <c r="R2449" s="1">
        <v>0</v>
      </c>
      <c r="S2449" s="1">
        <v>25</v>
      </c>
      <c r="T2449" s="1">
        <v>0</v>
      </c>
      <c r="U2449" s="1">
        <v>0</v>
      </c>
      <c r="V2449" s="1" t="str">
        <f t="shared" si="460"/>
        <v>里程返程</v>
      </c>
      <c r="W2449" s="1" t="str">
        <f>"2020"</f>
        <v>2020</v>
      </c>
      <c r="X2449" s="1" t="s">
        <v>35</v>
      </c>
    </row>
    <row r="2450" spans="1:24" x14ac:dyDescent="0.3">
      <c r="A2450" s="1" t="str">
        <f t="shared" si="462"/>
        <v>59822</v>
      </c>
      <c r="B2450" s="1" t="s">
        <v>39</v>
      </c>
      <c r="C2450" s="1" t="s">
        <v>40</v>
      </c>
      <c r="D2450" s="1" t="str">
        <f t="shared" si="458"/>
        <v>9801</v>
      </c>
      <c r="E2450" s="1" t="s">
        <v>25</v>
      </c>
      <c r="F2450" s="1" t="str">
        <f>"595460177"</f>
        <v>595460177</v>
      </c>
      <c r="G2450" s="1" t="s">
        <v>33</v>
      </c>
      <c r="H2450" s="1" t="str">
        <f t="shared" si="461"/>
        <v>20220911</v>
      </c>
      <c r="I2450" s="1" t="str">
        <f>"115252"</f>
        <v>115252</v>
      </c>
      <c r="J2450" s="1" t="s">
        <v>28</v>
      </c>
      <c r="K2450" s="1" t="s">
        <v>28</v>
      </c>
      <c r="L2450" s="1" t="str">
        <f t="shared" si="463"/>
        <v>20220911</v>
      </c>
      <c r="M2450" s="1" t="str">
        <f>"122141"</f>
        <v>122141</v>
      </c>
      <c r="N2450" s="1" t="s">
        <v>60</v>
      </c>
      <c r="O2450" s="1" t="s">
        <v>52</v>
      </c>
      <c r="P2450" s="1" t="s">
        <v>55</v>
      </c>
      <c r="Q2450" s="1">
        <v>25</v>
      </c>
      <c r="R2450" s="1">
        <v>25</v>
      </c>
      <c r="S2450" s="1">
        <v>0</v>
      </c>
      <c r="T2450" s="1">
        <v>0</v>
      </c>
      <c r="U2450" s="1">
        <v>0</v>
      </c>
      <c r="V2450" s="1" t="str">
        <f t="shared" si="460"/>
        <v>里程返程</v>
      </c>
      <c r="W2450" s="1" t="str">
        <f>"2020"</f>
        <v>2020</v>
      </c>
      <c r="X2450" s="1" t="s">
        <v>35</v>
      </c>
    </row>
    <row r="2451" spans="1:24" x14ac:dyDescent="0.3">
      <c r="A2451" s="1" t="str">
        <f t="shared" si="462"/>
        <v>59822</v>
      </c>
      <c r="B2451" s="1" t="s">
        <v>39</v>
      </c>
      <c r="C2451" s="1" t="s">
        <v>40</v>
      </c>
      <c r="D2451" s="1" t="str">
        <f t="shared" ref="D2451:D2476" si="464">"9805"</f>
        <v>9805</v>
      </c>
      <c r="E2451" s="1" t="s">
        <v>57</v>
      </c>
      <c r="F2451" s="1" t="str">
        <f>"A14B2A33F38804004325B8B800130B0F"</f>
        <v>A14B2A33F38804004325B8B800130B0F</v>
      </c>
      <c r="G2451" s="1" t="s">
        <v>64</v>
      </c>
      <c r="H2451" s="1" t="str">
        <f t="shared" si="461"/>
        <v>20220911</v>
      </c>
      <c r="I2451" s="1" t="str">
        <f>"133547"</f>
        <v>133547</v>
      </c>
      <c r="J2451" s="1" t="s">
        <v>62</v>
      </c>
      <c r="K2451" s="1" t="s">
        <v>28</v>
      </c>
      <c r="L2451" s="1" t="str">
        <f t="shared" si="463"/>
        <v>20220911</v>
      </c>
      <c r="M2451" s="1" t="str">
        <f>"133853"</f>
        <v>133853</v>
      </c>
      <c r="N2451" s="1" t="s">
        <v>94</v>
      </c>
      <c r="O2451" s="1" t="s">
        <v>28</v>
      </c>
      <c r="P2451" s="1" t="s">
        <v>55</v>
      </c>
      <c r="Q2451" s="1">
        <v>13</v>
      </c>
      <c r="R2451" s="1">
        <v>0</v>
      </c>
      <c r="S2451" s="1">
        <v>13</v>
      </c>
      <c r="T2451" s="1">
        <v>0</v>
      </c>
      <c r="U2451" s="1">
        <v>0</v>
      </c>
      <c r="V2451" s="1" t="str">
        <f t="shared" si="460"/>
        <v>里程返程</v>
      </c>
      <c r="W2451" s="1" t="str">
        <f>"1120"</f>
        <v>1120</v>
      </c>
      <c r="X2451" s="1" t="s">
        <v>29</v>
      </c>
    </row>
    <row r="2452" spans="1:24" x14ac:dyDescent="0.3">
      <c r="A2452" s="1" t="str">
        <f t="shared" si="462"/>
        <v>59822</v>
      </c>
      <c r="B2452" s="1" t="s">
        <v>39</v>
      </c>
      <c r="C2452" s="1" t="s">
        <v>40</v>
      </c>
      <c r="D2452" s="1" t="str">
        <f t="shared" si="464"/>
        <v>9805</v>
      </c>
      <c r="E2452" s="1" t="s">
        <v>57</v>
      </c>
      <c r="F2452" s="1" t="str">
        <f>"1824328101"</f>
        <v>1824328101</v>
      </c>
      <c r="G2452" s="1" t="s">
        <v>33</v>
      </c>
      <c r="H2452" s="1" t="str">
        <f t="shared" si="461"/>
        <v>20220911</v>
      </c>
      <c r="I2452" s="1" t="str">
        <f>"133811"</f>
        <v>133811</v>
      </c>
      <c r="J2452" s="1" t="s">
        <v>103</v>
      </c>
      <c r="K2452" s="1" t="s">
        <v>28</v>
      </c>
      <c r="L2452" s="1" t="str">
        <f t="shared" si="463"/>
        <v>20220911</v>
      </c>
      <c r="M2452" s="1" t="str">
        <f>"135046"</f>
        <v>135046</v>
      </c>
      <c r="N2452" s="1" t="s">
        <v>28</v>
      </c>
      <c r="O2452" s="1" t="s">
        <v>28</v>
      </c>
      <c r="P2452" s="1" t="s">
        <v>55</v>
      </c>
      <c r="Q2452" s="1">
        <v>25</v>
      </c>
      <c r="R2452" s="1">
        <v>25</v>
      </c>
      <c r="S2452" s="1">
        <v>0</v>
      </c>
      <c r="T2452" s="1">
        <v>0</v>
      </c>
      <c r="U2452" s="1">
        <v>0</v>
      </c>
      <c r="V2452" s="1" t="str">
        <f t="shared" si="460"/>
        <v>里程返程</v>
      </c>
      <c r="W2452" s="1" t="str">
        <f>"2120"</f>
        <v>2120</v>
      </c>
      <c r="X2452" s="1" t="s">
        <v>35</v>
      </c>
    </row>
    <row r="2453" spans="1:24" x14ac:dyDescent="0.3">
      <c r="A2453" s="1" t="str">
        <f t="shared" si="462"/>
        <v>59822</v>
      </c>
      <c r="B2453" s="1" t="s">
        <v>39</v>
      </c>
      <c r="C2453" s="1" t="s">
        <v>40</v>
      </c>
      <c r="D2453" s="1" t="str">
        <f t="shared" si="464"/>
        <v>9805</v>
      </c>
      <c r="E2453" s="1" t="s">
        <v>57</v>
      </c>
      <c r="F2453" s="1" t="str">
        <f>"1270187589"</f>
        <v>1270187589</v>
      </c>
      <c r="G2453" s="1" t="s">
        <v>33</v>
      </c>
      <c r="H2453" s="1" t="str">
        <f t="shared" si="461"/>
        <v>20220911</v>
      </c>
      <c r="I2453" s="1" t="str">
        <f>"133812"</f>
        <v>133812</v>
      </c>
      <c r="J2453" s="1" t="s">
        <v>103</v>
      </c>
      <c r="K2453" s="1" t="s">
        <v>28</v>
      </c>
      <c r="L2453" s="1" t="str">
        <f t="shared" si="463"/>
        <v>20220911</v>
      </c>
      <c r="M2453" s="1" t="str">
        <f>"135048"</f>
        <v>135048</v>
      </c>
      <c r="N2453" s="1" t="s">
        <v>28</v>
      </c>
      <c r="O2453" s="1" t="s">
        <v>28</v>
      </c>
      <c r="P2453" s="1" t="s">
        <v>55</v>
      </c>
      <c r="Q2453" s="1">
        <v>25</v>
      </c>
      <c r="R2453" s="1">
        <v>25</v>
      </c>
      <c r="S2453" s="1">
        <v>0</v>
      </c>
      <c r="T2453" s="1">
        <v>0</v>
      </c>
      <c r="U2453" s="1">
        <v>0</v>
      </c>
      <c r="V2453" s="1" t="str">
        <f t="shared" si="460"/>
        <v>里程返程</v>
      </c>
      <c r="W2453" s="1" t="str">
        <f>"2120"</f>
        <v>2120</v>
      </c>
      <c r="X2453" s="1" t="s">
        <v>35</v>
      </c>
    </row>
    <row r="2454" spans="1:24" x14ac:dyDescent="0.3">
      <c r="A2454" s="1" t="str">
        <f t="shared" si="462"/>
        <v>59822</v>
      </c>
      <c r="B2454" s="1" t="s">
        <v>39</v>
      </c>
      <c r="C2454" s="1" t="s">
        <v>40</v>
      </c>
      <c r="D2454" s="1" t="str">
        <f t="shared" si="464"/>
        <v>9805</v>
      </c>
      <c r="E2454" s="1" t="s">
        <v>57</v>
      </c>
      <c r="F2454" s="1" t="str">
        <f>"6958FB0FC58804004326A4E600100211"</f>
        <v>6958FB0FC58804004326A4E600100211</v>
      </c>
      <c r="G2454" s="1" t="s">
        <v>58</v>
      </c>
      <c r="H2454" s="1" t="str">
        <f t="shared" si="461"/>
        <v>20220911</v>
      </c>
      <c r="I2454" s="1" t="str">
        <f>"143012"</f>
        <v>143012</v>
      </c>
      <c r="J2454" s="1" t="s">
        <v>28</v>
      </c>
      <c r="K2454" s="1" t="s">
        <v>28</v>
      </c>
      <c r="L2454" s="1" t="str">
        <f t="shared" si="463"/>
        <v>20220911</v>
      </c>
      <c r="M2454" s="1" t="str">
        <f>"144803"</f>
        <v>144803</v>
      </c>
      <c r="N2454" s="1" t="s">
        <v>56</v>
      </c>
      <c r="O2454" s="1" t="s">
        <v>28</v>
      </c>
      <c r="P2454" s="1" t="s">
        <v>55</v>
      </c>
      <c r="Q2454" s="1">
        <v>25</v>
      </c>
      <c r="R2454" s="1">
        <v>25</v>
      </c>
      <c r="S2454" s="1">
        <v>0</v>
      </c>
      <c r="T2454" s="1">
        <v>0</v>
      </c>
      <c r="U2454" s="1">
        <v>0</v>
      </c>
      <c r="V2454" s="1" t="str">
        <f t="shared" ref="V2454:V2475" si="465">"里程去程"</f>
        <v>里程去程</v>
      </c>
      <c r="W2454" s="1" t="str">
        <f>"0020"</f>
        <v>0020</v>
      </c>
      <c r="X2454" s="1" t="s">
        <v>29</v>
      </c>
    </row>
    <row r="2455" spans="1:24" x14ac:dyDescent="0.3">
      <c r="A2455" s="1" t="str">
        <f t="shared" si="462"/>
        <v>59822</v>
      </c>
      <c r="B2455" s="1" t="s">
        <v>39</v>
      </c>
      <c r="C2455" s="1" t="s">
        <v>40</v>
      </c>
      <c r="D2455" s="1" t="str">
        <f t="shared" si="464"/>
        <v>9805</v>
      </c>
      <c r="E2455" s="1" t="s">
        <v>57</v>
      </c>
      <c r="F2455" s="1" t="str">
        <f>"3493053735"</f>
        <v>3493053735</v>
      </c>
      <c r="G2455" s="1" t="s">
        <v>33</v>
      </c>
      <c r="H2455" s="1" t="str">
        <f t="shared" si="461"/>
        <v>20220911</v>
      </c>
      <c r="I2455" s="1" t="str">
        <f>"143016"</f>
        <v>143016</v>
      </c>
      <c r="J2455" s="1" t="s">
        <v>28</v>
      </c>
      <c r="K2455" s="1" t="s">
        <v>28</v>
      </c>
      <c r="L2455" s="1" t="str">
        <f t="shared" si="463"/>
        <v>20220911</v>
      </c>
      <c r="M2455" s="1" t="str">
        <f>"145146"</f>
        <v>145146</v>
      </c>
      <c r="N2455" s="1" t="s">
        <v>52</v>
      </c>
      <c r="O2455" s="1" t="s">
        <v>52</v>
      </c>
      <c r="P2455" s="1" t="s">
        <v>55</v>
      </c>
      <c r="Q2455" s="1">
        <v>25</v>
      </c>
      <c r="R2455" s="1">
        <v>25</v>
      </c>
      <c r="S2455" s="1">
        <v>0</v>
      </c>
      <c r="T2455" s="1">
        <v>0</v>
      </c>
      <c r="U2455" s="1">
        <v>0</v>
      </c>
      <c r="V2455" s="1" t="str">
        <f t="shared" si="465"/>
        <v>里程去程</v>
      </c>
      <c r="W2455" s="1" t="str">
        <f>"2020"</f>
        <v>2020</v>
      </c>
      <c r="X2455" s="1" t="s">
        <v>35</v>
      </c>
    </row>
    <row r="2456" spans="1:24" x14ac:dyDescent="0.3">
      <c r="A2456" s="1" t="str">
        <f t="shared" si="462"/>
        <v>59822</v>
      </c>
      <c r="B2456" s="1" t="s">
        <v>39</v>
      </c>
      <c r="C2456" s="1" t="s">
        <v>40</v>
      </c>
      <c r="D2456" s="1" t="str">
        <f t="shared" si="464"/>
        <v>9805</v>
      </c>
      <c r="E2456" s="1" t="s">
        <v>57</v>
      </c>
      <c r="F2456" s="1" t="str">
        <f>"61ED3201BF880400432494C60017080E"</f>
        <v>61ED3201BF880400432494C60017080E</v>
      </c>
      <c r="G2456" s="1" t="s">
        <v>59</v>
      </c>
      <c r="H2456" s="1" t="str">
        <f t="shared" si="461"/>
        <v>20220911</v>
      </c>
      <c r="I2456" s="1" t="str">
        <f>"143039"</f>
        <v>143039</v>
      </c>
      <c r="J2456" s="1" t="s">
        <v>28</v>
      </c>
      <c r="K2456" s="1" t="s">
        <v>28</v>
      </c>
      <c r="L2456" s="1" t="str">
        <f t="shared" si="463"/>
        <v>20220911</v>
      </c>
      <c r="M2456" s="1" t="str">
        <f>"145141"</f>
        <v>145141</v>
      </c>
      <c r="N2456" s="1" t="s">
        <v>52</v>
      </c>
      <c r="O2456" s="1" t="s">
        <v>52</v>
      </c>
      <c r="P2456" s="1" t="s">
        <v>55</v>
      </c>
      <c r="Q2456" s="1">
        <v>25</v>
      </c>
      <c r="R2456" s="1">
        <v>25</v>
      </c>
      <c r="S2456" s="1">
        <v>0</v>
      </c>
      <c r="T2456" s="1">
        <v>0</v>
      </c>
      <c r="U2456" s="1">
        <v>0</v>
      </c>
      <c r="V2456" s="1" t="str">
        <f t="shared" si="465"/>
        <v>里程去程</v>
      </c>
      <c r="W2456" s="1" t="str">
        <f>"0020"</f>
        <v>0020</v>
      </c>
      <c r="X2456" s="1" t="s">
        <v>29</v>
      </c>
    </row>
    <row r="2457" spans="1:24" x14ac:dyDescent="0.3">
      <c r="A2457" s="1" t="str">
        <f t="shared" si="462"/>
        <v>59822</v>
      </c>
      <c r="B2457" s="1" t="s">
        <v>39</v>
      </c>
      <c r="C2457" s="1" t="s">
        <v>40</v>
      </c>
      <c r="D2457" s="1" t="str">
        <f t="shared" si="464"/>
        <v>9805</v>
      </c>
      <c r="E2457" s="1" t="s">
        <v>57</v>
      </c>
      <c r="F2457" s="1" t="str">
        <f>"92E18116E4880400C814002000000019"</f>
        <v>92E18116E4880400C814002000000019</v>
      </c>
      <c r="G2457" s="1" t="s">
        <v>64</v>
      </c>
      <c r="H2457" s="1" t="str">
        <f t="shared" si="461"/>
        <v>20220911</v>
      </c>
      <c r="I2457" s="1" t="str">
        <f>"143235"</f>
        <v>143235</v>
      </c>
      <c r="J2457" s="1" t="s">
        <v>28</v>
      </c>
      <c r="K2457" s="1" t="s">
        <v>28</v>
      </c>
      <c r="L2457" s="1" t="str">
        <f t="shared" si="463"/>
        <v>20220911</v>
      </c>
      <c r="M2457" s="1" t="str">
        <f>"144426"</f>
        <v>144426</v>
      </c>
      <c r="N2457" s="1" t="s">
        <v>46</v>
      </c>
      <c r="O2457" s="1" t="s">
        <v>28</v>
      </c>
      <c r="P2457" s="1" t="s">
        <v>55</v>
      </c>
      <c r="Q2457" s="1">
        <v>13</v>
      </c>
      <c r="R2457" s="1">
        <v>13</v>
      </c>
      <c r="S2457" s="1">
        <v>0</v>
      </c>
      <c r="T2457" s="1">
        <v>0</v>
      </c>
      <c r="U2457" s="1">
        <v>0</v>
      </c>
      <c r="V2457" s="1" t="str">
        <f t="shared" si="465"/>
        <v>里程去程</v>
      </c>
      <c r="W2457" s="1" t="str">
        <f>"0020"</f>
        <v>0020</v>
      </c>
      <c r="X2457" s="1" t="s">
        <v>29</v>
      </c>
    </row>
    <row r="2458" spans="1:24" x14ac:dyDescent="0.3">
      <c r="A2458" s="1" t="str">
        <f t="shared" si="462"/>
        <v>59822</v>
      </c>
      <c r="B2458" s="1" t="s">
        <v>39</v>
      </c>
      <c r="C2458" s="1" t="s">
        <v>40</v>
      </c>
      <c r="D2458" s="1" t="str">
        <f t="shared" si="464"/>
        <v>9805</v>
      </c>
      <c r="E2458" s="1" t="s">
        <v>57</v>
      </c>
      <c r="F2458" s="1" t="str">
        <f>"259091601"</f>
        <v>259091601</v>
      </c>
      <c r="G2458" s="1" t="s">
        <v>33</v>
      </c>
      <c r="H2458" s="1" t="str">
        <f t="shared" si="461"/>
        <v>20220911</v>
      </c>
      <c r="I2458" s="1" t="str">
        <f>"143237"</f>
        <v>143237</v>
      </c>
      <c r="J2458" s="1" t="s">
        <v>28</v>
      </c>
      <c r="K2458" s="1" t="s">
        <v>28</v>
      </c>
      <c r="L2458" s="1" t="str">
        <f t="shared" si="463"/>
        <v>20220911</v>
      </c>
      <c r="M2458" s="1" t="str">
        <f>"144436"</f>
        <v>144436</v>
      </c>
      <c r="N2458" s="1" t="s">
        <v>46</v>
      </c>
      <c r="O2458" s="1" t="s">
        <v>28</v>
      </c>
      <c r="P2458" s="1" t="s">
        <v>55</v>
      </c>
      <c r="Q2458" s="1">
        <v>25</v>
      </c>
      <c r="R2458" s="1">
        <v>25</v>
      </c>
      <c r="S2458" s="1">
        <v>0</v>
      </c>
      <c r="T2458" s="1">
        <v>0</v>
      </c>
      <c r="U2458" s="1">
        <v>0</v>
      </c>
      <c r="V2458" s="1" t="str">
        <f t="shared" si="465"/>
        <v>里程去程</v>
      </c>
      <c r="W2458" s="1" t="str">
        <f>"0320"</f>
        <v>0320</v>
      </c>
      <c r="X2458" s="1" t="s">
        <v>35</v>
      </c>
    </row>
    <row r="2459" spans="1:24" x14ac:dyDescent="0.3">
      <c r="A2459" s="1" t="str">
        <f t="shared" si="462"/>
        <v>59822</v>
      </c>
      <c r="B2459" s="1" t="s">
        <v>39</v>
      </c>
      <c r="C2459" s="1" t="s">
        <v>40</v>
      </c>
      <c r="D2459" s="1" t="str">
        <f t="shared" si="464"/>
        <v>9805</v>
      </c>
      <c r="E2459" s="1" t="s">
        <v>57</v>
      </c>
      <c r="F2459" s="1" t="str">
        <f>"1626022917"</f>
        <v>1626022917</v>
      </c>
      <c r="G2459" s="1" t="s">
        <v>26</v>
      </c>
      <c r="H2459" s="1" t="str">
        <f t="shared" si="461"/>
        <v>20220911</v>
      </c>
      <c r="I2459" s="1" t="str">
        <f>"143240"</f>
        <v>143240</v>
      </c>
      <c r="J2459" s="1" t="s">
        <v>28</v>
      </c>
      <c r="K2459" s="1" t="s">
        <v>28</v>
      </c>
      <c r="L2459" s="1" t="str">
        <f t="shared" si="463"/>
        <v>20220911</v>
      </c>
      <c r="M2459" s="1" t="str">
        <f>"144432"</f>
        <v>144432</v>
      </c>
      <c r="N2459" s="1" t="s">
        <v>46</v>
      </c>
      <c r="O2459" s="1" t="s">
        <v>28</v>
      </c>
      <c r="P2459" s="1" t="s">
        <v>55</v>
      </c>
      <c r="Q2459" s="1">
        <v>13</v>
      </c>
      <c r="R2459" s="1">
        <v>13</v>
      </c>
      <c r="S2459" s="1">
        <v>0</v>
      </c>
      <c r="T2459" s="1">
        <v>0</v>
      </c>
      <c r="U2459" s="1">
        <v>0</v>
      </c>
      <c r="V2459" s="1" t="str">
        <f t="shared" si="465"/>
        <v>里程去程</v>
      </c>
      <c r="W2459" s="1" t="str">
        <f>"0320"</f>
        <v>0320</v>
      </c>
      <c r="X2459" s="1" t="s">
        <v>35</v>
      </c>
    </row>
    <row r="2460" spans="1:24" x14ac:dyDescent="0.3">
      <c r="A2460" s="1" t="str">
        <f t="shared" si="462"/>
        <v>59822</v>
      </c>
      <c r="B2460" s="1" t="s">
        <v>39</v>
      </c>
      <c r="C2460" s="1" t="s">
        <v>40</v>
      </c>
      <c r="D2460" s="1" t="str">
        <f t="shared" si="464"/>
        <v>9805</v>
      </c>
      <c r="E2460" s="1" t="s">
        <v>57</v>
      </c>
      <c r="F2460" s="1" t="str">
        <f>"282014624"</f>
        <v>282014624</v>
      </c>
      <c r="G2460" s="1" t="s">
        <v>33</v>
      </c>
      <c r="H2460" s="1" t="str">
        <f t="shared" si="461"/>
        <v>20220911</v>
      </c>
      <c r="I2460" s="1" t="str">
        <f>"143312"</f>
        <v>143312</v>
      </c>
      <c r="J2460" s="1" t="s">
        <v>28</v>
      </c>
      <c r="K2460" s="1" t="s">
        <v>28</v>
      </c>
      <c r="L2460" s="1" t="str">
        <f t="shared" si="463"/>
        <v>20220911</v>
      </c>
      <c r="M2460" s="1" t="str">
        <f>"145136"</f>
        <v>145136</v>
      </c>
      <c r="N2460" s="1" t="s">
        <v>52</v>
      </c>
      <c r="O2460" s="1" t="s">
        <v>52</v>
      </c>
      <c r="P2460" s="1" t="s">
        <v>55</v>
      </c>
      <c r="Q2460" s="1">
        <v>25</v>
      </c>
      <c r="R2460" s="1">
        <v>25</v>
      </c>
      <c r="S2460" s="1">
        <v>0</v>
      </c>
      <c r="T2460" s="1">
        <v>0</v>
      </c>
      <c r="U2460" s="1">
        <v>0</v>
      </c>
      <c r="V2460" s="1" t="str">
        <f t="shared" si="465"/>
        <v>里程去程</v>
      </c>
      <c r="W2460" s="1" t="str">
        <f>"0820"</f>
        <v>0820</v>
      </c>
      <c r="X2460" s="1" t="s">
        <v>35</v>
      </c>
    </row>
    <row r="2461" spans="1:24" x14ac:dyDescent="0.3">
      <c r="A2461" s="1" t="str">
        <f t="shared" si="462"/>
        <v>59822</v>
      </c>
      <c r="B2461" s="1" t="s">
        <v>39</v>
      </c>
      <c r="C2461" s="1" t="s">
        <v>40</v>
      </c>
      <c r="D2461" s="1" t="str">
        <f t="shared" si="464"/>
        <v>9805</v>
      </c>
      <c r="E2461" s="1" t="s">
        <v>57</v>
      </c>
      <c r="F2461" s="1" t="str">
        <f>"C28E3B136428040080CED9985D913018"</f>
        <v>C28E3B136428040080CED9985D913018</v>
      </c>
      <c r="G2461" s="1" t="s">
        <v>58</v>
      </c>
      <c r="H2461" s="1" t="str">
        <f t="shared" si="461"/>
        <v>20220911</v>
      </c>
      <c r="I2461" s="1" t="str">
        <f>"143315"</f>
        <v>143315</v>
      </c>
      <c r="J2461" s="1" t="s">
        <v>28</v>
      </c>
      <c r="K2461" s="1" t="s">
        <v>28</v>
      </c>
      <c r="L2461" s="1" t="str">
        <f t="shared" si="463"/>
        <v>20220911</v>
      </c>
      <c r="M2461" s="1" t="str">
        <f>"145139"</f>
        <v>145139</v>
      </c>
      <c r="N2461" s="1" t="s">
        <v>52</v>
      </c>
      <c r="O2461" s="1" t="s">
        <v>52</v>
      </c>
      <c r="P2461" s="1" t="s">
        <v>55</v>
      </c>
      <c r="Q2461" s="1">
        <v>25</v>
      </c>
      <c r="R2461" s="1">
        <v>25</v>
      </c>
      <c r="S2461" s="1">
        <v>0</v>
      </c>
      <c r="T2461" s="1">
        <v>0</v>
      </c>
      <c r="U2461" s="1">
        <v>0</v>
      </c>
      <c r="V2461" s="1" t="str">
        <f t="shared" si="465"/>
        <v>里程去程</v>
      </c>
      <c r="W2461" s="1" t="str">
        <f>"0020"</f>
        <v>0020</v>
      </c>
      <c r="X2461" s="1" t="s">
        <v>29</v>
      </c>
    </row>
    <row r="2462" spans="1:24" x14ac:dyDescent="0.3">
      <c r="A2462" s="1" t="str">
        <f t="shared" si="462"/>
        <v>59822</v>
      </c>
      <c r="B2462" s="1" t="s">
        <v>39</v>
      </c>
      <c r="C2462" s="1" t="s">
        <v>40</v>
      </c>
      <c r="D2462" s="1" t="str">
        <f t="shared" si="464"/>
        <v>9805</v>
      </c>
      <c r="E2462" s="1" t="s">
        <v>57</v>
      </c>
      <c r="F2462" s="1" t="str">
        <f>"1126652661"</f>
        <v>1126652661</v>
      </c>
      <c r="G2462" s="1" t="s">
        <v>33</v>
      </c>
      <c r="H2462" s="1" t="str">
        <f t="shared" si="461"/>
        <v>20220911</v>
      </c>
      <c r="I2462" s="1" t="str">
        <f>"143328"</f>
        <v>143328</v>
      </c>
      <c r="J2462" s="1" t="s">
        <v>28</v>
      </c>
      <c r="K2462" s="1" t="s">
        <v>28</v>
      </c>
      <c r="L2462" s="1" t="str">
        <f t="shared" si="463"/>
        <v>20220911</v>
      </c>
      <c r="M2462" s="1" t="str">
        <f>"145131"</f>
        <v>145131</v>
      </c>
      <c r="N2462" s="1" t="s">
        <v>52</v>
      </c>
      <c r="O2462" s="1" t="s">
        <v>52</v>
      </c>
      <c r="P2462" s="1" t="s">
        <v>55</v>
      </c>
      <c r="Q2462" s="1">
        <v>25</v>
      </c>
      <c r="R2462" s="1">
        <v>25</v>
      </c>
      <c r="S2462" s="1">
        <v>0</v>
      </c>
      <c r="T2462" s="1">
        <v>0</v>
      </c>
      <c r="U2462" s="1">
        <v>0</v>
      </c>
      <c r="V2462" s="1" t="str">
        <f t="shared" si="465"/>
        <v>里程去程</v>
      </c>
      <c r="W2462" s="1" t="str">
        <f>"0220"</f>
        <v>0220</v>
      </c>
      <c r="X2462" s="1" t="s">
        <v>35</v>
      </c>
    </row>
    <row r="2463" spans="1:24" x14ac:dyDescent="0.3">
      <c r="A2463" s="1" t="str">
        <f t="shared" si="462"/>
        <v>59822</v>
      </c>
      <c r="B2463" s="1" t="s">
        <v>39</v>
      </c>
      <c r="C2463" s="1" t="s">
        <v>40</v>
      </c>
      <c r="D2463" s="1" t="str">
        <f t="shared" si="464"/>
        <v>9805</v>
      </c>
      <c r="E2463" s="1" t="s">
        <v>57</v>
      </c>
      <c r="F2463" s="1" t="str">
        <f>"868239809"</f>
        <v>868239809</v>
      </c>
      <c r="G2463" s="1" t="s">
        <v>33</v>
      </c>
      <c r="H2463" s="1" t="str">
        <f t="shared" si="461"/>
        <v>20220911</v>
      </c>
      <c r="I2463" s="1" t="str">
        <f>"143338"</f>
        <v>143338</v>
      </c>
      <c r="J2463" s="1" t="s">
        <v>28</v>
      </c>
      <c r="K2463" s="1" t="s">
        <v>28</v>
      </c>
      <c r="L2463" s="1" t="str">
        <f t="shared" si="463"/>
        <v>20220911</v>
      </c>
      <c r="M2463" s="1" t="str">
        <f>"145133"</f>
        <v>145133</v>
      </c>
      <c r="N2463" s="1" t="s">
        <v>52</v>
      </c>
      <c r="O2463" s="1" t="s">
        <v>52</v>
      </c>
      <c r="P2463" s="1" t="s">
        <v>55</v>
      </c>
      <c r="Q2463" s="1">
        <v>25</v>
      </c>
      <c r="R2463" s="1">
        <v>25</v>
      </c>
      <c r="S2463" s="1">
        <v>0</v>
      </c>
      <c r="T2463" s="1">
        <v>0</v>
      </c>
      <c r="U2463" s="1">
        <v>0</v>
      </c>
      <c r="V2463" s="1" t="str">
        <f t="shared" si="465"/>
        <v>里程去程</v>
      </c>
      <c r="W2463" s="1" t="str">
        <f>"0120"</f>
        <v>0120</v>
      </c>
      <c r="X2463" s="1" t="s">
        <v>35</v>
      </c>
    </row>
    <row r="2464" spans="1:24" x14ac:dyDescent="0.3">
      <c r="A2464" s="1" t="str">
        <f t="shared" si="462"/>
        <v>59822</v>
      </c>
      <c r="B2464" s="1" t="s">
        <v>39</v>
      </c>
      <c r="C2464" s="1" t="s">
        <v>40</v>
      </c>
      <c r="D2464" s="1" t="str">
        <f t="shared" si="464"/>
        <v>9805</v>
      </c>
      <c r="E2464" s="1" t="s">
        <v>57</v>
      </c>
      <c r="F2464" s="1" t="str">
        <f>"1464269408"</f>
        <v>1464269408</v>
      </c>
      <c r="G2464" s="1" t="s">
        <v>33</v>
      </c>
      <c r="H2464" s="1" t="str">
        <f t="shared" si="461"/>
        <v>20220911</v>
      </c>
      <c r="I2464" s="1" t="str">
        <f>"143341"</f>
        <v>143341</v>
      </c>
      <c r="J2464" s="1" t="s">
        <v>28</v>
      </c>
      <c r="K2464" s="1" t="s">
        <v>28</v>
      </c>
      <c r="L2464" s="1" t="str">
        <f t="shared" si="463"/>
        <v>20220911</v>
      </c>
      <c r="M2464" s="1" t="str">
        <f>"145115"</f>
        <v>145115</v>
      </c>
      <c r="N2464" s="1" t="s">
        <v>52</v>
      </c>
      <c r="O2464" s="1" t="s">
        <v>52</v>
      </c>
      <c r="P2464" s="1" t="s">
        <v>55</v>
      </c>
      <c r="Q2464" s="1">
        <v>25</v>
      </c>
      <c r="R2464" s="1">
        <v>25</v>
      </c>
      <c r="S2464" s="1">
        <v>0</v>
      </c>
      <c r="T2464" s="1">
        <v>0</v>
      </c>
      <c r="U2464" s="1">
        <v>0</v>
      </c>
      <c r="V2464" s="1" t="str">
        <f t="shared" si="465"/>
        <v>里程去程</v>
      </c>
      <c r="W2464" s="1" t="str">
        <f>"0120"</f>
        <v>0120</v>
      </c>
      <c r="X2464" s="1" t="s">
        <v>35</v>
      </c>
    </row>
    <row r="2465" spans="1:24" x14ac:dyDescent="0.3">
      <c r="A2465" s="1" t="str">
        <f t="shared" si="462"/>
        <v>59822</v>
      </c>
      <c r="B2465" s="1" t="s">
        <v>39</v>
      </c>
      <c r="C2465" s="1" t="s">
        <v>40</v>
      </c>
      <c r="D2465" s="1" t="str">
        <f t="shared" si="464"/>
        <v>9805</v>
      </c>
      <c r="E2465" s="1" t="s">
        <v>57</v>
      </c>
      <c r="F2465" s="1" t="str">
        <f>"F1583573EF2804001C00000000000000"</f>
        <v>F1583573EF2804001C00000000000000</v>
      </c>
      <c r="G2465" s="1" t="s">
        <v>58</v>
      </c>
      <c r="H2465" s="1" t="str">
        <f t="shared" si="461"/>
        <v>20220911</v>
      </c>
      <c r="I2465" s="1" t="str">
        <f>"143347"</f>
        <v>143347</v>
      </c>
      <c r="J2465" s="1" t="s">
        <v>28</v>
      </c>
      <c r="K2465" s="1" t="s">
        <v>28</v>
      </c>
      <c r="L2465" s="1" t="str">
        <f t="shared" si="463"/>
        <v>20220911</v>
      </c>
      <c r="M2465" s="1" t="str">
        <f>"145120"</f>
        <v>145120</v>
      </c>
      <c r="N2465" s="1" t="s">
        <v>52</v>
      </c>
      <c r="O2465" s="1" t="s">
        <v>52</v>
      </c>
      <c r="P2465" s="1" t="s">
        <v>55</v>
      </c>
      <c r="Q2465" s="1">
        <v>25</v>
      </c>
      <c r="R2465" s="1">
        <v>25</v>
      </c>
      <c r="S2465" s="1">
        <v>0</v>
      </c>
      <c r="T2465" s="1">
        <v>0</v>
      </c>
      <c r="U2465" s="1">
        <v>0</v>
      </c>
      <c r="V2465" s="1" t="str">
        <f t="shared" si="465"/>
        <v>里程去程</v>
      </c>
      <c r="W2465" s="1" t="str">
        <f>"0020"</f>
        <v>0020</v>
      </c>
      <c r="X2465" s="1" t="s">
        <v>29</v>
      </c>
    </row>
    <row r="2466" spans="1:24" x14ac:dyDescent="0.3">
      <c r="A2466" s="1" t="str">
        <f t="shared" si="462"/>
        <v>59822</v>
      </c>
      <c r="B2466" s="1" t="s">
        <v>39</v>
      </c>
      <c r="C2466" s="1" t="s">
        <v>40</v>
      </c>
      <c r="D2466" s="1" t="str">
        <f t="shared" si="464"/>
        <v>9805</v>
      </c>
      <c r="E2466" s="1" t="s">
        <v>57</v>
      </c>
      <c r="F2466" s="1" t="str">
        <f>"7111181188007570"</f>
        <v>7111181188007570</v>
      </c>
      <c r="G2466" s="1" t="s">
        <v>33</v>
      </c>
      <c r="H2466" s="1" t="str">
        <f t="shared" si="461"/>
        <v>20220911</v>
      </c>
      <c r="I2466" s="1" t="str">
        <f>"143350"</f>
        <v>143350</v>
      </c>
      <c r="J2466" s="1" t="s">
        <v>28</v>
      </c>
      <c r="K2466" s="1" t="s">
        <v>28</v>
      </c>
      <c r="L2466" s="1" t="str">
        <f t="shared" si="463"/>
        <v>20220911</v>
      </c>
      <c r="M2466" s="1" t="str">
        <f>"145032"</f>
        <v>145032</v>
      </c>
      <c r="N2466" s="1" t="s">
        <v>52</v>
      </c>
      <c r="O2466" s="1" t="s">
        <v>52</v>
      </c>
      <c r="P2466" s="1" t="s">
        <v>55</v>
      </c>
      <c r="Q2466" s="1">
        <v>25</v>
      </c>
      <c r="R2466" s="1">
        <v>25</v>
      </c>
      <c r="S2466" s="1">
        <v>0</v>
      </c>
      <c r="T2466" s="1">
        <v>0</v>
      </c>
      <c r="U2466" s="1">
        <v>0</v>
      </c>
      <c r="V2466" s="1" t="str">
        <f t="shared" si="465"/>
        <v>里程去程</v>
      </c>
      <c r="W2466" s="1" t="str">
        <f>"013B"</f>
        <v>013B</v>
      </c>
      <c r="X2466" s="1" t="s">
        <v>109</v>
      </c>
    </row>
    <row r="2467" spans="1:24" x14ac:dyDescent="0.3">
      <c r="A2467" s="1" t="str">
        <f t="shared" si="462"/>
        <v>59822</v>
      </c>
      <c r="B2467" s="1" t="s">
        <v>39</v>
      </c>
      <c r="C2467" s="1" t="s">
        <v>40</v>
      </c>
      <c r="D2467" s="1" t="str">
        <f t="shared" si="464"/>
        <v>9805</v>
      </c>
      <c r="E2467" s="1" t="s">
        <v>57</v>
      </c>
      <c r="F2467" s="1" t="str">
        <f>"1686321409"</f>
        <v>1686321409</v>
      </c>
      <c r="G2467" s="1" t="s">
        <v>33</v>
      </c>
      <c r="H2467" s="1" t="str">
        <f t="shared" si="461"/>
        <v>20220911</v>
      </c>
      <c r="I2467" s="1" t="str">
        <f>"143355"</f>
        <v>143355</v>
      </c>
      <c r="J2467" s="1" t="s">
        <v>28</v>
      </c>
      <c r="K2467" s="1" t="s">
        <v>28</v>
      </c>
      <c r="L2467" s="1" t="str">
        <f t="shared" si="463"/>
        <v>20220911</v>
      </c>
      <c r="M2467" s="1" t="str">
        <f>"145118"</f>
        <v>145118</v>
      </c>
      <c r="N2467" s="1" t="s">
        <v>52</v>
      </c>
      <c r="O2467" s="1" t="s">
        <v>52</v>
      </c>
      <c r="P2467" s="1" t="s">
        <v>55</v>
      </c>
      <c r="Q2467" s="1">
        <v>25</v>
      </c>
      <c r="R2467" s="1">
        <v>25</v>
      </c>
      <c r="S2467" s="1">
        <v>0</v>
      </c>
      <c r="T2467" s="1">
        <v>0</v>
      </c>
      <c r="U2467" s="1">
        <v>0</v>
      </c>
      <c r="V2467" s="1" t="str">
        <f t="shared" si="465"/>
        <v>里程去程</v>
      </c>
      <c r="W2467" s="1" t="str">
        <f>"0c20"</f>
        <v>0c20</v>
      </c>
      <c r="X2467" s="1" t="s">
        <v>35</v>
      </c>
    </row>
    <row r="2468" spans="1:24" x14ac:dyDescent="0.3">
      <c r="A2468" s="1" t="str">
        <f t="shared" si="462"/>
        <v>59822</v>
      </c>
      <c r="B2468" s="1" t="s">
        <v>39</v>
      </c>
      <c r="C2468" s="1" t="s">
        <v>40</v>
      </c>
      <c r="D2468" s="1" t="str">
        <f t="shared" si="464"/>
        <v>9805</v>
      </c>
      <c r="E2468" s="1" t="s">
        <v>57</v>
      </c>
      <c r="F2468" s="1" t="str">
        <f>"1155E164C12804001C00000000000000"</f>
        <v>1155E164C12804001C00000000000000</v>
      </c>
      <c r="G2468" s="1" t="s">
        <v>58</v>
      </c>
      <c r="H2468" s="1" t="str">
        <f t="shared" si="461"/>
        <v>20220911</v>
      </c>
      <c r="I2468" s="1" t="str">
        <f>"143357"</f>
        <v>143357</v>
      </c>
      <c r="J2468" s="1" t="s">
        <v>28</v>
      </c>
      <c r="K2468" s="1" t="s">
        <v>28</v>
      </c>
      <c r="L2468" s="1" t="str">
        <f t="shared" si="463"/>
        <v>20220911</v>
      </c>
      <c r="M2468" s="1" t="str">
        <f>"145122"</f>
        <v>145122</v>
      </c>
      <c r="N2468" s="1" t="s">
        <v>52</v>
      </c>
      <c r="O2468" s="1" t="s">
        <v>52</v>
      </c>
      <c r="P2468" s="1" t="s">
        <v>55</v>
      </c>
      <c r="Q2468" s="1">
        <v>25</v>
      </c>
      <c r="R2468" s="1">
        <v>25</v>
      </c>
      <c r="S2468" s="1">
        <v>0</v>
      </c>
      <c r="T2468" s="1">
        <v>0</v>
      </c>
      <c r="U2468" s="1">
        <v>0</v>
      </c>
      <c r="V2468" s="1" t="str">
        <f t="shared" si="465"/>
        <v>里程去程</v>
      </c>
      <c r="W2468" s="1" t="str">
        <f>"0020"</f>
        <v>0020</v>
      </c>
      <c r="X2468" s="1" t="s">
        <v>29</v>
      </c>
    </row>
    <row r="2469" spans="1:24" x14ac:dyDescent="0.3">
      <c r="A2469" s="1" t="str">
        <f t="shared" si="462"/>
        <v>59822</v>
      </c>
      <c r="B2469" s="1" t="s">
        <v>39</v>
      </c>
      <c r="C2469" s="1" t="s">
        <v>40</v>
      </c>
      <c r="D2469" s="1" t="str">
        <f t="shared" si="464"/>
        <v>9805</v>
      </c>
      <c r="E2469" s="1" t="s">
        <v>57</v>
      </c>
      <c r="F2469" s="1" t="str">
        <f>"210DDC54A42804001C00000000000000"</f>
        <v>210DDC54A42804001C00000000000000</v>
      </c>
      <c r="G2469" s="1" t="s">
        <v>58</v>
      </c>
      <c r="H2469" s="1" t="str">
        <f t="shared" si="461"/>
        <v>20220911</v>
      </c>
      <c r="I2469" s="1" t="str">
        <f>"143401"</f>
        <v>143401</v>
      </c>
      <c r="J2469" s="1" t="s">
        <v>28</v>
      </c>
      <c r="K2469" s="1" t="s">
        <v>28</v>
      </c>
      <c r="L2469" s="1" t="str">
        <f t="shared" si="463"/>
        <v>20220911</v>
      </c>
      <c r="M2469" s="1" t="str">
        <f>"145129"</f>
        <v>145129</v>
      </c>
      <c r="N2469" s="1" t="s">
        <v>52</v>
      </c>
      <c r="O2469" s="1" t="s">
        <v>52</v>
      </c>
      <c r="P2469" s="1" t="s">
        <v>55</v>
      </c>
      <c r="Q2469" s="1">
        <v>25</v>
      </c>
      <c r="R2469" s="1">
        <v>25</v>
      </c>
      <c r="S2469" s="1">
        <v>0</v>
      </c>
      <c r="T2469" s="1">
        <v>0</v>
      </c>
      <c r="U2469" s="1">
        <v>0</v>
      </c>
      <c r="V2469" s="1" t="str">
        <f t="shared" si="465"/>
        <v>里程去程</v>
      </c>
      <c r="W2469" s="1" t="str">
        <f>"0020"</f>
        <v>0020</v>
      </c>
      <c r="X2469" s="1" t="s">
        <v>29</v>
      </c>
    </row>
    <row r="2470" spans="1:24" x14ac:dyDescent="0.3">
      <c r="A2470" s="1" t="str">
        <f t="shared" si="462"/>
        <v>59822</v>
      </c>
      <c r="B2470" s="1" t="s">
        <v>39</v>
      </c>
      <c r="C2470" s="1" t="s">
        <v>40</v>
      </c>
      <c r="D2470" s="1" t="str">
        <f t="shared" si="464"/>
        <v>9805</v>
      </c>
      <c r="E2470" s="1" t="s">
        <v>57</v>
      </c>
      <c r="F2470" s="1" t="str">
        <f>"314B2B2273280400F700000000000000"</f>
        <v>314B2B2273280400F700000000000000</v>
      </c>
      <c r="G2470" s="1" t="s">
        <v>58</v>
      </c>
      <c r="H2470" s="1" t="str">
        <f t="shared" si="461"/>
        <v>20220911</v>
      </c>
      <c r="I2470" s="1" t="str">
        <f>"143408"</f>
        <v>143408</v>
      </c>
      <c r="J2470" s="1" t="s">
        <v>28</v>
      </c>
      <c r="K2470" s="1" t="s">
        <v>28</v>
      </c>
      <c r="L2470" s="1" t="str">
        <f t="shared" si="463"/>
        <v>20220911</v>
      </c>
      <c r="M2470" s="1" t="str">
        <f>"145026"</f>
        <v>145026</v>
      </c>
      <c r="N2470" s="1" t="s">
        <v>52</v>
      </c>
      <c r="O2470" s="1" t="s">
        <v>52</v>
      </c>
      <c r="P2470" s="1" t="s">
        <v>55</v>
      </c>
      <c r="Q2470" s="1">
        <v>25</v>
      </c>
      <c r="R2470" s="1">
        <v>25</v>
      </c>
      <c r="S2470" s="1">
        <v>0</v>
      </c>
      <c r="T2470" s="1">
        <v>0</v>
      </c>
      <c r="U2470" s="1">
        <v>0</v>
      </c>
      <c r="V2470" s="1" t="str">
        <f t="shared" si="465"/>
        <v>里程去程</v>
      </c>
      <c r="W2470" s="1" t="str">
        <f>"0020"</f>
        <v>0020</v>
      </c>
      <c r="X2470" s="1" t="s">
        <v>29</v>
      </c>
    </row>
    <row r="2471" spans="1:24" x14ac:dyDescent="0.3">
      <c r="A2471" s="1" t="str">
        <f t="shared" si="462"/>
        <v>59822</v>
      </c>
      <c r="B2471" s="1" t="s">
        <v>39</v>
      </c>
      <c r="C2471" s="1" t="s">
        <v>40</v>
      </c>
      <c r="D2471" s="1" t="str">
        <f t="shared" si="464"/>
        <v>9805</v>
      </c>
      <c r="E2471" s="1" t="s">
        <v>57</v>
      </c>
      <c r="F2471" s="1" t="str">
        <f>"A192C955AF2804001C00000000000000"</f>
        <v>A192C955AF2804001C00000000000000</v>
      </c>
      <c r="G2471" s="1" t="s">
        <v>58</v>
      </c>
      <c r="H2471" s="1" t="str">
        <f t="shared" si="461"/>
        <v>20220911</v>
      </c>
      <c r="I2471" s="1" t="str">
        <f>"143410"</f>
        <v>143410</v>
      </c>
      <c r="J2471" s="1" t="s">
        <v>28</v>
      </c>
      <c r="K2471" s="1" t="s">
        <v>28</v>
      </c>
      <c r="L2471" s="1" t="str">
        <f t="shared" si="463"/>
        <v>20220911</v>
      </c>
      <c r="M2471" s="1" t="str">
        <f>"145009"</f>
        <v>145009</v>
      </c>
      <c r="N2471" s="1" t="s">
        <v>52</v>
      </c>
      <c r="O2471" s="1" t="s">
        <v>52</v>
      </c>
      <c r="P2471" s="1" t="s">
        <v>55</v>
      </c>
      <c r="Q2471" s="1">
        <v>25</v>
      </c>
      <c r="R2471" s="1">
        <v>25</v>
      </c>
      <c r="S2471" s="1">
        <v>0</v>
      </c>
      <c r="T2471" s="1">
        <v>0</v>
      </c>
      <c r="U2471" s="1">
        <v>0</v>
      </c>
      <c r="V2471" s="1" t="str">
        <f t="shared" si="465"/>
        <v>里程去程</v>
      </c>
      <c r="W2471" s="1" t="str">
        <f>"0020"</f>
        <v>0020</v>
      </c>
      <c r="X2471" s="1" t="s">
        <v>29</v>
      </c>
    </row>
    <row r="2472" spans="1:24" x14ac:dyDescent="0.3">
      <c r="A2472" s="1" t="str">
        <f t="shared" si="462"/>
        <v>59822</v>
      </c>
      <c r="B2472" s="1" t="s">
        <v>39</v>
      </c>
      <c r="C2472" s="1" t="s">
        <v>40</v>
      </c>
      <c r="D2472" s="1" t="str">
        <f t="shared" si="464"/>
        <v>9805</v>
      </c>
      <c r="E2472" s="1" t="s">
        <v>57</v>
      </c>
      <c r="F2472" s="1" t="str">
        <f>"F198642E23280400F700000000000000"</f>
        <v>F198642E23280400F700000000000000</v>
      </c>
      <c r="G2472" s="1" t="s">
        <v>58</v>
      </c>
      <c r="H2472" s="1" t="str">
        <f t="shared" si="461"/>
        <v>20220911</v>
      </c>
      <c r="I2472" s="1" t="str">
        <f>"143413"</f>
        <v>143413</v>
      </c>
      <c r="J2472" s="1" t="s">
        <v>28</v>
      </c>
      <c r="K2472" s="1" t="s">
        <v>28</v>
      </c>
      <c r="L2472" s="1" t="str">
        <f t="shared" si="463"/>
        <v>20220911</v>
      </c>
      <c r="M2472" s="1" t="str">
        <f>"145020"</f>
        <v>145020</v>
      </c>
      <c r="N2472" s="1" t="s">
        <v>52</v>
      </c>
      <c r="O2472" s="1" t="s">
        <v>52</v>
      </c>
      <c r="P2472" s="1" t="s">
        <v>55</v>
      </c>
      <c r="Q2472" s="1">
        <v>25</v>
      </c>
      <c r="R2472" s="1">
        <v>25</v>
      </c>
      <c r="S2472" s="1">
        <v>0</v>
      </c>
      <c r="T2472" s="1">
        <v>0</v>
      </c>
      <c r="U2472" s="1">
        <v>0</v>
      </c>
      <c r="V2472" s="1" t="str">
        <f t="shared" si="465"/>
        <v>里程去程</v>
      </c>
      <c r="W2472" s="1" t="str">
        <f>"0020"</f>
        <v>0020</v>
      </c>
      <c r="X2472" s="1" t="s">
        <v>29</v>
      </c>
    </row>
    <row r="2473" spans="1:24" x14ac:dyDescent="0.3">
      <c r="A2473" s="1" t="str">
        <f t="shared" si="462"/>
        <v>59822</v>
      </c>
      <c r="B2473" s="1" t="s">
        <v>39</v>
      </c>
      <c r="C2473" s="1" t="s">
        <v>40</v>
      </c>
      <c r="D2473" s="1" t="str">
        <f t="shared" si="464"/>
        <v>9805</v>
      </c>
      <c r="E2473" s="1" t="s">
        <v>57</v>
      </c>
      <c r="F2473" s="1" t="str">
        <f>"868535093"</f>
        <v>868535093</v>
      </c>
      <c r="G2473" s="1" t="s">
        <v>33</v>
      </c>
      <c r="H2473" s="1" t="str">
        <f t="shared" si="461"/>
        <v>20220911</v>
      </c>
      <c r="I2473" s="1" t="str">
        <f>"143715"</f>
        <v>143715</v>
      </c>
      <c r="J2473" s="1" t="s">
        <v>90</v>
      </c>
      <c r="K2473" s="1" t="s">
        <v>28</v>
      </c>
      <c r="L2473" s="1" t="str">
        <f t="shared" si="463"/>
        <v>20220911</v>
      </c>
      <c r="M2473" s="1" t="str">
        <f>"144756"</f>
        <v>144756</v>
      </c>
      <c r="N2473" s="1" t="s">
        <v>56</v>
      </c>
      <c r="O2473" s="1" t="s">
        <v>28</v>
      </c>
      <c r="P2473" s="1" t="s">
        <v>55</v>
      </c>
      <c r="Q2473" s="1">
        <v>25</v>
      </c>
      <c r="R2473" s="1">
        <v>25</v>
      </c>
      <c r="S2473" s="1">
        <v>0</v>
      </c>
      <c r="T2473" s="1">
        <v>0</v>
      </c>
      <c r="U2473" s="1">
        <v>0</v>
      </c>
      <c r="V2473" s="1" t="str">
        <f t="shared" si="465"/>
        <v>里程去程</v>
      </c>
      <c r="W2473" s="1" t="str">
        <f>"0e20"</f>
        <v>0e20</v>
      </c>
      <c r="X2473" s="1" t="s">
        <v>35</v>
      </c>
    </row>
    <row r="2474" spans="1:24" x14ac:dyDescent="0.3">
      <c r="A2474" s="1" t="str">
        <f t="shared" si="462"/>
        <v>59822</v>
      </c>
      <c r="B2474" s="1" t="s">
        <v>39</v>
      </c>
      <c r="C2474" s="1" t="s">
        <v>40</v>
      </c>
      <c r="D2474" s="1" t="str">
        <f t="shared" si="464"/>
        <v>9805</v>
      </c>
      <c r="E2474" s="1" t="s">
        <v>57</v>
      </c>
      <c r="F2474" s="1" t="str">
        <f>"1277002917"</f>
        <v>1277002917</v>
      </c>
      <c r="G2474" s="1" t="s">
        <v>33</v>
      </c>
      <c r="H2474" s="1" t="str">
        <f t="shared" si="461"/>
        <v>20220911</v>
      </c>
      <c r="I2474" s="1" t="str">
        <f>"143730"</f>
        <v>143730</v>
      </c>
      <c r="J2474" s="1" t="s">
        <v>90</v>
      </c>
      <c r="K2474" s="1" t="s">
        <v>28</v>
      </c>
      <c r="L2474" s="1" t="str">
        <f t="shared" si="463"/>
        <v>20220911</v>
      </c>
      <c r="M2474" s="1" t="str">
        <f>"144758"</f>
        <v>144758</v>
      </c>
      <c r="N2474" s="1" t="s">
        <v>56</v>
      </c>
      <c r="O2474" s="1" t="s">
        <v>28</v>
      </c>
      <c r="P2474" s="1" t="s">
        <v>55</v>
      </c>
      <c r="Q2474" s="1">
        <v>25</v>
      </c>
      <c r="R2474" s="1">
        <v>25</v>
      </c>
      <c r="S2474" s="1">
        <v>0</v>
      </c>
      <c r="T2474" s="1">
        <v>0</v>
      </c>
      <c r="U2474" s="1">
        <v>0</v>
      </c>
      <c r="V2474" s="1" t="str">
        <f t="shared" si="465"/>
        <v>里程去程</v>
      </c>
      <c r="W2474" s="1" t="str">
        <f>"0120"</f>
        <v>0120</v>
      </c>
      <c r="X2474" s="1" t="s">
        <v>35</v>
      </c>
    </row>
    <row r="2475" spans="1:24" x14ac:dyDescent="0.3">
      <c r="A2475" s="1" t="str">
        <f t="shared" si="462"/>
        <v>59822</v>
      </c>
      <c r="B2475" s="1" t="s">
        <v>39</v>
      </c>
      <c r="C2475" s="1" t="s">
        <v>40</v>
      </c>
      <c r="D2475" s="1" t="str">
        <f t="shared" si="464"/>
        <v>9805</v>
      </c>
      <c r="E2475" s="1" t="s">
        <v>57</v>
      </c>
      <c r="F2475" s="1" t="str">
        <f>"1819859284"</f>
        <v>1819859284</v>
      </c>
      <c r="G2475" s="1" t="s">
        <v>33</v>
      </c>
      <c r="H2475" s="1" t="str">
        <f t="shared" si="461"/>
        <v>20220911</v>
      </c>
      <c r="I2475" s="1" t="str">
        <f>"144414"</f>
        <v>144414</v>
      </c>
      <c r="J2475" s="1" t="s">
        <v>46</v>
      </c>
      <c r="K2475" s="1" t="s">
        <v>28</v>
      </c>
      <c r="L2475" s="1" t="str">
        <f t="shared" si="463"/>
        <v>20220911</v>
      </c>
      <c r="M2475" s="1" t="str">
        <f>"145012"</f>
        <v>145012</v>
      </c>
      <c r="N2475" s="1" t="s">
        <v>52</v>
      </c>
      <c r="O2475" s="1" t="s">
        <v>52</v>
      </c>
      <c r="P2475" s="1" t="s">
        <v>55</v>
      </c>
      <c r="Q2475" s="1">
        <v>25</v>
      </c>
      <c r="R2475" s="1">
        <v>25</v>
      </c>
      <c r="S2475" s="1">
        <v>0</v>
      </c>
      <c r="T2475" s="1">
        <v>0</v>
      </c>
      <c r="U2475" s="1">
        <v>0</v>
      </c>
      <c r="V2475" s="1" t="str">
        <f t="shared" si="465"/>
        <v>里程去程</v>
      </c>
      <c r="W2475" s="1" t="str">
        <f>"2020"</f>
        <v>2020</v>
      </c>
      <c r="X2475" s="1" t="s">
        <v>35</v>
      </c>
    </row>
    <row r="2476" spans="1:24" x14ac:dyDescent="0.3">
      <c r="A2476" s="1" t="str">
        <f t="shared" si="462"/>
        <v>59822</v>
      </c>
      <c r="B2476" s="1" t="s">
        <v>39</v>
      </c>
      <c r="C2476" s="1" t="s">
        <v>40</v>
      </c>
      <c r="D2476" s="1" t="str">
        <f t="shared" si="464"/>
        <v>9805</v>
      </c>
      <c r="E2476" s="1" t="s">
        <v>57</v>
      </c>
      <c r="F2476" s="1" t="str">
        <f>"7311211076003602"</f>
        <v>7311211076003602</v>
      </c>
      <c r="G2476" s="1" t="s">
        <v>33</v>
      </c>
      <c r="H2476" s="1" t="str">
        <f t="shared" si="461"/>
        <v>20220911</v>
      </c>
      <c r="I2476" s="1" t="str">
        <f>"145611"</f>
        <v>145611</v>
      </c>
      <c r="J2476" s="1" t="s">
        <v>62</v>
      </c>
      <c r="K2476" s="1" t="s">
        <v>28</v>
      </c>
      <c r="L2476" s="1" t="str">
        <f t="shared" si="463"/>
        <v>20220911</v>
      </c>
      <c r="M2476" s="1" t="str">
        <f>"150741"</f>
        <v>150741</v>
      </c>
      <c r="N2476" s="1" t="s">
        <v>28</v>
      </c>
      <c r="O2476" s="1" t="s">
        <v>28</v>
      </c>
      <c r="P2476" s="1" t="s">
        <v>55</v>
      </c>
      <c r="Q2476" s="1">
        <v>25</v>
      </c>
      <c r="R2476" s="1">
        <v>0</v>
      </c>
      <c r="S2476" s="1">
        <v>25</v>
      </c>
      <c r="T2476" s="1">
        <v>0</v>
      </c>
      <c r="U2476" s="1">
        <v>0</v>
      </c>
      <c r="V2476" s="1" t="str">
        <f>"里程返程"</f>
        <v>里程返程</v>
      </c>
      <c r="W2476" s="1" t="str">
        <f>"3A3B"</f>
        <v>3A3B</v>
      </c>
      <c r="X2476" s="1" t="s">
        <v>109</v>
      </c>
    </row>
    <row r="2477" spans="1:24" x14ac:dyDescent="0.3">
      <c r="A2477" s="1" t="str">
        <f t="shared" si="462"/>
        <v>59822</v>
      </c>
      <c r="B2477" s="1" t="s">
        <v>39</v>
      </c>
      <c r="C2477" s="1" t="s">
        <v>40</v>
      </c>
      <c r="D2477" s="1" t="str">
        <f>"9803"</f>
        <v>9803</v>
      </c>
      <c r="E2477" s="1" t="s">
        <v>32</v>
      </c>
      <c r="F2477" s="1" t="str">
        <f>"1783806229"</f>
        <v>1783806229</v>
      </c>
      <c r="G2477" s="1" t="s">
        <v>33</v>
      </c>
      <c r="H2477" s="1" t="str">
        <f t="shared" si="461"/>
        <v>20220911</v>
      </c>
      <c r="I2477" s="1" t="str">
        <f>"152906"</f>
        <v>152906</v>
      </c>
      <c r="J2477" s="1" t="s">
        <v>34</v>
      </c>
      <c r="K2477" s="1" t="s">
        <v>34</v>
      </c>
      <c r="L2477" s="1" t="str">
        <f t="shared" si="463"/>
        <v>20220911</v>
      </c>
      <c r="M2477" s="1" t="str">
        <f>"160842"</f>
        <v>160842</v>
      </c>
      <c r="N2477" s="1" t="s">
        <v>28</v>
      </c>
      <c r="O2477" s="1" t="s">
        <v>28</v>
      </c>
      <c r="P2477" s="1" t="s">
        <v>55</v>
      </c>
      <c r="Q2477" s="1">
        <v>25</v>
      </c>
      <c r="R2477" s="1">
        <v>25</v>
      </c>
      <c r="S2477" s="1">
        <v>0</v>
      </c>
      <c r="T2477" s="1">
        <v>0</v>
      </c>
      <c r="U2477" s="1">
        <v>0</v>
      </c>
      <c r="V2477" s="1" t="str">
        <f>"里程返程"</f>
        <v>里程返程</v>
      </c>
      <c r="W2477" s="1" t="str">
        <f>"2020"</f>
        <v>2020</v>
      </c>
      <c r="X2477" s="1" t="s">
        <v>35</v>
      </c>
    </row>
    <row r="2478" spans="1:24" x14ac:dyDescent="0.3">
      <c r="A2478" s="1" t="str">
        <f t="shared" si="462"/>
        <v>59822</v>
      </c>
      <c r="B2478" s="1" t="s">
        <v>39</v>
      </c>
      <c r="C2478" s="1" t="s">
        <v>40</v>
      </c>
      <c r="D2478" s="1" t="str">
        <f>"9803"</f>
        <v>9803</v>
      </c>
      <c r="E2478" s="1" t="s">
        <v>32</v>
      </c>
      <c r="F2478" s="1" t="str">
        <f>"585413487"</f>
        <v>585413487</v>
      </c>
      <c r="G2478" s="1" t="s">
        <v>33</v>
      </c>
      <c r="H2478" s="1" t="str">
        <f t="shared" si="461"/>
        <v>20220911</v>
      </c>
      <c r="I2478" s="1" t="str">
        <f>"152910"</f>
        <v>152910</v>
      </c>
      <c r="J2478" s="1" t="s">
        <v>34</v>
      </c>
      <c r="K2478" s="1" t="s">
        <v>34</v>
      </c>
      <c r="L2478" s="1" t="str">
        <f t="shared" si="463"/>
        <v>20220911</v>
      </c>
      <c r="M2478" s="1" t="str">
        <f>"160839"</f>
        <v>160839</v>
      </c>
      <c r="N2478" s="1" t="s">
        <v>28</v>
      </c>
      <c r="O2478" s="1" t="s">
        <v>28</v>
      </c>
      <c r="P2478" s="1" t="s">
        <v>55</v>
      </c>
      <c r="Q2478" s="1">
        <v>25</v>
      </c>
      <c r="R2478" s="1">
        <v>25</v>
      </c>
      <c r="S2478" s="1">
        <v>0</v>
      </c>
      <c r="T2478" s="1">
        <v>0</v>
      </c>
      <c r="U2478" s="1">
        <v>0</v>
      </c>
      <c r="V2478" s="1" t="str">
        <f>"里程返程"</f>
        <v>里程返程</v>
      </c>
      <c r="W2478" s="1" t="str">
        <f>"2020"</f>
        <v>2020</v>
      </c>
      <c r="X2478" s="1" t="s">
        <v>35</v>
      </c>
    </row>
    <row r="2479" spans="1:24" x14ac:dyDescent="0.3">
      <c r="A2479" s="1" t="str">
        <f t="shared" ref="A2479:A2501" si="466">"59822"</f>
        <v>59822</v>
      </c>
      <c r="B2479" s="1" t="s">
        <v>39</v>
      </c>
      <c r="C2479" s="1" t="s">
        <v>40</v>
      </c>
      <c r="D2479" s="1" t="str">
        <f>"9806"</f>
        <v>9806</v>
      </c>
      <c r="E2479" s="1" t="s">
        <v>49</v>
      </c>
      <c r="F2479" s="1" t="str">
        <f>"B2412A13CA28040080CED9985D913018"</f>
        <v>B2412A13CA28040080CED9985D913018</v>
      </c>
      <c r="G2479" s="1" t="s">
        <v>58</v>
      </c>
      <c r="H2479" s="1" t="str">
        <f t="shared" si="461"/>
        <v>20220911</v>
      </c>
      <c r="I2479" s="1" t="str">
        <f>"160922"</f>
        <v>160922</v>
      </c>
      <c r="J2479" s="1" t="s">
        <v>50</v>
      </c>
      <c r="K2479" s="1" t="s">
        <v>50</v>
      </c>
      <c r="L2479" s="1" t="str">
        <f t="shared" ref="L2479:L2510" si="467">"20220911"</f>
        <v>20220911</v>
      </c>
      <c r="M2479" s="1" t="str">
        <f>"162312"</f>
        <v>162312</v>
      </c>
      <c r="N2479" s="1" t="s">
        <v>112</v>
      </c>
      <c r="O2479" s="1" t="s">
        <v>28</v>
      </c>
      <c r="P2479" s="1" t="s">
        <v>55</v>
      </c>
      <c r="Q2479" s="1">
        <v>25</v>
      </c>
      <c r="R2479" s="1">
        <v>25</v>
      </c>
      <c r="S2479" s="1">
        <v>0</v>
      </c>
      <c r="T2479" s="1">
        <v>0</v>
      </c>
      <c r="U2479" s="1">
        <v>0</v>
      </c>
      <c r="V2479" s="1" t="str">
        <f>"里程去程"</f>
        <v>里程去程</v>
      </c>
      <c r="W2479" s="1" t="str">
        <f>"0020"</f>
        <v>0020</v>
      </c>
      <c r="X2479" s="1" t="s">
        <v>29</v>
      </c>
    </row>
    <row r="2480" spans="1:24" x14ac:dyDescent="0.3">
      <c r="A2480" s="1" t="str">
        <f t="shared" si="466"/>
        <v>59822</v>
      </c>
      <c r="B2480" s="1" t="s">
        <v>39</v>
      </c>
      <c r="C2480" s="1" t="s">
        <v>40</v>
      </c>
      <c r="D2480" s="1" t="str">
        <f>"9805"</f>
        <v>9805</v>
      </c>
      <c r="E2480" s="1" t="s">
        <v>57</v>
      </c>
      <c r="F2480" s="1" t="str">
        <f>"259091601"</f>
        <v>259091601</v>
      </c>
      <c r="G2480" s="1" t="s">
        <v>33</v>
      </c>
      <c r="H2480" s="1" t="str">
        <f t="shared" si="461"/>
        <v>20220911</v>
      </c>
      <c r="I2480" s="1" t="str">
        <f>"170031"</f>
        <v>170031</v>
      </c>
      <c r="J2480" s="1" t="s">
        <v>46</v>
      </c>
      <c r="K2480" s="1" t="s">
        <v>28</v>
      </c>
      <c r="L2480" s="1" t="str">
        <f t="shared" si="467"/>
        <v>20220911</v>
      </c>
      <c r="M2480" s="1" t="str">
        <f>"170411"</f>
        <v>170411</v>
      </c>
      <c r="N2480" s="1" t="s">
        <v>62</v>
      </c>
      <c r="O2480" s="1" t="s">
        <v>28</v>
      </c>
      <c r="P2480" s="1" t="s">
        <v>55</v>
      </c>
      <c r="Q2480" s="1">
        <v>25</v>
      </c>
      <c r="R2480" s="1">
        <v>0</v>
      </c>
      <c r="S2480" s="1">
        <v>25</v>
      </c>
      <c r="T2480" s="1">
        <v>0</v>
      </c>
      <c r="U2480" s="1">
        <v>0</v>
      </c>
      <c r="V2480" s="1" t="str">
        <f>"里程去程"</f>
        <v>里程去程</v>
      </c>
      <c r="W2480" s="1" t="str">
        <f>"2020"</f>
        <v>2020</v>
      </c>
      <c r="X2480" s="1" t="s">
        <v>35</v>
      </c>
    </row>
    <row r="2481" spans="1:24" x14ac:dyDescent="0.3">
      <c r="A2481" s="1" t="str">
        <f t="shared" si="466"/>
        <v>59822</v>
      </c>
      <c r="B2481" s="1" t="s">
        <v>39</v>
      </c>
      <c r="C2481" s="1" t="s">
        <v>40</v>
      </c>
      <c r="D2481" s="1" t="str">
        <f>"9805"</f>
        <v>9805</v>
      </c>
      <c r="E2481" s="1" t="s">
        <v>57</v>
      </c>
      <c r="F2481" s="1" t="str">
        <f>"92E18116E4880400C814002000000019"</f>
        <v>92E18116E4880400C814002000000019</v>
      </c>
      <c r="G2481" s="1" t="s">
        <v>64</v>
      </c>
      <c r="H2481" s="1" t="str">
        <f t="shared" si="461"/>
        <v>20220911</v>
      </c>
      <c r="I2481" s="1" t="str">
        <f>"170033"</f>
        <v>170033</v>
      </c>
      <c r="J2481" s="1" t="s">
        <v>46</v>
      </c>
      <c r="K2481" s="1" t="s">
        <v>28</v>
      </c>
      <c r="L2481" s="1" t="str">
        <f t="shared" si="467"/>
        <v>20220911</v>
      </c>
      <c r="M2481" s="1" t="str">
        <f>"170406"</f>
        <v>170406</v>
      </c>
      <c r="N2481" s="1" t="s">
        <v>62</v>
      </c>
      <c r="O2481" s="1" t="s">
        <v>28</v>
      </c>
      <c r="P2481" s="1" t="s">
        <v>55</v>
      </c>
      <c r="Q2481" s="1">
        <v>13</v>
      </c>
      <c r="R2481" s="1">
        <v>13</v>
      </c>
      <c r="S2481" s="1">
        <v>0</v>
      </c>
      <c r="T2481" s="1">
        <v>0</v>
      </c>
      <c r="U2481" s="1">
        <v>0</v>
      </c>
      <c r="V2481" s="1" t="str">
        <f>"里程去程"</f>
        <v>里程去程</v>
      </c>
      <c r="W2481" s="1" t="str">
        <f>"0020"</f>
        <v>0020</v>
      </c>
      <c r="X2481" s="1" t="s">
        <v>29</v>
      </c>
    </row>
    <row r="2482" spans="1:24" x14ac:dyDescent="0.3">
      <c r="A2482" s="1" t="str">
        <f t="shared" si="466"/>
        <v>59822</v>
      </c>
      <c r="B2482" s="1" t="s">
        <v>39</v>
      </c>
      <c r="C2482" s="1" t="s">
        <v>40</v>
      </c>
      <c r="D2482" s="1" t="str">
        <f>"9805"</f>
        <v>9805</v>
      </c>
      <c r="E2482" s="1" t="s">
        <v>57</v>
      </c>
      <c r="F2482" s="1" t="str">
        <f>"1626022917"</f>
        <v>1626022917</v>
      </c>
      <c r="G2482" s="1" t="s">
        <v>26</v>
      </c>
      <c r="H2482" s="1" t="str">
        <f t="shared" si="461"/>
        <v>20220911</v>
      </c>
      <c r="I2482" s="1" t="str">
        <f>"170035"</f>
        <v>170035</v>
      </c>
      <c r="J2482" s="1" t="s">
        <v>46</v>
      </c>
      <c r="K2482" s="1" t="s">
        <v>28</v>
      </c>
      <c r="L2482" s="1" t="str">
        <f t="shared" si="467"/>
        <v>20220911</v>
      </c>
      <c r="M2482" s="1" t="str">
        <f>"170408"</f>
        <v>170408</v>
      </c>
      <c r="N2482" s="1" t="s">
        <v>62</v>
      </c>
      <c r="O2482" s="1" t="s">
        <v>28</v>
      </c>
      <c r="P2482" s="1" t="s">
        <v>55</v>
      </c>
      <c r="Q2482" s="1">
        <v>13</v>
      </c>
      <c r="R2482" s="1">
        <v>13</v>
      </c>
      <c r="S2482" s="1">
        <v>0</v>
      </c>
      <c r="T2482" s="1">
        <v>0</v>
      </c>
      <c r="U2482" s="1">
        <v>0</v>
      </c>
      <c r="V2482" s="1" t="str">
        <f>"里程去程"</f>
        <v>里程去程</v>
      </c>
      <c r="W2482" s="1" t="str">
        <f>"2020"</f>
        <v>2020</v>
      </c>
      <c r="X2482" s="1" t="s">
        <v>35</v>
      </c>
    </row>
    <row r="2483" spans="1:24" x14ac:dyDescent="0.3">
      <c r="A2483" s="1" t="str">
        <f t="shared" si="466"/>
        <v>59822</v>
      </c>
      <c r="B2483" s="1" t="s">
        <v>39</v>
      </c>
      <c r="C2483" s="1" t="s">
        <v>40</v>
      </c>
      <c r="D2483" s="1" t="str">
        <f t="shared" ref="D2483:D2500" si="468">"9801"</f>
        <v>9801</v>
      </c>
      <c r="E2483" s="1" t="s">
        <v>25</v>
      </c>
      <c r="F2483" s="1" t="str">
        <f>"1016806245"</f>
        <v>1016806245</v>
      </c>
      <c r="G2483" s="1" t="s">
        <v>33</v>
      </c>
      <c r="H2483" s="1" t="str">
        <f t="shared" si="461"/>
        <v>20220911</v>
      </c>
      <c r="I2483" s="1" t="str">
        <f>"185846"</f>
        <v>185846</v>
      </c>
      <c r="J2483" s="1" t="s">
        <v>44</v>
      </c>
      <c r="K2483" s="1" t="s">
        <v>45</v>
      </c>
      <c r="L2483" s="1" t="str">
        <f t="shared" si="467"/>
        <v>20220911</v>
      </c>
      <c r="M2483" s="1" t="str">
        <f>"192247"</f>
        <v>192247</v>
      </c>
      <c r="N2483" s="1" t="s">
        <v>28</v>
      </c>
      <c r="O2483" s="1" t="s">
        <v>28</v>
      </c>
      <c r="P2483" s="1" t="s">
        <v>55</v>
      </c>
      <c r="Q2483" s="1">
        <v>25</v>
      </c>
      <c r="R2483" s="1">
        <v>25</v>
      </c>
      <c r="S2483" s="1">
        <v>0</v>
      </c>
      <c r="T2483" s="1">
        <v>0</v>
      </c>
      <c r="U2483" s="1">
        <v>0</v>
      </c>
      <c r="V2483" s="1" t="str">
        <f t="shared" ref="V2483:V2501" si="469">"里程返程"</f>
        <v>里程返程</v>
      </c>
      <c r="W2483" s="1" t="str">
        <f>"2020"</f>
        <v>2020</v>
      </c>
      <c r="X2483" s="1" t="s">
        <v>35</v>
      </c>
    </row>
    <row r="2484" spans="1:24" x14ac:dyDescent="0.3">
      <c r="A2484" s="1" t="str">
        <f t="shared" si="466"/>
        <v>59822</v>
      </c>
      <c r="B2484" s="1" t="s">
        <v>39</v>
      </c>
      <c r="C2484" s="1" t="s">
        <v>40</v>
      </c>
      <c r="D2484" s="1" t="str">
        <f t="shared" si="468"/>
        <v>9801</v>
      </c>
      <c r="E2484" s="1" t="s">
        <v>25</v>
      </c>
      <c r="F2484" s="1" t="str">
        <f>"765433605"</f>
        <v>765433605</v>
      </c>
      <c r="G2484" s="1" t="s">
        <v>33</v>
      </c>
      <c r="H2484" s="1" t="str">
        <f t="shared" si="461"/>
        <v>20220911</v>
      </c>
      <c r="I2484" s="1" t="str">
        <f>"185852"</f>
        <v>185852</v>
      </c>
      <c r="J2484" s="1" t="s">
        <v>44</v>
      </c>
      <c r="K2484" s="1" t="s">
        <v>45</v>
      </c>
      <c r="L2484" s="1" t="str">
        <f t="shared" si="467"/>
        <v>20220911</v>
      </c>
      <c r="M2484" s="1" t="str">
        <f>"192258"</f>
        <v>192258</v>
      </c>
      <c r="N2484" s="1" t="s">
        <v>28</v>
      </c>
      <c r="O2484" s="1" t="s">
        <v>28</v>
      </c>
      <c r="P2484" s="1" t="s">
        <v>55</v>
      </c>
      <c r="Q2484" s="1">
        <v>25</v>
      </c>
      <c r="R2484" s="1">
        <v>25</v>
      </c>
      <c r="S2484" s="1">
        <v>0</v>
      </c>
      <c r="T2484" s="1">
        <v>0</v>
      </c>
      <c r="U2484" s="1">
        <v>0</v>
      </c>
      <c r="V2484" s="1" t="str">
        <f t="shared" si="469"/>
        <v>里程返程</v>
      </c>
      <c r="W2484" s="1" t="str">
        <f>"2020"</f>
        <v>2020</v>
      </c>
      <c r="X2484" s="1" t="s">
        <v>35</v>
      </c>
    </row>
    <row r="2485" spans="1:24" x14ac:dyDescent="0.3">
      <c r="A2485" s="1" t="str">
        <f t="shared" si="466"/>
        <v>59822</v>
      </c>
      <c r="B2485" s="1" t="s">
        <v>39</v>
      </c>
      <c r="C2485" s="1" t="s">
        <v>40</v>
      </c>
      <c r="D2485" s="1" t="str">
        <f t="shared" si="468"/>
        <v>9801</v>
      </c>
      <c r="E2485" s="1" t="s">
        <v>25</v>
      </c>
      <c r="F2485" s="1" t="str">
        <f>"1197905793"</f>
        <v>1197905793</v>
      </c>
      <c r="G2485" s="1" t="s">
        <v>33</v>
      </c>
      <c r="H2485" s="1" t="str">
        <f t="shared" si="461"/>
        <v>20220911</v>
      </c>
      <c r="I2485" s="1" t="str">
        <f>"185855"</f>
        <v>185855</v>
      </c>
      <c r="J2485" s="1" t="s">
        <v>44</v>
      </c>
      <c r="K2485" s="1" t="s">
        <v>45</v>
      </c>
      <c r="L2485" s="1" t="str">
        <f t="shared" si="467"/>
        <v>20220911</v>
      </c>
      <c r="M2485" s="1" t="str">
        <f>"192255"</f>
        <v>192255</v>
      </c>
      <c r="N2485" s="1" t="s">
        <v>28</v>
      </c>
      <c r="O2485" s="1" t="s">
        <v>28</v>
      </c>
      <c r="P2485" s="1" t="s">
        <v>55</v>
      </c>
      <c r="Q2485" s="1">
        <v>25</v>
      </c>
      <c r="R2485" s="1">
        <v>25</v>
      </c>
      <c r="S2485" s="1">
        <v>0</v>
      </c>
      <c r="T2485" s="1">
        <v>0</v>
      </c>
      <c r="U2485" s="1">
        <v>0</v>
      </c>
      <c r="V2485" s="1" t="str">
        <f t="shared" si="469"/>
        <v>里程返程</v>
      </c>
      <c r="W2485" s="1" t="str">
        <f>"2020"</f>
        <v>2020</v>
      </c>
      <c r="X2485" s="1" t="s">
        <v>35</v>
      </c>
    </row>
    <row r="2486" spans="1:24" x14ac:dyDescent="0.3">
      <c r="A2486" s="1" t="str">
        <f t="shared" si="466"/>
        <v>59822</v>
      </c>
      <c r="B2486" s="1" t="s">
        <v>39</v>
      </c>
      <c r="C2486" s="1" t="s">
        <v>40</v>
      </c>
      <c r="D2486" s="1" t="str">
        <f t="shared" si="468"/>
        <v>9801</v>
      </c>
      <c r="E2486" s="1" t="s">
        <v>25</v>
      </c>
      <c r="F2486" s="1" t="str">
        <f>"1082355781"</f>
        <v>1082355781</v>
      </c>
      <c r="G2486" s="1" t="s">
        <v>33</v>
      </c>
      <c r="H2486" s="1" t="str">
        <f t="shared" si="461"/>
        <v>20220911</v>
      </c>
      <c r="I2486" s="1" t="str">
        <f>"191109"</f>
        <v>191109</v>
      </c>
      <c r="J2486" s="1" t="s">
        <v>56</v>
      </c>
      <c r="K2486" s="1" t="s">
        <v>45</v>
      </c>
      <c r="L2486" s="1" t="str">
        <f t="shared" si="467"/>
        <v>20220911</v>
      </c>
      <c r="M2486" s="1" t="str">
        <f>"192115"</f>
        <v>192115</v>
      </c>
      <c r="N2486" s="1" t="s">
        <v>95</v>
      </c>
      <c r="O2486" s="1" t="s">
        <v>28</v>
      </c>
      <c r="P2486" s="1" t="s">
        <v>55</v>
      </c>
      <c r="Q2486" s="1">
        <v>25</v>
      </c>
      <c r="R2486" s="1">
        <v>0</v>
      </c>
      <c r="S2486" s="1">
        <v>25</v>
      </c>
      <c r="T2486" s="1">
        <v>0</v>
      </c>
      <c r="U2486" s="1">
        <v>0</v>
      </c>
      <c r="V2486" s="1" t="str">
        <f t="shared" si="469"/>
        <v>里程返程</v>
      </c>
      <c r="W2486" s="1" t="str">
        <f>"2120"</f>
        <v>2120</v>
      </c>
      <c r="X2486" s="1" t="s">
        <v>35</v>
      </c>
    </row>
    <row r="2487" spans="1:24" x14ac:dyDescent="0.3">
      <c r="A2487" s="1" t="str">
        <f t="shared" si="466"/>
        <v>59822</v>
      </c>
      <c r="B2487" s="1" t="s">
        <v>39</v>
      </c>
      <c r="C2487" s="1" t="s">
        <v>40</v>
      </c>
      <c r="D2487" s="1" t="str">
        <f t="shared" si="468"/>
        <v>9801</v>
      </c>
      <c r="E2487" s="1" t="s">
        <v>25</v>
      </c>
      <c r="F2487" s="1" t="str">
        <f>"1082324373"</f>
        <v>1082324373</v>
      </c>
      <c r="G2487" s="1" t="s">
        <v>33</v>
      </c>
      <c r="H2487" s="1" t="str">
        <f t="shared" si="461"/>
        <v>20220911</v>
      </c>
      <c r="I2487" s="1" t="str">
        <f>"191115"</f>
        <v>191115</v>
      </c>
      <c r="J2487" s="1" t="s">
        <v>56</v>
      </c>
      <c r="K2487" s="1" t="s">
        <v>45</v>
      </c>
      <c r="L2487" s="1" t="str">
        <f t="shared" si="467"/>
        <v>20220911</v>
      </c>
      <c r="M2487" s="1" t="str">
        <f>"192107"</f>
        <v>192107</v>
      </c>
      <c r="N2487" s="1" t="s">
        <v>95</v>
      </c>
      <c r="O2487" s="1" t="s">
        <v>28</v>
      </c>
      <c r="P2487" s="1" t="s">
        <v>55</v>
      </c>
      <c r="Q2487" s="1">
        <v>25</v>
      </c>
      <c r="R2487" s="1">
        <v>0</v>
      </c>
      <c r="S2487" s="1">
        <v>25</v>
      </c>
      <c r="T2487" s="1">
        <v>0</v>
      </c>
      <c r="U2487" s="1">
        <v>0</v>
      </c>
      <c r="V2487" s="1" t="str">
        <f t="shared" si="469"/>
        <v>里程返程</v>
      </c>
      <c r="W2487" s="1" t="str">
        <f>"2120"</f>
        <v>2120</v>
      </c>
      <c r="X2487" s="1" t="s">
        <v>35</v>
      </c>
    </row>
    <row r="2488" spans="1:24" x14ac:dyDescent="0.3">
      <c r="A2488" s="1" t="str">
        <f t="shared" si="466"/>
        <v>59822</v>
      </c>
      <c r="B2488" s="1" t="s">
        <v>39</v>
      </c>
      <c r="C2488" s="1" t="s">
        <v>40</v>
      </c>
      <c r="D2488" s="1" t="str">
        <f t="shared" si="468"/>
        <v>9801</v>
      </c>
      <c r="E2488" s="1" t="s">
        <v>25</v>
      </c>
      <c r="F2488" s="1" t="str">
        <f>"933060901"</f>
        <v>933060901</v>
      </c>
      <c r="G2488" s="1" t="s">
        <v>33</v>
      </c>
      <c r="H2488" s="1" t="str">
        <f t="shared" si="461"/>
        <v>20220911</v>
      </c>
      <c r="I2488" s="1" t="str">
        <f>"191123"</f>
        <v>191123</v>
      </c>
      <c r="J2488" s="1" t="s">
        <v>56</v>
      </c>
      <c r="K2488" s="1" t="s">
        <v>45</v>
      </c>
      <c r="L2488" s="1" t="str">
        <f t="shared" si="467"/>
        <v>20220911</v>
      </c>
      <c r="M2488" s="1" t="str">
        <f>"192100"</f>
        <v>192100</v>
      </c>
      <c r="N2488" s="1" t="s">
        <v>95</v>
      </c>
      <c r="O2488" s="1" t="s">
        <v>28</v>
      </c>
      <c r="P2488" s="1" t="s">
        <v>55</v>
      </c>
      <c r="Q2488" s="1">
        <v>25</v>
      </c>
      <c r="R2488" s="1">
        <v>0</v>
      </c>
      <c r="S2488" s="1">
        <v>25</v>
      </c>
      <c r="T2488" s="1">
        <v>0</v>
      </c>
      <c r="U2488" s="1">
        <v>0</v>
      </c>
      <c r="V2488" s="1" t="str">
        <f t="shared" si="469"/>
        <v>里程返程</v>
      </c>
      <c r="W2488" s="1" t="str">
        <f>"2120"</f>
        <v>2120</v>
      </c>
      <c r="X2488" s="1" t="s">
        <v>35</v>
      </c>
    </row>
    <row r="2489" spans="1:24" x14ac:dyDescent="0.3">
      <c r="A2489" s="1" t="str">
        <f t="shared" si="466"/>
        <v>59822</v>
      </c>
      <c r="B2489" s="1" t="s">
        <v>39</v>
      </c>
      <c r="C2489" s="1" t="s">
        <v>40</v>
      </c>
      <c r="D2489" s="1" t="str">
        <f t="shared" si="468"/>
        <v>9801</v>
      </c>
      <c r="E2489" s="1" t="s">
        <v>25</v>
      </c>
      <c r="F2489" s="1" t="str">
        <f>"1139503861"</f>
        <v>1139503861</v>
      </c>
      <c r="G2489" s="1" t="s">
        <v>33</v>
      </c>
      <c r="H2489" s="1" t="str">
        <f t="shared" si="461"/>
        <v>20220911</v>
      </c>
      <c r="I2489" s="1" t="str">
        <f>"191125"</f>
        <v>191125</v>
      </c>
      <c r="J2489" s="1" t="s">
        <v>56</v>
      </c>
      <c r="K2489" s="1" t="s">
        <v>45</v>
      </c>
      <c r="L2489" s="1" t="str">
        <f t="shared" si="467"/>
        <v>20220911</v>
      </c>
      <c r="M2489" s="1" t="str">
        <f>"192112"</f>
        <v>192112</v>
      </c>
      <c r="N2489" s="1" t="s">
        <v>95</v>
      </c>
      <c r="O2489" s="1" t="s">
        <v>28</v>
      </c>
      <c r="P2489" s="1" t="s">
        <v>55</v>
      </c>
      <c r="Q2489" s="1">
        <v>25</v>
      </c>
      <c r="R2489" s="1">
        <v>0</v>
      </c>
      <c r="S2489" s="1">
        <v>25</v>
      </c>
      <c r="T2489" s="1">
        <v>0</v>
      </c>
      <c r="U2489" s="1">
        <v>0</v>
      </c>
      <c r="V2489" s="1" t="str">
        <f t="shared" si="469"/>
        <v>里程返程</v>
      </c>
      <c r="W2489" s="1" t="str">
        <f>"2120"</f>
        <v>2120</v>
      </c>
      <c r="X2489" s="1" t="s">
        <v>35</v>
      </c>
    </row>
    <row r="2490" spans="1:24" x14ac:dyDescent="0.3">
      <c r="A2490" s="1" t="str">
        <f t="shared" si="466"/>
        <v>59822</v>
      </c>
      <c r="B2490" s="1" t="s">
        <v>39</v>
      </c>
      <c r="C2490" s="1" t="s">
        <v>40</v>
      </c>
      <c r="D2490" s="1" t="str">
        <f t="shared" si="468"/>
        <v>9801</v>
      </c>
      <c r="E2490" s="1" t="s">
        <v>25</v>
      </c>
      <c r="F2490" s="1" t="str">
        <f>"1616954485"</f>
        <v>1616954485</v>
      </c>
      <c r="G2490" s="1" t="s">
        <v>33</v>
      </c>
      <c r="H2490" s="1" t="str">
        <f t="shared" si="461"/>
        <v>20220911</v>
      </c>
      <c r="I2490" s="1" t="str">
        <f>"191136"</f>
        <v>191136</v>
      </c>
      <c r="J2490" s="1" t="s">
        <v>56</v>
      </c>
      <c r="K2490" s="1" t="s">
        <v>45</v>
      </c>
      <c r="L2490" s="1" t="str">
        <f t="shared" si="467"/>
        <v>20220911</v>
      </c>
      <c r="M2490" s="1" t="str">
        <f>"192239"</f>
        <v>192239</v>
      </c>
      <c r="N2490" s="1" t="s">
        <v>28</v>
      </c>
      <c r="O2490" s="1" t="s">
        <v>28</v>
      </c>
      <c r="P2490" s="1" t="s">
        <v>55</v>
      </c>
      <c r="Q2490" s="1">
        <v>25</v>
      </c>
      <c r="R2490" s="1">
        <v>25</v>
      </c>
      <c r="S2490" s="1">
        <v>0</v>
      </c>
      <c r="T2490" s="1">
        <v>0</v>
      </c>
      <c r="U2490" s="1">
        <v>0</v>
      </c>
      <c r="V2490" s="1" t="str">
        <f t="shared" si="469"/>
        <v>里程返程</v>
      </c>
      <c r="W2490" s="1" t="str">
        <f>"0120"</f>
        <v>0120</v>
      </c>
      <c r="X2490" s="1" t="s">
        <v>35</v>
      </c>
    </row>
    <row r="2491" spans="1:24" x14ac:dyDescent="0.3">
      <c r="A2491" s="1" t="str">
        <f t="shared" si="466"/>
        <v>59822</v>
      </c>
      <c r="B2491" s="1" t="s">
        <v>39</v>
      </c>
      <c r="C2491" s="1" t="s">
        <v>40</v>
      </c>
      <c r="D2491" s="1" t="str">
        <f t="shared" si="468"/>
        <v>9801</v>
      </c>
      <c r="E2491" s="1" t="s">
        <v>25</v>
      </c>
      <c r="F2491" s="1" t="str">
        <f>"1900534448"</f>
        <v>1900534448</v>
      </c>
      <c r="G2491" s="1" t="s">
        <v>33</v>
      </c>
      <c r="H2491" s="1" t="str">
        <f t="shared" si="461"/>
        <v>20220911</v>
      </c>
      <c r="I2491" s="1" t="str">
        <f>"192315"</f>
        <v>192315</v>
      </c>
      <c r="J2491" s="1" t="s">
        <v>28</v>
      </c>
      <c r="K2491" s="1" t="s">
        <v>28</v>
      </c>
      <c r="L2491" s="1" t="str">
        <f t="shared" si="467"/>
        <v>20220911</v>
      </c>
      <c r="M2491" s="1" t="str">
        <f>"194107"</f>
        <v>194107</v>
      </c>
      <c r="N2491" s="1" t="s">
        <v>77</v>
      </c>
      <c r="O2491" s="1" t="s">
        <v>52</v>
      </c>
      <c r="P2491" s="1" t="s">
        <v>55</v>
      </c>
      <c r="Q2491" s="1">
        <v>25</v>
      </c>
      <c r="R2491" s="1">
        <v>25</v>
      </c>
      <c r="S2491" s="1">
        <v>0</v>
      </c>
      <c r="T2491" s="1">
        <v>0</v>
      </c>
      <c r="U2491" s="1">
        <v>0</v>
      </c>
      <c r="V2491" s="1" t="str">
        <f t="shared" si="469"/>
        <v>里程返程</v>
      </c>
      <c r="W2491" s="1" t="str">
        <f>"2020"</f>
        <v>2020</v>
      </c>
      <c r="X2491" s="1" t="s">
        <v>35</v>
      </c>
    </row>
    <row r="2492" spans="1:24" x14ac:dyDescent="0.3">
      <c r="A2492" s="1" t="str">
        <f t="shared" si="466"/>
        <v>59822</v>
      </c>
      <c r="B2492" s="1" t="s">
        <v>39</v>
      </c>
      <c r="C2492" s="1" t="s">
        <v>40</v>
      </c>
      <c r="D2492" s="1" t="str">
        <f t="shared" si="468"/>
        <v>9801</v>
      </c>
      <c r="E2492" s="1" t="s">
        <v>25</v>
      </c>
      <c r="F2492" s="1" t="str">
        <f>"540148081"</f>
        <v>540148081</v>
      </c>
      <c r="G2492" s="1" t="s">
        <v>74</v>
      </c>
      <c r="H2492" s="1" t="str">
        <f t="shared" si="461"/>
        <v>20220911</v>
      </c>
      <c r="I2492" s="1" t="str">
        <f>"192319"</f>
        <v>192319</v>
      </c>
      <c r="J2492" s="1" t="s">
        <v>28</v>
      </c>
      <c r="K2492" s="1" t="s">
        <v>28</v>
      </c>
      <c r="L2492" s="1" t="str">
        <f t="shared" si="467"/>
        <v>20220911</v>
      </c>
      <c r="M2492" s="1" t="str">
        <f>"194309"</f>
        <v>194309</v>
      </c>
      <c r="N2492" s="1" t="s">
        <v>97</v>
      </c>
      <c r="O2492" s="1" t="s">
        <v>52</v>
      </c>
      <c r="P2492" s="1" t="s">
        <v>55</v>
      </c>
      <c r="Q2492" s="1">
        <v>13</v>
      </c>
      <c r="R2492" s="1">
        <v>0</v>
      </c>
      <c r="S2492" s="1">
        <v>13</v>
      </c>
      <c r="T2492" s="1">
        <v>0</v>
      </c>
      <c r="U2492" s="1">
        <v>0</v>
      </c>
      <c r="V2492" s="1" t="str">
        <f t="shared" si="469"/>
        <v>里程返程</v>
      </c>
      <c r="W2492" s="1" t="str">
        <f>"0820"</f>
        <v>0820</v>
      </c>
      <c r="X2492" s="1" t="s">
        <v>35</v>
      </c>
    </row>
    <row r="2493" spans="1:24" x14ac:dyDescent="0.3">
      <c r="A2493" s="1" t="str">
        <f t="shared" si="466"/>
        <v>59822</v>
      </c>
      <c r="B2493" s="1" t="s">
        <v>39</v>
      </c>
      <c r="C2493" s="1" t="s">
        <v>40</v>
      </c>
      <c r="D2493" s="1" t="str">
        <f t="shared" si="468"/>
        <v>9801</v>
      </c>
      <c r="E2493" s="1" t="s">
        <v>25</v>
      </c>
      <c r="F2493" s="1" t="str">
        <f>"429239009"</f>
        <v>429239009</v>
      </c>
      <c r="G2493" s="1" t="s">
        <v>33</v>
      </c>
      <c r="H2493" s="1" t="str">
        <f t="shared" si="461"/>
        <v>20220911</v>
      </c>
      <c r="I2493" s="1" t="str">
        <f>"192324"</f>
        <v>192324</v>
      </c>
      <c r="J2493" s="1" t="s">
        <v>28</v>
      </c>
      <c r="K2493" s="1" t="s">
        <v>28</v>
      </c>
      <c r="L2493" s="1" t="str">
        <f t="shared" si="467"/>
        <v>20220911</v>
      </c>
      <c r="M2493" s="1" t="str">
        <f>"194655"</f>
        <v>194655</v>
      </c>
      <c r="N2493" s="1" t="s">
        <v>71</v>
      </c>
      <c r="O2493" s="1" t="s">
        <v>52</v>
      </c>
      <c r="P2493" s="1" t="s">
        <v>55</v>
      </c>
      <c r="Q2493" s="1">
        <v>25</v>
      </c>
      <c r="R2493" s="1">
        <v>25</v>
      </c>
      <c r="S2493" s="1">
        <v>0</v>
      </c>
      <c r="T2493" s="1">
        <v>0</v>
      </c>
      <c r="U2493" s="1">
        <v>0</v>
      </c>
      <c r="V2493" s="1" t="str">
        <f t="shared" si="469"/>
        <v>里程返程</v>
      </c>
      <c r="W2493" s="1" t="str">
        <f>"0820"</f>
        <v>0820</v>
      </c>
      <c r="X2493" s="1" t="s">
        <v>35</v>
      </c>
    </row>
    <row r="2494" spans="1:24" x14ac:dyDescent="0.3">
      <c r="A2494" s="1" t="str">
        <f t="shared" si="466"/>
        <v>59822</v>
      </c>
      <c r="B2494" s="1" t="s">
        <v>39</v>
      </c>
      <c r="C2494" s="1" t="s">
        <v>40</v>
      </c>
      <c r="D2494" s="1" t="str">
        <f t="shared" si="468"/>
        <v>9801</v>
      </c>
      <c r="E2494" s="1" t="s">
        <v>25</v>
      </c>
      <c r="F2494" s="1" t="str">
        <f>"6717161019372658"</f>
        <v>6717161019372658</v>
      </c>
      <c r="G2494" s="1" t="s">
        <v>33</v>
      </c>
      <c r="H2494" s="1" t="str">
        <f t="shared" si="461"/>
        <v>20220911</v>
      </c>
      <c r="I2494" s="1" t="str">
        <f>"192327"</f>
        <v>192327</v>
      </c>
      <c r="J2494" s="1" t="s">
        <v>28</v>
      </c>
      <c r="K2494" s="1" t="s">
        <v>28</v>
      </c>
      <c r="L2494" s="1" t="str">
        <f t="shared" si="467"/>
        <v>20220911</v>
      </c>
      <c r="M2494" s="1" t="str">
        <f>"194514"</f>
        <v>194514</v>
      </c>
      <c r="N2494" s="1" t="s">
        <v>65</v>
      </c>
      <c r="O2494" s="1" t="s">
        <v>52</v>
      </c>
      <c r="P2494" s="1" t="s">
        <v>55</v>
      </c>
      <c r="Q2494" s="1">
        <v>25</v>
      </c>
      <c r="R2494" s="1">
        <v>25</v>
      </c>
      <c r="S2494" s="1">
        <v>0</v>
      </c>
      <c r="T2494" s="1">
        <v>0</v>
      </c>
      <c r="U2494" s="1">
        <v>0</v>
      </c>
      <c r="V2494" s="1" t="str">
        <f t="shared" si="469"/>
        <v>里程返程</v>
      </c>
      <c r="W2494" s="1" t="str">
        <f>"0E3B"</f>
        <v>0E3B</v>
      </c>
      <c r="X2494" s="1" t="s">
        <v>109</v>
      </c>
    </row>
    <row r="2495" spans="1:24" x14ac:dyDescent="0.3">
      <c r="A2495" s="1" t="str">
        <f t="shared" si="466"/>
        <v>59822</v>
      </c>
      <c r="B2495" s="1" t="s">
        <v>39</v>
      </c>
      <c r="C2495" s="1" t="s">
        <v>40</v>
      </c>
      <c r="D2495" s="1" t="str">
        <f t="shared" si="468"/>
        <v>9801</v>
      </c>
      <c r="E2495" s="1" t="s">
        <v>25</v>
      </c>
      <c r="F2495" s="1" t="str">
        <f>"923E4D16F7880400C814002000000019"</f>
        <v>923E4D16F7880400C814002000000019</v>
      </c>
      <c r="G2495" s="1" t="s">
        <v>58</v>
      </c>
      <c r="H2495" s="1" t="str">
        <f t="shared" si="461"/>
        <v>20220911</v>
      </c>
      <c r="I2495" s="1" t="str">
        <f>"192330"</f>
        <v>192330</v>
      </c>
      <c r="J2495" s="1" t="s">
        <v>28</v>
      </c>
      <c r="K2495" s="1" t="s">
        <v>28</v>
      </c>
      <c r="L2495" s="1" t="str">
        <f t="shared" si="467"/>
        <v>20220911</v>
      </c>
      <c r="M2495" s="1" t="str">
        <f>"194659"</f>
        <v>194659</v>
      </c>
      <c r="N2495" s="1" t="s">
        <v>71</v>
      </c>
      <c r="O2495" s="1" t="s">
        <v>52</v>
      </c>
      <c r="P2495" s="1" t="s">
        <v>55</v>
      </c>
      <c r="Q2495" s="1">
        <v>25</v>
      </c>
      <c r="R2495" s="1">
        <v>25</v>
      </c>
      <c r="S2495" s="1">
        <v>0</v>
      </c>
      <c r="T2495" s="1">
        <v>0</v>
      </c>
      <c r="U2495" s="1">
        <v>0</v>
      </c>
      <c r="V2495" s="1" t="str">
        <f t="shared" si="469"/>
        <v>里程返程</v>
      </c>
      <c r="W2495" s="1" t="str">
        <f>"0020"</f>
        <v>0020</v>
      </c>
      <c r="X2495" s="1" t="s">
        <v>29</v>
      </c>
    </row>
    <row r="2496" spans="1:24" x14ac:dyDescent="0.3">
      <c r="A2496" s="1" t="str">
        <f t="shared" si="466"/>
        <v>59822</v>
      </c>
      <c r="B2496" s="1" t="s">
        <v>39</v>
      </c>
      <c r="C2496" s="1" t="s">
        <v>40</v>
      </c>
      <c r="D2496" s="1" t="str">
        <f t="shared" si="468"/>
        <v>9801</v>
      </c>
      <c r="E2496" s="1" t="s">
        <v>25</v>
      </c>
      <c r="F2496" s="1" t="str">
        <f>"123A35160B880400C814002000000019"</f>
        <v>123A35160B880400C814002000000019</v>
      </c>
      <c r="G2496" s="1" t="s">
        <v>59</v>
      </c>
      <c r="H2496" s="1" t="str">
        <f t="shared" si="461"/>
        <v>20220911</v>
      </c>
      <c r="I2496" s="1" t="str">
        <f>"192333"</f>
        <v>192333</v>
      </c>
      <c r="J2496" s="1" t="s">
        <v>28</v>
      </c>
      <c r="K2496" s="1" t="s">
        <v>28</v>
      </c>
      <c r="L2496" s="1" t="str">
        <f t="shared" si="467"/>
        <v>20220911</v>
      </c>
      <c r="M2496" s="1" t="str">
        <f>"195244"</f>
        <v>195244</v>
      </c>
      <c r="N2496" s="1" t="s">
        <v>52</v>
      </c>
      <c r="O2496" s="1" t="s">
        <v>52</v>
      </c>
      <c r="P2496" s="1" t="s">
        <v>55</v>
      </c>
      <c r="Q2496" s="1">
        <v>25</v>
      </c>
      <c r="R2496" s="1">
        <v>0</v>
      </c>
      <c r="S2496" s="1">
        <v>25</v>
      </c>
      <c r="T2496" s="1">
        <v>0</v>
      </c>
      <c r="U2496" s="1">
        <v>0</v>
      </c>
      <c r="V2496" s="1" t="str">
        <f t="shared" si="469"/>
        <v>里程返程</v>
      </c>
      <c r="W2496" s="1" t="str">
        <f>"0620"</f>
        <v>0620</v>
      </c>
      <c r="X2496" s="1" t="s">
        <v>29</v>
      </c>
    </row>
    <row r="2497" spans="1:24" x14ac:dyDescent="0.3">
      <c r="A2497" s="1" t="str">
        <f t="shared" si="466"/>
        <v>59822</v>
      </c>
      <c r="B2497" s="1" t="s">
        <v>39</v>
      </c>
      <c r="C2497" s="1" t="s">
        <v>40</v>
      </c>
      <c r="D2497" s="1" t="str">
        <f t="shared" si="468"/>
        <v>9801</v>
      </c>
      <c r="E2497" s="1" t="s">
        <v>25</v>
      </c>
      <c r="F2497" s="1" t="str">
        <f>"750552017"</f>
        <v>750552017</v>
      </c>
      <c r="G2497" s="1" t="s">
        <v>33</v>
      </c>
      <c r="H2497" s="1" t="str">
        <f t="shared" si="461"/>
        <v>20220911</v>
      </c>
      <c r="I2497" s="1" t="str">
        <f>"192400"</f>
        <v>192400</v>
      </c>
      <c r="J2497" s="1" t="s">
        <v>28</v>
      </c>
      <c r="K2497" s="1" t="s">
        <v>28</v>
      </c>
      <c r="L2497" s="1" t="str">
        <f t="shared" si="467"/>
        <v>20220911</v>
      </c>
      <c r="M2497" s="1" t="str">
        <f>"194241"</f>
        <v>194241</v>
      </c>
      <c r="N2497" s="1" t="s">
        <v>80</v>
      </c>
      <c r="O2497" s="1" t="s">
        <v>52</v>
      </c>
      <c r="P2497" s="1" t="s">
        <v>55</v>
      </c>
      <c r="Q2497" s="1">
        <v>25</v>
      </c>
      <c r="R2497" s="1">
        <v>25</v>
      </c>
      <c r="S2497" s="1">
        <v>0</v>
      </c>
      <c r="T2497" s="1">
        <v>0</v>
      </c>
      <c r="U2497" s="1">
        <v>0</v>
      </c>
      <c r="V2497" s="1" t="str">
        <f t="shared" si="469"/>
        <v>里程返程</v>
      </c>
      <c r="W2497" s="1" t="str">
        <f>"0120"</f>
        <v>0120</v>
      </c>
      <c r="X2497" s="1" t="s">
        <v>35</v>
      </c>
    </row>
    <row r="2498" spans="1:24" x14ac:dyDescent="0.3">
      <c r="A2498" s="1" t="str">
        <f t="shared" si="466"/>
        <v>59822</v>
      </c>
      <c r="B2498" s="1" t="s">
        <v>39</v>
      </c>
      <c r="C2498" s="1" t="s">
        <v>40</v>
      </c>
      <c r="D2498" s="1" t="str">
        <f t="shared" si="468"/>
        <v>9801</v>
      </c>
      <c r="E2498" s="1" t="s">
        <v>25</v>
      </c>
      <c r="F2498" s="1" t="str">
        <f>"1450075649"</f>
        <v>1450075649</v>
      </c>
      <c r="G2498" s="1" t="s">
        <v>33</v>
      </c>
      <c r="H2498" s="1" t="str">
        <f t="shared" ref="H2498:H2561" si="470">"20220911"</f>
        <v>20220911</v>
      </c>
      <c r="I2498" s="1" t="str">
        <f>"192437"</f>
        <v>192437</v>
      </c>
      <c r="J2498" s="1" t="s">
        <v>28</v>
      </c>
      <c r="K2498" s="1" t="s">
        <v>28</v>
      </c>
      <c r="L2498" s="1" t="str">
        <f t="shared" si="467"/>
        <v>20220911</v>
      </c>
      <c r="M2498" s="1" t="str">
        <f>"195256"</f>
        <v>195256</v>
      </c>
      <c r="N2498" s="1" t="s">
        <v>52</v>
      </c>
      <c r="O2498" s="1" t="s">
        <v>52</v>
      </c>
      <c r="P2498" s="1" t="s">
        <v>55</v>
      </c>
      <c r="Q2498" s="1">
        <v>25</v>
      </c>
      <c r="R2498" s="1">
        <v>25</v>
      </c>
      <c r="S2498" s="1">
        <v>0</v>
      </c>
      <c r="T2498" s="1">
        <v>0</v>
      </c>
      <c r="U2498" s="1">
        <v>0</v>
      </c>
      <c r="V2498" s="1" t="str">
        <f t="shared" si="469"/>
        <v>里程返程</v>
      </c>
      <c r="W2498" s="1" t="str">
        <f>"0620"</f>
        <v>0620</v>
      </c>
      <c r="X2498" s="1" t="s">
        <v>35</v>
      </c>
    </row>
    <row r="2499" spans="1:24" x14ac:dyDescent="0.3">
      <c r="A2499" s="1" t="str">
        <f t="shared" si="466"/>
        <v>59822</v>
      </c>
      <c r="B2499" s="1" t="s">
        <v>39</v>
      </c>
      <c r="C2499" s="1" t="s">
        <v>40</v>
      </c>
      <c r="D2499" s="1" t="str">
        <f t="shared" si="468"/>
        <v>9801</v>
      </c>
      <c r="E2499" s="1" t="s">
        <v>25</v>
      </c>
      <c r="F2499" s="1" t="str">
        <f>"1647675345"</f>
        <v>1647675345</v>
      </c>
      <c r="G2499" s="1" t="s">
        <v>33</v>
      </c>
      <c r="H2499" s="1" t="str">
        <f t="shared" si="470"/>
        <v>20220911</v>
      </c>
      <c r="I2499" s="1" t="str">
        <f>"192505"</f>
        <v>192505</v>
      </c>
      <c r="J2499" s="1" t="s">
        <v>28</v>
      </c>
      <c r="K2499" s="1" t="s">
        <v>28</v>
      </c>
      <c r="L2499" s="1" t="str">
        <f t="shared" si="467"/>
        <v>20220911</v>
      </c>
      <c r="M2499" s="1" t="str">
        <f>"195250"</f>
        <v>195250</v>
      </c>
      <c r="N2499" s="1" t="s">
        <v>52</v>
      </c>
      <c r="O2499" s="1" t="s">
        <v>52</v>
      </c>
      <c r="P2499" s="1" t="s">
        <v>55</v>
      </c>
      <c r="Q2499" s="1">
        <v>25</v>
      </c>
      <c r="R2499" s="1">
        <v>25</v>
      </c>
      <c r="S2499" s="1">
        <v>0</v>
      </c>
      <c r="T2499" s="1">
        <v>0</v>
      </c>
      <c r="U2499" s="1">
        <v>0</v>
      </c>
      <c r="V2499" s="1" t="str">
        <f t="shared" si="469"/>
        <v>里程返程</v>
      </c>
      <c r="W2499" s="1" t="str">
        <f>"0620"</f>
        <v>0620</v>
      </c>
      <c r="X2499" s="1" t="s">
        <v>35</v>
      </c>
    </row>
    <row r="2500" spans="1:24" x14ac:dyDescent="0.3">
      <c r="A2500" s="1" t="str">
        <f t="shared" si="466"/>
        <v>59822</v>
      </c>
      <c r="B2500" s="1" t="s">
        <v>39</v>
      </c>
      <c r="C2500" s="1" t="s">
        <v>40</v>
      </c>
      <c r="D2500" s="1" t="str">
        <f t="shared" si="468"/>
        <v>9801</v>
      </c>
      <c r="E2500" s="1" t="s">
        <v>25</v>
      </c>
      <c r="F2500" s="1" t="str">
        <f>"796883057"</f>
        <v>796883057</v>
      </c>
      <c r="G2500" s="1" t="s">
        <v>33</v>
      </c>
      <c r="H2500" s="1" t="str">
        <f t="shared" si="470"/>
        <v>20220911</v>
      </c>
      <c r="I2500" s="1" t="str">
        <f>"192528"</f>
        <v>192528</v>
      </c>
      <c r="J2500" s="1" t="s">
        <v>28</v>
      </c>
      <c r="K2500" s="1" t="s">
        <v>28</v>
      </c>
      <c r="L2500" s="1" t="str">
        <f t="shared" si="467"/>
        <v>20220911</v>
      </c>
      <c r="M2500" s="1" t="str">
        <f>"193619"</f>
        <v>193619</v>
      </c>
      <c r="N2500" s="1" t="s">
        <v>67</v>
      </c>
      <c r="O2500" s="1" t="s">
        <v>52</v>
      </c>
      <c r="P2500" s="1" t="s">
        <v>55</v>
      </c>
      <c r="Q2500" s="1">
        <v>25</v>
      </c>
      <c r="R2500" s="1">
        <v>25</v>
      </c>
      <c r="S2500" s="1">
        <v>0</v>
      </c>
      <c r="T2500" s="1">
        <v>0</v>
      </c>
      <c r="U2500" s="1">
        <v>0</v>
      </c>
      <c r="V2500" s="1" t="str">
        <f t="shared" si="469"/>
        <v>里程返程</v>
      </c>
      <c r="W2500" s="1" t="str">
        <f>"0220"</f>
        <v>0220</v>
      </c>
      <c r="X2500" s="1" t="s">
        <v>35</v>
      </c>
    </row>
    <row r="2501" spans="1:24" x14ac:dyDescent="0.3">
      <c r="A2501" s="1" t="str">
        <f t="shared" si="466"/>
        <v>59822</v>
      </c>
      <c r="B2501" s="1" t="s">
        <v>39</v>
      </c>
      <c r="C2501" s="1" t="s">
        <v>40</v>
      </c>
      <c r="D2501" s="1" t="str">
        <f>"9805"</f>
        <v>9805</v>
      </c>
      <c r="E2501" s="1" t="s">
        <v>57</v>
      </c>
      <c r="F2501" s="1" t="str">
        <f>"02B8FA125228040080CEBCD765512818"</f>
        <v>02B8FA125228040080CEBCD765512818</v>
      </c>
      <c r="G2501" s="1" t="s">
        <v>58</v>
      </c>
      <c r="H2501" s="1" t="str">
        <f t="shared" si="470"/>
        <v>20220911</v>
      </c>
      <c r="I2501" s="1" t="str">
        <f>"195328"</f>
        <v>195328</v>
      </c>
      <c r="J2501" s="1" t="s">
        <v>52</v>
      </c>
      <c r="K2501" s="1" t="s">
        <v>52</v>
      </c>
      <c r="L2501" s="1" t="str">
        <f t="shared" si="467"/>
        <v>20220911</v>
      </c>
      <c r="M2501" s="1" t="str">
        <f>"201757"</f>
        <v>201757</v>
      </c>
      <c r="N2501" s="1" t="s">
        <v>28</v>
      </c>
      <c r="O2501" s="1" t="s">
        <v>28</v>
      </c>
      <c r="P2501" s="1" t="s">
        <v>55</v>
      </c>
      <c r="Q2501" s="1">
        <v>25</v>
      </c>
      <c r="R2501" s="1">
        <v>0</v>
      </c>
      <c r="S2501" s="1">
        <v>25</v>
      </c>
      <c r="T2501" s="1">
        <v>0</v>
      </c>
      <c r="U2501" s="1">
        <v>0</v>
      </c>
      <c r="V2501" s="1" t="str">
        <f t="shared" si="469"/>
        <v>里程返程</v>
      </c>
      <c r="W2501" s="1" t="str">
        <f>"1120"</f>
        <v>1120</v>
      </c>
      <c r="X2501" s="1" t="s">
        <v>29</v>
      </c>
    </row>
    <row r="2502" spans="1:24" x14ac:dyDescent="0.3">
      <c r="A2502" s="1" t="str">
        <f t="shared" ref="A2502:A2533" si="471">"59825"</f>
        <v>59825</v>
      </c>
      <c r="B2502" s="1" t="s">
        <v>30</v>
      </c>
      <c r="C2502" s="1" t="s">
        <v>31</v>
      </c>
      <c r="D2502" s="1" t="str">
        <f t="shared" ref="D2502:D2533" si="472">"9803"</f>
        <v>9803</v>
      </c>
      <c r="E2502" s="1" t="s">
        <v>32</v>
      </c>
      <c r="F2502" s="1" t="str">
        <f>"1842327157"</f>
        <v>1842327157</v>
      </c>
      <c r="G2502" s="1" t="s">
        <v>33</v>
      </c>
      <c r="H2502" s="1" t="str">
        <f t="shared" si="470"/>
        <v>20220911</v>
      </c>
      <c r="I2502" s="1" t="str">
        <f>"073015"</f>
        <v>073015</v>
      </c>
      <c r="J2502" s="1" t="s">
        <v>28</v>
      </c>
      <c r="K2502" s="1" t="s">
        <v>28</v>
      </c>
      <c r="L2502" s="1" t="str">
        <f t="shared" si="467"/>
        <v>20220911</v>
      </c>
      <c r="M2502" s="1" t="str">
        <f>"073814"</f>
        <v>073814</v>
      </c>
      <c r="N2502" s="1" t="s">
        <v>79</v>
      </c>
      <c r="O2502" s="1" t="s">
        <v>28</v>
      </c>
      <c r="P2502" s="1" t="s">
        <v>55</v>
      </c>
      <c r="Q2502" s="1">
        <v>25</v>
      </c>
      <c r="R2502" s="1">
        <v>0</v>
      </c>
      <c r="S2502" s="1">
        <v>25</v>
      </c>
      <c r="T2502" s="1">
        <v>0</v>
      </c>
      <c r="U2502" s="1">
        <v>0</v>
      </c>
      <c r="V2502" s="1" t="str">
        <f>"里程去程"</f>
        <v>里程去程</v>
      </c>
      <c r="W2502" s="1" t="str">
        <f>"2020"</f>
        <v>2020</v>
      </c>
      <c r="X2502" s="1" t="s">
        <v>35</v>
      </c>
    </row>
    <row r="2503" spans="1:24" x14ac:dyDescent="0.3">
      <c r="A2503" s="1" t="str">
        <f t="shared" si="471"/>
        <v>59825</v>
      </c>
      <c r="B2503" s="1" t="s">
        <v>30</v>
      </c>
      <c r="C2503" s="1" t="s">
        <v>31</v>
      </c>
      <c r="D2503" s="1" t="str">
        <f t="shared" si="472"/>
        <v>9803</v>
      </c>
      <c r="E2503" s="1" t="s">
        <v>32</v>
      </c>
      <c r="F2503" s="1" t="str">
        <f>"92475A028D880400C821002000000015"</f>
        <v>92475A028D880400C821002000000015</v>
      </c>
      <c r="G2503" s="1" t="s">
        <v>58</v>
      </c>
      <c r="H2503" s="1" t="str">
        <f t="shared" si="470"/>
        <v>20220911</v>
      </c>
      <c r="I2503" s="1" t="str">
        <f>"085431"</f>
        <v>085431</v>
      </c>
      <c r="J2503" s="1" t="s">
        <v>34</v>
      </c>
      <c r="K2503" s="1" t="s">
        <v>34</v>
      </c>
      <c r="L2503" s="1" t="str">
        <f t="shared" si="467"/>
        <v>20220911</v>
      </c>
      <c r="M2503" s="1" t="str">
        <f>"093137"</f>
        <v>093137</v>
      </c>
      <c r="N2503" s="1" t="s">
        <v>28</v>
      </c>
      <c r="O2503" s="1" t="s">
        <v>28</v>
      </c>
      <c r="P2503" s="1" t="s">
        <v>55</v>
      </c>
      <c r="Q2503" s="1">
        <v>25</v>
      </c>
      <c r="R2503" s="1">
        <v>25</v>
      </c>
      <c r="S2503" s="1">
        <v>0</v>
      </c>
      <c r="T2503" s="1">
        <v>0</v>
      </c>
      <c r="U2503" s="1">
        <v>0</v>
      </c>
      <c r="V2503" s="1" t="str">
        <f>"里程返程"</f>
        <v>里程返程</v>
      </c>
      <c r="W2503" s="1" t="str">
        <f>"0020"</f>
        <v>0020</v>
      </c>
      <c r="X2503" s="1" t="s">
        <v>29</v>
      </c>
    </row>
    <row r="2504" spans="1:24" x14ac:dyDescent="0.3">
      <c r="A2504" s="1" t="str">
        <f t="shared" si="471"/>
        <v>59825</v>
      </c>
      <c r="B2504" s="1" t="s">
        <v>30</v>
      </c>
      <c r="C2504" s="1" t="s">
        <v>31</v>
      </c>
      <c r="D2504" s="1" t="str">
        <f t="shared" si="472"/>
        <v>9803</v>
      </c>
      <c r="E2504" s="1" t="s">
        <v>32</v>
      </c>
      <c r="F2504" s="1" t="str">
        <f>"859438261"</f>
        <v>859438261</v>
      </c>
      <c r="G2504" s="1" t="s">
        <v>33</v>
      </c>
      <c r="H2504" s="1" t="str">
        <f t="shared" si="470"/>
        <v>20220911</v>
      </c>
      <c r="I2504" s="1" t="str">
        <f>"085436"</f>
        <v>085436</v>
      </c>
      <c r="J2504" s="1" t="s">
        <v>34</v>
      </c>
      <c r="K2504" s="1" t="s">
        <v>34</v>
      </c>
      <c r="L2504" s="1" t="str">
        <f t="shared" si="467"/>
        <v>20220911</v>
      </c>
      <c r="M2504" s="1" t="str">
        <f>"093141"</f>
        <v>093141</v>
      </c>
      <c r="N2504" s="1" t="s">
        <v>28</v>
      </c>
      <c r="O2504" s="1" t="s">
        <v>28</v>
      </c>
      <c r="P2504" s="1" t="s">
        <v>55</v>
      </c>
      <c r="Q2504" s="1">
        <v>25</v>
      </c>
      <c r="R2504" s="1">
        <v>25</v>
      </c>
      <c r="S2504" s="1">
        <v>0</v>
      </c>
      <c r="T2504" s="1">
        <v>0</v>
      </c>
      <c r="U2504" s="1">
        <v>0</v>
      </c>
      <c r="V2504" s="1" t="str">
        <f>"里程返程"</f>
        <v>里程返程</v>
      </c>
      <c r="W2504" s="1" t="str">
        <f>"2020"</f>
        <v>2020</v>
      </c>
      <c r="X2504" s="1" t="s">
        <v>35</v>
      </c>
    </row>
    <row r="2505" spans="1:24" x14ac:dyDescent="0.3">
      <c r="A2505" s="1" t="str">
        <f t="shared" si="471"/>
        <v>59825</v>
      </c>
      <c r="B2505" s="1" t="s">
        <v>30</v>
      </c>
      <c r="C2505" s="1" t="s">
        <v>31</v>
      </c>
      <c r="D2505" s="1" t="str">
        <f t="shared" si="472"/>
        <v>9803</v>
      </c>
      <c r="E2505" s="1" t="s">
        <v>32</v>
      </c>
      <c r="F2505" s="1" t="str">
        <f>"98950417"</f>
        <v>98950417</v>
      </c>
      <c r="G2505" s="1" t="s">
        <v>33</v>
      </c>
      <c r="H2505" s="1" t="str">
        <f t="shared" si="470"/>
        <v>20220911</v>
      </c>
      <c r="I2505" s="1" t="str">
        <f>"085557"</f>
        <v>085557</v>
      </c>
      <c r="J2505" s="1" t="s">
        <v>34</v>
      </c>
      <c r="K2505" s="1" t="s">
        <v>34</v>
      </c>
      <c r="L2505" s="1" t="str">
        <f t="shared" si="467"/>
        <v>20220911</v>
      </c>
      <c r="M2505" s="1" t="str">
        <f>"093057"</f>
        <v>093057</v>
      </c>
      <c r="N2505" s="1" t="s">
        <v>28</v>
      </c>
      <c r="O2505" s="1" t="s">
        <v>28</v>
      </c>
      <c r="P2505" s="1" t="s">
        <v>55</v>
      </c>
      <c r="Q2505" s="1">
        <v>25</v>
      </c>
      <c r="R2505" s="1">
        <v>25</v>
      </c>
      <c r="S2505" s="1">
        <v>0</v>
      </c>
      <c r="T2505" s="1">
        <v>0</v>
      </c>
      <c r="U2505" s="1">
        <v>0</v>
      </c>
      <c r="V2505" s="1" t="str">
        <f>"里程返程"</f>
        <v>里程返程</v>
      </c>
      <c r="W2505" s="1" t="str">
        <f>"2020"</f>
        <v>2020</v>
      </c>
      <c r="X2505" s="1" t="s">
        <v>35</v>
      </c>
    </row>
    <row r="2506" spans="1:24" x14ac:dyDescent="0.3">
      <c r="A2506" s="1" t="str">
        <f t="shared" si="471"/>
        <v>59825</v>
      </c>
      <c r="B2506" s="1" t="s">
        <v>30</v>
      </c>
      <c r="C2506" s="1" t="s">
        <v>31</v>
      </c>
      <c r="D2506" s="1" t="str">
        <f t="shared" si="472"/>
        <v>9803</v>
      </c>
      <c r="E2506" s="1" t="s">
        <v>32</v>
      </c>
      <c r="F2506" s="1" t="str">
        <f>"1534326449"</f>
        <v>1534326449</v>
      </c>
      <c r="G2506" s="1" t="s">
        <v>33</v>
      </c>
      <c r="H2506" s="1" t="str">
        <f t="shared" si="470"/>
        <v>20220911</v>
      </c>
      <c r="I2506" s="1" t="str">
        <f>"085600"</f>
        <v>085600</v>
      </c>
      <c r="J2506" s="1" t="s">
        <v>34</v>
      </c>
      <c r="K2506" s="1" t="s">
        <v>34</v>
      </c>
      <c r="L2506" s="1" t="str">
        <f t="shared" si="467"/>
        <v>20220911</v>
      </c>
      <c r="M2506" s="1" t="str">
        <f>"093052"</f>
        <v>093052</v>
      </c>
      <c r="N2506" s="1" t="s">
        <v>28</v>
      </c>
      <c r="O2506" s="1" t="s">
        <v>28</v>
      </c>
      <c r="P2506" s="1" t="s">
        <v>55</v>
      </c>
      <c r="Q2506" s="1">
        <v>25</v>
      </c>
      <c r="R2506" s="1">
        <v>25</v>
      </c>
      <c r="S2506" s="1">
        <v>0</v>
      </c>
      <c r="T2506" s="1">
        <v>0</v>
      </c>
      <c r="U2506" s="1">
        <v>0</v>
      </c>
      <c r="V2506" s="1" t="str">
        <f>"里程返程"</f>
        <v>里程返程</v>
      </c>
      <c r="W2506" s="1" t="str">
        <f>"2020"</f>
        <v>2020</v>
      </c>
      <c r="X2506" s="1" t="s">
        <v>35</v>
      </c>
    </row>
    <row r="2507" spans="1:24" x14ac:dyDescent="0.3">
      <c r="A2507" s="1" t="str">
        <f t="shared" si="471"/>
        <v>59825</v>
      </c>
      <c r="B2507" s="1" t="s">
        <v>30</v>
      </c>
      <c r="C2507" s="1" t="s">
        <v>31</v>
      </c>
      <c r="D2507" s="1" t="str">
        <f t="shared" si="472"/>
        <v>9803</v>
      </c>
      <c r="E2507" s="1" t="s">
        <v>32</v>
      </c>
      <c r="F2507" s="1" t="str">
        <f>"81503022C3280400F700000000000000"</f>
        <v>81503022C3280400F700000000000000</v>
      </c>
      <c r="G2507" s="1" t="s">
        <v>58</v>
      </c>
      <c r="H2507" s="1" t="str">
        <f t="shared" si="470"/>
        <v>20220911</v>
      </c>
      <c r="I2507" s="1" t="str">
        <f>"085609"</f>
        <v>085609</v>
      </c>
      <c r="J2507" s="1" t="s">
        <v>34</v>
      </c>
      <c r="K2507" s="1" t="s">
        <v>34</v>
      </c>
      <c r="L2507" s="1" t="str">
        <f t="shared" si="467"/>
        <v>20220911</v>
      </c>
      <c r="M2507" s="1" t="str">
        <f>"093101"</f>
        <v>093101</v>
      </c>
      <c r="N2507" s="1" t="s">
        <v>28</v>
      </c>
      <c r="O2507" s="1" t="s">
        <v>28</v>
      </c>
      <c r="P2507" s="1" t="s">
        <v>55</v>
      </c>
      <c r="Q2507" s="1">
        <v>25</v>
      </c>
      <c r="R2507" s="1">
        <v>25</v>
      </c>
      <c r="S2507" s="1">
        <v>0</v>
      </c>
      <c r="T2507" s="1">
        <v>0</v>
      </c>
      <c r="U2507" s="1">
        <v>0</v>
      </c>
      <c r="V2507" s="1" t="str">
        <f>"里程返程"</f>
        <v>里程返程</v>
      </c>
      <c r="W2507" s="1" t="str">
        <f>"0020"</f>
        <v>0020</v>
      </c>
      <c r="X2507" s="1" t="s">
        <v>29</v>
      </c>
    </row>
    <row r="2508" spans="1:24" x14ac:dyDescent="0.3">
      <c r="A2508" s="1" t="str">
        <f t="shared" si="471"/>
        <v>59825</v>
      </c>
      <c r="B2508" s="1" t="s">
        <v>30</v>
      </c>
      <c r="C2508" s="1" t="s">
        <v>31</v>
      </c>
      <c r="D2508" s="1" t="str">
        <f t="shared" si="472"/>
        <v>9803</v>
      </c>
      <c r="E2508" s="1" t="s">
        <v>32</v>
      </c>
      <c r="F2508" s="1" t="str">
        <f>"1006360805"</f>
        <v>1006360805</v>
      </c>
      <c r="G2508" s="1" t="s">
        <v>33</v>
      </c>
      <c r="H2508" s="1" t="str">
        <f t="shared" si="470"/>
        <v>20220911</v>
      </c>
      <c r="I2508" s="1" t="str">
        <f>"102840"</f>
        <v>102840</v>
      </c>
      <c r="J2508" s="1" t="s">
        <v>28</v>
      </c>
      <c r="K2508" s="1" t="s">
        <v>28</v>
      </c>
      <c r="L2508" s="1" t="str">
        <f t="shared" si="467"/>
        <v>20220911</v>
      </c>
      <c r="M2508" s="1" t="str">
        <f>"104907"</f>
        <v>104907</v>
      </c>
      <c r="N2508" s="1" t="s">
        <v>34</v>
      </c>
      <c r="O2508" s="1" t="s">
        <v>34</v>
      </c>
      <c r="P2508" s="1" t="s">
        <v>55</v>
      </c>
      <c r="Q2508" s="1">
        <v>25</v>
      </c>
      <c r="R2508" s="1">
        <v>25</v>
      </c>
      <c r="S2508" s="1">
        <v>0</v>
      </c>
      <c r="T2508" s="1">
        <v>0</v>
      </c>
      <c r="U2508" s="1">
        <v>0</v>
      </c>
      <c r="V2508" s="1" t="str">
        <f t="shared" ref="V2508:V2516" si="473">"里程去程"</f>
        <v>里程去程</v>
      </c>
      <c r="W2508" s="1" t="str">
        <f>"0220"</f>
        <v>0220</v>
      </c>
      <c r="X2508" s="1" t="s">
        <v>35</v>
      </c>
    </row>
    <row r="2509" spans="1:24" x14ac:dyDescent="0.3">
      <c r="A2509" s="1" t="str">
        <f t="shared" si="471"/>
        <v>59825</v>
      </c>
      <c r="B2509" s="1" t="s">
        <v>30</v>
      </c>
      <c r="C2509" s="1" t="s">
        <v>31</v>
      </c>
      <c r="D2509" s="1" t="str">
        <f t="shared" si="472"/>
        <v>9803</v>
      </c>
      <c r="E2509" s="1" t="s">
        <v>32</v>
      </c>
      <c r="F2509" s="1" t="str">
        <f>"107088885"</f>
        <v>107088885</v>
      </c>
      <c r="G2509" s="1" t="s">
        <v>33</v>
      </c>
      <c r="H2509" s="1" t="str">
        <f t="shared" si="470"/>
        <v>20220911</v>
      </c>
      <c r="I2509" s="1" t="str">
        <f>"102844"</f>
        <v>102844</v>
      </c>
      <c r="J2509" s="1" t="s">
        <v>28</v>
      </c>
      <c r="K2509" s="1" t="s">
        <v>28</v>
      </c>
      <c r="L2509" s="1" t="str">
        <f t="shared" si="467"/>
        <v>20220911</v>
      </c>
      <c r="M2509" s="1" t="str">
        <f>"104931"</f>
        <v>104931</v>
      </c>
      <c r="N2509" s="1" t="s">
        <v>34</v>
      </c>
      <c r="O2509" s="1" t="s">
        <v>34</v>
      </c>
      <c r="P2509" s="1" t="s">
        <v>55</v>
      </c>
      <c r="Q2509" s="1">
        <v>25</v>
      </c>
      <c r="R2509" s="1">
        <v>25</v>
      </c>
      <c r="S2509" s="1">
        <v>0</v>
      </c>
      <c r="T2509" s="1">
        <v>0</v>
      </c>
      <c r="U2509" s="1">
        <v>0</v>
      </c>
      <c r="V2509" s="1" t="str">
        <f t="shared" si="473"/>
        <v>里程去程</v>
      </c>
      <c r="W2509" s="1" t="str">
        <f>"2020"</f>
        <v>2020</v>
      </c>
      <c r="X2509" s="1" t="s">
        <v>35</v>
      </c>
    </row>
    <row r="2510" spans="1:24" x14ac:dyDescent="0.3">
      <c r="A2510" s="1" t="str">
        <f t="shared" si="471"/>
        <v>59825</v>
      </c>
      <c r="B2510" s="1" t="s">
        <v>30</v>
      </c>
      <c r="C2510" s="1" t="s">
        <v>31</v>
      </c>
      <c r="D2510" s="1" t="str">
        <f t="shared" si="472"/>
        <v>9803</v>
      </c>
      <c r="E2510" s="1" t="s">
        <v>32</v>
      </c>
      <c r="F2510" s="1" t="str">
        <f>"1431290161"</f>
        <v>1431290161</v>
      </c>
      <c r="G2510" s="1" t="s">
        <v>33</v>
      </c>
      <c r="H2510" s="1" t="str">
        <f t="shared" si="470"/>
        <v>20220911</v>
      </c>
      <c r="I2510" s="1" t="str">
        <f>"102849"</f>
        <v>102849</v>
      </c>
      <c r="J2510" s="1" t="s">
        <v>28</v>
      </c>
      <c r="K2510" s="1" t="s">
        <v>28</v>
      </c>
      <c r="L2510" s="1" t="str">
        <f t="shared" si="467"/>
        <v>20220911</v>
      </c>
      <c r="M2510" s="1" t="str">
        <f>"104925"</f>
        <v>104925</v>
      </c>
      <c r="N2510" s="1" t="s">
        <v>34</v>
      </c>
      <c r="O2510" s="1" t="s">
        <v>34</v>
      </c>
      <c r="P2510" s="1" t="s">
        <v>55</v>
      </c>
      <c r="Q2510" s="1">
        <v>25</v>
      </c>
      <c r="R2510" s="1">
        <v>0</v>
      </c>
      <c r="S2510" s="1">
        <v>25</v>
      </c>
      <c r="T2510" s="1">
        <v>0</v>
      </c>
      <c r="U2510" s="1">
        <v>0</v>
      </c>
      <c r="V2510" s="1" t="str">
        <f t="shared" si="473"/>
        <v>里程去程</v>
      </c>
      <c r="W2510" s="1" t="str">
        <f>"0820"</f>
        <v>0820</v>
      </c>
      <c r="X2510" s="1" t="s">
        <v>35</v>
      </c>
    </row>
    <row r="2511" spans="1:24" x14ac:dyDescent="0.3">
      <c r="A2511" s="1" t="str">
        <f t="shared" si="471"/>
        <v>59825</v>
      </c>
      <c r="B2511" s="1" t="s">
        <v>30</v>
      </c>
      <c r="C2511" s="1" t="s">
        <v>31</v>
      </c>
      <c r="D2511" s="1" t="str">
        <f t="shared" si="472"/>
        <v>9803</v>
      </c>
      <c r="E2511" s="1" t="s">
        <v>32</v>
      </c>
      <c r="F2511" s="1" t="str">
        <f>"22AD1F0292880400C821002000000015"</f>
        <v>22AD1F0292880400C821002000000015</v>
      </c>
      <c r="G2511" s="1" t="s">
        <v>59</v>
      </c>
      <c r="H2511" s="1" t="str">
        <f t="shared" si="470"/>
        <v>20220911</v>
      </c>
      <c r="I2511" s="1" t="str">
        <f>"102854"</f>
        <v>102854</v>
      </c>
      <c r="J2511" s="1" t="s">
        <v>28</v>
      </c>
      <c r="K2511" s="1" t="s">
        <v>28</v>
      </c>
      <c r="L2511" s="1" t="str">
        <f t="shared" ref="L2511:L2542" si="474">"20220911"</f>
        <v>20220911</v>
      </c>
      <c r="M2511" s="1" t="str">
        <f>"103750"</f>
        <v>103750</v>
      </c>
      <c r="N2511" s="1" t="s">
        <v>79</v>
      </c>
      <c r="O2511" s="1" t="s">
        <v>28</v>
      </c>
      <c r="P2511" s="1" t="s">
        <v>55</v>
      </c>
      <c r="Q2511" s="1">
        <v>25</v>
      </c>
      <c r="R2511" s="1">
        <v>25</v>
      </c>
      <c r="S2511" s="1">
        <v>0</v>
      </c>
      <c r="T2511" s="1">
        <v>0</v>
      </c>
      <c r="U2511" s="1">
        <v>0</v>
      </c>
      <c r="V2511" s="1" t="str">
        <f t="shared" si="473"/>
        <v>里程去程</v>
      </c>
      <c r="W2511" s="1" t="str">
        <f>"0020"</f>
        <v>0020</v>
      </c>
      <c r="X2511" s="1" t="s">
        <v>29</v>
      </c>
    </row>
    <row r="2512" spans="1:24" x14ac:dyDescent="0.3">
      <c r="A2512" s="1" t="str">
        <f t="shared" si="471"/>
        <v>59825</v>
      </c>
      <c r="B2512" s="1" t="s">
        <v>30</v>
      </c>
      <c r="C2512" s="1" t="s">
        <v>31</v>
      </c>
      <c r="D2512" s="1" t="str">
        <f t="shared" si="472"/>
        <v>9803</v>
      </c>
      <c r="E2512" s="1" t="s">
        <v>32</v>
      </c>
      <c r="F2512" s="1" t="str">
        <f>"5437610"</f>
        <v>5437610</v>
      </c>
      <c r="G2512" s="1" t="s">
        <v>33</v>
      </c>
      <c r="H2512" s="1" t="str">
        <f t="shared" si="470"/>
        <v>20220911</v>
      </c>
      <c r="I2512" s="1" t="str">
        <f>"102858"</f>
        <v>102858</v>
      </c>
      <c r="J2512" s="1" t="s">
        <v>28</v>
      </c>
      <c r="K2512" s="1" t="s">
        <v>28</v>
      </c>
      <c r="L2512" s="1" t="str">
        <f t="shared" si="474"/>
        <v>20220911</v>
      </c>
      <c r="M2512" s="1" t="str">
        <f>"104913"</f>
        <v>104913</v>
      </c>
      <c r="N2512" s="1" t="s">
        <v>34</v>
      </c>
      <c r="O2512" s="1" t="s">
        <v>34</v>
      </c>
      <c r="P2512" s="1" t="s">
        <v>55</v>
      </c>
      <c r="Q2512" s="1">
        <v>25</v>
      </c>
      <c r="R2512" s="1">
        <v>25</v>
      </c>
      <c r="S2512" s="1">
        <v>0</v>
      </c>
      <c r="T2512" s="1">
        <v>0</v>
      </c>
      <c r="U2512" s="1">
        <v>0</v>
      </c>
      <c r="V2512" s="1" t="str">
        <f t="shared" si="473"/>
        <v>里程去程</v>
      </c>
      <c r="W2512" s="1" t="str">
        <f>"0120"</f>
        <v>0120</v>
      </c>
      <c r="X2512" s="1" t="s">
        <v>35</v>
      </c>
    </row>
    <row r="2513" spans="1:24" x14ac:dyDescent="0.3">
      <c r="A2513" s="1" t="str">
        <f t="shared" si="471"/>
        <v>59825</v>
      </c>
      <c r="B2513" s="1" t="s">
        <v>30</v>
      </c>
      <c r="C2513" s="1" t="s">
        <v>31</v>
      </c>
      <c r="D2513" s="1" t="str">
        <f t="shared" si="472"/>
        <v>9803</v>
      </c>
      <c r="E2513" s="1" t="s">
        <v>32</v>
      </c>
      <c r="F2513" s="1" t="str">
        <f>"3383112370"</f>
        <v>3383112370</v>
      </c>
      <c r="G2513" s="1" t="s">
        <v>33</v>
      </c>
      <c r="H2513" s="1" t="str">
        <f t="shared" si="470"/>
        <v>20220911</v>
      </c>
      <c r="I2513" s="1" t="str">
        <f>"102904"</f>
        <v>102904</v>
      </c>
      <c r="J2513" s="1" t="s">
        <v>28</v>
      </c>
      <c r="K2513" s="1" t="s">
        <v>28</v>
      </c>
      <c r="L2513" s="1" t="str">
        <f t="shared" si="474"/>
        <v>20220911</v>
      </c>
      <c r="M2513" s="1" t="str">
        <f>"104904"</f>
        <v>104904</v>
      </c>
      <c r="N2513" s="1" t="s">
        <v>34</v>
      </c>
      <c r="O2513" s="1" t="s">
        <v>34</v>
      </c>
      <c r="P2513" s="1" t="s">
        <v>55</v>
      </c>
      <c r="Q2513" s="1">
        <v>25</v>
      </c>
      <c r="R2513" s="1">
        <v>0</v>
      </c>
      <c r="S2513" s="1">
        <v>25</v>
      </c>
      <c r="T2513" s="1">
        <v>0</v>
      </c>
      <c r="U2513" s="1">
        <v>0</v>
      </c>
      <c r="V2513" s="1" t="str">
        <f t="shared" si="473"/>
        <v>里程去程</v>
      </c>
      <c r="W2513" s="1" t="str">
        <f>"2120"</f>
        <v>2120</v>
      </c>
      <c r="X2513" s="1" t="s">
        <v>35</v>
      </c>
    </row>
    <row r="2514" spans="1:24" x14ac:dyDescent="0.3">
      <c r="A2514" s="1" t="str">
        <f t="shared" si="471"/>
        <v>59825</v>
      </c>
      <c r="B2514" s="1" t="s">
        <v>30</v>
      </c>
      <c r="C2514" s="1" t="s">
        <v>31</v>
      </c>
      <c r="D2514" s="1" t="str">
        <f t="shared" si="472"/>
        <v>9803</v>
      </c>
      <c r="E2514" s="1" t="s">
        <v>32</v>
      </c>
      <c r="F2514" s="1" t="str">
        <f>"166467105"</f>
        <v>166467105</v>
      </c>
      <c r="G2514" s="1" t="s">
        <v>33</v>
      </c>
      <c r="H2514" s="1" t="str">
        <f t="shared" si="470"/>
        <v>20220911</v>
      </c>
      <c r="I2514" s="1" t="str">
        <f>"102913"</f>
        <v>102913</v>
      </c>
      <c r="J2514" s="1" t="s">
        <v>28</v>
      </c>
      <c r="K2514" s="1" t="s">
        <v>28</v>
      </c>
      <c r="L2514" s="1" t="str">
        <f t="shared" si="474"/>
        <v>20220911</v>
      </c>
      <c r="M2514" s="1" t="str">
        <f>"104919"</f>
        <v>104919</v>
      </c>
      <c r="N2514" s="1" t="s">
        <v>34</v>
      </c>
      <c r="O2514" s="1" t="s">
        <v>34</v>
      </c>
      <c r="P2514" s="1" t="s">
        <v>55</v>
      </c>
      <c r="Q2514" s="1">
        <v>25</v>
      </c>
      <c r="R2514" s="1">
        <v>0</v>
      </c>
      <c r="S2514" s="1">
        <v>25</v>
      </c>
      <c r="T2514" s="1">
        <v>0</v>
      </c>
      <c r="U2514" s="1">
        <v>0</v>
      </c>
      <c r="V2514" s="1" t="str">
        <f t="shared" si="473"/>
        <v>里程去程</v>
      </c>
      <c r="W2514" s="1" t="str">
        <f>"0820"</f>
        <v>0820</v>
      </c>
      <c r="X2514" s="1" t="s">
        <v>35</v>
      </c>
    </row>
    <row r="2515" spans="1:24" x14ac:dyDescent="0.3">
      <c r="A2515" s="1" t="str">
        <f t="shared" si="471"/>
        <v>59825</v>
      </c>
      <c r="B2515" s="1" t="s">
        <v>30</v>
      </c>
      <c r="C2515" s="1" t="s">
        <v>31</v>
      </c>
      <c r="D2515" s="1" t="str">
        <f t="shared" si="472"/>
        <v>9803</v>
      </c>
      <c r="E2515" s="1" t="s">
        <v>32</v>
      </c>
      <c r="F2515" s="1" t="str">
        <f>"B5E82807723802000000000021274400"</f>
        <v>B5E82807723802000000000021274400</v>
      </c>
      <c r="G2515" s="1" t="s">
        <v>58</v>
      </c>
      <c r="H2515" s="1" t="str">
        <f t="shared" si="470"/>
        <v>20220911</v>
      </c>
      <c r="I2515" s="1" t="str">
        <f>"102918"</f>
        <v>102918</v>
      </c>
      <c r="J2515" s="1" t="s">
        <v>28</v>
      </c>
      <c r="K2515" s="1" t="s">
        <v>28</v>
      </c>
      <c r="L2515" s="1" t="str">
        <f t="shared" si="474"/>
        <v>20220911</v>
      </c>
      <c r="M2515" s="1" t="str">
        <f>"104910"</f>
        <v>104910</v>
      </c>
      <c r="N2515" s="1" t="s">
        <v>34</v>
      </c>
      <c r="O2515" s="1" t="s">
        <v>34</v>
      </c>
      <c r="P2515" s="1" t="s">
        <v>55</v>
      </c>
      <c r="Q2515" s="1">
        <v>25</v>
      </c>
      <c r="R2515" s="1">
        <v>0</v>
      </c>
      <c r="S2515" s="1">
        <v>25</v>
      </c>
      <c r="T2515" s="1">
        <v>0</v>
      </c>
      <c r="U2515" s="1">
        <v>0</v>
      </c>
      <c r="V2515" s="1" t="str">
        <f t="shared" si="473"/>
        <v>里程去程</v>
      </c>
      <c r="W2515" s="1" t="str">
        <f>"0620"</f>
        <v>0620</v>
      </c>
      <c r="X2515" s="1" t="s">
        <v>29</v>
      </c>
    </row>
    <row r="2516" spans="1:24" x14ac:dyDescent="0.3">
      <c r="A2516" s="1" t="str">
        <f t="shared" si="471"/>
        <v>59825</v>
      </c>
      <c r="B2516" s="1" t="s">
        <v>30</v>
      </c>
      <c r="C2516" s="1" t="s">
        <v>31</v>
      </c>
      <c r="D2516" s="1" t="str">
        <f t="shared" si="472"/>
        <v>9803</v>
      </c>
      <c r="E2516" s="1" t="s">
        <v>32</v>
      </c>
      <c r="F2516" s="1" t="str">
        <f>"500586049"</f>
        <v>500586049</v>
      </c>
      <c r="G2516" s="1" t="s">
        <v>33</v>
      </c>
      <c r="H2516" s="1" t="str">
        <f t="shared" si="470"/>
        <v>20220911</v>
      </c>
      <c r="I2516" s="1" t="str">
        <f>"102927"</f>
        <v>102927</v>
      </c>
      <c r="J2516" s="1" t="s">
        <v>28</v>
      </c>
      <c r="K2516" s="1" t="s">
        <v>28</v>
      </c>
      <c r="L2516" s="1" t="str">
        <f t="shared" si="474"/>
        <v>20220911</v>
      </c>
      <c r="M2516" s="1" t="str">
        <f>"104854"</f>
        <v>104854</v>
      </c>
      <c r="N2516" s="1" t="s">
        <v>34</v>
      </c>
      <c r="O2516" s="1" t="s">
        <v>34</v>
      </c>
      <c r="P2516" s="1" t="s">
        <v>55</v>
      </c>
      <c r="Q2516" s="1">
        <v>25</v>
      </c>
      <c r="R2516" s="1">
        <v>25</v>
      </c>
      <c r="S2516" s="1">
        <v>0</v>
      </c>
      <c r="T2516" s="1">
        <v>0</v>
      </c>
      <c r="U2516" s="1">
        <v>0</v>
      </c>
      <c r="V2516" s="1" t="str">
        <f t="shared" si="473"/>
        <v>里程去程</v>
      </c>
      <c r="W2516" s="1" t="str">
        <f>"0620"</f>
        <v>0620</v>
      </c>
      <c r="X2516" s="1" t="s">
        <v>35</v>
      </c>
    </row>
    <row r="2517" spans="1:24" x14ac:dyDescent="0.3">
      <c r="A2517" s="1" t="str">
        <f t="shared" si="471"/>
        <v>59825</v>
      </c>
      <c r="B2517" s="1" t="s">
        <v>30</v>
      </c>
      <c r="C2517" s="1" t="s">
        <v>31</v>
      </c>
      <c r="D2517" s="1" t="str">
        <f t="shared" si="472"/>
        <v>9803</v>
      </c>
      <c r="E2517" s="1" t="s">
        <v>32</v>
      </c>
      <c r="F2517" s="1" t="str">
        <f>"155724017"</f>
        <v>155724017</v>
      </c>
      <c r="G2517" s="1" t="s">
        <v>33</v>
      </c>
      <c r="H2517" s="1" t="str">
        <f t="shared" si="470"/>
        <v>20220911</v>
      </c>
      <c r="I2517" s="1" t="str">
        <f>"105656"</f>
        <v>105656</v>
      </c>
      <c r="J2517" s="1" t="s">
        <v>34</v>
      </c>
      <c r="K2517" s="1" t="s">
        <v>34</v>
      </c>
      <c r="L2517" s="1" t="str">
        <f t="shared" si="474"/>
        <v>20220911</v>
      </c>
      <c r="M2517" s="1" t="str">
        <f>"113116"</f>
        <v>113116</v>
      </c>
      <c r="N2517" s="1" t="s">
        <v>28</v>
      </c>
      <c r="O2517" s="1" t="s">
        <v>28</v>
      </c>
      <c r="P2517" s="1" t="s">
        <v>55</v>
      </c>
      <c r="Q2517" s="1">
        <v>25</v>
      </c>
      <c r="R2517" s="1">
        <v>25</v>
      </c>
      <c r="S2517" s="1">
        <v>0</v>
      </c>
      <c r="T2517" s="1">
        <v>0</v>
      </c>
      <c r="U2517" s="1">
        <v>0</v>
      </c>
      <c r="V2517" s="1" t="str">
        <f t="shared" ref="V2517:V2541" si="475">"里程返程"</f>
        <v>里程返程</v>
      </c>
      <c r="W2517" s="1" t="str">
        <f>"2020"</f>
        <v>2020</v>
      </c>
      <c r="X2517" s="1" t="s">
        <v>35</v>
      </c>
    </row>
    <row r="2518" spans="1:24" x14ac:dyDescent="0.3">
      <c r="A2518" s="1" t="str">
        <f t="shared" si="471"/>
        <v>59825</v>
      </c>
      <c r="B2518" s="1" t="s">
        <v>30</v>
      </c>
      <c r="C2518" s="1" t="s">
        <v>31</v>
      </c>
      <c r="D2518" s="1" t="str">
        <f t="shared" si="472"/>
        <v>9803</v>
      </c>
      <c r="E2518" s="1" t="s">
        <v>32</v>
      </c>
      <c r="F2518" s="1" t="str">
        <f>"939312229"</f>
        <v>939312229</v>
      </c>
      <c r="G2518" s="1" t="s">
        <v>38</v>
      </c>
      <c r="H2518" s="1" t="str">
        <f t="shared" si="470"/>
        <v>20220911</v>
      </c>
      <c r="I2518" s="1" t="str">
        <f>"105925"</f>
        <v>105925</v>
      </c>
      <c r="J2518" s="1" t="s">
        <v>34</v>
      </c>
      <c r="K2518" s="1" t="s">
        <v>34</v>
      </c>
      <c r="L2518" s="1" t="str">
        <f t="shared" si="474"/>
        <v>20220911</v>
      </c>
      <c r="M2518" s="1" t="str">
        <f>"113127"</f>
        <v>113127</v>
      </c>
      <c r="N2518" s="1" t="s">
        <v>28</v>
      </c>
      <c r="O2518" s="1" t="s">
        <v>28</v>
      </c>
      <c r="P2518" s="1" t="s">
        <v>55</v>
      </c>
      <c r="Q2518" s="1">
        <v>25</v>
      </c>
      <c r="R2518" s="1">
        <v>25</v>
      </c>
      <c r="S2518" s="1">
        <v>0</v>
      </c>
      <c r="T2518" s="1">
        <v>0</v>
      </c>
      <c r="U2518" s="1">
        <v>0</v>
      </c>
      <c r="V2518" s="1" t="str">
        <f t="shared" si="475"/>
        <v>里程返程</v>
      </c>
      <c r="W2518" s="1" t="str">
        <f>"2020"</f>
        <v>2020</v>
      </c>
      <c r="X2518" s="1" t="s">
        <v>35</v>
      </c>
    </row>
    <row r="2519" spans="1:24" x14ac:dyDescent="0.3">
      <c r="A2519" s="1" t="str">
        <f t="shared" si="471"/>
        <v>59825</v>
      </c>
      <c r="B2519" s="1" t="s">
        <v>30</v>
      </c>
      <c r="C2519" s="1" t="s">
        <v>31</v>
      </c>
      <c r="D2519" s="1" t="str">
        <f t="shared" si="472"/>
        <v>9803</v>
      </c>
      <c r="E2519" s="1" t="s">
        <v>32</v>
      </c>
      <c r="F2519" s="1" t="str">
        <f>"F542440CFF180200D200000C22400417"</f>
        <v>F542440CFF180200D200000C22400417</v>
      </c>
      <c r="G2519" s="1" t="s">
        <v>58</v>
      </c>
      <c r="H2519" s="1" t="str">
        <f t="shared" si="470"/>
        <v>20220911</v>
      </c>
      <c r="I2519" s="1" t="str">
        <f>"110858"</f>
        <v>110858</v>
      </c>
      <c r="J2519" s="1" t="s">
        <v>73</v>
      </c>
      <c r="K2519" s="1" t="s">
        <v>28</v>
      </c>
      <c r="L2519" s="1" t="str">
        <f t="shared" si="474"/>
        <v>20220911</v>
      </c>
      <c r="M2519" s="1" t="str">
        <f>"113122"</f>
        <v>113122</v>
      </c>
      <c r="N2519" s="1" t="s">
        <v>28</v>
      </c>
      <c r="O2519" s="1" t="s">
        <v>28</v>
      </c>
      <c r="P2519" s="1" t="s">
        <v>55</v>
      </c>
      <c r="Q2519" s="1">
        <v>25</v>
      </c>
      <c r="R2519" s="1">
        <v>25</v>
      </c>
      <c r="S2519" s="1">
        <v>0</v>
      </c>
      <c r="T2519" s="1">
        <v>0</v>
      </c>
      <c r="U2519" s="1">
        <v>0</v>
      </c>
      <c r="V2519" s="1" t="str">
        <f t="shared" si="475"/>
        <v>里程返程</v>
      </c>
      <c r="W2519" s="1" t="str">
        <f>"0020"</f>
        <v>0020</v>
      </c>
      <c r="X2519" s="1" t="s">
        <v>29</v>
      </c>
    </row>
    <row r="2520" spans="1:24" x14ac:dyDescent="0.3">
      <c r="A2520" s="1" t="str">
        <f t="shared" si="471"/>
        <v>59825</v>
      </c>
      <c r="B2520" s="1" t="s">
        <v>30</v>
      </c>
      <c r="C2520" s="1" t="s">
        <v>31</v>
      </c>
      <c r="D2520" s="1" t="str">
        <f t="shared" si="472"/>
        <v>9803</v>
      </c>
      <c r="E2520" s="1" t="s">
        <v>32</v>
      </c>
      <c r="F2520" s="1" t="str">
        <f>"2027144424"</f>
        <v>2027144424</v>
      </c>
      <c r="G2520" s="1" t="s">
        <v>33</v>
      </c>
      <c r="H2520" s="1" t="str">
        <f t="shared" si="470"/>
        <v>20220911</v>
      </c>
      <c r="I2520" s="1" t="str">
        <f>"110901"</f>
        <v>110901</v>
      </c>
      <c r="J2520" s="1" t="s">
        <v>73</v>
      </c>
      <c r="K2520" s="1" t="s">
        <v>28</v>
      </c>
      <c r="L2520" s="1" t="str">
        <f t="shared" si="474"/>
        <v>20220911</v>
      </c>
      <c r="M2520" s="1" t="str">
        <f>"113106"</f>
        <v>113106</v>
      </c>
      <c r="N2520" s="1" t="s">
        <v>28</v>
      </c>
      <c r="O2520" s="1" t="s">
        <v>28</v>
      </c>
      <c r="P2520" s="1" t="s">
        <v>55</v>
      </c>
      <c r="Q2520" s="1">
        <v>25</v>
      </c>
      <c r="R2520" s="1">
        <v>25</v>
      </c>
      <c r="S2520" s="1">
        <v>0</v>
      </c>
      <c r="T2520" s="1">
        <v>0</v>
      </c>
      <c r="U2520" s="1">
        <v>0</v>
      </c>
      <c r="V2520" s="1" t="str">
        <f t="shared" si="475"/>
        <v>里程返程</v>
      </c>
      <c r="W2520" s="1" t="str">
        <f>"2020"</f>
        <v>2020</v>
      </c>
      <c r="X2520" s="1" t="s">
        <v>35</v>
      </c>
    </row>
    <row r="2521" spans="1:24" x14ac:dyDescent="0.3">
      <c r="A2521" s="1" t="str">
        <f t="shared" si="471"/>
        <v>59825</v>
      </c>
      <c r="B2521" s="1" t="s">
        <v>30</v>
      </c>
      <c r="C2521" s="1" t="s">
        <v>31</v>
      </c>
      <c r="D2521" s="1" t="str">
        <f t="shared" si="472"/>
        <v>9803</v>
      </c>
      <c r="E2521" s="1" t="s">
        <v>32</v>
      </c>
      <c r="F2521" s="1" t="str">
        <f>"222493729"</f>
        <v>222493729</v>
      </c>
      <c r="G2521" s="1" t="s">
        <v>33</v>
      </c>
      <c r="H2521" s="1" t="str">
        <f t="shared" si="470"/>
        <v>20220911</v>
      </c>
      <c r="I2521" s="1" t="str">
        <f>"111356"</f>
        <v>111356</v>
      </c>
      <c r="J2521" s="1" t="s">
        <v>87</v>
      </c>
      <c r="K2521" s="1" t="s">
        <v>28</v>
      </c>
      <c r="L2521" s="1" t="str">
        <f t="shared" si="474"/>
        <v>20220911</v>
      </c>
      <c r="M2521" s="1" t="str">
        <f>"112108"</f>
        <v>112108</v>
      </c>
      <c r="N2521" s="1" t="s">
        <v>46</v>
      </c>
      <c r="O2521" s="1" t="s">
        <v>28</v>
      </c>
      <c r="P2521" s="1" t="s">
        <v>55</v>
      </c>
      <c r="Q2521" s="1">
        <v>25</v>
      </c>
      <c r="R2521" s="1">
        <v>0</v>
      </c>
      <c r="S2521" s="1">
        <v>25</v>
      </c>
      <c r="T2521" s="1">
        <v>0</v>
      </c>
      <c r="U2521" s="1">
        <v>0</v>
      </c>
      <c r="V2521" s="1" t="str">
        <f t="shared" si="475"/>
        <v>里程返程</v>
      </c>
      <c r="W2521" s="1" t="str">
        <f>"2120"</f>
        <v>2120</v>
      </c>
      <c r="X2521" s="1" t="s">
        <v>35</v>
      </c>
    </row>
    <row r="2522" spans="1:24" x14ac:dyDescent="0.3">
      <c r="A2522" s="1" t="str">
        <f t="shared" si="471"/>
        <v>59825</v>
      </c>
      <c r="B2522" s="1" t="s">
        <v>30</v>
      </c>
      <c r="C2522" s="1" t="s">
        <v>31</v>
      </c>
      <c r="D2522" s="1" t="str">
        <f t="shared" si="472"/>
        <v>9803</v>
      </c>
      <c r="E2522" s="1" t="s">
        <v>32</v>
      </c>
      <c r="F2522" s="1" t="str">
        <f>"02B8FA125228040080CEBCD765512818"</f>
        <v>02B8FA125228040080CEBCD765512818</v>
      </c>
      <c r="G2522" s="1" t="s">
        <v>58</v>
      </c>
      <c r="H2522" s="1" t="str">
        <f t="shared" si="470"/>
        <v>20220911</v>
      </c>
      <c r="I2522" s="1" t="str">
        <f>"115507"</f>
        <v>115507</v>
      </c>
      <c r="J2522" s="1" t="s">
        <v>34</v>
      </c>
      <c r="K2522" s="1" t="s">
        <v>34</v>
      </c>
      <c r="L2522" s="1" t="str">
        <f t="shared" si="474"/>
        <v>20220911</v>
      </c>
      <c r="M2522" s="1" t="str">
        <f>"122855"</f>
        <v>122855</v>
      </c>
      <c r="N2522" s="1" t="s">
        <v>28</v>
      </c>
      <c r="O2522" s="1" t="s">
        <v>28</v>
      </c>
      <c r="P2522" s="1" t="s">
        <v>55</v>
      </c>
      <c r="Q2522" s="1">
        <v>25</v>
      </c>
      <c r="R2522" s="1">
        <v>25</v>
      </c>
      <c r="S2522" s="1">
        <v>0</v>
      </c>
      <c r="T2522" s="1">
        <v>0</v>
      </c>
      <c r="U2522" s="1">
        <v>0</v>
      </c>
      <c r="V2522" s="1" t="str">
        <f t="shared" si="475"/>
        <v>里程返程</v>
      </c>
      <c r="W2522" s="1" t="str">
        <f>"0020"</f>
        <v>0020</v>
      </c>
      <c r="X2522" s="1" t="s">
        <v>29</v>
      </c>
    </row>
    <row r="2523" spans="1:24" x14ac:dyDescent="0.3">
      <c r="A2523" s="1" t="str">
        <f t="shared" si="471"/>
        <v>59825</v>
      </c>
      <c r="B2523" s="1" t="s">
        <v>30</v>
      </c>
      <c r="C2523" s="1" t="s">
        <v>31</v>
      </c>
      <c r="D2523" s="1" t="str">
        <f t="shared" si="472"/>
        <v>9803</v>
      </c>
      <c r="E2523" s="1" t="s">
        <v>32</v>
      </c>
      <c r="F2523" s="1" t="str">
        <f>"978041157"</f>
        <v>978041157</v>
      </c>
      <c r="G2523" s="1" t="s">
        <v>33</v>
      </c>
      <c r="H2523" s="1" t="str">
        <f t="shared" si="470"/>
        <v>20220911</v>
      </c>
      <c r="I2523" s="1" t="str">
        <f>"115528"</f>
        <v>115528</v>
      </c>
      <c r="J2523" s="1" t="s">
        <v>34</v>
      </c>
      <c r="K2523" s="1" t="s">
        <v>34</v>
      </c>
      <c r="L2523" s="1" t="str">
        <f t="shared" si="474"/>
        <v>20220911</v>
      </c>
      <c r="M2523" s="1" t="str">
        <f>"122813"</f>
        <v>122813</v>
      </c>
      <c r="N2523" s="1" t="s">
        <v>28</v>
      </c>
      <c r="O2523" s="1" t="s">
        <v>28</v>
      </c>
      <c r="P2523" s="1" t="s">
        <v>55</v>
      </c>
      <c r="Q2523" s="1">
        <v>25</v>
      </c>
      <c r="R2523" s="1">
        <v>25</v>
      </c>
      <c r="S2523" s="1">
        <v>0</v>
      </c>
      <c r="T2523" s="1">
        <v>0</v>
      </c>
      <c r="U2523" s="1">
        <v>0</v>
      </c>
      <c r="V2523" s="1" t="str">
        <f t="shared" si="475"/>
        <v>里程返程</v>
      </c>
      <c r="W2523" s="1" t="str">
        <f>"0320"</f>
        <v>0320</v>
      </c>
      <c r="X2523" s="1" t="s">
        <v>35</v>
      </c>
    </row>
    <row r="2524" spans="1:24" x14ac:dyDescent="0.3">
      <c r="A2524" s="1" t="str">
        <f t="shared" si="471"/>
        <v>59825</v>
      </c>
      <c r="B2524" s="1" t="s">
        <v>30</v>
      </c>
      <c r="C2524" s="1" t="s">
        <v>31</v>
      </c>
      <c r="D2524" s="1" t="str">
        <f t="shared" si="472"/>
        <v>9803</v>
      </c>
      <c r="E2524" s="1" t="s">
        <v>32</v>
      </c>
      <c r="F2524" s="1" t="str">
        <f>"1258448325"</f>
        <v>1258448325</v>
      </c>
      <c r="G2524" s="1" t="s">
        <v>33</v>
      </c>
      <c r="H2524" s="1" t="str">
        <f t="shared" si="470"/>
        <v>20220911</v>
      </c>
      <c r="I2524" s="1" t="str">
        <f>"115533"</f>
        <v>115533</v>
      </c>
      <c r="J2524" s="1" t="s">
        <v>34</v>
      </c>
      <c r="K2524" s="1" t="s">
        <v>34</v>
      </c>
      <c r="L2524" s="1" t="str">
        <f t="shared" si="474"/>
        <v>20220911</v>
      </c>
      <c r="M2524" s="1" t="str">
        <f>"122815"</f>
        <v>122815</v>
      </c>
      <c r="N2524" s="1" t="s">
        <v>28</v>
      </c>
      <c r="O2524" s="1" t="s">
        <v>28</v>
      </c>
      <c r="P2524" s="1" t="s">
        <v>55</v>
      </c>
      <c r="Q2524" s="1">
        <v>25</v>
      </c>
      <c r="R2524" s="1">
        <v>25</v>
      </c>
      <c r="S2524" s="1">
        <v>0</v>
      </c>
      <c r="T2524" s="1">
        <v>0</v>
      </c>
      <c r="U2524" s="1">
        <v>0</v>
      </c>
      <c r="V2524" s="1" t="str">
        <f t="shared" si="475"/>
        <v>里程返程</v>
      </c>
      <c r="W2524" s="1" t="str">
        <f>"1920"</f>
        <v>1920</v>
      </c>
      <c r="X2524" s="1" t="s">
        <v>35</v>
      </c>
    </row>
    <row r="2525" spans="1:24" x14ac:dyDescent="0.3">
      <c r="A2525" s="1" t="str">
        <f t="shared" si="471"/>
        <v>59825</v>
      </c>
      <c r="B2525" s="1" t="s">
        <v>30</v>
      </c>
      <c r="C2525" s="1" t="s">
        <v>31</v>
      </c>
      <c r="D2525" s="1" t="str">
        <f t="shared" si="472"/>
        <v>9803</v>
      </c>
      <c r="E2525" s="1" t="s">
        <v>32</v>
      </c>
      <c r="F2525" s="1" t="str">
        <f>"1002024293"</f>
        <v>1002024293</v>
      </c>
      <c r="G2525" s="1" t="s">
        <v>33</v>
      </c>
      <c r="H2525" s="1" t="str">
        <f t="shared" si="470"/>
        <v>20220911</v>
      </c>
      <c r="I2525" s="1" t="str">
        <f>"115549"</f>
        <v>115549</v>
      </c>
      <c r="J2525" s="1" t="s">
        <v>34</v>
      </c>
      <c r="K2525" s="1" t="s">
        <v>34</v>
      </c>
      <c r="L2525" s="1" t="str">
        <f t="shared" si="474"/>
        <v>20220911</v>
      </c>
      <c r="M2525" s="1" t="str">
        <f>"122906"</f>
        <v>122906</v>
      </c>
      <c r="N2525" s="1" t="s">
        <v>28</v>
      </c>
      <c r="O2525" s="1" t="s">
        <v>28</v>
      </c>
      <c r="P2525" s="1" t="s">
        <v>55</v>
      </c>
      <c r="Q2525" s="1">
        <v>25</v>
      </c>
      <c r="R2525" s="1">
        <v>25</v>
      </c>
      <c r="S2525" s="1">
        <v>0</v>
      </c>
      <c r="T2525" s="1">
        <v>0</v>
      </c>
      <c r="U2525" s="1">
        <v>0</v>
      </c>
      <c r="V2525" s="1" t="str">
        <f t="shared" si="475"/>
        <v>里程返程</v>
      </c>
      <c r="W2525" s="1" t="str">
        <f>"1120"</f>
        <v>1120</v>
      </c>
      <c r="X2525" s="1" t="s">
        <v>35</v>
      </c>
    </row>
    <row r="2526" spans="1:24" x14ac:dyDescent="0.3">
      <c r="A2526" s="1" t="str">
        <f t="shared" si="471"/>
        <v>59825</v>
      </c>
      <c r="B2526" s="1" t="s">
        <v>30</v>
      </c>
      <c r="C2526" s="1" t="s">
        <v>31</v>
      </c>
      <c r="D2526" s="1" t="str">
        <f t="shared" si="472"/>
        <v>9803</v>
      </c>
      <c r="E2526" s="1" t="s">
        <v>32</v>
      </c>
      <c r="F2526" s="1" t="str">
        <f>"A12A6254BD2804001C00000000000000"</f>
        <v>A12A6254BD2804001C00000000000000</v>
      </c>
      <c r="G2526" s="1" t="s">
        <v>58</v>
      </c>
      <c r="H2526" s="1" t="str">
        <f t="shared" si="470"/>
        <v>20220911</v>
      </c>
      <c r="I2526" s="1" t="str">
        <f>"115553"</f>
        <v>115553</v>
      </c>
      <c r="J2526" s="1" t="s">
        <v>34</v>
      </c>
      <c r="K2526" s="1" t="s">
        <v>34</v>
      </c>
      <c r="L2526" s="1" t="str">
        <f t="shared" si="474"/>
        <v>20220911</v>
      </c>
      <c r="M2526" s="1" t="str">
        <f>"122748"</f>
        <v>122748</v>
      </c>
      <c r="N2526" s="1" t="s">
        <v>28</v>
      </c>
      <c r="O2526" s="1" t="s">
        <v>28</v>
      </c>
      <c r="P2526" s="1" t="s">
        <v>55</v>
      </c>
      <c r="Q2526" s="1">
        <v>25</v>
      </c>
      <c r="R2526" s="1">
        <v>25</v>
      </c>
      <c r="S2526" s="1">
        <v>0</v>
      </c>
      <c r="T2526" s="1">
        <v>0</v>
      </c>
      <c r="U2526" s="1">
        <v>0</v>
      </c>
      <c r="V2526" s="1" t="str">
        <f t="shared" si="475"/>
        <v>里程返程</v>
      </c>
      <c r="W2526" s="1" t="str">
        <f>"0020"</f>
        <v>0020</v>
      </c>
      <c r="X2526" s="1" t="s">
        <v>29</v>
      </c>
    </row>
    <row r="2527" spans="1:24" x14ac:dyDescent="0.3">
      <c r="A2527" s="1" t="str">
        <f t="shared" si="471"/>
        <v>59825</v>
      </c>
      <c r="B2527" s="1" t="s">
        <v>30</v>
      </c>
      <c r="C2527" s="1" t="s">
        <v>31</v>
      </c>
      <c r="D2527" s="1" t="str">
        <f t="shared" si="472"/>
        <v>9803</v>
      </c>
      <c r="E2527" s="1" t="s">
        <v>32</v>
      </c>
      <c r="F2527" s="1" t="str">
        <f>"1767704213"</f>
        <v>1767704213</v>
      </c>
      <c r="G2527" s="1" t="s">
        <v>33</v>
      </c>
      <c r="H2527" s="1" t="str">
        <f t="shared" si="470"/>
        <v>20220911</v>
      </c>
      <c r="I2527" s="1" t="str">
        <f>"115607"</f>
        <v>115607</v>
      </c>
      <c r="J2527" s="1" t="s">
        <v>34</v>
      </c>
      <c r="K2527" s="1" t="s">
        <v>34</v>
      </c>
      <c r="L2527" s="1" t="str">
        <f t="shared" si="474"/>
        <v>20220911</v>
      </c>
      <c r="M2527" s="1" t="str">
        <f>"122721"</f>
        <v>122721</v>
      </c>
      <c r="N2527" s="1" t="s">
        <v>28</v>
      </c>
      <c r="O2527" s="1" t="s">
        <v>28</v>
      </c>
      <c r="P2527" s="1" t="s">
        <v>55</v>
      </c>
      <c r="Q2527" s="1">
        <v>25</v>
      </c>
      <c r="R2527" s="1">
        <v>25</v>
      </c>
      <c r="S2527" s="1">
        <v>0</v>
      </c>
      <c r="T2527" s="1">
        <v>0</v>
      </c>
      <c r="U2527" s="1">
        <v>0</v>
      </c>
      <c r="V2527" s="1" t="str">
        <f t="shared" si="475"/>
        <v>里程返程</v>
      </c>
      <c r="W2527" s="1" t="str">
        <f>"2020"</f>
        <v>2020</v>
      </c>
      <c r="X2527" s="1" t="s">
        <v>35</v>
      </c>
    </row>
    <row r="2528" spans="1:24" x14ac:dyDescent="0.3">
      <c r="A2528" s="1" t="str">
        <f t="shared" si="471"/>
        <v>59825</v>
      </c>
      <c r="B2528" s="1" t="s">
        <v>30</v>
      </c>
      <c r="C2528" s="1" t="s">
        <v>31</v>
      </c>
      <c r="D2528" s="1" t="str">
        <f t="shared" si="472"/>
        <v>9803</v>
      </c>
      <c r="E2528" s="1" t="s">
        <v>32</v>
      </c>
      <c r="F2528" s="1" t="str">
        <f>"1704187857"</f>
        <v>1704187857</v>
      </c>
      <c r="G2528" s="1" t="s">
        <v>33</v>
      </c>
      <c r="H2528" s="1" t="str">
        <f t="shared" si="470"/>
        <v>20220911</v>
      </c>
      <c r="I2528" s="1" t="str">
        <f>"115608"</f>
        <v>115608</v>
      </c>
      <c r="J2528" s="1" t="s">
        <v>34</v>
      </c>
      <c r="K2528" s="1" t="s">
        <v>34</v>
      </c>
      <c r="L2528" s="1" t="str">
        <f t="shared" si="474"/>
        <v>20220911</v>
      </c>
      <c r="M2528" s="1" t="str">
        <f>"122719"</f>
        <v>122719</v>
      </c>
      <c r="N2528" s="1" t="s">
        <v>28</v>
      </c>
      <c r="O2528" s="1" t="s">
        <v>28</v>
      </c>
      <c r="P2528" s="1" t="s">
        <v>55</v>
      </c>
      <c r="Q2528" s="1">
        <v>25</v>
      </c>
      <c r="R2528" s="1">
        <v>25</v>
      </c>
      <c r="S2528" s="1">
        <v>0</v>
      </c>
      <c r="T2528" s="1">
        <v>0</v>
      </c>
      <c r="U2528" s="1">
        <v>0</v>
      </c>
      <c r="V2528" s="1" t="str">
        <f t="shared" si="475"/>
        <v>里程返程</v>
      </c>
      <c r="W2528" s="1" t="str">
        <f>"2020"</f>
        <v>2020</v>
      </c>
      <c r="X2528" s="1" t="s">
        <v>35</v>
      </c>
    </row>
    <row r="2529" spans="1:24" x14ac:dyDescent="0.3">
      <c r="A2529" s="1" t="str">
        <f t="shared" si="471"/>
        <v>59825</v>
      </c>
      <c r="B2529" s="1" t="s">
        <v>30</v>
      </c>
      <c r="C2529" s="1" t="s">
        <v>31</v>
      </c>
      <c r="D2529" s="1" t="str">
        <f t="shared" si="472"/>
        <v>9803</v>
      </c>
      <c r="E2529" s="1" t="s">
        <v>32</v>
      </c>
      <c r="F2529" s="1" t="str">
        <f>"728202449"</f>
        <v>728202449</v>
      </c>
      <c r="G2529" s="1" t="s">
        <v>33</v>
      </c>
      <c r="H2529" s="1" t="str">
        <f t="shared" si="470"/>
        <v>20220911</v>
      </c>
      <c r="I2529" s="1" t="str">
        <f>"115621"</f>
        <v>115621</v>
      </c>
      <c r="J2529" s="1" t="s">
        <v>34</v>
      </c>
      <c r="K2529" s="1" t="s">
        <v>34</v>
      </c>
      <c r="L2529" s="1" t="str">
        <f t="shared" si="474"/>
        <v>20220911</v>
      </c>
      <c r="M2529" s="1" t="str">
        <f>"122740"</f>
        <v>122740</v>
      </c>
      <c r="N2529" s="1" t="s">
        <v>28</v>
      </c>
      <c r="O2529" s="1" t="s">
        <v>28</v>
      </c>
      <c r="P2529" s="1" t="s">
        <v>55</v>
      </c>
      <c r="Q2529" s="1">
        <v>25</v>
      </c>
      <c r="R2529" s="1">
        <v>25</v>
      </c>
      <c r="S2529" s="1">
        <v>0</v>
      </c>
      <c r="T2529" s="1">
        <v>0</v>
      </c>
      <c r="U2529" s="1">
        <v>0</v>
      </c>
      <c r="V2529" s="1" t="str">
        <f t="shared" si="475"/>
        <v>里程返程</v>
      </c>
      <c r="W2529" s="1" t="str">
        <f>"2020"</f>
        <v>2020</v>
      </c>
      <c r="X2529" s="1" t="s">
        <v>35</v>
      </c>
    </row>
    <row r="2530" spans="1:24" x14ac:dyDescent="0.3">
      <c r="A2530" s="1" t="str">
        <f t="shared" si="471"/>
        <v>59825</v>
      </c>
      <c r="B2530" s="1" t="s">
        <v>30</v>
      </c>
      <c r="C2530" s="1" t="s">
        <v>31</v>
      </c>
      <c r="D2530" s="1" t="str">
        <f t="shared" si="472"/>
        <v>9803</v>
      </c>
      <c r="E2530" s="1" t="s">
        <v>32</v>
      </c>
      <c r="F2530" s="1" t="str">
        <f>"1751651749"</f>
        <v>1751651749</v>
      </c>
      <c r="G2530" s="1" t="s">
        <v>33</v>
      </c>
      <c r="H2530" s="1" t="str">
        <f t="shared" si="470"/>
        <v>20220911</v>
      </c>
      <c r="I2530" s="1" t="str">
        <f>"115631"</f>
        <v>115631</v>
      </c>
      <c r="J2530" s="1" t="s">
        <v>34</v>
      </c>
      <c r="K2530" s="1" t="s">
        <v>34</v>
      </c>
      <c r="L2530" s="1" t="str">
        <f t="shared" si="474"/>
        <v>20220911</v>
      </c>
      <c r="M2530" s="1" t="str">
        <f>"122752"</f>
        <v>122752</v>
      </c>
      <c r="N2530" s="1" t="s">
        <v>28</v>
      </c>
      <c r="O2530" s="1" t="s">
        <v>28</v>
      </c>
      <c r="P2530" s="1" t="s">
        <v>55</v>
      </c>
      <c r="Q2530" s="1">
        <v>25</v>
      </c>
      <c r="R2530" s="1">
        <v>25</v>
      </c>
      <c r="S2530" s="1">
        <v>0</v>
      </c>
      <c r="T2530" s="1">
        <v>0</v>
      </c>
      <c r="U2530" s="1">
        <v>0</v>
      </c>
      <c r="V2530" s="1" t="str">
        <f t="shared" si="475"/>
        <v>里程返程</v>
      </c>
      <c r="W2530" s="1" t="str">
        <f>"2020"</f>
        <v>2020</v>
      </c>
      <c r="X2530" s="1" t="s">
        <v>35</v>
      </c>
    </row>
    <row r="2531" spans="1:24" x14ac:dyDescent="0.3">
      <c r="A2531" s="1" t="str">
        <f t="shared" si="471"/>
        <v>59825</v>
      </c>
      <c r="B2531" s="1" t="s">
        <v>30</v>
      </c>
      <c r="C2531" s="1" t="s">
        <v>31</v>
      </c>
      <c r="D2531" s="1" t="str">
        <f t="shared" si="472"/>
        <v>9803</v>
      </c>
      <c r="E2531" s="1" t="s">
        <v>32</v>
      </c>
      <c r="F2531" s="1" t="str">
        <f>"1266100245"</f>
        <v>1266100245</v>
      </c>
      <c r="G2531" s="1" t="s">
        <v>33</v>
      </c>
      <c r="H2531" s="1" t="str">
        <f t="shared" si="470"/>
        <v>20220911</v>
      </c>
      <c r="I2531" s="1" t="str">
        <f>"115635"</f>
        <v>115635</v>
      </c>
      <c r="J2531" s="1" t="s">
        <v>34</v>
      </c>
      <c r="K2531" s="1" t="s">
        <v>34</v>
      </c>
      <c r="L2531" s="1" t="str">
        <f t="shared" si="474"/>
        <v>20220911</v>
      </c>
      <c r="M2531" s="1" t="str">
        <f>"121708"</f>
        <v>121708</v>
      </c>
      <c r="N2531" s="1" t="s">
        <v>46</v>
      </c>
      <c r="O2531" s="1" t="s">
        <v>28</v>
      </c>
      <c r="P2531" s="1" t="s">
        <v>55</v>
      </c>
      <c r="Q2531" s="1">
        <v>25</v>
      </c>
      <c r="R2531" s="1">
        <v>25</v>
      </c>
      <c r="S2531" s="1">
        <v>0</v>
      </c>
      <c r="T2531" s="1">
        <v>0</v>
      </c>
      <c r="U2531" s="1">
        <v>0</v>
      </c>
      <c r="V2531" s="1" t="str">
        <f t="shared" si="475"/>
        <v>里程返程</v>
      </c>
      <c r="W2531" s="1" t="str">
        <f>"0820"</f>
        <v>0820</v>
      </c>
      <c r="X2531" s="1" t="s">
        <v>35</v>
      </c>
    </row>
    <row r="2532" spans="1:24" x14ac:dyDescent="0.3">
      <c r="A2532" s="1" t="str">
        <f t="shared" si="471"/>
        <v>59825</v>
      </c>
      <c r="B2532" s="1" t="s">
        <v>30</v>
      </c>
      <c r="C2532" s="1" t="s">
        <v>31</v>
      </c>
      <c r="D2532" s="1" t="str">
        <f t="shared" si="472"/>
        <v>9803</v>
      </c>
      <c r="E2532" s="1" t="s">
        <v>32</v>
      </c>
      <c r="F2532" s="1" t="str">
        <f>"776522421"</f>
        <v>776522421</v>
      </c>
      <c r="G2532" s="1" t="s">
        <v>33</v>
      </c>
      <c r="H2532" s="1" t="str">
        <f t="shared" si="470"/>
        <v>20220911</v>
      </c>
      <c r="I2532" s="1" t="str">
        <f>"115639"</f>
        <v>115639</v>
      </c>
      <c r="J2532" s="1" t="s">
        <v>34</v>
      </c>
      <c r="K2532" s="1" t="s">
        <v>34</v>
      </c>
      <c r="L2532" s="1" t="str">
        <f t="shared" si="474"/>
        <v>20220911</v>
      </c>
      <c r="M2532" s="1" t="str">
        <f>"121706"</f>
        <v>121706</v>
      </c>
      <c r="N2532" s="1" t="s">
        <v>46</v>
      </c>
      <c r="O2532" s="1" t="s">
        <v>28</v>
      </c>
      <c r="P2532" s="1" t="s">
        <v>55</v>
      </c>
      <c r="Q2532" s="1">
        <v>25</v>
      </c>
      <c r="R2532" s="1">
        <v>25</v>
      </c>
      <c r="S2532" s="1">
        <v>0</v>
      </c>
      <c r="T2532" s="1">
        <v>0</v>
      </c>
      <c r="U2532" s="1">
        <v>0</v>
      </c>
      <c r="V2532" s="1" t="str">
        <f t="shared" si="475"/>
        <v>里程返程</v>
      </c>
      <c r="W2532" s="1" t="str">
        <f>"0620"</f>
        <v>0620</v>
      </c>
      <c r="X2532" s="1" t="s">
        <v>35</v>
      </c>
    </row>
    <row r="2533" spans="1:24" x14ac:dyDescent="0.3">
      <c r="A2533" s="1" t="str">
        <f t="shared" si="471"/>
        <v>59825</v>
      </c>
      <c r="B2533" s="1" t="s">
        <v>30</v>
      </c>
      <c r="C2533" s="1" t="s">
        <v>31</v>
      </c>
      <c r="D2533" s="1" t="str">
        <f t="shared" si="472"/>
        <v>9803</v>
      </c>
      <c r="E2533" s="1" t="s">
        <v>32</v>
      </c>
      <c r="F2533" s="1" t="str">
        <f>"687606977"</f>
        <v>687606977</v>
      </c>
      <c r="G2533" s="1" t="s">
        <v>33</v>
      </c>
      <c r="H2533" s="1" t="str">
        <f t="shared" si="470"/>
        <v>20220911</v>
      </c>
      <c r="I2533" s="1" t="str">
        <f>"115721"</f>
        <v>115721</v>
      </c>
      <c r="J2533" s="1" t="s">
        <v>34</v>
      </c>
      <c r="K2533" s="1" t="s">
        <v>34</v>
      </c>
      <c r="L2533" s="1" t="str">
        <f t="shared" si="474"/>
        <v>20220911</v>
      </c>
      <c r="M2533" s="1" t="str">
        <f>"122839"</f>
        <v>122839</v>
      </c>
      <c r="N2533" s="1" t="s">
        <v>28</v>
      </c>
      <c r="O2533" s="1" t="s">
        <v>28</v>
      </c>
      <c r="P2533" s="1" t="s">
        <v>55</v>
      </c>
      <c r="Q2533" s="1">
        <v>25</v>
      </c>
      <c r="R2533" s="1">
        <v>25</v>
      </c>
      <c r="S2533" s="1">
        <v>0</v>
      </c>
      <c r="T2533" s="1">
        <v>0</v>
      </c>
      <c r="U2533" s="1">
        <v>0</v>
      </c>
      <c r="V2533" s="1" t="str">
        <f t="shared" si="475"/>
        <v>里程返程</v>
      </c>
      <c r="W2533" s="1" t="str">
        <f>"0820"</f>
        <v>0820</v>
      </c>
      <c r="X2533" s="1" t="s">
        <v>35</v>
      </c>
    </row>
    <row r="2534" spans="1:24" x14ac:dyDescent="0.3">
      <c r="A2534" s="1" t="str">
        <f t="shared" ref="A2534:A2556" si="476">"59825"</f>
        <v>59825</v>
      </c>
      <c r="B2534" s="1" t="s">
        <v>30</v>
      </c>
      <c r="C2534" s="1" t="s">
        <v>31</v>
      </c>
      <c r="D2534" s="1" t="str">
        <f t="shared" ref="D2534:D2550" si="477">"9803"</f>
        <v>9803</v>
      </c>
      <c r="E2534" s="1" t="s">
        <v>32</v>
      </c>
      <c r="F2534" s="1" t="str">
        <f>"1024698129"</f>
        <v>1024698129</v>
      </c>
      <c r="G2534" s="1" t="s">
        <v>33</v>
      </c>
      <c r="H2534" s="1" t="str">
        <f t="shared" si="470"/>
        <v>20220911</v>
      </c>
      <c r="I2534" s="1" t="str">
        <f>"115729"</f>
        <v>115729</v>
      </c>
      <c r="J2534" s="1" t="s">
        <v>34</v>
      </c>
      <c r="K2534" s="1" t="s">
        <v>34</v>
      </c>
      <c r="L2534" s="1" t="str">
        <f t="shared" si="474"/>
        <v>20220911</v>
      </c>
      <c r="M2534" s="1" t="str">
        <f>"122850"</f>
        <v>122850</v>
      </c>
      <c r="N2534" s="1" t="s">
        <v>28</v>
      </c>
      <c r="O2534" s="1" t="s">
        <v>28</v>
      </c>
      <c r="P2534" s="1" t="s">
        <v>55</v>
      </c>
      <c r="Q2534" s="1">
        <v>25</v>
      </c>
      <c r="R2534" s="1">
        <v>25</v>
      </c>
      <c r="S2534" s="1">
        <v>0</v>
      </c>
      <c r="T2534" s="1">
        <v>0</v>
      </c>
      <c r="U2534" s="1">
        <v>0</v>
      </c>
      <c r="V2534" s="1" t="str">
        <f t="shared" si="475"/>
        <v>里程返程</v>
      </c>
      <c r="W2534" s="1" t="str">
        <f>"2020"</f>
        <v>2020</v>
      </c>
      <c r="X2534" s="1" t="s">
        <v>35</v>
      </c>
    </row>
    <row r="2535" spans="1:24" x14ac:dyDescent="0.3">
      <c r="A2535" s="1" t="str">
        <f t="shared" si="476"/>
        <v>59825</v>
      </c>
      <c r="B2535" s="1" t="s">
        <v>30</v>
      </c>
      <c r="C2535" s="1" t="s">
        <v>31</v>
      </c>
      <c r="D2535" s="1" t="str">
        <f t="shared" si="477"/>
        <v>9803</v>
      </c>
      <c r="E2535" s="1" t="s">
        <v>32</v>
      </c>
      <c r="F2535" s="1" t="str">
        <f>"1237936529"</f>
        <v>1237936529</v>
      </c>
      <c r="G2535" s="1" t="s">
        <v>33</v>
      </c>
      <c r="H2535" s="1" t="str">
        <f t="shared" si="470"/>
        <v>20220911</v>
      </c>
      <c r="I2535" s="1" t="str">
        <f>"115738"</f>
        <v>115738</v>
      </c>
      <c r="J2535" s="1" t="s">
        <v>34</v>
      </c>
      <c r="K2535" s="1" t="s">
        <v>34</v>
      </c>
      <c r="L2535" s="1" t="str">
        <f t="shared" si="474"/>
        <v>20220911</v>
      </c>
      <c r="M2535" s="1" t="str">
        <f>"122214"</f>
        <v>122214</v>
      </c>
      <c r="N2535" s="1" t="s">
        <v>92</v>
      </c>
      <c r="O2535" s="1" t="s">
        <v>28</v>
      </c>
      <c r="P2535" s="1" t="s">
        <v>55</v>
      </c>
      <c r="Q2535" s="1">
        <v>25</v>
      </c>
      <c r="R2535" s="1">
        <v>25</v>
      </c>
      <c r="S2535" s="1">
        <v>0</v>
      </c>
      <c r="T2535" s="1">
        <v>0</v>
      </c>
      <c r="U2535" s="1">
        <v>0</v>
      </c>
      <c r="V2535" s="1" t="str">
        <f t="shared" si="475"/>
        <v>里程返程</v>
      </c>
      <c r="W2535" s="1" t="str">
        <f>"0120"</f>
        <v>0120</v>
      </c>
      <c r="X2535" s="1" t="s">
        <v>35</v>
      </c>
    </row>
    <row r="2536" spans="1:24" x14ac:dyDescent="0.3">
      <c r="A2536" s="1" t="str">
        <f t="shared" si="476"/>
        <v>59825</v>
      </c>
      <c r="B2536" s="1" t="s">
        <v>30</v>
      </c>
      <c r="C2536" s="1" t="s">
        <v>31</v>
      </c>
      <c r="D2536" s="1" t="str">
        <f t="shared" si="477"/>
        <v>9803</v>
      </c>
      <c r="E2536" s="1" t="s">
        <v>32</v>
      </c>
      <c r="F2536" s="1" t="str">
        <f>"1016806245"</f>
        <v>1016806245</v>
      </c>
      <c r="G2536" s="1" t="s">
        <v>33</v>
      </c>
      <c r="H2536" s="1" t="str">
        <f t="shared" si="470"/>
        <v>20220911</v>
      </c>
      <c r="I2536" s="1" t="str">
        <f>"115747"</f>
        <v>115747</v>
      </c>
      <c r="J2536" s="1" t="s">
        <v>34</v>
      </c>
      <c r="K2536" s="1" t="s">
        <v>34</v>
      </c>
      <c r="L2536" s="1" t="str">
        <f t="shared" si="474"/>
        <v>20220911</v>
      </c>
      <c r="M2536" s="1" t="str">
        <f>"122203"</f>
        <v>122203</v>
      </c>
      <c r="N2536" s="1" t="s">
        <v>92</v>
      </c>
      <c r="O2536" s="1" t="s">
        <v>28</v>
      </c>
      <c r="P2536" s="1" t="s">
        <v>55</v>
      </c>
      <c r="Q2536" s="1">
        <v>25</v>
      </c>
      <c r="R2536" s="1">
        <v>25</v>
      </c>
      <c r="S2536" s="1">
        <v>0</v>
      </c>
      <c r="T2536" s="1">
        <v>0</v>
      </c>
      <c r="U2536" s="1">
        <v>0</v>
      </c>
      <c r="V2536" s="1" t="str">
        <f t="shared" si="475"/>
        <v>里程返程</v>
      </c>
      <c r="W2536" s="1" t="str">
        <f>"2020"</f>
        <v>2020</v>
      </c>
      <c r="X2536" s="1" t="s">
        <v>35</v>
      </c>
    </row>
    <row r="2537" spans="1:24" x14ac:dyDescent="0.3">
      <c r="A2537" s="1" t="str">
        <f t="shared" si="476"/>
        <v>59825</v>
      </c>
      <c r="B2537" s="1" t="s">
        <v>30</v>
      </c>
      <c r="C2537" s="1" t="s">
        <v>31</v>
      </c>
      <c r="D2537" s="1" t="str">
        <f t="shared" si="477"/>
        <v>9803</v>
      </c>
      <c r="E2537" s="1" t="s">
        <v>32</v>
      </c>
      <c r="F2537" s="1" t="str">
        <f>"1779447589"</f>
        <v>1779447589</v>
      </c>
      <c r="G2537" s="1" t="s">
        <v>33</v>
      </c>
      <c r="H2537" s="1" t="str">
        <f t="shared" si="470"/>
        <v>20220911</v>
      </c>
      <c r="I2537" s="1" t="str">
        <f>"115755"</f>
        <v>115755</v>
      </c>
      <c r="J2537" s="1" t="s">
        <v>34</v>
      </c>
      <c r="K2537" s="1" t="s">
        <v>34</v>
      </c>
      <c r="L2537" s="1" t="str">
        <f t="shared" si="474"/>
        <v>20220911</v>
      </c>
      <c r="M2537" s="1" t="str">
        <f>"122158"</f>
        <v>122158</v>
      </c>
      <c r="N2537" s="1" t="s">
        <v>92</v>
      </c>
      <c r="O2537" s="1" t="s">
        <v>28</v>
      </c>
      <c r="P2537" s="1" t="s">
        <v>55</v>
      </c>
      <c r="Q2537" s="1">
        <v>25</v>
      </c>
      <c r="R2537" s="1">
        <v>25</v>
      </c>
      <c r="S2537" s="1">
        <v>0</v>
      </c>
      <c r="T2537" s="1">
        <v>0</v>
      </c>
      <c r="U2537" s="1">
        <v>0</v>
      </c>
      <c r="V2537" s="1" t="str">
        <f t="shared" si="475"/>
        <v>里程返程</v>
      </c>
      <c r="W2537" s="1" t="str">
        <f>"2020"</f>
        <v>2020</v>
      </c>
      <c r="X2537" s="1" t="s">
        <v>35</v>
      </c>
    </row>
    <row r="2538" spans="1:24" x14ac:dyDescent="0.3">
      <c r="A2538" s="1" t="str">
        <f t="shared" si="476"/>
        <v>59825</v>
      </c>
      <c r="B2538" s="1" t="s">
        <v>30</v>
      </c>
      <c r="C2538" s="1" t="s">
        <v>31</v>
      </c>
      <c r="D2538" s="1" t="str">
        <f t="shared" si="477"/>
        <v>9803</v>
      </c>
      <c r="E2538" s="1" t="s">
        <v>32</v>
      </c>
      <c r="F2538" s="1" t="str">
        <f>"765433605"</f>
        <v>765433605</v>
      </c>
      <c r="G2538" s="1" t="s">
        <v>33</v>
      </c>
      <c r="H2538" s="1" t="str">
        <f t="shared" si="470"/>
        <v>20220911</v>
      </c>
      <c r="I2538" s="1" t="str">
        <f>"115759"</f>
        <v>115759</v>
      </c>
      <c r="J2538" s="1" t="s">
        <v>34</v>
      </c>
      <c r="K2538" s="1" t="s">
        <v>34</v>
      </c>
      <c r="L2538" s="1" t="str">
        <f t="shared" si="474"/>
        <v>20220911</v>
      </c>
      <c r="M2538" s="1" t="str">
        <f>"122208"</f>
        <v>122208</v>
      </c>
      <c r="N2538" s="1" t="s">
        <v>92</v>
      </c>
      <c r="O2538" s="1" t="s">
        <v>28</v>
      </c>
      <c r="P2538" s="1" t="s">
        <v>55</v>
      </c>
      <c r="Q2538" s="1">
        <v>25</v>
      </c>
      <c r="R2538" s="1">
        <v>25</v>
      </c>
      <c r="S2538" s="1">
        <v>0</v>
      </c>
      <c r="T2538" s="1">
        <v>0</v>
      </c>
      <c r="U2538" s="1">
        <v>0</v>
      </c>
      <c r="V2538" s="1" t="str">
        <f t="shared" si="475"/>
        <v>里程返程</v>
      </c>
      <c r="W2538" s="1" t="str">
        <f>"2020"</f>
        <v>2020</v>
      </c>
      <c r="X2538" s="1" t="s">
        <v>35</v>
      </c>
    </row>
    <row r="2539" spans="1:24" x14ac:dyDescent="0.3">
      <c r="A2539" s="1" t="str">
        <f t="shared" si="476"/>
        <v>59825</v>
      </c>
      <c r="B2539" s="1" t="s">
        <v>30</v>
      </c>
      <c r="C2539" s="1" t="s">
        <v>31</v>
      </c>
      <c r="D2539" s="1" t="str">
        <f t="shared" si="477"/>
        <v>9803</v>
      </c>
      <c r="E2539" s="1" t="s">
        <v>32</v>
      </c>
      <c r="F2539" s="1" t="str">
        <f>"1197905793"</f>
        <v>1197905793</v>
      </c>
      <c r="G2539" s="1" t="s">
        <v>33</v>
      </c>
      <c r="H2539" s="1" t="str">
        <f t="shared" si="470"/>
        <v>20220911</v>
      </c>
      <c r="I2539" s="1" t="str">
        <f>"115805"</f>
        <v>115805</v>
      </c>
      <c r="J2539" s="1" t="s">
        <v>34</v>
      </c>
      <c r="K2539" s="1" t="s">
        <v>34</v>
      </c>
      <c r="L2539" s="1" t="str">
        <f t="shared" si="474"/>
        <v>20220911</v>
      </c>
      <c r="M2539" s="1" t="str">
        <f>"122211"</f>
        <v>122211</v>
      </c>
      <c r="N2539" s="1" t="s">
        <v>92</v>
      </c>
      <c r="O2539" s="1" t="s">
        <v>28</v>
      </c>
      <c r="P2539" s="1" t="s">
        <v>55</v>
      </c>
      <c r="Q2539" s="1">
        <v>25</v>
      </c>
      <c r="R2539" s="1">
        <v>25</v>
      </c>
      <c r="S2539" s="1">
        <v>0</v>
      </c>
      <c r="T2539" s="1">
        <v>0</v>
      </c>
      <c r="U2539" s="1">
        <v>0</v>
      </c>
      <c r="V2539" s="1" t="str">
        <f t="shared" si="475"/>
        <v>里程返程</v>
      </c>
      <c r="W2539" s="1" t="str">
        <f>"2020"</f>
        <v>2020</v>
      </c>
      <c r="X2539" s="1" t="s">
        <v>35</v>
      </c>
    </row>
    <row r="2540" spans="1:24" x14ac:dyDescent="0.3">
      <c r="A2540" s="1" t="str">
        <f t="shared" si="476"/>
        <v>59825</v>
      </c>
      <c r="B2540" s="1" t="s">
        <v>30</v>
      </c>
      <c r="C2540" s="1" t="s">
        <v>31</v>
      </c>
      <c r="D2540" s="1" t="str">
        <f t="shared" si="477"/>
        <v>9803</v>
      </c>
      <c r="E2540" s="1" t="s">
        <v>32</v>
      </c>
      <c r="F2540" s="1" t="str">
        <f>"8143D969722804001C00000000000000"</f>
        <v>8143D969722804001C00000000000000</v>
      </c>
      <c r="G2540" s="1" t="s">
        <v>58</v>
      </c>
      <c r="H2540" s="1" t="str">
        <f t="shared" si="470"/>
        <v>20220911</v>
      </c>
      <c r="I2540" s="1" t="str">
        <f>"115833"</f>
        <v>115833</v>
      </c>
      <c r="J2540" s="1" t="s">
        <v>34</v>
      </c>
      <c r="K2540" s="1" t="s">
        <v>34</v>
      </c>
      <c r="L2540" s="1" t="str">
        <f t="shared" si="474"/>
        <v>20220911</v>
      </c>
      <c r="M2540" s="1" t="str">
        <f>"122836"</f>
        <v>122836</v>
      </c>
      <c r="N2540" s="1" t="s">
        <v>28</v>
      </c>
      <c r="O2540" s="1" t="s">
        <v>28</v>
      </c>
      <c r="P2540" s="1" t="s">
        <v>55</v>
      </c>
      <c r="Q2540" s="1">
        <v>25</v>
      </c>
      <c r="R2540" s="1">
        <v>25</v>
      </c>
      <c r="S2540" s="1">
        <v>0</v>
      </c>
      <c r="T2540" s="1">
        <v>0</v>
      </c>
      <c r="U2540" s="1">
        <v>0</v>
      </c>
      <c r="V2540" s="1" t="str">
        <f t="shared" si="475"/>
        <v>里程返程</v>
      </c>
      <c r="W2540" s="1" t="str">
        <f>"0020"</f>
        <v>0020</v>
      </c>
      <c r="X2540" s="1" t="s">
        <v>29</v>
      </c>
    </row>
    <row r="2541" spans="1:24" x14ac:dyDescent="0.3">
      <c r="A2541" s="1" t="str">
        <f t="shared" si="476"/>
        <v>59825</v>
      </c>
      <c r="B2541" s="1" t="s">
        <v>30</v>
      </c>
      <c r="C2541" s="1" t="s">
        <v>31</v>
      </c>
      <c r="D2541" s="1" t="str">
        <f t="shared" si="477"/>
        <v>9803</v>
      </c>
      <c r="E2541" s="1" t="s">
        <v>32</v>
      </c>
      <c r="F2541" s="1" t="str">
        <f>"3758435367"</f>
        <v>3758435367</v>
      </c>
      <c r="G2541" s="1" t="s">
        <v>33</v>
      </c>
      <c r="H2541" s="1" t="str">
        <f t="shared" si="470"/>
        <v>20220911</v>
      </c>
      <c r="I2541" s="1" t="str">
        <f>"115840"</f>
        <v>115840</v>
      </c>
      <c r="J2541" s="1" t="s">
        <v>34</v>
      </c>
      <c r="K2541" s="1" t="s">
        <v>34</v>
      </c>
      <c r="L2541" s="1" t="str">
        <f t="shared" si="474"/>
        <v>20220911</v>
      </c>
      <c r="M2541" s="1" t="str">
        <f>"122823"</f>
        <v>122823</v>
      </c>
      <c r="N2541" s="1" t="s">
        <v>28</v>
      </c>
      <c r="O2541" s="1" t="s">
        <v>28</v>
      </c>
      <c r="P2541" s="1" t="s">
        <v>55</v>
      </c>
      <c r="Q2541" s="1">
        <v>25</v>
      </c>
      <c r="R2541" s="1">
        <v>25</v>
      </c>
      <c r="S2541" s="1">
        <v>0</v>
      </c>
      <c r="T2541" s="1">
        <v>0</v>
      </c>
      <c r="U2541" s="1">
        <v>0</v>
      </c>
      <c r="V2541" s="1" t="str">
        <f t="shared" si="475"/>
        <v>里程返程</v>
      </c>
      <c r="W2541" s="1" t="str">
        <f>"2020"</f>
        <v>2020</v>
      </c>
      <c r="X2541" s="1" t="s">
        <v>35</v>
      </c>
    </row>
    <row r="2542" spans="1:24" x14ac:dyDescent="0.3">
      <c r="A2542" s="1" t="str">
        <f t="shared" si="476"/>
        <v>59825</v>
      </c>
      <c r="B2542" s="1" t="s">
        <v>30</v>
      </c>
      <c r="C2542" s="1" t="s">
        <v>31</v>
      </c>
      <c r="D2542" s="1" t="str">
        <f t="shared" si="477"/>
        <v>9803</v>
      </c>
      <c r="E2542" s="1" t="s">
        <v>32</v>
      </c>
      <c r="F2542" s="1" t="str">
        <f>"815020609"</f>
        <v>815020609</v>
      </c>
      <c r="G2542" s="1" t="s">
        <v>33</v>
      </c>
      <c r="H2542" s="1" t="str">
        <f t="shared" si="470"/>
        <v>20220911</v>
      </c>
      <c r="I2542" s="1" t="str">
        <f>"123420"</f>
        <v>123420</v>
      </c>
      <c r="J2542" s="1" t="s">
        <v>90</v>
      </c>
      <c r="K2542" s="1" t="s">
        <v>28</v>
      </c>
      <c r="L2542" s="1" t="str">
        <f t="shared" si="474"/>
        <v>20220911</v>
      </c>
      <c r="M2542" s="1" t="str">
        <f>"124948"</f>
        <v>124948</v>
      </c>
      <c r="N2542" s="1" t="s">
        <v>89</v>
      </c>
      <c r="O2542" s="1" t="s">
        <v>28</v>
      </c>
      <c r="P2542" s="1" t="s">
        <v>55</v>
      </c>
      <c r="Q2542" s="1">
        <v>25</v>
      </c>
      <c r="R2542" s="1">
        <v>25</v>
      </c>
      <c r="S2542" s="1">
        <v>0</v>
      </c>
      <c r="T2542" s="1">
        <v>0</v>
      </c>
      <c r="U2542" s="1">
        <v>0</v>
      </c>
      <c r="V2542" s="1" t="str">
        <f>"里程去程"</f>
        <v>里程去程</v>
      </c>
      <c r="W2542" s="1" t="str">
        <f>"0120"</f>
        <v>0120</v>
      </c>
      <c r="X2542" s="1" t="s">
        <v>35</v>
      </c>
    </row>
    <row r="2543" spans="1:24" x14ac:dyDescent="0.3">
      <c r="A2543" s="1" t="str">
        <f t="shared" si="476"/>
        <v>59825</v>
      </c>
      <c r="B2543" s="1" t="s">
        <v>30</v>
      </c>
      <c r="C2543" s="1" t="s">
        <v>31</v>
      </c>
      <c r="D2543" s="1" t="str">
        <f t="shared" si="477"/>
        <v>9803</v>
      </c>
      <c r="E2543" s="1" t="s">
        <v>32</v>
      </c>
      <c r="F2543" s="1" t="str">
        <f>"1012475445"</f>
        <v>1012475445</v>
      </c>
      <c r="G2543" s="1" t="s">
        <v>33</v>
      </c>
      <c r="H2543" s="1" t="str">
        <f t="shared" si="470"/>
        <v>20220911</v>
      </c>
      <c r="I2543" s="1" t="str">
        <f>"123426"</f>
        <v>123426</v>
      </c>
      <c r="J2543" s="1" t="s">
        <v>90</v>
      </c>
      <c r="K2543" s="1" t="s">
        <v>28</v>
      </c>
      <c r="L2543" s="1" t="str">
        <f t="shared" ref="L2543:L2549" si="478">"20220911"</f>
        <v>20220911</v>
      </c>
      <c r="M2543" s="1" t="str">
        <f>"124945"</f>
        <v>124945</v>
      </c>
      <c r="N2543" s="1" t="s">
        <v>89</v>
      </c>
      <c r="O2543" s="1" t="s">
        <v>28</v>
      </c>
      <c r="P2543" s="1" t="s">
        <v>55</v>
      </c>
      <c r="Q2543" s="1">
        <v>25</v>
      </c>
      <c r="R2543" s="1">
        <v>25</v>
      </c>
      <c r="S2543" s="1">
        <v>0</v>
      </c>
      <c r="T2543" s="1">
        <v>0</v>
      </c>
      <c r="U2543" s="1">
        <v>0</v>
      </c>
      <c r="V2543" s="1" t="str">
        <f>"里程去程"</f>
        <v>里程去程</v>
      </c>
      <c r="W2543" s="1" t="str">
        <f>"0e20"</f>
        <v>0e20</v>
      </c>
      <c r="X2543" s="1" t="s">
        <v>35</v>
      </c>
    </row>
    <row r="2544" spans="1:24" x14ac:dyDescent="0.3">
      <c r="A2544" s="1" t="str">
        <f t="shared" si="476"/>
        <v>59825</v>
      </c>
      <c r="B2544" s="1" t="s">
        <v>30</v>
      </c>
      <c r="C2544" s="1" t="s">
        <v>31</v>
      </c>
      <c r="D2544" s="1" t="str">
        <f t="shared" si="477"/>
        <v>9803</v>
      </c>
      <c r="E2544" s="1" t="s">
        <v>32</v>
      </c>
      <c r="F2544" s="1" t="str">
        <f>"1140892869"</f>
        <v>1140892869</v>
      </c>
      <c r="G2544" s="1" t="s">
        <v>38</v>
      </c>
      <c r="H2544" s="1" t="str">
        <f t="shared" si="470"/>
        <v>20220911</v>
      </c>
      <c r="I2544" s="1" t="str">
        <f>"125128"</f>
        <v>125128</v>
      </c>
      <c r="J2544" s="1" t="s">
        <v>34</v>
      </c>
      <c r="K2544" s="1" t="s">
        <v>34</v>
      </c>
      <c r="L2544" s="1" t="str">
        <f t="shared" si="478"/>
        <v>20220911</v>
      </c>
      <c r="M2544" s="1" t="str">
        <f>"132355"</f>
        <v>132355</v>
      </c>
      <c r="N2544" s="1" t="s">
        <v>28</v>
      </c>
      <c r="O2544" s="1" t="s">
        <v>28</v>
      </c>
      <c r="P2544" s="1" t="s">
        <v>55</v>
      </c>
      <c r="Q2544" s="1">
        <v>25</v>
      </c>
      <c r="R2544" s="1">
        <v>25</v>
      </c>
      <c r="S2544" s="1">
        <v>0</v>
      </c>
      <c r="T2544" s="1">
        <v>0</v>
      </c>
      <c r="U2544" s="1">
        <v>0</v>
      </c>
      <c r="V2544" s="1" t="str">
        <f>"里程返程"</f>
        <v>里程返程</v>
      </c>
      <c r="W2544" s="1" t="str">
        <f>"2120"</f>
        <v>2120</v>
      </c>
      <c r="X2544" s="1" t="s">
        <v>35</v>
      </c>
    </row>
    <row r="2545" spans="1:24" x14ac:dyDescent="0.3">
      <c r="A2545" s="1" t="str">
        <f t="shared" si="476"/>
        <v>59825</v>
      </c>
      <c r="B2545" s="1" t="s">
        <v>30</v>
      </c>
      <c r="C2545" s="1" t="s">
        <v>31</v>
      </c>
      <c r="D2545" s="1" t="str">
        <f t="shared" si="477"/>
        <v>9803</v>
      </c>
      <c r="E2545" s="1" t="s">
        <v>32</v>
      </c>
      <c r="F2545" s="1" t="str">
        <f>"1133103637"</f>
        <v>1133103637</v>
      </c>
      <c r="G2545" s="1" t="s">
        <v>33</v>
      </c>
      <c r="H2545" s="1" t="str">
        <f t="shared" si="470"/>
        <v>20220911</v>
      </c>
      <c r="I2545" s="1" t="str">
        <f>"125212"</f>
        <v>125212</v>
      </c>
      <c r="J2545" s="1" t="s">
        <v>34</v>
      </c>
      <c r="K2545" s="1" t="s">
        <v>34</v>
      </c>
      <c r="L2545" s="1" t="str">
        <f t="shared" si="478"/>
        <v>20220911</v>
      </c>
      <c r="M2545" s="1" t="str">
        <f>"132406"</f>
        <v>132406</v>
      </c>
      <c r="N2545" s="1" t="s">
        <v>28</v>
      </c>
      <c r="O2545" s="1" t="s">
        <v>28</v>
      </c>
      <c r="P2545" s="1" t="s">
        <v>55</v>
      </c>
      <c r="Q2545" s="1">
        <v>25</v>
      </c>
      <c r="R2545" s="1">
        <v>25</v>
      </c>
      <c r="S2545" s="1">
        <v>0</v>
      </c>
      <c r="T2545" s="1">
        <v>0</v>
      </c>
      <c r="U2545" s="1">
        <v>0</v>
      </c>
      <c r="V2545" s="1" t="str">
        <f>"里程返程"</f>
        <v>里程返程</v>
      </c>
      <c r="W2545" s="1" t="str">
        <f>"0120"</f>
        <v>0120</v>
      </c>
      <c r="X2545" s="1" t="s">
        <v>35</v>
      </c>
    </row>
    <row r="2546" spans="1:24" x14ac:dyDescent="0.3">
      <c r="A2546" s="1" t="str">
        <f t="shared" si="476"/>
        <v>59825</v>
      </c>
      <c r="B2546" s="1" t="s">
        <v>30</v>
      </c>
      <c r="C2546" s="1" t="s">
        <v>31</v>
      </c>
      <c r="D2546" s="1" t="str">
        <f t="shared" si="477"/>
        <v>9803</v>
      </c>
      <c r="E2546" s="1" t="s">
        <v>32</v>
      </c>
      <c r="F2546" s="1" t="str">
        <f>"1687253344"</f>
        <v>1687253344</v>
      </c>
      <c r="G2546" s="1" t="s">
        <v>33</v>
      </c>
      <c r="H2546" s="1" t="str">
        <f t="shared" si="470"/>
        <v>20220911</v>
      </c>
      <c r="I2546" s="1" t="str">
        <f>"131552"</f>
        <v>131552</v>
      </c>
      <c r="J2546" s="1" t="s">
        <v>46</v>
      </c>
      <c r="K2546" s="1" t="s">
        <v>28</v>
      </c>
      <c r="L2546" s="1" t="str">
        <f t="shared" si="478"/>
        <v>20220911</v>
      </c>
      <c r="M2546" s="1" t="str">
        <f>"132343"</f>
        <v>132343</v>
      </c>
      <c r="N2546" s="1" t="s">
        <v>28</v>
      </c>
      <c r="O2546" s="1" t="s">
        <v>28</v>
      </c>
      <c r="P2546" s="1" t="s">
        <v>55</v>
      </c>
      <c r="Q2546" s="1">
        <v>25</v>
      </c>
      <c r="R2546" s="1">
        <v>25</v>
      </c>
      <c r="S2546" s="1">
        <v>0</v>
      </c>
      <c r="T2546" s="1">
        <v>0</v>
      </c>
      <c r="U2546" s="1">
        <v>0</v>
      </c>
      <c r="V2546" s="1" t="str">
        <f>"里程返程"</f>
        <v>里程返程</v>
      </c>
      <c r="W2546" s="1" t="str">
        <f>"0820"</f>
        <v>0820</v>
      </c>
      <c r="X2546" s="1" t="s">
        <v>35</v>
      </c>
    </row>
    <row r="2547" spans="1:24" x14ac:dyDescent="0.3">
      <c r="A2547" s="1" t="str">
        <f t="shared" si="476"/>
        <v>59825</v>
      </c>
      <c r="B2547" s="1" t="s">
        <v>30</v>
      </c>
      <c r="C2547" s="1" t="s">
        <v>31</v>
      </c>
      <c r="D2547" s="1" t="str">
        <f t="shared" si="477"/>
        <v>9803</v>
      </c>
      <c r="E2547" s="1" t="s">
        <v>32</v>
      </c>
      <c r="F2547" s="1" t="str">
        <f>"1709069061"</f>
        <v>1709069061</v>
      </c>
      <c r="G2547" s="1" t="s">
        <v>33</v>
      </c>
      <c r="H2547" s="1" t="str">
        <f t="shared" si="470"/>
        <v>20220911</v>
      </c>
      <c r="I2547" s="1" t="str">
        <f>"160300"</f>
        <v>160300</v>
      </c>
      <c r="J2547" s="1" t="s">
        <v>34</v>
      </c>
      <c r="K2547" s="1" t="s">
        <v>34</v>
      </c>
      <c r="L2547" s="1" t="str">
        <f t="shared" si="478"/>
        <v>20220911</v>
      </c>
      <c r="M2547" s="1" t="str">
        <f>"162840"</f>
        <v>162840</v>
      </c>
      <c r="N2547" s="1" t="s">
        <v>46</v>
      </c>
      <c r="O2547" s="1" t="s">
        <v>28</v>
      </c>
      <c r="P2547" s="1" t="s">
        <v>55</v>
      </c>
      <c r="Q2547" s="1">
        <v>25</v>
      </c>
      <c r="R2547" s="1">
        <v>25</v>
      </c>
      <c r="S2547" s="1">
        <v>0</v>
      </c>
      <c r="T2547" s="1">
        <v>0</v>
      </c>
      <c r="U2547" s="1">
        <v>0</v>
      </c>
      <c r="V2547" s="1" t="str">
        <f>"里程返程"</f>
        <v>里程返程</v>
      </c>
      <c r="W2547" s="1" t="str">
        <f>"2020"</f>
        <v>2020</v>
      </c>
      <c r="X2547" s="1" t="s">
        <v>35</v>
      </c>
    </row>
    <row r="2548" spans="1:24" x14ac:dyDescent="0.3">
      <c r="A2548" s="1" t="str">
        <f t="shared" si="476"/>
        <v>59825</v>
      </c>
      <c r="B2548" s="1" t="s">
        <v>30</v>
      </c>
      <c r="C2548" s="1" t="s">
        <v>31</v>
      </c>
      <c r="D2548" s="1" t="str">
        <f t="shared" si="477"/>
        <v>9803</v>
      </c>
      <c r="E2548" s="1" t="s">
        <v>32</v>
      </c>
      <c r="F2548" s="1" t="str">
        <f>"1041362229"</f>
        <v>1041362229</v>
      </c>
      <c r="G2548" s="1" t="s">
        <v>33</v>
      </c>
      <c r="H2548" s="1" t="str">
        <f t="shared" si="470"/>
        <v>20220911</v>
      </c>
      <c r="I2548" s="1" t="str">
        <f>"164345"</f>
        <v>164345</v>
      </c>
      <c r="J2548" s="1" t="s">
        <v>28</v>
      </c>
      <c r="K2548" s="1" t="s">
        <v>28</v>
      </c>
      <c r="L2548" s="1" t="str">
        <f t="shared" si="478"/>
        <v>20220911</v>
      </c>
      <c r="M2548" s="1" t="str">
        <f>"165737"</f>
        <v>165737</v>
      </c>
      <c r="N2548" s="1" t="s">
        <v>46</v>
      </c>
      <c r="O2548" s="1" t="s">
        <v>28</v>
      </c>
      <c r="P2548" s="1" t="s">
        <v>55</v>
      </c>
      <c r="Q2548" s="1">
        <v>25</v>
      </c>
      <c r="R2548" s="1">
        <v>25</v>
      </c>
      <c r="S2548" s="1">
        <v>0</v>
      </c>
      <c r="T2548" s="1">
        <v>0</v>
      </c>
      <c r="U2548" s="1">
        <v>0</v>
      </c>
      <c r="V2548" s="1" t="str">
        <f t="shared" ref="V2548:V2555" si="479">"里程去程"</f>
        <v>里程去程</v>
      </c>
      <c r="W2548" s="1" t="str">
        <f>"2020"</f>
        <v>2020</v>
      </c>
      <c r="X2548" s="1" t="s">
        <v>35</v>
      </c>
    </row>
    <row r="2549" spans="1:24" x14ac:dyDescent="0.3">
      <c r="A2549" s="1" t="str">
        <f t="shared" si="476"/>
        <v>59825</v>
      </c>
      <c r="B2549" s="1" t="s">
        <v>30</v>
      </c>
      <c r="C2549" s="1" t="s">
        <v>31</v>
      </c>
      <c r="D2549" s="1" t="str">
        <f t="shared" si="477"/>
        <v>9803</v>
      </c>
      <c r="E2549" s="1" t="s">
        <v>32</v>
      </c>
      <c r="F2549" s="1" t="str">
        <f>"01875B479A2804001C00000000000000"</f>
        <v>01875B479A2804001C00000000000000</v>
      </c>
      <c r="G2549" s="1" t="s">
        <v>58</v>
      </c>
      <c r="H2549" s="1" t="str">
        <f t="shared" si="470"/>
        <v>20220911</v>
      </c>
      <c r="I2549" s="1" t="str">
        <f>"164349"</f>
        <v>164349</v>
      </c>
      <c r="J2549" s="1" t="s">
        <v>28</v>
      </c>
      <c r="K2549" s="1" t="s">
        <v>28</v>
      </c>
      <c r="L2549" s="1" t="str">
        <f t="shared" si="478"/>
        <v>20220911</v>
      </c>
      <c r="M2549" s="1" t="str">
        <f>"165736"</f>
        <v>165736</v>
      </c>
      <c r="N2549" s="1" t="s">
        <v>46</v>
      </c>
      <c r="O2549" s="1" t="s">
        <v>28</v>
      </c>
      <c r="P2549" s="1" t="s">
        <v>55</v>
      </c>
      <c r="Q2549" s="1">
        <v>25</v>
      </c>
      <c r="R2549" s="1">
        <v>25</v>
      </c>
      <c r="S2549" s="1">
        <v>0</v>
      </c>
      <c r="T2549" s="1">
        <v>0</v>
      </c>
      <c r="U2549" s="1">
        <v>0</v>
      </c>
      <c r="V2549" s="1" t="str">
        <f t="shared" si="479"/>
        <v>里程去程</v>
      </c>
      <c r="W2549" s="1" t="str">
        <f>"0020"</f>
        <v>0020</v>
      </c>
      <c r="X2549" s="1" t="s">
        <v>29</v>
      </c>
    </row>
    <row r="2550" spans="1:24" x14ac:dyDescent="0.3">
      <c r="A2550" s="1" t="str">
        <f t="shared" si="476"/>
        <v>59825</v>
      </c>
      <c r="B2550" s="1" t="s">
        <v>30</v>
      </c>
      <c r="C2550" s="1" t="s">
        <v>31</v>
      </c>
      <c r="D2550" s="1" t="str">
        <f t="shared" si="477"/>
        <v>9803</v>
      </c>
      <c r="E2550" s="1" t="s">
        <v>32</v>
      </c>
      <c r="F2550" s="1" t="str">
        <f>"259091601"</f>
        <v>259091601</v>
      </c>
      <c r="G2550" s="1" t="s">
        <v>33</v>
      </c>
      <c r="H2550" s="1" t="str">
        <f t="shared" si="470"/>
        <v>20220911</v>
      </c>
      <c r="I2550" s="1" t="str">
        <f>"165715"</f>
        <v>165715</v>
      </c>
      <c r="J2550" s="1" t="s">
        <v>46</v>
      </c>
      <c r="K2550" s="1" t="s">
        <v>28</v>
      </c>
      <c r="L2550" s="1" t="str">
        <f>""</f>
        <v/>
      </c>
      <c r="M2550" s="1" t="str">
        <f>""</f>
        <v/>
      </c>
      <c r="P2550" s="1" t="s">
        <v>88</v>
      </c>
      <c r="Q2550" s="1">
        <v>25</v>
      </c>
      <c r="R2550" s="1">
        <v>0</v>
      </c>
      <c r="S2550" s="1">
        <v>25</v>
      </c>
      <c r="T2550" s="1">
        <v>0</v>
      </c>
      <c r="U2550" s="1">
        <v>0</v>
      </c>
      <c r="V2550" s="1" t="str">
        <f t="shared" si="479"/>
        <v>里程去程</v>
      </c>
      <c r="W2550" s="1" t="str">
        <f>"2020"</f>
        <v>2020</v>
      </c>
      <c r="X2550" s="1" t="s">
        <v>35</v>
      </c>
    </row>
    <row r="2551" spans="1:24" x14ac:dyDescent="0.3">
      <c r="A2551" s="1" t="str">
        <f t="shared" si="476"/>
        <v>59825</v>
      </c>
      <c r="B2551" s="1" t="s">
        <v>30</v>
      </c>
      <c r="C2551" s="1" t="s">
        <v>31</v>
      </c>
      <c r="D2551" s="1" t="str">
        <f t="shared" ref="D2551:D2556" si="480">"9805"</f>
        <v>9805</v>
      </c>
      <c r="E2551" s="1" t="s">
        <v>57</v>
      </c>
      <c r="F2551" s="1" t="str">
        <f>"FAFF46337088040047C12B9499001607"</f>
        <v>FAFF46337088040047C12B9499001607</v>
      </c>
      <c r="G2551" s="1" t="s">
        <v>58</v>
      </c>
      <c r="H2551" s="1" t="str">
        <f t="shared" si="470"/>
        <v>20220911</v>
      </c>
      <c r="I2551" s="1" t="str">
        <f>"180151"</f>
        <v>180151</v>
      </c>
      <c r="J2551" s="1" t="s">
        <v>28</v>
      </c>
      <c r="K2551" s="1" t="s">
        <v>28</v>
      </c>
      <c r="L2551" s="1" t="str">
        <f t="shared" ref="L2551:L2556" si="481">"20220911"</f>
        <v>20220911</v>
      </c>
      <c r="M2551" s="1" t="str">
        <f>"181454"</f>
        <v>181454</v>
      </c>
      <c r="N2551" s="1" t="s">
        <v>61</v>
      </c>
      <c r="O2551" s="1" t="s">
        <v>28</v>
      </c>
      <c r="P2551" s="1" t="s">
        <v>55</v>
      </c>
      <c r="Q2551" s="1">
        <v>25</v>
      </c>
      <c r="R2551" s="1">
        <v>25</v>
      </c>
      <c r="S2551" s="1">
        <v>0</v>
      </c>
      <c r="T2551" s="1">
        <v>0</v>
      </c>
      <c r="U2551" s="1">
        <v>0</v>
      </c>
      <c r="V2551" s="1" t="str">
        <f t="shared" si="479"/>
        <v>里程去程</v>
      </c>
      <c r="W2551" s="1" t="str">
        <f>"0020"</f>
        <v>0020</v>
      </c>
      <c r="X2551" s="1" t="s">
        <v>29</v>
      </c>
    </row>
    <row r="2552" spans="1:24" x14ac:dyDescent="0.3">
      <c r="A2552" s="1" t="str">
        <f t="shared" si="476"/>
        <v>59825</v>
      </c>
      <c r="B2552" s="1" t="s">
        <v>30</v>
      </c>
      <c r="C2552" s="1" t="s">
        <v>31</v>
      </c>
      <c r="D2552" s="1" t="str">
        <f t="shared" si="480"/>
        <v>9805</v>
      </c>
      <c r="E2552" s="1" t="s">
        <v>57</v>
      </c>
      <c r="F2552" s="1" t="str">
        <f>"D2D38A1992880400C824002000000020"</f>
        <v>D2D38A1992880400C824002000000020</v>
      </c>
      <c r="G2552" s="1" t="s">
        <v>59</v>
      </c>
      <c r="H2552" s="1" t="str">
        <f t="shared" si="470"/>
        <v>20220911</v>
      </c>
      <c r="I2552" s="1" t="str">
        <f>"180154"</f>
        <v>180154</v>
      </c>
      <c r="J2552" s="1" t="s">
        <v>28</v>
      </c>
      <c r="K2552" s="1" t="s">
        <v>28</v>
      </c>
      <c r="L2552" s="1" t="str">
        <f t="shared" si="481"/>
        <v>20220911</v>
      </c>
      <c r="M2552" s="1" t="str">
        <f>"181626"</f>
        <v>181626</v>
      </c>
      <c r="N2552" s="1" t="s">
        <v>62</v>
      </c>
      <c r="O2552" s="1" t="s">
        <v>28</v>
      </c>
      <c r="P2552" s="1" t="s">
        <v>55</v>
      </c>
      <c r="Q2552" s="1">
        <v>25</v>
      </c>
      <c r="R2552" s="1">
        <v>25</v>
      </c>
      <c r="S2552" s="1">
        <v>0</v>
      </c>
      <c r="T2552" s="1">
        <v>0</v>
      </c>
      <c r="U2552" s="1">
        <v>0</v>
      </c>
      <c r="V2552" s="1" t="str">
        <f t="shared" si="479"/>
        <v>里程去程</v>
      </c>
      <c r="W2552" s="1" t="str">
        <f>"0020"</f>
        <v>0020</v>
      </c>
      <c r="X2552" s="1" t="s">
        <v>29</v>
      </c>
    </row>
    <row r="2553" spans="1:24" x14ac:dyDescent="0.3">
      <c r="A2553" s="1" t="str">
        <f t="shared" si="476"/>
        <v>59825</v>
      </c>
      <c r="B2553" s="1" t="s">
        <v>30</v>
      </c>
      <c r="C2553" s="1" t="s">
        <v>31</v>
      </c>
      <c r="D2553" s="1" t="str">
        <f t="shared" si="480"/>
        <v>9805</v>
      </c>
      <c r="E2553" s="1" t="s">
        <v>57</v>
      </c>
      <c r="F2553" s="1" t="str">
        <f>"F2AAF317BC880400C814002000000019"</f>
        <v>F2AAF317BC880400C814002000000019</v>
      </c>
      <c r="G2553" s="1" t="s">
        <v>59</v>
      </c>
      <c r="H2553" s="1" t="str">
        <f t="shared" si="470"/>
        <v>20220911</v>
      </c>
      <c r="I2553" s="1" t="str">
        <f>"180209"</f>
        <v>180209</v>
      </c>
      <c r="J2553" s="1" t="s">
        <v>28</v>
      </c>
      <c r="K2553" s="1" t="s">
        <v>28</v>
      </c>
      <c r="L2553" s="1" t="str">
        <f t="shared" si="481"/>
        <v>20220911</v>
      </c>
      <c r="M2553" s="1" t="str">
        <f>"181945"</f>
        <v>181945</v>
      </c>
      <c r="N2553" s="1" t="s">
        <v>52</v>
      </c>
      <c r="O2553" s="1" t="s">
        <v>52</v>
      </c>
      <c r="P2553" s="1" t="s">
        <v>55</v>
      </c>
      <c r="Q2553" s="1">
        <v>25</v>
      </c>
      <c r="R2553" s="1">
        <v>25</v>
      </c>
      <c r="S2553" s="1">
        <v>0</v>
      </c>
      <c r="T2553" s="1">
        <v>0</v>
      </c>
      <c r="U2553" s="1">
        <v>0</v>
      </c>
      <c r="V2553" s="1" t="str">
        <f t="shared" si="479"/>
        <v>里程去程</v>
      </c>
      <c r="W2553" s="1" t="str">
        <f>"0020"</f>
        <v>0020</v>
      </c>
      <c r="X2553" s="1" t="s">
        <v>29</v>
      </c>
    </row>
    <row r="2554" spans="1:24" x14ac:dyDescent="0.3">
      <c r="A2554" s="1" t="str">
        <f t="shared" si="476"/>
        <v>59825</v>
      </c>
      <c r="B2554" s="1" t="s">
        <v>30</v>
      </c>
      <c r="C2554" s="1" t="s">
        <v>31</v>
      </c>
      <c r="D2554" s="1" t="str">
        <f t="shared" si="480"/>
        <v>9805</v>
      </c>
      <c r="E2554" s="1" t="s">
        <v>57</v>
      </c>
      <c r="F2554" s="1" t="str">
        <f>"585413487"</f>
        <v>585413487</v>
      </c>
      <c r="G2554" s="1" t="s">
        <v>33</v>
      </c>
      <c r="H2554" s="1" t="str">
        <f t="shared" si="470"/>
        <v>20220911</v>
      </c>
      <c r="I2554" s="1" t="str">
        <f>"180238"</f>
        <v>180238</v>
      </c>
      <c r="J2554" s="1" t="s">
        <v>28</v>
      </c>
      <c r="K2554" s="1" t="s">
        <v>28</v>
      </c>
      <c r="L2554" s="1" t="str">
        <f t="shared" si="481"/>
        <v>20220911</v>
      </c>
      <c r="M2554" s="1" t="str">
        <f>"181458"</f>
        <v>181458</v>
      </c>
      <c r="N2554" s="1" t="s">
        <v>61</v>
      </c>
      <c r="O2554" s="1" t="s">
        <v>28</v>
      </c>
      <c r="P2554" s="1" t="s">
        <v>55</v>
      </c>
      <c r="Q2554" s="1">
        <v>25</v>
      </c>
      <c r="R2554" s="1">
        <v>0</v>
      </c>
      <c r="S2554" s="1">
        <v>25</v>
      </c>
      <c r="T2554" s="1">
        <v>0</v>
      </c>
      <c r="U2554" s="1">
        <v>0</v>
      </c>
      <c r="V2554" s="1" t="str">
        <f t="shared" si="479"/>
        <v>里程去程</v>
      </c>
      <c r="W2554" s="1" t="str">
        <f>"2020"</f>
        <v>2020</v>
      </c>
      <c r="X2554" s="1" t="s">
        <v>35</v>
      </c>
    </row>
    <row r="2555" spans="1:24" x14ac:dyDescent="0.3">
      <c r="A2555" s="1" t="str">
        <f t="shared" si="476"/>
        <v>59825</v>
      </c>
      <c r="B2555" s="1" t="s">
        <v>30</v>
      </c>
      <c r="C2555" s="1" t="s">
        <v>31</v>
      </c>
      <c r="D2555" s="1" t="str">
        <f t="shared" si="480"/>
        <v>9805</v>
      </c>
      <c r="E2555" s="1" t="s">
        <v>57</v>
      </c>
      <c r="F2555" s="1" t="str">
        <f>"1783806229"</f>
        <v>1783806229</v>
      </c>
      <c r="G2555" s="1" t="s">
        <v>33</v>
      </c>
      <c r="H2555" s="1" t="str">
        <f t="shared" si="470"/>
        <v>20220911</v>
      </c>
      <c r="I2555" s="1" t="str">
        <f>"180241"</f>
        <v>180241</v>
      </c>
      <c r="J2555" s="1" t="s">
        <v>28</v>
      </c>
      <c r="K2555" s="1" t="s">
        <v>28</v>
      </c>
      <c r="L2555" s="1" t="str">
        <f t="shared" si="481"/>
        <v>20220911</v>
      </c>
      <c r="M2555" s="1" t="str">
        <f>"181456"</f>
        <v>181456</v>
      </c>
      <c r="N2555" s="1" t="s">
        <v>61</v>
      </c>
      <c r="O2555" s="1" t="s">
        <v>28</v>
      </c>
      <c r="P2555" s="1" t="s">
        <v>55</v>
      </c>
      <c r="Q2555" s="1">
        <v>25</v>
      </c>
      <c r="R2555" s="1">
        <v>0</v>
      </c>
      <c r="S2555" s="1">
        <v>25</v>
      </c>
      <c r="T2555" s="1">
        <v>0</v>
      </c>
      <c r="U2555" s="1">
        <v>0</v>
      </c>
      <c r="V2555" s="1" t="str">
        <f t="shared" si="479"/>
        <v>里程去程</v>
      </c>
      <c r="W2555" s="1" t="str">
        <f>"2020"</f>
        <v>2020</v>
      </c>
      <c r="X2555" s="1" t="s">
        <v>35</v>
      </c>
    </row>
    <row r="2556" spans="1:24" x14ac:dyDescent="0.3">
      <c r="A2556" s="1" t="str">
        <f t="shared" si="476"/>
        <v>59825</v>
      </c>
      <c r="B2556" s="1" t="s">
        <v>30</v>
      </c>
      <c r="C2556" s="1" t="s">
        <v>31</v>
      </c>
      <c r="D2556" s="1" t="str">
        <f t="shared" si="480"/>
        <v>9805</v>
      </c>
      <c r="E2556" s="1" t="s">
        <v>57</v>
      </c>
      <c r="F2556" s="1" t="str">
        <f>"D5C08E0E95180200D200000C22400417"</f>
        <v>D5C08E0E95180200D200000C22400417</v>
      </c>
      <c r="G2556" s="1" t="s">
        <v>58</v>
      </c>
      <c r="H2556" s="1" t="str">
        <f t="shared" si="470"/>
        <v>20220911</v>
      </c>
      <c r="I2556" s="1" t="str">
        <f>"182120"</f>
        <v>182120</v>
      </c>
      <c r="J2556" s="1" t="s">
        <v>52</v>
      </c>
      <c r="K2556" s="1" t="s">
        <v>52</v>
      </c>
      <c r="L2556" s="1" t="str">
        <f t="shared" si="481"/>
        <v>20220911</v>
      </c>
      <c r="M2556" s="1" t="str">
        <f>"184125"</f>
        <v>184125</v>
      </c>
      <c r="N2556" s="1" t="s">
        <v>28</v>
      </c>
      <c r="O2556" s="1" t="s">
        <v>28</v>
      </c>
      <c r="P2556" s="1" t="s">
        <v>55</v>
      </c>
      <c r="Q2556" s="1">
        <v>25</v>
      </c>
      <c r="R2556" s="1">
        <v>25</v>
      </c>
      <c r="S2556" s="1">
        <v>0</v>
      </c>
      <c r="T2556" s="1">
        <v>0</v>
      </c>
      <c r="U2556" s="1">
        <v>0</v>
      </c>
      <c r="V2556" s="1" t="str">
        <f>"里程返程"</f>
        <v>里程返程</v>
      </c>
      <c r="W2556" s="1" t="str">
        <f>"0020"</f>
        <v>0020</v>
      </c>
      <c r="X2556" s="1" t="s">
        <v>29</v>
      </c>
    </row>
    <row r="2557" spans="1:24" x14ac:dyDescent="0.3">
      <c r="A2557" s="1" t="str">
        <f t="shared" ref="A2557:A2602" si="482">"59828"</f>
        <v>59828</v>
      </c>
      <c r="B2557" s="1" t="s">
        <v>23</v>
      </c>
      <c r="C2557" s="1" t="s">
        <v>24</v>
      </c>
      <c r="D2557" s="1" t="str">
        <f t="shared" ref="D2557:D2602" si="483">"9801"</f>
        <v>9801</v>
      </c>
      <c r="E2557" s="1" t="s">
        <v>25</v>
      </c>
      <c r="F2557" s="1" t="str">
        <f>"267180529"</f>
        <v>267180529</v>
      </c>
      <c r="G2557" s="1" t="s">
        <v>33</v>
      </c>
      <c r="H2557" s="1" t="str">
        <f t="shared" si="470"/>
        <v>20220911</v>
      </c>
      <c r="I2557" s="1" t="str">
        <f>"060059"</f>
        <v>060059</v>
      </c>
      <c r="J2557" s="1" t="s">
        <v>52</v>
      </c>
      <c r="K2557" s="1" t="s">
        <v>52</v>
      </c>
      <c r="L2557" s="1" t="str">
        <f>""</f>
        <v/>
      </c>
      <c r="M2557" s="1" t="str">
        <f>""</f>
        <v/>
      </c>
      <c r="P2557" s="1" t="s">
        <v>88</v>
      </c>
      <c r="Q2557" s="1">
        <v>25</v>
      </c>
      <c r="R2557" s="1">
        <v>25</v>
      </c>
      <c r="S2557" s="1">
        <v>0</v>
      </c>
      <c r="T2557" s="1">
        <v>0</v>
      </c>
      <c r="U2557" s="1">
        <v>0</v>
      </c>
      <c r="V2557" s="1" t="str">
        <f>"里程去程"</f>
        <v>里程去程</v>
      </c>
      <c r="W2557" s="1" t="str">
        <f>"2120"</f>
        <v>2120</v>
      </c>
      <c r="X2557" s="1" t="s">
        <v>35</v>
      </c>
    </row>
    <row r="2558" spans="1:24" x14ac:dyDescent="0.3">
      <c r="A2558" s="1" t="str">
        <f t="shared" si="482"/>
        <v>59828</v>
      </c>
      <c r="B2558" s="1" t="s">
        <v>23</v>
      </c>
      <c r="C2558" s="1" t="s">
        <v>24</v>
      </c>
      <c r="D2558" s="1" t="str">
        <f t="shared" si="483"/>
        <v>9801</v>
      </c>
      <c r="E2558" s="1" t="s">
        <v>25</v>
      </c>
      <c r="F2558" s="1" t="str">
        <f>"985824849"</f>
        <v>985824849</v>
      </c>
      <c r="G2558" s="1" t="s">
        <v>33</v>
      </c>
      <c r="H2558" s="1" t="str">
        <f t="shared" si="470"/>
        <v>20220911</v>
      </c>
      <c r="I2558" s="1" t="str">
        <f>"070154"</f>
        <v>070154</v>
      </c>
      <c r="J2558" s="1" t="s">
        <v>44</v>
      </c>
      <c r="K2558" s="1" t="s">
        <v>45</v>
      </c>
      <c r="L2558" s="1" t="str">
        <f t="shared" ref="L2558:L2574" si="484">"20220911"</f>
        <v>20220911</v>
      </c>
      <c r="M2558" s="1" t="str">
        <f>"072157"</f>
        <v>072157</v>
      </c>
      <c r="N2558" s="1" t="s">
        <v>28</v>
      </c>
      <c r="O2558" s="1" t="s">
        <v>28</v>
      </c>
      <c r="P2558" s="1" t="s">
        <v>55</v>
      </c>
      <c r="Q2558" s="1">
        <v>25</v>
      </c>
      <c r="R2558" s="1">
        <v>25</v>
      </c>
      <c r="S2558" s="1">
        <v>0</v>
      </c>
      <c r="T2558" s="1">
        <v>0</v>
      </c>
      <c r="U2558" s="1">
        <v>0</v>
      </c>
      <c r="V2558" s="1" t="str">
        <f t="shared" ref="V2558:V2567" si="485">"里程返程"</f>
        <v>里程返程</v>
      </c>
      <c r="W2558" s="1" t="str">
        <f>"2020"</f>
        <v>2020</v>
      </c>
      <c r="X2558" s="1" t="s">
        <v>35</v>
      </c>
    </row>
    <row r="2559" spans="1:24" x14ac:dyDescent="0.3">
      <c r="A2559" s="1" t="str">
        <f t="shared" si="482"/>
        <v>59828</v>
      </c>
      <c r="B2559" s="1" t="s">
        <v>23</v>
      </c>
      <c r="C2559" s="1" t="s">
        <v>24</v>
      </c>
      <c r="D2559" s="1" t="str">
        <f t="shared" si="483"/>
        <v>9801</v>
      </c>
      <c r="E2559" s="1" t="s">
        <v>25</v>
      </c>
      <c r="F2559" s="1" t="str">
        <f>"107026497"</f>
        <v>107026497</v>
      </c>
      <c r="G2559" s="1" t="s">
        <v>74</v>
      </c>
      <c r="H2559" s="1" t="str">
        <f t="shared" si="470"/>
        <v>20220911</v>
      </c>
      <c r="I2559" s="1" t="str">
        <f>"070157"</f>
        <v>070157</v>
      </c>
      <c r="J2559" s="1" t="s">
        <v>44</v>
      </c>
      <c r="K2559" s="1" t="s">
        <v>45</v>
      </c>
      <c r="L2559" s="1" t="str">
        <f t="shared" si="484"/>
        <v>20220911</v>
      </c>
      <c r="M2559" s="1" t="str">
        <f>"072144"</f>
        <v>072144</v>
      </c>
      <c r="N2559" s="1" t="s">
        <v>28</v>
      </c>
      <c r="O2559" s="1" t="s">
        <v>28</v>
      </c>
      <c r="P2559" s="1" t="s">
        <v>55</v>
      </c>
      <c r="Q2559" s="1">
        <v>13</v>
      </c>
      <c r="R2559" s="1">
        <v>13</v>
      </c>
      <c r="S2559" s="1">
        <v>0</v>
      </c>
      <c r="T2559" s="1">
        <v>0</v>
      </c>
      <c r="U2559" s="1">
        <v>0</v>
      </c>
      <c r="V2559" s="1" t="str">
        <f t="shared" si="485"/>
        <v>里程返程</v>
      </c>
      <c r="W2559" s="1" t="str">
        <f>"2020"</f>
        <v>2020</v>
      </c>
      <c r="X2559" s="1" t="s">
        <v>35</v>
      </c>
    </row>
    <row r="2560" spans="1:24" x14ac:dyDescent="0.3">
      <c r="A2560" s="1" t="str">
        <f t="shared" si="482"/>
        <v>59828</v>
      </c>
      <c r="B2560" s="1" t="s">
        <v>23</v>
      </c>
      <c r="C2560" s="1" t="s">
        <v>24</v>
      </c>
      <c r="D2560" s="1" t="str">
        <f t="shared" si="483"/>
        <v>9801</v>
      </c>
      <c r="E2560" s="1" t="s">
        <v>25</v>
      </c>
      <c r="F2560" s="1" t="str">
        <f>"2710043119"</f>
        <v>2710043119</v>
      </c>
      <c r="G2560" s="1" t="s">
        <v>33</v>
      </c>
      <c r="H2560" s="1" t="str">
        <f t="shared" si="470"/>
        <v>20220911</v>
      </c>
      <c r="I2560" s="1" t="str">
        <f>"070203"</f>
        <v>070203</v>
      </c>
      <c r="J2560" s="1" t="s">
        <v>44</v>
      </c>
      <c r="K2560" s="1" t="s">
        <v>45</v>
      </c>
      <c r="L2560" s="1" t="str">
        <f t="shared" si="484"/>
        <v>20220911</v>
      </c>
      <c r="M2560" s="1" t="str">
        <f>"072217"</f>
        <v>072217</v>
      </c>
      <c r="N2560" s="1" t="s">
        <v>28</v>
      </c>
      <c r="O2560" s="1" t="s">
        <v>28</v>
      </c>
      <c r="P2560" s="1" t="s">
        <v>55</v>
      </c>
      <c r="Q2560" s="1">
        <v>25</v>
      </c>
      <c r="R2560" s="1">
        <v>25</v>
      </c>
      <c r="S2560" s="1">
        <v>0</v>
      </c>
      <c r="T2560" s="1">
        <v>0</v>
      </c>
      <c r="U2560" s="1">
        <v>0</v>
      </c>
      <c r="V2560" s="1" t="str">
        <f t="shared" si="485"/>
        <v>里程返程</v>
      </c>
      <c r="W2560" s="1" t="str">
        <f>"2020"</f>
        <v>2020</v>
      </c>
      <c r="X2560" s="1" t="s">
        <v>35</v>
      </c>
    </row>
    <row r="2561" spans="1:24" x14ac:dyDescent="0.3">
      <c r="A2561" s="1" t="str">
        <f t="shared" si="482"/>
        <v>59828</v>
      </c>
      <c r="B2561" s="1" t="s">
        <v>23</v>
      </c>
      <c r="C2561" s="1" t="s">
        <v>24</v>
      </c>
      <c r="D2561" s="1" t="str">
        <f t="shared" si="483"/>
        <v>9801</v>
      </c>
      <c r="E2561" s="1" t="s">
        <v>25</v>
      </c>
      <c r="F2561" s="1" t="str">
        <f>"321899361"</f>
        <v>321899361</v>
      </c>
      <c r="G2561" s="1" t="s">
        <v>33</v>
      </c>
      <c r="H2561" s="1" t="str">
        <f t="shared" si="470"/>
        <v>20220911</v>
      </c>
      <c r="I2561" s="1" t="str">
        <f>"070211"</f>
        <v>070211</v>
      </c>
      <c r="J2561" s="1" t="s">
        <v>44</v>
      </c>
      <c r="K2561" s="1" t="s">
        <v>45</v>
      </c>
      <c r="L2561" s="1" t="str">
        <f t="shared" si="484"/>
        <v>20220911</v>
      </c>
      <c r="M2561" s="1" t="str">
        <f>"072203"</f>
        <v>072203</v>
      </c>
      <c r="N2561" s="1" t="s">
        <v>28</v>
      </c>
      <c r="O2561" s="1" t="s">
        <v>28</v>
      </c>
      <c r="P2561" s="1" t="s">
        <v>55</v>
      </c>
      <c r="Q2561" s="1">
        <v>25</v>
      </c>
      <c r="R2561" s="1">
        <v>25</v>
      </c>
      <c r="S2561" s="1">
        <v>0</v>
      </c>
      <c r="T2561" s="1">
        <v>0</v>
      </c>
      <c r="U2561" s="1">
        <v>0</v>
      </c>
      <c r="V2561" s="1" t="str">
        <f t="shared" si="485"/>
        <v>里程返程</v>
      </c>
      <c r="W2561" s="1" t="str">
        <f>"2120"</f>
        <v>2120</v>
      </c>
      <c r="X2561" s="1" t="s">
        <v>35</v>
      </c>
    </row>
    <row r="2562" spans="1:24" x14ac:dyDescent="0.3">
      <c r="A2562" s="1" t="str">
        <f t="shared" si="482"/>
        <v>59828</v>
      </c>
      <c r="B2562" s="1" t="s">
        <v>23</v>
      </c>
      <c r="C2562" s="1" t="s">
        <v>24</v>
      </c>
      <c r="D2562" s="1" t="str">
        <f t="shared" si="483"/>
        <v>9801</v>
      </c>
      <c r="E2562" s="1" t="s">
        <v>25</v>
      </c>
      <c r="F2562" s="1" t="str">
        <f>"591493455"</f>
        <v>591493455</v>
      </c>
      <c r="G2562" s="1" t="s">
        <v>33</v>
      </c>
      <c r="H2562" s="1" t="str">
        <f t="shared" ref="H2562:H2575" si="486">"20220911"</f>
        <v>20220911</v>
      </c>
      <c r="I2562" s="1" t="str">
        <f>"070900"</f>
        <v>070900</v>
      </c>
      <c r="J2562" s="1" t="s">
        <v>75</v>
      </c>
      <c r="K2562" s="1" t="s">
        <v>45</v>
      </c>
      <c r="L2562" s="1" t="str">
        <f t="shared" si="484"/>
        <v>20220911</v>
      </c>
      <c r="M2562" s="1" t="str">
        <f>"072147"</f>
        <v>072147</v>
      </c>
      <c r="N2562" s="1" t="s">
        <v>28</v>
      </c>
      <c r="O2562" s="1" t="s">
        <v>28</v>
      </c>
      <c r="P2562" s="1" t="s">
        <v>55</v>
      </c>
      <c r="Q2562" s="1">
        <v>25</v>
      </c>
      <c r="R2562" s="1">
        <v>25</v>
      </c>
      <c r="S2562" s="1">
        <v>0</v>
      </c>
      <c r="T2562" s="1">
        <v>0</v>
      </c>
      <c r="U2562" s="1">
        <v>0</v>
      </c>
      <c r="V2562" s="1" t="str">
        <f t="shared" si="485"/>
        <v>里程返程</v>
      </c>
      <c r="W2562" s="1" t="str">
        <f>"2020"</f>
        <v>2020</v>
      </c>
      <c r="X2562" s="1" t="s">
        <v>35</v>
      </c>
    </row>
    <row r="2563" spans="1:24" x14ac:dyDescent="0.3">
      <c r="A2563" s="1" t="str">
        <f t="shared" si="482"/>
        <v>59828</v>
      </c>
      <c r="B2563" s="1" t="s">
        <v>23</v>
      </c>
      <c r="C2563" s="1" t="s">
        <v>24</v>
      </c>
      <c r="D2563" s="1" t="str">
        <f t="shared" si="483"/>
        <v>9801</v>
      </c>
      <c r="E2563" s="1" t="s">
        <v>25</v>
      </c>
      <c r="F2563" s="1" t="str">
        <f>"1107219413"</f>
        <v>1107219413</v>
      </c>
      <c r="G2563" s="1" t="s">
        <v>26</v>
      </c>
      <c r="H2563" s="1" t="str">
        <f t="shared" si="486"/>
        <v>20220911</v>
      </c>
      <c r="I2563" s="1" t="str">
        <f>"070912"</f>
        <v>070912</v>
      </c>
      <c r="J2563" s="1" t="s">
        <v>75</v>
      </c>
      <c r="K2563" s="1" t="s">
        <v>45</v>
      </c>
      <c r="L2563" s="1" t="str">
        <f t="shared" si="484"/>
        <v>20220911</v>
      </c>
      <c r="M2563" s="1" t="str">
        <f>"072207"</f>
        <v>072207</v>
      </c>
      <c r="N2563" s="1" t="s">
        <v>28</v>
      </c>
      <c r="O2563" s="1" t="s">
        <v>28</v>
      </c>
      <c r="P2563" s="1" t="s">
        <v>55</v>
      </c>
      <c r="Q2563" s="1">
        <v>13</v>
      </c>
      <c r="R2563" s="1">
        <v>13</v>
      </c>
      <c r="S2563" s="1">
        <v>0</v>
      </c>
      <c r="T2563" s="1">
        <v>0</v>
      </c>
      <c r="U2563" s="1">
        <v>0</v>
      </c>
      <c r="V2563" s="1" t="str">
        <f t="shared" si="485"/>
        <v>里程返程</v>
      </c>
      <c r="W2563" s="1" t="str">
        <f>"2020"</f>
        <v>2020</v>
      </c>
      <c r="X2563" s="1" t="s">
        <v>35</v>
      </c>
    </row>
    <row r="2564" spans="1:24" x14ac:dyDescent="0.3">
      <c r="A2564" s="1" t="str">
        <f t="shared" si="482"/>
        <v>59828</v>
      </c>
      <c r="B2564" s="1" t="s">
        <v>23</v>
      </c>
      <c r="C2564" s="1" t="s">
        <v>24</v>
      </c>
      <c r="D2564" s="1" t="str">
        <f t="shared" si="483"/>
        <v>9801</v>
      </c>
      <c r="E2564" s="1" t="s">
        <v>25</v>
      </c>
      <c r="F2564" s="1" t="str">
        <f>"895868389"</f>
        <v>895868389</v>
      </c>
      <c r="G2564" s="1" t="s">
        <v>33</v>
      </c>
      <c r="H2564" s="1" t="str">
        <f t="shared" si="486"/>
        <v>20220911</v>
      </c>
      <c r="I2564" s="1" t="str">
        <f>"071045"</f>
        <v>071045</v>
      </c>
      <c r="J2564" s="1" t="s">
        <v>56</v>
      </c>
      <c r="K2564" s="1" t="s">
        <v>45</v>
      </c>
      <c r="L2564" s="1" t="str">
        <f t="shared" si="484"/>
        <v>20220911</v>
      </c>
      <c r="M2564" s="1" t="str">
        <f>"072140"</f>
        <v>072140</v>
      </c>
      <c r="N2564" s="1" t="s">
        <v>28</v>
      </c>
      <c r="O2564" s="1" t="s">
        <v>28</v>
      </c>
      <c r="P2564" s="1" t="s">
        <v>55</v>
      </c>
      <c r="Q2564" s="1">
        <v>25</v>
      </c>
      <c r="R2564" s="1">
        <v>25</v>
      </c>
      <c r="S2564" s="1">
        <v>0</v>
      </c>
      <c r="T2564" s="1">
        <v>0</v>
      </c>
      <c r="U2564" s="1">
        <v>0</v>
      </c>
      <c r="V2564" s="1" t="str">
        <f t="shared" si="485"/>
        <v>里程返程</v>
      </c>
      <c r="W2564" s="1" t="str">
        <f>"2520"</f>
        <v>2520</v>
      </c>
      <c r="X2564" s="1" t="s">
        <v>35</v>
      </c>
    </row>
    <row r="2565" spans="1:24" x14ac:dyDescent="0.3">
      <c r="A2565" s="1" t="str">
        <f t="shared" si="482"/>
        <v>59828</v>
      </c>
      <c r="B2565" s="1" t="s">
        <v>23</v>
      </c>
      <c r="C2565" s="1" t="s">
        <v>24</v>
      </c>
      <c r="D2565" s="1" t="str">
        <f t="shared" si="483"/>
        <v>9801</v>
      </c>
      <c r="E2565" s="1" t="s">
        <v>25</v>
      </c>
      <c r="F2565" s="1" t="str">
        <f>"1103653621"</f>
        <v>1103653621</v>
      </c>
      <c r="G2565" s="1" t="s">
        <v>38</v>
      </c>
      <c r="H2565" s="1" t="str">
        <f t="shared" si="486"/>
        <v>20220911</v>
      </c>
      <c r="I2565" s="1" t="str">
        <f>"071048"</f>
        <v>071048</v>
      </c>
      <c r="J2565" s="1" t="s">
        <v>56</v>
      </c>
      <c r="K2565" s="1" t="s">
        <v>45</v>
      </c>
      <c r="L2565" s="1" t="str">
        <f t="shared" si="484"/>
        <v>20220911</v>
      </c>
      <c r="M2565" s="1" t="str">
        <f>"072131"</f>
        <v>072131</v>
      </c>
      <c r="N2565" s="1" t="s">
        <v>28</v>
      </c>
      <c r="O2565" s="1" t="s">
        <v>28</v>
      </c>
      <c r="P2565" s="1" t="s">
        <v>55</v>
      </c>
      <c r="Q2565" s="1">
        <v>25</v>
      </c>
      <c r="R2565" s="1">
        <v>25</v>
      </c>
      <c r="S2565" s="1">
        <v>0</v>
      </c>
      <c r="T2565" s="1">
        <v>0</v>
      </c>
      <c r="U2565" s="1">
        <v>0</v>
      </c>
      <c r="V2565" s="1" t="str">
        <f t="shared" si="485"/>
        <v>里程返程</v>
      </c>
      <c r="W2565" s="1" t="str">
        <f>"2120"</f>
        <v>2120</v>
      </c>
      <c r="X2565" s="1" t="s">
        <v>35</v>
      </c>
    </row>
    <row r="2566" spans="1:24" x14ac:dyDescent="0.3">
      <c r="A2566" s="1" t="str">
        <f t="shared" si="482"/>
        <v>59828</v>
      </c>
      <c r="B2566" s="1" t="s">
        <v>23</v>
      </c>
      <c r="C2566" s="1" t="s">
        <v>24</v>
      </c>
      <c r="D2566" s="1" t="str">
        <f t="shared" si="483"/>
        <v>9801</v>
      </c>
      <c r="E2566" s="1" t="s">
        <v>25</v>
      </c>
      <c r="F2566" s="1" t="str">
        <f>"F282E40195880400C821002000000015"</f>
        <v>F282E40195880400C821002000000015</v>
      </c>
      <c r="G2566" s="1" t="s">
        <v>58</v>
      </c>
      <c r="H2566" s="1" t="str">
        <f t="shared" si="486"/>
        <v>20220911</v>
      </c>
      <c r="I2566" s="1" t="str">
        <f>"072228"</f>
        <v>072228</v>
      </c>
      <c r="J2566" s="1" t="s">
        <v>28</v>
      </c>
      <c r="K2566" s="1" t="s">
        <v>28</v>
      </c>
      <c r="L2566" s="1" t="str">
        <f t="shared" si="484"/>
        <v>20220911</v>
      </c>
      <c r="M2566" s="1" t="str">
        <f>"074519"</f>
        <v>074519</v>
      </c>
      <c r="N2566" s="1" t="s">
        <v>65</v>
      </c>
      <c r="O2566" s="1" t="s">
        <v>52</v>
      </c>
      <c r="P2566" s="1" t="s">
        <v>55</v>
      </c>
      <c r="Q2566" s="1">
        <v>25</v>
      </c>
      <c r="R2566" s="1">
        <v>0</v>
      </c>
      <c r="S2566" s="1">
        <v>25</v>
      </c>
      <c r="T2566" s="1">
        <v>0</v>
      </c>
      <c r="U2566" s="1">
        <v>0</v>
      </c>
      <c r="V2566" s="1" t="str">
        <f t="shared" si="485"/>
        <v>里程返程</v>
      </c>
      <c r="W2566" s="1" t="str">
        <f>"0620"</f>
        <v>0620</v>
      </c>
      <c r="X2566" s="1" t="s">
        <v>29</v>
      </c>
    </row>
    <row r="2567" spans="1:24" x14ac:dyDescent="0.3">
      <c r="A2567" s="1" t="str">
        <f t="shared" si="482"/>
        <v>59828</v>
      </c>
      <c r="B2567" s="1" t="s">
        <v>23</v>
      </c>
      <c r="C2567" s="1" t="s">
        <v>24</v>
      </c>
      <c r="D2567" s="1" t="str">
        <f t="shared" si="483"/>
        <v>9801</v>
      </c>
      <c r="E2567" s="1" t="s">
        <v>25</v>
      </c>
      <c r="F2567" s="1" t="str">
        <f>"1673435605"</f>
        <v>1673435605</v>
      </c>
      <c r="G2567" s="1" t="s">
        <v>26</v>
      </c>
      <c r="H2567" s="1" t="str">
        <f t="shared" si="486"/>
        <v>20220911</v>
      </c>
      <c r="I2567" s="1" t="str">
        <f>"072234"</f>
        <v>072234</v>
      </c>
      <c r="J2567" s="1" t="s">
        <v>28</v>
      </c>
      <c r="K2567" s="1" t="s">
        <v>28</v>
      </c>
      <c r="L2567" s="1" t="str">
        <f t="shared" si="484"/>
        <v>20220911</v>
      </c>
      <c r="M2567" s="1" t="str">
        <f>"075529"</f>
        <v>075529</v>
      </c>
      <c r="N2567" s="1" t="s">
        <v>52</v>
      </c>
      <c r="O2567" s="1" t="s">
        <v>52</v>
      </c>
      <c r="P2567" s="1" t="s">
        <v>55</v>
      </c>
      <c r="Q2567" s="1">
        <v>13</v>
      </c>
      <c r="R2567" s="1">
        <v>0</v>
      </c>
      <c r="S2567" s="1">
        <v>13</v>
      </c>
      <c r="T2567" s="1">
        <v>0</v>
      </c>
      <c r="U2567" s="1">
        <v>0</v>
      </c>
      <c r="V2567" s="1" t="str">
        <f t="shared" si="485"/>
        <v>里程返程</v>
      </c>
      <c r="W2567" s="1" t="str">
        <f>"0820"</f>
        <v>0820</v>
      </c>
      <c r="X2567" s="1" t="s">
        <v>35</v>
      </c>
    </row>
    <row r="2568" spans="1:24" x14ac:dyDescent="0.3">
      <c r="A2568" s="1" t="str">
        <f t="shared" si="482"/>
        <v>59828</v>
      </c>
      <c r="B2568" s="1" t="s">
        <v>23</v>
      </c>
      <c r="C2568" s="1" t="s">
        <v>24</v>
      </c>
      <c r="D2568" s="1" t="str">
        <f t="shared" si="483"/>
        <v>9801</v>
      </c>
      <c r="E2568" s="1" t="s">
        <v>25</v>
      </c>
      <c r="F2568" s="1" t="str">
        <f>"3762696503"</f>
        <v>3762696503</v>
      </c>
      <c r="G2568" s="1" t="s">
        <v>33</v>
      </c>
      <c r="H2568" s="1" t="str">
        <f t="shared" si="486"/>
        <v>20220911</v>
      </c>
      <c r="I2568" s="1" t="str">
        <f>"075558"</f>
        <v>075558</v>
      </c>
      <c r="J2568" s="1" t="s">
        <v>52</v>
      </c>
      <c r="K2568" s="1" t="s">
        <v>52</v>
      </c>
      <c r="L2568" s="1" t="str">
        <f t="shared" si="484"/>
        <v>20220911</v>
      </c>
      <c r="M2568" s="1" t="str">
        <f>"082841"</f>
        <v>082841</v>
      </c>
      <c r="N2568" s="1" t="s">
        <v>70</v>
      </c>
      <c r="O2568" s="1" t="s">
        <v>28</v>
      </c>
      <c r="P2568" s="1" t="s">
        <v>55</v>
      </c>
      <c r="Q2568" s="1">
        <v>25</v>
      </c>
      <c r="R2568" s="1">
        <v>25</v>
      </c>
      <c r="S2568" s="1">
        <v>0</v>
      </c>
      <c r="T2568" s="1">
        <v>0</v>
      </c>
      <c r="U2568" s="1">
        <v>0</v>
      </c>
      <c r="V2568" s="1" t="str">
        <f t="shared" ref="V2568:V2576" si="487">"里程去程"</f>
        <v>里程去程</v>
      </c>
      <c r="W2568" s="1" t="str">
        <f>"2020"</f>
        <v>2020</v>
      </c>
      <c r="X2568" s="1" t="s">
        <v>35</v>
      </c>
    </row>
    <row r="2569" spans="1:24" x14ac:dyDescent="0.3">
      <c r="A2569" s="1" t="str">
        <f t="shared" si="482"/>
        <v>59828</v>
      </c>
      <c r="B2569" s="1" t="s">
        <v>23</v>
      </c>
      <c r="C2569" s="1" t="s">
        <v>24</v>
      </c>
      <c r="D2569" s="1" t="str">
        <f t="shared" si="483"/>
        <v>9801</v>
      </c>
      <c r="E2569" s="1" t="s">
        <v>25</v>
      </c>
      <c r="F2569" s="1" t="str">
        <f>"943727973"</f>
        <v>943727973</v>
      </c>
      <c r="G2569" s="1" t="s">
        <v>26</v>
      </c>
      <c r="H2569" s="1" t="str">
        <f t="shared" si="486"/>
        <v>20220911</v>
      </c>
      <c r="I2569" s="1" t="str">
        <f>"075602"</f>
        <v>075602</v>
      </c>
      <c r="J2569" s="1" t="s">
        <v>52</v>
      </c>
      <c r="K2569" s="1" t="s">
        <v>52</v>
      </c>
      <c r="L2569" s="1" t="str">
        <f t="shared" si="484"/>
        <v>20220911</v>
      </c>
      <c r="M2569" s="1" t="str">
        <f>"082837"</f>
        <v>082837</v>
      </c>
      <c r="N2569" s="1" t="s">
        <v>70</v>
      </c>
      <c r="O2569" s="1" t="s">
        <v>28</v>
      </c>
      <c r="P2569" s="1" t="s">
        <v>55</v>
      </c>
      <c r="Q2569" s="1">
        <v>13</v>
      </c>
      <c r="R2569" s="1">
        <v>13</v>
      </c>
      <c r="S2569" s="1">
        <v>0</v>
      </c>
      <c r="T2569" s="1">
        <v>0</v>
      </c>
      <c r="U2569" s="1">
        <v>0</v>
      </c>
      <c r="V2569" s="1" t="str">
        <f t="shared" si="487"/>
        <v>里程去程</v>
      </c>
      <c r="W2569" s="1" t="str">
        <f>"2020"</f>
        <v>2020</v>
      </c>
      <c r="X2569" s="1" t="s">
        <v>35</v>
      </c>
    </row>
    <row r="2570" spans="1:24" x14ac:dyDescent="0.3">
      <c r="A2570" s="1" t="str">
        <f t="shared" si="482"/>
        <v>59828</v>
      </c>
      <c r="B2570" s="1" t="s">
        <v>23</v>
      </c>
      <c r="C2570" s="1" t="s">
        <v>24</v>
      </c>
      <c r="D2570" s="1" t="str">
        <f t="shared" si="483"/>
        <v>9801</v>
      </c>
      <c r="E2570" s="1" t="s">
        <v>25</v>
      </c>
      <c r="F2570" s="1" t="str">
        <f>"E213BD024E880400C834002000000015"</f>
        <v>E213BD024E880400C834002000000015</v>
      </c>
      <c r="G2570" s="1" t="s">
        <v>74</v>
      </c>
      <c r="H2570" s="1" t="str">
        <f t="shared" si="486"/>
        <v>20220911</v>
      </c>
      <c r="I2570" s="1" t="str">
        <f>"092954"</f>
        <v>092954</v>
      </c>
      <c r="J2570" s="1" t="s">
        <v>27</v>
      </c>
      <c r="K2570" s="1" t="s">
        <v>28</v>
      </c>
      <c r="L2570" s="1" t="str">
        <f t="shared" si="484"/>
        <v>20220911</v>
      </c>
      <c r="M2570" s="1" t="str">
        <f>"095650"</f>
        <v>095650</v>
      </c>
      <c r="N2570" s="1" t="s">
        <v>44</v>
      </c>
      <c r="O2570" s="1" t="s">
        <v>45</v>
      </c>
      <c r="P2570" s="1" t="s">
        <v>68</v>
      </c>
      <c r="Q2570" s="1">
        <v>13</v>
      </c>
      <c r="R2570" s="1">
        <v>0</v>
      </c>
      <c r="S2570" s="1">
        <v>0</v>
      </c>
      <c r="T2570" s="1">
        <v>13</v>
      </c>
      <c r="U2570" s="1">
        <v>0</v>
      </c>
      <c r="V2570" s="1" t="str">
        <f t="shared" si="487"/>
        <v>里程去程</v>
      </c>
      <c r="W2570" s="1" t="str">
        <f>"0020"</f>
        <v>0020</v>
      </c>
      <c r="X2570" s="1" t="s">
        <v>29</v>
      </c>
    </row>
    <row r="2571" spans="1:24" x14ac:dyDescent="0.3">
      <c r="A2571" s="1" t="str">
        <f t="shared" si="482"/>
        <v>59828</v>
      </c>
      <c r="B2571" s="1" t="s">
        <v>23</v>
      </c>
      <c r="C2571" s="1" t="s">
        <v>24</v>
      </c>
      <c r="D2571" s="1" t="str">
        <f t="shared" si="483"/>
        <v>9801</v>
      </c>
      <c r="E2571" s="1" t="s">
        <v>25</v>
      </c>
      <c r="F2571" s="1" t="str">
        <f>"6280E61A1E880400C817002000000021"</f>
        <v>6280E61A1E880400C817002000000021</v>
      </c>
      <c r="G2571" s="1" t="s">
        <v>58</v>
      </c>
      <c r="H2571" s="1" t="str">
        <f t="shared" si="486"/>
        <v>20220911</v>
      </c>
      <c r="I2571" s="1" t="str">
        <f>"092958"</f>
        <v>092958</v>
      </c>
      <c r="J2571" s="1" t="s">
        <v>27</v>
      </c>
      <c r="K2571" s="1" t="s">
        <v>28</v>
      </c>
      <c r="L2571" s="1" t="str">
        <f t="shared" si="484"/>
        <v>20220911</v>
      </c>
      <c r="M2571" s="1" t="str">
        <f>"095717"</f>
        <v>095717</v>
      </c>
      <c r="N2571" s="1" t="s">
        <v>44</v>
      </c>
      <c r="O2571" s="1" t="s">
        <v>45</v>
      </c>
      <c r="P2571" s="1" t="s">
        <v>55</v>
      </c>
      <c r="Q2571" s="1">
        <v>25</v>
      </c>
      <c r="R2571" s="1">
        <v>0</v>
      </c>
      <c r="S2571" s="1">
        <v>25</v>
      </c>
      <c r="T2571" s="1">
        <v>0</v>
      </c>
      <c r="U2571" s="1">
        <v>0</v>
      </c>
      <c r="V2571" s="1" t="str">
        <f t="shared" si="487"/>
        <v>里程去程</v>
      </c>
      <c r="W2571" s="1" t="str">
        <f>"0620"</f>
        <v>0620</v>
      </c>
      <c r="X2571" s="1" t="s">
        <v>29</v>
      </c>
    </row>
    <row r="2572" spans="1:24" x14ac:dyDescent="0.3">
      <c r="A2572" s="1" t="str">
        <f t="shared" si="482"/>
        <v>59828</v>
      </c>
      <c r="B2572" s="1" t="s">
        <v>23</v>
      </c>
      <c r="C2572" s="1" t="s">
        <v>24</v>
      </c>
      <c r="D2572" s="1" t="str">
        <f t="shared" si="483"/>
        <v>9801</v>
      </c>
      <c r="E2572" s="1" t="s">
        <v>25</v>
      </c>
      <c r="F2572" s="1" t="str">
        <f>"1296008913"</f>
        <v>1296008913</v>
      </c>
      <c r="G2572" s="1" t="s">
        <v>33</v>
      </c>
      <c r="H2572" s="1" t="str">
        <f t="shared" si="486"/>
        <v>20220911</v>
      </c>
      <c r="I2572" s="1" t="str">
        <f>"093251"</f>
        <v>093251</v>
      </c>
      <c r="J2572" s="1" t="s">
        <v>27</v>
      </c>
      <c r="K2572" s="1" t="s">
        <v>28</v>
      </c>
      <c r="L2572" s="1" t="str">
        <f t="shared" si="484"/>
        <v>20220911</v>
      </c>
      <c r="M2572" s="1" t="str">
        <f>"094827"</f>
        <v>094827</v>
      </c>
      <c r="N2572" s="1" t="s">
        <v>56</v>
      </c>
      <c r="O2572" s="1" t="s">
        <v>45</v>
      </c>
      <c r="P2572" s="1" t="s">
        <v>55</v>
      </c>
      <c r="Q2572" s="1">
        <v>25</v>
      </c>
      <c r="R2572" s="1">
        <v>25</v>
      </c>
      <c r="S2572" s="1">
        <v>0</v>
      </c>
      <c r="T2572" s="1">
        <v>0</v>
      </c>
      <c r="U2572" s="1">
        <v>0</v>
      </c>
      <c r="V2572" s="1" t="str">
        <f t="shared" si="487"/>
        <v>里程去程</v>
      </c>
      <c r="W2572" s="1" t="str">
        <f>"0120"</f>
        <v>0120</v>
      </c>
      <c r="X2572" s="1" t="s">
        <v>35</v>
      </c>
    </row>
    <row r="2573" spans="1:24" x14ac:dyDescent="0.3">
      <c r="A2573" s="1" t="str">
        <f t="shared" si="482"/>
        <v>59828</v>
      </c>
      <c r="B2573" s="1" t="s">
        <v>23</v>
      </c>
      <c r="C2573" s="1" t="s">
        <v>24</v>
      </c>
      <c r="D2573" s="1" t="str">
        <f t="shared" si="483"/>
        <v>9801</v>
      </c>
      <c r="E2573" s="1" t="s">
        <v>25</v>
      </c>
      <c r="F2573" s="1" t="str">
        <f>"1920293009"</f>
        <v>1920293009</v>
      </c>
      <c r="G2573" s="1" t="s">
        <v>33</v>
      </c>
      <c r="H2573" s="1" t="str">
        <f t="shared" si="486"/>
        <v>20220911</v>
      </c>
      <c r="I2573" s="1" t="str">
        <f>"093259"</f>
        <v>093259</v>
      </c>
      <c r="J2573" s="1" t="s">
        <v>27</v>
      </c>
      <c r="K2573" s="1" t="s">
        <v>28</v>
      </c>
      <c r="L2573" s="1" t="str">
        <f t="shared" si="484"/>
        <v>20220911</v>
      </c>
      <c r="M2573" s="1" t="str">
        <f>"094825"</f>
        <v>094825</v>
      </c>
      <c r="N2573" s="1" t="s">
        <v>56</v>
      </c>
      <c r="O2573" s="1" t="s">
        <v>45</v>
      </c>
      <c r="P2573" s="1" t="s">
        <v>55</v>
      </c>
      <c r="Q2573" s="1">
        <v>25</v>
      </c>
      <c r="R2573" s="1">
        <v>25</v>
      </c>
      <c r="S2573" s="1">
        <v>0</v>
      </c>
      <c r="T2573" s="1">
        <v>0</v>
      </c>
      <c r="U2573" s="1">
        <v>0</v>
      </c>
      <c r="V2573" s="1" t="str">
        <f t="shared" si="487"/>
        <v>里程去程</v>
      </c>
      <c r="W2573" s="1" t="str">
        <f>"0620"</f>
        <v>0620</v>
      </c>
      <c r="X2573" s="1" t="s">
        <v>35</v>
      </c>
    </row>
    <row r="2574" spans="1:24" x14ac:dyDescent="0.3">
      <c r="A2574" s="1" t="str">
        <f t="shared" si="482"/>
        <v>59828</v>
      </c>
      <c r="B2574" s="1" t="s">
        <v>23</v>
      </c>
      <c r="C2574" s="1" t="s">
        <v>24</v>
      </c>
      <c r="D2574" s="1" t="str">
        <f t="shared" si="483"/>
        <v>9801</v>
      </c>
      <c r="E2574" s="1" t="s">
        <v>25</v>
      </c>
      <c r="F2574" s="1" t="str">
        <f>"473697073"</f>
        <v>473697073</v>
      </c>
      <c r="G2574" s="1" t="s">
        <v>33</v>
      </c>
      <c r="H2574" s="1" t="str">
        <f t="shared" si="486"/>
        <v>20220911</v>
      </c>
      <c r="I2574" s="1" t="str">
        <f>"093304"</f>
        <v>093304</v>
      </c>
      <c r="J2574" s="1" t="s">
        <v>27</v>
      </c>
      <c r="K2574" s="1" t="s">
        <v>28</v>
      </c>
      <c r="L2574" s="1" t="str">
        <f t="shared" si="484"/>
        <v>20220911</v>
      </c>
      <c r="M2574" s="1" t="str">
        <f>"094823"</f>
        <v>094823</v>
      </c>
      <c r="N2574" s="1" t="s">
        <v>56</v>
      </c>
      <c r="O2574" s="1" t="s">
        <v>45</v>
      </c>
      <c r="P2574" s="1" t="s">
        <v>55</v>
      </c>
      <c r="Q2574" s="1">
        <v>25</v>
      </c>
      <c r="R2574" s="1">
        <v>25</v>
      </c>
      <c r="S2574" s="1">
        <v>0</v>
      </c>
      <c r="T2574" s="1">
        <v>0</v>
      </c>
      <c r="U2574" s="1">
        <v>0</v>
      </c>
      <c r="V2574" s="1" t="str">
        <f t="shared" si="487"/>
        <v>里程去程</v>
      </c>
      <c r="W2574" s="1" t="str">
        <f>"1c20"</f>
        <v>1c20</v>
      </c>
      <c r="X2574" s="1" t="s">
        <v>35</v>
      </c>
    </row>
    <row r="2575" spans="1:24" x14ac:dyDescent="0.3">
      <c r="A2575" s="1" t="str">
        <f t="shared" si="482"/>
        <v>59828</v>
      </c>
      <c r="B2575" s="1" t="s">
        <v>23</v>
      </c>
      <c r="C2575" s="1" t="s">
        <v>24</v>
      </c>
      <c r="D2575" s="1" t="str">
        <f t="shared" si="483"/>
        <v>9801</v>
      </c>
      <c r="E2575" s="1" t="s">
        <v>25</v>
      </c>
      <c r="F2575" s="1" t="str">
        <f>"97056008"</f>
        <v>97056008</v>
      </c>
      <c r="G2575" s="1" t="s">
        <v>33</v>
      </c>
      <c r="H2575" s="1" t="str">
        <f t="shared" si="486"/>
        <v>20220911</v>
      </c>
      <c r="I2575" s="1" t="str">
        <f>"093331"</f>
        <v>093331</v>
      </c>
      <c r="J2575" s="1" t="s">
        <v>27</v>
      </c>
      <c r="K2575" s="1" t="s">
        <v>28</v>
      </c>
      <c r="L2575" s="1" t="str">
        <f>""</f>
        <v/>
      </c>
      <c r="M2575" s="1" t="str">
        <f>""</f>
        <v/>
      </c>
      <c r="P2575" s="1" t="s">
        <v>88</v>
      </c>
      <c r="Q2575" s="1">
        <v>25</v>
      </c>
      <c r="R2575" s="1">
        <v>25</v>
      </c>
      <c r="S2575" s="1">
        <v>0</v>
      </c>
      <c r="T2575" s="1">
        <v>0</v>
      </c>
      <c r="U2575" s="1">
        <v>0</v>
      </c>
      <c r="V2575" s="1" t="str">
        <f t="shared" si="487"/>
        <v>里程去程</v>
      </c>
      <c r="W2575" s="1" t="str">
        <f>"0120"</f>
        <v>0120</v>
      </c>
      <c r="X2575" s="1" t="s">
        <v>35</v>
      </c>
    </row>
    <row r="2576" spans="1:24" x14ac:dyDescent="0.3">
      <c r="A2576" s="1" t="str">
        <f t="shared" si="482"/>
        <v>59828</v>
      </c>
      <c r="B2576" s="1" t="s">
        <v>23</v>
      </c>
      <c r="C2576" s="1" t="s">
        <v>24</v>
      </c>
      <c r="D2576" s="1" t="str">
        <f t="shared" si="483"/>
        <v>9801</v>
      </c>
      <c r="E2576" s="1" t="s">
        <v>25</v>
      </c>
      <c r="F2576" s="1" t="str">
        <f>"3500998152"</f>
        <v>3500998152</v>
      </c>
      <c r="G2576" s="1" t="s">
        <v>33</v>
      </c>
      <c r="H2576" s="1" t="s">
        <v>114</v>
      </c>
      <c r="I2576" s="1" t="s">
        <v>115</v>
      </c>
      <c r="J2576" s="1" t="s">
        <v>56</v>
      </c>
      <c r="K2576" s="1" t="s">
        <v>45</v>
      </c>
      <c r="P2576" s="1" t="s">
        <v>113</v>
      </c>
      <c r="Q2576" s="1">
        <v>25</v>
      </c>
      <c r="R2576" s="1">
        <v>0</v>
      </c>
      <c r="S2576" s="1">
        <v>0</v>
      </c>
      <c r="T2576" s="1">
        <v>0</v>
      </c>
      <c r="U2576" s="1">
        <v>0</v>
      </c>
      <c r="V2576" s="1" t="str">
        <f t="shared" si="487"/>
        <v>里程去程</v>
      </c>
      <c r="W2576" s="1" t="str">
        <f>"2020"</f>
        <v>2020</v>
      </c>
      <c r="X2576" s="1" t="s">
        <v>35</v>
      </c>
    </row>
    <row r="2577" spans="1:24" x14ac:dyDescent="0.3">
      <c r="A2577" s="1" t="str">
        <f t="shared" si="482"/>
        <v>59828</v>
      </c>
      <c r="B2577" s="1" t="s">
        <v>23</v>
      </c>
      <c r="C2577" s="1" t="s">
        <v>24</v>
      </c>
      <c r="D2577" s="1" t="str">
        <f t="shared" si="483"/>
        <v>9801</v>
      </c>
      <c r="E2577" s="1" t="s">
        <v>25</v>
      </c>
      <c r="F2577" s="1" t="str">
        <f>"167398225"</f>
        <v>167398225</v>
      </c>
      <c r="G2577" s="1" t="s">
        <v>33</v>
      </c>
      <c r="H2577" s="1" t="str">
        <f t="shared" ref="H2577:H2602" si="488">"20220911"</f>
        <v>20220911</v>
      </c>
      <c r="I2577" s="1" t="str">
        <f>"124046"</f>
        <v>124046</v>
      </c>
      <c r="J2577" s="1" t="s">
        <v>75</v>
      </c>
      <c r="K2577" s="1" t="s">
        <v>45</v>
      </c>
      <c r="L2577" s="1" t="str">
        <f t="shared" ref="L2577:L2602" si="489">"20220911"</f>
        <v>20220911</v>
      </c>
      <c r="M2577" s="1" t="str">
        <f>"125406"</f>
        <v>125406</v>
      </c>
      <c r="N2577" s="1" t="s">
        <v>28</v>
      </c>
      <c r="O2577" s="1" t="s">
        <v>28</v>
      </c>
      <c r="P2577" s="1" t="s">
        <v>55</v>
      </c>
      <c r="Q2577" s="1">
        <v>25</v>
      </c>
      <c r="R2577" s="1">
        <v>25</v>
      </c>
      <c r="S2577" s="1">
        <v>0</v>
      </c>
      <c r="T2577" s="1">
        <v>0</v>
      </c>
      <c r="U2577" s="1">
        <v>0</v>
      </c>
      <c r="V2577" s="1" t="str">
        <f t="shared" ref="V2577:V2602" si="490">"里程返程"</f>
        <v>里程返程</v>
      </c>
      <c r="W2577" s="1" t="str">
        <f>"2020"</f>
        <v>2020</v>
      </c>
      <c r="X2577" s="1" t="s">
        <v>35</v>
      </c>
    </row>
    <row r="2578" spans="1:24" x14ac:dyDescent="0.3">
      <c r="A2578" s="1" t="str">
        <f t="shared" si="482"/>
        <v>59828</v>
      </c>
      <c r="B2578" s="1" t="s">
        <v>23</v>
      </c>
      <c r="C2578" s="1" t="s">
        <v>24</v>
      </c>
      <c r="D2578" s="1" t="str">
        <f t="shared" si="483"/>
        <v>9801</v>
      </c>
      <c r="E2578" s="1" t="s">
        <v>25</v>
      </c>
      <c r="F2578" s="1" t="str">
        <f>"480882305"</f>
        <v>480882305</v>
      </c>
      <c r="G2578" s="1" t="s">
        <v>33</v>
      </c>
      <c r="H2578" s="1" t="str">
        <f t="shared" si="488"/>
        <v>20220911</v>
      </c>
      <c r="I2578" s="1" t="str">
        <f>"124047"</f>
        <v>124047</v>
      </c>
      <c r="J2578" s="1" t="s">
        <v>75</v>
      </c>
      <c r="K2578" s="1" t="s">
        <v>45</v>
      </c>
      <c r="L2578" s="1" t="str">
        <f t="shared" si="489"/>
        <v>20220911</v>
      </c>
      <c r="M2578" s="1" t="str">
        <f>"125403"</f>
        <v>125403</v>
      </c>
      <c r="N2578" s="1" t="s">
        <v>28</v>
      </c>
      <c r="O2578" s="1" t="s">
        <v>28</v>
      </c>
      <c r="P2578" s="1" t="s">
        <v>55</v>
      </c>
      <c r="Q2578" s="1">
        <v>25</v>
      </c>
      <c r="R2578" s="1">
        <v>25</v>
      </c>
      <c r="S2578" s="1">
        <v>0</v>
      </c>
      <c r="T2578" s="1">
        <v>0</v>
      </c>
      <c r="U2578" s="1">
        <v>0</v>
      </c>
      <c r="V2578" s="1" t="str">
        <f t="shared" si="490"/>
        <v>里程返程</v>
      </c>
      <c r="W2578" s="1" t="str">
        <f>"2020"</f>
        <v>2020</v>
      </c>
      <c r="X2578" s="1" t="s">
        <v>35</v>
      </c>
    </row>
    <row r="2579" spans="1:24" x14ac:dyDescent="0.3">
      <c r="A2579" s="1" t="str">
        <f t="shared" si="482"/>
        <v>59828</v>
      </c>
      <c r="B2579" s="1" t="s">
        <v>23</v>
      </c>
      <c r="C2579" s="1" t="s">
        <v>24</v>
      </c>
      <c r="D2579" s="1" t="str">
        <f t="shared" si="483"/>
        <v>9801</v>
      </c>
      <c r="E2579" s="1" t="s">
        <v>25</v>
      </c>
      <c r="F2579" s="1" t="str">
        <f>"81507732942804001C00000000000000"</f>
        <v>81507732942804001C00000000000000</v>
      </c>
      <c r="G2579" s="1" t="s">
        <v>58</v>
      </c>
      <c r="H2579" s="1" t="str">
        <f t="shared" si="488"/>
        <v>20220911</v>
      </c>
      <c r="I2579" s="1" t="str">
        <f>"125430"</f>
        <v>125430</v>
      </c>
      <c r="J2579" s="1" t="s">
        <v>28</v>
      </c>
      <c r="K2579" s="1" t="s">
        <v>28</v>
      </c>
      <c r="L2579" s="1" t="str">
        <f t="shared" si="489"/>
        <v>20220911</v>
      </c>
      <c r="M2579" s="1" t="str">
        <f>"130933"</f>
        <v>130933</v>
      </c>
      <c r="N2579" s="1" t="s">
        <v>77</v>
      </c>
      <c r="O2579" s="1" t="s">
        <v>52</v>
      </c>
      <c r="P2579" s="1" t="s">
        <v>55</v>
      </c>
      <c r="Q2579" s="1">
        <v>25</v>
      </c>
      <c r="R2579" s="1">
        <v>25</v>
      </c>
      <c r="S2579" s="1">
        <v>0</v>
      </c>
      <c r="T2579" s="1">
        <v>0</v>
      </c>
      <c r="U2579" s="1">
        <v>0</v>
      </c>
      <c r="V2579" s="1" t="str">
        <f t="shared" si="490"/>
        <v>里程返程</v>
      </c>
      <c r="W2579" s="1" t="str">
        <f>"0020"</f>
        <v>0020</v>
      </c>
      <c r="X2579" s="1" t="s">
        <v>29</v>
      </c>
    </row>
    <row r="2580" spans="1:24" x14ac:dyDescent="0.3">
      <c r="A2580" s="1" t="str">
        <f t="shared" si="482"/>
        <v>59828</v>
      </c>
      <c r="B2580" s="1" t="s">
        <v>23</v>
      </c>
      <c r="C2580" s="1" t="s">
        <v>24</v>
      </c>
      <c r="D2580" s="1" t="str">
        <f t="shared" si="483"/>
        <v>9801</v>
      </c>
      <c r="E2580" s="1" t="s">
        <v>25</v>
      </c>
      <c r="F2580" s="1" t="str">
        <f>"413125313"</f>
        <v>413125313</v>
      </c>
      <c r="G2580" s="1" t="s">
        <v>33</v>
      </c>
      <c r="H2580" s="1" t="str">
        <f t="shared" si="488"/>
        <v>20220911</v>
      </c>
      <c r="I2580" s="1" t="str">
        <f>"125433"</f>
        <v>125433</v>
      </c>
      <c r="J2580" s="1" t="s">
        <v>28</v>
      </c>
      <c r="K2580" s="1" t="s">
        <v>28</v>
      </c>
      <c r="L2580" s="1" t="str">
        <f t="shared" si="489"/>
        <v>20220911</v>
      </c>
      <c r="M2580" s="1" t="str">
        <f>"130845"</f>
        <v>130845</v>
      </c>
      <c r="N2580" s="1" t="s">
        <v>77</v>
      </c>
      <c r="O2580" s="1" t="s">
        <v>52</v>
      </c>
      <c r="P2580" s="1" t="s">
        <v>55</v>
      </c>
      <c r="Q2580" s="1">
        <v>25</v>
      </c>
      <c r="R2580" s="1">
        <v>25</v>
      </c>
      <c r="S2580" s="1">
        <v>0</v>
      </c>
      <c r="T2580" s="1">
        <v>0</v>
      </c>
      <c r="U2580" s="1">
        <v>0</v>
      </c>
      <c r="V2580" s="1" t="str">
        <f t="shared" si="490"/>
        <v>里程返程</v>
      </c>
      <c r="W2580" s="1" t="str">
        <f>"0e20"</f>
        <v>0e20</v>
      </c>
      <c r="X2580" s="1" t="s">
        <v>35</v>
      </c>
    </row>
    <row r="2581" spans="1:24" x14ac:dyDescent="0.3">
      <c r="A2581" s="1" t="str">
        <f t="shared" si="482"/>
        <v>59828</v>
      </c>
      <c r="B2581" s="1" t="s">
        <v>23</v>
      </c>
      <c r="C2581" s="1" t="s">
        <v>24</v>
      </c>
      <c r="D2581" s="1" t="str">
        <f t="shared" si="483"/>
        <v>9801</v>
      </c>
      <c r="E2581" s="1" t="s">
        <v>25</v>
      </c>
      <c r="F2581" s="1" t="str">
        <f>"1411164465"</f>
        <v>1411164465</v>
      </c>
      <c r="G2581" s="1" t="s">
        <v>26</v>
      </c>
      <c r="H2581" s="1" t="str">
        <f t="shared" si="488"/>
        <v>20220911</v>
      </c>
      <c r="I2581" s="1" t="str">
        <f>"125437"</f>
        <v>125437</v>
      </c>
      <c r="J2581" s="1" t="s">
        <v>28</v>
      </c>
      <c r="K2581" s="1" t="s">
        <v>28</v>
      </c>
      <c r="L2581" s="1" t="str">
        <f t="shared" si="489"/>
        <v>20220911</v>
      </c>
      <c r="M2581" s="1" t="str">
        <f>"131343"</f>
        <v>131343</v>
      </c>
      <c r="N2581" s="1" t="s">
        <v>65</v>
      </c>
      <c r="O2581" s="1" t="s">
        <v>52</v>
      </c>
      <c r="P2581" s="1" t="s">
        <v>55</v>
      </c>
      <c r="Q2581" s="1">
        <v>13</v>
      </c>
      <c r="R2581" s="1">
        <v>13</v>
      </c>
      <c r="S2581" s="1">
        <v>0</v>
      </c>
      <c r="T2581" s="1">
        <v>0</v>
      </c>
      <c r="U2581" s="1">
        <v>0</v>
      </c>
      <c r="V2581" s="1" t="str">
        <f t="shared" si="490"/>
        <v>里程返程</v>
      </c>
      <c r="W2581" s="1" t="str">
        <f>"0120"</f>
        <v>0120</v>
      </c>
      <c r="X2581" s="1" t="s">
        <v>35</v>
      </c>
    </row>
    <row r="2582" spans="1:24" x14ac:dyDescent="0.3">
      <c r="A2582" s="1" t="str">
        <f t="shared" si="482"/>
        <v>59828</v>
      </c>
      <c r="B2582" s="1" t="s">
        <v>23</v>
      </c>
      <c r="C2582" s="1" t="s">
        <v>24</v>
      </c>
      <c r="D2582" s="1" t="str">
        <f t="shared" si="483"/>
        <v>9801</v>
      </c>
      <c r="E2582" s="1" t="s">
        <v>25</v>
      </c>
      <c r="F2582" s="1" t="str">
        <f>"1390073105"</f>
        <v>1390073105</v>
      </c>
      <c r="G2582" s="1" t="s">
        <v>26</v>
      </c>
      <c r="H2582" s="1" t="str">
        <f t="shared" si="488"/>
        <v>20220911</v>
      </c>
      <c r="I2582" s="1" t="str">
        <f>"125448"</f>
        <v>125448</v>
      </c>
      <c r="J2582" s="1" t="s">
        <v>28</v>
      </c>
      <c r="K2582" s="1" t="s">
        <v>28</v>
      </c>
      <c r="L2582" s="1" t="str">
        <f t="shared" si="489"/>
        <v>20220911</v>
      </c>
      <c r="M2582" s="1" t="str">
        <f>"131336"</f>
        <v>131336</v>
      </c>
      <c r="N2582" s="1" t="s">
        <v>65</v>
      </c>
      <c r="O2582" s="1" t="s">
        <v>52</v>
      </c>
      <c r="P2582" s="1" t="s">
        <v>55</v>
      </c>
      <c r="Q2582" s="1">
        <v>13</v>
      </c>
      <c r="R2582" s="1">
        <v>13</v>
      </c>
      <c r="S2582" s="1">
        <v>0</v>
      </c>
      <c r="T2582" s="1">
        <v>0</v>
      </c>
      <c r="U2582" s="1">
        <v>0</v>
      </c>
      <c r="V2582" s="1" t="str">
        <f t="shared" si="490"/>
        <v>里程返程</v>
      </c>
      <c r="W2582" s="1" t="str">
        <f>"0120"</f>
        <v>0120</v>
      </c>
      <c r="X2582" s="1" t="s">
        <v>35</v>
      </c>
    </row>
    <row r="2583" spans="1:24" x14ac:dyDescent="0.3">
      <c r="A2583" s="1" t="str">
        <f t="shared" si="482"/>
        <v>59828</v>
      </c>
      <c r="B2583" s="1" t="s">
        <v>23</v>
      </c>
      <c r="C2583" s="1" t="s">
        <v>24</v>
      </c>
      <c r="D2583" s="1" t="str">
        <f t="shared" si="483"/>
        <v>9801</v>
      </c>
      <c r="E2583" s="1" t="s">
        <v>25</v>
      </c>
      <c r="F2583" s="1" t="str">
        <f>"728202449"</f>
        <v>728202449</v>
      </c>
      <c r="G2583" s="1" t="s">
        <v>33</v>
      </c>
      <c r="H2583" s="1" t="str">
        <f t="shared" si="488"/>
        <v>20220911</v>
      </c>
      <c r="I2583" s="1" t="str">
        <f>"143528"</f>
        <v>143528</v>
      </c>
      <c r="J2583" s="1" t="s">
        <v>91</v>
      </c>
      <c r="K2583" s="1" t="s">
        <v>45</v>
      </c>
      <c r="L2583" s="1" t="str">
        <f t="shared" si="489"/>
        <v>20220911</v>
      </c>
      <c r="M2583" s="1" t="str">
        <f>"144944"</f>
        <v>144944</v>
      </c>
      <c r="N2583" s="1" t="s">
        <v>28</v>
      </c>
      <c r="O2583" s="1" t="s">
        <v>28</v>
      </c>
      <c r="P2583" s="1" t="s">
        <v>55</v>
      </c>
      <c r="Q2583" s="1">
        <v>25</v>
      </c>
      <c r="R2583" s="1">
        <v>25</v>
      </c>
      <c r="S2583" s="1">
        <v>0</v>
      </c>
      <c r="T2583" s="1">
        <v>0</v>
      </c>
      <c r="U2583" s="1">
        <v>0</v>
      </c>
      <c r="V2583" s="1" t="str">
        <f t="shared" si="490"/>
        <v>里程返程</v>
      </c>
      <c r="W2583" s="1" t="str">
        <f>"2020"</f>
        <v>2020</v>
      </c>
      <c r="X2583" s="1" t="s">
        <v>35</v>
      </c>
    </row>
    <row r="2584" spans="1:24" x14ac:dyDescent="0.3">
      <c r="A2584" s="1" t="str">
        <f t="shared" si="482"/>
        <v>59828</v>
      </c>
      <c r="B2584" s="1" t="s">
        <v>23</v>
      </c>
      <c r="C2584" s="1" t="s">
        <v>24</v>
      </c>
      <c r="D2584" s="1" t="str">
        <f t="shared" si="483"/>
        <v>9801</v>
      </c>
      <c r="E2584" s="1" t="s">
        <v>25</v>
      </c>
      <c r="F2584" s="1" t="str">
        <f>"22AD1F0292880400C821002000000015"</f>
        <v>22AD1F0292880400C821002000000015</v>
      </c>
      <c r="G2584" s="1" t="s">
        <v>59</v>
      </c>
      <c r="H2584" s="1" t="str">
        <f t="shared" si="488"/>
        <v>20220911</v>
      </c>
      <c r="I2584" s="1" t="str">
        <f>"154759"</f>
        <v>154759</v>
      </c>
      <c r="J2584" s="1" t="s">
        <v>79</v>
      </c>
      <c r="K2584" s="1" t="s">
        <v>45</v>
      </c>
      <c r="L2584" s="1" t="str">
        <f t="shared" si="489"/>
        <v>20220911</v>
      </c>
      <c r="M2584" s="1" t="str">
        <f>"155328"</f>
        <v>155328</v>
      </c>
      <c r="N2584" s="1" t="s">
        <v>28</v>
      </c>
      <c r="O2584" s="1" t="s">
        <v>28</v>
      </c>
      <c r="P2584" s="1" t="s">
        <v>55</v>
      </c>
      <c r="Q2584" s="1">
        <v>25</v>
      </c>
      <c r="R2584" s="1">
        <v>0</v>
      </c>
      <c r="S2584" s="1">
        <v>25</v>
      </c>
      <c r="T2584" s="1">
        <v>0</v>
      </c>
      <c r="U2584" s="1">
        <v>0</v>
      </c>
      <c r="V2584" s="1" t="str">
        <f t="shared" si="490"/>
        <v>里程返程</v>
      </c>
      <c r="W2584" s="1" t="str">
        <f>"2020"</f>
        <v>2020</v>
      </c>
      <c r="X2584" s="1" t="s">
        <v>29</v>
      </c>
    </row>
    <row r="2585" spans="1:24" x14ac:dyDescent="0.3">
      <c r="A2585" s="1" t="str">
        <f t="shared" si="482"/>
        <v>59828</v>
      </c>
      <c r="B2585" s="1" t="s">
        <v>23</v>
      </c>
      <c r="C2585" s="1" t="s">
        <v>24</v>
      </c>
      <c r="D2585" s="1" t="str">
        <f t="shared" si="483"/>
        <v>9801</v>
      </c>
      <c r="E2585" s="1" t="s">
        <v>25</v>
      </c>
      <c r="F2585" s="1" t="str">
        <f>"1682184773"</f>
        <v>1682184773</v>
      </c>
      <c r="G2585" s="1" t="s">
        <v>38</v>
      </c>
      <c r="H2585" s="1" t="str">
        <f t="shared" si="488"/>
        <v>20220911</v>
      </c>
      <c r="I2585" s="1" t="str">
        <f>"155358"</f>
        <v>155358</v>
      </c>
      <c r="J2585" s="1" t="s">
        <v>28</v>
      </c>
      <c r="K2585" s="1" t="s">
        <v>28</v>
      </c>
      <c r="L2585" s="1" t="str">
        <f t="shared" si="489"/>
        <v>20220911</v>
      </c>
      <c r="M2585" s="1" t="str">
        <f>"161919"</f>
        <v>161919</v>
      </c>
      <c r="N2585" s="1" t="s">
        <v>60</v>
      </c>
      <c r="O2585" s="1" t="s">
        <v>52</v>
      </c>
      <c r="P2585" s="1" t="s">
        <v>55</v>
      </c>
      <c r="Q2585" s="1">
        <v>25</v>
      </c>
      <c r="R2585" s="1">
        <v>25</v>
      </c>
      <c r="S2585" s="1">
        <v>0</v>
      </c>
      <c r="T2585" s="1">
        <v>0</v>
      </c>
      <c r="U2585" s="1">
        <v>0</v>
      </c>
      <c r="V2585" s="1" t="str">
        <f t="shared" si="490"/>
        <v>里程返程</v>
      </c>
      <c r="W2585" s="1" t="str">
        <f>"0820"</f>
        <v>0820</v>
      </c>
      <c r="X2585" s="1" t="s">
        <v>35</v>
      </c>
    </row>
    <row r="2586" spans="1:24" x14ac:dyDescent="0.3">
      <c r="A2586" s="1" t="str">
        <f t="shared" si="482"/>
        <v>59828</v>
      </c>
      <c r="B2586" s="1" t="s">
        <v>23</v>
      </c>
      <c r="C2586" s="1" t="s">
        <v>24</v>
      </c>
      <c r="D2586" s="1" t="str">
        <f t="shared" si="483"/>
        <v>9801</v>
      </c>
      <c r="E2586" s="1" t="s">
        <v>25</v>
      </c>
      <c r="F2586" s="1" t="str">
        <f>"845046F96B880400C819002000000021"</f>
        <v>845046F96B880400C819002000000021</v>
      </c>
      <c r="G2586" s="1" t="s">
        <v>58</v>
      </c>
      <c r="H2586" s="1" t="str">
        <f t="shared" si="488"/>
        <v>20220911</v>
      </c>
      <c r="I2586" s="1" t="str">
        <f>"155405"</f>
        <v>155405</v>
      </c>
      <c r="J2586" s="1" t="s">
        <v>28</v>
      </c>
      <c r="K2586" s="1" t="s">
        <v>28</v>
      </c>
      <c r="L2586" s="1" t="str">
        <f t="shared" si="489"/>
        <v>20220911</v>
      </c>
      <c r="M2586" s="1" t="str">
        <f>"160212"</f>
        <v>160212</v>
      </c>
      <c r="N2586" s="1" t="s">
        <v>83</v>
      </c>
      <c r="O2586" s="1" t="s">
        <v>52</v>
      </c>
      <c r="P2586" s="1" t="s">
        <v>55</v>
      </c>
      <c r="Q2586" s="1">
        <v>25</v>
      </c>
      <c r="R2586" s="1">
        <v>0</v>
      </c>
      <c r="S2586" s="1">
        <v>25</v>
      </c>
      <c r="T2586" s="1">
        <v>0</v>
      </c>
      <c r="U2586" s="1">
        <v>0</v>
      </c>
      <c r="V2586" s="1" t="str">
        <f t="shared" si="490"/>
        <v>里程返程</v>
      </c>
      <c r="W2586" s="1" t="str">
        <f>"0620"</f>
        <v>0620</v>
      </c>
      <c r="X2586" s="1" t="s">
        <v>29</v>
      </c>
    </row>
    <row r="2587" spans="1:24" x14ac:dyDescent="0.3">
      <c r="A2587" s="1" t="str">
        <f t="shared" si="482"/>
        <v>59828</v>
      </c>
      <c r="B2587" s="1" t="s">
        <v>23</v>
      </c>
      <c r="C2587" s="1" t="s">
        <v>24</v>
      </c>
      <c r="D2587" s="1" t="str">
        <f t="shared" si="483"/>
        <v>9801</v>
      </c>
      <c r="E2587" s="1" t="s">
        <v>25</v>
      </c>
      <c r="F2587" s="1" t="str">
        <f>"750900977"</f>
        <v>750900977</v>
      </c>
      <c r="G2587" s="1" t="s">
        <v>33</v>
      </c>
      <c r="H2587" s="1" t="str">
        <f t="shared" si="488"/>
        <v>20220911</v>
      </c>
      <c r="I2587" s="1" t="str">
        <f>"162448"</f>
        <v>162448</v>
      </c>
      <c r="J2587" s="1" t="s">
        <v>44</v>
      </c>
      <c r="K2587" s="1" t="s">
        <v>45</v>
      </c>
      <c r="L2587" s="1" t="str">
        <f t="shared" si="489"/>
        <v>20220911</v>
      </c>
      <c r="M2587" s="1" t="str">
        <f>"165025"</f>
        <v>165025</v>
      </c>
      <c r="N2587" s="1" t="s">
        <v>28</v>
      </c>
      <c r="O2587" s="1" t="s">
        <v>28</v>
      </c>
      <c r="P2587" s="1" t="s">
        <v>55</v>
      </c>
      <c r="Q2587" s="1">
        <v>25</v>
      </c>
      <c r="R2587" s="1">
        <v>0</v>
      </c>
      <c r="S2587" s="1">
        <v>25</v>
      </c>
      <c r="T2587" s="1">
        <v>0</v>
      </c>
      <c r="U2587" s="1">
        <v>0</v>
      </c>
      <c r="V2587" s="1" t="str">
        <f t="shared" si="490"/>
        <v>里程返程</v>
      </c>
      <c r="W2587" s="1" t="str">
        <f>"2120"</f>
        <v>2120</v>
      </c>
      <c r="X2587" s="1" t="s">
        <v>35</v>
      </c>
    </row>
    <row r="2588" spans="1:24" x14ac:dyDescent="0.3">
      <c r="A2588" s="1" t="str">
        <f t="shared" si="482"/>
        <v>59828</v>
      </c>
      <c r="B2588" s="1" t="s">
        <v>23</v>
      </c>
      <c r="C2588" s="1" t="s">
        <v>24</v>
      </c>
      <c r="D2588" s="1" t="str">
        <f t="shared" si="483"/>
        <v>9801</v>
      </c>
      <c r="E2588" s="1" t="s">
        <v>25</v>
      </c>
      <c r="F2588" s="1" t="str">
        <f>"1078620565"</f>
        <v>1078620565</v>
      </c>
      <c r="G2588" s="1" t="s">
        <v>33</v>
      </c>
      <c r="H2588" s="1" t="str">
        <f t="shared" si="488"/>
        <v>20220911</v>
      </c>
      <c r="I2588" s="1" t="str">
        <f>"162453"</f>
        <v>162453</v>
      </c>
      <c r="J2588" s="1" t="s">
        <v>44</v>
      </c>
      <c r="K2588" s="1" t="s">
        <v>45</v>
      </c>
      <c r="L2588" s="1" t="str">
        <f t="shared" si="489"/>
        <v>20220911</v>
      </c>
      <c r="M2588" s="1" t="str">
        <f>"165021"</f>
        <v>165021</v>
      </c>
      <c r="N2588" s="1" t="s">
        <v>28</v>
      </c>
      <c r="O2588" s="1" t="s">
        <v>28</v>
      </c>
      <c r="P2588" s="1" t="s">
        <v>55</v>
      </c>
      <c r="Q2588" s="1">
        <v>25</v>
      </c>
      <c r="R2588" s="1">
        <v>25</v>
      </c>
      <c r="S2588" s="1">
        <v>0</v>
      </c>
      <c r="T2588" s="1">
        <v>0</v>
      </c>
      <c r="U2588" s="1">
        <v>0</v>
      </c>
      <c r="V2588" s="1" t="str">
        <f t="shared" si="490"/>
        <v>里程返程</v>
      </c>
      <c r="W2588" s="1" t="str">
        <f>"0820"</f>
        <v>0820</v>
      </c>
      <c r="X2588" s="1" t="s">
        <v>35</v>
      </c>
    </row>
    <row r="2589" spans="1:24" x14ac:dyDescent="0.3">
      <c r="A2589" s="1" t="str">
        <f t="shared" si="482"/>
        <v>59828</v>
      </c>
      <c r="B2589" s="1" t="s">
        <v>23</v>
      </c>
      <c r="C2589" s="1" t="s">
        <v>24</v>
      </c>
      <c r="D2589" s="1" t="str">
        <f t="shared" si="483"/>
        <v>9801</v>
      </c>
      <c r="E2589" s="1" t="s">
        <v>25</v>
      </c>
      <c r="F2589" s="1" t="str">
        <f>"15081F9D9F8804004327C06900160B07"</f>
        <v>15081F9D9F8804004327C06900160B07</v>
      </c>
      <c r="G2589" s="1" t="s">
        <v>58</v>
      </c>
      <c r="H2589" s="1" t="str">
        <f t="shared" si="488"/>
        <v>20220911</v>
      </c>
      <c r="I2589" s="1" t="str">
        <f>"162457"</f>
        <v>162457</v>
      </c>
      <c r="J2589" s="1" t="s">
        <v>44</v>
      </c>
      <c r="K2589" s="1" t="s">
        <v>45</v>
      </c>
      <c r="L2589" s="1" t="str">
        <f t="shared" si="489"/>
        <v>20220911</v>
      </c>
      <c r="M2589" s="1" t="str">
        <f>"165045"</f>
        <v>165045</v>
      </c>
      <c r="N2589" s="1" t="s">
        <v>28</v>
      </c>
      <c r="O2589" s="1" t="s">
        <v>28</v>
      </c>
      <c r="P2589" s="1" t="s">
        <v>55</v>
      </c>
      <c r="Q2589" s="1">
        <v>25</v>
      </c>
      <c r="R2589" s="1">
        <v>0</v>
      </c>
      <c r="S2589" s="1">
        <v>25</v>
      </c>
      <c r="T2589" s="1">
        <v>0</v>
      </c>
      <c r="U2589" s="1">
        <v>0</v>
      </c>
      <c r="V2589" s="1" t="str">
        <f t="shared" si="490"/>
        <v>里程返程</v>
      </c>
      <c r="W2589" s="1" t="str">
        <f>"1120"</f>
        <v>1120</v>
      </c>
      <c r="X2589" s="1" t="s">
        <v>29</v>
      </c>
    </row>
    <row r="2590" spans="1:24" x14ac:dyDescent="0.3">
      <c r="A2590" s="1" t="str">
        <f t="shared" si="482"/>
        <v>59828</v>
      </c>
      <c r="B2590" s="1" t="s">
        <v>23</v>
      </c>
      <c r="C2590" s="1" t="s">
        <v>24</v>
      </c>
      <c r="D2590" s="1" t="str">
        <f t="shared" si="483"/>
        <v>9801</v>
      </c>
      <c r="E2590" s="1" t="s">
        <v>25</v>
      </c>
      <c r="F2590" s="1" t="str">
        <f>"1ABEA75B58880400C18514D041604512"</f>
        <v>1ABEA75B58880400C18514D041604512</v>
      </c>
      <c r="G2590" s="1" t="s">
        <v>58</v>
      </c>
      <c r="H2590" s="1" t="str">
        <f t="shared" si="488"/>
        <v>20220911</v>
      </c>
      <c r="I2590" s="1" t="str">
        <f>"162502"</f>
        <v>162502</v>
      </c>
      <c r="J2590" s="1" t="s">
        <v>44</v>
      </c>
      <c r="K2590" s="1" t="s">
        <v>45</v>
      </c>
      <c r="L2590" s="1" t="str">
        <f t="shared" si="489"/>
        <v>20220911</v>
      </c>
      <c r="M2590" s="1" t="str">
        <f>"165059"</f>
        <v>165059</v>
      </c>
      <c r="N2590" s="1" t="s">
        <v>28</v>
      </c>
      <c r="O2590" s="1" t="s">
        <v>28</v>
      </c>
      <c r="P2590" s="1" t="s">
        <v>55</v>
      </c>
      <c r="Q2590" s="1">
        <v>25</v>
      </c>
      <c r="R2590" s="1">
        <v>25</v>
      </c>
      <c r="S2590" s="1">
        <v>0</v>
      </c>
      <c r="T2590" s="1">
        <v>0</v>
      </c>
      <c r="U2590" s="1">
        <v>0</v>
      </c>
      <c r="V2590" s="1" t="str">
        <f t="shared" si="490"/>
        <v>里程返程</v>
      </c>
      <c r="W2590" s="1" t="str">
        <f>"0020"</f>
        <v>0020</v>
      </c>
      <c r="X2590" s="1" t="s">
        <v>29</v>
      </c>
    </row>
    <row r="2591" spans="1:24" x14ac:dyDescent="0.3">
      <c r="A2591" s="1" t="str">
        <f t="shared" si="482"/>
        <v>59828</v>
      </c>
      <c r="B2591" s="1" t="s">
        <v>23</v>
      </c>
      <c r="C2591" s="1" t="s">
        <v>24</v>
      </c>
      <c r="D2591" s="1" t="str">
        <f t="shared" si="483"/>
        <v>9801</v>
      </c>
      <c r="E2591" s="1" t="s">
        <v>25</v>
      </c>
      <c r="F2591" s="1" t="str">
        <f>"1222216849"</f>
        <v>1222216849</v>
      </c>
      <c r="G2591" s="1" t="s">
        <v>33</v>
      </c>
      <c r="H2591" s="1" t="str">
        <f t="shared" si="488"/>
        <v>20220911</v>
      </c>
      <c r="I2591" s="1" t="str">
        <f>"162508"</f>
        <v>162508</v>
      </c>
      <c r="J2591" s="1" t="s">
        <v>44</v>
      </c>
      <c r="K2591" s="1" t="s">
        <v>45</v>
      </c>
      <c r="L2591" s="1" t="str">
        <f t="shared" si="489"/>
        <v>20220911</v>
      </c>
      <c r="M2591" s="1" t="str">
        <f>"165057"</f>
        <v>165057</v>
      </c>
      <c r="N2591" s="1" t="s">
        <v>28</v>
      </c>
      <c r="O2591" s="1" t="s">
        <v>28</v>
      </c>
      <c r="P2591" s="1" t="s">
        <v>55</v>
      </c>
      <c r="Q2591" s="1">
        <v>25</v>
      </c>
      <c r="R2591" s="1">
        <v>25</v>
      </c>
      <c r="S2591" s="1">
        <v>0</v>
      </c>
      <c r="T2591" s="1">
        <v>0</v>
      </c>
      <c r="U2591" s="1">
        <v>0</v>
      </c>
      <c r="V2591" s="1" t="str">
        <f t="shared" si="490"/>
        <v>里程返程</v>
      </c>
      <c r="W2591" s="1" t="str">
        <f>"2020"</f>
        <v>2020</v>
      </c>
      <c r="X2591" s="1" t="s">
        <v>35</v>
      </c>
    </row>
    <row r="2592" spans="1:24" x14ac:dyDescent="0.3">
      <c r="A2592" s="1" t="str">
        <f t="shared" si="482"/>
        <v>59828</v>
      </c>
      <c r="B2592" s="1" t="s">
        <v>23</v>
      </c>
      <c r="C2592" s="1" t="s">
        <v>24</v>
      </c>
      <c r="D2592" s="1" t="str">
        <f t="shared" si="483"/>
        <v>9801</v>
      </c>
      <c r="E2592" s="1" t="s">
        <v>25</v>
      </c>
      <c r="F2592" s="1" t="str">
        <f>"886055601"</f>
        <v>886055601</v>
      </c>
      <c r="G2592" s="1" t="s">
        <v>33</v>
      </c>
      <c r="H2592" s="1" t="str">
        <f t="shared" si="488"/>
        <v>20220911</v>
      </c>
      <c r="I2592" s="1" t="str">
        <f>"162548"</f>
        <v>162548</v>
      </c>
      <c r="J2592" s="1" t="s">
        <v>44</v>
      </c>
      <c r="K2592" s="1" t="s">
        <v>45</v>
      </c>
      <c r="L2592" s="1" t="str">
        <f t="shared" si="489"/>
        <v>20220911</v>
      </c>
      <c r="M2592" s="1" t="str">
        <f>"165037"</f>
        <v>165037</v>
      </c>
      <c r="N2592" s="1" t="s">
        <v>28</v>
      </c>
      <c r="O2592" s="1" t="s">
        <v>28</v>
      </c>
      <c r="P2592" s="1" t="s">
        <v>55</v>
      </c>
      <c r="Q2592" s="1">
        <v>25</v>
      </c>
      <c r="R2592" s="1">
        <v>0</v>
      </c>
      <c r="S2592" s="1">
        <v>25</v>
      </c>
      <c r="T2592" s="1">
        <v>0</v>
      </c>
      <c r="U2592" s="1">
        <v>0</v>
      </c>
      <c r="V2592" s="1" t="str">
        <f t="shared" si="490"/>
        <v>里程返程</v>
      </c>
      <c r="W2592" s="1" t="str">
        <f>"2120"</f>
        <v>2120</v>
      </c>
      <c r="X2592" s="1" t="s">
        <v>35</v>
      </c>
    </row>
    <row r="2593" spans="1:24" x14ac:dyDescent="0.3">
      <c r="A2593" s="1" t="str">
        <f t="shared" si="482"/>
        <v>59828</v>
      </c>
      <c r="B2593" s="1" t="s">
        <v>23</v>
      </c>
      <c r="C2593" s="1" t="s">
        <v>24</v>
      </c>
      <c r="D2593" s="1" t="str">
        <f t="shared" si="483"/>
        <v>9801</v>
      </c>
      <c r="E2593" s="1" t="s">
        <v>25</v>
      </c>
      <c r="F2593" s="1" t="str">
        <f>"1604300917"</f>
        <v>1604300917</v>
      </c>
      <c r="G2593" s="1" t="s">
        <v>33</v>
      </c>
      <c r="H2593" s="1" t="str">
        <f t="shared" si="488"/>
        <v>20220911</v>
      </c>
      <c r="I2593" s="1" t="str">
        <f>"162633"</f>
        <v>162633</v>
      </c>
      <c r="J2593" s="1" t="s">
        <v>44</v>
      </c>
      <c r="K2593" s="1" t="s">
        <v>45</v>
      </c>
      <c r="L2593" s="1" t="str">
        <f t="shared" si="489"/>
        <v>20220911</v>
      </c>
      <c r="M2593" s="1" t="str">
        <f>"165050"</f>
        <v>165050</v>
      </c>
      <c r="N2593" s="1" t="s">
        <v>28</v>
      </c>
      <c r="O2593" s="1" t="s">
        <v>28</v>
      </c>
      <c r="P2593" s="1" t="s">
        <v>55</v>
      </c>
      <c r="Q2593" s="1">
        <v>25</v>
      </c>
      <c r="R2593" s="1">
        <v>25</v>
      </c>
      <c r="S2593" s="1">
        <v>0</v>
      </c>
      <c r="T2593" s="1">
        <v>0</v>
      </c>
      <c r="U2593" s="1">
        <v>0</v>
      </c>
      <c r="V2593" s="1" t="str">
        <f t="shared" si="490"/>
        <v>里程返程</v>
      </c>
      <c r="W2593" s="1" t="str">
        <f>"2120"</f>
        <v>2120</v>
      </c>
      <c r="X2593" s="1" t="s">
        <v>35</v>
      </c>
    </row>
    <row r="2594" spans="1:24" x14ac:dyDescent="0.3">
      <c r="A2594" s="1" t="str">
        <f t="shared" si="482"/>
        <v>59828</v>
      </c>
      <c r="B2594" s="1" t="s">
        <v>23</v>
      </c>
      <c r="C2594" s="1" t="s">
        <v>24</v>
      </c>
      <c r="D2594" s="1" t="str">
        <f t="shared" si="483"/>
        <v>9801</v>
      </c>
      <c r="E2594" s="1" t="s">
        <v>25</v>
      </c>
      <c r="F2594" s="1" t="str">
        <f>"1259605061"</f>
        <v>1259605061</v>
      </c>
      <c r="G2594" s="1" t="s">
        <v>33</v>
      </c>
      <c r="H2594" s="1" t="str">
        <f t="shared" si="488"/>
        <v>20220911</v>
      </c>
      <c r="I2594" s="1" t="str">
        <f>"162637"</f>
        <v>162637</v>
      </c>
      <c r="J2594" s="1" t="s">
        <v>44</v>
      </c>
      <c r="K2594" s="1" t="s">
        <v>45</v>
      </c>
      <c r="L2594" s="1" t="str">
        <f t="shared" si="489"/>
        <v>20220911</v>
      </c>
      <c r="M2594" s="1" t="str">
        <f>"165048"</f>
        <v>165048</v>
      </c>
      <c r="N2594" s="1" t="s">
        <v>28</v>
      </c>
      <c r="O2594" s="1" t="s">
        <v>28</v>
      </c>
      <c r="P2594" s="1" t="s">
        <v>55</v>
      </c>
      <c r="Q2594" s="1">
        <v>25</v>
      </c>
      <c r="R2594" s="1">
        <v>25</v>
      </c>
      <c r="S2594" s="1">
        <v>0</v>
      </c>
      <c r="T2594" s="1">
        <v>0</v>
      </c>
      <c r="U2594" s="1">
        <v>0</v>
      </c>
      <c r="V2594" s="1" t="str">
        <f t="shared" si="490"/>
        <v>里程返程</v>
      </c>
      <c r="W2594" s="1" t="str">
        <f>"2120"</f>
        <v>2120</v>
      </c>
      <c r="X2594" s="1" t="s">
        <v>35</v>
      </c>
    </row>
    <row r="2595" spans="1:24" x14ac:dyDescent="0.3">
      <c r="A2595" s="1" t="str">
        <f t="shared" si="482"/>
        <v>59828</v>
      </c>
      <c r="B2595" s="1" t="s">
        <v>23</v>
      </c>
      <c r="C2595" s="1" t="s">
        <v>24</v>
      </c>
      <c r="D2595" s="1" t="str">
        <f t="shared" si="483"/>
        <v>9801</v>
      </c>
      <c r="E2595" s="1" t="s">
        <v>25</v>
      </c>
      <c r="F2595" s="1" t="str">
        <f>"223110645"</f>
        <v>223110645</v>
      </c>
      <c r="G2595" s="1" t="s">
        <v>33</v>
      </c>
      <c r="H2595" s="1" t="str">
        <f t="shared" si="488"/>
        <v>20220911</v>
      </c>
      <c r="I2595" s="1" t="str">
        <f>"163806"</f>
        <v>163806</v>
      </c>
      <c r="J2595" s="1" t="s">
        <v>75</v>
      </c>
      <c r="K2595" s="1" t="s">
        <v>45</v>
      </c>
      <c r="L2595" s="1" t="str">
        <f t="shared" si="489"/>
        <v>20220911</v>
      </c>
      <c r="M2595" s="1" t="str">
        <f>"165005"</f>
        <v>165005</v>
      </c>
      <c r="N2595" s="1" t="s">
        <v>28</v>
      </c>
      <c r="O2595" s="1" t="s">
        <v>28</v>
      </c>
      <c r="P2595" s="1" t="s">
        <v>55</v>
      </c>
      <c r="Q2595" s="1">
        <v>25</v>
      </c>
      <c r="R2595" s="1">
        <v>25</v>
      </c>
      <c r="S2595" s="1">
        <v>0</v>
      </c>
      <c r="T2595" s="1">
        <v>0</v>
      </c>
      <c r="U2595" s="1">
        <v>0</v>
      </c>
      <c r="V2595" s="1" t="str">
        <f t="shared" si="490"/>
        <v>里程返程</v>
      </c>
      <c r="W2595" s="1" t="str">
        <f>"0120"</f>
        <v>0120</v>
      </c>
      <c r="X2595" s="1" t="s">
        <v>35</v>
      </c>
    </row>
    <row r="2596" spans="1:24" x14ac:dyDescent="0.3">
      <c r="A2596" s="1" t="str">
        <f t="shared" si="482"/>
        <v>59828</v>
      </c>
      <c r="B2596" s="1" t="s">
        <v>23</v>
      </c>
      <c r="C2596" s="1" t="s">
        <v>24</v>
      </c>
      <c r="D2596" s="1" t="str">
        <f t="shared" si="483"/>
        <v>9801</v>
      </c>
      <c r="E2596" s="1" t="s">
        <v>25</v>
      </c>
      <c r="F2596" s="1" t="str">
        <f>"D2F98418B7880400C819002000000019"</f>
        <v>D2F98418B7880400C819002000000019</v>
      </c>
      <c r="G2596" s="1" t="s">
        <v>59</v>
      </c>
      <c r="H2596" s="1" t="str">
        <f t="shared" si="488"/>
        <v>20220911</v>
      </c>
      <c r="I2596" s="1" t="str">
        <f>"164014"</f>
        <v>164014</v>
      </c>
      <c r="J2596" s="1" t="s">
        <v>56</v>
      </c>
      <c r="K2596" s="1" t="s">
        <v>45</v>
      </c>
      <c r="L2596" s="1" t="str">
        <f t="shared" si="489"/>
        <v>20220911</v>
      </c>
      <c r="M2596" s="1" t="str">
        <f>"165030"</f>
        <v>165030</v>
      </c>
      <c r="N2596" s="1" t="s">
        <v>28</v>
      </c>
      <c r="O2596" s="1" t="s">
        <v>28</v>
      </c>
      <c r="P2596" s="1" t="s">
        <v>55</v>
      </c>
      <c r="Q2596" s="1">
        <v>25</v>
      </c>
      <c r="R2596" s="1">
        <v>0</v>
      </c>
      <c r="S2596" s="1">
        <v>25</v>
      </c>
      <c r="T2596" s="1">
        <v>0</v>
      </c>
      <c r="U2596" s="1">
        <v>0</v>
      </c>
      <c r="V2596" s="1" t="str">
        <f t="shared" si="490"/>
        <v>里程返程</v>
      </c>
      <c r="W2596" s="1" t="str">
        <f>"1120"</f>
        <v>1120</v>
      </c>
      <c r="X2596" s="1" t="s">
        <v>29</v>
      </c>
    </row>
    <row r="2597" spans="1:24" x14ac:dyDescent="0.3">
      <c r="A2597" s="1" t="str">
        <f t="shared" si="482"/>
        <v>59828</v>
      </c>
      <c r="B2597" s="1" t="s">
        <v>23</v>
      </c>
      <c r="C2597" s="1" t="s">
        <v>24</v>
      </c>
      <c r="D2597" s="1" t="str">
        <f t="shared" si="483"/>
        <v>9801</v>
      </c>
      <c r="E2597" s="1" t="s">
        <v>25</v>
      </c>
      <c r="F2597" s="1" t="str">
        <f>"654342757"</f>
        <v>654342757</v>
      </c>
      <c r="G2597" s="1" t="s">
        <v>33</v>
      </c>
      <c r="H2597" s="1" t="str">
        <f t="shared" si="488"/>
        <v>20220911</v>
      </c>
      <c r="I2597" s="1" t="str">
        <f>"164016"</f>
        <v>164016</v>
      </c>
      <c r="J2597" s="1" t="s">
        <v>56</v>
      </c>
      <c r="K2597" s="1" t="s">
        <v>45</v>
      </c>
      <c r="L2597" s="1" t="str">
        <f t="shared" si="489"/>
        <v>20220911</v>
      </c>
      <c r="M2597" s="1" t="str">
        <f>"165027"</f>
        <v>165027</v>
      </c>
      <c r="N2597" s="1" t="s">
        <v>28</v>
      </c>
      <c r="O2597" s="1" t="s">
        <v>28</v>
      </c>
      <c r="P2597" s="1" t="s">
        <v>55</v>
      </c>
      <c r="Q2597" s="1">
        <v>25</v>
      </c>
      <c r="R2597" s="1">
        <v>0</v>
      </c>
      <c r="S2597" s="1">
        <v>25</v>
      </c>
      <c r="T2597" s="1">
        <v>0</v>
      </c>
      <c r="U2597" s="1">
        <v>0</v>
      </c>
      <c r="V2597" s="1" t="str">
        <f t="shared" si="490"/>
        <v>里程返程</v>
      </c>
      <c r="W2597" s="1" t="str">
        <f>"2120"</f>
        <v>2120</v>
      </c>
      <c r="X2597" s="1" t="s">
        <v>35</v>
      </c>
    </row>
    <row r="2598" spans="1:24" x14ac:dyDescent="0.3">
      <c r="A2598" s="1" t="str">
        <f t="shared" si="482"/>
        <v>59828</v>
      </c>
      <c r="B2598" s="1" t="s">
        <v>23</v>
      </c>
      <c r="C2598" s="1" t="s">
        <v>24</v>
      </c>
      <c r="D2598" s="1" t="str">
        <f t="shared" si="483"/>
        <v>9801</v>
      </c>
      <c r="E2598" s="1" t="s">
        <v>25</v>
      </c>
      <c r="F2598" s="1" t="str">
        <f>"724AA11881880400C819002000000019"</f>
        <v>724AA11881880400C819002000000019</v>
      </c>
      <c r="G2598" s="1" t="s">
        <v>59</v>
      </c>
      <c r="H2598" s="1" t="str">
        <f t="shared" si="488"/>
        <v>20220911</v>
      </c>
      <c r="I2598" s="1" t="str">
        <f>"164018"</f>
        <v>164018</v>
      </c>
      <c r="J2598" s="1" t="s">
        <v>56</v>
      </c>
      <c r="K2598" s="1" t="s">
        <v>45</v>
      </c>
      <c r="L2598" s="1" t="str">
        <f t="shared" si="489"/>
        <v>20220911</v>
      </c>
      <c r="M2598" s="1" t="str">
        <f>"165040"</f>
        <v>165040</v>
      </c>
      <c r="N2598" s="1" t="s">
        <v>28</v>
      </c>
      <c r="O2598" s="1" t="s">
        <v>28</v>
      </c>
      <c r="P2598" s="1" t="s">
        <v>55</v>
      </c>
      <c r="Q2598" s="1">
        <v>25</v>
      </c>
      <c r="R2598" s="1">
        <v>0</v>
      </c>
      <c r="S2598" s="1">
        <v>25</v>
      </c>
      <c r="T2598" s="1">
        <v>0</v>
      </c>
      <c r="U2598" s="1">
        <v>0</v>
      </c>
      <c r="V2598" s="1" t="str">
        <f t="shared" si="490"/>
        <v>里程返程</v>
      </c>
      <c r="W2598" s="1" t="str">
        <f>"1120"</f>
        <v>1120</v>
      </c>
      <c r="X2598" s="1" t="s">
        <v>29</v>
      </c>
    </row>
    <row r="2599" spans="1:24" x14ac:dyDescent="0.3">
      <c r="A2599" s="1" t="str">
        <f t="shared" si="482"/>
        <v>59828</v>
      </c>
      <c r="B2599" s="1" t="s">
        <v>23</v>
      </c>
      <c r="C2599" s="1" t="s">
        <v>24</v>
      </c>
      <c r="D2599" s="1" t="str">
        <f t="shared" si="483"/>
        <v>9801</v>
      </c>
      <c r="E2599" s="1" t="s">
        <v>25</v>
      </c>
      <c r="F2599" s="1" t="str">
        <f>"926ADE193F880400C824002000000020"</f>
        <v>926ADE193F880400C824002000000020</v>
      </c>
      <c r="G2599" s="1" t="s">
        <v>58</v>
      </c>
      <c r="H2599" s="1" t="str">
        <f t="shared" si="488"/>
        <v>20220911</v>
      </c>
      <c r="I2599" s="1" t="str">
        <f>"164023"</f>
        <v>164023</v>
      </c>
      <c r="J2599" s="1" t="s">
        <v>56</v>
      </c>
      <c r="K2599" s="1" t="s">
        <v>45</v>
      </c>
      <c r="L2599" s="1" t="str">
        <f t="shared" si="489"/>
        <v>20220911</v>
      </c>
      <c r="M2599" s="1" t="str">
        <f>"165043"</f>
        <v>165043</v>
      </c>
      <c r="N2599" s="1" t="s">
        <v>28</v>
      </c>
      <c r="O2599" s="1" t="s">
        <v>28</v>
      </c>
      <c r="P2599" s="1" t="s">
        <v>55</v>
      </c>
      <c r="Q2599" s="1">
        <v>25</v>
      </c>
      <c r="R2599" s="1">
        <v>0</v>
      </c>
      <c r="S2599" s="1">
        <v>25</v>
      </c>
      <c r="T2599" s="1">
        <v>0</v>
      </c>
      <c r="U2599" s="1">
        <v>0</v>
      </c>
      <c r="V2599" s="1" t="str">
        <f t="shared" si="490"/>
        <v>里程返程</v>
      </c>
      <c r="W2599" s="1" t="str">
        <f>"1120"</f>
        <v>1120</v>
      </c>
      <c r="X2599" s="1" t="s">
        <v>29</v>
      </c>
    </row>
    <row r="2600" spans="1:24" x14ac:dyDescent="0.3">
      <c r="A2600" s="1" t="str">
        <f t="shared" si="482"/>
        <v>59828</v>
      </c>
      <c r="B2600" s="1" t="s">
        <v>23</v>
      </c>
      <c r="C2600" s="1" t="s">
        <v>24</v>
      </c>
      <c r="D2600" s="1" t="str">
        <f t="shared" si="483"/>
        <v>9801</v>
      </c>
      <c r="E2600" s="1" t="s">
        <v>25</v>
      </c>
      <c r="F2600" s="1" t="str">
        <f>"1100600117"</f>
        <v>1100600117</v>
      </c>
      <c r="G2600" s="1" t="s">
        <v>38</v>
      </c>
      <c r="H2600" s="1" t="str">
        <f t="shared" si="488"/>
        <v>20220911</v>
      </c>
      <c r="I2600" s="1" t="str">
        <f>"165115"</f>
        <v>165115</v>
      </c>
      <c r="J2600" s="1" t="s">
        <v>28</v>
      </c>
      <c r="K2600" s="1" t="s">
        <v>28</v>
      </c>
      <c r="L2600" s="1" t="str">
        <f t="shared" si="489"/>
        <v>20220911</v>
      </c>
      <c r="M2600" s="1" t="str">
        <f>"171048"</f>
        <v>171048</v>
      </c>
      <c r="N2600" s="1" t="s">
        <v>80</v>
      </c>
      <c r="O2600" s="1" t="s">
        <v>52</v>
      </c>
      <c r="P2600" s="1" t="s">
        <v>55</v>
      </c>
      <c r="Q2600" s="1">
        <v>25</v>
      </c>
      <c r="R2600" s="1">
        <v>25</v>
      </c>
      <c r="S2600" s="1">
        <v>0</v>
      </c>
      <c r="T2600" s="1">
        <v>0</v>
      </c>
      <c r="U2600" s="1">
        <v>0</v>
      </c>
      <c r="V2600" s="1" t="str">
        <f t="shared" si="490"/>
        <v>里程返程</v>
      </c>
      <c r="W2600" s="1" t="str">
        <f>"0c20"</f>
        <v>0c20</v>
      </c>
      <c r="X2600" s="1" t="s">
        <v>35</v>
      </c>
    </row>
    <row r="2601" spans="1:24" x14ac:dyDescent="0.3">
      <c r="A2601" s="1" t="str">
        <f t="shared" si="482"/>
        <v>59828</v>
      </c>
      <c r="B2601" s="1" t="s">
        <v>23</v>
      </c>
      <c r="C2601" s="1" t="s">
        <v>24</v>
      </c>
      <c r="D2601" s="1" t="str">
        <f t="shared" si="483"/>
        <v>9801</v>
      </c>
      <c r="E2601" s="1" t="s">
        <v>25</v>
      </c>
      <c r="F2601" s="1" t="str">
        <f>"704612177"</f>
        <v>704612177</v>
      </c>
      <c r="G2601" s="1" t="s">
        <v>33</v>
      </c>
      <c r="H2601" s="1" t="str">
        <f t="shared" si="488"/>
        <v>20220911</v>
      </c>
      <c r="I2601" s="1" t="str">
        <f>"165353"</f>
        <v>165353</v>
      </c>
      <c r="J2601" s="1" t="s">
        <v>28</v>
      </c>
      <c r="K2601" s="1" t="s">
        <v>28</v>
      </c>
      <c r="L2601" s="1" t="str">
        <f t="shared" si="489"/>
        <v>20220911</v>
      </c>
      <c r="M2601" s="1" t="str">
        <f>"172552"</f>
        <v>172552</v>
      </c>
      <c r="N2601" s="1" t="s">
        <v>52</v>
      </c>
      <c r="O2601" s="1" t="s">
        <v>52</v>
      </c>
      <c r="P2601" s="1" t="s">
        <v>55</v>
      </c>
      <c r="Q2601" s="1">
        <v>25</v>
      </c>
      <c r="R2601" s="1">
        <v>25</v>
      </c>
      <c r="S2601" s="1">
        <v>0</v>
      </c>
      <c r="T2601" s="1">
        <v>0</v>
      </c>
      <c r="U2601" s="1">
        <v>0</v>
      </c>
      <c r="V2601" s="1" t="str">
        <f t="shared" si="490"/>
        <v>里程返程</v>
      </c>
      <c r="W2601" s="1" t="str">
        <f>"0120"</f>
        <v>0120</v>
      </c>
      <c r="X2601" s="1" t="s">
        <v>35</v>
      </c>
    </row>
    <row r="2602" spans="1:24" x14ac:dyDescent="0.3">
      <c r="A2602" s="1" t="str">
        <f t="shared" si="482"/>
        <v>59828</v>
      </c>
      <c r="B2602" s="1" t="s">
        <v>23</v>
      </c>
      <c r="C2602" s="1" t="s">
        <v>24</v>
      </c>
      <c r="D2602" s="1" t="str">
        <f t="shared" si="483"/>
        <v>9801</v>
      </c>
      <c r="E2602" s="1" t="s">
        <v>25</v>
      </c>
      <c r="F2602" s="1" t="str">
        <f>"9517171007192775"</f>
        <v>9517171007192775</v>
      </c>
      <c r="G2602" s="1" t="s">
        <v>33</v>
      </c>
      <c r="H2602" s="1" t="str">
        <f t="shared" si="488"/>
        <v>20220911</v>
      </c>
      <c r="I2602" s="1" t="str">
        <f>"165357"</f>
        <v>165357</v>
      </c>
      <c r="J2602" s="1" t="s">
        <v>28</v>
      </c>
      <c r="K2602" s="1" t="s">
        <v>28</v>
      </c>
      <c r="L2602" s="1" t="str">
        <f t="shared" si="489"/>
        <v>20220911</v>
      </c>
      <c r="M2602" s="1" t="str">
        <f>"172554"</f>
        <v>172554</v>
      </c>
      <c r="N2602" s="1" t="s">
        <v>52</v>
      </c>
      <c r="O2602" s="1" t="s">
        <v>52</v>
      </c>
      <c r="P2602" s="1" t="s">
        <v>55</v>
      </c>
      <c r="Q2602" s="1">
        <v>25</v>
      </c>
      <c r="R2602" s="1">
        <v>25</v>
      </c>
      <c r="S2602" s="1">
        <v>0</v>
      </c>
      <c r="T2602" s="1">
        <v>0</v>
      </c>
      <c r="U2602" s="1">
        <v>0</v>
      </c>
      <c r="V2602" s="1" t="str">
        <f t="shared" si="490"/>
        <v>里程返程</v>
      </c>
      <c r="W2602" s="1" t="str">
        <f>"013B"</f>
        <v>013B</v>
      </c>
      <c r="X2602" s="1" t="s">
        <v>109</v>
      </c>
    </row>
    <row r="2603" spans="1:24" x14ac:dyDescent="0.3">
      <c r="A2603" s="1" t="str">
        <f t="shared" ref="A2603:A2632" si="491">"59809"</f>
        <v>59809</v>
      </c>
      <c r="B2603" s="1" t="s">
        <v>42</v>
      </c>
      <c r="C2603" s="1" t="s">
        <v>43</v>
      </c>
      <c r="D2603" s="1" t="str">
        <f>"9805"</f>
        <v>9805</v>
      </c>
      <c r="E2603" s="1" t="s">
        <v>57</v>
      </c>
      <c r="F2603" s="1" t="str">
        <f>"F29BD102BA880400C834002000000015"</f>
        <v>F29BD102BA880400C834002000000015</v>
      </c>
      <c r="G2603" s="1" t="s">
        <v>26</v>
      </c>
      <c r="H2603" s="1" t="str">
        <f t="shared" ref="H2603:H2634" si="492">"20220912"</f>
        <v>20220912</v>
      </c>
      <c r="I2603" s="1" t="str">
        <f>"103617"</f>
        <v>103617</v>
      </c>
      <c r="J2603" s="1" t="s">
        <v>28</v>
      </c>
      <c r="K2603" s="1" t="s">
        <v>28</v>
      </c>
      <c r="L2603" s="1" t="str">
        <f t="shared" ref="L2603:L2634" si="493">"20220912"</f>
        <v>20220912</v>
      </c>
      <c r="M2603" s="1" t="str">
        <f>"105244"</f>
        <v>105244</v>
      </c>
      <c r="N2603" s="1" t="s">
        <v>62</v>
      </c>
      <c r="O2603" s="1" t="s">
        <v>28</v>
      </c>
      <c r="P2603" s="1" t="s">
        <v>68</v>
      </c>
      <c r="Q2603" s="1">
        <v>13</v>
      </c>
      <c r="R2603" s="1">
        <v>0</v>
      </c>
      <c r="S2603" s="1">
        <v>0</v>
      </c>
      <c r="T2603" s="1">
        <v>13</v>
      </c>
      <c r="U2603" s="1">
        <v>0</v>
      </c>
      <c r="V2603" s="1" t="str">
        <f t="shared" ref="V2603:V2626" si="494">"里程去程"</f>
        <v>里程去程</v>
      </c>
      <c r="W2603" s="1" t="str">
        <f>"0020"</f>
        <v>0020</v>
      </c>
      <c r="X2603" s="1" t="s">
        <v>29</v>
      </c>
    </row>
    <row r="2604" spans="1:24" x14ac:dyDescent="0.3">
      <c r="A2604" s="1" t="str">
        <f t="shared" si="491"/>
        <v>59809</v>
      </c>
      <c r="B2604" s="1" t="s">
        <v>42</v>
      </c>
      <c r="C2604" s="1" t="s">
        <v>43</v>
      </c>
      <c r="D2604" s="1" t="str">
        <f t="shared" ref="D2604:D2630" si="495">"9801"</f>
        <v>9801</v>
      </c>
      <c r="E2604" s="1" t="s">
        <v>25</v>
      </c>
      <c r="F2604" s="1" t="str">
        <f>"32A74602D1880400C821002000000015"</f>
        <v>32A74602D1880400C821002000000015</v>
      </c>
      <c r="G2604" s="1" t="s">
        <v>26</v>
      </c>
      <c r="H2604" s="1" t="str">
        <f t="shared" si="492"/>
        <v>20220912</v>
      </c>
      <c r="I2604" s="1" t="str">
        <f>"110610"</f>
        <v>110610</v>
      </c>
      <c r="J2604" s="1" t="s">
        <v>60</v>
      </c>
      <c r="K2604" s="1" t="s">
        <v>52</v>
      </c>
      <c r="L2604" s="1" t="str">
        <f t="shared" si="493"/>
        <v>20220912</v>
      </c>
      <c r="M2604" s="1" t="str">
        <f>"113031"</f>
        <v>113031</v>
      </c>
      <c r="N2604" s="1" t="s">
        <v>70</v>
      </c>
      <c r="O2604" s="1" t="s">
        <v>28</v>
      </c>
      <c r="P2604" s="1" t="s">
        <v>68</v>
      </c>
      <c r="Q2604" s="1">
        <v>13</v>
      </c>
      <c r="R2604" s="1">
        <v>0</v>
      </c>
      <c r="S2604" s="1">
        <v>0</v>
      </c>
      <c r="T2604" s="1">
        <v>13</v>
      </c>
      <c r="U2604" s="1">
        <v>0</v>
      </c>
      <c r="V2604" s="1" t="str">
        <f t="shared" si="494"/>
        <v>里程去程</v>
      </c>
      <c r="W2604" s="1" t="str">
        <f>"0020"</f>
        <v>0020</v>
      </c>
      <c r="X2604" s="1" t="s">
        <v>29</v>
      </c>
    </row>
    <row r="2605" spans="1:24" x14ac:dyDescent="0.3">
      <c r="A2605" s="1" t="str">
        <f t="shared" si="491"/>
        <v>59809</v>
      </c>
      <c r="B2605" s="1" t="s">
        <v>42</v>
      </c>
      <c r="C2605" s="1" t="s">
        <v>43</v>
      </c>
      <c r="D2605" s="1" t="str">
        <f t="shared" si="495"/>
        <v>9801</v>
      </c>
      <c r="E2605" s="1" t="s">
        <v>25</v>
      </c>
      <c r="F2605" s="1" t="str">
        <f>"1207696517"</f>
        <v>1207696517</v>
      </c>
      <c r="G2605" s="1" t="s">
        <v>26</v>
      </c>
      <c r="H2605" s="1" t="str">
        <f t="shared" si="492"/>
        <v>20220912</v>
      </c>
      <c r="I2605" s="1" t="str">
        <f>"113434"</f>
        <v>113434</v>
      </c>
      <c r="J2605" s="1" t="s">
        <v>27</v>
      </c>
      <c r="K2605" s="1" t="s">
        <v>28</v>
      </c>
      <c r="L2605" s="1" t="str">
        <f t="shared" si="493"/>
        <v>20220912</v>
      </c>
      <c r="M2605" s="1" t="str">
        <f>"113542"</f>
        <v>113542</v>
      </c>
      <c r="N2605" s="1" t="s">
        <v>70</v>
      </c>
      <c r="O2605" s="1" t="s">
        <v>28</v>
      </c>
      <c r="P2605" s="1" t="s">
        <v>55</v>
      </c>
      <c r="Q2605" s="1">
        <v>13</v>
      </c>
      <c r="R2605" s="1">
        <v>13</v>
      </c>
      <c r="S2605" s="1">
        <v>0</v>
      </c>
      <c r="T2605" s="1">
        <v>0</v>
      </c>
      <c r="U2605" s="1">
        <v>0</v>
      </c>
      <c r="V2605" s="1" t="str">
        <f t="shared" si="494"/>
        <v>里程去程</v>
      </c>
      <c r="W2605" s="1" t="str">
        <f>"2120"</f>
        <v>2120</v>
      </c>
      <c r="X2605" s="1" t="s">
        <v>35</v>
      </c>
    </row>
    <row r="2606" spans="1:24" x14ac:dyDescent="0.3">
      <c r="A2606" s="1" t="str">
        <f t="shared" si="491"/>
        <v>59809</v>
      </c>
      <c r="B2606" s="1" t="s">
        <v>42</v>
      </c>
      <c r="C2606" s="1" t="s">
        <v>43</v>
      </c>
      <c r="D2606" s="1" t="str">
        <f t="shared" si="495"/>
        <v>9801</v>
      </c>
      <c r="E2606" s="1" t="s">
        <v>25</v>
      </c>
      <c r="F2606" s="1" t="str">
        <f>"641876385"</f>
        <v>641876385</v>
      </c>
      <c r="G2606" s="1" t="s">
        <v>33</v>
      </c>
      <c r="H2606" s="1" t="str">
        <f t="shared" si="492"/>
        <v>20220912</v>
      </c>
      <c r="I2606" s="1" t="str">
        <f>"113532"</f>
        <v>113532</v>
      </c>
      <c r="J2606" s="1" t="s">
        <v>27</v>
      </c>
      <c r="K2606" s="1" t="s">
        <v>28</v>
      </c>
      <c r="L2606" s="1" t="str">
        <f t="shared" si="493"/>
        <v>20220912</v>
      </c>
      <c r="M2606" s="1" t="str">
        <f>"115306"</f>
        <v>115306</v>
      </c>
      <c r="N2606" s="1" t="s">
        <v>91</v>
      </c>
      <c r="O2606" s="1" t="s">
        <v>45</v>
      </c>
      <c r="P2606" s="1" t="s">
        <v>55</v>
      </c>
      <c r="Q2606" s="1">
        <v>25</v>
      </c>
      <c r="R2606" s="1">
        <v>25</v>
      </c>
      <c r="S2606" s="1">
        <v>0</v>
      </c>
      <c r="T2606" s="1">
        <v>0</v>
      </c>
      <c r="U2606" s="1">
        <v>0</v>
      </c>
      <c r="V2606" s="1" t="str">
        <f t="shared" si="494"/>
        <v>里程去程</v>
      </c>
      <c r="W2606" s="1" t="str">
        <f>"0120"</f>
        <v>0120</v>
      </c>
      <c r="X2606" s="1" t="s">
        <v>35</v>
      </c>
    </row>
    <row r="2607" spans="1:24" x14ac:dyDescent="0.3">
      <c r="A2607" s="1" t="str">
        <f t="shared" si="491"/>
        <v>59809</v>
      </c>
      <c r="B2607" s="1" t="s">
        <v>42</v>
      </c>
      <c r="C2607" s="1" t="s">
        <v>43</v>
      </c>
      <c r="D2607" s="1" t="str">
        <f t="shared" si="495"/>
        <v>9801</v>
      </c>
      <c r="E2607" s="1" t="s">
        <v>25</v>
      </c>
      <c r="F2607" s="1" t="str">
        <f>"394054945"</f>
        <v>394054945</v>
      </c>
      <c r="G2607" s="1" t="s">
        <v>33</v>
      </c>
      <c r="H2607" s="1" t="str">
        <f t="shared" si="492"/>
        <v>20220912</v>
      </c>
      <c r="I2607" s="1" t="str">
        <f>"113550"</f>
        <v>113550</v>
      </c>
      <c r="J2607" s="1" t="s">
        <v>27</v>
      </c>
      <c r="K2607" s="1" t="s">
        <v>28</v>
      </c>
      <c r="L2607" s="1" t="str">
        <f t="shared" si="493"/>
        <v>20220912</v>
      </c>
      <c r="M2607" s="1" t="str">
        <f>"114931"</f>
        <v>114931</v>
      </c>
      <c r="N2607" s="1" t="s">
        <v>75</v>
      </c>
      <c r="O2607" s="1" t="s">
        <v>45</v>
      </c>
      <c r="P2607" s="1" t="s">
        <v>55</v>
      </c>
      <c r="Q2607" s="1">
        <v>25</v>
      </c>
      <c r="R2607" s="1">
        <v>25</v>
      </c>
      <c r="S2607" s="1">
        <v>0</v>
      </c>
      <c r="T2607" s="1">
        <v>0</v>
      </c>
      <c r="U2607" s="1">
        <v>0</v>
      </c>
      <c r="V2607" s="1" t="str">
        <f t="shared" si="494"/>
        <v>里程去程</v>
      </c>
      <c r="W2607" s="1" t="str">
        <f>"0120"</f>
        <v>0120</v>
      </c>
      <c r="X2607" s="1" t="s">
        <v>35</v>
      </c>
    </row>
    <row r="2608" spans="1:24" x14ac:dyDescent="0.3">
      <c r="A2608" s="1" t="str">
        <f t="shared" si="491"/>
        <v>59809</v>
      </c>
      <c r="B2608" s="1" t="s">
        <v>42</v>
      </c>
      <c r="C2608" s="1" t="s">
        <v>43</v>
      </c>
      <c r="D2608" s="1" t="str">
        <f t="shared" si="495"/>
        <v>9801</v>
      </c>
      <c r="E2608" s="1" t="s">
        <v>25</v>
      </c>
      <c r="F2608" s="1" t="str">
        <f>"1227354792"</f>
        <v>1227354792</v>
      </c>
      <c r="G2608" s="1" t="s">
        <v>33</v>
      </c>
      <c r="H2608" s="1" t="str">
        <f t="shared" si="492"/>
        <v>20220912</v>
      </c>
      <c r="I2608" s="1" t="str">
        <f>"113600"</f>
        <v>113600</v>
      </c>
      <c r="J2608" s="1" t="s">
        <v>27</v>
      </c>
      <c r="K2608" s="1" t="s">
        <v>28</v>
      </c>
      <c r="L2608" s="1" t="str">
        <f t="shared" si="493"/>
        <v>20220912</v>
      </c>
      <c r="M2608" s="1" t="str">
        <f>"115317"</f>
        <v>115317</v>
      </c>
      <c r="N2608" s="1" t="s">
        <v>91</v>
      </c>
      <c r="O2608" s="1" t="s">
        <v>45</v>
      </c>
      <c r="P2608" s="1" t="s">
        <v>55</v>
      </c>
      <c r="Q2608" s="1">
        <v>25</v>
      </c>
      <c r="R2608" s="1">
        <v>25</v>
      </c>
      <c r="S2608" s="1">
        <v>0</v>
      </c>
      <c r="T2608" s="1">
        <v>0</v>
      </c>
      <c r="U2608" s="1">
        <v>0</v>
      </c>
      <c r="V2608" s="1" t="str">
        <f t="shared" si="494"/>
        <v>里程去程</v>
      </c>
      <c r="W2608" s="1" t="str">
        <f>"0120"</f>
        <v>0120</v>
      </c>
      <c r="X2608" s="1" t="s">
        <v>35</v>
      </c>
    </row>
    <row r="2609" spans="1:24" x14ac:dyDescent="0.3">
      <c r="A2609" s="1" t="str">
        <f t="shared" si="491"/>
        <v>59809</v>
      </c>
      <c r="B2609" s="1" t="s">
        <v>42</v>
      </c>
      <c r="C2609" s="1" t="s">
        <v>43</v>
      </c>
      <c r="D2609" s="1" t="str">
        <f t="shared" si="495"/>
        <v>9801</v>
      </c>
      <c r="E2609" s="1" t="s">
        <v>25</v>
      </c>
      <c r="F2609" s="1" t="str">
        <f>"F141CA007A880400432494C60006080E"</f>
        <v>F141CA007A880400432494C60006080E</v>
      </c>
      <c r="G2609" s="1" t="s">
        <v>26</v>
      </c>
      <c r="H2609" s="1" t="str">
        <f t="shared" si="492"/>
        <v>20220912</v>
      </c>
      <c r="I2609" s="1" t="str">
        <f>"121444"</f>
        <v>121444</v>
      </c>
      <c r="J2609" s="1" t="s">
        <v>65</v>
      </c>
      <c r="K2609" s="1" t="s">
        <v>52</v>
      </c>
      <c r="L2609" s="1" t="str">
        <f t="shared" si="493"/>
        <v>20220912</v>
      </c>
      <c r="M2609" s="1" t="str">
        <f>"123142"</f>
        <v>123142</v>
      </c>
      <c r="N2609" s="1" t="s">
        <v>70</v>
      </c>
      <c r="O2609" s="1" t="s">
        <v>28</v>
      </c>
      <c r="P2609" s="1" t="s">
        <v>55</v>
      </c>
      <c r="Q2609" s="1">
        <v>13</v>
      </c>
      <c r="R2609" s="1">
        <v>0</v>
      </c>
      <c r="S2609" s="1">
        <v>13</v>
      </c>
      <c r="T2609" s="1">
        <v>0</v>
      </c>
      <c r="U2609" s="1">
        <v>0</v>
      </c>
      <c r="V2609" s="1" t="str">
        <f t="shared" si="494"/>
        <v>里程去程</v>
      </c>
      <c r="W2609" s="1" t="str">
        <f>"1120"</f>
        <v>1120</v>
      </c>
      <c r="X2609" s="1" t="s">
        <v>29</v>
      </c>
    </row>
    <row r="2610" spans="1:24" x14ac:dyDescent="0.3">
      <c r="A2610" s="1" t="str">
        <f t="shared" si="491"/>
        <v>59809</v>
      </c>
      <c r="B2610" s="1" t="s">
        <v>42</v>
      </c>
      <c r="C2610" s="1" t="s">
        <v>43</v>
      </c>
      <c r="D2610" s="1" t="str">
        <f t="shared" si="495"/>
        <v>9801</v>
      </c>
      <c r="E2610" s="1" t="s">
        <v>25</v>
      </c>
      <c r="F2610" s="1" t="str">
        <f>"8227D00277880400C834002000000015"</f>
        <v>8227D00277880400C834002000000015</v>
      </c>
      <c r="G2610" s="1" t="s">
        <v>26</v>
      </c>
      <c r="H2610" s="1" t="str">
        <f t="shared" si="492"/>
        <v>20220912</v>
      </c>
      <c r="I2610" s="1" t="str">
        <f>"122340"</f>
        <v>122340</v>
      </c>
      <c r="J2610" s="1" t="s">
        <v>78</v>
      </c>
      <c r="K2610" s="1" t="s">
        <v>52</v>
      </c>
      <c r="L2610" s="1" t="str">
        <f t="shared" si="493"/>
        <v>20220912</v>
      </c>
      <c r="M2610" s="1" t="str">
        <f>"123150"</f>
        <v>123150</v>
      </c>
      <c r="N2610" s="1" t="s">
        <v>70</v>
      </c>
      <c r="O2610" s="1" t="s">
        <v>28</v>
      </c>
      <c r="P2610" s="1" t="s">
        <v>68</v>
      </c>
      <c r="Q2610" s="1">
        <v>13</v>
      </c>
      <c r="R2610" s="1">
        <v>0</v>
      </c>
      <c r="S2610" s="1">
        <v>0</v>
      </c>
      <c r="T2610" s="1">
        <v>13</v>
      </c>
      <c r="U2610" s="1">
        <v>0</v>
      </c>
      <c r="V2610" s="1" t="str">
        <f t="shared" si="494"/>
        <v>里程去程</v>
      </c>
      <c r="W2610" s="1" t="str">
        <f>"0020"</f>
        <v>0020</v>
      </c>
      <c r="X2610" s="1" t="s">
        <v>29</v>
      </c>
    </row>
    <row r="2611" spans="1:24" x14ac:dyDescent="0.3">
      <c r="A2611" s="1" t="str">
        <f t="shared" si="491"/>
        <v>59809</v>
      </c>
      <c r="B2611" s="1" t="s">
        <v>42</v>
      </c>
      <c r="C2611" s="1" t="s">
        <v>43</v>
      </c>
      <c r="D2611" s="1" t="str">
        <f t="shared" si="495"/>
        <v>9801</v>
      </c>
      <c r="E2611" s="1" t="s">
        <v>25</v>
      </c>
      <c r="F2611" s="1" t="str">
        <f>"41FBDF4A2F280400F700000000000000"</f>
        <v>41FBDF4A2F280400F700000000000000</v>
      </c>
      <c r="G2611" s="1" t="s">
        <v>58</v>
      </c>
      <c r="H2611" s="1" t="str">
        <f t="shared" si="492"/>
        <v>20220912</v>
      </c>
      <c r="I2611" s="1" t="str">
        <f>"123609"</f>
        <v>123609</v>
      </c>
      <c r="J2611" s="1" t="s">
        <v>27</v>
      </c>
      <c r="K2611" s="1" t="s">
        <v>28</v>
      </c>
      <c r="L2611" s="1" t="str">
        <f t="shared" si="493"/>
        <v>20220912</v>
      </c>
      <c r="M2611" s="1" t="str">
        <f>"125826"</f>
        <v>125826</v>
      </c>
      <c r="N2611" s="1" t="s">
        <v>44</v>
      </c>
      <c r="O2611" s="1" t="s">
        <v>45</v>
      </c>
      <c r="P2611" s="1" t="s">
        <v>55</v>
      </c>
      <c r="Q2611" s="1">
        <v>25</v>
      </c>
      <c r="R2611" s="1">
        <v>25</v>
      </c>
      <c r="S2611" s="1">
        <v>0</v>
      </c>
      <c r="T2611" s="1">
        <v>0</v>
      </c>
      <c r="U2611" s="1">
        <v>0</v>
      </c>
      <c r="V2611" s="1" t="str">
        <f t="shared" si="494"/>
        <v>里程去程</v>
      </c>
      <c r="W2611" s="1" t="str">
        <f>"0020"</f>
        <v>0020</v>
      </c>
      <c r="X2611" s="1" t="s">
        <v>29</v>
      </c>
    </row>
    <row r="2612" spans="1:24" x14ac:dyDescent="0.3">
      <c r="A2612" s="1" t="str">
        <f t="shared" si="491"/>
        <v>59809</v>
      </c>
      <c r="B2612" s="1" t="s">
        <v>42</v>
      </c>
      <c r="C2612" s="1" t="s">
        <v>43</v>
      </c>
      <c r="D2612" s="1" t="str">
        <f t="shared" si="495"/>
        <v>9801</v>
      </c>
      <c r="E2612" s="1" t="s">
        <v>25</v>
      </c>
      <c r="F2612" s="1" t="str">
        <f>"1585561153"</f>
        <v>1585561153</v>
      </c>
      <c r="G2612" s="1" t="s">
        <v>33</v>
      </c>
      <c r="H2612" s="1" t="str">
        <f t="shared" si="492"/>
        <v>20220912</v>
      </c>
      <c r="I2612" s="1" t="str">
        <f>"123620"</f>
        <v>123620</v>
      </c>
      <c r="J2612" s="1" t="s">
        <v>27</v>
      </c>
      <c r="K2612" s="1" t="s">
        <v>28</v>
      </c>
      <c r="L2612" s="1" t="str">
        <f t="shared" si="493"/>
        <v>20220912</v>
      </c>
      <c r="M2612" s="1" t="str">
        <f>"125822"</f>
        <v>125822</v>
      </c>
      <c r="N2612" s="1" t="s">
        <v>44</v>
      </c>
      <c r="O2612" s="1" t="s">
        <v>45</v>
      </c>
      <c r="P2612" s="1" t="s">
        <v>55</v>
      </c>
      <c r="Q2612" s="1">
        <v>25</v>
      </c>
      <c r="R2612" s="1">
        <v>25</v>
      </c>
      <c r="S2612" s="1">
        <v>0</v>
      </c>
      <c r="T2612" s="1">
        <v>0</v>
      </c>
      <c r="U2612" s="1">
        <v>0</v>
      </c>
      <c r="V2612" s="1" t="str">
        <f t="shared" si="494"/>
        <v>里程去程</v>
      </c>
      <c r="W2612" s="1" t="str">
        <f>"0320"</f>
        <v>0320</v>
      </c>
      <c r="X2612" s="1" t="s">
        <v>35</v>
      </c>
    </row>
    <row r="2613" spans="1:24" x14ac:dyDescent="0.3">
      <c r="A2613" s="1" t="str">
        <f t="shared" si="491"/>
        <v>59809</v>
      </c>
      <c r="B2613" s="1" t="s">
        <v>42</v>
      </c>
      <c r="C2613" s="1" t="s">
        <v>43</v>
      </c>
      <c r="D2613" s="1" t="str">
        <f t="shared" si="495"/>
        <v>9801</v>
      </c>
      <c r="E2613" s="1" t="s">
        <v>25</v>
      </c>
      <c r="F2613" s="1" t="str">
        <f>"E218F51718880400C814002000000019"</f>
        <v>E218F51718880400C814002000000019</v>
      </c>
      <c r="G2613" s="1" t="s">
        <v>59</v>
      </c>
      <c r="H2613" s="1" t="str">
        <f t="shared" si="492"/>
        <v>20220912</v>
      </c>
      <c r="I2613" s="1" t="str">
        <f>"133005"</f>
        <v>133005</v>
      </c>
      <c r="J2613" s="1" t="s">
        <v>27</v>
      </c>
      <c r="K2613" s="1" t="s">
        <v>28</v>
      </c>
      <c r="L2613" s="1" t="str">
        <f t="shared" si="493"/>
        <v>20220912</v>
      </c>
      <c r="M2613" s="1" t="str">
        <f>"135201"</f>
        <v>135201</v>
      </c>
      <c r="N2613" s="1" t="s">
        <v>100</v>
      </c>
      <c r="O2613" s="1" t="s">
        <v>45</v>
      </c>
      <c r="P2613" s="1" t="s">
        <v>55</v>
      </c>
      <c r="Q2613" s="1">
        <v>25</v>
      </c>
      <c r="R2613" s="1">
        <v>25</v>
      </c>
      <c r="S2613" s="1">
        <v>0</v>
      </c>
      <c r="T2613" s="1">
        <v>0</v>
      </c>
      <c r="U2613" s="1">
        <v>0</v>
      </c>
      <c r="V2613" s="1" t="str">
        <f t="shared" si="494"/>
        <v>里程去程</v>
      </c>
      <c r="W2613" s="1" t="str">
        <f t="shared" ref="W2613:W2619" si="496">"0020"</f>
        <v>0020</v>
      </c>
      <c r="X2613" s="1" t="s">
        <v>29</v>
      </c>
    </row>
    <row r="2614" spans="1:24" x14ac:dyDescent="0.3">
      <c r="A2614" s="1" t="str">
        <f t="shared" si="491"/>
        <v>59809</v>
      </c>
      <c r="B2614" s="1" t="s">
        <v>42</v>
      </c>
      <c r="C2614" s="1" t="s">
        <v>43</v>
      </c>
      <c r="D2614" s="1" t="str">
        <f t="shared" si="495"/>
        <v>9801</v>
      </c>
      <c r="E2614" s="1" t="s">
        <v>25</v>
      </c>
      <c r="F2614" s="1" t="str">
        <f>"92DCF009B7880400C810002000000016"</f>
        <v>92DCF009B7880400C810002000000016</v>
      </c>
      <c r="G2614" s="1" t="s">
        <v>59</v>
      </c>
      <c r="H2614" s="1" t="str">
        <f t="shared" si="492"/>
        <v>20220912</v>
      </c>
      <c r="I2614" s="1" t="str">
        <f>"133152"</f>
        <v>133152</v>
      </c>
      <c r="J2614" s="1" t="s">
        <v>27</v>
      </c>
      <c r="K2614" s="1" t="s">
        <v>28</v>
      </c>
      <c r="L2614" s="1" t="str">
        <f t="shared" si="493"/>
        <v>20220912</v>
      </c>
      <c r="M2614" s="1" t="str">
        <f>"135718"</f>
        <v>135718</v>
      </c>
      <c r="N2614" s="1" t="s">
        <v>44</v>
      </c>
      <c r="O2614" s="1" t="s">
        <v>45</v>
      </c>
      <c r="P2614" s="1" t="s">
        <v>55</v>
      </c>
      <c r="Q2614" s="1">
        <v>25</v>
      </c>
      <c r="R2614" s="1">
        <v>25</v>
      </c>
      <c r="S2614" s="1">
        <v>0</v>
      </c>
      <c r="T2614" s="1">
        <v>0</v>
      </c>
      <c r="U2614" s="1">
        <v>0</v>
      </c>
      <c r="V2614" s="1" t="str">
        <f t="shared" si="494"/>
        <v>里程去程</v>
      </c>
      <c r="W2614" s="1" t="str">
        <f t="shared" si="496"/>
        <v>0020</v>
      </c>
      <c r="X2614" s="1" t="s">
        <v>29</v>
      </c>
    </row>
    <row r="2615" spans="1:24" x14ac:dyDescent="0.3">
      <c r="A2615" s="1" t="str">
        <f t="shared" si="491"/>
        <v>59809</v>
      </c>
      <c r="B2615" s="1" t="s">
        <v>42</v>
      </c>
      <c r="C2615" s="1" t="s">
        <v>43</v>
      </c>
      <c r="D2615" s="1" t="str">
        <f t="shared" si="495"/>
        <v>9801</v>
      </c>
      <c r="E2615" s="1" t="s">
        <v>25</v>
      </c>
      <c r="F2615" s="1" t="str">
        <f>"B21E0D08A9880400C847002000000015"</f>
        <v>B21E0D08A9880400C847002000000015</v>
      </c>
      <c r="G2615" s="1" t="s">
        <v>59</v>
      </c>
      <c r="H2615" s="1" t="str">
        <f t="shared" si="492"/>
        <v>20220912</v>
      </c>
      <c r="I2615" s="1" t="str">
        <f>"133205"</f>
        <v>133205</v>
      </c>
      <c r="J2615" s="1" t="s">
        <v>27</v>
      </c>
      <c r="K2615" s="1" t="s">
        <v>28</v>
      </c>
      <c r="L2615" s="1" t="str">
        <f t="shared" si="493"/>
        <v>20220912</v>
      </c>
      <c r="M2615" s="1" t="str">
        <f>"135421"</f>
        <v>135421</v>
      </c>
      <c r="N2615" s="1" t="s">
        <v>44</v>
      </c>
      <c r="O2615" s="1" t="s">
        <v>45</v>
      </c>
      <c r="P2615" s="1" t="s">
        <v>55</v>
      </c>
      <c r="Q2615" s="1">
        <v>25</v>
      </c>
      <c r="R2615" s="1">
        <v>25</v>
      </c>
      <c r="S2615" s="1">
        <v>0</v>
      </c>
      <c r="T2615" s="1">
        <v>0</v>
      </c>
      <c r="U2615" s="1">
        <v>0</v>
      </c>
      <c r="V2615" s="1" t="str">
        <f t="shared" si="494"/>
        <v>里程去程</v>
      </c>
      <c r="W2615" s="1" t="str">
        <f t="shared" si="496"/>
        <v>0020</v>
      </c>
      <c r="X2615" s="1" t="s">
        <v>29</v>
      </c>
    </row>
    <row r="2616" spans="1:24" x14ac:dyDescent="0.3">
      <c r="A2616" s="1" t="str">
        <f t="shared" si="491"/>
        <v>59809</v>
      </c>
      <c r="B2616" s="1" t="s">
        <v>42</v>
      </c>
      <c r="C2616" s="1" t="s">
        <v>43</v>
      </c>
      <c r="D2616" s="1" t="str">
        <f t="shared" si="495"/>
        <v>9801</v>
      </c>
      <c r="E2616" s="1" t="s">
        <v>25</v>
      </c>
      <c r="F2616" s="1" t="str">
        <f>"5219FE02B7880400C834002000000015"</f>
        <v>5219FE02B7880400C834002000000015</v>
      </c>
      <c r="G2616" s="1" t="s">
        <v>26</v>
      </c>
      <c r="H2616" s="1" t="str">
        <f t="shared" si="492"/>
        <v>20220912</v>
      </c>
      <c r="I2616" s="1" t="str">
        <f>"135208"</f>
        <v>135208</v>
      </c>
      <c r="J2616" s="1" t="s">
        <v>100</v>
      </c>
      <c r="K2616" s="1" t="s">
        <v>45</v>
      </c>
      <c r="L2616" s="1" t="str">
        <f t="shared" si="493"/>
        <v>20220912</v>
      </c>
      <c r="M2616" s="1" t="str">
        <f>"135713"</f>
        <v>135713</v>
      </c>
      <c r="N2616" s="1" t="s">
        <v>44</v>
      </c>
      <c r="O2616" s="1" t="s">
        <v>45</v>
      </c>
      <c r="P2616" s="1" t="s">
        <v>68</v>
      </c>
      <c r="Q2616" s="1">
        <v>13</v>
      </c>
      <c r="R2616" s="1">
        <v>0</v>
      </c>
      <c r="S2616" s="1">
        <v>0</v>
      </c>
      <c r="T2616" s="1">
        <v>13</v>
      </c>
      <c r="U2616" s="1">
        <v>0</v>
      </c>
      <c r="V2616" s="1" t="str">
        <f t="shared" si="494"/>
        <v>里程去程</v>
      </c>
      <c r="W2616" s="1" t="str">
        <f t="shared" si="496"/>
        <v>0020</v>
      </c>
      <c r="X2616" s="1" t="s">
        <v>29</v>
      </c>
    </row>
    <row r="2617" spans="1:24" x14ac:dyDescent="0.3">
      <c r="A2617" s="1" t="str">
        <f t="shared" si="491"/>
        <v>59809</v>
      </c>
      <c r="B2617" s="1" t="s">
        <v>42</v>
      </c>
      <c r="C2617" s="1" t="s">
        <v>43</v>
      </c>
      <c r="D2617" s="1" t="str">
        <f t="shared" si="495"/>
        <v>9801</v>
      </c>
      <c r="E2617" s="1" t="s">
        <v>25</v>
      </c>
      <c r="F2617" s="1" t="str">
        <f>"F27CE6026A880400C834002000000015"</f>
        <v>F27CE6026A880400C834002000000015</v>
      </c>
      <c r="G2617" s="1" t="s">
        <v>74</v>
      </c>
      <c r="H2617" s="1" t="str">
        <f t="shared" si="492"/>
        <v>20220912</v>
      </c>
      <c r="I2617" s="1" t="str">
        <f>"145634"</f>
        <v>145634</v>
      </c>
      <c r="J2617" s="1" t="s">
        <v>52</v>
      </c>
      <c r="K2617" s="1" t="s">
        <v>52</v>
      </c>
      <c r="L2617" s="1" t="str">
        <f t="shared" si="493"/>
        <v>20220912</v>
      </c>
      <c r="M2617" s="1" t="str">
        <f>"150547"</f>
        <v>150547</v>
      </c>
      <c r="N2617" s="1" t="s">
        <v>60</v>
      </c>
      <c r="O2617" s="1" t="s">
        <v>52</v>
      </c>
      <c r="P2617" s="1" t="s">
        <v>68</v>
      </c>
      <c r="Q2617" s="1">
        <v>13</v>
      </c>
      <c r="R2617" s="1">
        <v>0</v>
      </c>
      <c r="S2617" s="1">
        <v>0</v>
      </c>
      <c r="T2617" s="1">
        <v>13</v>
      </c>
      <c r="U2617" s="1">
        <v>0</v>
      </c>
      <c r="V2617" s="1" t="str">
        <f t="shared" si="494"/>
        <v>里程去程</v>
      </c>
      <c r="W2617" s="1" t="str">
        <f t="shared" si="496"/>
        <v>0020</v>
      </c>
      <c r="X2617" s="1" t="s">
        <v>29</v>
      </c>
    </row>
    <row r="2618" spans="1:24" x14ac:dyDescent="0.3">
      <c r="A2618" s="1" t="str">
        <f t="shared" si="491"/>
        <v>59809</v>
      </c>
      <c r="B2618" s="1" t="s">
        <v>42</v>
      </c>
      <c r="C2618" s="1" t="s">
        <v>43</v>
      </c>
      <c r="D2618" s="1" t="str">
        <f t="shared" si="495"/>
        <v>9801</v>
      </c>
      <c r="E2618" s="1" t="s">
        <v>25</v>
      </c>
      <c r="F2618" s="1" t="str">
        <f>"C2F219032A880400C834002000000015"</f>
        <v>C2F219032A880400C834002000000015</v>
      </c>
      <c r="G2618" s="1" t="s">
        <v>26</v>
      </c>
      <c r="H2618" s="1" t="str">
        <f t="shared" si="492"/>
        <v>20220912</v>
      </c>
      <c r="I2618" s="1" t="str">
        <f>"150438"</f>
        <v>150438</v>
      </c>
      <c r="J2618" s="1" t="s">
        <v>86</v>
      </c>
      <c r="K2618" s="1" t="s">
        <v>52</v>
      </c>
      <c r="L2618" s="1" t="str">
        <f t="shared" si="493"/>
        <v>20220912</v>
      </c>
      <c r="M2618" s="1" t="str">
        <f>"150805"</f>
        <v>150805</v>
      </c>
      <c r="N2618" s="1" t="s">
        <v>51</v>
      </c>
      <c r="O2618" s="1" t="s">
        <v>52</v>
      </c>
      <c r="P2618" s="1" t="s">
        <v>68</v>
      </c>
      <c r="Q2618" s="1">
        <v>13</v>
      </c>
      <c r="R2618" s="1">
        <v>0</v>
      </c>
      <c r="S2618" s="1">
        <v>0</v>
      </c>
      <c r="T2618" s="1">
        <v>13</v>
      </c>
      <c r="U2618" s="1">
        <v>0</v>
      </c>
      <c r="V2618" s="1" t="str">
        <f t="shared" si="494"/>
        <v>里程去程</v>
      </c>
      <c r="W2618" s="1" t="str">
        <f t="shared" si="496"/>
        <v>0020</v>
      </c>
      <c r="X2618" s="1" t="s">
        <v>29</v>
      </c>
    </row>
    <row r="2619" spans="1:24" x14ac:dyDescent="0.3">
      <c r="A2619" s="1" t="str">
        <f t="shared" si="491"/>
        <v>59809</v>
      </c>
      <c r="B2619" s="1" t="s">
        <v>42</v>
      </c>
      <c r="C2619" s="1" t="s">
        <v>43</v>
      </c>
      <c r="D2619" s="1" t="str">
        <f t="shared" si="495"/>
        <v>9801</v>
      </c>
      <c r="E2619" s="1" t="s">
        <v>25</v>
      </c>
      <c r="F2619" s="1" t="str">
        <f>"A22E861913880400C824002000000020"</f>
        <v>A22E861913880400C824002000000020</v>
      </c>
      <c r="G2619" s="1" t="s">
        <v>59</v>
      </c>
      <c r="H2619" s="1" t="str">
        <f t="shared" si="492"/>
        <v>20220912</v>
      </c>
      <c r="I2619" s="1" t="str">
        <f>"152903"</f>
        <v>152903</v>
      </c>
      <c r="J2619" s="1" t="s">
        <v>27</v>
      </c>
      <c r="K2619" s="1" t="s">
        <v>28</v>
      </c>
      <c r="L2619" s="1" t="str">
        <f t="shared" si="493"/>
        <v>20220912</v>
      </c>
      <c r="M2619" s="1" t="str">
        <f>"154505"</f>
        <v>154505</v>
      </c>
      <c r="N2619" s="1" t="s">
        <v>61</v>
      </c>
      <c r="O2619" s="1" t="s">
        <v>45</v>
      </c>
      <c r="P2619" s="1" t="s">
        <v>55</v>
      </c>
      <c r="Q2619" s="1">
        <v>25</v>
      </c>
      <c r="R2619" s="1">
        <v>25</v>
      </c>
      <c r="S2619" s="1">
        <v>0</v>
      </c>
      <c r="T2619" s="1">
        <v>0</v>
      </c>
      <c r="U2619" s="1">
        <v>0</v>
      </c>
      <c r="V2619" s="1" t="str">
        <f t="shared" si="494"/>
        <v>里程去程</v>
      </c>
      <c r="W2619" s="1" t="str">
        <f t="shared" si="496"/>
        <v>0020</v>
      </c>
      <c r="X2619" s="1" t="s">
        <v>29</v>
      </c>
    </row>
    <row r="2620" spans="1:24" x14ac:dyDescent="0.3">
      <c r="A2620" s="1" t="str">
        <f t="shared" si="491"/>
        <v>59809</v>
      </c>
      <c r="B2620" s="1" t="s">
        <v>42</v>
      </c>
      <c r="C2620" s="1" t="s">
        <v>43</v>
      </c>
      <c r="D2620" s="1" t="str">
        <f t="shared" si="495"/>
        <v>9801</v>
      </c>
      <c r="E2620" s="1" t="s">
        <v>25</v>
      </c>
      <c r="F2620" s="1" t="str">
        <f>"F2F7F100F4880400C801002000000015"</f>
        <v>F2F7F100F4880400C801002000000015</v>
      </c>
      <c r="G2620" s="1" t="s">
        <v>58</v>
      </c>
      <c r="H2620" s="1" t="str">
        <f t="shared" si="492"/>
        <v>20220912</v>
      </c>
      <c r="I2620" s="1" t="str">
        <f>"155630"</f>
        <v>155630</v>
      </c>
      <c r="J2620" s="1" t="s">
        <v>52</v>
      </c>
      <c r="K2620" s="1" t="s">
        <v>52</v>
      </c>
      <c r="L2620" s="1" t="str">
        <f t="shared" si="493"/>
        <v>20220912</v>
      </c>
      <c r="M2620" s="1" t="str">
        <f>"163345"</f>
        <v>163345</v>
      </c>
      <c r="N2620" s="1" t="s">
        <v>70</v>
      </c>
      <c r="O2620" s="1" t="s">
        <v>28</v>
      </c>
      <c r="P2620" s="1" t="s">
        <v>55</v>
      </c>
      <c r="Q2620" s="1">
        <v>25</v>
      </c>
      <c r="R2620" s="1">
        <v>0</v>
      </c>
      <c r="S2620" s="1">
        <v>25</v>
      </c>
      <c r="T2620" s="1">
        <v>0</v>
      </c>
      <c r="U2620" s="1">
        <v>0</v>
      </c>
      <c r="V2620" s="1" t="str">
        <f t="shared" si="494"/>
        <v>里程去程</v>
      </c>
      <c r="W2620" s="1" t="str">
        <f>"1120"</f>
        <v>1120</v>
      </c>
      <c r="X2620" s="1" t="s">
        <v>29</v>
      </c>
    </row>
    <row r="2621" spans="1:24" x14ac:dyDescent="0.3">
      <c r="A2621" s="1" t="str">
        <f t="shared" si="491"/>
        <v>59809</v>
      </c>
      <c r="B2621" s="1" t="s">
        <v>42</v>
      </c>
      <c r="C2621" s="1" t="s">
        <v>43</v>
      </c>
      <c r="D2621" s="1" t="str">
        <f t="shared" si="495"/>
        <v>9801</v>
      </c>
      <c r="E2621" s="1" t="s">
        <v>25</v>
      </c>
      <c r="F2621" s="1" t="str">
        <f>"985824849"</f>
        <v>985824849</v>
      </c>
      <c r="G2621" s="1" t="s">
        <v>33</v>
      </c>
      <c r="H2621" s="1" t="str">
        <f t="shared" si="492"/>
        <v>20220912</v>
      </c>
      <c r="I2621" s="1" t="str">
        <f>"155749"</f>
        <v>155749</v>
      </c>
      <c r="J2621" s="1" t="s">
        <v>52</v>
      </c>
      <c r="K2621" s="1" t="s">
        <v>52</v>
      </c>
      <c r="L2621" s="1" t="str">
        <f t="shared" si="493"/>
        <v>20220912</v>
      </c>
      <c r="M2621" s="1" t="str">
        <f>"163342"</f>
        <v>163342</v>
      </c>
      <c r="N2621" s="1" t="s">
        <v>70</v>
      </c>
      <c r="O2621" s="1" t="s">
        <v>28</v>
      </c>
      <c r="P2621" s="1" t="s">
        <v>55</v>
      </c>
      <c r="Q2621" s="1">
        <v>25</v>
      </c>
      <c r="R2621" s="1">
        <v>0</v>
      </c>
      <c r="S2621" s="1">
        <v>25</v>
      </c>
      <c r="T2621" s="1">
        <v>0</v>
      </c>
      <c r="U2621" s="1">
        <v>0</v>
      </c>
      <c r="V2621" s="1" t="str">
        <f t="shared" si="494"/>
        <v>里程去程</v>
      </c>
      <c r="W2621" s="1" t="str">
        <f>"2120"</f>
        <v>2120</v>
      </c>
      <c r="X2621" s="1" t="s">
        <v>35</v>
      </c>
    </row>
    <row r="2622" spans="1:24" x14ac:dyDescent="0.3">
      <c r="A2622" s="1" t="str">
        <f t="shared" si="491"/>
        <v>59809</v>
      </c>
      <c r="B2622" s="1" t="s">
        <v>42</v>
      </c>
      <c r="C2622" s="1" t="s">
        <v>43</v>
      </c>
      <c r="D2622" s="1" t="str">
        <f t="shared" si="495"/>
        <v>9801</v>
      </c>
      <c r="E2622" s="1" t="s">
        <v>25</v>
      </c>
      <c r="F2622" s="1" t="str">
        <f>"107026497"</f>
        <v>107026497</v>
      </c>
      <c r="G2622" s="1" t="s">
        <v>74</v>
      </c>
      <c r="H2622" s="1" t="str">
        <f t="shared" si="492"/>
        <v>20220912</v>
      </c>
      <c r="I2622" s="1" t="str">
        <f>"155801"</f>
        <v>155801</v>
      </c>
      <c r="J2622" s="1" t="s">
        <v>52</v>
      </c>
      <c r="K2622" s="1" t="s">
        <v>52</v>
      </c>
      <c r="L2622" s="1" t="str">
        <f t="shared" si="493"/>
        <v>20220912</v>
      </c>
      <c r="M2622" s="1" t="str">
        <f>"163332"</f>
        <v>163332</v>
      </c>
      <c r="N2622" s="1" t="s">
        <v>70</v>
      </c>
      <c r="O2622" s="1" t="s">
        <v>28</v>
      </c>
      <c r="P2622" s="1" t="s">
        <v>55</v>
      </c>
      <c r="Q2622" s="1">
        <v>13</v>
      </c>
      <c r="R2622" s="1">
        <v>0</v>
      </c>
      <c r="S2622" s="1">
        <v>13</v>
      </c>
      <c r="T2622" s="1">
        <v>0</v>
      </c>
      <c r="U2622" s="1">
        <v>0</v>
      </c>
      <c r="V2622" s="1" t="str">
        <f t="shared" si="494"/>
        <v>里程去程</v>
      </c>
      <c r="W2622" s="1" t="str">
        <f>"2120"</f>
        <v>2120</v>
      </c>
      <c r="X2622" s="1" t="s">
        <v>35</v>
      </c>
    </row>
    <row r="2623" spans="1:24" x14ac:dyDescent="0.3">
      <c r="A2623" s="1" t="str">
        <f t="shared" si="491"/>
        <v>59809</v>
      </c>
      <c r="B2623" s="1" t="s">
        <v>42</v>
      </c>
      <c r="C2623" s="1" t="s">
        <v>43</v>
      </c>
      <c r="D2623" s="1" t="str">
        <f t="shared" si="495"/>
        <v>9801</v>
      </c>
      <c r="E2623" s="1" t="s">
        <v>25</v>
      </c>
      <c r="F2623" s="1" t="str">
        <f>"F215D20237880400C834002000000015"</f>
        <v>F215D20237880400C834002000000015</v>
      </c>
      <c r="G2623" s="1" t="s">
        <v>26</v>
      </c>
      <c r="H2623" s="1" t="str">
        <f t="shared" si="492"/>
        <v>20220912</v>
      </c>
      <c r="I2623" s="1" t="str">
        <f>"160805"</f>
        <v>160805</v>
      </c>
      <c r="J2623" s="1" t="s">
        <v>51</v>
      </c>
      <c r="K2623" s="1" t="s">
        <v>52</v>
      </c>
      <c r="L2623" s="1" t="str">
        <f t="shared" si="493"/>
        <v>20220912</v>
      </c>
      <c r="M2623" s="1" t="str">
        <f>"163337"</f>
        <v>163337</v>
      </c>
      <c r="N2623" s="1" t="s">
        <v>70</v>
      </c>
      <c r="O2623" s="1" t="s">
        <v>28</v>
      </c>
      <c r="P2623" s="1" t="s">
        <v>68</v>
      </c>
      <c r="Q2623" s="1">
        <v>13</v>
      </c>
      <c r="R2623" s="1">
        <v>0</v>
      </c>
      <c r="S2623" s="1">
        <v>0</v>
      </c>
      <c r="T2623" s="1">
        <v>13</v>
      </c>
      <c r="U2623" s="1">
        <v>0</v>
      </c>
      <c r="V2623" s="1" t="str">
        <f t="shared" si="494"/>
        <v>里程去程</v>
      </c>
      <c r="W2623" s="1" t="str">
        <f>"0020"</f>
        <v>0020</v>
      </c>
      <c r="X2623" s="1" t="s">
        <v>29</v>
      </c>
    </row>
    <row r="2624" spans="1:24" x14ac:dyDescent="0.3">
      <c r="A2624" s="1" t="str">
        <f t="shared" si="491"/>
        <v>59809</v>
      </c>
      <c r="B2624" s="1" t="s">
        <v>42</v>
      </c>
      <c r="C2624" s="1" t="s">
        <v>111</v>
      </c>
      <c r="D2624" s="1" t="str">
        <f t="shared" si="495"/>
        <v>9801</v>
      </c>
      <c r="E2624" s="1" t="s">
        <v>25</v>
      </c>
      <c r="F2624" s="1" t="str">
        <f>"9517171004223866"</f>
        <v>9517171004223866</v>
      </c>
      <c r="G2624" s="1" t="s">
        <v>33</v>
      </c>
      <c r="H2624" s="1" t="str">
        <f t="shared" si="492"/>
        <v>20220912</v>
      </c>
      <c r="I2624" s="1" t="str">
        <f>"162547"</f>
        <v>162547</v>
      </c>
      <c r="J2624" s="1" t="s">
        <v>67</v>
      </c>
      <c r="K2624" s="1" t="s">
        <v>52</v>
      </c>
      <c r="L2624" s="1" t="str">
        <f t="shared" si="493"/>
        <v>20220912</v>
      </c>
      <c r="M2624" s="1" t="str">
        <f>"163348"</f>
        <v>163348</v>
      </c>
      <c r="N2624" s="1" t="s">
        <v>70</v>
      </c>
      <c r="O2624" s="1" t="s">
        <v>28</v>
      </c>
      <c r="P2624" s="1" t="s">
        <v>55</v>
      </c>
      <c r="Q2624" s="1">
        <v>25</v>
      </c>
      <c r="R2624" s="1">
        <v>25</v>
      </c>
      <c r="S2624" s="1">
        <v>0</v>
      </c>
      <c r="T2624" s="1">
        <v>0</v>
      </c>
      <c r="U2624" s="1">
        <v>0</v>
      </c>
      <c r="V2624" s="1" t="str">
        <f t="shared" si="494"/>
        <v>里程去程</v>
      </c>
      <c r="W2624" s="1" t="str">
        <f>"3B8B"</f>
        <v>3B8B</v>
      </c>
      <c r="X2624" s="1" t="s">
        <v>109</v>
      </c>
    </row>
    <row r="2625" spans="1:24" x14ac:dyDescent="0.3">
      <c r="A2625" s="1" t="str">
        <f t="shared" si="491"/>
        <v>59809</v>
      </c>
      <c r="B2625" s="1" t="s">
        <v>42</v>
      </c>
      <c r="C2625" s="1" t="s">
        <v>43</v>
      </c>
      <c r="D2625" s="1" t="str">
        <f t="shared" si="495"/>
        <v>9801</v>
      </c>
      <c r="E2625" s="1" t="s">
        <v>25</v>
      </c>
      <c r="F2625" s="1" t="str">
        <f>"3022637810"</f>
        <v>3022637810</v>
      </c>
      <c r="G2625" s="1" t="s">
        <v>33</v>
      </c>
      <c r="H2625" s="1" t="str">
        <f t="shared" si="492"/>
        <v>20220912</v>
      </c>
      <c r="I2625" s="1" t="str">
        <f>"163355"</f>
        <v>163355</v>
      </c>
      <c r="J2625" s="1" t="s">
        <v>27</v>
      </c>
      <c r="K2625" s="1" t="s">
        <v>28</v>
      </c>
      <c r="L2625" s="1" t="str">
        <f t="shared" si="493"/>
        <v>20220912</v>
      </c>
      <c r="M2625" s="1" t="str">
        <f>"164558"</f>
        <v>164558</v>
      </c>
      <c r="N2625" s="1" t="s">
        <v>56</v>
      </c>
      <c r="O2625" s="1" t="s">
        <v>45</v>
      </c>
      <c r="P2625" s="1" t="s">
        <v>55</v>
      </c>
      <c r="Q2625" s="1">
        <v>25</v>
      </c>
      <c r="R2625" s="1">
        <v>25</v>
      </c>
      <c r="S2625" s="1">
        <v>0</v>
      </c>
      <c r="T2625" s="1">
        <v>0</v>
      </c>
      <c r="U2625" s="1">
        <v>0</v>
      </c>
      <c r="V2625" s="1" t="str">
        <f t="shared" si="494"/>
        <v>里程去程</v>
      </c>
      <c r="W2625" s="1" t="str">
        <f>"0220"</f>
        <v>0220</v>
      </c>
      <c r="X2625" s="1" t="s">
        <v>35</v>
      </c>
    </row>
    <row r="2626" spans="1:24" x14ac:dyDescent="0.3">
      <c r="A2626" s="1" t="str">
        <f t="shared" si="491"/>
        <v>59809</v>
      </c>
      <c r="B2626" s="1" t="s">
        <v>42</v>
      </c>
      <c r="C2626" s="1" t="s">
        <v>43</v>
      </c>
      <c r="D2626" s="1" t="str">
        <f t="shared" si="495"/>
        <v>9801</v>
      </c>
      <c r="E2626" s="1" t="s">
        <v>25</v>
      </c>
      <c r="F2626" s="1" t="str">
        <f>"2870046515"</f>
        <v>2870046515</v>
      </c>
      <c r="G2626" s="1" t="s">
        <v>33</v>
      </c>
      <c r="H2626" s="1" t="str">
        <f t="shared" si="492"/>
        <v>20220912</v>
      </c>
      <c r="I2626" s="1" t="str">
        <f>"163358"</f>
        <v>163358</v>
      </c>
      <c r="J2626" s="1" t="s">
        <v>27</v>
      </c>
      <c r="K2626" s="1" t="s">
        <v>28</v>
      </c>
      <c r="L2626" s="1" t="str">
        <f t="shared" si="493"/>
        <v>20220912</v>
      </c>
      <c r="M2626" s="1" t="str">
        <f>"165417"</f>
        <v>165417</v>
      </c>
      <c r="N2626" s="1" t="s">
        <v>44</v>
      </c>
      <c r="O2626" s="1" t="s">
        <v>45</v>
      </c>
      <c r="P2626" s="1" t="s">
        <v>55</v>
      </c>
      <c r="Q2626" s="1">
        <v>25</v>
      </c>
      <c r="R2626" s="1">
        <v>25</v>
      </c>
      <c r="S2626" s="1">
        <v>0</v>
      </c>
      <c r="T2626" s="1">
        <v>0</v>
      </c>
      <c r="U2626" s="1">
        <v>0</v>
      </c>
      <c r="V2626" s="1" t="str">
        <f t="shared" si="494"/>
        <v>里程去程</v>
      </c>
      <c r="W2626" s="1" t="str">
        <f>"0120"</f>
        <v>0120</v>
      </c>
      <c r="X2626" s="1" t="s">
        <v>35</v>
      </c>
    </row>
    <row r="2627" spans="1:24" x14ac:dyDescent="0.3">
      <c r="A2627" s="1" t="str">
        <f t="shared" si="491"/>
        <v>59809</v>
      </c>
      <c r="B2627" s="1" t="s">
        <v>42</v>
      </c>
      <c r="C2627" s="1" t="s">
        <v>43</v>
      </c>
      <c r="D2627" s="1" t="str">
        <f t="shared" si="495"/>
        <v>9801</v>
      </c>
      <c r="E2627" s="1" t="s">
        <v>25</v>
      </c>
      <c r="F2627" s="1" t="str">
        <f>"D5C2F29B7E8804004327BBD200180B07"</f>
        <v>D5C2F29B7E8804004327BBD200180B07</v>
      </c>
      <c r="G2627" s="1" t="s">
        <v>59</v>
      </c>
      <c r="H2627" s="1" t="str">
        <f t="shared" si="492"/>
        <v>20220912</v>
      </c>
      <c r="I2627" s="1" t="str">
        <f>"172717"</f>
        <v>172717</v>
      </c>
      <c r="J2627" s="1" t="s">
        <v>44</v>
      </c>
      <c r="K2627" s="1" t="s">
        <v>45</v>
      </c>
      <c r="L2627" s="1" t="str">
        <f t="shared" si="493"/>
        <v>20220912</v>
      </c>
      <c r="M2627" s="1" t="str">
        <f>"175146"</f>
        <v>175146</v>
      </c>
      <c r="N2627" s="1" t="s">
        <v>95</v>
      </c>
      <c r="O2627" s="1" t="s">
        <v>28</v>
      </c>
      <c r="P2627" s="1" t="s">
        <v>55</v>
      </c>
      <c r="Q2627" s="1">
        <v>25</v>
      </c>
      <c r="R2627" s="1">
        <v>25</v>
      </c>
      <c r="S2627" s="1">
        <v>0</v>
      </c>
      <c r="T2627" s="1">
        <v>0</v>
      </c>
      <c r="U2627" s="1">
        <v>0</v>
      </c>
      <c r="V2627" s="1" t="str">
        <f>"里程返程"</f>
        <v>里程返程</v>
      </c>
      <c r="W2627" s="1" t="str">
        <f>"0020"</f>
        <v>0020</v>
      </c>
      <c r="X2627" s="1" t="s">
        <v>29</v>
      </c>
    </row>
    <row r="2628" spans="1:24" x14ac:dyDescent="0.3">
      <c r="A2628" s="1" t="str">
        <f t="shared" si="491"/>
        <v>59809</v>
      </c>
      <c r="B2628" s="1" t="s">
        <v>42</v>
      </c>
      <c r="C2628" s="1" t="s">
        <v>43</v>
      </c>
      <c r="D2628" s="1" t="str">
        <f t="shared" si="495"/>
        <v>9801</v>
      </c>
      <c r="E2628" s="1" t="s">
        <v>25</v>
      </c>
      <c r="F2628" s="1" t="str">
        <f>"422AE7028D880400C834002000000015"</f>
        <v>422AE7028D880400C834002000000015</v>
      </c>
      <c r="G2628" s="1" t="s">
        <v>74</v>
      </c>
      <c r="H2628" s="1" t="str">
        <f t="shared" si="492"/>
        <v>20220912</v>
      </c>
      <c r="I2628" s="1" t="str">
        <f>"172720"</f>
        <v>172720</v>
      </c>
      <c r="J2628" s="1" t="s">
        <v>44</v>
      </c>
      <c r="K2628" s="1" t="s">
        <v>45</v>
      </c>
      <c r="L2628" s="1" t="str">
        <f t="shared" si="493"/>
        <v>20220912</v>
      </c>
      <c r="M2628" s="1" t="str">
        <f>"175215"</f>
        <v>175215</v>
      </c>
      <c r="N2628" s="1" t="s">
        <v>28</v>
      </c>
      <c r="O2628" s="1" t="s">
        <v>28</v>
      </c>
      <c r="P2628" s="1" t="s">
        <v>68</v>
      </c>
      <c r="Q2628" s="1">
        <v>13</v>
      </c>
      <c r="R2628" s="1">
        <v>0</v>
      </c>
      <c r="S2628" s="1">
        <v>0</v>
      </c>
      <c r="T2628" s="1">
        <v>13</v>
      </c>
      <c r="U2628" s="1">
        <v>0</v>
      </c>
      <c r="V2628" s="1" t="str">
        <f>"里程返程"</f>
        <v>里程返程</v>
      </c>
      <c r="W2628" s="1" t="str">
        <f>"0020"</f>
        <v>0020</v>
      </c>
      <c r="X2628" s="1" t="s">
        <v>29</v>
      </c>
    </row>
    <row r="2629" spans="1:24" x14ac:dyDescent="0.3">
      <c r="A2629" s="1" t="str">
        <f t="shared" si="491"/>
        <v>59809</v>
      </c>
      <c r="B2629" s="1" t="s">
        <v>42</v>
      </c>
      <c r="C2629" s="1" t="s">
        <v>43</v>
      </c>
      <c r="D2629" s="1" t="str">
        <f t="shared" si="495"/>
        <v>9801</v>
      </c>
      <c r="E2629" s="1" t="s">
        <v>25</v>
      </c>
      <c r="F2629" s="1" t="str">
        <f>"1423111489"</f>
        <v>1423111489</v>
      </c>
      <c r="G2629" s="1" t="s">
        <v>33</v>
      </c>
      <c r="H2629" s="1" t="str">
        <f t="shared" si="492"/>
        <v>20220912</v>
      </c>
      <c r="I2629" s="1" t="str">
        <f>"173348"</f>
        <v>173348</v>
      </c>
      <c r="J2629" s="1" t="s">
        <v>100</v>
      </c>
      <c r="K2629" s="1" t="s">
        <v>45</v>
      </c>
      <c r="L2629" s="1" t="str">
        <f t="shared" si="493"/>
        <v>20220912</v>
      </c>
      <c r="M2629" s="1" t="str">
        <f>"175217"</f>
        <v>175217</v>
      </c>
      <c r="N2629" s="1" t="s">
        <v>28</v>
      </c>
      <c r="O2629" s="1" t="s">
        <v>28</v>
      </c>
      <c r="P2629" s="1" t="s">
        <v>55</v>
      </c>
      <c r="Q2629" s="1">
        <v>25</v>
      </c>
      <c r="R2629" s="1">
        <v>0</v>
      </c>
      <c r="S2629" s="1">
        <v>25</v>
      </c>
      <c r="T2629" s="1">
        <v>0</v>
      </c>
      <c r="U2629" s="1">
        <v>0</v>
      </c>
      <c r="V2629" s="1" t="str">
        <f>"里程返程"</f>
        <v>里程返程</v>
      </c>
      <c r="W2629" s="1" t="str">
        <f>"2120"</f>
        <v>2120</v>
      </c>
      <c r="X2629" s="1" t="s">
        <v>35</v>
      </c>
    </row>
    <row r="2630" spans="1:24" x14ac:dyDescent="0.3">
      <c r="A2630" s="1" t="str">
        <f t="shared" si="491"/>
        <v>59809</v>
      </c>
      <c r="B2630" s="1" t="s">
        <v>42</v>
      </c>
      <c r="C2630" s="1" t="s">
        <v>43</v>
      </c>
      <c r="D2630" s="1" t="str">
        <f t="shared" si="495"/>
        <v>9801</v>
      </c>
      <c r="E2630" s="1" t="s">
        <v>25</v>
      </c>
      <c r="F2630" s="1" t="str">
        <f>"81291869D92804001C00000000000000"</f>
        <v>81291869D92804001C00000000000000</v>
      </c>
      <c r="G2630" s="1" t="s">
        <v>58</v>
      </c>
      <c r="H2630" s="1" t="str">
        <f t="shared" si="492"/>
        <v>20220912</v>
      </c>
      <c r="I2630" s="1" t="str">
        <f>"203105"</f>
        <v>203105</v>
      </c>
      <c r="J2630" s="1" t="s">
        <v>27</v>
      </c>
      <c r="K2630" s="1" t="s">
        <v>28</v>
      </c>
      <c r="L2630" s="1" t="str">
        <f t="shared" si="493"/>
        <v>20220912</v>
      </c>
      <c r="M2630" s="1" t="str">
        <f>"204633"</f>
        <v>204633</v>
      </c>
      <c r="N2630" s="1" t="s">
        <v>61</v>
      </c>
      <c r="O2630" s="1" t="s">
        <v>45</v>
      </c>
      <c r="P2630" s="1" t="s">
        <v>55</v>
      </c>
      <c r="Q2630" s="1">
        <v>25</v>
      </c>
      <c r="R2630" s="1">
        <v>0</v>
      </c>
      <c r="S2630" s="1">
        <v>25</v>
      </c>
      <c r="T2630" s="1">
        <v>0</v>
      </c>
      <c r="U2630" s="1">
        <v>0</v>
      </c>
      <c r="V2630" s="1" t="str">
        <f>"里程去程"</f>
        <v>里程去程</v>
      </c>
      <c r="W2630" s="1" t="str">
        <f>"0620"</f>
        <v>0620</v>
      </c>
      <c r="X2630" s="1" t="s">
        <v>29</v>
      </c>
    </row>
    <row r="2631" spans="1:24" x14ac:dyDescent="0.3">
      <c r="A2631" s="1" t="str">
        <f t="shared" si="491"/>
        <v>59809</v>
      </c>
      <c r="B2631" s="1" t="s">
        <v>42</v>
      </c>
      <c r="C2631" s="1" t="s">
        <v>43</v>
      </c>
      <c r="D2631" s="1" t="str">
        <f>"9805"</f>
        <v>9805</v>
      </c>
      <c r="E2631" s="1" t="s">
        <v>57</v>
      </c>
      <c r="F2631" s="1" t="str">
        <f>"1422892785"</f>
        <v>1422892785</v>
      </c>
      <c r="G2631" s="1" t="s">
        <v>33</v>
      </c>
      <c r="H2631" s="1" t="str">
        <f t="shared" si="492"/>
        <v>20220912</v>
      </c>
      <c r="I2631" s="1" t="str">
        <f>"210424"</f>
        <v>210424</v>
      </c>
      <c r="J2631" s="1" t="s">
        <v>62</v>
      </c>
      <c r="K2631" s="1" t="s">
        <v>28</v>
      </c>
      <c r="L2631" s="1" t="str">
        <f t="shared" si="493"/>
        <v>20220912</v>
      </c>
      <c r="M2631" s="1" t="str">
        <f>"211700"</f>
        <v>211700</v>
      </c>
      <c r="N2631" s="1" t="s">
        <v>28</v>
      </c>
      <c r="O2631" s="1" t="s">
        <v>28</v>
      </c>
      <c r="P2631" s="1" t="s">
        <v>55</v>
      </c>
      <c r="Q2631" s="1">
        <v>25</v>
      </c>
      <c r="R2631" s="1">
        <v>0</v>
      </c>
      <c r="S2631" s="1">
        <v>25</v>
      </c>
      <c r="T2631" s="1">
        <v>0</v>
      </c>
      <c r="U2631" s="1">
        <v>0</v>
      </c>
      <c r="V2631" s="1" t="str">
        <f t="shared" ref="V2631:V2649" si="497">"里程返程"</f>
        <v>里程返程</v>
      </c>
      <c r="W2631" s="1" t="str">
        <f>"2120"</f>
        <v>2120</v>
      </c>
      <c r="X2631" s="1" t="s">
        <v>35</v>
      </c>
    </row>
    <row r="2632" spans="1:24" x14ac:dyDescent="0.3">
      <c r="A2632" s="1" t="str">
        <f t="shared" si="491"/>
        <v>59809</v>
      </c>
      <c r="B2632" s="1" t="s">
        <v>42</v>
      </c>
      <c r="C2632" s="1" t="s">
        <v>43</v>
      </c>
      <c r="D2632" s="1" t="str">
        <f>"9805"</f>
        <v>9805</v>
      </c>
      <c r="E2632" s="1" t="s">
        <v>57</v>
      </c>
      <c r="F2632" s="1" t="str">
        <f>"1244068293"</f>
        <v>1244068293</v>
      </c>
      <c r="G2632" s="1" t="s">
        <v>33</v>
      </c>
      <c r="H2632" s="1" t="str">
        <f t="shared" si="492"/>
        <v>20220912</v>
      </c>
      <c r="I2632" s="1" t="str">
        <f>"210426"</f>
        <v>210426</v>
      </c>
      <c r="J2632" s="1" t="s">
        <v>62</v>
      </c>
      <c r="K2632" s="1" t="s">
        <v>28</v>
      </c>
      <c r="L2632" s="1" t="str">
        <f t="shared" si="493"/>
        <v>20220912</v>
      </c>
      <c r="M2632" s="1" t="str">
        <f>"211658"</f>
        <v>211658</v>
      </c>
      <c r="N2632" s="1" t="s">
        <v>28</v>
      </c>
      <c r="O2632" s="1" t="s">
        <v>28</v>
      </c>
      <c r="P2632" s="1" t="s">
        <v>55</v>
      </c>
      <c r="Q2632" s="1">
        <v>25</v>
      </c>
      <c r="R2632" s="1">
        <v>0</v>
      </c>
      <c r="S2632" s="1">
        <v>25</v>
      </c>
      <c r="T2632" s="1">
        <v>0</v>
      </c>
      <c r="U2632" s="1">
        <v>0</v>
      </c>
      <c r="V2632" s="1" t="str">
        <f t="shared" si="497"/>
        <v>里程返程</v>
      </c>
      <c r="W2632" s="1" t="str">
        <f>"2120"</f>
        <v>2120</v>
      </c>
      <c r="X2632" s="1" t="s">
        <v>35</v>
      </c>
    </row>
    <row r="2633" spans="1:24" x14ac:dyDescent="0.3">
      <c r="A2633" s="1" t="str">
        <f t="shared" ref="A2633:A2678" si="498">"59822"</f>
        <v>59822</v>
      </c>
      <c r="B2633" s="1" t="s">
        <v>39</v>
      </c>
      <c r="C2633" s="1" t="s">
        <v>40</v>
      </c>
      <c r="D2633" s="1" t="str">
        <f t="shared" ref="D2633:D2647" si="499">"9801"</f>
        <v>9801</v>
      </c>
      <c r="E2633" s="1" t="s">
        <v>25</v>
      </c>
      <c r="F2633" s="1" t="str">
        <f>"F29BD102BA880400C834002000000015"</f>
        <v>F29BD102BA880400C834002000000015</v>
      </c>
      <c r="G2633" s="1" t="s">
        <v>26</v>
      </c>
      <c r="H2633" s="1" t="str">
        <f t="shared" si="492"/>
        <v>20220912</v>
      </c>
      <c r="I2633" s="1" t="str">
        <f>"083343"</f>
        <v>083343</v>
      </c>
      <c r="J2633" s="1" t="s">
        <v>44</v>
      </c>
      <c r="K2633" s="1" t="s">
        <v>45</v>
      </c>
      <c r="L2633" s="1" t="str">
        <f t="shared" si="493"/>
        <v>20220912</v>
      </c>
      <c r="M2633" s="1" t="str">
        <f>"085037"</f>
        <v>085037</v>
      </c>
      <c r="N2633" s="1" t="s">
        <v>28</v>
      </c>
      <c r="O2633" s="1" t="s">
        <v>28</v>
      </c>
      <c r="P2633" s="1" t="s">
        <v>68</v>
      </c>
      <c r="Q2633" s="1">
        <v>13</v>
      </c>
      <c r="R2633" s="1">
        <v>0</v>
      </c>
      <c r="S2633" s="1">
        <v>0</v>
      </c>
      <c r="T2633" s="1">
        <v>13</v>
      </c>
      <c r="U2633" s="1">
        <v>0</v>
      </c>
      <c r="V2633" s="1" t="str">
        <f t="shared" si="497"/>
        <v>里程返程</v>
      </c>
      <c r="W2633" s="1" t="str">
        <f>"0020"</f>
        <v>0020</v>
      </c>
      <c r="X2633" s="1" t="s">
        <v>29</v>
      </c>
    </row>
    <row r="2634" spans="1:24" x14ac:dyDescent="0.3">
      <c r="A2634" s="1" t="str">
        <f t="shared" si="498"/>
        <v>59822</v>
      </c>
      <c r="B2634" s="1" t="s">
        <v>39</v>
      </c>
      <c r="C2634" s="1" t="s">
        <v>40</v>
      </c>
      <c r="D2634" s="1" t="str">
        <f t="shared" si="499"/>
        <v>9801</v>
      </c>
      <c r="E2634" s="1" t="s">
        <v>25</v>
      </c>
      <c r="F2634" s="1" t="str">
        <f>"32A74602D1880400C821002000000015"</f>
        <v>32A74602D1880400C821002000000015</v>
      </c>
      <c r="G2634" s="1" t="s">
        <v>26</v>
      </c>
      <c r="H2634" s="1" t="str">
        <f t="shared" si="492"/>
        <v>20220912</v>
      </c>
      <c r="I2634" s="1" t="str">
        <f>"085102"</f>
        <v>085102</v>
      </c>
      <c r="J2634" s="1" t="s">
        <v>28</v>
      </c>
      <c r="K2634" s="1" t="s">
        <v>28</v>
      </c>
      <c r="L2634" s="1" t="str">
        <f t="shared" si="493"/>
        <v>20220912</v>
      </c>
      <c r="M2634" s="1" t="str">
        <f>"091810"</f>
        <v>091810</v>
      </c>
      <c r="N2634" s="1" t="s">
        <v>60</v>
      </c>
      <c r="O2634" s="1" t="s">
        <v>52</v>
      </c>
      <c r="P2634" s="1" t="s">
        <v>68</v>
      </c>
      <c r="Q2634" s="1">
        <v>13</v>
      </c>
      <c r="R2634" s="1">
        <v>0</v>
      </c>
      <c r="S2634" s="1">
        <v>0</v>
      </c>
      <c r="T2634" s="1">
        <v>13</v>
      </c>
      <c r="U2634" s="1">
        <v>0</v>
      </c>
      <c r="V2634" s="1" t="str">
        <f t="shared" si="497"/>
        <v>里程返程</v>
      </c>
      <c r="W2634" s="1" t="str">
        <f>"0020"</f>
        <v>0020</v>
      </c>
      <c r="X2634" s="1" t="s">
        <v>29</v>
      </c>
    </row>
    <row r="2635" spans="1:24" x14ac:dyDescent="0.3">
      <c r="A2635" s="1" t="str">
        <f t="shared" si="498"/>
        <v>59822</v>
      </c>
      <c r="B2635" s="1" t="s">
        <v>39</v>
      </c>
      <c r="C2635" s="1" t="s">
        <v>40</v>
      </c>
      <c r="D2635" s="1" t="str">
        <f t="shared" si="499"/>
        <v>9801</v>
      </c>
      <c r="E2635" s="1" t="s">
        <v>25</v>
      </c>
      <c r="F2635" s="1" t="str">
        <f>"03A6A9454988040048B994D749703809"</f>
        <v>03A6A9454988040048B994D749703809</v>
      </c>
      <c r="G2635" s="1" t="s">
        <v>64</v>
      </c>
      <c r="H2635" s="1" t="str">
        <f t="shared" ref="H2635:H2666" si="500">"20220912"</f>
        <v>20220912</v>
      </c>
      <c r="I2635" s="1" t="str">
        <f>"085112"</f>
        <v>085112</v>
      </c>
      <c r="J2635" s="1" t="s">
        <v>28</v>
      </c>
      <c r="K2635" s="1" t="s">
        <v>28</v>
      </c>
      <c r="L2635" s="1" t="str">
        <f t="shared" ref="L2635:L2666" si="501">"20220912"</f>
        <v>20220912</v>
      </c>
      <c r="M2635" s="1" t="str">
        <f>"090406"</f>
        <v>090406</v>
      </c>
      <c r="N2635" s="1" t="s">
        <v>78</v>
      </c>
      <c r="O2635" s="1" t="s">
        <v>52</v>
      </c>
      <c r="P2635" s="1" t="s">
        <v>55</v>
      </c>
      <c r="Q2635" s="1">
        <v>13</v>
      </c>
      <c r="R2635" s="1">
        <v>13</v>
      </c>
      <c r="S2635" s="1">
        <v>0</v>
      </c>
      <c r="T2635" s="1">
        <v>0</v>
      </c>
      <c r="U2635" s="1">
        <v>0</v>
      </c>
      <c r="V2635" s="1" t="str">
        <f t="shared" si="497"/>
        <v>里程返程</v>
      </c>
      <c r="W2635" s="1" t="str">
        <f>"0020"</f>
        <v>0020</v>
      </c>
      <c r="X2635" s="1" t="s">
        <v>29</v>
      </c>
    </row>
    <row r="2636" spans="1:24" x14ac:dyDescent="0.3">
      <c r="A2636" s="1" t="str">
        <f t="shared" si="498"/>
        <v>59822</v>
      </c>
      <c r="B2636" s="1" t="s">
        <v>39</v>
      </c>
      <c r="C2636" s="1" t="s">
        <v>40</v>
      </c>
      <c r="D2636" s="1" t="str">
        <f t="shared" si="499"/>
        <v>9801</v>
      </c>
      <c r="E2636" s="1" t="s">
        <v>25</v>
      </c>
      <c r="F2636" s="1" t="str">
        <f>"A2D8190360880400C834002000000015"</f>
        <v>A2D8190360880400C834002000000015</v>
      </c>
      <c r="G2636" s="1" t="s">
        <v>26</v>
      </c>
      <c r="H2636" s="1" t="str">
        <f t="shared" si="500"/>
        <v>20220912</v>
      </c>
      <c r="I2636" s="1" t="str">
        <f>"092725"</f>
        <v>092725</v>
      </c>
      <c r="J2636" s="1" t="s">
        <v>44</v>
      </c>
      <c r="K2636" s="1" t="s">
        <v>45</v>
      </c>
      <c r="L2636" s="1" t="str">
        <f t="shared" si="501"/>
        <v>20220912</v>
      </c>
      <c r="M2636" s="1" t="str">
        <f>"092951"</f>
        <v>092951</v>
      </c>
      <c r="N2636" s="1" t="s">
        <v>100</v>
      </c>
      <c r="O2636" s="1" t="s">
        <v>45</v>
      </c>
      <c r="P2636" s="1" t="s">
        <v>68</v>
      </c>
      <c r="Q2636" s="1">
        <v>13</v>
      </c>
      <c r="R2636" s="1">
        <v>0</v>
      </c>
      <c r="S2636" s="1">
        <v>0</v>
      </c>
      <c r="T2636" s="1">
        <v>13</v>
      </c>
      <c r="U2636" s="1">
        <v>0</v>
      </c>
      <c r="V2636" s="1" t="str">
        <f t="shared" si="497"/>
        <v>里程返程</v>
      </c>
      <c r="W2636" s="1" t="str">
        <f>"0020"</f>
        <v>0020</v>
      </c>
      <c r="X2636" s="1" t="s">
        <v>29</v>
      </c>
    </row>
    <row r="2637" spans="1:24" x14ac:dyDescent="0.3">
      <c r="A2637" s="1" t="str">
        <f t="shared" si="498"/>
        <v>59822</v>
      </c>
      <c r="B2637" s="1" t="s">
        <v>39</v>
      </c>
      <c r="C2637" s="1" t="s">
        <v>40</v>
      </c>
      <c r="D2637" s="1" t="str">
        <f t="shared" si="499"/>
        <v>9801</v>
      </c>
      <c r="E2637" s="1" t="s">
        <v>25</v>
      </c>
      <c r="F2637" s="1" t="str">
        <f>"52DB190393880400C834002000000015"</f>
        <v>52DB190393880400C834002000000015</v>
      </c>
      <c r="G2637" s="1" t="s">
        <v>26</v>
      </c>
      <c r="H2637" s="1" t="str">
        <f t="shared" si="500"/>
        <v>20220912</v>
      </c>
      <c r="I2637" s="1" t="str">
        <f>"092942"</f>
        <v>092942</v>
      </c>
      <c r="J2637" s="1" t="s">
        <v>44</v>
      </c>
      <c r="K2637" s="1" t="s">
        <v>45</v>
      </c>
      <c r="L2637" s="1" t="str">
        <f t="shared" si="501"/>
        <v>20220912</v>
      </c>
      <c r="M2637" s="1" t="str">
        <f>"093333"</f>
        <v>093333</v>
      </c>
      <c r="N2637" s="1" t="s">
        <v>100</v>
      </c>
      <c r="O2637" s="1" t="s">
        <v>45</v>
      </c>
      <c r="P2637" s="1" t="s">
        <v>68</v>
      </c>
      <c r="Q2637" s="1">
        <v>13</v>
      </c>
      <c r="R2637" s="1">
        <v>0</v>
      </c>
      <c r="S2637" s="1">
        <v>0</v>
      </c>
      <c r="T2637" s="1">
        <v>13</v>
      </c>
      <c r="U2637" s="1">
        <v>0</v>
      </c>
      <c r="V2637" s="1" t="str">
        <f t="shared" si="497"/>
        <v>里程返程</v>
      </c>
      <c r="W2637" s="1" t="str">
        <f>"0020"</f>
        <v>0020</v>
      </c>
      <c r="X2637" s="1" t="s">
        <v>29</v>
      </c>
    </row>
    <row r="2638" spans="1:24" x14ac:dyDescent="0.3">
      <c r="A2638" s="1" t="str">
        <f t="shared" si="498"/>
        <v>59822</v>
      </c>
      <c r="B2638" s="1" t="s">
        <v>39</v>
      </c>
      <c r="C2638" s="1" t="s">
        <v>40</v>
      </c>
      <c r="D2638" s="1" t="str">
        <f t="shared" si="499"/>
        <v>9801</v>
      </c>
      <c r="E2638" s="1" t="s">
        <v>25</v>
      </c>
      <c r="F2638" s="1" t="str">
        <f>"285817872"</f>
        <v>285817872</v>
      </c>
      <c r="G2638" s="1" t="s">
        <v>33</v>
      </c>
      <c r="H2638" s="1" t="str">
        <f t="shared" si="500"/>
        <v>20220912</v>
      </c>
      <c r="I2638" s="1" t="str">
        <f>"095315"</f>
        <v>095315</v>
      </c>
      <c r="J2638" s="1" t="s">
        <v>28</v>
      </c>
      <c r="K2638" s="1" t="s">
        <v>28</v>
      </c>
      <c r="L2638" s="1" t="str">
        <f t="shared" si="501"/>
        <v>20220912</v>
      </c>
      <c r="M2638" s="1" t="str">
        <f>"101844"</f>
        <v>101844</v>
      </c>
      <c r="N2638" s="1" t="s">
        <v>60</v>
      </c>
      <c r="O2638" s="1" t="s">
        <v>52</v>
      </c>
      <c r="P2638" s="1" t="s">
        <v>55</v>
      </c>
      <c r="Q2638" s="1">
        <v>25</v>
      </c>
      <c r="R2638" s="1">
        <v>0</v>
      </c>
      <c r="S2638" s="1">
        <v>25</v>
      </c>
      <c r="T2638" s="1">
        <v>0</v>
      </c>
      <c r="U2638" s="1">
        <v>0</v>
      </c>
      <c r="V2638" s="1" t="str">
        <f t="shared" si="497"/>
        <v>里程返程</v>
      </c>
      <c r="W2638" s="1" t="str">
        <f>"0820"</f>
        <v>0820</v>
      </c>
      <c r="X2638" s="1" t="s">
        <v>35</v>
      </c>
    </row>
    <row r="2639" spans="1:24" x14ac:dyDescent="0.3">
      <c r="A2639" s="1" t="str">
        <f t="shared" si="498"/>
        <v>59822</v>
      </c>
      <c r="B2639" s="1" t="s">
        <v>39</v>
      </c>
      <c r="C2639" s="1" t="s">
        <v>40</v>
      </c>
      <c r="D2639" s="1" t="str">
        <f t="shared" si="499"/>
        <v>9801</v>
      </c>
      <c r="E2639" s="1" t="s">
        <v>25</v>
      </c>
      <c r="F2639" s="1" t="str">
        <f>"4273BA0289880400C834002000000015"</f>
        <v>4273BA0289880400C834002000000015</v>
      </c>
      <c r="G2639" s="1" t="s">
        <v>26</v>
      </c>
      <c r="H2639" s="1" t="str">
        <f t="shared" si="500"/>
        <v>20220912</v>
      </c>
      <c r="I2639" s="1" t="str">
        <f>"105447"</f>
        <v>105447</v>
      </c>
      <c r="J2639" s="1" t="s">
        <v>28</v>
      </c>
      <c r="K2639" s="1" t="s">
        <v>28</v>
      </c>
      <c r="L2639" s="1" t="str">
        <f t="shared" si="501"/>
        <v>20220912</v>
      </c>
      <c r="M2639" s="1" t="str">
        <f>"111833"</f>
        <v>111833</v>
      </c>
      <c r="N2639" s="1" t="s">
        <v>60</v>
      </c>
      <c r="O2639" s="1" t="s">
        <v>52</v>
      </c>
      <c r="P2639" s="1" t="s">
        <v>68</v>
      </c>
      <c r="Q2639" s="1">
        <v>13</v>
      </c>
      <c r="R2639" s="1">
        <v>0</v>
      </c>
      <c r="S2639" s="1">
        <v>0</v>
      </c>
      <c r="T2639" s="1">
        <v>13</v>
      </c>
      <c r="U2639" s="1">
        <v>0</v>
      </c>
      <c r="V2639" s="1" t="str">
        <f t="shared" si="497"/>
        <v>里程返程</v>
      </c>
      <c r="W2639" s="1" t="str">
        <f>"0020"</f>
        <v>0020</v>
      </c>
      <c r="X2639" s="1" t="s">
        <v>29</v>
      </c>
    </row>
    <row r="2640" spans="1:24" x14ac:dyDescent="0.3">
      <c r="A2640" s="1" t="str">
        <f t="shared" si="498"/>
        <v>59822</v>
      </c>
      <c r="B2640" s="1" t="s">
        <v>39</v>
      </c>
      <c r="C2640" s="1" t="s">
        <v>40</v>
      </c>
      <c r="D2640" s="1" t="str">
        <f t="shared" si="499"/>
        <v>9801</v>
      </c>
      <c r="E2640" s="1" t="s">
        <v>25</v>
      </c>
      <c r="F2640" s="1" t="str">
        <f>"52990D02C4880400C821002000000015"</f>
        <v>52990D02C4880400C821002000000015</v>
      </c>
      <c r="G2640" s="1" t="s">
        <v>26</v>
      </c>
      <c r="H2640" s="1" t="str">
        <f t="shared" si="500"/>
        <v>20220912</v>
      </c>
      <c r="I2640" s="1" t="str">
        <f>"105452"</f>
        <v>105452</v>
      </c>
      <c r="J2640" s="1" t="s">
        <v>28</v>
      </c>
      <c r="K2640" s="1" t="s">
        <v>28</v>
      </c>
      <c r="L2640" s="1" t="str">
        <f t="shared" si="501"/>
        <v>20220912</v>
      </c>
      <c r="M2640" s="1" t="str">
        <f>"111837"</f>
        <v>111837</v>
      </c>
      <c r="N2640" s="1" t="s">
        <v>60</v>
      </c>
      <c r="O2640" s="1" t="s">
        <v>52</v>
      </c>
      <c r="P2640" s="1" t="s">
        <v>68</v>
      </c>
      <c r="Q2640" s="1">
        <v>13</v>
      </c>
      <c r="R2640" s="1">
        <v>0</v>
      </c>
      <c r="S2640" s="1">
        <v>0</v>
      </c>
      <c r="T2640" s="1">
        <v>13</v>
      </c>
      <c r="U2640" s="1">
        <v>0</v>
      </c>
      <c r="V2640" s="1" t="str">
        <f t="shared" si="497"/>
        <v>里程返程</v>
      </c>
      <c r="W2640" s="1" t="str">
        <f>"0020"</f>
        <v>0020</v>
      </c>
      <c r="X2640" s="1" t="s">
        <v>29</v>
      </c>
    </row>
    <row r="2641" spans="1:24" x14ac:dyDescent="0.3">
      <c r="A2641" s="1" t="str">
        <f t="shared" si="498"/>
        <v>59822</v>
      </c>
      <c r="B2641" s="1" t="s">
        <v>39</v>
      </c>
      <c r="C2641" s="1" t="s">
        <v>40</v>
      </c>
      <c r="D2641" s="1" t="str">
        <f t="shared" si="499"/>
        <v>9801</v>
      </c>
      <c r="E2641" s="1" t="s">
        <v>25</v>
      </c>
      <c r="F2641" s="1" t="str">
        <f>"3545652356"</f>
        <v>3545652356</v>
      </c>
      <c r="G2641" s="1" t="s">
        <v>33</v>
      </c>
      <c r="H2641" s="1" t="str">
        <f t="shared" si="500"/>
        <v>20220912</v>
      </c>
      <c r="I2641" s="1" t="str">
        <f>"105459"</f>
        <v>105459</v>
      </c>
      <c r="J2641" s="1" t="s">
        <v>28</v>
      </c>
      <c r="K2641" s="1" t="s">
        <v>28</v>
      </c>
      <c r="L2641" s="1" t="str">
        <f t="shared" si="501"/>
        <v>20220912</v>
      </c>
      <c r="M2641" s="1" t="str">
        <f>"112223"</f>
        <v>112223</v>
      </c>
      <c r="N2641" s="1" t="s">
        <v>52</v>
      </c>
      <c r="O2641" s="1" t="s">
        <v>52</v>
      </c>
      <c r="P2641" s="1" t="s">
        <v>55</v>
      </c>
      <c r="Q2641" s="1">
        <v>25</v>
      </c>
      <c r="R2641" s="1">
        <v>0</v>
      </c>
      <c r="S2641" s="1">
        <v>25</v>
      </c>
      <c r="T2641" s="1">
        <v>0</v>
      </c>
      <c r="U2641" s="1">
        <v>0</v>
      </c>
      <c r="V2641" s="1" t="str">
        <f t="shared" si="497"/>
        <v>里程返程</v>
      </c>
      <c r="W2641" s="1" t="str">
        <f>"0820"</f>
        <v>0820</v>
      </c>
      <c r="X2641" s="1" t="s">
        <v>35</v>
      </c>
    </row>
    <row r="2642" spans="1:24" x14ac:dyDescent="0.3">
      <c r="A2642" s="1" t="str">
        <f t="shared" si="498"/>
        <v>59822</v>
      </c>
      <c r="B2642" s="1" t="s">
        <v>39</v>
      </c>
      <c r="C2642" s="1" t="s">
        <v>40</v>
      </c>
      <c r="D2642" s="1" t="str">
        <f t="shared" si="499"/>
        <v>9801</v>
      </c>
      <c r="E2642" s="1" t="s">
        <v>25</v>
      </c>
      <c r="F2642" s="1" t="str">
        <f>"20108DDC61880400468F465655101311"</f>
        <v>20108DDC61880400468F465655101311</v>
      </c>
      <c r="G2642" s="1" t="s">
        <v>59</v>
      </c>
      <c r="H2642" s="1" t="str">
        <f t="shared" si="500"/>
        <v>20220912</v>
      </c>
      <c r="I2642" s="1" t="str">
        <f>"113031"</f>
        <v>113031</v>
      </c>
      <c r="J2642" s="1" t="s">
        <v>44</v>
      </c>
      <c r="K2642" s="1" t="s">
        <v>45</v>
      </c>
      <c r="L2642" s="1" t="str">
        <f t="shared" si="501"/>
        <v>20220912</v>
      </c>
      <c r="M2642" s="1" t="str">
        <f>"113854"</f>
        <v>113854</v>
      </c>
      <c r="N2642" s="1" t="s">
        <v>75</v>
      </c>
      <c r="O2642" s="1" t="s">
        <v>45</v>
      </c>
      <c r="P2642" s="1" t="s">
        <v>55</v>
      </c>
      <c r="Q2642" s="1">
        <v>25</v>
      </c>
      <c r="R2642" s="1">
        <v>25</v>
      </c>
      <c r="S2642" s="1">
        <v>0</v>
      </c>
      <c r="T2642" s="1">
        <v>0</v>
      </c>
      <c r="U2642" s="1">
        <v>0</v>
      </c>
      <c r="V2642" s="1" t="str">
        <f t="shared" si="497"/>
        <v>里程返程</v>
      </c>
      <c r="W2642" s="1" t="str">
        <f>"0020"</f>
        <v>0020</v>
      </c>
      <c r="X2642" s="1" t="s">
        <v>29</v>
      </c>
    </row>
    <row r="2643" spans="1:24" x14ac:dyDescent="0.3">
      <c r="A2643" s="1" t="str">
        <f t="shared" si="498"/>
        <v>59822</v>
      </c>
      <c r="B2643" s="1" t="s">
        <v>39</v>
      </c>
      <c r="C2643" s="1" t="s">
        <v>40</v>
      </c>
      <c r="D2643" s="1" t="str">
        <f t="shared" si="499"/>
        <v>9801</v>
      </c>
      <c r="E2643" s="1" t="s">
        <v>25</v>
      </c>
      <c r="F2643" s="1" t="str">
        <f>"808235525"</f>
        <v>808235525</v>
      </c>
      <c r="G2643" s="1" t="s">
        <v>38</v>
      </c>
      <c r="H2643" s="1" t="str">
        <f t="shared" si="500"/>
        <v>20220912</v>
      </c>
      <c r="I2643" s="1" t="str">
        <f>"113034"</f>
        <v>113034</v>
      </c>
      <c r="J2643" s="1" t="s">
        <v>44</v>
      </c>
      <c r="K2643" s="1" t="s">
        <v>45</v>
      </c>
      <c r="L2643" s="1" t="str">
        <f t="shared" si="501"/>
        <v>20220912</v>
      </c>
      <c r="M2643" s="1" t="str">
        <f>"115131"</f>
        <v>115131</v>
      </c>
      <c r="N2643" s="1" t="s">
        <v>28</v>
      </c>
      <c r="O2643" s="1" t="s">
        <v>28</v>
      </c>
      <c r="P2643" s="1" t="s">
        <v>55</v>
      </c>
      <c r="Q2643" s="1">
        <v>25</v>
      </c>
      <c r="R2643" s="1">
        <v>0</v>
      </c>
      <c r="S2643" s="1">
        <v>25</v>
      </c>
      <c r="T2643" s="1">
        <v>0</v>
      </c>
      <c r="U2643" s="1">
        <v>0</v>
      </c>
      <c r="V2643" s="1" t="str">
        <f t="shared" si="497"/>
        <v>里程返程</v>
      </c>
      <c r="W2643" s="1" t="str">
        <f>"2120"</f>
        <v>2120</v>
      </c>
      <c r="X2643" s="1" t="s">
        <v>35</v>
      </c>
    </row>
    <row r="2644" spans="1:24" x14ac:dyDescent="0.3">
      <c r="A2644" s="1" t="str">
        <f t="shared" si="498"/>
        <v>59822</v>
      </c>
      <c r="B2644" s="1" t="s">
        <v>39</v>
      </c>
      <c r="C2644" s="1" t="s">
        <v>40</v>
      </c>
      <c r="D2644" s="1" t="str">
        <f t="shared" si="499"/>
        <v>9801</v>
      </c>
      <c r="E2644" s="1" t="s">
        <v>25</v>
      </c>
      <c r="F2644" s="1" t="str">
        <f>"123DC116F8880400C814002000000019"</f>
        <v>123DC116F8880400C814002000000019</v>
      </c>
      <c r="G2644" s="1" t="s">
        <v>64</v>
      </c>
      <c r="H2644" s="1" t="str">
        <f t="shared" si="500"/>
        <v>20220912</v>
      </c>
      <c r="I2644" s="1" t="str">
        <f>"115157"</f>
        <v>115157</v>
      </c>
      <c r="J2644" s="1" t="s">
        <v>28</v>
      </c>
      <c r="K2644" s="1" t="s">
        <v>28</v>
      </c>
      <c r="L2644" s="1" t="str">
        <f t="shared" si="501"/>
        <v>20220912</v>
      </c>
      <c r="M2644" s="1" t="str">
        <f>"121855"</f>
        <v>121855</v>
      </c>
      <c r="N2644" s="1" t="s">
        <v>51</v>
      </c>
      <c r="O2644" s="1" t="s">
        <v>52</v>
      </c>
      <c r="P2644" s="1" t="s">
        <v>55</v>
      </c>
      <c r="Q2644" s="1">
        <v>13</v>
      </c>
      <c r="R2644" s="1">
        <v>13</v>
      </c>
      <c r="S2644" s="1">
        <v>0</v>
      </c>
      <c r="T2644" s="1">
        <v>0</v>
      </c>
      <c r="U2644" s="1">
        <v>0</v>
      </c>
      <c r="V2644" s="1" t="str">
        <f t="shared" si="497"/>
        <v>里程返程</v>
      </c>
      <c r="W2644" s="1" t="str">
        <f>"0020"</f>
        <v>0020</v>
      </c>
      <c r="X2644" s="1" t="s">
        <v>29</v>
      </c>
    </row>
    <row r="2645" spans="1:24" x14ac:dyDescent="0.3">
      <c r="A2645" s="1" t="str">
        <f t="shared" si="498"/>
        <v>59822</v>
      </c>
      <c r="B2645" s="1" t="s">
        <v>39</v>
      </c>
      <c r="C2645" s="1" t="s">
        <v>40</v>
      </c>
      <c r="D2645" s="1" t="str">
        <f t="shared" si="499"/>
        <v>9801</v>
      </c>
      <c r="E2645" s="1" t="s">
        <v>25</v>
      </c>
      <c r="F2645" s="1" t="str">
        <f>"780625985"</f>
        <v>780625985</v>
      </c>
      <c r="G2645" s="1" t="s">
        <v>26</v>
      </c>
      <c r="H2645" s="1" t="str">
        <f t="shared" si="500"/>
        <v>20220912</v>
      </c>
      <c r="I2645" s="1" t="str">
        <f>"115217"</f>
        <v>115217</v>
      </c>
      <c r="J2645" s="1" t="s">
        <v>28</v>
      </c>
      <c r="K2645" s="1" t="s">
        <v>28</v>
      </c>
      <c r="L2645" s="1" t="str">
        <f t="shared" si="501"/>
        <v>20220912</v>
      </c>
      <c r="M2645" s="1" t="str">
        <f>"120329"</f>
        <v>120329</v>
      </c>
      <c r="N2645" s="1" t="s">
        <v>67</v>
      </c>
      <c r="O2645" s="1" t="s">
        <v>52</v>
      </c>
      <c r="P2645" s="1" t="s">
        <v>55</v>
      </c>
      <c r="Q2645" s="1">
        <v>13</v>
      </c>
      <c r="R2645" s="1">
        <v>13</v>
      </c>
      <c r="S2645" s="1">
        <v>0</v>
      </c>
      <c r="T2645" s="1">
        <v>0</v>
      </c>
      <c r="U2645" s="1">
        <v>0</v>
      </c>
      <c r="V2645" s="1" t="str">
        <f t="shared" si="497"/>
        <v>里程返程</v>
      </c>
      <c r="W2645" s="1" t="str">
        <f>"0e20"</f>
        <v>0e20</v>
      </c>
      <c r="X2645" s="1" t="s">
        <v>35</v>
      </c>
    </row>
    <row r="2646" spans="1:24" x14ac:dyDescent="0.3">
      <c r="A2646" s="1" t="str">
        <f t="shared" si="498"/>
        <v>59822</v>
      </c>
      <c r="B2646" s="1" t="s">
        <v>39</v>
      </c>
      <c r="C2646" s="1" t="s">
        <v>40</v>
      </c>
      <c r="D2646" s="1" t="str">
        <f t="shared" si="499"/>
        <v>9801</v>
      </c>
      <c r="E2646" s="1" t="s">
        <v>25</v>
      </c>
      <c r="F2646" s="1" t="str">
        <f>"427BB21B90880400C822002000000021"</f>
        <v>427BB21B90880400C822002000000021</v>
      </c>
      <c r="G2646" s="1" t="s">
        <v>58</v>
      </c>
      <c r="H2646" s="1" t="str">
        <f t="shared" si="500"/>
        <v>20220912</v>
      </c>
      <c r="I2646" s="1" t="str">
        <f>"115221"</f>
        <v>115221</v>
      </c>
      <c r="J2646" s="1" t="s">
        <v>28</v>
      </c>
      <c r="K2646" s="1" t="s">
        <v>28</v>
      </c>
      <c r="L2646" s="1" t="str">
        <f t="shared" si="501"/>
        <v>20220912</v>
      </c>
      <c r="M2646" s="1" t="str">
        <f>"121723"</f>
        <v>121723</v>
      </c>
      <c r="N2646" s="1" t="s">
        <v>51</v>
      </c>
      <c r="O2646" s="1" t="s">
        <v>52</v>
      </c>
      <c r="P2646" s="1" t="s">
        <v>55</v>
      </c>
      <c r="Q2646" s="1">
        <v>25</v>
      </c>
      <c r="R2646" s="1">
        <v>25</v>
      </c>
      <c r="S2646" s="1">
        <v>0</v>
      </c>
      <c r="T2646" s="1">
        <v>0</v>
      </c>
      <c r="U2646" s="1">
        <v>0</v>
      </c>
      <c r="V2646" s="1" t="str">
        <f t="shared" si="497"/>
        <v>里程返程</v>
      </c>
      <c r="W2646" s="1" t="str">
        <f>"0020"</f>
        <v>0020</v>
      </c>
      <c r="X2646" s="1" t="s">
        <v>29</v>
      </c>
    </row>
    <row r="2647" spans="1:24" x14ac:dyDescent="0.3">
      <c r="A2647" s="1" t="str">
        <f t="shared" si="498"/>
        <v>59822</v>
      </c>
      <c r="B2647" s="1" t="s">
        <v>39</v>
      </c>
      <c r="C2647" s="1" t="s">
        <v>40</v>
      </c>
      <c r="D2647" s="1" t="str">
        <f t="shared" si="499"/>
        <v>9801</v>
      </c>
      <c r="E2647" s="1" t="s">
        <v>25</v>
      </c>
      <c r="F2647" s="1" t="str">
        <f>"1379652097"</f>
        <v>1379652097</v>
      </c>
      <c r="G2647" s="1" t="s">
        <v>33</v>
      </c>
      <c r="H2647" s="1" t="str">
        <f t="shared" si="500"/>
        <v>20220912</v>
      </c>
      <c r="I2647" s="1" t="str">
        <f>"115224"</f>
        <v>115224</v>
      </c>
      <c r="J2647" s="1" t="s">
        <v>28</v>
      </c>
      <c r="K2647" s="1" t="s">
        <v>28</v>
      </c>
      <c r="L2647" s="1" t="str">
        <f t="shared" si="501"/>
        <v>20220912</v>
      </c>
      <c r="M2647" s="1" t="str">
        <f>"121144"</f>
        <v>121144</v>
      </c>
      <c r="N2647" s="1" t="s">
        <v>97</v>
      </c>
      <c r="O2647" s="1" t="s">
        <v>52</v>
      </c>
      <c r="P2647" s="1" t="s">
        <v>55</v>
      </c>
      <c r="Q2647" s="1">
        <v>25</v>
      </c>
      <c r="R2647" s="1">
        <v>25</v>
      </c>
      <c r="S2647" s="1">
        <v>0</v>
      </c>
      <c r="T2647" s="1">
        <v>0</v>
      </c>
      <c r="U2647" s="1">
        <v>0</v>
      </c>
      <c r="V2647" s="1" t="str">
        <f t="shared" si="497"/>
        <v>里程返程</v>
      </c>
      <c r="W2647" s="1" t="str">
        <f>"2120"</f>
        <v>2120</v>
      </c>
      <c r="X2647" s="1" t="s">
        <v>35</v>
      </c>
    </row>
    <row r="2648" spans="1:24" x14ac:dyDescent="0.3">
      <c r="A2648" s="1" t="str">
        <f t="shared" si="498"/>
        <v>59822</v>
      </c>
      <c r="B2648" s="1" t="s">
        <v>39</v>
      </c>
      <c r="C2648" s="1" t="s">
        <v>40</v>
      </c>
      <c r="D2648" s="1" t="str">
        <f t="shared" ref="D2648:D2658" si="502">"9805"</f>
        <v>9805</v>
      </c>
      <c r="E2648" s="1" t="s">
        <v>57</v>
      </c>
      <c r="F2648" s="1" t="str">
        <f>"A14B2A33F38804004325B8B800130B0F"</f>
        <v>A14B2A33F38804004325B8B800130B0F</v>
      </c>
      <c r="G2648" s="1" t="s">
        <v>64</v>
      </c>
      <c r="H2648" s="1" t="str">
        <f t="shared" si="500"/>
        <v>20220912</v>
      </c>
      <c r="I2648" s="1" t="str">
        <f>"133354"</f>
        <v>133354</v>
      </c>
      <c r="J2648" s="1" t="s">
        <v>62</v>
      </c>
      <c r="K2648" s="1" t="s">
        <v>28</v>
      </c>
      <c r="L2648" s="1" t="str">
        <f t="shared" si="501"/>
        <v>20220912</v>
      </c>
      <c r="M2648" s="1" t="str">
        <f>"134853"</f>
        <v>134853</v>
      </c>
      <c r="N2648" s="1" t="s">
        <v>28</v>
      </c>
      <c r="O2648" s="1" t="s">
        <v>28</v>
      </c>
      <c r="P2648" s="1" t="s">
        <v>55</v>
      </c>
      <c r="Q2648" s="1">
        <v>13</v>
      </c>
      <c r="R2648" s="1">
        <v>0</v>
      </c>
      <c r="S2648" s="1">
        <v>13</v>
      </c>
      <c r="T2648" s="1">
        <v>0</v>
      </c>
      <c r="U2648" s="1">
        <v>0</v>
      </c>
      <c r="V2648" s="1" t="str">
        <f t="shared" si="497"/>
        <v>里程返程</v>
      </c>
      <c r="W2648" s="1" t="str">
        <f>"1120"</f>
        <v>1120</v>
      </c>
      <c r="X2648" s="1" t="s">
        <v>29</v>
      </c>
    </row>
    <row r="2649" spans="1:24" x14ac:dyDescent="0.3">
      <c r="A2649" s="1" t="str">
        <f t="shared" si="498"/>
        <v>59822</v>
      </c>
      <c r="B2649" s="1" t="s">
        <v>39</v>
      </c>
      <c r="C2649" s="1" t="s">
        <v>40</v>
      </c>
      <c r="D2649" s="1" t="str">
        <f t="shared" si="502"/>
        <v>9805</v>
      </c>
      <c r="E2649" s="1" t="s">
        <v>57</v>
      </c>
      <c r="F2649" s="1" t="str">
        <f>"845046F96B880400C819002000000021"</f>
        <v>845046F96B880400C819002000000021</v>
      </c>
      <c r="G2649" s="1" t="s">
        <v>58</v>
      </c>
      <c r="H2649" s="1" t="str">
        <f t="shared" si="500"/>
        <v>20220912</v>
      </c>
      <c r="I2649" s="1" t="str">
        <f>"133612"</f>
        <v>133612</v>
      </c>
      <c r="J2649" s="1" t="s">
        <v>103</v>
      </c>
      <c r="K2649" s="1" t="s">
        <v>28</v>
      </c>
      <c r="L2649" s="1" t="str">
        <f t="shared" si="501"/>
        <v>20220912</v>
      </c>
      <c r="M2649" s="1" t="str">
        <f>"134904"</f>
        <v>134904</v>
      </c>
      <c r="N2649" s="1" t="s">
        <v>28</v>
      </c>
      <c r="O2649" s="1" t="s">
        <v>28</v>
      </c>
      <c r="P2649" s="1" t="s">
        <v>55</v>
      </c>
      <c r="Q2649" s="1">
        <v>25</v>
      </c>
      <c r="R2649" s="1">
        <v>0</v>
      </c>
      <c r="S2649" s="1">
        <v>25</v>
      </c>
      <c r="T2649" s="1">
        <v>0</v>
      </c>
      <c r="U2649" s="1">
        <v>0</v>
      </c>
      <c r="V2649" s="1" t="str">
        <f t="shared" si="497"/>
        <v>里程返程</v>
      </c>
      <c r="W2649" s="1" t="str">
        <f>"1120"</f>
        <v>1120</v>
      </c>
      <c r="X2649" s="1" t="s">
        <v>29</v>
      </c>
    </row>
    <row r="2650" spans="1:24" x14ac:dyDescent="0.3">
      <c r="A2650" s="1" t="str">
        <f t="shared" si="498"/>
        <v>59822</v>
      </c>
      <c r="B2650" s="1" t="s">
        <v>39</v>
      </c>
      <c r="C2650" s="1" t="s">
        <v>40</v>
      </c>
      <c r="D2650" s="1" t="str">
        <f t="shared" si="502"/>
        <v>9805</v>
      </c>
      <c r="E2650" s="1" t="s">
        <v>57</v>
      </c>
      <c r="F2650" s="1" t="str">
        <f>"2657465807"</f>
        <v>2657465807</v>
      </c>
      <c r="G2650" s="1" t="s">
        <v>33</v>
      </c>
      <c r="H2650" s="1" t="str">
        <f t="shared" si="500"/>
        <v>20220912</v>
      </c>
      <c r="I2650" s="1" t="str">
        <f>"142438"</f>
        <v>142438</v>
      </c>
      <c r="J2650" s="1" t="s">
        <v>28</v>
      </c>
      <c r="K2650" s="1" t="s">
        <v>28</v>
      </c>
      <c r="L2650" s="1" t="str">
        <f t="shared" si="501"/>
        <v>20220912</v>
      </c>
      <c r="M2650" s="1" t="str">
        <f>"144440"</f>
        <v>144440</v>
      </c>
      <c r="N2650" s="1" t="s">
        <v>62</v>
      </c>
      <c r="O2650" s="1" t="s">
        <v>28</v>
      </c>
      <c r="P2650" s="1" t="s">
        <v>55</v>
      </c>
      <c r="Q2650" s="1">
        <v>25</v>
      </c>
      <c r="R2650" s="1">
        <v>25</v>
      </c>
      <c r="S2650" s="1">
        <v>0</v>
      </c>
      <c r="T2650" s="1">
        <v>0</v>
      </c>
      <c r="U2650" s="1">
        <v>0</v>
      </c>
      <c r="V2650" s="1" t="str">
        <f t="shared" ref="V2650:V2663" si="503">"里程去程"</f>
        <v>里程去程</v>
      </c>
      <c r="W2650" s="1" t="str">
        <f>"1120"</f>
        <v>1120</v>
      </c>
      <c r="X2650" s="1" t="s">
        <v>35</v>
      </c>
    </row>
    <row r="2651" spans="1:24" x14ac:dyDescent="0.3">
      <c r="A2651" s="1" t="str">
        <f t="shared" si="498"/>
        <v>59822</v>
      </c>
      <c r="B2651" s="1" t="s">
        <v>39</v>
      </c>
      <c r="C2651" s="1" t="s">
        <v>40</v>
      </c>
      <c r="D2651" s="1" t="str">
        <f t="shared" si="502"/>
        <v>9805</v>
      </c>
      <c r="E2651" s="1" t="s">
        <v>57</v>
      </c>
      <c r="F2651" s="1" t="str">
        <f>"1407814081"</f>
        <v>1407814081</v>
      </c>
      <c r="G2651" s="1" t="s">
        <v>26</v>
      </c>
      <c r="H2651" s="1" t="str">
        <f t="shared" si="500"/>
        <v>20220912</v>
      </c>
      <c r="I2651" s="1" t="str">
        <f>"142451"</f>
        <v>142451</v>
      </c>
      <c r="J2651" s="1" t="s">
        <v>28</v>
      </c>
      <c r="K2651" s="1" t="s">
        <v>28</v>
      </c>
      <c r="L2651" s="1" t="str">
        <f t="shared" si="501"/>
        <v>20220912</v>
      </c>
      <c r="M2651" s="1" t="str">
        <f>"144546"</f>
        <v>144546</v>
      </c>
      <c r="N2651" s="1" t="s">
        <v>52</v>
      </c>
      <c r="O2651" s="1" t="s">
        <v>52</v>
      </c>
      <c r="P2651" s="1" t="s">
        <v>55</v>
      </c>
      <c r="Q2651" s="1">
        <v>13</v>
      </c>
      <c r="R2651" s="1">
        <v>13</v>
      </c>
      <c r="S2651" s="1">
        <v>0</v>
      </c>
      <c r="T2651" s="1">
        <v>0</v>
      </c>
      <c r="U2651" s="1">
        <v>0</v>
      </c>
      <c r="V2651" s="1" t="str">
        <f t="shared" si="503"/>
        <v>里程去程</v>
      </c>
      <c r="W2651" s="1" t="str">
        <f>"0120"</f>
        <v>0120</v>
      </c>
      <c r="X2651" s="1" t="s">
        <v>35</v>
      </c>
    </row>
    <row r="2652" spans="1:24" x14ac:dyDescent="0.3">
      <c r="A2652" s="1" t="str">
        <f t="shared" si="498"/>
        <v>59822</v>
      </c>
      <c r="B2652" s="1" t="s">
        <v>39</v>
      </c>
      <c r="C2652" s="1" t="s">
        <v>40</v>
      </c>
      <c r="D2652" s="1" t="str">
        <f t="shared" si="502"/>
        <v>9805</v>
      </c>
      <c r="E2652" s="1" t="s">
        <v>57</v>
      </c>
      <c r="F2652" s="1" t="str">
        <f>"1187693125"</f>
        <v>1187693125</v>
      </c>
      <c r="G2652" s="1" t="s">
        <v>26</v>
      </c>
      <c r="H2652" s="1" t="str">
        <f t="shared" si="500"/>
        <v>20220912</v>
      </c>
      <c r="I2652" s="1" t="str">
        <f>"142453"</f>
        <v>142453</v>
      </c>
      <c r="J2652" s="1" t="s">
        <v>28</v>
      </c>
      <c r="K2652" s="1" t="s">
        <v>28</v>
      </c>
      <c r="L2652" s="1" t="str">
        <f t="shared" si="501"/>
        <v>20220912</v>
      </c>
      <c r="M2652" s="1" t="str">
        <f>"144543"</f>
        <v>144543</v>
      </c>
      <c r="N2652" s="1" t="s">
        <v>62</v>
      </c>
      <c r="O2652" s="1" t="s">
        <v>28</v>
      </c>
      <c r="P2652" s="1" t="s">
        <v>55</v>
      </c>
      <c r="Q2652" s="1">
        <v>13</v>
      </c>
      <c r="R2652" s="1">
        <v>13</v>
      </c>
      <c r="S2652" s="1">
        <v>0</v>
      </c>
      <c r="T2652" s="1">
        <v>0</v>
      </c>
      <c r="U2652" s="1">
        <v>0</v>
      </c>
      <c r="V2652" s="1" t="str">
        <f t="shared" si="503"/>
        <v>里程去程</v>
      </c>
      <c r="W2652" s="1" t="str">
        <f>"0120"</f>
        <v>0120</v>
      </c>
      <c r="X2652" s="1" t="s">
        <v>35</v>
      </c>
    </row>
    <row r="2653" spans="1:24" x14ac:dyDescent="0.3">
      <c r="A2653" s="1" t="str">
        <f t="shared" si="498"/>
        <v>59822</v>
      </c>
      <c r="B2653" s="1" t="s">
        <v>39</v>
      </c>
      <c r="C2653" s="1" t="s">
        <v>40</v>
      </c>
      <c r="D2653" s="1" t="str">
        <f t="shared" si="502"/>
        <v>9805</v>
      </c>
      <c r="E2653" s="1" t="s">
        <v>57</v>
      </c>
      <c r="F2653" s="1" t="str">
        <f>"510A3A5A3B2804001C00000000000000"</f>
        <v>510A3A5A3B2804001C00000000000000</v>
      </c>
      <c r="G2653" s="1" t="s">
        <v>58</v>
      </c>
      <c r="H2653" s="1" t="str">
        <f t="shared" si="500"/>
        <v>20220912</v>
      </c>
      <c r="I2653" s="1" t="str">
        <f>"142455"</f>
        <v>142455</v>
      </c>
      <c r="J2653" s="1" t="s">
        <v>28</v>
      </c>
      <c r="K2653" s="1" t="s">
        <v>28</v>
      </c>
      <c r="L2653" s="1" t="str">
        <f t="shared" si="501"/>
        <v>20220912</v>
      </c>
      <c r="M2653" s="1" t="str">
        <f>"144737"</f>
        <v>144737</v>
      </c>
      <c r="N2653" s="1" t="s">
        <v>52</v>
      </c>
      <c r="O2653" s="1" t="s">
        <v>52</v>
      </c>
      <c r="P2653" s="1" t="s">
        <v>55</v>
      </c>
      <c r="Q2653" s="1">
        <v>25</v>
      </c>
      <c r="R2653" s="1">
        <v>0</v>
      </c>
      <c r="S2653" s="1">
        <v>25</v>
      </c>
      <c r="T2653" s="1">
        <v>0</v>
      </c>
      <c r="U2653" s="1">
        <v>0</v>
      </c>
      <c r="V2653" s="1" t="str">
        <f t="shared" si="503"/>
        <v>里程去程</v>
      </c>
      <c r="W2653" s="1" t="str">
        <f>"0620"</f>
        <v>0620</v>
      </c>
      <c r="X2653" s="1" t="s">
        <v>29</v>
      </c>
    </row>
    <row r="2654" spans="1:24" x14ac:dyDescent="0.3">
      <c r="A2654" s="1" t="str">
        <f t="shared" si="498"/>
        <v>59822</v>
      </c>
      <c r="B2654" s="1" t="s">
        <v>39</v>
      </c>
      <c r="C2654" s="1" t="s">
        <v>40</v>
      </c>
      <c r="D2654" s="1" t="str">
        <f t="shared" si="502"/>
        <v>9805</v>
      </c>
      <c r="E2654" s="1" t="s">
        <v>57</v>
      </c>
      <c r="F2654" s="1" t="str">
        <f>"C28A65163B880400C814002000000019"</f>
        <v>C28A65163B880400C814002000000019</v>
      </c>
      <c r="G2654" s="1" t="s">
        <v>82</v>
      </c>
      <c r="H2654" s="1" t="str">
        <f t="shared" si="500"/>
        <v>20220912</v>
      </c>
      <c r="I2654" s="1" t="str">
        <f>"142459"</f>
        <v>142459</v>
      </c>
      <c r="J2654" s="1" t="s">
        <v>28</v>
      </c>
      <c r="K2654" s="1" t="s">
        <v>28</v>
      </c>
      <c r="L2654" s="1" t="str">
        <f t="shared" si="501"/>
        <v>20220912</v>
      </c>
      <c r="M2654" s="1" t="str">
        <f>"144739"</f>
        <v>144739</v>
      </c>
      <c r="N2654" s="1" t="s">
        <v>52</v>
      </c>
      <c r="O2654" s="1" t="s">
        <v>52</v>
      </c>
      <c r="P2654" s="1" t="s">
        <v>55</v>
      </c>
      <c r="Q2654" s="1">
        <v>13</v>
      </c>
      <c r="R2654" s="1">
        <v>0</v>
      </c>
      <c r="S2654" s="1">
        <v>13</v>
      </c>
      <c r="T2654" s="1">
        <v>0</v>
      </c>
      <c r="U2654" s="1">
        <v>0</v>
      </c>
      <c r="V2654" s="1" t="str">
        <f t="shared" si="503"/>
        <v>里程去程</v>
      </c>
      <c r="W2654" s="1" t="str">
        <f>"0620"</f>
        <v>0620</v>
      </c>
      <c r="X2654" s="1" t="s">
        <v>29</v>
      </c>
    </row>
    <row r="2655" spans="1:24" x14ac:dyDescent="0.3">
      <c r="A2655" s="1" t="str">
        <f t="shared" si="498"/>
        <v>59822</v>
      </c>
      <c r="B2655" s="1" t="s">
        <v>39</v>
      </c>
      <c r="C2655" s="1" t="s">
        <v>40</v>
      </c>
      <c r="D2655" s="1" t="str">
        <f t="shared" si="502"/>
        <v>9805</v>
      </c>
      <c r="E2655" s="1" t="s">
        <v>57</v>
      </c>
      <c r="F2655" s="1" t="str">
        <f>"1137F702D388040043252B4B0008050F"</f>
        <v>1137F702D388040043252B4B0008050F</v>
      </c>
      <c r="G2655" s="1" t="s">
        <v>58</v>
      </c>
      <c r="H2655" s="1" t="str">
        <f t="shared" si="500"/>
        <v>20220912</v>
      </c>
      <c r="I2655" s="1" t="str">
        <f>"142503"</f>
        <v>142503</v>
      </c>
      <c r="J2655" s="1" t="s">
        <v>28</v>
      </c>
      <c r="K2655" s="1" t="s">
        <v>28</v>
      </c>
      <c r="L2655" s="1" t="str">
        <f t="shared" si="501"/>
        <v>20220912</v>
      </c>
      <c r="M2655" s="1" t="str">
        <f>"144436"</f>
        <v>144436</v>
      </c>
      <c r="N2655" s="1" t="s">
        <v>62</v>
      </c>
      <c r="O2655" s="1" t="s">
        <v>28</v>
      </c>
      <c r="P2655" s="1" t="s">
        <v>55</v>
      </c>
      <c r="Q2655" s="1">
        <v>25</v>
      </c>
      <c r="R2655" s="1">
        <v>25</v>
      </c>
      <c r="S2655" s="1">
        <v>0</v>
      </c>
      <c r="T2655" s="1">
        <v>0</v>
      </c>
      <c r="U2655" s="1">
        <v>0</v>
      </c>
      <c r="V2655" s="1" t="str">
        <f t="shared" si="503"/>
        <v>里程去程</v>
      </c>
      <c r="W2655" s="1" t="str">
        <f>"0020"</f>
        <v>0020</v>
      </c>
      <c r="X2655" s="1" t="s">
        <v>29</v>
      </c>
    </row>
    <row r="2656" spans="1:24" x14ac:dyDescent="0.3">
      <c r="A2656" s="1" t="str">
        <f t="shared" si="498"/>
        <v>59822</v>
      </c>
      <c r="B2656" s="1" t="s">
        <v>39</v>
      </c>
      <c r="C2656" s="1" t="s">
        <v>40</v>
      </c>
      <c r="D2656" s="1" t="str">
        <f t="shared" si="502"/>
        <v>9805</v>
      </c>
      <c r="E2656" s="1" t="s">
        <v>57</v>
      </c>
      <c r="F2656" s="1" t="str">
        <f>"1783806229"</f>
        <v>1783806229</v>
      </c>
      <c r="G2656" s="1" t="s">
        <v>33</v>
      </c>
      <c r="H2656" s="1" t="str">
        <f t="shared" si="500"/>
        <v>20220912</v>
      </c>
      <c r="I2656" s="1" t="str">
        <f>"142538"</f>
        <v>142538</v>
      </c>
      <c r="J2656" s="1" t="s">
        <v>28</v>
      </c>
      <c r="K2656" s="1" t="s">
        <v>28</v>
      </c>
      <c r="L2656" s="1" t="str">
        <f t="shared" si="501"/>
        <v>20220912</v>
      </c>
      <c r="M2656" s="1" t="str">
        <f>"144258"</f>
        <v>144258</v>
      </c>
      <c r="N2656" s="1" t="s">
        <v>56</v>
      </c>
      <c r="O2656" s="1" t="s">
        <v>28</v>
      </c>
      <c r="P2656" s="1" t="s">
        <v>55</v>
      </c>
      <c r="Q2656" s="1">
        <v>25</v>
      </c>
      <c r="R2656" s="1">
        <v>0</v>
      </c>
      <c r="S2656" s="1">
        <v>25</v>
      </c>
      <c r="T2656" s="1">
        <v>0</v>
      </c>
      <c r="U2656" s="1">
        <v>0</v>
      </c>
      <c r="V2656" s="1" t="str">
        <f t="shared" si="503"/>
        <v>里程去程</v>
      </c>
      <c r="W2656" s="1" t="str">
        <f>"2120"</f>
        <v>2120</v>
      </c>
      <c r="X2656" s="1" t="s">
        <v>35</v>
      </c>
    </row>
    <row r="2657" spans="1:24" x14ac:dyDescent="0.3">
      <c r="A2657" s="1" t="str">
        <f t="shared" si="498"/>
        <v>59822</v>
      </c>
      <c r="B2657" s="1" t="s">
        <v>39</v>
      </c>
      <c r="C2657" s="1" t="s">
        <v>40</v>
      </c>
      <c r="D2657" s="1" t="str">
        <f t="shared" si="502"/>
        <v>9805</v>
      </c>
      <c r="E2657" s="1" t="s">
        <v>57</v>
      </c>
      <c r="F2657" s="1" t="str">
        <f>"1993259610"</f>
        <v>1993259610</v>
      </c>
      <c r="G2657" s="1" t="s">
        <v>74</v>
      </c>
      <c r="H2657" s="1" t="str">
        <f t="shared" si="500"/>
        <v>20220912</v>
      </c>
      <c r="I2657" s="1" t="str">
        <f>"142623"</f>
        <v>142623</v>
      </c>
      <c r="J2657" s="1" t="s">
        <v>28</v>
      </c>
      <c r="K2657" s="1" t="s">
        <v>28</v>
      </c>
      <c r="L2657" s="1" t="str">
        <f t="shared" si="501"/>
        <v>20220912</v>
      </c>
      <c r="M2657" s="1" t="str">
        <f>"144735"</f>
        <v>144735</v>
      </c>
      <c r="N2657" s="1" t="s">
        <v>52</v>
      </c>
      <c r="O2657" s="1" t="s">
        <v>52</v>
      </c>
      <c r="P2657" s="1" t="s">
        <v>55</v>
      </c>
      <c r="Q2657" s="1">
        <v>13</v>
      </c>
      <c r="R2657" s="1">
        <v>13</v>
      </c>
      <c r="S2657" s="1">
        <v>0</v>
      </c>
      <c r="T2657" s="1">
        <v>0</v>
      </c>
      <c r="U2657" s="1">
        <v>0</v>
      </c>
      <c r="V2657" s="1" t="str">
        <f t="shared" si="503"/>
        <v>里程去程</v>
      </c>
      <c r="W2657" s="1" t="str">
        <f>"0920"</f>
        <v>0920</v>
      </c>
      <c r="X2657" s="1" t="s">
        <v>35</v>
      </c>
    </row>
    <row r="2658" spans="1:24" x14ac:dyDescent="0.3">
      <c r="A2658" s="1" t="str">
        <f t="shared" si="498"/>
        <v>59822</v>
      </c>
      <c r="B2658" s="1" t="s">
        <v>39</v>
      </c>
      <c r="C2658" s="1" t="s">
        <v>40</v>
      </c>
      <c r="D2658" s="1" t="str">
        <f t="shared" si="502"/>
        <v>9805</v>
      </c>
      <c r="E2658" s="1" t="s">
        <v>57</v>
      </c>
      <c r="F2658" s="1" t="str">
        <f>"833270337"</f>
        <v>833270337</v>
      </c>
      <c r="G2658" s="1" t="s">
        <v>33</v>
      </c>
      <c r="H2658" s="1" t="str">
        <f t="shared" si="500"/>
        <v>20220912</v>
      </c>
      <c r="I2658" s="1" t="str">
        <f>"142626"</f>
        <v>142626</v>
      </c>
      <c r="J2658" s="1" t="s">
        <v>28</v>
      </c>
      <c r="K2658" s="1" t="s">
        <v>28</v>
      </c>
      <c r="L2658" s="1" t="str">
        <f t="shared" si="501"/>
        <v>20220912</v>
      </c>
      <c r="M2658" s="1" t="str">
        <f>"144731"</f>
        <v>144731</v>
      </c>
      <c r="N2658" s="1" t="s">
        <v>52</v>
      </c>
      <c r="O2658" s="1" t="s">
        <v>52</v>
      </c>
      <c r="P2658" s="1" t="s">
        <v>55</v>
      </c>
      <c r="Q2658" s="1">
        <v>25</v>
      </c>
      <c r="R2658" s="1">
        <v>25</v>
      </c>
      <c r="S2658" s="1">
        <v>0</v>
      </c>
      <c r="T2658" s="1">
        <v>0</v>
      </c>
      <c r="U2658" s="1">
        <v>0</v>
      </c>
      <c r="V2658" s="1" t="str">
        <f t="shared" si="503"/>
        <v>里程去程</v>
      </c>
      <c r="W2658" s="1" t="str">
        <f>"0920"</f>
        <v>0920</v>
      </c>
      <c r="X2658" s="1" t="s">
        <v>35</v>
      </c>
    </row>
    <row r="2659" spans="1:24" x14ac:dyDescent="0.3">
      <c r="A2659" s="1" t="str">
        <f t="shared" si="498"/>
        <v>59822</v>
      </c>
      <c r="B2659" s="1" t="s">
        <v>39</v>
      </c>
      <c r="C2659" s="1" t="s">
        <v>40</v>
      </c>
      <c r="D2659" s="1" t="str">
        <f t="shared" ref="D2659:D2665" si="504">"9803"</f>
        <v>9803</v>
      </c>
      <c r="E2659" s="1" t="s">
        <v>32</v>
      </c>
      <c r="F2659" s="1" t="str">
        <f>"1769189713"</f>
        <v>1769189713</v>
      </c>
      <c r="G2659" s="1" t="s">
        <v>33</v>
      </c>
      <c r="H2659" s="1" t="str">
        <f t="shared" si="500"/>
        <v>20220912</v>
      </c>
      <c r="I2659" s="1" t="str">
        <f>"151110"</f>
        <v>151110</v>
      </c>
      <c r="J2659" s="1" t="s">
        <v>28</v>
      </c>
      <c r="K2659" s="1" t="s">
        <v>28</v>
      </c>
      <c r="L2659" s="1" t="str">
        <f t="shared" si="501"/>
        <v>20220912</v>
      </c>
      <c r="M2659" s="1" t="str">
        <f>"151137"</f>
        <v>151137</v>
      </c>
      <c r="N2659" s="1" t="s">
        <v>90</v>
      </c>
      <c r="O2659" s="1" t="s">
        <v>28</v>
      </c>
      <c r="P2659" s="1" t="s">
        <v>55</v>
      </c>
      <c r="Q2659" s="1">
        <v>25</v>
      </c>
      <c r="R2659" s="1">
        <v>0</v>
      </c>
      <c r="S2659" s="1">
        <v>25</v>
      </c>
      <c r="T2659" s="1">
        <v>0</v>
      </c>
      <c r="U2659" s="1">
        <v>0</v>
      </c>
      <c r="V2659" s="1" t="str">
        <f t="shared" si="503"/>
        <v>里程去程</v>
      </c>
      <c r="W2659" s="1" t="str">
        <f>"0820"</f>
        <v>0820</v>
      </c>
      <c r="X2659" s="1" t="s">
        <v>35</v>
      </c>
    </row>
    <row r="2660" spans="1:24" x14ac:dyDescent="0.3">
      <c r="A2660" s="1" t="str">
        <f t="shared" si="498"/>
        <v>59822</v>
      </c>
      <c r="B2660" s="1" t="s">
        <v>39</v>
      </c>
      <c r="C2660" s="1" t="s">
        <v>40</v>
      </c>
      <c r="D2660" s="1" t="str">
        <f t="shared" si="504"/>
        <v>9803</v>
      </c>
      <c r="E2660" s="1" t="s">
        <v>32</v>
      </c>
      <c r="F2660" s="1" t="str">
        <f>"1842327157"</f>
        <v>1842327157</v>
      </c>
      <c r="G2660" s="1" t="s">
        <v>33</v>
      </c>
      <c r="H2660" s="1" t="str">
        <f t="shared" si="500"/>
        <v>20220912</v>
      </c>
      <c r="I2660" s="1" t="str">
        <f>"151150"</f>
        <v>151150</v>
      </c>
      <c r="J2660" s="1" t="s">
        <v>41</v>
      </c>
      <c r="K2660" s="1" t="s">
        <v>28</v>
      </c>
      <c r="L2660" s="1" t="str">
        <f t="shared" si="501"/>
        <v>20220912</v>
      </c>
      <c r="M2660" s="1" t="str">
        <f>"152137"</f>
        <v>152137</v>
      </c>
      <c r="N2660" s="1" t="s">
        <v>79</v>
      </c>
      <c r="O2660" s="1" t="s">
        <v>28</v>
      </c>
      <c r="P2660" s="1" t="s">
        <v>55</v>
      </c>
      <c r="Q2660" s="1">
        <v>25</v>
      </c>
      <c r="R2660" s="1">
        <v>25</v>
      </c>
      <c r="S2660" s="1">
        <v>0</v>
      </c>
      <c r="T2660" s="1">
        <v>0</v>
      </c>
      <c r="U2660" s="1">
        <v>0</v>
      </c>
      <c r="V2660" s="1" t="str">
        <f t="shared" si="503"/>
        <v>里程去程</v>
      </c>
      <c r="W2660" s="1" t="str">
        <f>"2120"</f>
        <v>2120</v>
      </c>
      <c r="X2660" s="1" t="s">
        <v>35</v>
      </c>
    </row>
    <row r="2661" spans="1:24" x14ac:dyDescent="0.3">
      <c r="A2661" s="1" t="str">
        <f t="shared" si="498"/>
        <v>59822</v>
      </c>
      <c r="B2661" s="1" t="s">
        <v>39</v>
      </c>
      <c r="C2661" s="1" t="s">
        <v>40</v>
      </c>
      <c r="D2661" s="1" t="str">
        <f t="shared" si="504"/>
        <v>9803</v>
      </c>
      <c r="E2661" s="1" t="s">
        <v>32</v>
      </c>
      <c r="F2661" s="1" t="str">
        <f>"1636928213"</f>
        <v>1636928213</v>
      </c>
      <c r="G2661" s="1" t="s">
        <v>33</v>
      </c>
      <c r="H2661" s="1" t="str">
        <f t="shared" si="500"/>
        <v>20220912</v>
      </c>
      <c r="I2661" s="1" t="str">
        <f>"151155"</f>
        <v>151155</v>
      </c>
      <c r="J2661" s="1" t="s">
        <v>41</v>
      </c>
      <c r="K2661" s="1" t="s">
        <v>28</v>
      </c>
      <c r="L2661" s="1" t="str">
        <f t="shared" si="501"/>
        <v>20220912</v>
      </c>
      <c r="M2661" s="1" t="str">
        <f>"151205"</f>
        <v>151205</v>
      </c>
      <c r="N2661" s="1" t="s">
        <v>90</v>
      </c>
      <c r="O2661" s="1" t="s">
        <v>28</v>
      </c>
      <c r="P2661" s="1" t="s">
        <v>55</v>
      </c>
      <c r="Q2661" s="1">
        <v>25</v>
      </c>
      <c r="R2661" s="1">
        <v>0</v>
      </c>
      <c r="S2661" s="1">
        <v>25</v>
      </c>
      <c r="T2661" s="1">
        <v>0</v>
      </c>
      <c r="U2661" s="1">
        <v>0</v>
      </c>
      <c r="V2661" s="1" t="str">
        <f t="shared" si="503"/>
        <v>里程去程</v>
      </c>
      <c r="W2661" s="1" t="str">
        <f>"0820"</f>
        <v>0820</v>
      </c>
      <c r="X2661" s="1" t="s">
        <v>35</v>
      </c>
    </row>
    <row r="2662" spans="1:24" x14ac:dyDescent="0.3">
      <c r="A2662" s="1" t="str">
        <f t="shared" si="498"/>
        <v>59822</v>
      </c>
      <c r="B2662" s="1" t="s">
        <v>39</v>
      </c>
      <c r="C2662" s="1" t="s">
        <v>40</v>
      </c>
      <c r="D2662" s="1" t="str">
        <f t="shared" si="504"/>
        <v>9803</v>
      </c>
      <c r="E2662" s="1" t="s">
        <v>32</v>
      </c>
      <c r="F2662" s="1" t="str">
        <f>"1775699601"</f>
        <v>1775699601</v>
      </c>
      <c r="G2662" s="1" t="s">
        <v>33</v>
      </c>
      <c r="H2662" s="1" t="str">
        <f t="shared" si="500"/>
        <v>20220912</v>
      </c>
      <c r="I2662" s="1" t="str">
        <f>"151235"</f>
        <v>151235</v>
      </c>
      <c r="J2662" s="1" t="s">
        <v>70</v>
      </c>
      <c r="K2662" s="1" t="s">
        <v>28</v>
      </c>
      <c r="L2662" s="1" t="str">
        <f t="shared" si="501"/>
        <v>20220912</v>
      </c>
      <c r="M2662" s="1" t="str">
        <f>"153147"</f>
        <v>153147</v>
      </c>
      <c r="N2662" s="1" t="s">
        <v>34</v>
      </c>
      <c r="O2662" s="1" t="s">
        <v>34</v>
      </c>
      <c r="P2662" s="1" t="s">
        <v>55</v>
      </c>
      <c r="Q2662" s="1">
        <v>25</v>
      </c>
      <c r="R2662" s="1">
        <v>25</v>
      </c>
      <c r="S2662" s="1">
        <v>0</v>
      </c>
      <c r="T2662" s="1">
        <v>0</v>
      </c>
      <c r="U2662" s="1">
        <v>0</v>
      </c>
      <c r="V2662" s="1" t="str">
        <f t="shared" si="503"/>
        <v>里程去程</v>
      </c>
      <c r="W2662" s="1" t="str">
        <f>"0120"</f>
        <v>0120</v>
      </c>
      <c r="X2662" s="1" t="s">
        <v>35</v>
      </c>
    </row>
    <row r="2663" spans="1:24" x14ac:dyDescent="0.3">
      <c r="A2663" s="1" t="str">
        <f t="shared" si="498"/>
        <v>59822</v>
      </c>
      <c r="B2663" s="1" t="s">
        <v>39</v>
      </c>
      <c r="C2663" s="1" t="s">
        <v>40</v>
      </c>
      <c r="D2663" s="1" t="str">
        <f t="shared" si="504"/>
        <v>9803</v>
      </c>
      <c r="E2663" s="1" t="s">
        <v>32</v>
      </c>
      <c r="F2663" s="1" t="str">
        <f>"734128401"</f>
        <v>734128401</v>
      </c>
      <c r="G2663" s="1" t="s">
        <v>33</v>
      </c>
      <c r="H2663" s="1" t="str">
        <f t="shared" si="500"/>
        <v>20220912</v>
      </c>
      <c r="I2663" s="1" t="str">
        <f>"151237"</f>
        <v>151237</v>
      </c>
      <c r="J2663" s="1" t="s">
        <v>70</v>
      </c>
      <c r="K2663" s="1" t="s">
        <v>28</v>
      </c>
      <c r="L2663" s="1" t="str">
        <f t="shared" si="501"/>
        <v>20220912</v>
      </c>
      <c r="M2663" s="1" t="str">
        <f>"153145"</f>
        <v>153145</v>
      </c>
      <c r="N2663" s="1" t="s">
        <v>34</v>
      </c>
      <c r="O2663" s="1" t="s">
        <v>34</v>
      </c>
      <c r="P2663" s="1" t="s">
        <v>55</v>
      </c>
      <c r="Q2663" s="1">
        <v>25</v>
      </c>
      <c r="R2663" s="1">
        <v>25</v>
      </c>
      <c r="S2663" s="1">
        <v>0</v>
      </c>
      <c r="T2663" s="1">
        <v>0</v>
      </c>
      <c r="U2663" s="1">
        <v>0</v>
      </c>
      <c r="V2663" s="1" t="str">
        <f t="shared" si="503"/>
        <v>里程去程</v>
      </c>
      <c r="W2663" s="1" t="str">
        <f>"0120"</f>
        <v>0120</v>
      </c>
      <c r="X2663" s="1" t="s">
        <v>35</v>
      </c>
    </row>
    <row r="2664" spans="1:24" x14ac:dyDescent="0.3">
      <c r="A2664" s="1" t="str">
        <f t="shared" si="498"/>
        <v>59822</v>
      </c>
      <c r="B2664" s="1" t="s">
        <v>39</v>
      </c>
      <c r="C2664" s="1" t="s">
        <v>40</v>
      </c>
      <c r="D2664" s="1" t="str">
        <f t="shared" si="504"/>
        <v>9803</v>
      </c>
      <c r="E2664" s="1" t="s">
        <v>32</v>
      </c>
      <c r="F2664" s="1" t="str">
        <f>"734128401"</f>
        <v>734128401</v>
      </c>
      <c r="G2664" s="1" t="s">
        <v>33</v>
      </c>
      <c r="H2664" s="1" t="str">
        <f t="shared" si="500"/>
        <v>20220912</v>
      </c>
      <c r="I2664" s="1" t="str">
        <f>"154220"</f>
        <v>154220</v>
      </c>
      <c r="J2664" s="1" t="s">
        <v>34</v>
      </c>
      <c r="K2664" s="1" t="s">
        <v>34</v>
      </c>
      <c r="L2664" s="1" t="str">
        <f t="shared" si="501"/>
        <v>20220912</v>
      </c>
      <c r="M2664" s="1" t="str">
        <f>"154707"</f>
        <v>154707</v>
      </c>
      <c r="N2664" s="1" t="s">
        <v>87</v>
      </c>
      <c r="O2664" s="1" t="s">
        <v>28</v>
      </c>
      <c r="P2664" s="1" t="s">
        <v>55</v>
      </c>
      <c r="Q2664" s="1">
        <v>25</v>
      </c>
      <c r="R2664" s="1">
        <v>25</v>
      </c>
      <c r="S2664" s="1">
        <v>0</v>
      </c>
      <c r="T2664" s="1">
        <v>0</v>
      </c>
      <c r="U2664" s="1">
        <v>0</v>
      </c>
      <c r="V2664" s="1" t="str">
        <f>"里程返程"</f>
        <v>里程返程</v>
      </c>
      <c r="W2664" s="1" t="str">
        <f>"2020"</f>
        <v>2020</v>
      </c>
      <c r="X2664" s="1" t="s">
        <v>35</v>
      </c>
    </row>
    <row r="2665" spans="1:24" x14ac:dyDescent="0.3">
      <c r="A2665" s="1" t="str">
        <f t="shared" si="498"/>
        <v>59822</v>
      </c>
      <c r="B2665" s="1" t="s">
        <v>39</v>
      </c>
      <c r="C2665" s="1" t="s">
        <v>40</v>
      </c>
      <c r="D2665" s="1" t="str">
        <f t="shared" si="504"/>
        <v>9803</v>
      </c>
      <c r="E2665" s="1" t="s">
        <v>32</v>
      </c>
      <c r="F2665" s="1" t="str">
        <f>"1775699601"</f>
        <v>1775699601</v>
      </c>
      <c r="G2665" s="1" t="s">
        <v>33</v>
      </c>
      <c r="H2665" s="1" t="str">
        <f t="shared" si="500"/>
        <v>20220912</v>
      </c>
      <c r="I2665" s="1" t="str">
        <f>"154222"</f>
        <v>154222</v>
      </c>
      <c r="J2665" s="1" t="s">
        <v>34</v>
      </c>
      <c r="K2665" s="1" t="s">
        <v>34</v>
      </c>
      <c r="L2665" s="1" t="str">
        <f t="shared" si="501"/>
        <v>20220912</v>
      </c>
      <c r="M2665" s="1" t="str">
        <f>"154709"</f>
        <v>154709</v>
      </c>
      <c r="N2665" s="1" t="s">
        <v>87</v>
      </c>
      <c r="O2665" s="1" t="s">
        <v>28</v>
      </c>
      <c r="P2665" s="1" t="s">
        <v>55</v>
      </c>
      <c r="Q2665" s="1">
        <v>25</v>
      </c>
      <c r="R2665" s="1">
        <v>25</v>
      </c>
      <c r="S2665" s="1">
        <v>0</v>
      </c>
      <c r="T2665" s="1">
        <v>0</v>
      </c>
      <c r="U2665" s="1">
        <v>0</v>
      </c>
      <c r="V2665" s="1" t="str">
        <f>"里程返程"</f>
        <v>里程返程</v>
      </c>
      <c r="W2665" s="1" t="str">
        <f>"2020"</f>
        <v>2020</v>
      </c>
      <c r="X2665" s="1" t="s">
        <v>35</v>
      </c>
    </row>
    <row r="2666" spans="1:24" x14ac:dyDescent="0.3">
      <c r="A2666" s="1" t="str">
        <f t="shared" si="498"/>
        <v>59822</v>
      </c>
      <c r="B2666" s="1" t="s">
        <v>39</v>
      </c>
      <c r="C2666" s="1" t="s">
        <v>40</v>
      </c>
      <c r="D2666" s="1" t="str">
        <f t="shared" ref="D2666:D2671" si="505">"9806"</f>
        <v>9806</v>
      </c>
      <c r="E2666" s="1" t="s">
        <v>49</v>
      </c>
      <c r="F2666" s="1" t="str">
        <f>"1202E702F5880400C834002000000015"</f>
        <v>1202E702F5880400C834002000000015</v>
      </c>
      <c r="G2666" s="1" t="s">
        <v>74</v>
      </c>
      <c r="H2666" s="1" t="str">
        <f t="shared" si="500"/>
        <v>20220912</v>
      </c>
      <c r="I2666" s="1" t="str">
        <f>"163455"</f>
        <v>163455</v>
      </c>
      <c r="J2666" s="1" t="s">
        <v>76</v>
      </c>
      <c r="K2666" s="1" t="s">
        <v>28</v>
      </c>
      <c r="L2666" s="1" t="str">
        <f t="shared" si="501"/>
        <v>20220912</v>
      </c>
      <c r="M2666" s="1" t="str">
        <f>"164637"</f>
        <v>164637</v>
      </c>
      <c r="N2666" s="1" t="s">
        <v>84</v>
      </c>
      <c r="O2666" s="1" t="s">
        <v>28</v>
      </c>
      <c r="P2666" s="1" t="s">
        <v>68</v>
      </c>
      <c r="Q2666" s="1">
        <v>13</v>
      </c>
      <c r="R2666" s="1">
        <v>0</v>
      </c>
      <c r="S2666" s="1">
        <v>0</v>
      </c>
      <c r="T2666" s="1">
        <v>13</v>
      </c>
      <c r="U2666" s="1">
        <v>0</v>
      </c>
      <c r="V2666" s="1" t="str">
        <f t="shared" ref="V2666:V2674" si="506">"里程去程"</f>
        <v>里程去程</v>
      </c>
      <c r="W2666" s="1" t="str">
        <f>"0020"</f>
        <v>0020</v>
      </c>
      <c r="X2666" s="1" t="s">
        <v>29</v>
      </c>
    </row>
    <row r="2667" spans="1:24" x14ac:dyDescent="0.3">
      <c r="A2667" s="1" t="str">
        <f t="shared" si="498"/>
        <v>59822</v>
      </c>
      <c r="B2667" s="1" t="s">
        <v>39</v>
      </c>
      <c r="C2667" s="1" t="s">
        <v>40</v>
      </c>
      <c r="D2667" s="1" t="str">
        <f t="shared" si="505"/>
        <v>9806</v>
      </c>
      <c r="E2667" s="1" t="s">
        <v>49</v>
      </c>
      <c r="F2667" s="1" t="str">
        <f>"B211E70246880400C834002000000015"</f>
        <v>B211E70246880400C834002000000015</v>
      </c>
      <c r="G2667" s="1" t="s">
        <v>74</v>
      </c>
      <c r="H2667" s="1" t="str">
        <f t="shared" ref="H2667:H2698" si="507">"20220912"</f>
        <v>20220912</v>
      </c>
      <c r="I2667" s="1" t="str">
        <f>"163503"</f>
        <v>163503</v>
      </c>
      <c r="J2667" s="1" t="s">
        <v>76</v>
      </c>
      <c r="K2667" s="1" t="s">
        <v>28</v>
      </c>
      <c r="L2667" s="1" t="str">
        <f t="shared" ref="L2667:L2698" si="508">"20220912"</f>
        <v>20220912</v>
      </c>
      <c r="M2667" s="1" t="str">
        <f>"164633"</f>
        <v>164633</v>
      </c>
      <c r="N2667" s="1" t="s">
        <v>84</v>
      </c>
      <c r="O2667" s="1" t="s">
        <v>28</v>
      </c>
      <c r="P2667" s="1" t="s">
        <v>68</v>
      </c>
      <c r="Q2667" s="1">
        <v>13</v>
      </c>
      <c r="R2667" s="1">
        <v>0</v>
      </c>
      <c r="S2667" s="1">
        <v>0</v>
      </c>
      <c r="T2667" s="1">
        <v>13</v>
      </c>
      <c r="U2667" s="1">
        <v>0</v>
      </c>
      <c r="V2667" s="1" t="str">
        <f t="shared" si="506"/>
        <v>里程去程</v>
      </c>
      <c r="W2667" s="1" t="str">
        <f>"0020"</f>
        <v>0020</v>
      </c>
      <c r="X2667" s="1" t="s">
        <v>29</v>
      </c>
    </row>
    <row r="2668" spans="1:24" x14ac:dyDescent="0.3">
      <c r="A2668" s="1" t="str">
        <f t="shared" si="498"/>
        <v>59822</v>
      </c>
      <c r="B2668" s="1" t="s">
        <v>39</v>
      </c>
      <c r="C2668" s="1" t="s">
        <v>40</v>
      </c>
      <c r="D2668" s="1" t="str">
        <f t="shared" si="505"/>
        <v>9806</v>
      </c>
      <c r="E2668" s="1" t="s">
        <v>49</v>
      </c>
      <c r="F2668" s="1" t="str">
        <f>"22C8DE1B2F880400C822002000000021"</f>
        <v>22C8DE1B2F880400C822002000000021</v>
      </c>
      <c r="G2668" s="1" t="s">
        <v>58</v>
      </c>
      <c r="H2668" s="1" t="str">
        <f t="shared" si="507"/>
        <v>20220912</v>
      </c>
      <c r="I2668" s="1" t="str">
        <f>"163505"</f>
        <v>163505</v>
      </c>
      <c r="J2668" s="1" t="s">
        <v>76</v>
      </c>
      <c r="K2668" s="1" t="s">
        <v>28</v>
      </c>
      <c r="L2668" s="1" t="str">
        <f t="shared" si="508"/>
        <v>20220912</v>
      </c>
      <c r="M2668" s="1" t="str">
        <f>"165016"</f>
        <v>165016</v>
      </c>
      <c r="N2668" s="1" t="s">
        <v>28</v>
      </c>
      <c r="O2668" s="1" t="s">
        <v>28</v>
      </c>
      <c r="P2668" s="1" t="s">
        <v>55</v>
      </c>
      <c r="Q2668" s="1">
        <v>25</v>
      </c>
      <c r="R2668" s="1">
        <v>25</v>
      </c>
      <c r="S2668" s="1">
        <v>0</v>
      </c>
      <c r="T2668" s="1">
        <v>0</v>
      </c>
      <c r="U2668" s="1">
        <v>0</v>
      </c>
      <c r="V2668" s="1" t="str">
        <f t="shared" si="506"/>
        <v>里程去程</v>
      </c>
      <c r="W2668" s="1" t="str">
        <f>"0020"</f>
        <v>0020</v>
      </c>
      <c r="X2668" s="1" t="s">
        <v>29</v>
      </c>
    </row>
    <row r="2669" spans="1:24" x14ac:dyDescent="0.3">
      <c r="A2669" s="1" t="str">
        <f t="shared" si="498"/>
        <v>59822</v>
      </c>
      <c r="B2669" s="1" t="s">
        <v>39</v>
      </c>
      <c r="C2669" s="1" t="s">
        <v>40</v>
      </c>
      <c r="D2669" s="1" t="str">
        <f t="shared" si="505"/>
        <v>9806</v>
      </c>
      <c r="E2669" s="1" t="s">
        <v>49</v>
      </c>
      <c r="F2669" s="1" t="str">
        <f>"538267473"</f>
        <v>538267473</v>
      </c>
      <c r="G2669" s="1" t="s">
        <v>33</v>
      </c>
      <c r="H2669" s="1" t="str">
        <f t="shared" si="507"/>
        <v>20220912</v>
      </c>
      <c r="I2669" s="1" t="str">
        <f>"163511"</f>
        <v>163511</v>
      </c>
      <c r="J2669" s="1" t="s">
        <v>76</v>
      </c>
      <c r="K2669" s="1" t="s">
        <v>28</v>
      </c>
      <c r="L2669" s="1" t="str">
        <f t="shared" si="508"/>
        <v>20220912</v>
      </c>
      <c r="M2669" s="1" t="str">
        <f>"164959"</f>
        <v>164959</v>
      </c>
      <c r="N2669" s="1" t="s">
        <v>28</v>
      </c>
      <c r="O2669" s="1" t="s">
        <v>28</v>
      </c>
      <c r="P2669" s="1" t="s">
        <v>55</v>
      </c>
      <c r="Q2669" s="1">
        <v>25</v>
      </c>
      <c r="R2669" s="1">
        <v>25</v>
      </c>
      <c r="S2669" s="1">
        <v>0</v>
      </c>
      <c r="T2669" s="1">
        <v>0</v>
      </c>
      <c r="U2669" s="1">
        <v>0</v>
      </c>
      <c r="V2669" s="1" t="str">
        <f t="shared" si="506"/>
        <v>里程去程</v>
      </c>
      <c r="W2669" s="1" t="str">
        <f>"2020"</f>
        <v>2020</v>
      </c>
      <c r="X2669" s="1" t="s">
        <v>35</v>
      </c>
    </row>
    <row r="2670" spans="1:24" x14ac:dyDescent="0.3">
      <c r="A2670" s="1" t="str">
        <f t="shared" si="498"/>
        <v>59822</v>
      </c>
      <c r="B2670" s="1" t="s">
        <v>39</v>
      </c>
      <c r="C2670" s="1" t="s">
        <v>40</v>
      </c>
      <c r="D2670" s="1" t="str">
        <f t="shared" si="505"/>
        <v>9806</v>
      </c>
      <c r="E2670" s="1" t="s">
        <v>49</v>
      </c>
      <c r="F2670" s="1" t="str">
        <f>"1695105317"</f>
        <v>1695105317</v>
      </c>
      <c r="G2670" s="1" t="s">
        <v>33</v>
      </c>
      <c r="H2670" s="1" t="str">
        <f t="shared" si="507"/>
        <v>20220912</v>
      </c>
      <c r="I2670" s="1" t="str">
        <f>"163518"</f>
        <v>163518</v>
      </c>
      <c r="J2670" s="1" t="s">
        <v>76</v>
      </c>
      <c r="K2670" s="1" t="s">
        <v>28</v>
      </c>
      <c r="L2670" s="1" t="str">
        <f t="shared" si="508"/>
        <v>20220912</v>
      </c>
      <c r="M2670" s="1" t="str">
        <f>"165007"</f>
        <v>165007</v>
      </c>
      <c r="N2670" s="1" t="s">
        <v>28</v>
      </c>
      <c r="O2670" s="1" t="s">
        <v>28</v>
      </c>
      <c r="P2670" s="1" t="s">
        <v>55</v>
      </c>
      <c r="Q2670" s="1">
        <v>25</v>
      </c>
      <c r="R2670" s="1">
        <v>25</v>
      </c>
      <c r="S2670" s="1">
        <v>0</v>
      </c>
      <c r="T2670" s="1">
        <v>0</v>
      </c>
      <c r="U2670" s="1">
        <v>0</v>
      </c>
      <c r="V2670" s="1" t="str">
        <f t="shared" si="506"/>
        <v>里程去程</v>
      </c>
      <c r="W2670" s="1" t="str">
        <f>"2020"</f>
        <v>2020</v>
      </c>
      <c r="X2670" s="1" t="s">
        <v>35</v>
      </c>
    </row>
    <row r="2671" spans="1:24" x14ac:dyDescent="0.3">
      <c r="A2671" s="1" t="str">
        <f t="shared" si="498"/>
        <v>59822</v>
      </c>
      <c r="B2671" s="1" t="s">
        <v>39</v>
      </c>
      <c r="C2671" s="1" t="s">
        <v>40</v>
      </c>
      <c r="D2671" s="1" t="str">
        <f t="shared" si="505"/>
        <v>9806</v>
      </c>
      <c r="E2671" s="1" t="s">
        <v>49</v>
      </c>
      <c r="F2671" s="1" t="str">
        <f>"652006485"</f>
        <v>652006485</v>
      </c>
      <c r="G2671" s="1" t="s">
        <v>33</v>
      </c>
      <c r="H2671" s="1" t="str">
        <f t="shared" si="507"/>
        <v>20220912</v>
      </c>
      <c r="I2671" s="1" t="str">
        <f>"164212"</f>
        <v>164212</v>
      </c>
      <c r="J2671" s="1" t="s">
        <v>98</v>
      </c>
      <c r="K2671" s="1" t="s">
        <v>28</v>
      </c>
      <c r="L2671" s="1" t="str">
        <f t="shared" si="508"/>
        <v>20220912</v>
      </c>
      <c r="M2671" s="1" t="str">
        <f>"164955"</f>
        <v>164955</v>
      </c>
      <c r="N2671" s="1" t="s">
        <v>28</v>
      </c>
      <c r="O2671" s="1" t="s">
        <v>28</v>
      </c>
      <c r="P2671" s="1" t="s">
        <v>55</v>
      </c>
      <c r="Q2671" s="1">
        <v>25</v>
      </c>
      <c r="R2671" s="1">
        <v>25</v>
      </c>
      <c r="S2671" s="1">
        <v>0</v>
      </c>
      <c r="T2671" s="1">
        <v>0</v>
      </c>
      <c r="U2671" s="1">
        <v>0</v>
      </c>
      <c r="V2671" s="1" t="str">
        <f t="shared" si="506"/>
        <v>里程去程</v>
      </c>
      <c r="W2671" s="1" t="str">
        <f>"2020"</f>
        <v>2020</v>
      </c>
      <c r="X2671" s="1" t="s">
        <v>35</v>
      </c>
    </row>
    <row r="2672" spans="1:24" x14ac:dyDescent="0.3">
      <c r="A2672" s="1" t="str">
        <f t="shared" si="498"/>
        <v>59822</v>
      </c>
      <c r="B2672" s="1" t="s">
        <v>39</v>
      </c>
      <c r="C2672" s="1" t="s">
        <v>40</v>
      </c>
      <c r="D2672" s="1" t="str">
        <f>"9805"</f>
        <v>9805</v>
      </c>
      <c r="E2672" s="1" t="s">
        <v>57</v>
      </c>
      <c r="F2672" s="1" t="str">
        <f>"1008707140"</f>
        <v>1008707140</v>
      </c>
      <c r="G2672" s="1" t="s">
        <v>33</v>
      </c>
      <c r="H2672" s="1" t="str">
        <f t="shared" si="507"/>
        <v>20220912</v>
      </c>
      <c r="I2672" s="1" t="str">
        <f>"165042"</f>
        <v>165042</v>
      </c>
      <c r="J2672" s="1" t="s">
        <v>28</v>
      </c>
      <c r="K2672" s="1" t="s">
        <v>28</v>
      </c>
      <c r="L2672" s="1" t="str">
        <f t="shared" si="508"/>
        <v>20220912</v>
      </c>
      <c r="M2672" s="1" t="str">
        <f>"170213"</f>
        <v>170213</v>
      </c>
      <c r="N2672" s="1" t="s">
        <v>61</v>
      </c>
      <c r="O2672" s="1" t="s">
        <v>28</v>
      </c>
      <c r="P2672" s="1" t="s">
        <v>55</v>
      </c>
      <c r="Q2672" s="1">
        <v>25</v>
      </c>
      <c r="R2672" s="1">
        <v>0</v>
      </c>
      <c r="S2672" s="1">
        <v>25</v>
      </c>
      <c r="T2672" s="1">
        <v>0</v>
      </c>
      <c r="U2672" s="1">
        <v>0</v>
      </c>
      <c r="V2672" s="1" t="str">
        <f t="shared" si="506"/>
        <v>里程去程</v>
      </c>
      <c r="W2672" s="1" t="str">
        <f>"0820"</f>
        <v>0820</v>
      </c>
      <c r="X2672" s="1" t="s">
        <v>35</v>
      </c>
    </row>
    <row r="2673" spans="1:24" x14ac:dyDescent="0.3">
      <c r="A2673" s="1" t="str">
        <f t="shared" si="498"/>
        <v>59822</v>
      </c>
      <c r="B2673" s="1" t="s">
        <v>39</v>
      </c>
      <c r="C2673" s="1" t="s">
        <v>40</v>
      </c>
      <c r="D2673" s="1" t="str">
        <f>"9805"</f>
        <v>9805</v>
      </c>
      <c r="E2673" s="1" t="s">
        <v>57</v>
      </c>
      <c r="F2673" s="1" t="str">
        <f>"123F451B73880400C822002000000021"</f>
        <v>123F451B73880400C822002000000021</v>
      </c>
      <c r="G2673" s="1" t="s">
        <v>64</v>
      </c>
      <c r="H2673" s="1" t="str">
        <f t="shared" si="507"/>
        <v>20220912</v>
      </c>
      <c r="I2673" s="1" t="str">
        <f>"165051"</f>
        <v>165051</v>
      </c>
      <c r="J2673" s="1" t="s">
        <v>28</v>
      </c>
      <c r="K2673" s="1" t="s">
        <v>28</v>
      </c>
      <c r="L2673" s="1" t="str">
        <f t="shared" si="508"/>
        <v>20220912</v>
      </c>
      <c r="M2673" s="1" t="str">
        <f>"170327"</f>
        <v>170327</v>
      </c>
      <c r="N2673" s="1" t="s">
        <v>56</v>
      </c>
      <c r="O2673" s="1" t="s">
        <v>28</v>
      </c>
      <c r="P2673" s="1" t="s">
        <v>55</v>
      </c>
      <c r="Q2673" s="1">
        <v>13</v>
      </c>
      <c r="R2673" s="1">
        <v>0</v>
      </c>
      <c r="S2673" s="1">
        <v>13</v>
      </c>
      <c r="T2673" s="1">
        <v>0</v>
      </c>
      <c r="U2673" s="1">
        <v>0</v>
      </c>
      <c r="V2673" s="1" t="str">
        <f t="shared" si="506"/>
        <v>里程去程</v>
      </c>
      <c r="W2673" s="1" t="str">
        <f>"0620"</f>
        <v>0620</v>
      </c>
      <c r="X2673" s="1" t="s">
        <v>29</v>
      </c>
    </row>
    <row r="2674" spans="1:24" x14ac:dyDescent="0.3">
      <c r="A2674" s="1" t="str">
        <f t="shared" si="498"/>
        <v>59822</v>
      </c>
      <c r="B2674" s="1" t="s">
        <v>39</v>
      </c>
      <c r="C2674" s="1" t="s">
        <v>40</v>
      </c>
      <c r="D2674" s="1" t="str">
        <f>"9805"</f>
        <v>9805</v>
      </c>
      <c r="E2674" s="1" t="s">
        <v>57</v>
      </c>
      <c r="F2674" s="1" t="str">
        <f>"1733805857"</f>
        <v>1733805857</v>
      </c>
      <c r="G2674" s="1" t="s">
        <v>26</v>
      </c>
      <c r="H2674" s="1" t="str">
        <f t="shared" si="507"/>
        <v>20220912</v>
      </c>
      <c r="I2674" s="1" t="str">
        <f>"165101"</f>
        <v>165101</v>
      </c>
      <c r="J2674" s="1" t="s">
        <v>28</v>
      </c>
      <c r="K2674" s="1" t="s">
        <v>28</v>
      </c>
      <c r="L2674" s="1" t="str">
        <f t="shared" si="508"/>
        <v>20220912</v>
      </c>
      <c r="M2674" s="1" t="str">
        <f>"170203"</f>
        <v>170203</v>
      </c>
      <c r="N2674" s="1" t="s">
        <v>61</v>
      </c>
      <c r="O2674" s="1" t="s">
        <v>28</v>
      </c>
      <c r="P2674" s="1" t="s">
        <v>55</v>
      </c>
      <c r="Q2674" s="1">
        <v>13</v>
      </c>
      <c r="R2674" s="1">
        <v>13</v>
      </c>
      <c r="S2674" s="1">
        <v>0</v>
      </c>
      <c r="T2674" s="1">
        <v>0</v>
      </c>
      <c r="U2674" s="1">
        <v>0</v>
      </c>
      <c r="V2674" s="1" t="str">
        <f t="shared" si="506"/>
        <v>里程去程</v>
      </c>
      <c r="W2674" s="1" t="str">
        <f>"0120"</f>
        <v>0120</v>
      </c>
      <c r="X2674" s="1" t="s">
        <v>35</v>
      </c>
    </row>
    <row r="2675" spans="1:24" x14ac:dyDescent="0.3">
      <c r="A2675" s="1" t="str">
        <f t="shared" si="498"/>
        <v>59822</v>
      </c>
      <c r="B2675" s="1" t="s">
        <v>39</v>
      </c>
      <c r="C2675" s="1" t="s">
        <v>40</v>
      </c>
      <c r="D2675" s="1" t="str">
        <f>"9801"</f>
        <v>9801</v>
      </c>
      <c r="E2675" s="1" t="s">
        <v>25</v>
      </c>
      <c r="F2675" s="1" t="str">
        <f>"219489397"</f>
        <v>219489397</v>
      </c>
      <c r="G2675" s="1" t="s">
        <v>33</v>
      </c>
      <c r="H2675" s="1" t="str">
        <f t="shared" si="507"/>
        <v>20220912</v>
      </c>
      <c r="I2675" s="1" t="str">
        <f>"192142"</f>
        <v>192142</v>
      </c>
      <c r="J2675" s="1" t="s">
        <v>28</v>
      </c>
      <c r="K2675" s="1" t="s">
        <v>28</v>
      </c>
      <c r="L2675" s="1" t="str">
        <f t="shared" si="508"/>
        <v>20220912</v>
      </c>
      <c r="M2675" s="1" t="str">
        <f>"194842"</f>
        <v>194842</v>
      </c>
      <c r="N2675" s="1" t="s">
        <v>60</v>
      </c>
      <c r="O2675" s="1" t="s">
        <v>52</v>
      </c>
      <c r="P2675" s="1" t="s">
        <v>55</v>
      </c>
      <c r="Q2675" s="1">
        <v>25</v>
      </c>
      <c r="R2675" s="1">
        <v>0</v>
      </c>
      <c r="S2675" s="1">
        <v>25</v>
      </c>
      <c r="T2675" s="1">
        <v>0</v>
      </c>
      <c r="U2675" s="1">
        <v>0</v>
      </c>
      <c r="V2675" s="1" t="str">
        <f t="shared" ref="V2675:V2683" si="509">"里程返程"</f>
        <v>里程返程</v>
      </c>
      <c r="W2675" s="1" t="str">
        <f>"0820"</f>
        <v>0820</v>
      </c>
      <c r="X2675" s="1" t="s">
        <v>35</v>
      </c>
    </row>
    <row r="2676" spans="1:24" x14ac:dyDescent="0.3">
      <c r="A2676" s="1" t="str">
        <f t="shared" si="498"/>
        <v>59822</v>
      </c>
      <c r="B2676" s="1" t="s">
        <v>39</v>
      </c>
      <c r="C2676" s="1" t="s">
        <v>40</v>
      </c>
      <c r="D2676" s="1" t="str">
        <f>"9801"</f>
        <v>9801</v>
      </c>
      <c r="E2676" s="1" t="s">
        <v>25</v>
      </c>
      <c r="F2676" s="1" t="str">
        <f>"31A14436E22804001C00000000000000"</f>
        <v>31A14436E22804001C00000000000000</v>
      </c>
      <c r="G2676" s="1" t="s">
        <v>58</v>
      </c>
      <c r="H2676" s="1" t="str">
        <f t="shared" si="507"/>
        <v>20220912</v>
      </c>
      <c r="I2676" s="1" t="str">
        <f>"192148"</f>
        <v>192148</v>
      </c>
      <c r="J2676" s="1" t="s">
        <v>28</v>
      </c>
      <c r="K2676" s="1" t="s">
        <v>28</v>
      </c>
      <c r="L2676" s="1" t="str">
        <f t="shared" si="508"/>
        <v>20220912</v>
      </c>
      <c r="M2676" s="1" t="str">
        <f>"194847"</f>
        <v>194847</v>
      </c>
      <c r="N2676" s="1" t="s">
        <v>60</v>
      </c>
      <c r="O2676" s="1" t="s">
        <v>52</v>
      </c>
      <c r="P2676" s="1" t="s">
        <v>55</v>
      </c>
      <c r="Q2676" s="1">
        <v>25</v>
      </c>
      <c r="R2676" s="1">
        <v>0</v>
      </c>
      <c r="S2676" s="1">
        <v>25</v>
      </c>
      <c r="T2676" s="1">
        <v>0</v>
      </c>
      <c r="U2676" s="1">
        <v>0</v>
      </c>
      <c r="V2676" s="1" t="str">
        <f t="shared" si="509"/>
        <v>里程返程</v>
      </c>
      <c r="W2676" s="1" t="str">
        <f>"0620"</f>
        <v>0620</v>
      </c>
      <c r="X2676" s="1" t="s">
        <v>29</v>
      </c>
    </row>
    <row r="2677" spans="1:24" x14ac:dyDescent="0.3">
      <c r="A2677" s="1" t="str">
        <f t="shared" si="498"/>
        <v>59822</v>
      </c>
      <c r="B2677" s="1" t="s">
        <v>39</v>
      </c>
      <c r="C2677" s="1" t="s">
        <v>40</v>
      </c>
      <c r="D2677" s="1" t="str">
        <f>"9801"</f>
        <v>9801</v>
      </c>
      <c r="E2677" s="1" t="s">
        <v>25</v>
      </c>
      <c r="F2677" s="1" t="str">
        <f>"E220D10211880400C834002000000015"</f>
        <v>E220D10211880400C834002000000015</v>
      </c>
      <c r="G2677" s="1" t="s">
        <v>74</v>
      </c>
      <c r="H2677" s="1" t="str">
        <f t="shared" si="507"/>
        <v>20220912</v>
      </c>
      <c r="I2677" s="1" t="str">
        <f>"192155"</f>
        <v>192155</v>
      </c>
      <c r="J2677" s="1" t="s">
        <v>28</v>
      </c>
      <c r="K2677" s="1" t="s">
        <v>28</v>
      </c>
      <c r="L2677" s="1" t="str">
        <f t="shared" si="508"/>
        <v>20220912</v>
      </c>
      <c r="M2677" s="1" t="str">
        <f>"194011"</f>
        <v>194011</v>
      </c>
      <c r="N2677" s="1" t="s">
        <v>80</v>
      </c>
      <c r="O2677" s="1" t="s">
        <v>52</v>
      </c>
      <c r="P2677" s="1" t="s">
        <v>68</v>
      </c>
      <c r="Q2677" s="1">
        <v>13</v>
      </c>
      <c r="R2677" s="1">
        <v>0</v>
      </c>
      <c r="S2677" s="1">
        <v>0</v>
      </c>
      <c r="T2677" s="1">
        <v>13</v>
      </c>
      <c r="U2677" s="1">
        <v>0</v>
      </c>
      <c r="V2677" s="1" t="str">
        <f t="shared" si="509"/>
        <v>里程返程</v>
      </c>
      <c r="W2677" s="1" t="str">
        <f>"0020"</f>
        <v>0020</v>
      </c>
      <c r="X2677" s="1" t="s">
        <v>29</v>
      </c>
    </row>
    <row r="2678" spans="1:24" x14ac:dyDescent="0.3">
      <c r="A2678" s="1" t="str">
        <f t="shared" si="498"/>
        <v>59822</v>
      </c>
      <c r="B2678" s="1" t="s">
        <v>39</v>
      </c>
      <c r="C2678" s="1" t="s">
        <v>40</v>
      </c>
      <c r="D2678" s="1" t="str">
        <f>"9805"</f>
        <v>9805</v>
      </c>
      <c r="E2678" s="1" t="s">
        <v>57</v>
      </c>
      <c r="F2678" s="1" t="str">
        <f>"919474725"</f>
        <v>919474725</v>
      </c>
      <c r="G2678" s="1" t="s">
        <v>33</v>
      </c>
      <c r="H2678" s="1" t="str">
        <f t="shared" si="507"/>
        <v>20220912</v>
      </c>
      <c r="I2678" s="1" t="str">
        <f>"195320"</f>
        <v>195320</v>
      </c>
      <c r="J2678" s="1" t="s">
        <v>52</v>
      </c>
      <c r="K2678" s="1" t="s">
        <v>52</v>
      </c>
      <c r="L2678" s="1" t="str">
        <f t="shared" si="508"/>
        <v>20220912</v>
      </c>
      <c r="M2678" s="1" t="str">
        <f>"201811"</f>
        <v>201811</v>
      </c>
      <c r="N2678" s="1" t="s">
        <v>28</v>
      </c>
      <c r="O2678" s="1" t="s">
        <v>28</v>
      </c>
      <c r="P2678" s="1" t="s">
        <v>55</v>
      </c>
      <c r="Q2678" s="1">
        <v>25</v>
      </c>
      <c r="R2678" s="1">
        <v>25</v>
      </c>
      <c r="S2678" s="1">
        <v>0</v>
      </c>
      <c r="T2678" s="1">
        <v>0</v>
      </c>
      <c r="U2678" s="1">
        <v>0</v>
      </c>
      <c r="V2678" s="1" t="str">
        <f t="shared" si="509"/>
        <v>里程返程</v>
      </c>
      <c r="W2678" s="1" t="str">
        <f>"1c20"</f>
        <v>1c20</v>
      </c>
      <c r="X2678" s="1" t="s">
        <v>35</v>
      </c>
    </row>
    <row r="2679" spans="1:24" x14ac:dyDescent="0.3">
      <c r="A2679" s="1" t="str">
        <f t="shared" ref="A2679:A2697" si="510">"59823"</f>
        <v>59823</v>
      </c>
      <c r="B2679" s="1" t="s">
        <v>36</v>
      </c>
      <c r="C2679" s="1" t="s">
        <v>37</v>
      </c>
      <c r="D2679" s="1" t="str">
        <f t="shared" ref="D2679:D2684" si="511">"9806"</f>
        <v>9806</v>
      </c>
      <c r="E2679" s="1" t="s">
        <v>49</v>
      </c>
      <c r="F2679" s="1" t="str">
        <f>"1754861109"</f>
        <v>1754861109</v>
      </c>
      <c r="G2679" s="1" t="s">
        <v>38</v>
      </c>
      <c r="H2679" s="1" t="str">
        <f t="shared" si="507"/>
        <v>20220912</v>
      </c>
      <c r="I2679" s="1" t="str">
        <f>"065217"</f>
        <v>065217</v>
      </c>
      <c r="J2679" s="1" t="s">
        <v>28</v>
      </c>
      <c r="K2679" s="1" t="s">
        <v>28</v>
      </c>
      <c r="L2679" s="1" t="str">
        <f t="shared" si="508"/>
        <v>20220912</v>
      </c>
      <c r="M2679" s="1" t="str">
        <f>"071248"</f>
        <v>071248</v>
      </c>
      <c r="N2679" s="1" t="s">
        <v>50</v>
      </c>
      <c r="O2679" s="1" t="s">
        <v>50</v>
      </c>
      <c r="P2679" s="1" t="s">
        <v>55</v>
      </c>
      <c r="Q2679" s="1">
        <v>25</v>
      </c>
      <c r="R2679" s="1">
        <v>0</v>
      </c>
      <c r="S2679" s="1">
        <v>25</v>
      </c>
      <c r="T2679" s="1">
        <v>0</v>
      </c>
      <c r="U2679" s="1">
        <v>0</v>
      </c>
      <c r="V2679" s="1" t="str">
        <f t="shared" si="509"/>
        <v>里程返程</v>
      </c>
      <c r="W2679" s="1" t="str">
        <f>"0820"</f>
        <v>0820</v>
      </c>
      <c r="X2679" s="1" t="s">
        <v>35</v>
      </c>
    </row>
    <row r="2680" spans="1:24" x14ac:dyDescent="0.3">
      <c r="A2680" s="1" t="str">
        <f t="shared" si="510"/>
        <v>59823</v>
      </c>
      <c r="B2680" s="1" t="s">
        <v>36</v>
      </c>
      <c r="C2680" s="1" t="s">
        <v>37</v>
      </c>
      <c r="D2680" s="1" t="str">
        <f t="shared" si="511"/>
        <v>9806</v>
      </c>
      <c r="E2680" s="1" t="s">
        <v>49</v>
      </c>
      <c r="F2680" s="1" t="str">
        <f>"1695105317"</f>
        <v>1695105317</v>
      </c>
      <c r="G2680" s="1" t="s">
        <v>33</v>
      </c>
      <c r="H2680" s="1" t="str">
        <f t="shared" si="507"/>
        <v>20220912</v>
      </c>
      <c r="I2680" s="1" t="str">
        <f>"065221"</f>
        <v>065221</v>
      </c>
      <c r="J2680" s="1" t="s">
        <v>28</v>
      </c>
      <c r="K2680" s="1" t="s">
        <v>28</v>
      </c>
      <c r="L2680" s="1" t="str">
        <f t="shared" si="508"/>
        <v>20220912</v>
      </c>
      <c r="M2680" s="1" t="str">
        <f>"070906"</f>
        <v>070906</v>
      </c>
      <c r="N2680" s="1" t="s">
        <v>99</v>
      </c>
      <c r="O2680" s="1" t="s">
        <v>28</v>
      </c>
      <c r="P2680" s="1" t="s">
        <v>55</v>
      </c>
      <c r="Q2680" s="1">
        <v>25</v>
      </c>
      <c r="R2680" s="1">
        <v>0</v>
      </c>
      <c r="S2680" s="1">
        <v>25</v>
      </c>
      <c r="T2680" s="1">
        <v>0</v>
      </c>
      <c r="U2680" s="1">
        <v>0</v>
      </c>
      <c r="V2680" s="1" t="str">
        <f t="shared" si="509"/>
        <v>里程返程</v>
      </c>
      <c r="W2680" s="1" t="str">
        <f>"0820"</f>
        <v>0820</v>
      </c>
      <c r="X2680" s="1" t="s">
        <v>35</v>
      </c>
    </row>
    <row r="2681" spans="1:24" x14ac:dyDescent="0.3">
      <c r="A2681" s="1" t="str">
        <f t="shared" si="510"/>
        <v>59823</v>
      </c>
      <c r="B2681" s="1" t="s">
        <v>36</v>
      </c>
      <c r="C2681" s="1" t="s">
        <v>37</v>
      </c>
      <c r="D2681" s="1" t="str">
        <f t="shared" si="511"/>
        <v>9806</v>
      </c>
      <c r="E2681" s="1" t="s">
        <v>49</v>
      </c>
      <c r="F2681" s="1" t="str">
        <f>"0141330172880400432494C60018080E"</f>
        <v>0141330172880400432494C60018080E</v>
      </c>
      <c r="G2681" s="1" t="s">
        <v>59</v>
      </c>
      <c r="H2681" s="1" t="str">
        <f t="shared" si="507"/>
        <v>20220912</v>
      </c>
      <c r="I2681" s="1" t="str">
        <f>"065226"</f>
        <v>065226</v>
      </c>
      <c r="J2681" s="1" t="s">
        <v>28</v>
      </c>
      <c r="K2681" s="1" t="s">
        <v>28</v>
      </c>
      <c r="L2681" s="1" t="str">
        <f t="shared" si="508"/>
        <v>20220912</v>
      </c>
      <c r="M2681" s="1" t="str">
        <f>"070223"</f>
        <v>070223</v>
      </c>
      <c r="N2681" s="1" t="s">
        <v>63</v>
      </c>
      <c r="O2681" s="1" t="s">
        <v>28</v>
      </c>
      <c r="P2681" s="1" t="s">
        <v>55</v>
      </c>
      <c r="Q2681" s="1">
        <v>25</v>
      </c>
      <c r="R2681" s="1">
        <v>25</v>
      </c>
      <c r="S2681" s="1">
        <v>0</v>
      </c>
      <c r="T2681" s="1">
        <v>0</v>
      </c>
      <c r="U2681" s="1">
        <v>0</v>
      </c>
      <c r="V2681" s="1" t="str">
        <f t="shared" si="509"/>
        <v>里程返程</v>
      </c>
      <c r="W2681" s="1" t="str">
        <f>"0020"</f>
        <v>0020</v>
      </c>
      <c r="X2681" s="1" t="s">
        <v>29</v>
      </c>
    </row>
    <row r="2682" spans="1:24" x14ac:dyDescent="0.3">
      <c r="A2682" s="1" t="str">
        <f t="shared" si="510"/>
        <v>59823</v>
      </c>
      <c r="B2682" s="1" t="s">
        <v>36</v>
      </c>
      <c r="C2682" s="1" t="s">
        <v>37</v>
      </c>
      <c r="D2682" s="1" t="str">
        <f t="shared" si="511"/>
        <v>9806</v>
      </c>
      <c r="E2682" s="1" t="s">
        <v>49</v>
      </c>
      <c r="F2682" s="1" t="str">
        <f>"5294A50063880400C801002000000015"</f>
        <v>5294A50063880400C801002000000015</v>
      </c>
      <c r="G2682" s="1" t="s">
        <v>58</v>
      </c>
      <c r="H2682" s="1" t="str">
        <f t="shared" si="507"/>
        <v>20220912</v>
      </c>
      <c r="I2682" s="1" t="str">
        <f>"065233"</f>
        <v>065233</v>
      </c>
      <c r="J2682" s="1" t="s">
        <v>28</v>
      </c>
      <c r="K2682" s="1" t="s">
        <v>28</v>
      </c>
      <c r="L2682" s="1" t="str">
        <f t="shared" si="508"/>
        <v>20220912</v>
      </c>
      <c r="M2682" s="1" t="str">
        <f>"070904"</f>
        <v>070904</v>
      </c>
      <c r="N2682" s="1" t="s">
        <v>99</v>
      </c>
      <c r="O2682" s="1" t="s">
        <v>28</v>
      </c>
      <c r="P2682" s="1" t="s">
        <v>55</v>
      </c>
      <c r="Q2682" s="1">
        <v>25</v>
      </c>
      <c r="R2682" s="1">
        <v>0</v>
      </c>
      <c r="S2682" s="1">
        <v>25</v>
      </c>
      <c r="T2682" s="1">
        <v>0</v>
      </c>
      <c r="U2682" s="1">
        <v>0</v>
      </c>
      <c r="V2682" s="1" t="str">
        <f t="shared" si="509"/>
        <v>里程返程</v>
      </c>
      <c r="W2682" s="1" t="str">
        <f>"0620"</f>
        <v>0620</v>
      </c>
      <c r="X2682" s="1" t="s">
        <v>29</v>
      </c>
    </row>
    <row r="2683" spans="1:24" x14ac:dyDescent="0.3">
      <c r="A2683" s="1" t="str">
        <f t="shared" si="510"/>
        <v>59823</v>
      </c>
      <c r="B2683" s="1" t="s">
        <v>36</v>
      </c>
      <c r="C2683" s="1" t="s">
        <v>37</v>
      </c>
      <c r="D2683" s="1" t="str">
        <f t="shared" si="511"/>
        <v>9806</v>
      </c>
      <c r="E2683" s="1" t="s">
        <v>49</v>
      </c>
      <c r="F2683" s="1" t="str">
        <f>"B211E70246880400C834002000000015"</f>
        <v>B211E70246880400C834002000000015</v>
      </c>
      <c r="G2683" s="1" t="s">
        <v>74</v>
      </c>
      <c r="H2683" s="1" t="str">
        <f t="shared" si="507"/>
        <v>20220912</v>
      </c>
      <c r="I2683" s="1" t="str">
        <f>"065852"</f>
        <v>065852</v>
      </c>
      <c r="J2683" s="1" t="s">
        <v>101</v>
      </c>
      <c r="K2683" s="1" t="s">
        <v>28</v>
      </c>
      <c r="L2683" s="1" t="str">
        <f t="shared" si="508"/>
        <v>20220912</v>
      </c>
      <c r="M2683" s="1" t="str">
        <f>"070908"</f>
        <v>070908</v>
      </c>
      <c r="N2683" s="1" t="s">
        <v>99</v>
      </c>
      <c r="O2683" s="1" t="s">
        <v>28</v>
      </c>
      <c r="P2683" s="1" t="s">
        <v>68</v>
      </c>
      <c r="Q2683" s="1">
        <v>13</v>
      </c>
      <c r="R2683" s="1">
        <v>0</v>
      </c>
      <c r="S2683" s="1">
        <v>0</v>
      </c>
      <c r="T2683" s="1">
        <v>13</v>
      </c>
      <c r="U2683" s="1">
        <v>0</v>
      </c>
      <c r="V2683" s="1" t="str">
        <f t="shared" si="509"/>
        <v>里程返程</v>
      </c>
      <c r="W2683" s="1" t="str">
        <f>"0020"</f>
        <v>0020</v>
      </c>
      <c r="X2683" s="1" t="s">
        <v>29</v>
      </c>
    </row>
    <row r="2684" spans="1:24" x14ac:dyDescent="0.3">
      <c r="A2684" s="1" t="str">
        <f t="shared" si="510"/>
        <v>59823</v>
      </c>
      <c r="B2684" s="1" t="s">
        <v>36</v>
      </c>
      <c r="C2684" s="1" t="s">
        <v>37</v>
      </c>
      <c r="D2684" s="1" t="str">
        <f t="shared" si="511"/>
        <v>9806</v>
      </c>
      <c r="E2684" s="1" t="s">
        <v>49</v>
      </c>
      <c r="F2684" s="1" t="str">
        <f>"92771C03FA880400C834002000000015"</f>
        <v>92771C03FA880400C834002000000015</v>
      </c>
      <c r="G2684" s="1" t="s">
        <v>74</v>
      </c>
      <c r="H2684" s="1" t="str">
        <f t="shared" si="507"/>
        <v>20220912</v>
      </c>
      <c r="I2684" s="1" t="str">
        <f>"071617"</f>
        <v>071617</v>
      </c>
      <c r="J2684" s="1" t="s">
        <v>107</v>
      </c>
      <c r="K2684" s="1" t="s">
        <v>50</v>
      </c>
      <c r="L2684" s="1" t="str">
        <f t="shared" si="508"/>
        <v>20220912</v>
      </c>
      <c r="M2684" s="1" t="str">
        <f>"073206"</f>
        <v>073206</v>
      </c>
      <c r="N2684" s="1" t="s">
        <v>28</v>
      </c>
      <c r="O2684" s="1" t="s">
        <v>28</v>
      </c>
      <c r="P2684" s="1" t="s">
        <v>68</v>
      </c>
      <c r="Q2684" s="1">
        <v>13</v>
      </c>
      <c r="R2684" s="1">
        <v>0</v>
      </c>
      <c r="S2684" s="1">
        <v>0</v>
      </c>
      <c r="T2684" s="1">
        <v>13</v>
      </c>
      <c r="U2684" s="1">
        <v>0</v>
      </c>
      <c r="V2684" s="1" t="str">
        <f t="shared" ref="V2684:V2691" si="512">"里程去程"</f>
        <v>里程去程</v>
      </c>
      <c r="W2684" s="1" t="str">
        <f>"0020"</f>
        <v>0020</v>
      </c>
      <c r="X2684" s="1" t="s">
        <v>29</v>
      </c>
    </row>
    <row r="2685" spans="1:24" x14ac:dyDescent="0.3">
      <c r="A2685" s="1" t="str">
        <f t="shared" si="510"/>
        <v>59823</v>
      </c>
      <c r="B2685" s="1" t="s">
        <v>36</v>
      </c>
      <c r="C2685" s="1" t="s">
        <v>37</v>
      </c>
      <c r="D2685" s="1" t="str">
        <f t="shared" ref="D2685:D2694" si="513">"9803"</f>
        <v>9803</v>
      </c>
      <c r="E2685" s="1" t="s">
        <v>32</v>
      </c>
      <c r="F2685" s="1" t="str">
        <f>"7111180085004226"</f>
        <v>7111180085004226</v>
      </c>
      <c r="G2685" s="1" t="s">
        <v>33</v>
      </c>
      <c r="H2685" s="1" t="str">
        <f t="shared" si="507"/>
        <v>20220912</v>
      </c>
      <c r="I2685" s="1" t="str">
        <f>"113120"</f>
        <v>113120</v>
      </c>
      <c r="J2685" s="1" t="s">
        <v>28</v>
      </c>
      <c r="K2685" s="1" t="s">
        <v>28</v>
      </c>
      <c r="L2685" s="1" t="str">
        <f t="shared" si="508"/>
        <v>20220912</v>
      </c>
      <c r="M2685" s="1" t="str">
        <f>"113546"</f>
        <v>113546</v>
      </c>
      <c r="N2685" s="1" t="s">
        <v>70</v>
      </c>
      <c r="O2685" s="1" t="s">
        <v>28</v>
      </c>
      <c r="P2685" s="1" t="s">
        <v>55</v>
      </c>
      <c r="Q2685" s="1">
        <v>25</v>
      </c>
      <c r="R2685" s="1">
        <v>25</v>
      </c>
      <c r="S2685" s="1">
        <v>0</v>
      </c>
      <c r="T2685" s="1">
        <v>0</v>
      </c>
      <c r="U2685" s="1">
        <v>0</v>
      </c>
      <c r="V2685" s="1" t="str">
        <f t="shared" si="512"/>
        <v>里程去程</v>
      </c>
      <c r="W2685" s="1" t="str">
        <f>"013B"</f>
        <v>013B</v>
      </c>
      <c r="X2685" s="1" t="s">
        <v>109</v>
      </c>
    </row>
    <row r="2686" spans="1:24" x14ac:dyDescent="0.3">
      <c r="A2686" s="1" t="str">
        <f t="shared" si="510"/>
        <v>59823</v>
      </c>
      <c r="B2686" s="1" t="s">
        <v>36</v>
      </c>
      <c r="C2686" s="1" t="s">
        <v>37</v>
      </c>
      <c r="D2686" s="1" t="str">
        <f t="shared" si="513"/>
        <v>9803</v>
      </c>
      <c r="E2686" s="1" t="s">
        <v>32</v>
      </c>
      <c r="F2686" s="1" t="str">
        <f>"1128516609"</f>
        <v>1128516609</v>
      </c>
      <c r="G2686" s="1" t="s">
        <v>33</v>
      </c>
      <c r="H2686" s="1" t="str">
        <f t="shared" si="507"/>
        <v>20220912</v>
      </c>
      <c r="I2686" s="1" t="str">
        <f>"113124"</f>
        <v>113124</v>
      </c>
      <c r="J2686" s="1" t="s">
        <v>28</v>
      </c>
      <c r="K2686" s="1" t="s">
        <v>28</v>
      </c>
      <c r="L2686" s="1" t="str">
        <f t="shared" si="508"/>
        <v>20220912</v>
      </c>
      <c r="M2686" s="1" t="str">
        <f>"114744"</f>
        <v>114744</v>
      </c>
      <c r="N2686" s="1" t="s">
        <v>93</v>
      </c>
      <c r="O2686" s="1" t="s">
        <v>28</v>
      </c>
      <c r="P2686" s="1" t="s">
        <v>55</v>
      </c>
      <c r="Q2686" s="1">
        <v>25</v>
      </c>
      <c r="R2686" s="1">
        <v>25</v>
      </c>
      <c r="S2686" s="1">
        <v>0</v>
      </c>
      <c r="T2686" s="1">
        <v>0</v>
      </c>
      <c r="U2686" s="1">
        <v>0</v>
      </c>
      <c r="V2686" s="1" t="str">
        <f t="shared" si="512"/>
        <v>里程去程</v>
      </c>
      <c r="W2686" s="1" t="str">
        <f>"0820"</f>
        <v>0820</v>
      </c>
      <c r="X2686" s="1" t="s">
        <v>35</v>
      </c>
    </row>
    <row r="2687" spans="1:24" x14ac:dyDescent="0.3">
      <c r="A2687" s="1" t="str">
        <f t="shared" si="510"/>
        <v>59823</v>
      </c>
      <c r="B2687" s="1" t="s">
        <v>36</v>
      </c>
      <c r="C2687" s="1" t="s">
        <v>37</v>
      </c>
      <c r="D2687" s="1" t="str">
        <f t="shared" si="513"/>
        <v>9803</v>
      </c>
      <c r="E2687" s="1" t="s">
        <v>32</v>
      </c>
      <c r="F2687" s="1" t="str">
        <f>"806837185"</f>
        <v>806837185</v>
      </c>
      <c r="G2687" s="1" t="s">
        <v>33</v>
      </c>
      <c r="H2687" s="1" t="str">
        <f t="shared" si="507"/>
        <v>20220912</v>
      </c>
      <c r="I2687" s="1" t="str">
        <f>"113130"</f>
        <v>113130</v>
      </c>
      <c r="J2687" s="1" t="s">
        <v>28</v>
      </c>
      <c r="K2687" s="1" t="s">
        <v>28</v>
      </c>
      <c r="L2687" s="1" t="str">
        <f t="shared" si="508"/>
        <v>20220912</v>
      </c>
      <c r="M2687" s="1" t="str">
        <f>"114748"</f>
        <v>114748</v>
      </c>
      <c r="N2687" s="1" t="s">
        <v>93</v>
      </c>
      <c r="O2687" s="1" t="s">
        <v>28</v>
      </c>
      <c r="P2687" s="1" t="s">
        <v>55</v>
      </c>
      <c r="Q2687" s="1">
        <v>25</v>
      </c>
      <c r="R2687" s="1">
        <v>25</v>
      </c>
      <c r="S2687" s="1">
        <v>0</v>
      </c>
      <c r="T2687" s="1">
        <v>0</v>
      </c>
      <c r="U2687" s="1">
        <v>0</v>
      </c>
      <c r="V2687" s="1" t="str">
        <f t="shared" si="512"/>
        <v>里程去程</v>
      </c>
      <c r="W2687" s="1" t="str">
        <f>"0820"</f>
        <v>0820</v>
      </c>
      <c r="X2687" s="1" t="s">
        <v>35</v>
      </c>
    </row>
    <row r="2688" spans="1:24" x14ac:dyDescent="0.3">
      <c r="A2688" s="1" t="str">
        <f t="shared" si="510"/>
        <v>59823</v>
      </c>
      <c r="B2688" s="1" t="s">
        <v>36</v>
      </c>
      <c r="C2688" s="1" t="s">
        <v>37</v>
      </c>
      <c r="D2688" s="1" t="str">
        <f t="shared" si="513"/>
        <v>9803</v>
      </c>
      <c r="E2688" s="1" t="s">
        <v>32</v>
      </c>
      <c r="F2688" s="1" t="str">
        <f>"1739076227"</f>
        <v>1739076227</v>
      </c>
      <c r="G2688" s="1" t="s">
        <v>33</v>
      </c>
      <c r="H2688" s="1" t="str">
        <f t="shared" si="507"/>
        <v>20220912</v>
      </c>
      <c r="I2688" s="1" t="str">
        <f>"113136"</f>
        <v>113136</v>
      </c>
      <c r="J2688" s="1" t="s">
        <v>28</v>
      </c>
      <c r="K2688" s="1" t="s">
        <v>28</v>
      </c>
      <c r="L2688" s="1" t="str">
        <f t="shared" si="508"/>
        <v>20220912</v>
      </c>
      <c r="M2688" s="1" t="str">
        <f>"115018"</f>
        <v>115018</v>
      </c>
      <c r="N2688" s="1" t="s">
        <v>34</v>
      </c>
      <c r="O2688" s="1" t="s">
        <v>34</v>
      </c>
      <c r="P2688" s="1" t="s">
        <v>55</v>
      </c>
      <c r="Q2688" s="1">
        <v>25</v>
      </c>
      <c r="R2688" s="1">
        <v>25</v>
      </c>
      <c r="S2688" s="1">
        <v>0</v>
      </c>
      <c r="T2688" s="1">
        <v>0</v>
      </c>
      <c r="U2688" s="1">
        <v>0</v>
      </c>
      <c r="V2688" s="1" t="str">
        <f t="shared" si="512"/>
        <v>里程去程</v>
      </c>
      <c r="W2688" s="1" t="str">
        <f>"0120"</f>
        <v>0120</v>
      </c>
      <c r="X2688" s="1" t="s">
        <v>35</v>
      </c>
    </row>
    <row r="2689" spans="1:24" x14ac:dyDescent="0.3">
      <c r="A2689" s="1" t="str">
        <f t="shared" si="510"/>
        <v>59823</v>
      </c>
      <c r="B2689" s="1" t="s">
        <v>36</v>
      </c>
      <c r="C2689" s="1" t="s">
        <v>37</v>
      </c>
      <c r="D2689" s="1" t="str">
        <f t="shared" si="513"/>
        <v>9803</v>
      </c>
      <c r="E2689" s="1" t="s">
        <v>32</v>
      </c>
      <c r="F2689" s="1" t="str">
        <f>"1878162449"</f>
        <v>1878162449</v>
      </c>
      <c r="G2689" s="1" t="s">
        <v>33</v>
      </c>
      <c r="H2689" s="1" t="str">
        <f t="shared" si="507"/>
        <v>20220912</v>
      </c>
      <c r="I2689" s="1" t="str">
        <f>"113142"</f>
        <v>113142</v>
      </c>
      <c r="J2689" s="1" t="s">
        <v>28</v>
      </c>
      <c r="K2689" s="1" t="s">
        <v>28</v>
      </c>
      <c r="L2689" s="1" t="str">
        <f t="shared" si="508"/>
        <v>20220912</v>
      </c>
      <c r="M2689" s="1" t="str">
        <f>"115025"</f>
        <v>115025</v>
      </c>
      <c r="N2689" s="1" t="s">
        <v>34</v>
      </c>
      <c r="O2689" s="1" t="s">
        <v>34</v>
      </c>
      <c r="P2689" s="1" t="s">
        <v>55</v>
      </c>
      <c r="Q2689" s="1">
        <v>25</v>
      </c>
      <c r="R2689" s="1">
        <v>25</v>
      </c>
      <c r="S2689" s="1">
        <v>0</v>
      </c>
      <c r="T2689" s="1">
        <v>0</v>
      </c>
      <c r="U2689" s="1">
        <v>0</v>
      </c>
      <c r="V2689" s="1" t="str">
        <f t="shared" si="512"/>
        <v>里程去程</v>
      </c>
      <c r="W2689" s="1" t="str">
        <f>"0120"</f>
        <v>0120</v>
      </c>
      <c r="X2689" s="1" t="s">
        <v>35</v>
      </c>
    </row>
    <row r="2690" spans="1:24" x14ac:dyDescent="0.3">
      <c r="A2690" s="1" t="str">
        <f t="shared" si="510"/>
        <v>59823</v>
      </c>
      <c r="B2690" s="1" t="s">
        <v>36</v>
      </c>
      <c r="C2690" s="1" t="s">
        <v>37</v>
      </c>
      <c r="D2690" s="1" t="str">
        <f t="shared" si="513"/>
        <v>9803</v>
      </c>
      <c r="E2690" s="1" t="s">
        <v>32</v>
      </c>
      <c r="F2690" s="1" t="str">
        <f>"1783806229"</f>
        <v>1783806229</v>
      </c>
      <c r="G2690" s="1" t="s">
        <v>33</v>
      </c>
      <c r="H2690" s="1" t="str">
        <f t="shared" si="507"/>
        <v>20220912</v>
      </c>
      <c r="I2690" s="1" t="str">
        <f>"113147"</f>
        <v>113147</v>
      </c>
      <c r="J2690" s="1" t="s">
        <v>28</v>
      </c>
      <c r="K2690" s="1" t="s">
        <v>28</v>
      </c>
      <c r="L2690" s="1" t="str">
        <f t="shared" si="508"/>
        <v>20220912</v>
      </c>
      <c r="M2690" s="1" t="str">
        <f>"115218"</f>
        <v>115218</v>
      </c>
      <c r="N2690" s="1" t="s">
        <v>34</v>
      </c>
      <c r="O2690" s="1" t="s">
        <v>34</v>
      </c>
      <c r="P2690" s="1" t="s">
        <v>55</v>
      </c>
      <c r="Q2690" s="1">
        <v>25</v>
      </c>
      <c r="R2690" s="1">
        <v>25</v>
      </c>
      <c r="S2690" s="1">
        <v>0</v>
      </c>
      <c r="T2690" s="1">
        <v>0</v>
      </c>
      <c r="U2690" s="1">
        <v>0</v>
      </c>
      <c r="V2690" s="1" t="str">
        <f t="shared" si="512"/>
        <v>里程去程</v>
      </c>
      <c r="W2690" s="1" t="str">
        <f>"2020"</f>
        <v>2020</v>
      </c>
      <c r="X2690" s="1" t="s">
        <v>35</v>
      </c>
    </row>
    <row r="2691" spans="1:24" x14ac:dyDescent="0.3">
      <c r="A2691" s="1" t="str">
        <f t="shared" si="510"/>
        <v>59823</v>
      </c>
      <c r="B2691" s="1" t="s">
        <v>36</v>
      </c>
      <c r="C2691" s="1" t="s">
        <v>37</v>
      </c>
      <c r="D2691" s="1" t="str">
        <f t="shared" si="513"/>
        <v>9803</v>
      </c>
      <c r="E2691" s="1" t="s">
        <v>32</v>
      </c>
      <c r="F2691" s="1" t="str">
        <f>"585413487"</f>
        <v>585413487</v>
      </c>
      <c r="G2691" s="1" t="s">
        <v>33</v>
      </c>
      <c r="H2691" s="1" t="str">
        <f t="shared" si="507"/>
        <v>20220912</v>
      </c>
      <c r="I2691" s="1" t="str">
        <f>"113157"</f>
        <v>113157</v>
      </c>
      <c r="J2691" s="1" t="s">
        <v>28</v>
      </c>
      <c r="K2691" s="1" t="s">
        <v>28</v>
      </c>
      <c r="L2691" s="1" t="str">
        <f t="shared" si="508"/>
        <v>20220912</v>
      </c>
      <c r="M2691" s="1" t="str">
        <f>"115134"</f>
        <v>115134</v>
      </c>
      <c r="N2691" s="1" t="s">
        <v>34</v>
      </c>
      <c r="O2691" s="1" t="s">
        <v>34</v>
      </c>
      <c r="P2691" s="1" t="s">
        <v>55</v>
      </c>
      <c r="Q2691" s="1">
        <v>25</v>
      </c>
      <c r="R2691" s="1">
        <v>25</v>
      </c>
      <c r="S2691" s="1">
        <v>0</v>
      </c>
      <c r="T2691" s="1">
        <v>0</v>
      </c>
      <c r="U2691" s="1">
        <v>0</v>
      </c>
      <c r="V2691" s="1" t="str">
        <f t="shared" si="512"/>
        <v>里程去程</v>
      </c>
      <c r="W2691" s="1" t="str">
        <f>"2020"</f>
        <v>2020</v>
      </c>
      <c r="X2691" s="1" t="s">
        <v>35</v>
      </c>
    </row>
    <row r="2692" spans="1:24" x14ac:dyDescent="0.3">
      <c r="A2692" s="1" t="str">
        <f t="shared" si="510"/>
        <v>59823</v>
      </c>
      <c r="B2692" s="1" t="s">
        <v>36</v>
      </c>
      <c r="C2692" s="1" t="s">
        <v>37</v>
      </c>
      <c r="D2692" s="1" t="str">
        <f t="shared" si="513"/>
        <v>9803</v>
      </c>
      <c r="E2692" s="1" t="s">
        <v>32</v>
      </c>
      <c r="F2692" s="1" t="str">
        <f>"1709069061"</f>
        <v>1709069061</v>
      </c>
      <c r="G2692" s="1" t="s">
        <v>33</v>
      </c>
      <c r="H2692" s="1" t="str">
        <f t="shared" si="507"/>
        <v>20220912</v>
      </c>
      <c r="I2692" s="1" t="str">
        <f>"160617"</f>
        <v>160617</v>
      </c>
      <c r="J2692" s="1" t="s">
        <v>34</v>
      </c>
      <c r="K2692" s="1" t="s">
        <v>34</v>
      </c>
      <c r="L2692" s="1" t="str">
        <f t="shared" si="508"/>
        <v>20220912</v>
      </c>
      <c r="M2692" s="1" t="str">
        <f>"162322"</f>
        <v>162322</v>
      </c>
      <c r="N2692" s="1" t="s">
        <v>46</v>
      </c>
      <c r="O2692" s="1" t="s">
        <v>28</v>
      </c>
      <c r="P2692" s="1" t="s">
        <v>55</v>
      </c>
      <c r="Q2692" s="1">
        <v>25</v>
      </c>
      <c r="R2692" s="1">
        <v>25</v>
      </c>
      <c r="S2692" s="1">
        <v>0</v>
      </c>
      <c r="T2692" s="1">
        <v>0</v>
      </c>
      <c r="U2692" s="1">
        <v>0</v>
      </c>
      <c r="V2692" s="1" t="str">
        <f>"里程返程"</f>
        <v>里程返程</v>
      </c>
      <c r="W2692" s="1" t="str">
        <f>"2020"</f>
        <v>2020</v>
      </c>
      <c r="X2692" s="1" t="s">
        <v>35</v>
      </c>
    </row>
    <row r="2693" spans="1:24" x14ac:dyDescent="0.3">
      <c r="A2693" s="1" t="str">
        <f t="shared" si="510"/>
        <v>59823</v>
      </c>
      <c r="B2693" s="1" t="s">
        <v>36</v>
      </c>
      <c r="C2693" s="1" t="s">
        <v>37</v>
      </c>
      <c r="D2693" s="1" t="str">
        <f t="shared" si="513"/>
        <v>9803</v>
      </c>
      <c r="E2693" s="1" t="s">
        <v>32</v>
      </c>
      <c r="F2693" s="1" t="str">
        <f>"1259316341"</f>
        <v>1259316341</v>
      </c>
      <c r="G2693" s="1" t="s">
        <v>33</v>
      </c>
      <c r="H2693" s="1" t="str">
        <f t="shared" si="507"/>
        <v>20220912</v>
      </c>
      <c r="I2693" s="1" t="str">
        <f>"163947"</f>
        <v>163947</v>
      </c>
      <c r="J2693" s="1" t="s">
        <v>28</v>
      </c>
      <c r="K2693" s="1" t="s">
        <v>28</v>
      </c>
      <c r="L2693" s="1" t="str">
        <f t="shared" si="508"/>
        <v>20220912</v>
      </c>
      <c r="M2693" s="1" t="str">
        <f>"165142"</f>
        <v>165142</v>
      </c>
      <c r="N2693" s="1" t="s">
        <v>46</v>
      </c>
      <c r="O2693" s="1" t="s">
        <v>28</v>
      </c>
      <c r="P2693" s="1" t="s">
        <v>55</v>
      </c>
      <c r="Q2693" s="1">
        <v>25</v>
      </c>
      <c r="R2693" s="1">
        <v>25</v>
      </c>
      <c r="S2693" s="1">
        <v>0</v>
      </c>
      <c r="T2693" s="1">
        <v>0</v>
      </c>
      <c r="U2693" s="1">
        <v>0</v>
      </c>
      <c r="V2693" s="1" t="str">
        <f>"里程去程"</f>
        <v>里程去程</v>
      </c>
      <c r="W2693" s="1" t="str">
        <f>"0120"</f>
        <v>0120</v>
      </c>
      <c r="X2693" s="1" t="s">
        <v>35</v>
      </c>
    </row>
    <row r="2694" spans="1:24" x14ac:dyDescent="0.3">
      <c r="A2694" s="1" t="str">
        <f t="shared" si="510"/>
        <v>59823</v>
      </c>
      <c r="B2694" s="1" t="s">
        <v>36</v>
      </c>
      <c r="C2694" s="1" t="s">
        <v>37</v>
      </c>
      <c r="D2694" s="1" t="str">
        <f t="shared" si="513"/>
        <v>9803</v>
      </c>
      <c r="E2694" s="1" t="s">
        <v>32</v>
      </c>
      <c r="F2694" s="1" t="str">
        <f>"906104817"</f>
        <v>906104817</v>
      </c>
      <c r="G2694" s="1" t="s">
        <v>33</v>
      </c>
      <c r="H2694" s="1" t="str">
        <f t="shared" si="507"/>
        <v>20220912</v>
      </c>
      <c r="I2694" s="1" t="str">
        <f>"164141"</f>
        <v>164141</v>
      </c>
      <c r="J2694" s="1" t="s">
        <v>28</v>
      </c>
      <c r="K2694" s="1" t="s">
        <v>28</v>
      </c>
      <c r="L2694" s="1" t="str">
        <f t="shared" si="508"/>
        <v>20220912</v>
      </c>
      <c r="M2694" s="1" t="str">
        <f>"165001"</f>
        <v>165001</v>
      </c>
      <c r="N2694" s="1" t="s">
        <v>79</v>
      </c>
      <c r="O2694" s="1" t="s">
        <v>28</v>
      </c>
      <c r="P2694" s="1" t="s">
        <v>55</v>
      </c>
      <c r="Q2694" s="1">
        <v>25</v>
      </c>
      <c r="R2694" s="1">
        <v>0</v>
      </c>
      <c r="S2694" s="1">
        <v>25</v>
      </c>
      <c r="T2694" s="1">
        <v>0</v>
      </c>
      <c r="U2694" s="1">
        <v>0</v>
      </c>
      <c r="V2694" s="1" t="str">
        <f>"里程去程"</f>
        <v>里程去程</v>
      </c>
      <c r="W2694" s="1" t="str">
        <f>"2120"</f>
        <v>2120</v>
      </c>
      <c r="X2694" s="1" t="s">
        <v>35</v>
      </c>
    </row>
    <row r="2695" spans="1:24" x14ac:dyDescent="0.3">
      <c r="A2695" s="1" t="str">
        <f t="shared" si="510"/>
        <v>59823</v>
      </c>
      <c r="B2695" s="1" t="s">
        <v>36</v>
      </c>
      <c r="C2695" s="1" t="s">
        <v>37</v>
      </c>
      <c r="D2695" s="1" t="str">
        <f>"9805"</f>
        <v>9805</v>
      </c>
      <c r="E2695" s="1" t="s">
        <v>57</v>
      </c>
      <c r="F2695" s="1" t="str">
        <f>"1092211217"</f>
        <v>1092211217</v>
      </c>
      <c r="G2695" s="1" t="s">
        <v>33</v>
      </c>
      <c r="H2695" s="1" t="str">
        <f t="shared" si="507"/>
        <v>20220912</v>
      </c>
      <c r="I2695" s="1" t="str">
        <f>"181728"</f>
        <v>181728</v>
      </c>
      <c r="J2695" s="1" t="s">
        <v>52</v>
      </c>
      <c r="K2695" s="1" t="s">
        <v>52</v>
      </c>
      <c r="L2695" s="1" t="str">
        <f t="shared" si="508"/>
        <v>20220912</v>
      </c>
      <c r="M2695" s="1" t="str">
        <f>"183844"</f>
        <v>183844</v>
      </c>
      <c r="N2695" s="1" t="s">
        <v>28</v>
      </c>
      <c r="O2695" s="1" t="s">
        <v>28</v>
      </c>
      <c r="P2695" s="1" t="s">
        <v>55</v>
      </c>
      <c r="Q2695" s="1">
        <v>25</v>
      </c>
      <c r="R2695" s="1">
        <v>25</v>
      </c>
      <c r="S2695" s="1">
        <v>0</v>
      </c>
      <c r="T2695" s="1">
        <v>0</v>
      </c>
      <c r="U2695" s="1">
        <v>0</v>
      </c>
      <c r="V2695" s="1" t="str">
        <f t="shared" ref="V2695:V2706" si="514">"里程返程"</f>
        <v>里程返程</v>
      </c>
      <c r="W2695" s="1" t="str">
        <f>"2020"</f>
        <v>2020</v>
      </c>
      <c r="X2695" s="1" t="s">
        <v>35</v>
      </c>
    </row>
    <row r="2696" spans="1:24" x14ac:dyDescent="0.3">
      <c r="A2696" s="1" t="str">
        <f t="shared" si="510"/>
        <v>59823</v>
      </c>
      <c r="B2696" s="1" t="s">
        <v>36</v>
      </c>
      <c r="C2696" s="1" t="s">
        <v>37</v>
      </c>
      <c r="D2696" s="1" t="str">
        <f>"9805"</f>
        <v>9805</v>
      </c>
      <c r="E2696" s="1" t="s">
        <v>57</v>
      </c>
      <c r="F2696" s="1" t="str">
        <f>"1842327157"</f>
        <v>1842327157</v>
      </c>
      <c r="G2696" s="1" t="s">
        <v>33</v>
      </c>
      <c r="H2696" s="1" t="str">
        <f t="shared" si="507"/>
        <v>20220912</v>
      </c>
      <c r="I2696" s="1" t="str">
        <f>"181823"</f>
        <v>181823</v>
      </c>
      <c r="J2696" s="1" t="s">
        <v>52</v>
      </c>
      <c r="K2696" s="1" t="s">
        <v>52</v>
      </c>
      <c r="L2696" s="1" t="str">
        <f t="shared" si="508"/>
        <v>20220912</v>
      </c>
      <c r="M2696" s="1" t="str">
        <f>"183841"</f>
        <v>183841</v>
      </c>
      <c r="N2696" s="1" t="s">
        <v>28</v>
      </c>
      <c r="O2696" s="1" t="s">
        <v>28</v>
      </c>
      <c r="P2696" s="1" t="s">
        <v>55</v>
      </c>
      <c r="Q2696" s="1">
        <v>25</v>
      </c>
      <c r="R2696" s="1">
        <v>0</v>
      </c>
      <c r="S2696" s="1">
        <v>25</v>
      </c>
      <c r="T2696" s="1">
        <v>0</v>
      </c>
      <c r="U2696" s="1">
        <v>0</v>
      </c>
      <c r="V2696" s="1" t="str">
        <f t="shared" si="514"/>
        <v>里程返程</v>
      </c>
      <c r="W2696" s="1" t="str">
        <f>"2020"</f>
        <v>2020</v>
      </c>
      <c r="X2696" s="1" t="s">
        <v>35</v>
      </c>
    </row>
    <row r="2697" spans="1:24" x14ac:dyDescent="0.3">
      <c r="A2697" s="1" t="str">
        <f t="shared" si="510"/>
        <v>59823</v>
      </c>
      <c r="B2697" s="1" t="s">
        <v>36</v>
      </c>
      <c r="C2697" s="1" t="s">
        <v>37</v>
      </c>
      <c r="D2697" s="1" t="str">
        <f>"9805"</f>
        <v>9805</v>
      </c>
      <c r="E2697" s="1" t="s">
        <v>57</v>
      </c>
      <c r="F2697" s="1" t="str">
        <f>"92DCF009B7880400C810002000000016"</f>
        <v>92DCF009B7880400C810002000000016</v>
      </c>
      <c r="G2697" s="1" t="s">
        <v>59</v>
      </c>
      <c r="H2697" s="1" t="str">
        <f t="shared" si="507"/>
        <v>20220912</v>
      </c>
      <c r="I2697" s="1" t="str">
        <f>"182549"</f>
        <v>182549</v>
      </c>
      <c r="J2697" s="1" t="s">
        <v>62</v>
      </c>
      <c r="K2697" s="1" t="s">
        <v>28</v>
      </c>
      <c r="L2697" s="1" t="str">
        <f t="shared" si="508"/>
        <v>20220912</v>
      </c>
      <c r="M2697" s="1" t="str">
        <f>"183838"</f>
        <v>183838</v>
      </c>
      <c r="N2697" s="1" t="s">
        <v>28</v>
      </c>
      <c r="O2697" s="1" t="s">
        <v>28</v>
      </c>
      <c r="P2697" s="1" t="s">
        <v>55</v>
      </c>
      <c r="Q2697" s="1">
        <v>25</v>
      </c>
      <c r="R2697" s="1">
        <v>0</v>
      </c>
      <c r="S2697" s="1">
        <v>25</v>
      </c>
      <c r="T2697" s="1">
        <v>0</v>
      </c>
      <c r="U2697" s="1">
        <v>0</v>
      </c>
      <c r="V2697" s="1" t="str">
        <f t="shared" si="514"/>
        <v>里程返程</v>
      </c>
      <c r="W2697" s="1" t="str">
        <f>"2020"</f>
        <v>2020</v>
      </c>
      <c r="X2697" s="1" t="s">
        <v>29</v>
      </c>
    </row>
    <row r="2698" spans="1:24" x14ac:dyDescent="0.3">
      <c r="A2698" s="1" t="str">
        <f t="shared" ref="A2698:A2737" si="515">"59828"</f>
        <v>59828</v>
      </c>
      <c r="B2698" s="1" t="s">
        <v>23</v>
      </c>
      <c r="C2698" s="1" t="s">
        <v>24</v>
      </c>
      <c r="D2698" s="1" t="str">
        <f t="shared" ref="D2698:D2737" si="516">"9801"</f>
        <v>9801</v>
      </c>
      <c r="E2698" s="1" t="s">
        <v>25</v>
      </c>
      <c r="F2698" s="1" t="str">
        <f>"1752749445"</f>
        <v>1752749445</v>
      </c>
      <c r="G2698" s="1" t="s">
        <v>33</v>
      </c>
      <c r="H2698" s="1" t="str">
        <f t="shared" si="507"/>
        <v>20220912</v>
      </c>
      <c r="I2698" s="1" t="str">
        <f>"063155"</f>
        <v>063155</v>
      </c>
      <c r="J2698" s="1" t="s">
        <v>28</v>
      </c>
      <c r="K2698" s="1" t="s">
        <v>28</v>
      </c>
      <c r="L2698" s="1" t="str">
        <f t="shared" si="508"/>
        <v>20220912</v>
      </c>
      <c r="M2698" s="1" t="str">
        <f>"065412"</f>
        <v>065412</v>
      </c>
      <c r="N2698" s="1" t="s">
        <v>72</v>
      </c>
      <c r="O2698" s="1" t="s">
        <v>52</v>
      </c>
      <c r="P2698" s="1" t="s">
        <v>55</v>
      </c>
      <c r="Q2698" s="1">
        <v>25</v>
      </c>
      <c r="R2698" s="1">
        <v>0</v>
      </c>
      <c r="S2698" s="1">
        <v>25</v>
      </c>
      <c r="T2698" s="1">
        <v>0</v>
      </c>
      <c r="U2698" s="1">
        <v>0</v>
      </c>
      <c r="V2698" s="1" t="str">
        <f t="shared" si="514"/>
        <v>里程返程</v>
      </c>
      <c r="W2698" s="1" t="str">
        <f>"0820"</f>
        <v>0820</v>
      </c>
      <c r="X2698" s="1" t="s">
        <v>35</v>
      </c>
    </row>
    <row r="2699" spans="1:24" x14ac:dyDescent="0.3">
      <c r="A2699" s="1" t="str">
        <f t="shared" si="515"/>
        <v>59828</v>
      </c>
      <c r="B2699" s="1" t="s">
        <v>23</v>
      </c>
      <c r="C2699" s="1" t="s">
        <v>24</v>
      </c>
      <c r="D2699" s="1" t="str">
        <f t="shared" si="516"/>
        <v>9801</v>
      </c>
      <c r="E2699" s="1" t="s">
        <v>25</v>
      </c>
      <c r="F2699" s="1" t="str">
        <f>"619F1761882804001C00000000000000"</f>
        <v>619F1761882804001C00000000000000</v>
      </c>
      <c r="G2699" s="1" t="s">
        <v>58</v>
      </c>
      <c r="H2699" s="1" t="str">
        <f t="shared" ref="H2699:H2730" si="517">"20220912"</f>
        <v>20220912</v>
      </c>
      <c r="I2699" s="1" t="str">
        <f>"063200"</f>
        <v>063200</v>
      </c>
      <c r="J2699" s="1" t="s">
        <v>28</v>
      </c>
      <c r="K2699" s="1" t="s">
        <v>28</v>
      </c>
      <c r="L2699" s="1" t="str">
        <f t="shared" ref="L2699:L2730" si="518">"20220912"</f>
        <v>20220912</v>
      </c>
      <c r="M2699" s="1" t="str">
        <f>"065321"</f>
        <v>065321</v>
      </c>
      <c r="N2699" s="1" t="s">
        <v>65</v>
      </c>
      <c r="O2699" s="1" t="s">
        <v>52</v>
      </c>
      <c r="P2699" s="1" t="s">
        <v>55</v>
      </c>
      <c r="Q2699" s="1">
        <v>25</v>
      </c>
      <c r="R2699" s="1">
        <v>0</v>
      </c>
      <c r="S2699" s="1">
        <v>25</v>
      </c>
      <c r="T2699" s="1">
        <v>0</v>
      </c>
      <c r="U2699" s="1">
        <v>0</v>
      </c>
      <c r="V2699" s="1" t="str">
        <f t="shared" si="514"/>
        <v>里程返程</v>
      </c>
      <c r="W2699" s="1" t="str">
        <f>"0620"</f>
        <v>0620</v>
      </c>
      <c r="X2699" s="1" t="s">
        <v>29</v>
      </c>
    </row>
    <row r="2700" spans="1:24" x14ac:dyDescent="0.3">
      <c r="A2700" s="1" t="str">
        <f t="shared" si="515"/>
        <v>59828</v>
      </c>
      <c r="B2700" s="1" t="s">
        <v>23</v>
      </c>
      <c r="C2700" s="1" t="s">
        <v>24</v>
      </c>
      <c r="D2700" s="1" t="str">
        <f t="shared" si="516"/>
        <v>9801</v>
      </c>
      <c r="E2700" s="1" t="s">
        <v>25</v>
      </c>
      <c r="F2700" s="1" t="str">
        <f>"269636433"</f>
        <v>269636433</v>
      </c>
      <c r="G2700" s="1" t="s">
        <v>33</v>
      </c>
      <c r="H2700" s="1" t="str">
        <f t="shared" si="517"/>
        <v>20220912</v>
      </c>
      <c r="I2700" s="1" t="str">
        <f>"063916"</f>
        <v>063916</v>
      </c>
      <c r="J2700" s="1" t="s">
        <v>84</v>
      </c>
      <c r="K2700" s="1" t="s">
        <v>28</v>
      </c>
      <c r="L2700" s="1" t="str">
        <f t="shared" si="518"/>
        <v>20220912</v>
      </c>
      <c r="M2700" s="1" t="str">
        <f>"070126"</f>
        <v>070126</v>
      </c>
      <c r="N2700" s="1" t="s">
        <v>52</v>
      </c>
      <c r="O2700" s="1" t="s">
        <v>52</v>
      </c>
      <c r="P2700" s="1" t="s">
        <v>55</v>
      </c>
      <c r="Q2700" s="1">
        <v>25</v>
      </c>
      <c r="R2700" s="1">
        <v>25</v>
      </c>
      <c r="S2700" s="1">
        <v>0</v>
      </c>
      <c r="T2700" s="1">
        <v>0</v>
      </c>
      <c r="U2700" s="1">
        <v>0</v>
      </c>
      <c r="V2700" s="1" t="str">
        <f t="shared" si="514"/>
        <v>里程返程</v>
      </c>
      <c r="W2700" s="1" t="str">
        <f>"2020"</f>
        <v>2020</v>
      </c>
      <c r="X2700" s="1" t="s">
        <v>35</v>
      </c>
    </row>
    <row r="2701" spans="1:24" x14ac:dyDescent="0.3">
      <c r="A2701" s="1" t="str">
        <f t="shared" si="515"/>
        <v>59828</v>
      </c>
      <c r="B2701" s="1" t="s">
        <v>23</v>
      </c>
      <c r="C2701" s="1" t="s">
        <v>24</v>
      </c>
      <c r="D2701" s="1" t="str">
        <f t="shared" si="516"/>
        <v>9801</v>
      </c>
      <c r="E2701" s="1" t="s">
        <v>25</v>
      </c>
      <c r="F2701" s="1" t="str">
        <f>"269636433"</f>
        <v>269636433</v>
      </c>
      <c r="G2701" s="1" t="s">
        <v>33</v>
      </c>
      <c r="H2701" s="1" t="str">
        <f t="shared" si="517"/>
        <v>20220912</v>
      </c>
      <c r="I2701" s="1" t="str">
        <f>"070219"</f>
        <v>070219</v>
      </c>
      <c r="J2701" s="1" t="s">
        <v>44</v>
      </c>
      <c r="K2701" s="1" t="s">
        <v>45</v>
      </c>
      <c r="L2701" s="1" t="str">
        <f t="shared" si="518"/>
        <v>20220912</v>
      </c>
      <c r="M2701" s="1" t="str">
        <f>"071012"</f>
        <v>071012</v>
      </c>
      <c r="N2701" s="1" t="s">
        <v>56</v>
      </c>
      <c r="O2701" s="1" t="s">
        <v>45</v>
      </c>
      <c r="P2701" s="1" t="s">
        <v>55</v>
      </c>
      <c r="Q2701" s="1">
        <v>25</v>
      </c>
      <c r="R2701" s="1">
        <v>25</v>
      </c>
      <c r="S2701" s="1">
        <v>0</v>
      </c>
      <c r="T2701" s="1">
        <v>0</v>
      </c>
      <c r="U2701" s="1">
        <v>0</v>
      </c>
      <c r="V2701" s="1" t="str">
        <f t="shared" si="514"/>
        <v>里程返程</v>
      </c>
      <c r="W2701" s="1" t="str">
        <f>"2020"</f>
        <v>2020</v>
      </c>
      <c r="X2701" s="1" t="s">
        <v>35</v>
      </c>
    </row>
    <row r="2702" spans="1:24" x14ac:dyDescent="0.3">
      <c r="A2702" s="1" t="str">
        <f t="shared" si="515"/>
        <v>59828</v>
      </c>
      <c r="B2702" s="1" t="s">
        <v>23</v>
      </c>
      <c r="C2702" s="1" t="s">
        <v>24</v>
      </c>
      <c r="D2702" s="1" t="str">
        <f t="shared" si="516"/>
        <v>9801</v>
      </c>
      <c r="E2702" s="1" t="s">
        <v>25</v>
      </c>
      <c r="F2702" s="1" t="str">
        <f>"5213450206880400C821002000000015"</f>
        <v>5213450206880400C821002000000015</v>
      </c>
      <c r="G2702" s="1" t="s">
        <v>26</v>
      </c>
      <c r="H2702" s="1" t="str">
        <f t="shared" si="517"/>
        <v>20220912</v>
      </c>
      <c r="I2702" s="1" t="str">
        <f>"071025"</f>
        <v>071025</v>
      </c>
      <c r="J2702" s="1" t="s">
        <v>56</v>
      </c>
      <c r="K2702" s="1" t="s">
        <v>45</v>
      </c>
      <c r="L2702" s="1" t="str">
        <f t="shared" si="518"/>
        <v>20220912</v>
      </c>
      <c r="M2702" s="1" t="str">
        <f>"072053"</f>
        <v>072053</v>
      </c>
      <c r="N2702" s="1" t="s">
        <v>28</v>
      </c>
      <c r="O2702" s="1" t="s">
        <v>28</v>
      </c>
      <c r="P2702" s="1" t="s">
        <v>68</v>
      </c>
      <c r="Q2702" s="1">
        <v>13</v>
      </c>
      <c r="R2702" s="1">
        <v>0</v>
      </c>
      <c r="S2702" s="1">
        <v>0</v>
      </c>
      <c r="T2702" s="1">
        <v>13</v>
      </c>
      <c r="U2702" s="1">
        <v>0</v>
      </c>
      <c r="V2702" s="1" t="str">
        <f t="shared" si="514"/>
        <v>里程返程</v>
      </c>
      <c r="W2702" s="1" t="str">
        <f>"0020"</f>
        <v>0020</v>
      </c>
      <c r="X2702" s="1" t="s">
        <v>29</v>
      </c>
    </row>
    <row r="2703" spans="1:24" x14ac:dyDescent="0.3">
      <c r="A2703" s="1" t="str">
        <f t="shared" si="515"/>
        <v>59828</v>
      </c>
      <c r="B2703" s="1" t="s">
        <v>23</v>
      </c>
      <c r="C2703" s="1" t="s">
        <v>24</v>
      </c>
      <c r="D2703" s="1" t="str">
        <f t="shared" si="516"/>
        <v>9801</v>
      </c>
      <c r="E2703" s="1" t="s">
        <v>25</v>
      </c>
      <c r="F2703" s="1" t="str">
        <f>"82730F18E6880400C814002000000019"</f>
        <v>82730F18E6880400C814002000000019</v>
      </c>
      <c r="G2703" s="1" t="s">
        <v>59</v>
      </c>
      <c r="H2703" s="1" t="str">
        <f t="shared" si="517"/>
        <v>20220912</v>
      </c>
      <c r="I2703" s="1" t="str">
        <f>"072401"</f>
        <v>072401</v>
      </c>
      <c r="J2703" s="1" t="s">
        <v>28</v>
      </c>
      <c r="K2703" s="1" t="s">
        <v>28</v>
      </c>
      <c r="L2703" s="1" t="str">
        <f t="shared" si="518"/>
        <v>20220912</v>
      </c>
      <c r="M2703" s="1" t="str">
        <f>"074624"</f>
        <v>074624</v>
      </c>
      <c r="N2703" s="1" t="s">
        <v>72</v>
      </c>
      <c r="O2703" s="1" t="s">
        <v>52</v>
      </c>
      <c r="P2703" s="1" t="s">
        <v>55</v>
      </c>
      <c r="Q2703" s="1">
        <v>25</v>
      </c>
      <c r="R2703" s="1">
        <v>0</v>
      </c>
      <c r="S2703" s="1">
        <v>25</v>
      </c>
      <c r="T2703" s="1">
        <v>0</v>
      </c>
      <c r="U2703" s="1">
        <v>0</v>
      </c>
      <c r="V2703" s="1" t="str">
        <f t="shared" si="514"/>
        <v>里程返程</v>
      </c>
      <c r="W2703" s="1" t="str">
        <f>"0620"</f>
        <v>0620</v>
      </c>
      <c r="X2703" s="1" t="s">
        <v>29</v>
      </c>
    </row>
    <row r="2704" spans="1:24" x14ac:dyDescent="0.3">
      <c r="A2704" s="1" t="str">
        <f t="shared" si="515"/>
        <v>59828</v>
      </c>
      <c r="B2704" s="1" t="s">
        <v>23</v>
      </c>
      <c r="C2704" s="1" t="s">
        <v>24</v>
      </c>
      <c r="D2704" s="1" t="str">
        <f t="shared" si="516"/>
        <v>9801</v>
      </c>
      <c r="E2704" s="1" t="s">
        <v>25</v>
      </c>
      <c r="F2704" s="1" t="str">
        <f>"1204061808880400C814002000000019"</f>
        <v>1204061808880400C814002000000019</v>
      </c>
      <c r="G2704" s="1" t="s">
        <v>59</v>
      </c>
      <c r="H2704" s="1" t="str">
        <f t="shared" si="517"/>
        <v>20220912</v>
      </c>
      <c r="I2704" s="1" t="str">
        <f>"072403"</f>
        <v>072403</v>
      </c>
      <c r="J2704" s="1" t="s">
        <v>28</v>
      </c>
      <c r="K2704" s="1" t="s">
        <v>28</v>
      </c>
      <c r="L2704" s="1" t="str">
        <f t="shared" si="518"/>
        <v>20220912</v>
      </c>
      <c r="M2704" s="1" t="str">
        <f>"074626"</f>
        <v>074626</v>
      </c>
      <c r="N2704" s="1" t="s">
        <v>72</v>
      </c>
      <c r="O2704" s="1" t="s">
        <v>52</v>
      </c>
      <c r="P2704" s="1" t="s">
        <v>55</v>
      </c>
      <c r="Q2704" s="1">
        <v>25</v>
      </c>
      <c r="R2704" s="1">
        <v>0</v>
      </c>
      <c r="S2704" s="1">
        <v>25</v>
      </c>
      <c r="T2704" s="1">
        <v>0</v>
      </c>
      <c r="U2704" s="1">
        <v>0</v>
      </c>
      <c r="V2704" s="1" t="str">
        <f t="shared" si="514"/>
        <v>里程返程</v>
      </c>
      <c r="W2704" s="1" t="str">
        <f>"0620"</f>
        <v>0620</v>
      </c>
      <c r="X2704" s="1" t="s">
        <v>29</v>
      </c>
    </row>
    <row r="2705" spans="1:24" x14ac:dyDescent="0.3">
      <c r="A2705" s="1" t="str">
        <f t="shared" si="515"/>
        <v>59828</v>
      </c>
      <c r="B2705" s="1" t="s">
        <v>23</v>
      </c>
      <c r="C2705" s="1" t="s">
        <v>24</v>
      </c>
      <c r="D2705" s="1" t="str">
        <f t="shared" si="516"/>
        <v>9801</v>
      </c>
      <c r="E2705" s="1" t="s">
        <v>25</v>
      </c>
      <c r="F2705" s="1" t="str">
        <f>"32780D0344880400C834002000000015"</f>
        <v>32780D0344880400C834002000000015</v>
      </c>
      <c r="G2705" s="1" t="s">
        <v>26</v>
      </c>
      <c r="H2705" s="1" t="str">
        <f t="shared" si="517"/>
        <v>20220912</v>
      </c>
      <c r="I2705" s="1" t="str">
        <f>"072644"</f>
        <v>072644</v>
      </c>
      <c r="J2705" s="1" t="s">
        <v>41</v>
      </c>
      <c r="K2705" s="1" t="s">
        <v>28</v>
      </c>
      <c r="L2705" s="1" t="str">
        <f t="shared" si="518"/>
        <v>20220912</v>
      </c>
      <c r="M2705" s="1" t="str">
        <f>"074536"</f>
        <v>074536</v>
      </c>
      <c r="N2705" s="1" t="s">
        <v>65</v>
      </c>
      <c r="O2705" s="1" t="s">
        <v>52</v>
      </c>
      <c r="P2705" s="1" t="s">
        <v>68</v>
      </c>
      <c r="Q2705" s="1">
        <v>13</v>
      </c>
      <c r="R2705" s="1">
        <v>0</v>
      </c>
      <c r="S2705" s="1">
        <v>0</v>
      </c>
      <c r="T2705" s="1">
        <v>13</v>
      </c>
      <c r="U2705" s="1">
        <v>0</v>
      </c>
      <c r="V2705" s="1" t="str">
        <f t="shared" si="514"/>
        <v>里程返程</v>
      </c>
      <c r="W2705" s="1" t="str">
        <f>"0020"</f>
        <v>0020</v>
      </c>
      <c r="X2705" s="1" t="s">
        <v>29</v>
      </c>
    </row>
    <row r="2706" spans="1:24" x14ac:dyDescent="0.3">
      <c r="A2706" s="1" t="str">
        <f t="shared" si="515"/>
        <v>59828</v>
      </c>
      <c r="B2706" s="1" t="s">
        <v>23</v>
      </c>
      <c r="C2706" s="1" t="s">
        <v>24</v>
      </c>
      <c r="D2706" s="1" t="str">
        <f t="shared" si="516"/>
        <v>9801</v>
      </c>
      <c r="E2706" s="1" t="s">
        <v>25</v>
      </c>
      <c r="F2706" s="1" t="str">
        <f>"1759959808"</f>
        <v>1759959808</v>
      </c>
      <c r="G2706" s="1" t="s">
        <v>33</v>
      </c>
      <c r="H2706" s="1" t="str">
        <f t="shared" si="517"/>
        <v>20220912</v>
      </c>
      <c r="I2706" s="1" t="str">
        <f>"074206"</f>
        <v>074206</v>
      </c>
      <c r="J2706" s="1" t="s">
        <v>80</v>
      </c>
      <c r="K2706" s="1" t="s">
        <v>52</v>
      </c>
      <c r="L2706" s="1" t="str">
        <f t="shared" si="518"/>
        <v>20220912</v>
      </c>
      <c r="M2706" s="1" t="str">
        <f>"075225"</f>
        <v>075225</v>
      </c>
      <c r="N2706" s="1" t="s">
        <v>60</v>
      </c>
      <c r="O2706" s="1" t="s">
        <v>52</v>
      </c>
      <c r="P2706" s="1" t="s">
        <v>55</v>
      </c>
      <c r="Q2706" s="1">
        <v>25</v>
      </c>
      <c r="R2706" s="1">
        <v>25</v>
      </c>
      <c r="S2706" s="1">
        <v>0</v>
      </c>
      <c r="T2706" s="1">
        <v>0</v>
      </c>
      <c r="U2706" s="1">
        <v>0</v>
      </c>
      <c r="V2706" s="1" t="str">
        <f t="shared" si="514"/>
        <v>里程返程</v>
      </c>
      <c r="W2706" s="1" t="str">
        <f>"2020"</f>
        <v>2020</v>
      </c>
      <c r="X2706" s="1" t="s">
        <v>35</v>
      </c>
    </row>
    <row r="2707" spans="1:24" x14ac:dyDescent="0.3">
      <c r="A2707" s="1" t="str">
        <f t="shared" si="515"/>
        <v>59828</v>
      </c>
      <c r="B2707" s="1" t="s">
        <v>23</v>
      </c>
      <c r="C2707" s="1" t="s">
        <v>24</v>
      </c>
      <c r="D2707" s="1" t="str">
        <f t="shared" si="516"/>
        <v>9801</v>
      </c>
      <c r="E2707" s="1" t="s">
        <v>25</v>
      </c>
      <c r="F2707" s="1" t="str">
        <f>"7227E702B0880400C834002000000015"</f>
        <v>7227E702B0880400C834002000000015</v>
      </c>
      <c r="G2707" s="1" t="s">
        <v>74</v>
      </c>
      <c r="H2707" s="1" t="str">
        <f t="shared" si="517"/>
        <v>20220912</v>
      </c>
      <c r="I2707" s="1" t="str">
        <f>"075805"</f>
        <v>075805</v>
      </c>
      <c r="J2707" s="1" t="s">
        <v>52</v>
      </c>
      <c r="K2707" s="1" t="s">
        <v>52</v>
      </c>
      <c r="L2707" s="1" t="str">
        <f t="shared" si="518"/>
        <v>20220912</v>
      </c>
      <c r="M2707" s="1" t="str">
        <f>"081800"</f>
        <v>081800</v>
      </c>
      <c r="N2707" s="1" t="s">
        <v>80</v>
      </c>
      <c r="O2707" s="1" t="s">
        <v>52</v>
      </c>
      <c r="P2707" s="1" t="s">
        <v>68</v>
      </c>
      <c r="Q2707" s="1">
        <v>13</v>
      </c>
      <c r="R2707" s="1">
        <v>0</v>
      </c>
      <c r="S2707" s="1">
        <v>0</v>
      </c>
      <c r="T2707" s="1">
        <v>13</v>
      </c>
      <c r="U2707" s="1">
        <v>0</v>
      </c>
      <c r="V2707" s="1" t="str">
        <f t="shared" ref="V2707:V2715" si="519">"里程去程"</f>
        <v>里程去程</v>
      </c>
      <c r="W2707" s="1" t="str">
        <f>"0020"</f>
        <v>0020</v>
      </c>
      <c r="X2707" s="1" t="s">
        <v>29</v>
      </c>
    </row>
    <row r="2708" spans="1:24" x14ac:dyDescent="0.3">
      <c r="A2708" s="1" t="str">
        <f t="shared" si="515"/>
        <v>59828</v>
      </c>
      <c r="B2708" s="1" t="s">
        <v>23</v>
      </c>
      <c r="C2708" s="1" t="s">
        <v>24</v>
      </c>
      <c r="D2708" s="1" t="str">
        <f t="shared" si="516"/>
        <v>9801</v>
      </c>
      <c r="E2708" s="1" t="s">
        <v>25</v>
      </c>
      <c r="F2708" s="1" t="str">
        <f>"52E61A03AD880400C834002000000015"</f>
        <v>52E61A03AD880400C834002000000015</v>
      </c>
      <c r="G2708" s="1" t="s">
        <v>74</v>
      </c>
      <c r="H2708" s="1" t="str">
        <f t="shared" si="517"/>
        <v>20220912</v>
      </c>
      <c r="I2708" s="1" t="str">
        <f>"075807"</f>
        <v>075807</v>
      </c>
      <c r="J2708" s="1" t="s">
        <v>52</v>
      </c>
      <c r="K2708" s="1" t="s">
        <v>52</v>
      </c>
      <c r="L2708" s="1" t="str">
        <f t="shared" si="518"/>
        <v>20220912</v>
      </c>
      <c r="M2708" s="1" t="str">
        <f>"081803"</f>
        <v>081803</v>
      </c>
      <c r="N2708" s="1" t="s">
        <v>80</v>
      </c>
      <c r="O2708" s="1" t="s">
        <v>52</v>
      </c>
      <c r="P2708" s="1" t="s">
        <v>68</v>
      </c>
      <c r="Q2708" s="1">
        <v>13</v>
      </c>
      <c r="R2708" s="1">
        <v>0</v>
      </c>
      <c r="S2708" s="1">
        <v>0</v>
      </c>
      <c r="T2708" s="1">
        <v>13</v>
      </c>
      <c r="U2708" s="1">
        <v>0</v>
      </c>
      <c r="V2708" s="1" t="str">
        <f t="shared" si="519"/>
        <v>里程去程</v>
      </c>
      <c r="W2708" s="1" t="str">
        <f>"0020"</f>
        <v>0020</v>
      </c>
      <c r="X2708" s="1" t="s">
        <v>29</v>
      </c>
    </row>
    <row r="2709" spans="1:24" x14ac:dyDescent="0.3">
      <c r="A2709" s="1" t="str">
        <f t="shared" si="515"/>
        <v>59828</v>
      </c>
      <c r="B2709" s="1" t="s">
        <v>23</v>
      </c>
      <c r="C2709" s="1" t="s">
        <v>24</v>
      </c>
      <c r="D2709" s="1" t="str">
        <f t="shared" si="516"/>
        <v>9801</v>
      </c>
      <c r="E2709" s="1" t="s">
        <v>25</v>
      </c>
      <c r="F2709" s="1" t="str">
        <f>"999472933"</f>
        <v>999472933</v>
      </c>
      <c r="G2709" s="1" t="s">
        <v>33</v>
      </c>
      <c r="H2709" s="1" t="str">
        <f t="shared" si="517"/>
        <v>20220912</v>
      </c>
      <c r="I2709" s="1" t="str">
        <f>"083452"</f>
        <v>083452</v>
      </c>
      <c r="J2709" s="1" t="s">
        <v>27</v>
      </c>
      <c r="K2709" s="1" t="s">
        <v>28</v>
      </c>
      <c r="L2709" s="1" t="str">
        <f t="shared" si="518"/>
        <v>20220912</v>
      </c>
      <c r="M2709" s="1" t="str">
        <f>"084656"</f>
        <v>084656</v>
      </c>
      <c r="N2709" s="1" t="s">
        <v>56</v>
      </c>
      <c r="O2709" s="1" t="s">
        <v>45</v>
      </c>
      <c r="P2709" s="1" t="s">
        <v>55</v>
      </c>
      <c r="Q2709" s="1">
        <v>25</v>
      </c>
      <c r="R2709" s="1">
        <v>25</v>
      </c>
      <c r="S2709" s="1">
        <v>0</v>
      </c>
      <c r="T2709" s="1">
        <v>0</v>
      </c>
      <c r="U2709" s="1">
        <v>0</v>
      </c>
      <c r="V2709" s="1" t="str">
        <f t="shared" si="519"/>
        <v>里程去程</v>
      </c>
      <c r="W2709" s="1" t="str">
        <f>"2120"</f>
        <v>2120</v>
      </c>
      <c r="X2709" s="1" t="s">
        <v>35</v>
      </c>
    </row>
    <row r="2710" spans="1:24" x14ac:dyDescent="0.3">
      <c r="A2710" s="1" t="str">
        <f t="shared" si="515"/>
        <v>59828</v>
      </c>
      <c r="B2710" s="1" t="s">
        <v>23</v>
      </c>
      <c r="C2710" s="1" t="s">
        <v>24</v>
      </c>
      <c r="D2710" s="1" t="str">
        <f t="shared" si="516"/>
        <v>9801</v>
      </c>
      <c r="E2710" s="1" t="s">
        <v>25</v>
      </c>
      <c r="F2710" s="1" t="str">
        <f>"E2FD4F134328040080CED99861013018"</f>
        <v>E2FD4F134328040080CED99861013018</v>
      </c>
      <c r="G2710" s="1" t="s">
        <v>58</v>
      </c>
      <c r="H2710" s="1" t="str">
        <f t="shared" si="517"/>
        <v>20220912</v>
      </c>
      <c r="I2710" s="1" t="str">
        <f>"083455"</f>
        <v>083455</v>
      </c>
      <c r="J2710" s="1" t="s">
        <v>27</v>
      </c>
      <c r="K2710" s="1" t="s">
        <v>28</v>
      </c>
      <c r="L2710" s="1" t="str">
        <f t="shared" si="518"/>
        <v>20220912</v>
      </c>
      <c r="M2710" s="1" t="str">
        <f>"085211"</f>
        <v>085211</v>
      </c>
      <c r="N2710" s="1" t="s">
        <v>91</v>
      </c>
      <c r="O2710" s="1" t="s">
        <v>45</v>
      </c>
      <c r="P2710" s="1" t="s">
        <v>55</v>
      </c>
      <c r="Q2710" s="1">
        <v>25</v>
      </c>
      <c r="R2710" s="1">
        <v>25</v>
      </c>
      <c r="S2710" s="1">
        <v>0</v>
      </c>
      <c r="T2710" s="1">
        <v>0</v>
      </c>
      <c r="U2710" s="1">
        <v>0</v>
      </c>
      <c r="V2710" s="1" t="str">
        <f t="shared" si="519"/>
        <v>里程去程</v>
      </c>
      <c r="W2710" s="1" t="str">
        <f>"0020"</f>
        <v>0020</v>
      </c>
      <c r="X2710" s="1" t="s">
        <v>29</v>
      </c>
    </row>
    <row r="2711" spans="1:24" x14ac:dyDescent="0.3">
      <c r="A2711" s="1" t="str">
        <f t="shared" si="515"/>
        <v>59828</v>
      </c>
      <c r="B2711" s="1" t="s">
        <v>23</v>
      </c>
      <c r="C2711" s="1" t="s">
        <v>24</v>
      </c>
      <c r="D2711" s="1" t="str">
        <f t="shared" si="516"/>
        <v>9801</v>
      </c>
      <c r="E2711" s="1" t="s">
        <v>25</v>
      </c>
      <c r="F2711" s="1" t="str">
        <f>"1740615365"</f>
        <v>1740615365</v>
      </c>
      <c r="G2711" s="1" t="s">
        <v>33</v>
      </c>
      <c r="H2711" s="1" t="str">
        <f t="shared" si="517"/>
        <v>20220912</v>
      </c>
      <c r="I2711" s="1" t="str">
        <f>"083503"</f>
        <v>083503</v>
      </c>
      <c r="J2711" s="1" t="s">
        <v>27</v>
      </c>
      <c r="K2711" s="1" t="s">
        <v>28</v>
      </c>
      <c r="L2711" s="1" t="str">
        <f t="shared" si="518"/>
        <v>20220912</v>
      </c>
      <c r="M2711" s="1" t="str">
        <f>"084702"</f>
        <v>084702</v>
      </c>
      <c r="N2711" s="1" t="s">
        <v>56</v>
      </c>
      <c r="O2711" s="1" t="s">
        <v>45</v>
      </c>
      <c r="P2711" s="1" t="s">
        <v>55</v>
      </c>
      <c r="Q2711" s="1">
        <v>25</v>
      </c>
      <c r="R2711" s="1">
        <v>0</v>
      </c>
      <c r="S2711" s="1">
        <v>25</v>
      </c>
      <c r="T2711" s="1">
        <v>0</v>
      </c>
      <c r="U2711" s="1">
        <v>0</v>
      </c>
      <c r="V2711" s="1" t="str">
        <f t="shared" si="519"/>
        <v>里程去程</v>
      </c>
      <c r="W2711" s="1" t="str">
        <f>"0820"</f>
        <v>0820</v>
      </c>
      <c r="X2711" s="1" t="s">
        <v>35</v>
      </c>
    </row>
    <row r="2712" spans="1:24" x14ac:dyDescent="0.3">
      <c r="A2712" s="1" t="str">
        <f t="shared" si="515"/>
        <v>59828</v>
      </c>
      <c r="B2712" s="1" t="s">
        <v>23</v>
      </c>
      <c r="C2712" s="1" t="s">
        <v>24</v>
      </c>
      <c r="D2712" s="1" t="str">
        <f t="shared" si="516"/>
        <v>9801</v>
      </c>
      <c r="E2712" s="1" t="s">
        <v>25</v>
      </c>
      <c r="F2712" s="1" t="str">
        <f>"269636433"</f>
        <v>269636433</v>
      </c>
      <c r="G2712" s="1" t="s">
        <v>33</v>
      </c>
      <c r="H2712" s="1" t="str">
        <f t="shared" si="517"/>
        <v>20220912</v>
      </c>
      <c r="I2712" s="1" t="str">
        <f>"084707"</f>
        <v>084707</v>
      </c>
      <c r="J2712" s="1" t="s">
        <v>56</v>
      </c>
      <c r="K2712" s="1" t="s">
        <v>45</v>
      </c>
      <c r="L2712" s="1" t="str">
        <f t="shared" si="518"/>
        <v>20220912</v>
      </c>
      <c r="M2712" s="1" t="str">
        <f>"085719"</f>
        <v>085719</v>
      </c>
      <c r="N2712" s="1" t="s">
        <v>44</v>
      </c>
      <c r="O2712" s="1" t="s">
        <v>45</v>
      </c>
      <c r="P2712" s="1" t="s">
        <v>55</v>
      </c>
      <c r="Q2712" s="1">
        <v>25</v>
      </c>
      <c r="R2712" s="1">
        <v>25</v>
      </c>
      <c r="S2712" s="1">
        <v>0</v>
      </c>
      <c r="T2712" s="1">
        <v>0</v>
      </c>
      <c r="U2712" s="1">
        <v>0</v>
      </c>
      <c r="V2712" s="1" t="str">
        <f t="shared" si="519"/>
        <v>里程去程</v>
      </c>
      <c r="W2712" s="1" t="str">
        <f>"2020"</f>
        <v>2020</v>
      </c>
      <c r="X2712" s="1" t="s">
        <v>35</v>
      </c>
    </row>
    <row r="2713" spans="1:24" x14ac:dyDescent="0.3">
      <c r="A2713" s="1" t="str">
        <f t="shared" si="515"/>
        <v>59828</v>
      </c>
      <c r="B2713" s="1" t="s">
        <v>23</v>
      </c>
      <c r="C2713" s="1" t="s">
        <v>24</v>
      </c>
      <c r="D2713" s="1" t="str">
        <f t="shared" si="516"/>
        <v>9801</v>
      </c>
      <c r="E2713" s="1" t="s">
        <v>25</v>
      </c>
      <c r="F2713" s="1" t="str">
        <f>"228941743"</f>
        <v>228941743</v>
      </c>
      <c r="G2713" s="1" t="s">
        <v>33</v>
      </c>
      <c r="H2713" s="1" t="str">
        <f t="shared" si="517"/>
        <v>20220912</v>
      </c>
      <c r="I2713" s="1" t="str">
        <f>"091951"</f>
        <v>091951</v>
      </c>
      <c r="J2713" s="1" t="s">
        <v>77</v>
      </c>
      <c r="K2713" s="1" t="s">
        <v>52</v>
      </c>
      <c r="L2713" s="1" t="str">
        <f t="shared" si="518"/>
        <v>20220912</v>
      </c>
      <c r="M2713" s="1" t="str">
        <f>"093553"</f>
        <v>093553</v>
      </c>
      <c r="N2713" s="1" t="s">
        <v>70</v>
      </c>
      <c r="O2713" s="1" t="s">
        <v>28</v>
      </c>
      <c r="P2713" s="1" t="s">
        <v>55</v>
      </c>
      <c r="Q2713" s="1">
        <v>25</v>
      </c>
      <c r="R2713" s="1">
        <v>25</v>
      </c>
      <c r="S2713" s="1">
        <v>0</v>
      </c>
      <c r="T2713" s="1">
        <v>0</v>
      </c>
      <c r="U2713" s="1">
        <v>0</v>
      </c>
      <c r="V2713" s="1" t="str">
        <f t="shared" si="519"/>
        <v>里程去程</v>
      </c>
      <c r="W2713" s="1" t="str">
        <f>"0320"</f>
        <v>0320</v>
      </c>
      <c r="X2713" s="1" t="s">
        <v>35</v>
      </c>
    </row>
    <row r="2714" spans="1:24" x14ac:dyDescent="0.3">
      <c r="A2714" s="1" t="str">
        <f t="shared" si="515"/>
        <v>59828</v>
      </c>
      <c r="B2714" s="1" t="s">
        <v>23</v>
      </c>
      <c r="C2714" s="1" t="s">
        <v>24</v>
      </c>
      <c r="D2714" s="1" t="str">
        <f t="shared" si="516"/>
        <v>9801</v>
      </c>
      <c r="E2714" s="1" t="s">
        <v>25</v>
      </c>
      <c r="F2714" s="1" t="str">
        <f>"708766337"</f>
        <v>708766337</v>
      </c>
      <c r="G2714" s="1" t="s">
        <v>33</v>
      </c>
      <c r="H2714" s="1" t="str">
        <f t="shared" si="517"/>
        <v>20220912</v>
      </c>
      <c r="I2714" s="1" t="str">
        <f>"092002"</f>
        <v>092002</v>
      </c>
      <c r="J2714" s="1" t="s">
        <v>77</v>
      </c>
      <c r="K2714" s="1" t="s">
        <v>52</v>
      </c>
      <c r="L2714" s="1" t="str">
        <f t="shared" si="518"/>
        <v>20220912</v>
      </c>
      <c r="M2714" s="1" t="str">
        <f>"093556"</f>
        <v>093556</v>
      </c>
      <c r="N2714" s="1" t="s">
        <v>70</v>
      </c>
      <c r="O2714" s="1" t="s">
        <v>28</v>
      </c>
      <c r="P2714" s="1" t="s">
        <v>55</v>
      </c>
      <c r="Q2714" s="1">
        <v>25</v>
      </c>
      <c r="R2714" s="1">
        <v>25</v>
      </c>
      <c r="S2714" s="1">
        <v>0</v>
      </c>
      <c r="T2714" s="1">
        <v>0</v>
      </c>
      <c r="U2714" s="1">
        <v>0</v>
      </c>
      <c r="V2714" s="1" t="str">
        <f t="shared" si="519"/>
        <v>里程去程</v>
      </c>
      <c r="W2714" s="1" t="str">
        <f>"0320"</f>
        <v>0320</v>
      </c>
      <c r="X2714" s="1" t="s">
        <v>35</v>
      </c>
    </row>
    <row r="2715" spans="1:24" x14ac:dyDescent="0.3">
      <c r="A2715" s="1" t="str">
        <f t="shared" si="515"/>
        <v>59828</v>
      </c>
      <c r="B2715" s="1" t="s">
        <v>23</v>
      </c>
      <c r="C2715" s="1" t="s">
        <v>24</v>
      </c>
      <c r="D2715" s="1" t="str">
        <f t="shared" si="516"/>
        <v>9801</v>
      </c>
      <c r="E2715" s="1" t="s">
        <v>25</v>
      </c>
      <c r="F2715" s="1" t="str">
        <f>"645256833"</f>
        <v>645256833</v>
      </c>
      <c r="G2715" s="1" t="s">
        <v>33</v>
      </c>
      <c r="H2715" s="1" t="str">
        <f t="shared" si="517"/>
        <v>20220912</v>
      </c>
      <c r="I2715" s="1" t="str">
        <f>"093605"</f>
        <v>093605</v>
      </c>
      <c r="J2715" s="1" t="s">
        <v>27</v>
      </c>
      <c r="K2715" s="1" t="s">
        <v>28</v>
      </c>
      <c r="L2715" s="1" t="str">
        <f t="shared" si="518"/>
        <v>20220912</v>
      </c>
      <c r="M2715" s="1" t="str">
        <f>"095342"</f>
        <v>095342</v>
      </c>
      <c r="N2715" s="1" t="s">
        <v>91</v>
      </c>
      <c r="O2715" s="1" t="s">
        <v>45</v>
      </c>
      <c r="P2715" s="1" t="s">
        <v>55</v>
      </c>
      <c r="Q2715" s="1">
        <v>25</v>
      </c>
      <c r="R2715" s="1">
        <v>25</v>
      </c>
      <c r="S2715" s="1">
        <v>0</v>
      </c>
      <c r="T2715" s="1">
        <v>0</v>
      </c>
      <c r="U2715" s="1">
        <v>0</v>
      </c>
      <c r="V2715" s="1" t="str">
        <f t="shared" si="519"/>
        <v>里程去程</v>
      </c>
      <c r="W2715" s="1" t="str">
        <f>"2120"</f>
        <v>2120</v>
      </c>
      <c r="X2715" s="1" t="s">
        <v>35</v>
      </c>
    </row>
    <row r="2716" spans="1:24" x14ac:dyDescent="0.3">
      <c r="A2716" s="1" t="str">
        <f t="shared" si="515"/>
        <v>59828</v>
      </c>
      <c r="B2716" s="1" t="s">
        <v>23</v>
      </c>
      <c r="C2716" s="1" t="s">
        <v>24</v>
      </c>
      <c r="D2716" s="1" t="str">
        <f t="shared" si="516"/>
        <v>9801</v>
      </c>
      <c r="E2716" s="1" t="s">
        <v>25</v>
      </c>
      <c r="F2716" s="1" t="str">
        <f>"19839293"</f>
        <v>19839293</v>
      </c>
      <c r="G2716" s="1" t="s">
        <v>33</v>
      </c>
      <c r="H2716" s="1" t="str">
        <f t="shared" si="517"/>
        <v>20220912</v>
      </c>
      <c r="I2716" s="1" t="str">
        <f>"122741"</f>
        <v>122741</v>
      </c>
      <c r="J2716" s="1" t="s">
        <v>44</v>
      </c>
      <c r="K2716" s="1" t="s">
        <v>45</v>
      </c>
      <c r="L2716" s="1" t="str">
        <f t="shared" si="518"/>
        <v>20220912</v>
      </c>
      <c r="M2716" s="1" t="str">
        <f>"125010"</f>
        <v>125010</v>
      </c>
      <c r="N2716" s="1" t="s">
        <v>28</v>
      </c>
      <c r="O2716" s="1" t="s">
        <v>28</v>
      </c>
      <c r="P2716" s="1" t="s">
        <v>55</v>
      </c>
      <c r="Q2716" s="1">
        <v>25</v>
      </c>
      <c r="R2716" s="1">
        <v>25</v>
      </c>
      <c r="S2716" s="1">
        <v>0</v>
      </c>
      <c r="T2716" s="1">
        <v>0</v>
      </c>
      <c r="U2716" s="1">
        <v>0</v>
      </c>
      <c r="V2716" s="1" t="str">
        <f t="shared" ref="V2716:V2748" si="520">"里程返程"</f>
        <v>里程返程</v>
      </c>
      <c r="W2716" s="1" t="str">
        <f>"0e20"</f>
        <v>0e20</v>
      </c>
      <c r="X2716" s="1" t="s">
        <v>35</v>
      </c>
    </row>
    <row r="2717" spans="1:24" x14ac:dyDescent="0.3">
      <c r="A2717" s="1" t="str">
        <f t="shared" si="515"/>
        <v>59828</v>
      </c>
      <c r="B2717" s="1" t="s">
        <v>23</v>
      </c>
      <c r="C2717" s="1" t="s">
        <v>24</v>
      </c>
      <c r="D2717" s="1" t="str">
        <f t="shared" si="516"/>
        <v>9801</v>
      </c>
      <c r="E2717" s="1" t="s">
        <v>25</v>
      </c>
      <c r="F2717" s="1" t="str">
        <f>"645256833"</f>
        <v>645256833</v>
      </c>
      <c r="G2717" s="1" t="s">
        <v>33</v>
      </c>
      <c r="H2717" s="1" t="str">
        <f t="shared" si="517"/>
        <v>20220912</v>
      </c>
      <c r="I2717" s="1" t="str">
        <f>"123823"</f>
        <v>123823</v>
      </c>
      <c r="J2717" s="1" t="s">
        <v>75</v>
      </c>
      <c r="K2717" s="1" t="s">
        <v>45</v>
      </c>
      <c r="L2717" s="1" t="str">
        <f t="shared" si="518"/>
        <v>20220912</v>
      </c>
      <c r="M2717" s="1" t="str">
        <f>"125007"</f>
        <v>125007</v>
      </c>
      <c r="N2717" s="1" t="s">
        <v>28</v>
      </c>
      <c r="O2717" s="1" t="s">
        <v>28</v>
      </c>
      <c r="P2717" s="1" t="s">
        <v>55</v>
      </c>
      <c r="Q2717" s="1">
        <v>25</v>
      </c>
      <c r="R2717" s="1">
        <v>25</v>
      </c>
      <c r="S2717" s="1">
        <v>0</v>
      </c>
      <c r="T2717" s="1">
        <v>0</v>
      </c>
      <c r="U2717" s="1">
        <v>0</v>
      </c>
      <c r="V2717" s="1" t="str">
        <f t="shared" si="520"/>
        <v>里程返程</v>
      </c>
      <c r="W2717" s="1" t="str">
        <f>"2020"</f>
        <v>2020</v>
      </c>
      <c r="X2717" s="1" t="s">
        <v>35</v>
      </c>
    </row>
    <row r="2718" spans="1:24" x14ac:dyDescent="0.3">
      <c r="A2718" s="1" t="str">
        <f t="shared" si="515"/>
        <v>59828</v>
      </c>
      <c r="B2718" s="1" t="s">
        <v>23</v>
      </c>
      <c r="C2718" s="1" t="s">
        <v>24</v>
      </c>
      <c r="D2718" s="1" t="str">
        <f t="shared" si="516"/>
        <v>9801</v>
      </c>
      <c r="E2718" s="1" t="s">
        <v>25</v>
      </c>
      <c r="F2718" s="1" t="str">
        <f>"C2E68419B9880400C824002000000020"</f>
        <v>C2E68419B9880400C824002000000020</v>
      </c>
      <c r="G2718" s="1" t="s">
        <v>59</v>
      </c>
      <c r="H2718" s="1" t="str">
        <f t="shared" si="517"/>
        <v>20220912</v>
      </c>
      <c r="I2718" s="1" t="str">
        <f>"125040"</f>
        <v>125040</v>
      </c>
      <c r="J2718" s="1" t="s">
        <v>28</v>
      </c>
      <c r="K2718" s="1" t="s">
        <v>28</v>
      </c>
      <c r="L2718" s="1" t="str">
        <f t="shared" si="518"/>
        <v>20220912</v>
      </c>
      <c r="M2718" s="1" t="str">
        <f>"132300"</f>
        <v>132300</v>
      </c>
      <c r="N2718" s="1" t="s">
        <v>52</v>
      </c>
      <c r="O2718" s="1" t="s">
        <v>52</v>
      </c>
      <c r="P2718" s="1" t="s">
        <v>55</v>
      </c>
      <c r="Q2718" s="1">
        <v>25</v>
      </c>
      <c r="R2718" s="1">
        <v>0</v>
      </c>
      <c r="S2718" s="1">
        <v>25</v>
      </c>
      <c r="T2718" s="1">
        <v>0</v>
      </c>
      <c r="U2718" s="1">
        <v>0</v>
      </c>
      <c r="V2718" s="1" t="str">
        <f t="shared" si="520"/>
        <v>里程返程</v>
      </c>
      <c r="W2718" s="1" t="str">
        <f>"0620"</f>
        <v>0620</v>
      </c>
      <c r="X2718" s="1" t="s">
        <v>29</v>
      </c>
    </row>
    <row r="2719" spans="1:24" x14ac:dyDescent="0.3">
      <c r="A2719" s="1" t="str">
        <f t="shared" si="515"/>
        <v>59828</v>
      </c>
      <c r="B2719" s="1" t="s">
        <v>23</v>
      </c>
      <c r="C2719" s="1" t="s">
        <v>24</v>
      </c>
      <c r="D2719" s="1" t="str">
        <f t="shared" si="516"/>
        <v>9801</v>
      </c>
      <c r="E2719" s="1" t="s">
        <v>25</v>
      </c>
      <c r="F2719" s="1" t="str">
        <f>"796971701"</f>
        <v>796971701</v>
      </c>
      <c r="G2719" s="1" t="s">
        <v>33</v>
      </c>
      <c r="H2719" s="1" t="str">
        <f t="shared" si="517"/>
        <v>20220912</v>
      </c>
      <c r="I2719" s="1" t="str">
        <f>"125135"</f>
        <v>125135</v>
      </c>
      <c r="J2719" s="1" t="s">
        <v>28</v>
      </c>
      <c r="K2719" s="1" t="s">
        <v>28</v>
      </c>
      <c r="L2719" s="1" t="str">
        <f t="shared" si="518"/>
        <v>20220912</v>
      </c>
      <c r="M2719" s="1" t="str">
        <f>"132323"</f>
        <v>132323</v>
      </c>
      <c r="N2719" s="1" t="s">
        <v>52</v>
      </c>
      <c r="O2719" s="1" t="s">
        <v>52</v>
      </c>
      <c r="P2719" s="1" t="s">
        <v>55</v>
      </c>
      <c r="Q2719" s="1">
        <v>25</v>
      </c>
      <c r="R2719" s="1">
        <v>25</v>
      </c>
      <c r="S2719" s="1">
        <v>0</v>
      </c>
      <c r="T2719" s="1">
        <v>0</v>
      </c>
      <c r="U2719" s="1">
        <v>0</v>
      </c>
      <c r="V2719" s="1" t="str">
        <f t="shared" si="520"/>
        <v>里程返程</v>
      </c>
      <c r="W2719" s="1" t="str">
        <f>"1420"</f>
        <v>1420</v>
      </c>
      <c r="X2719" s="1" t="s">
        <v>35</v>
      </c>
    </row>
    <row r="2720" spans="1:24" x14ac:dyDescent="0.3">
      <c r="A2720" s="1" t="str">
        <f t="shared" si="515"/>
        <v>59828</v>
      </c>
      <c r="B2720" s="1" t="s">
        <v>23</v>
      </c>
      <c r="C2720" s="1" t="s">
        <v>24</v>
      </c>
      <c r="D2720" s="1" t="str">
        <f t="shared" si="516"/>
        <v>9801</v>
      </c>
      <c r="E2720" s="1" t="s">
        <v>25</v>
      </c>
      <c r="F2720" s="1" t="str">
        <f>"1065611077"</f>
        <v>1065611077</v>
      </c>
      <c r="G2720" s="1" t="s">
        <v>33</v>
      </c>
      <c r="H2720" s="1" t="str">
        <f t="shared" si="517"/>
        <v>20220912</v>
      </c>
      <c r="I2720" s="1" t="str">
        <f>"125146"</f>
        <v>125146</v>
      </c>
      <c r="J2720" s="1" t="s">
        <v>28</v>
      </c>
      <c r="K2720" s="1" t="s">
        <v>28</v>
      </c>
      <c r="L2720" s="1" t="str">
        <f t="shared" si="518"/>
        <v>20220912</v>
      </c>
      <c r="M2720" s="1" t="str">
        <f>"132336"</f>
        <v>132336</v>
      </c>
      <c r="N2720" s="1" t="s">
        <v>52</v>
      </c>
      <c r="O2720" s="1" t="s">
        <v>52</v>
      </c>
      <c r="P2720" s="1" t="s">
        <v>55</v>
      </c>
      <c r="Q2720" s="1">
        <v>25</v>
      </c>
      <c r="R2720" s="1">
        <v>25</v>
      </c>
      <c r="S2720" s="1">
        <v>0</v>
      </c>
      <c r="T2720" s="1">
        <v>0</v>
      </c>
      <c r="U2720" s="1">
        <v>0</v>
      </c>
      <c r="V2720" s="1" t="str">
        <f t="shared" si="520"/>
        <v>里程返程</v>
      </c>
      <c r="W2720" s="1" t="str">
        <f t="shared" ref="W2720:W2727" si="521">"0020"</f>
        <v>0020</v>
      </c>
      <c r="X2720" s="1" t="s">
        <v>35</v>
      </c>
    </row>
    <row r="2721" spans="1:24" x14ac:dyDescent="0.3">
      <c r="A2721" s="1" t="str">
        <f t="shared" si="515"/>
        <v>59828</v>
      </c>
      <c r="B2721" s="1" t="s">
        <v>23</v>
      </c>
      <c r="C2721" s="1" t="s">
        <v>24</v>
      </c>
      <c r="D2721" s="1" t="str">
        <f t="shared" si="516"/>
        <v>9801</v>
      </c>
      <c r="E2721" s="1" t="s">
        <v>25</v>
      </c>
      <c r="F2721" s="1" t="str">
        <f>"02BF1218B7880400C814002000000019"</f>
        <v>02BF1218B7880400C814002000000019</v>
      </c>
      <c r="G2721" s="1" t="s">
        <v>66</v>
      </c>
      <c r="H2721" s="1" t="str">
        <f t="shared" si="517"/>
        <v>20220912</v>
      </c>
      <c r="I2721" s="1" t="str">
        <f>"125148"</f>
        <v>125148</v>
      </c>
      <c r="J2721" s="1" t="s">
        <v>28</v>
      </c>
      <c r="K2721" s="1" t="s">
        <v>28</v>
      </c>
      <c r="L2721" s="1" t="str">
        <f t="shared" si="518"/>
        <v>20220912</v>
      </c>
      <c r="M2721" s="1" t="str">
        <f>"132330"</f>
        <v>132330</v>
      </c>
      <c r="N2721" s="1" t="s">
        <v>52</v>
      </c>
      <c r="O2721" s="1" t="s">
        <v>52</v>
      </c>
      <c r="P2721" s="1" t="s">
        <v>55</v>
      </c>
      <c r="Q2721" s="1">
        <v>25</v>
      </c>
      <c r="R2721" s="1">
        <v>25</v>
      </c>
      <c r="S2721" s="1">
        <v>0</v>
      </c>
      <c r="T2721" s="1">
        <v>0</v>
      </c>
      <c r="U2721" s="1">
        <v>0</v>
      </c>
      <c r="V2721" s="1" t="str">
        <f t="shared" si="520"/>
        <v>里程返程</v>
      </c>
      <c r="W2721" s="1" t="str">
        <f t="shared" si="521"/>
        <v>0020</v>
      </c>
      <c r="X2721" s="1" t="s">
        <v>29</v>
      </c>
    </row>
    <row r="2722" spans="1:24" x14ac:dyDescent="0.3">
      <c r="A2722" s="1" t="str">
        <f t="shared" si="515"/>
        <v>59828</v>
      </c>
      <c r="B2722" s="1" t="s">
        <v>23</v>
      </c>
      <c r="C2722" s="1" t="s">
        <v>24</v>
      </c>
      <c r="D2722" s="1" t="str">
        <f t="shared" si="516"/>
        <v>9801</v>
      </c>
      <c r="E2722" s="1" t="s">
        <v>25</v>
      </c>
      <c r="F2722" s="1" t="str">
        <f>"0191A62A1C280400F700000000000000"</f>
        <v>0191A62A1C280400F700000000000000</v>
      </c>
      <c r="G2722" s="1" t="s">
        <v>58</v>
      </c>
      <c r="H2722" s="1" t="str">
        <f t="shared" si="517"/>
        <v>20220912</v>
      </c>
      <c r="I2722" s="1" t="str">
        <f>"142706"</f>
        <v>142706</v>
      </c>
      <c r="J2722" s="1" t="s">
        <v>44</v>
      </c>
      <c r="K2722" s="1" t="s">
        <v>45</v>
      </c>
      <c r="L2722" s="1" t="str">
        <f t="shared" si="518"/>
        <v>20220912</v>
      </c>
      <c r="M2722" s="1" t="str">
        <f>"145116"</f>
        <v>145116</v>
      </c>
      <c r="N2722" s="1" t="s">
        <v>28</v>
      </c>
      <c r="O2722" s="1" t="s">
        <v>28</v>
      </c>
      <c r="P2722" s="1" t="s">
        <v>55</v>
      </c>
      <c r="Q2722" s="1">
        <v>25</v>
      </c>
      <c r="R2722" s="1">
        <v>25</v>
      </c>
      <c r="S2722" s="1">
        <v>0</v>
      </c>
      <c r="T2722" s="1">
        <v>0</v>
      </c>
      <c r="U2722" s="1">
        <v>0</v>
      </c>
      <c r="V2722" s="1" t="str">
        <f t="shared" si="520"/>
        <v>里程返程</v>
      </c>
      <c r="W2722" s="1" t="str">
        <f t="shared" si="521"/>
        <v>0020</v>
      </c>
      <c r="X2722" s="1" t="s">
        <v>29</v>
      </c>
    </row>
    <row r="2723" spans="1:24" x14ac:dyDescent="0.3">
      <c r="A2723" s="1" t="str">
        <f t="shared" si="515"/>
        <v>59828</v>
      </c>
      <c r="B2723" s="1" t="s">
        <v>23</v>
      </c>
      <c r="C2723" s="1" t="s">
        <v>24</v>
      </c>
      <c r="D2723" s="1" t="str">
        <f t="shared" si="516"/>
        <v>9801</v>
      </c>
      <c r="E2723" s="1" t="s">
        <v>25</v>
      </c>
      <c r="F2723" s="1" t="str">
        <f>"20108DDC61880400468F465655101311"</f>
        <v>20108DDC61880400468F465655101311</v>
      </c>
      <c r="G2723" s="1" t="s">
        <v>59</v>
      </c>
      <c r="H2723" s="1" t="str">
        <f t="shared" si="517"/>
        <v>20220912</v>
      </c>
      <c r="I2723" s="1" t="str">
        <f>"143756"</f>
        <v>143756</v>
      </c>
      <c r="J2723" s="1" t="s">
        <v>75</v>
      </c>
      <c r="K2723" s="1" t="s">
        <v>45</v>
      </c>
      <c r="L2723" s="1" t="str">
        <f t="shared" si="518"/>
        <v>20220912</v>
      </c>
      <c r="M2723" s="1" t="str">
        <f>"145045"</f>
        <v>145045</v>
      </c>
      <c r="N2723" s="1" t="s">
        <v>95</v>
      </c>
      <c r="O2723" s="1" t="s">
        <v>28</v>
      </c>
      <c r="P2723" s="1" t="s">
        <v>55</v>
      </c>
      <c r="Q2723" s="1">
        <v>25</v>
      </c>
      <c r="R2723" s="1">
        <v>25</v>
      </c>
      <c r="S2723" s="1">
        <v>0</v>
      </c>
      <c r="T2723" s="1">
        <v>0</v>
      </c>
      <c r="U2723" s="1">
        <v>0</v>
      </c>
      <c r="V2723" s="1" t="str">
        <f t="shared" si="520"/>
        <v>里程返程</v>
      </c>
      <c r="W2723" s="1" t="str">
        <f t="shared" si="521"/>
        <v>0020</v>
      </c>
      <c r="X2723" s="1" t="s">
        <v>29</v>
      </c>
    </row>
    <row r="2724" spans="1:24" x14ac:dyDescent="0.3">
      <c r="A2724" s="1" t="str">
        <f t="shared" si="515"/>
        <v>59828</v>
      </c>
      <c r="B2724" s="1" t="s">
        <v>23</v>
      </c>
      <c r="C2724" s="1" t="s">
        <v>24</v>
      </c>
      <c r="D2724" s="1" t="str">
        <f t="shared" si="516"/>
        <v>9801</v>
      </c>
      <c r="E2724" s="1" t="s">
        <v>25</v>
      </c>
      <c r="F2724" s="1" t="str">
        <f>"52E61A03AD880400C834002000000015"</f>
        <v>52E61A03AD880400C834002000000015</v>
      </c>
      <c r="G2724" s="1" t="s">
        <v>74</v>
      </c>
      <c r="H2724" s="1" t="str">
        <f t="shared" si="517"/>
        <v>20220912</v>
      </c>
      <c r="I2724" s="1" t="str">
        <f>"151141"</f>
        <v>151141</v>
      </c>
      <c r="J2724" s="1" t="s">
        <v>80</v>
      </c>
      <c r="K2724" s="1" t="s">
        <v>52</v>
      </c>
      <c r="L2724" s="1" t="str">
        <f t="shared" si="518"/>
        <v>20220912</v>
      </c>
      <c r="M2724" s="1" t="str">
        <f>"152408"</f>
        <v>152408</v>
      </c>
      <c r="N2724" s="1" t="s">
        <v>52</v>
      </c>
      <c r="O2724" s="1" t="s">
        <v>52</v>
      </c>
      <c r="P2724" s="1" t="s">
        <v>68</v>
      </c>
      <c r="Q2724" s="1">
        <v>13</v>
      </c>
      <c r="R2724" s="1">
        <v>0</v>
      </c>
      <c r="S2724" s="1">
        <v>0</v>
      </c>
      <c r="T2724" s="1">
        <v>13</v>
      </c>
      <c r="U2724" s="1">
        <v>0</v>
      </c>
      <c r="V2724" s="1" t="str">
        <f t="shared" si="520"/>
        <v>里程返程</v>
      </c>
      <c r="W2724" s="1" t="str">
        <f t="shared" si="521"/>
        <v>0020</v>
      </c>
      <c r="X2724" s="1" t="s">
        <v>29</v>
      </c>
    </row>
    <row r="2725" spans="1:24" x14ac:dyDescent="0.3">
      <c r="A2725" s="1" t="str">
        <f t="shared" si="515"/>
        <v>59828</v>
      </c>
      <c r="B2725" s="1" t="s">
        <v>23</v>
      </c>
      <c r="C2725" s="1" t="s">
        <v>24</v>
      </c>
      <c r="D2725" s="1" t="str">
        <f t="shared" si="516"/>
        <v>9801</v>
      </c>
      <c r="E2725" s="1" t="s">
        <v>25</v>
      </c>
      <c r="F2725" s="1" t="str">
        <f>"7227E702B0880400C834002000000015"</f>
        <v>7227E702B0880400C834002000000015</v>
      </c>
      <c r="G2725" s="1" t="s">
        <v>74</v>
      </c>
      <c r="H2725" s="1" t="str">
        <f t="shared" si="517"/>
        <v>20220912</v>
      </c>
      <c r="I2725" s="1" t="str">
        <f>"151143"</f>
        <v>151143</v>
      </c>
      <c r="J2725" s="1" t="s">
        <v>80</v>
      </c>
      <c r="K2725" s="1" t="s">
        <v>52</v>
      </c>
      <c r="L2725" s="1" t="str">
        <f t="shared" si="518"/>
        <v>20220912</v>
      </c>
      <c r="M2725" s="1" t="str">
        <f>"152406"</f>
        <v>152406</v>
      </c>
      <c r="N2725" s="1" t="s">
        <v>52</v>
      </c>
      <c r="O2725" s="1" t="s">
        <v>52</v>
      </c>
      <c r="P2725" s="1" t="s">
        <v>68</v>
      </c>
      <c r="Q2725" s="1">
        <v>13</v>
      </c>
      <c r="R2725" s="1">
        <v>0</v>
      </c>
      <c r="S2725" s="1">
        <v>0</v>
      </c>
      <c r="T2725" s="1">
        <v>13</v>
      </c>
      <c r="U2725" s="1">
        <v>0</v>
      </c>
      <c r="V2725" s="1" t="str">
        <f t="shared" si="520"/>
        <v>里程返程</v>
      </c>
      <c r="W2725" s="1" t="str">
        <f t="shared" si="521"/>
        <v>0020</v>
      </c>
      <c r="X2725" s="1" t="s">
        <v>29</v>
      </c>
    </row>
    <row r="2726" spans="1:24" x14ac:dyDescent="0.3">
      <c r="A2726" s="1" t="str">
        <f t="shared" si="515"/>
        <v>59828</v>
      </c>
      <c r="B2726" s="1" t="s">
        <v>23</v>
      </c>
      <c r="C2726" s="1" t="s">
        <v>24</v>
      </c>
      <c r="D2726" s="1" t="str">
        <f t="shared" si="516"/>
        <v>9801</v>
      </c>
      <c r="E2726" s="1" t="s">
        <v>25</v>
      </c>
      <c r="F2726" s="1" t="str">
        <f>"E2FD4F134328040080CED99861013018"</f>
        <v>E2FD4F134328040080CED99861013018</v>
      </c>
      <c r="G2726" s="1" t="s">
        <v>58</v>
      </c>
      <c r="H2726" s="1" t="str">
        <f t="shared" si="517"/>
        <v>20220912</v>
      </c>
      <c r="I2726" s="1" t="str">
        <f>"153639"</f>
        <v>153639</v>
      </c>
      <c r="J2726" s="1" t="s">
        <v>91</v>
      </c>
      <c r="K2726" s="1" t="s">
        <v>45</v>
      </c>
      <c r="L2726" s="1" t="str">
        <f t="shared" si="518"/>
        <v>20220912</v>
      </c>
      <c r="M2726" s="1" t="str">
        <f>"155159"</f>
        <v>155159</v>
      </c>
      <c r="N2726" s="1" t="s">
        <v>28</v>
      </c>
      <c r="O2726" s="1" t="s">
        <v>28</v>
      </c>
      <c r="P2726" s="1" t="s">
        <v>55</v>
      </c>
      <c r="Q2726" s="1">
        <v>25</v>
      </c>
      <c r="R2726" s="1">
        <v>25</v>
      </c>
      <c r="S2726" s="1">
        <v>0</v>
      </c>
      <c r="T2726" s="1">
        <v>0</v>
      </c>
      <c r="U2726" s="1">
        <v>0</v>
      </c>
      <c r="V2726" s="1" t="str">
        <f t="shared" si="520"/>
        <v>里程返程</v>
      </c>
      <c r="W2726" s="1" t="str">
        <f t="shared" si="521"/>
        <v>0020</v>
      </c>
      <c r="X2726" s="1" t="s">
        <v>29</v>
      </c>
    </row>
    <row r="2727" spans="1:24" x14ac:dyDescent="0.3">
      <c r="A2727" s="1" t="str">
        <f t="shared" si="515"/>
        <v>59828</v>
      </c>
      <c r="B2727" s="1" t="s">
        <v>23</v>
      </c>
      <c r="C2727" s="1" t="s">
        <v>24</v>
      </c>
      <c r="D2727" s="1" t="str">
        <f t="shared" si="516"/>
        <v>9801</v>
      </c>
      <c r="E2727" s="1" t="s">
        <v>25</v>
      </c>
      <c r="F2727" s="1" t="str">
        <f>"32780D0344880400C834002000000015"</f>
        <v>32780D0344880400C834002000000015</v>
      </c>
      <c r="G2727" s="1" t="s">
        <v>26</v>
      </c>
      <c r="H2727" s="1" t="str">
        <f t="shared" si="517"/>
        <v>20220912</v>
      </c>
      <c r="I2727" s="1" t="str">
        <f>"154119"</f>
        <v>154119</v>
      </c>
      <c r="J2727" s="1" t="s">
        <v>56</v>
      </c>
      <c r="K2727" s="1" t="s">
        <v>45</v>
      </c>
      <c r="L2727" s="1" t="str">
        <f t="shared" si="518"/>
        <v>20220912</v>
      </c>
      <c r="M2727" s="1" t="str">
        <f>"155055"</f>
        <v>155055</v>
      </c>
      <c r="N2727" s="1" t="s">
        <v>95</v>
      </c>
      <c r="O2727" s="1" t="s">
        <v>28</v>
      </c>
      <c r="P2727" s="1" t="s">
        <v>68</v>
      </c>
      <c r="Q2727" s="1">
        <v>13</v>
      </c>
      <c r="R2727" s="1">
        <v>0</v>
      </c>
      <c r="S2727" s="1">
        <v>0</v>
      </c>
      <c r="T2727" s="1">
        <v>13</v>
      </c>
      <c r="U2727" s="1">
        <v>0</v>
      </c>
      <c r="V2727" s="1" t="str">
        <f t="shared" si="520"/>
        <v>里程返程</v>
      </c>
      <c r="W2727" s="1" t="str">
        <f t="shared" si="521"/>
        <v>0020</v>
      </c>
      <c r="X2727" s="1" t="s">
        <v>29</v>
      </c>
    </row>
    <row r="2728" spans="1:24" x14ac:dyDescent="0.3">
      <c r="A2728" s="1" t="str">
        <f t="shared" si="515"/>
        <v>59828</v>
      </c>
      <c r="B2728" s="1" t="s">
        <v>23</v>
      </c>
      <c r="C2728" s="1" t="s">
        <v>24</v>
      </c>
      <c r="D2728" s="1" t="str">
        <f t="shared" si="516"/>
        <v>9801</v>
      </c>
      <c r="E2728" s="1" t="s">
        <v>25</v>
      </c>
      <c r="F2728" s="1" t="str">
        <f>"D5C2F29B7E8804004327BBD200180B07"</f>
        <v>D5C2F29B7E8804004327BBD200180B07</v>
      </c>
      <c r="G2728" s="1" t="s">
        <v>59</v>
      </c>
      <c r="H2728" s="1" t="str">
        <f t="shared" si="517"/>
        <v>20220912</v>
      </c>
      <c r="I2728" s="1" t="str">
        <f>"155207"</f>
        <v>155207</v>
      </c>
      <c r="J2728" s="1" t="s">
        <v>28</v>
      </c>
      <c r="K2728" s="1" t="s">
        <v>28</v>
      </c>
      <c r="L2728" s="1" t="str">
        <f t="shared" si="518"/>
        <v>20220912</v>
      </c>
      <c r="M2728" s="1" t="str">
        <f>"161038"</f>
        <v>161038</v>
      </c>
      <c r="N2728" s="1" t="s">
        <v>77</v>
      </c>
      <c r="O2728" s="1" t="s">
        <v>52</v>
      </c>
      <c r="P2728" s="1" t="s">
        <v>55</v>
      </c>
      <c r="Q2728" s="1">
        <v>25</v>
      </c>
      <c r="R2728" s="1">
        <v>0</v>
      </c>
      <c r="S2728" s="1">
        <v>25</v>
      </c>
      <c r="T2728" s="1">
        <v>0</v>
      </c>
      <c r="U2728" s="1">
        <v>0</v>
      </c>
      <c r="V2728" s="1" t="str">
        <f t="shared" si="520"/>
        <v>里程返程</v>
      </c>
      <c r="W2728" s="1" t="str">
        <f>"0620"</f>
        <v>0620</v>
      </c>
      <c r="X2728" s="1" t="s">
        <v>29</v>
      </c>
    </row>
    <row r="2729" spans="1:24" x14ac:dyDescent="0.3">
      <c r="A2729" s="1" t="str">
        <f t="shared" si="515"/>
        <v>59828</v>
      </c>
      <c r="B2729" s="1" t="s">
        <v>23</v>
      </c>
      <c r="C2729" s="1" t="s">
        <v>24</v>
      </c>
      <c r="D2729" s="1" t="str">
        <f t="shared" si="516"/>
        <v>9801</v>
      </c>
      <c r="E2729" s="1" t="s">
        <v>25</v>
      </c>
      <c r="F2729" s="1" t="str">
        <f>"023BCC0AFF880400C810002000000016"</f>
        <v>023BCC0AFF880400C810002000000016</v>
      </c>
      <c r="G2729" s="1" t="s">
        <v>58</v>
      </c>
      <c r="H2729" s="1" t="str">
        <f t="shared" si="517"/>
        <v>20220912</v>
      </c>
      <c r="I2729" s="1" t="str">
        <f>"155212"</f>
        <v>155212</v>
      </c>
      <c r="J2729" s="1" t="s">
        <v>28</v>
      </c>
      <c r="K2729" s="1" t="s">
        <v>28</v>
      </c>
      <c r="L2729" s="1" t="str">
        <f t="shared" si="518"/>
        <v>20220912</v>
      </c>
      <c r="M2729" s="1" t="str">
        <f>"160441"</f>
        <v>160441</v>
      </c>
      <c r="N2729" s="1" t="s">
        <v>67</v>
      </c>
      <c r="O2729" s="1" t="s">
        <v>52</v>
      </c>
      <c r="P2729" s="1" t="s">
        <v>55</v>
      </c>
      <c r="Q2729" s="1">
        <v>25</v>
      </c>
      <c r="R2729" s="1">
        <v>25</v>
      </c>
      <c r="S2729" s="1">
        <v>0</v>
      </c>
      <c r="T2729" s="1">
        <v>0</v>
      </c>
      <c r="U2729" s="1">
        <v>0</v>
      </c>
      <c r="V2729" s="1" t="str">
        <f t="shared" si="520"/>
        <v>里程返程</v>
      </c>
      <c r="W2729" s="1" t="str">
        <f>"0020"</f>
        <v>0020</v>
      </c>
      <c r="X2729" s="1" t="s">
        <v>29</v>
      </c>
    </row>
    <row r="2730" spans="1:24" x14ac:dyDescent="0.3">
      <c r="A2730" s="1" t="str">
        <f t="shared" si="515"/>
        <v>59828</v>
      </c>
      <c r="B2730" s="1" t="s">
        <v>23</v>
      </c>
      <c r="C2730" s="1" t="s">
        <v>24</v>
      </c>
      <c r="D2730" s="1" t="str">
        <f t="shared" si="516"/>
        <v>9801</v>
      </c>
      <c r="E2730" s="1" t="s">
        <v>25</v>
      </c>
      <c r="F2730" s="1" t="str">
        <f>"A2641D03D8880400C834002000000015"</f>
        <v>A2641D03D8880400C834002000000015</v>
      </c>
      <c r="G2730" s="1" t="s">
        <v>26</v>
      </c>
      <c r="H2730" s="1" t="str">
        <f t="shared" si="517"/>
        <v>20220912</v>
      </c>
      <c r="I2730" s="1" t="str">
        <f>"155222"</f>
        <v>155222</v>
      </c>
      <c r="J2730" s="1" t="s">
        <v>28</v>
      </c>
      <c r="K2730" s="1" t="s">
        <v>28</v>
      </c>
      <c r="L2730" s="1" t="str">
        <f t="shared" si="518"/>
        <v>20220912</v>
      </c>
      <c r="M2730" s="1" t="str">
        <f>"163030"</f>
        <v>163030</v>
      </c>
      <c r="N2730" s="1" t="s">
        <v>52</v>
      </c>
      <c r="O2730" s="1" t="s">
        <v>52</v>
      </c>
      <c r="P2730" s="1" t="s">
        <v>68</v>
      </c>
      <c r="Q2730" s="1">
        <v>13</v>
      </c>
      <c r="R2730" s="1">
        <v>0</v>
      </c>
      <c r="S2730" s="1">
        <v>0</v>
      </c>
      <c r="T2730" s="1">
        <v>13</v>
      </c>
      <c r="U2730" s="1">
        <v>0</v>
      </c>
      <c r="V2730" s="1" t="str">
        <f t="shared" si="520"/>
        <v>里程返程</v>
      </c>
      <c r="W2730" s="1" t="str">
        <f>"0020"</f>
        <v>0020</v>
      </c>
      <c r="X2730" s="1" t="s">
        <v>29</v>
      </c>
    </row>
    <row r="2731" spans="1:24" x14ac:dyDescent="0.3">
      <c r="A2731" s="1" t="str">
        <f t="shared" si="515"/>
        <v>59828</v>
      </c>
      <c r="B2731" s="1" t="s">
        <v>23</v>
      </c>
      <c r="C2731" s="1" t="s">
        <v>24</v>
      </c>
      <c r="D2731" s="1" t="str">
        <f t="shared" si="516"/>
        <v>9801</v>
      </c>
      <c r="E2731" s="1" t="s">
        <v>25</v>
      </c>
      <c r="F2731" s="1" t="str">
        <f>"109990689"</f>
        <v>109990689</v>
      </c>
      <c r="G2731" s="1" t="s">
        <v>26</v>
      </c>
      <c r="H2731" s="1" t="str">
        <f t="shared" ref="H2731:H2762" si="522">"20220912"</f>
        <v>20220912</v>
      </c>
      <c r="I2731" s="1" t="str">
        <f>"155236"</f>
        <v>155236</v>
      </c>
      <c r="J2731" s="1" t="s">
        <v>28</v>
      </c>
      <c r="K2731" s="1" t="s">
        <v>28</v>
      </c>
      <c r="L2731" s="1" t="str">
        <f t="shared" ref="L2731:L2762" si="523">"20220912"</f>
        <v>20220912</v>
      </c>
      <c r="M2731" s="1" t="str">
        <f>"163023"</f>
        <v>163023</v>
      </c>
      <c r="N2731" s="1" t="s">
        <v>52</v>
      </c>
      <c r="O2731" s="1" t="s">
        <v>52</v>
      </c>
      <c r="P2731" s="1" t="s">
        <v>55</v>
      </c>
      <c r="Q2731" s="1">
        <v>13</v>
      </c>
      <c r="R2731" s="1">
        <v>13</v>
      </c>
      <c r="S2731" s="1">
        <v>0</v>
      </c>
      <c r="T2731" s="1">
        <v>0</v>
      </c>
      <c r="U2731" s="1">
        <v>0</v>
      </c>
      <c r="V2731" s="1" t="str">
        <f t="shared" si="520"/>
        <v>里程返程</v>
      </c>
      <c r="W2731" s="1" t="str">
        <f>"0120"</f>
        <v>0120</v>
      </c>
      <c r="X2731" s="1" t="s">
        <v>35</v>
      </c>
    </row>
    <row r="2732" spans="1:24" x14ac:dyDescent="0.3">
      <c r="A2732" s="1" t="str">
        <f t="shared" si="515"/>
        <v>59828</v>
      </c>
      <c r="B2732" s="1" t="s">
        <v>23</v>
      </c>
      <c r="C2732" s="1" t="s">
        <v>24</v>
      </c>
      <c r="D2732" s="1" t="str">
        <f t="shared" si="516"/>
        <v>9801</v>
      </c>
      <c r="E2732" s="1" t="s">
        <v>25</v>
      </c>
      <c r="F2732" s="1" t="str">
        <f>"3676982027"</f>
        <v>3676982027</v>
      </c>
      <c r="G2732" s="1" t="s">
        <v>26</v>
      </c>
      <c r="H2732" s="1" t="str">
        <f t="shared" si="522"/>
        <v>20220912</v>
      </c>
      <c r="I2732" s="1" t="str">
        <f>"155238"</f>
        <v>155238</v>
      </c>
      <c r="J2732" s="1" t="s">
        <v>28</v>
      </c>
      <c r="K2732" s="1" t="s">
        <v>28</v>
      </c>
      <c r="L2732" s="1" t="str">
        <f t="shared" si="523"/>
        <v>20220912</v>
      </c>
      <c r="M2732" s="1" t="str">
        <f>"163024"</f>
        <v>163024</v>
      </c>
      <c r="N2732" s="1" t="s">
        <v>52</v>
      </c>
      <c r="O2732" s="1" t="s">
        <v>52</v>
      </c>
      <c r="P2732" s="1" t="s">
        <v>55</v>
      </c>
      <c r="Q2732" s="1">
        <v>13</v>
      </c>
      <c r="R2732" s="1">
        <v>13</v>
      </c>
      <c r="S2732" s="1">
        <v>0</v>
      </c>
      <c r="T2732" s="1">
        <v>0</v>
      </c>
      <c r="U2732" s="1">
        <v>0</v>
      </c>
      <c r="V2732" s="1" t="str">
        <f t="shared" si="520"/>
        <v>里程返程</v>
      </c>
      <c r="W2732" s="1" t="str">
        <f>"0120"</f>
        <v>0120</v>
      </c>
      <c r="X2732" s="1" t="s">
        <v>35</v>
      </c>
    </row>
    <row r="2733" spans="1:24" x14ac:dyDescent="0.3">
      <c r="A2733" s="1" t="str">
        <f t="shared" si="515"/>
        <v>59828</v>
      </c>
      <c r="B2733" s="1" t="s">
        <v>23</v>
      </c>
      <c r="C2733" s="1" t="s">
        <v>24</v>
      </c>
      <c r="D2733" s="1" t="str">
        <f t="shared" si="516"/>
        <v>9801</v>
      </c>
      <c r="E2733" s="1" t="s">
        <v>25</v>
      </c>
      <c r="F2733" s="1" t="str">
        <f>"42AFE60209880400C834002000000015"</f>
        <v>42AFE60209880400C834002000000015</v>
      </c>
      <c r="G2733" s="1" t="s">
        <v>74</v>
      </c>
      <c r="H2733" s="1" t="str">
        <f t="shared" si="522"/>
        <v>20220912</v>
      </c>
      <c r="I2733" s="1" t="str">
        <f>"161500"</f>
        <v>161500</v>
      </c>
      <c r="J2733" s="1" t="s">
        <v>80</v>
      </c>
      <c r="K2733" s="1" t="s">
        <v>52</v>
      </c>
      <c r="L2733" s="1" t="str">
        <f t="shared" si="523"/>
        <v>20220912</v>
      </c>
      <c r="M2733" s="1" t="str">
        <f>"163020"</f>
        <v>163020</v>
      </c>
      <c r="N2733" s="1" t="s">
        <v>52</v>
      </c>
      <c r="O2733" s="1" t="s">
        <v>52</v>
      </c>
      <c r="P2733" s="1" t="s">
        <v>68</v>
      </c>
      <c r="Q2733" s="1">
        <v>13</v>
      </c>
      <c r="R2733" s="1">
        <v>0</v>
      </c>
      <c r="S2733" s="1">
        <v>0</v>
      </c>
      <c r="T2733" s="1">
        <v>13</v>
      </c>
      <c r="U2733" s="1">
        <v>0</v>
      </c>
      <c r="V2733" s="1" t="str">
        <f t="shared" si="520"/>
        <v>里程返程</v>
      </c>
      <c r="W2733" s="1" t="str">
        <f>"0020"</f>
        <v>0020</v>
      </c>
      <c r="X2733" s="1" t="s">
        <v>29</v>
      </c>
    </row>
    <row r="2734" spans="1:24" x14ac:dyDescent="0.3">
      <c r="A2734" s="1" t="str">
        <f t="shared" si="515"/>
        <v>59828</v>
      </c>
      <c r="B2734" s="1" t="s">
        <v>23</v>
      </c>
      <c r="C2734" s="1" t="s">
        <v>24</v>
      </c>
      <c r="D2734" s="1" t="str">
        <f t="shared" si="516"/>
        <v>9801</v>
      </c>
      <c r="E2734" s="1" t="s">
        <v>25</v>
      </c>
      <c r="F2734" s="1" t="str">
        <f>"510A3A5A3B2804001C00000000000000"</f>
        <v>510A3A5A3B2804001C00000000000000</v>
      </c>
      <c r="G2734" s="1" t="s">
        <v>58</v>
      </c>
      <c r="H2734" s="1" t="str">
        <f t="shared" si="522"/>
        <v>20220912</v>
      </c>
      <c r="I2734" s="1" t="str">
        <f>"163056"</f>
        <v>163056</v>
      </c>
      <c r="J2734" s="1" t="s">
        <v>44</v>
      </c>
      <c r="K2734" s="1" t="s">
        <v>45</v>
      </c>
      <c r="L2734" s="1" t="str">
        <f t="shared" si="523"/>
        <v>20220912</v>
      </c>
      <c r="M2734" s="1" t="str">
        <f>"165250"</f>
        <v>165250</v>
      </c>
      <c r="N2734" s="1" t="s">
        <v>28</v>
      </c>
      <c r="O2734" s="1" t="s">
        <v>28</v>
      </c>
      <c r="P2734" s="1" t="s">
        <v>55</v>
      </c>
      <c r="Q2734" s="1">
        <v>25</v>
      </c>
      <c r="R2734" s="1">
        <v>0</v>
      </c>
      <c r="S2734" s="1">
        <v>25</v>
      </c>
      <c r="T2734" s="1">
        <v>0</v>
      </c>
      <c r="U2734" s="1">
        <v>0</v>
      </c>
      <c r="V2734" s="1" t="str">
        <f t="shared" si="520"/>
        <v>里程返程</v>
      </c>
      <c r="W2734" s="1" t="str">
        <f>"2020"</f>
        <v>2020</v>
      </c>
      <c r="X2734" s="1" t="s">
        <v>29</v>
      </c>
    </row>
    <row r="2735" spans="1:24" x14ac:dyDescent="0.3">
      <c r="A2735" s="1" t="str">
        <f t="shared" si="515"/>
        <v>59828</v>
      </c>
      <c r="B2735" s="1" t="s">
        <v>23</v>
      </c>
      <c r="C2735" s="1" t="s">
        <v>24</v>
      </c>
      <c r="D2735" s="1" t="str">
        <f t="shared" si="516"/>
        <v>9801</v>
      </c>
      <c r="E2735" s="1" t="s">
        <v>25</v>
      </c>
      <c r="F2735" s="1" t="str">
        <f>"C28A65163B880400C814002000000019"</f>
        <v>C28A65163B880400C814002000000019</v>
      </c>
      <c r="G2735" s="1" t="s">
        <v>82</v>
      </c>
      <c r="H2735" s="1" t="str">
        <f t="shared" si="522"/>
        <v>20220912</v>
      </c>
      <c r="I2735" s="1" t="str">
        <f>"163100"</f>
        <v>163100</v>
      </c>
      <c r="J2735" s="1" t="s">
        <v>44</v>
      </c>
      <c r="K2735" s="1" t="s">
        <v>45</v>
      </c>
      <c r="L2735" s="1" t="str">
        <f t="shared" si="523"/>
        <v>20220912</v>
      </c>
      <c r="M2735" s="1" t="str">
        <f>"165248"</f>
        <v>165248</v>
      </c>
      <c r="N2735" s="1" t="s">
        <v>28</v>
      </c>
      <c r="O2735" s="1" t="s">
        <v>28</v>
      </c>
      <c r="P2735" s="1" t="s">
        <v>55</v>
      </c>
      <c r="Q2735" s="1">
        <v>13</v>
      </c>
      <c r="R2735" s="1">
        <v>0</v>
      </c>
      <c r="S2735" s="1">
        <v>13</v>
      </c>
      <c r="T2735" s="1">
        <v>0</v>
      </c>
      <c r="U2735" s="1">
        <v>0</v>
      </c>
      <c r="V2735" s="1" t="str">
        <f t="shared" si="520"/>
        <v>里程返程</v>
      </c>
      <c r="W2735" s="1" t="str">
        <f>"2020"</f>
        <v>2020</v>
      </c>
      <c r="X2735" s="1" t="s">
        <v>29</v>
      </c>
    </row>
    <row r="2736" spans="1:24" x14ac:dyDescent="0.3">
      <c r="A2736" s="1" t="str">
        <f t="shared" si="515"/>
        <v>59828</v>
      </c>
      <c r="B2736" s="1" t="s">
        <v>23</v>
      </c>
      <c r="C2736" s="1" t="s">
        <v>24</v>
      </c>
      <c r="D2736" s="1" t="str">
        <f t="shared" si="516"/>
        <v>9801</v>
      </c>
      <c r="E2736" s="1" t="s">
        <v>25</v>
      </c>
      <c r="F2736" s="1" t="str">
        <f>"1783806229"</f>
        <v>1783806229</v>
      </c>
      <c r="G2736" s="1" t="s">
        <v>33</v>
      </c>
      <c r="H2736" s="1" t="str">
        <f t="shared" si="522"/>
        <v>20220912</v>
      </c>
      <c r="I2736" s="1" t="str">
        <f>"164150"</f>
        <v>164150</v>
      </c>
      <c r="J2736" s="1" t="s">
        <v>56</v>
      </c>
      <c r="K2736" s="1" t="s">
        <v>45</v>
      </c>
      <c r="L2736" s="1" t="str">
        <f t="shared" si="523"/>
        <v>20220912</v>
      </c>
      <c r="M2736" s="1" t="str">
        <f>"165244"</f>
        <v>165244</v>
      </c>
      <c r="N2736" s="1" t="s">
        <v>28</v>
      </c>
      <c r="O2736" s="1" t="s">
        <v>28</v>
      </c>
      <c r="P2736" s="1" t="s">
        <v>55</v>
      </c>
      <c r="Q2736" s="1">
        <v>25</v>
      </c>
      <c r="R2736" s="1">
        <v>0</v>
      </c>
      <c r="S2736" s="1">
        <v>25</v>
      </c>
      <c r="T2736" s="1">
        <v>0</v>
      </c>
      <c r="U2736" s="1">
        <v>0</v>
      </c>
      <c r="V2736" s="1" t="str">
        <f t="shared" si="520"/>
        <v>里程返程</v>
      </c>
      <c r="W2736" s="1" t="str">
        <f>"2020"</f>
        <v>2020</v>
      </c>
      <c r="X2736" s="1" t="s">
        <v>35</v>
      </c>
    </row>
    <row r="2737" spans="1:24" x14ac:dyDescent="0.3">
      <c r="A2737" s="1" t="str">
        <f t="shared" si="515"/>
        <v>59828</v>
      </c>
      <c r="B2737" s="1" t="s">
        <v>23</v>
      </c>
      <c r="C2737" s="1" t="s">
        <v>24</v>
      </c>
      <c r="D2737" s="1" t="str">
        <f t="shared" si="516"/>
        <v>9801</v>
      </c>
      <c r="E2737" s="1" t="s">
        <v>25</v>
      </c>
      <c r="F2737" s="1" t="str">
        <f>"F215D20237880400C834002000000015"</f>
        <v>F215D20237880400C834002000000015</v>
      </c>
      <c r="G2737" s="1" t="s">
        <v>26</v>
      </c>
      <c r="H2737" s="1" t="str">
        <f t="shared" si="522"/>
        <v>20220912</v>
      </c>
      <c r="I2737" s="1" t="str">
        <f>"165307"</f>
        <v>165307</v>
      </c>
      <c r="J2737" s="1" t="s">
        <v>28</v>
      </c>
      <c r="K2737" s="1" t="s">
        <v>28</v>
      </c>
      <c r="L2737" s="1" t="str">
        <f t="shared" si="523"/>
        <v>20220912</v>
      </c>
      <c r="M2737" s="1" t="str">
        <f>"172114"</f>
        <v>172114</v>
      </c>
      <c r="N2737" s="1" t="s">
        <v>51</v>
      </c>
      <c r="O2737" s="1" t="s">
        <v>52</v>
      </c>
      <c r="P2737" s="1" t="s">
        <v>68</v>
      </c>
      <c r="Q2737" s="1">
        <v>13</v>
      </c>
      <c r="R2737" s="1">
        <v>0</v>
      </c>
      <c r="S2737" s="1">
        <v>0</v>
      </c>
      <c r="T2737" s="1">
        <v>13</v>
      </c>
      <c r="U2737" s="1">
        <v>0</v>
      </c>
      <c r="V2737" s="1" t="str">
        <f t="shared" si="520"/>
        <v>里程返程</v>
      </c>
      <c r="W2737" s="1" t="str">
        <f>"0020"</f>
        <v>0020</v>
      </c>
      <c r="X2737" s="1" t="s">
        <v>29</v>
      </c>
    </row>
    <row r="2738" spans="1:24" x14ac:dyDescent="0.3">
      <c r="A2738" s="1" t="str">
        <f t="shared" ref="A2738:A2768" si="524">"59829"</f>
        <v>59829</v>
      </c>
      <c r="B2738" s="1" t="s">
        <v>47</v>
      </c>
      <c r="C2738" s="1" t="s">
        <v>48</v>
      </c>
      <c r="D2738" s="1" t="str">
        <f t="shared" ref="D2738:D2747" si="525">"9806"</f>
        <v>9806</v>
      </c>
      <c r="E2738" s="1" t="s">
        <v>49</v>
      </c>
      <c r="F2738" s="1" t="str">
        <f>"D2B4601610880400C814002000000019"</f>
        <v>D2B4601610880400C814002000000019</v>
      </c>
      <c r="G2738" s="1" t="s">
        <v>59</v>
      </c>
      <c r="H2738" s="1" t="str">
        <f t="shared" si="522"/>
        <v>20220912</v>
      </c>
      <c r="I2738" s="1" t="str">
        <f>"072748"</f>
        <v>072748</v>
      </c>
      <c r="J2738" s="1" t="s">
        <v>28</v>
      </c>
      <c r="K2738" s="1" t="s">
        <v>28</v>
      </c>
      <c r="L2738" s="1" t="str">
        <f t="shared" si="523"/>
        <v>20220912</v>
      </c>
      <c r="M2738" s="1" t="str">
        <f>"073818"</f>
        <v>073818</v>
      </c>
      <c r="N2738" s="1" t="s">
        <v>28</v>
      </c>
      <c r="O2738" s="1" t="s">
        <v>28</v>
      </c>
      <c r="P2738" s="1" t="s">
        <v>55</v>
      </c>
      <c r="Q2738" s="1">
        <v>25</v>
      </c>
      <c r="R2738" s="1">
        <v>0</v>
      </c>
      <c r="S2738" s="1">
        <v>25</v>
      </c>
      <c r="T2738" s="1">
        <v>0</v>
      </c>
      <c r="U2738" s="1">
        <v>0</v>
      </c>
      <c r="V2738" s="1" t="str">
        <f t="shared" si="520"/>
        <v>里程返程</v>
      </c>
      <c r="W2738" s="1" t="str">
        <f>"0620"</f>
        <v>0620</v>
      </c>
      <c r="X2738" s="1" t="s">
        <v>29</v>
      </c>
    </row>
    <row r="2739" spans="1:24" x14ac:dyDescent="0.3">
      <c r="A2739" s="1" t="str">
        <f t="shared" si="524"/>
        <v>59829</v>
      </c>
      <c r="B2739" s="1" t="s">
        <v>47</v>
      </c>
      <c r="C2739" s="1" t="s">
        <v>48</v>
      </c>
      <c r="D2739" s="1" t="str">
        <f t="shared" si="525"/>
        <v>9806</v>
      </c>
      <c r="E2739" s="1" t="s">
        <v>49</v>
      </c>
      <c r="F2739" s="1" t="str">
        <f>"22861B13AC28040080CED9985D913018"</f>
        <v>22861B13AC28040080CED9985D913018</v>
      </c>
      <c r="G2739" s="1" t="s">
        <v>58</v>
      </c>
      <c r="H2739" s="1" t="str">
        <f t="shared" si="522"/>
        <v>20220912</v>
      </c>
      <c r="I2739" s="1" t="str">
        <f>"072749"</f>
        <v>072749</v>
      </c>
      <c r="J2739" s="1" t="s">
        <v>28</v>
      </c>
      <c r="K2739" s="1" t="s">
        <v>28</v>
      </c>
      <c r="L2739" s="1" t="str">
        <f t="shared" si="523"/>
        <v>20220912</v>
      </c>
      <c r="M2739" s="1" t="str">
        <f>"073814"</f>
        <v>073814</v>
      </c>
      <c r="N2739" s="1" t="s">
        <v>28</v>
      </c>
      <c r="O2739" s="1" t="s">
        <v>28</v>
      </c>
      <c r="P2739" s="1" t="s">
        <v>55</v>
      </c>
      <c r="Q2739" s="1">
        <v>25</v>
      </c>
      <c r="R2739" s="1">
        <v>0</v>
      </c>
      <c r="S2739" s="1">
        <v>25</v>
      </c>
      <c r="T2739" s="1">
        <v>0</v>
      </c>
      <c r="U2739" s="1">
        <v>0</v>
      </c>
      <c r="V2739" s="1" t="str">
        <f t="shared" si="520"/>
        <v>里程返程</v>
      </c>
      <c r="W2739" s="1" t="str">
        <f>"0620"</f>
        <v>0620</v>
      </c>
      <c r="X2739" s="1" t="s">
        <v>29</v>
      </c>
    </row>
    <row r="2740" spans="1:24" x14ac:dyDescent="0.3">
      <c r="A2740" s="1" t="str">
        <f t="shared" si="524"/>
        <v>59829</v>
      </c>
      <c r="B2740" s="1" t="s">
        <v>47</v>
      </c>
      <c r="C2740" s="1" t="s">
        <v>48</v>
      </c>
      <c r="D2740" s="1" t="str">
        <f t="shared" si="525"/>
        <v>9806</v>
      </c>
      <c r="E2740" s="1" t="s">
        <v>49</v>
      </c>
      <c r="F2740" s="1" t="str">
        <f>"1697487813"</f>
        <v>1697487813</v>
      </c>
      <c r="G2740" s="1" t="s">
        <v>33</v>
      </c>
      <c r="H2740" s="1" t="str">
        <f t="shared" si="522"/>
        <v>20220912</v>
      </c>
      <c r="I2740" s="1" t="str">
        <f>"072804"</f>
        <v>072804</v>
      </c>
      <c r="J2740" s="1" t="s">
        <v>28</v>
      </c>
      <c r="K2740" s="1" t="s">
        <v>28</v>
      </c>
      <c r="L2740" s="1" t="str">
        <f t="shared" si="523"/>
        <v>20220912</v>
      </c>
      <c r="M2740" s="1" t="str">
        <f>"074556"</f>
        <v>074556</v>
      </c>
      <c r="N2740" s="1" t="s">
        <v>104</v>
      </c>
      <c r="O2740" s="1" t="s">
        <v>28</v>
      </c>
      <c r="P2740" s="1" t="s">
        <v>55</v>
      </c>
      <c r="Q2740" s="1">
        <v>25</v>
      </c>
      <c r="R2740" s="1">
        <v>0</v>
      </c>
      <c r="S2740" s="1">
        <v>25</v>
      </c>
      <c r="T2740" s="1">
        <v>0</v>
      </c>
      <c r="U2740" s="1">
        <v>0</v>
      </c>
      <c r="V2740" s="1" t="str">
        <f t="shared" si="520"/>
        <v>里程返程</v>
      </c>
      <c r="W2740" s="1" t="str">
        <f>"0820"</f>
        <v>0820</v>
      </c>
      <c r="X2740" s="1" t="s">
        <v>35</v>
      </c>
    </row>
    <row r="2741" spans="1:24" x14ac:dyDescent="0.3">
      <c r="A2741" s="1" t="str">
        <f t="shared" si="524"/>
        <v>59829</v>
      </c>
      <c r="B2741" s="1" t="s">
        <v>47</v>
      </c>
      <c r="C2741" s="1" t="s">
        <v>48</v>
      </c>
      <c r="D2741" s="1" t="str">
        <f t="shared" si="525"/>
        <v>9806</v>
      </c>
      <c r="E2741" s="1" t="s">
        <v>49</v>
      </c>
      <c r="F2741" s="1" t="str">
        <f>"7111220514006728"</f>
        <v>7111220514006728</v>
      </c>
      <c r="G2741" s="1" t="s">
        <v>33</v>
      </c>
      <c r="H2741" s="1" t="str">
        <f t="shared" si="522"/>
        <v>20220912</v>
      </c>
      <c r="I2741" s="1" t="str">
        <f>"072809"</f>
        <v>072809</v>
      </c>
      <c r="J2741" s="1" t="s">
        <v>28</v>
      </c>
      <c r="K2741" s="1" t="s">
        <v>28</v>
      </c>
      <c r="L2741" s="1" t="str">
        <f t="shared" si="523"/>
        <v>20220912</v>
      </c>
      <c r="M2741" s="1" t="str">
        <f>"074553"</f>
        <v>074553</v>
      </c>
      <c r="N2741" s="1" t="s">
        <v>104</v>
      </c>
      <c r="O2741" s="1" t="s">
        <v>28</v>
      </c>
      <c r="P2741" s="1" t="s">
        <v>55</v>
      </c>
      <c r="Q2741" s="1">
        <v>25</v>
      </c>
      <c r="R2741" s="1">
        <v>0</v>
      </c>
      <c r="S2741" s="1">
        <v>25</v>
      </c>
      <c r="T2741" s="1">
        <v>0</v>
      </c>
      <c r="U2741" s="1">
        <v>0</v>
      </c>
      <c r="V2741" s="1" t="str">
        <f t="shared" si="520"/>
        <v>里程返程</v>
      </c>
      <c r="W2741" s="1" t="str">
        <f>"083B"</f>
        <v>083B</v>
      </c>
      <c r="X2741" s="1" t="s">
        <v>109</v>
      </c>
    </row>
    <row r="2742" spans="1:24" x14ac:dyDescent="0.3">
      <c r="A2742" s="1" t="str">
        <f t="shared" si="524"/>
        <v>59829</v>
      </c>
      <c r="B2742" s="1" t="s">
        <v>47</v>
      </c>
      <c r="C2742" s="1" t="s">
        <v>48</v>
      </c>
      <c r="D2742" s="1" t="str">
        <f t="shared" si="525"/>
        <v>9806</v>
      </c>
      <c r="E2742" s="1" t="s">
        <v>49</v>
      </c>
      <c r="F2742" s="1" t="str">
        <f>"7511161863006423"</f>
        <v>7511161863006423</v>
      </c>
      <c r="G2742" s="1" t="s">
        <v>33</v>
      </c>
      <c r="H2742" s="1" t="str">
        <f t="shared" si="522"/>
        <v>20220912</v>
      </c>
      <c r="I2742" s="1" t="str">
        <f>"072812"</f>
        <v>072812</v>
      </c>
      <c r="J2742" s="1" t="s">
        <v>28</v>
      </c>
      <c r="K2742" s="1" t="s">
        <v>28</v>
      </c>
      <c r="L2742" s="1" t="str">
        <f t="shared" si="523"/>
        <v>20220912</v>
      </c>
      <c r="M2742" s="1" t="str">
        <f>"074550"</f>
        <v>074550</v>
      </c>
      <c r="N2742" s="1" t="s">
        <v>104</v>
      </c>
      <c r="O2742" s="1" t="s">
        <v>28</v>
      </c>
      <c r="P2742" s="1" t="s">
        <v>55</v>
      </c>
      <c r="Q2742" s="1">
        <v>25</v>
      </c>
      <c r="R2742" s="1">
        <v>25</v>
      </c>
      <c r="S2742" s="1">
        <v>0</v>
      </c>
      <c r="T2742" s="1">
        <v>0</v>
      </c>
      <c r="U2742" s="1">
        <v>0</v>
      </c>
      <c r="V2742" s="1" t="str">
        <f t="shared" si="520"/>
        <v>里程返程</v>
      </c>
      <c r="W2742" s="1" t="str">
        <f>"088B"</f>
        <v>088B</v>
      </c>
      <c r="X2742" s="1" t="s">
        <v>109</v>
      </c>
    </row>
    <row r="2743" spans="1:24" x14ac:dyDescent="0.3">
      <c r="A2743" s="1" t="str">
        <f t="shared" si="524"/>
        <v>59829</v>
      </c>
      <c r="B2743" s="1" t="s">
        <v>47</v>
      </c>
      <c r="C2743" s="1" t="s">
        <v>48</v>
      </c>
      <c r="D2743" s="1" t="str">
        <f t="shared" si="525"/>
        <v>9806</v>
      </c>
      <c r="E2743" s="1" t="s">
        <v>49</v>
      </c>
      <c r="F2743" s="1" t="str">
        <f>"652006485"</f>
        <v>652006485</v>
      </c>
      <c r="G2743" s="1" t="s">
        <v>33</v>
      </c>
      <c r="H2743" s="1" t="str">
        <f t="shared" si="522"/>
        <v>20220912</v>
      </c>
      <c r="I2743" s="1" t="str">
        <f>"072814"</f>
        <v>072814</v>
      </c>
      <c r="J2743" s="1" t="s">
        <v>28</v>
      </c>
      <c r="K2743" s="1" t="s">
        <v>28</v>
      </c>
      <c r="L2743" s="1" t="str">
        <f t="shared" si="523"/>
        <v>20220912</v>
      </c>
      <c r="M2743" s="1" t="str">
        <f>"073810"</f>
        <v>073810</v>
      </c>
      <c r="N2743" s="1" t="s">
        <v>28</v>
      </c>
      <c r="O2743" s="1" t="s">
        <v>28</v>
      </c>
      <c r="P2743" s="1" t="s">
        <v>55</v>
      </c>
      <c r="Q2743" s="1">
        <v>25</v>
      </c>
      <c r="R2743" s="1">
        <v>0</v>
      </c>
      <c r="S2743" s="1">
        <v>25</v>
      </c>
      <c r="T2743" s="1">
        <v>0</v>
      </c>
      <c r="U2743" s="1">
        <v>0</v>
      </c>
      <c r="V2743" s="1" t="str">
        <f t="shared" si="520"/>
        <v>里程返程</v>
      </c>
      <c r="W2743" s="1" t="str">
        <f>"0820"</f>
        <v>0820</v>
      </c>
      <c r="X2743" s="1" t="s">
        <v>35</v>
      </c>
    </row>
    <row r="2744" spans="1:24" x14ac:dyDescent="0.3">
      <c r="A2744" s="1" t="str">
        <f t="shared" si="524"/>
        <v>59829</v>
      </c>
      <c r="B2744" s="1" t="s">
        <v>47</v>
      </c>
      <c r="C2744" s="1" t="s">
        <v>48</v>
      </c>
      <c r="D2744" s="1" t="str">
        <f t="shared" si="525"/>
        <v>9806</v>
      </c>
      <c r="E2744" s="1" t="s">
        <v>49</v>
      </c>
      <c r="F2744" s="1" t="str">
        <f>"F238370AF7880400C810002000000016"</f>
        <v>F238370AF7880400C810002000000016</v>
      </c>
      <c r="G2744" s="1" t="s">
        <v>59</v>
      </c>
      <c r="H2744" s="1" t="str">
        <f t="shared" si="522"/>
        <v>20220912</v>
      </c>
      <c r="I2744" s="1" t="str">
        <f>"072822"</f>
        <v>072822</v>
      </c>
      <c r="J2744" s="1" t="s">
        <v>28</v>
      </c>
      <c r="K2744" s="1" t="s">
        <v>28</v>
      </c>
      <c r="L2744" s="1" t="str">
        <f t="shared" si="523"/>
        <v>20220912</v>
      </c>
      <c r="M2744" s="1" t="str">
        <f>"073825"</f>
        <v>073825</v>
      </c>
      <c r="N2744" s="1" t="s">
        <v>28</v>
      </c>
      <c r="O2744" s="1" t="s">
        <v>28</v>
      </c>
      <c r="P2744" s="1" t="s">
        <v>55</v>
      </c>
      <c r="Q2744" s="1">
        <v>25</v>
      </c>
      <c r="R2744" s="1">
        <v>0</v>
      </c>
      <c r="S2744" s="1">
        <v>25</v>
      </c>
      <c r="T2744" s="1">
        <v>0</v>
      </c>
      <c r="U2744" s="1">
        <v>0</v>
      </c>
      <c r="V2744" s="1" t="str">
        <f t="shared" si="520"/>
        <v>里程返程</v>
      </c>
      <c r="W2744" s="1" t="str">
        <f>"0620"</f>
        <v>0620</v>
      </c>
      <c r="X2744" s="1" t="s">
        <v>29</v>
      </c>
    </row>
    <row r="2745" spans="1:24" x14ac:dyDescent="0.3">
      <c r="A2745" s="1" t="str">
        <f t="shared" si="524"/>
        <v>59829</v>
      </c>
      <c r="B2745" s="1" t="s">
        <v>47</v>
      </c>
      <c r="C2745" s="1" t="s">
        <v>48</v>
      </c>
      <c r="D2745" s="1" t="str">
        <f t="shared" si="525"/>
        <v>9806</v>
      </c>
      <c r="E2745" s="1" t="s">
        <v>49</v>
      </c>
      <c r="F2745" s="1" t="str">
        <f>"62C93D1680880400C814002000000019"</f>
        <v>62C93D1680880400C814002000000019</v>
      </c>
      <c r="G2745" s="1" t="s">
        <v>59</v>
      </c>
      <c r="H2745" s="1" t="str">
        <f t="shared" si="522"/>
        <v>20220912</v>
      </c>
      <c r="I2745" s="1" t="str">
        <f>"072824"</f>
        <v>072824</v>
      </c>
      <c r="J2745" s="1" t="s">
        <v>28</v>
      </c>
      <c r="K2745" s="1" t="s">
        <v>28</v>
      </c>
      <c r="L2745" s="1" t="str">
        <f t="shared" si="523"/>
        <v>20220912</v>
      </c>
      <c r="M2745" s="1" t="str">
        <f>"073823"</f>
        <v>073823</v>
      </c>
      <c r="N2745" s="1" t="s">
        <v>28</v>
      </c>
      <c r="O2745" s="1" t="s">
        <v>28</v>
      </c>
      <c r="P2745" s="1" t="s">
        <v>55</v>
      </c>
      <c r="Q2745" s="1">
        <v>25</v>
      </c>
      <c r="R2745" s="1">
        <v>0</v>
      </c>
      <c r="S2745" s="1">
        <v>25</v>
      </c>
      <c r="T2745" s="1">
        <v>0</v>
      </c>
      <c r="U2745" s="1">
        <v>0</v>
      </c>
      <c r="V2745" s="1" t="str">
        <f t="shared" si="520"/>
        <v>里程返程</v>
      </c>
      <c r="W2745" s="1" t="str">
        <f>"0620"</f>
        <v>0620</v>
      </c>
      <c r="X2745" s="1" t="s">
        <v>29</v>
      </c>
    </row>
    <row r="2746" spans="1:24" x14ac:dyDescent="0.3">
      <c r="A2746" s="1" t="str">
        <f t="shared" si="524"/>
        <v>59829</v>
      </c>
      <c r="B2746" s="1" t="s">
        <v>47</v>
      </c>
      <c r="C2746" s="1" t="s">
        <v>48</v>
      </c>
      <c r="D2746" s="1" t="str">
        <f t="shared" si="525"/>
        <v>9806</v>
      </c>
      <c r="E2746" s="1" t="s">
        <v>49</v>
      </c>
      <c r="F2746" s="1" t="str">
        <f>"538267473"</f>
        <v>538267473</v>
      </c>
      <c r="G2746" s="1" t="s">
        <v>33</v>
      </c>
      <c r="H2746" s="1" t="str">
        <f t="shared" si="522"/>
        <v>20220912</v>
      </c>
      <c r="I2746" s="1" t="str">
        <f>"072828"</f>
        <v>072828</v>
      </c>
      <c r="J2746" s="1" t="s">
        <v>28</v>
      </c>
      <c r="K2746" s="1" t="s">
        <v>28</v>
      </c>
      <c r="L2746" s="1" t="str">
        <f t="shared" si="523"/>
        <v>20220912</v>
      </c>
      <c r="M2746" s="1" t="str">
        <f>"074602"</f>
        <v>074602</v>
      </c>
      <c r="N2746" s="1" t="s">
        <v>104</v>
      </c>
      <c r="O2746" s="1" t="s">
        <v>28</v>
      </c>
      <c r="P2746" s="1" t="s">
        <v>55</v>
      </c>
      <c r="Q2746" s="1">
        <v>25</v>
      </c>
      <c r="R2746" s="1">
        <v>0</v>
      </c>
      <c r="S2746" s="1">
        <v>25</v>
      </c>
      <c r="T2746" s="1">
        <v>0</v>
      </c>
      <c r="U2746" s="1">
        <v>0</v>
      </c>
      <c r="V2746" s="1" t="str">
        <f t="shared" si="520"/>
        <v>里程返程</v>
      </c>
      <c r="W2746" s="1" t="str">
        <f>"0820"</f>
        <v>0820</v>
      </c>
      <c r="X2746" s="1" t="s">
        <v>35</v>
      </c>
    </row>
    <row r="2747" spans="1:24" x14ac:dyDescent="0.3">
      <c r="A2747" s="1" t="str">
        <f t="shared" si="524"/>
        <v>59829</v>
      </c>
      <c r="B2747" s="1" t="s">
        <v>47</v>
      </c>
      <c r="C2747" s="1" t="s">
        <v>48</v>
      </c>
      <c r="D2747" s="1" t="str">
        <f t="shared" si="525"/>
        <v>9806</v>
      </c>
      <c r="E2747" s="1" t="s">
        <v>49</v>
      </c>
      <c r="F2747" s="1" t="str">
        <f>"1202E702F5880400C834002000000015"</f>
        <v>1202E702F5880400C834002000000015</v>
      </c>
      <c r="G2747" s="1" t="s">
        <v>74</v>
      </c>
      <c r="H2747" s="1" t="str">
        <f t="shared" si="522"/>
        <v>20220912</v>
      </c>
      <c r="I2747" s="1" t="str">
        <f>"073322"</f>
        <v>073322</v>
      </c>
      <c r="J2747" s="1" t="s">
        <v>28</v>
      </c>
      <c r="K2747" s="1" t="s">
        <v>28</v>
      </c>
      <c r="L2747" s="1" t="str">
        <f t="shared" si="523"/>
        <v>20220912</v>
      </c>
      <c r="M2747" s="1" t="str">
        <f>"074559"</f>
        <v>074559</v>
      </c>
      <c r="N2747" s="1" t="s">
        <v>104</v>
      </c>
      <c r="O2747" s="1" t="s">
        <v>28</v>
      </c>
      <c r="P2747" s="1" t="s">
        <v>68</v>
      </c>
      <c r="Q2747" s="1">
        <v>13</v>
      </c>
      <c r="R2747" s="1">
        <v>0</v>
      </c>
      <c r="S2747" s="1">
        <v>0</v>
      </c>
      <c r="T2747" s="1">
        <v>13</v>
      </c>
      <c r="U2747" s="1">
        <v>0</v>
      </c>
      <c r="V2747" s="1" t="str">
        <f t="shared" si="520"/>
        <v>里程返程</v>
      </c>
      <c r="W2747" s="1" t="str">
        <f>"0020"</f>
        <v>0020</v>
      </c>
      <c r="X2747" s="1" t="s">
        <v>29</v>
      </c>
    </row>
    <row r="2748" spans="1:24" x14ac:dyDescent="0.3">
      <c r="A2748" s="1" t="str">
        <f t="shared" si="524"/>
        <v>59829</v>
      </c>
      <c r="B2748" s="1" t="s">
        <v>47</v>
      </c>
      <c r="C2748" s="1" t="s">
        <v>48</v>
      </c>
      <c r="D2748" s="1" t="str">
        <f>"9803"</f>
        <v>9803</v>
      </c>
      <c r="E2748" s="1" t="s">
        <v>32</v>
      </c>
      <c r="F2748" s="1" t="str">
        <f>"1008707140"</f>
        <v>1008707140</v>
      </c>
      <c r="G2748" s="1" t="s">
        <v>33</v>
      </c>
      <c r="H2748" s="1" t="str">
        <f t="shared" si="522"/>
        <v>20220912</v>
      </c>
      <c r="I2748" s="1" t="str">
        <f>"083349"</f>
        <v>083349</v>
      </c>
      <c r="J2748" s="1" t="s">
        <v>34</v>
      </c>
      <c r="K2748" s="1" t="s">
        <v>34</v>
      </c>
      <c r="L2748" s="1" t="str">
        <f t="shared" si="523"/>
        <v>20220912</v>
      </c>
      <c r="M2748" s="1" t="str">
        <f>"090710"</f>
        <v>090710</v>
      </c>
      <c r="N2748" s="1" t="s">
        <v>28</v>
      </c>
      <c r="O2748" s="1" t="s">
        <v>28</v>
      </c>
      <c r="P2748" s="1" t="s">
        <v>55</v>
      </c>
      <c r="Q2748" s="1">
        <v>25</v>
      </c>
      <c r="R2748" s="1">
        <v>25</v>
      </c>
      <c r="S2748" s="1">
        <v>0</v>
      </c>
      <c r="T2748" s="1">
        <v>0</v>
      </c>
      <c r="U2748" s="1">
        <v>0</v>
      </c>
      <c r="V2748" s="1" t="str">
        <f t="shared" si="520"/>
        <v>里程返程</v>
      </c>
      <c r="W2748" s="1" t="str">
        <f>"2020"</f>
        <v>2020</v>
      </c>
      <c r="X2748" s="1" t="s">
        <v>35</v>
      </c>
    </row>
    <row r="2749" spans="1:24" x14ac:dyDescent="0.3">
      <c r="A2749" s="1" t="str">
        <f t="shared" si="524"/>
        <v>59829</v>
      </c>
      <c r="B2749" s="1" t="s">
        <v>47</v>
      </c>
      <c r="C2749" s="1" t="s">
        <v>48</v>
      </c>
      <c r="D2749" s="1" t="str">
        <f>"9805"</f>
        <v>9805</v>
      </c>
      <c r="E2749" s="1" t="s">
        <v>57</v>
      </c>
      <c r="F2749" s="1" t="str">
        <f>"568919073"</f>
        <v>568919073</v>
      </c>
      <c r="G2749" s="1" t="s">
        <v>33</v>
      </c>
      <c r="H2749" s="1" t="str">
        <f t="shared" si="522"/>
        <v>20220912</v>
      </c>
      <c r="I2749" s="1" t="str">
        <f>"120726"</f>
        <v>120726</v>
      </c>
      <c r="J2749" s="1" t="s">
        <v>28</v>
      </c>
      <c r="K2749" s="1" t="s">
        <v>28</v>
      </c>
      <c r="L2749" s="1" t="str">
        <f t="shared" si="523"/>
        <v>20220912</v>
      </c>
      <c r="M2749" s="1" t="str">
        <f>"122833"</f>
        <v>122833</v>
      </c>
      <c r="N2749" s="1" t="s">
        <v>52</v>
      </c>
      <c r="O2749" s="1" t="s">
        <v>52</v>
      </c>
      <c r="P2749" s="1" t="s">
        <v>55</v>
      </c>
      <c r="Q2749" s="1">
        <v>25</v>
      </c>
      <c r="R2749" s="1">
        <v>25</v>
      </c>
      <c r="S2749" s="1">
        <v>0</v>
      </c>
      <c r="T2749" s="1">
        <v>0</v>
      </c>
      <c r="U2749" s="1">
        <v>0</v>
      </c>
      <c r="V2749" s="1" t="str">
        <f t="shared" ref="V2749:V2763" si="526">"里程去程"</f>
        <v>里程去程</v>
      </c>
      <c r="W2749" s="1" t="str">
        <f>"0a20"</f>
        <v>0a20</v>
      </c>
      <c r="X2749" s="1" t="s">
        <v>35</v>
      </c>
    </row>
    <row r="2750" spans="1:24" x14ac:dyDescent="0.3">
      <c r="A2750" s="1" t="str">
        <f t="shared" si="524"/>
        <v>59829</v>
      </c>
      <c r="B2750" s="1" t="s">
        <v>47</v>
      </c>
      <c r="C2750" s="1" t="s">
        <v>48</v>
      </c>
      <c r="D2750" s="1" t="str">
        <f>"9805"</f>
        <v>9805</v>
      </c>
      <c r="E2750" s="1" t="s">
        <v>57</v>
      </c>
      <c r="F2750" s="1" t="str">
        <f>"1605509537"</f>
        <v>1605509537</v>
      </c>
      <c r="G2750" s="1" t="s">
        <v>33</v>
      </c>
      <c r="H2750" s="1" t="str">
        <f t="shared" si="522"/>
        <v>20220912</v>
      </c>
      <c r="I2750" s="1" t="str">
        <f>"120731"</f>
        <v>120731</v>
      </c>
      <c r="J2750" s="1" t="s">
        <v>28</v>
      </c>
      <c r="K2750" s="1" t="s">
        <v>28</v>
      </c>
      <c r="L2750" s="1" t="str">
        <f t="shared" si="523"/>
        <v>20220912</v>
      </c>
      <c r="M2750" s="1" t="str">
        <f>"122838"</f>
        <v>122838</v>
      </c>
      <c r="N2750" s="1" t="s">
        <v>52</v>
      </c>
      <c r="O2750" s="1" t="s">
        <v>52</v>
      </c>
      <c r="P2750" s="1" t="s">
        <v>55</v>
      </c>
      <c r="Q2750" s="1">
        <v>25</v>
      </c>
      <c r="R2750" s="1">
        <v>25</v>
      </c>
      <c r="S2750" s="1">
        <v>0</v>
      </c>
      <c r="T2750" s="1">
        <v>0</v>
      </c>
      <c r="U2750" s="1">
        <v>0</v>
      </c>
      <c r="V2750" s="1" t="str">
        <f t="shared" si="526"/>
        <v>里程去程</v>
      </c>
      <c r="W2750" s="1" t="str">
        <f>"0820"</f>
        <v>0820</v>
      </c>
      <c r="X2750" s="1" t="s">
        <v>35</v>
      </c>
    </row>
    <row r="2751" spans="1:24" x14ac:dyDescent="0.3">
      <c r="A2751" s="1" t="str">
        <f t="shared" si="524"/>
        <v>59829</v>
      </c>
      <c r="B2751" s="1" t="s">
        <v>47</v>
      </c>
      <c r="C2751" s="1" t="s">
        <v>48</v>
      </c>
      <c r="D2751" s="1" t="str">
        <f>"9805"</f>
        <v>9805</v>
      </c>
      <c r="E2751" s="1" t="s">
        <v>57</v>
      </c>
      <c r="F2751" s="1" t="str">
        <f>"782068773"</f>
        <v>782068773</v>
      </c>
      <c r="G2751" s="1" t="s">
        <v>33</v>
      </c>
      <c r="H2751" s="1" t="str">
        <f t="shared" si="522"/>
        <v>20220912</v>
      </c>
      <c r="I2751" s="1" t="str">
        <f>"120735"</f>
        <v>120735</v>
      </c>
      <c r="J2751" s="1" t="s">
        <v>28</v>
      </c>
      <c r="K2751" s="1" t="s">
        <v>28</v>
      </c>
      <c r="L2751" s="1" t="str">
        <f t="shared" si="523"/>
        <v>20220912</v>
      </c>
      <c r="M2751" s="1" t="str">
        <f>"122841"</f>
        <v>122841</v>
      </c>
      <c r="N2751" s="1" t="s">
        <v>52</v>
      </c>
      <c r="O2751" s="1" t="s">
        <v>52</v>
      </c>
      <c r="P2751" s="1" t="s">
        <v>55</v>
      </c>
      <c r="Q2751" s="1">
        <v>25</v>
      </c>
      <c r="R2751" s="1">
        <v>25</v>
      </c>
      <c r="S2751" s="1">
        <v>0</v>
      </c>
      <c r="T2751" s="1">
        <v>0</v>
      </c>
      <c r="U2751" s="1">
        <v>0</v>
      </c>
      <c r="V2751" s="1" t="str">
        <f t="shared" si="526"/>
        <v>里程去程</v>
      </c>
      <c r="W2751" s="1" t="str">
        <f>"1220"</f>
        <v>1220</v>
      </c>
      <c r="X2751" s="1" t="s">
        <v>35</v>
      </c>
    </row>
    <row r="2752" spans="1:24" x14ac:dyDescent="0.3">
      <c r="A2752" s="1" t="str">
        <f t="shared" si="524"/>
        <v>59829</v>
      </c>
      <c r="B2752" s="1" t="s">
        <v>47</v>
      </c>
      <c r="C2752" s="1" t="s">
        <v>48</v>
      </c>
      <c r="D2752" s="1" t="str">
        <f>"9803"</f>
        <v>9803</v>
      </c>
      <c r="E2752" s="1" t="s">
        <v>32</v>
      </c>
      <c r="F2752" s="1" t="str">
        <f>"B24B4D00B4880400C837002000000014"</f>
        <v>B24B4D00B4880400C837002000000014</v>
      </c>
      <c r="G2752" s="1" t="s">
        <v>58</v>
      </c>
      <c r="H2752" s="1" t="str">
        <f t="shared" si="522"/>
        <v>20220912</v>
      </c>
      <c r="I2752" s="1" t="str">
        <f>"132643"</f>
        <v>132643</v>
      </c>
      <c r="J2752" s="1" t="s">
        <v>28</v>
      </c>
      <c r="K2752" s="1" t="s">
        <v>28</v>
      </c>
      <c r="L2752" s="1" t="str">
        <f t="shared" si="523"/>
        <v>20220912</v>
      </c>
      <c r="M2752" s="1" t="str">
        <f>"134720"</f>
        <v>134720</v>
      </c>
      <c r="N2752" s="1" t="s">
        <v>34</v>
      </c>
      <c r="O2752" s="1" t="s">
        <v>34</v>
      </c>
      <c r="P2752" s="1" t="s">
        <v>55</v>
      </c>
      <c r="Q2752" s="1">
        <v>25</v>
      </c>
      <c r="R2752" s="1">
        <v>25</v>
      </c>
      <c r="S2752" s="1">
        <v>0</v>
      </c>
      <c r="T2752" s="1">
        <v>0</v>
      </c>
      <c r="U2752" s="1">
        <v>0</v>
      </c>
      <c r="V2752" s="1" t="str">
        <f t="shared" si="526"/>
        <v>里程去程</v>
      </c>
      <c r="W2752" s="1" t="str">
        <f>"0020"</f>
        <v>0020</v>
      </c>
      <c r="X2752" s="1" t="s">
        <v>29</v>
      </c>
    </row>
    <row r="2753" spans="1:24" x14ac:dyDescent="0.3">
      <c r="A2753" s="1" t="str">
        <f t="shared" si="524"/>
        <v>59829</v>
      </c>
      <c r="B2753" s="1" t="s">
        <v>47</v>
      </c>
      <c r="C2753" s="1" t="s">
        <v>48</v>
      </c>
      <c r="D2753" s="1" t="str">
        <f>"9803"</f>
        <v>9803</v>
      </c>
      <c r="E2753" s="1" t="s">
        <v>32</v>
      </c>
      <c r="F2753" s="1" t="str">
        <f>"205455953"</f>
        <v>205455953</v>
      </c>
      <c r="G2753" s="1" t="s">
        <v>33</v>
      </c>
      <c r="H2753" s="1" t="str">
        <f t="shared" si="522"/>
        <v>20220912</v>
      </c>
      <c r="I2753" s="1" t="str">
        <f>"132856"</f>
        <v>132856</v>
      </c>
      <c r="J2753" s="1" t="s">
        <v>28</v>
      </c>
      <c r="K2753" s="1" t="s">
        <v>28</v>
      </c>
      <c r="L2753" s="1" t="str">
        <f t="shared" si="523"/>
        <v>20220912</v>
      </c>
      <c r="M2753" s="1" t="str">
        <f>"134739"</f>
        <v>134739</v>
      </c>
      <c r="N2753" s="1" t="s">
        <v>34</v>
      </c>
      <c r="O2753" s="1" t="s">
        <v>34</v>
      </c>
      <c r="P2753" s="1" t="s">
        <v>55</v>
      </c>
      <c r="Q2753" s="1">
        <v>25</v>
      </c>
      <c r="R2753" s="1">
        <v>25</v>
      </c>
      <c r="S2753" s="1">
        <v>0</v>
      </c>
      <c r="T2753" s="1">
        <v>0</v>
      </c>
      <c r="U2753" s="1">
        <v>0</v>
      </c>
      <c r="V2753" s="1" t="str">
        <f t="shared" si="526"/>
        <v>里程去程</v>
      </c>
      <c r="W2753" s="1" t="str">
        <f>"0120"</f>
        <v>0120</v>
      </c>
      <c r="X2753" s="1" t="s">
        <v>35</v>
      </c>
    </row>
    <row r="2754" spans="1:24" x14ac:dyDescent="0.3">
      <c r="A2754" s="1" t="str">
        <f t="shared" si="524"/>
        <v>59829</v>
      </c>
      <c r="B2754" s="1" t="s">
        <v>47</v>
      </c>
      <c r="C2754" s="1" t="s">
        <v>48</v>
      </c>
      <c r="D2754" s="1" t="str">
        <f>"9803"</f>
        <v>9803</v>
      </c>
      <c r="E2754" s="1" t="s">
        <v>32</v>
      </c>
      <c r="F2754" s="1" t="str">
        <f>"1419180017"</f>
        <v>1419180017</v>
      </c>
      <c r="G2754" s="1" t="s">
        <v>33</v>
      </c>
      <c r="H2754" s="1" t="str">
        <f t="shared" si="522"/>
        <v>20220912</v>
      </c>
      <c r="I2754" s="1" t="str">
        <f>"132916"</f>
        <v>132916</v>
      </c>
      <c r="J2754" s="1" t="s">
        <v>28</v>
      </c>
      <c r="K2754" s="1" t="s">
        <v>28</v>
      </c>
      <c r="L2754" s="1" t="str">
        <f t="shared" si="523"/>
        <v>20220912</v>
      </c>
      <c r="M2754" s="1" t="str">
        <f>"134733"</f>
        <v>134733</v>
      </c>
      <c r="N2754" s="1" t="s">
        <v>34</v>
      </c>
      <c r="O2754" s="1" t="s">
        <v>34</v>
      </c>
      <c r="P2754" s="1" t="s">
        <v>55</v>
      </c>
      <c r="Q2754" s="1">
        <v>25</v>
      </c>
      <c r="R2754" s="1">
        <v>25</v>
      </c>
      <c r="S2754" s="1">
        <v>0</v>
      </c>
      <c r="T2754" s="1">
        <v>0</v>
      </c>
      <c r="U2754" s="1">
        <v>0</v>
      </c>
      <c r="V2754" s="1" t="str">
        <f t="shared" si="526"/>
        <v>里程去程</v>
      </c>
      <c r="W2754" s="1" t="str">
        <f>"0120"</f>
        <v>0120</v>
      </c>
      <c r="X2754" s="1" t="s">
        <v>35</v>
      </c>
    </row>
    <row r="2755" spans="1:24" x14ac:dyDescent="0.3">
      <c r="A2755" s="1" t="str">
        <f t="shared" si="524"/>
        <v>59829</v>
      </c>
      <c r="B2755" s="1" t="s">
        <v>47</v>
      </c>
      <c r="C2755" s="1" t="s">
        <v>48</v>
      </c>
      <c r="D2755" s="1" t="str">
        <f>"9803"</f>
        <v>9803</v>
      </c>
      <c r="E2755" s="1" t="s">
        <v>32</v>
      </c>
      <c r="F2755" s="1" t="str">
        <f>"1709069061"</f>
        <v>1709069061</v>
      </c>
      <c r="G2755" s="1" t="s">
        <v>33</v>
      </c>
      <c r="H2755" s="1" t="str">
        <f t="shared" si="522"/>
        <v>20220912</v>
      </c>
      <c r="I2755" s="1" t="str">
        <f>"133822"</f>
        <v>133822</v>
      </c>
      <c r="J2755" s="1" t="s">
        <v>46</v>
      </c>
      <c r="K2755" s="1" t="s">
        <v>28</v>
      </c>
      <c r="L2755" s="1" t="str">
        <f t="shared" si="523"/>
        <v>20220912</v>
      </c>
      <c r="M2755" s="1" t="str">
        <f>"134710"</f>
        <v>134710</v>
      </c>
      <c r="N2755" s="1" t="s">
        <v>34</v>
      </c>
      <c r="O2755" s="1" t="s">
        <v>34</v>
      </c>
      <c r="P2755" s="1" t="s">
        <v>55</v>
      </c>
      <c r="Q2755" s="1">
        <v>25</v>
      </c>
      <c r="R2755" s="1">
        <v>25</v>
      </c>
      <c r="S2755" s="1">
        <v>0</v>
      </c>
      <c r="T2755" s="1">
        <v>0</v>
      </c>
      <c r="U2755" s="1">
        <v>0</v>
      </c>
      <c r="V2755" s="1" t="str">
        <f t="shared" si="526"/>
        <v>里程去程</v>
      </c>
      <c r="W2755" s="1" t="str">
        <f>"2020"</f>
        <v>2020</v>
      </c>
      <c r="X2755" s="1" t="s">
        <v>35</v>
      </c>
    </row>
    <row r="2756" spans="1:24" x14ac:dyDescent="0.3">
      <c r="A2756" s="1" t="str">
        <f t="shared" si="524"/>
        <v>59829</v>
      </c>
      <c r="B2756" s="1" t="s">
        <v>47</v>
      </c>
      <c r="C2756" s="1" t="s">
        <v>48</v>
      </c>
      <c r="D2756" s="1" t="str">
        <f t="shared" ref="D2756:D2765" si="527">"9805"</f>
        <v>9805</v>
      </c>
      <c r="E2756" s="1" t="s">
        <v>57</v>
      </c>
      <c r="F2756" s="1" t="str">
        <f>"2890179272"</f>
        <v>2890179272</v>
      </c>
      <c r="G2756" s="1" t="s">
        <v>33</v>
      </c>
      <c r="H2756" s="1" t="str">
        <f t="shared" si="522"/>
        <v>20220912</v>
      </c>
      <c r="I2756" s="1" t="str">
        <f>"151446"</f>
        <v>151446</v>
      </c>
      <c r="J2756" s="1" t="s">
        <v>28</v>
      </c>
      <c r="K2756" s="1" t="s">
        <v>28</v>
      </c>
      <c r="L2756" s="1" t="str">
        <f t="shared" si="523"/>
        <v>20220912</v>
      </c>
      <c r="M2756" s="1" t="str">
        <f>"153640"</f>
        <v>153640</v>
      </c>
      <c r="N2756" s="1" t="s">
        <v>52</v>
      </c>
      <c r="O2756" s="1" t="s">
        <v>52</v>
      </c>
      <c r="P2756" s="1" t="s">
        <v>55</v>
      </c>
      <c r="Q2756" s="1">
        <v>25</v>
      </c>
      <c r="R2756" s="1">
        <v>25</v>
      </c>
      <c r="S2756" s="1">
        <v>0</v>
      </c>
      <c r="T2756" s="1">
        <v>0</v>
      </c>
      <c r="U2756" s="1">
        <v>0</v>
      </c>
      <c r="V2756" s="1" t="str">
        <f t="shared" si="526"/>
        <v>里程去程</v>
      </c>
      <c r="W2756" s="1" t="str">
        <f>"0220"</f>
        <v>0220</v>
      </c>
      <c r="X2756" s="1" t="s">
        <v>35</v>
      </c>
    </row>
    <row r="2757" spans="1:24" x14ac:dyDescent="0.3">
      <c r="A2757" s="1" t="str">
        <f t="shared" si="524"/>
        <v>59829</v>
      </c>
      <c r="B2757" s="1" t="s">
        <v>47</v>
      </c>
      <c r="C2757" s="1" t="s">
        <v>48</v>
      </c>
      <c r="D2757" s="1" t="str">
        <f t="shared" si="527"/>
        <v>9805</v>
      </c>
      <c r="E2757" s="1" t="s">
        <v>57</v>
      </c>
      <c r="F2757" s="1" t="str">
        <f>"1769189713"</f>
        <v>1769189713</v>
      </c>
      <c r="G2757" s="1" t="s">
        <v>33</v>
      </c>
      <c r="H2757" s="1" t="str">
        <f t="shared" si="522"/>
        <v>20220912</v>
      </c>
      <c r="I2757" s="1" t="str">
        <f>"151457"</f>
        <v>151457</v>
      </c>
      <c r="J2757" s="1" t="s">
        <v>28</v>
      </c>
      <c r="K2757" s="1" t="s">
        <v>28</v>
      </c>
      <c r="L2757" s="1" t="str">
        <f t="shared" si="523"/>
        <v>20220912</v>
      </c>
      <c r="M2757" s="1" t="str">
        <f>"153133"</f>
        <v>153133</v>
      </c>
      <c r="N2757" s="1" t="s">
        <v>61</v>
      </c>
      <c r="O2757" s="1" t="s">
        <v>28</v>
      </c>
      <c r="P2757" s="1" t="s">
        <v>55</v>
      </c>
      <c r="Q2757" s="1">
        <v>25</v>
      </c>
      <c r="R2757" s="1">
        <v>0</v>
      </c>
      <c r="S2757" s="1">
        <v>25</v>
      </c>
      <c r="T2757" s="1">
        <v>0</v>
      </c>
      <c r="U2757" s="1">
        <v>0</v>
      </c>
      <c r="V2757" s="1" t="str">
        <f t="shared" si="526"/>
        <v>里程去程</v>
      </c>
      <c r="W2757" s="1" t="str">
        <f>"2020"</f>
        <v>2020</v>
      </c>
      <c r="X2757" s="1" t="s">
        <v>35</v>
      </c>
    </row>
    <row r="2758" spans="1:24" x14ac:dyDescent="0.3">
      <c r="A2758" s="1" t="str">
        <f t="shared" si="524"/>
        <v>59829</v>
      </c>
      <c r="B2758" s="1" t="s">
        <v>47</v>
      </c>
      <c r="C2758" s="1" t="s">
        <v>48</v>
      </c>
      <c r="D2758" s="1" t="str">
        <f t="shared" si="527"/>
        <v>9805</v>
      </c>
      <c r="E2758" s="1" t="s">
        <v>57</v>
      </c>
      <c r="F2758" s="1" t="str">
        <f>"916CDB4462280400F700000000000000"</f>
        <v>916CDB4462280400F700000000000000</v>
      </c>
      <c r="G2758" s="1" t="s">
        <v>58</v>
      </c>
      <c r="H2758" s="1" t="str">
        <f t="shared" si="522"/>
        <v>20220912</v>
      </c>
      <c r="I2758" s="1" t="str">
        <f>"151502"</f>
        <v>151502</v>
      </c>
      <c r="J2758" s="1" t="s">
        <v>28</v>
      </c>
      <c r="K2758" s="1" t="s">
        <v>28</v>
      </c>
      <c r="L2758" s="1" t="str">
        <f t="shared" si="523"/>
        <v>20220912</v>
      </c>
      <c r="M2758" s="1" t="str">
        <f>"153649"</f>
        <v>153649</v>
      </c>
      <c r="N2758" s="1" t="s">
        <v>52</v>
      </c>
      <c r="O2758" s="1" t="s">
        <v>52</v>
      </c>
      <c r="P2758" s="1" t="s">
        <v>55</v>
      </c>
      <c r="Q2758" s="1">
        <v>25</v>
      </c>
      <c r="R2758" s="1">
        <v>25</v>
      </c>
      <c r="S2758" s="1">
        <v>0</v>
      </c>
      <c r="T2758" s="1">
        <v>0</v>
      </c>
      <c r="U2758" s="1">
        <v>0</v>
      </c>
      <c r="V2758" s="1" t="str">
        <f t="shared" si="526"/>
        <v>里程去程</v>
      </c>
      <c r="W2758" s="1" t="str">
        <f>"0020"</f>
        <v>0020</v>
      </c>
      <c r="X2758" s="1" t="s">
        <v>29</v>
      </c>
    </row>
    <row r="2759" spans="1:24" x14ac:dyDescent="0.3">
      <c r="A2759" s="1" t="str">
        <f t="shared" si="524"/>
        <v>59829</v>
      </c>
      <c r="B2759" s="1" t="s">
        <v>47</v>
      </c>
      <c r="C2759" s="1" t="s">
        <v>48</v>
      </c>
      <c r="D2759" s="1" t="str">
        <f t="shared" si="527"/>
        <v>9805</v>
      </c>
      <c r="E2759" s="1" t="s">
        <v>57</v>
      </c>
      <c r="F2759" s="1" t="str">
        <f>"1051825013"</f>
        <v>1051825013</v>
      </c>
      <c r="G2759" s="1" t="s">
        <v>26</v>
      </c>
      <c r="H2759" s="1" t="str">
        <f t="shared" si="522"/>
        <v>20220912</v>
      </c>
      <c r="I2759" s="1" t="str">
        <f>"151656"</f>
        <v>151656</v>
      </c>
      <c r="J2759" s="1" t="s">
        <v>28</v>
      </c>
      <c r="K2759" s="1" t="s">
        <v>28</v>
      </c>
      <c r="L2759" s="1" t="str">
        <f t="shared" si="523"/>
        <v>20220912</v>
      </c>
      <c r="M2759" s="1" t="str">
        <f>"153645"</f>
        <v>153645</v>
      </c>
      <c r="N2759" s="1" t="s">
        <v>52</v>
      </c>
      <c r="O2759" s="1" t="s">
        <v>52</v>
      </c>
      <c r="P2759" s="1" t="s">
        <v>55</v>
      </c>
      <c r="Q2759" s="1">
        <v>13</v>
      </c>
      <c r="R2759" s="1">
        <v>13</v>
      </c>
      <c r="S2759" s="1">
        <v>0</v>
      </c>
      <c r="T2759" s="1">
        <v>0</v>
      </c>
      <c r="U2759" s="1">
        <v>0</v>
      </c>
      <c r="V2759" s="1" t="str">
        <f t="shared" si="526"/>
        <v>里程去程</v>
      </c>
      <c r="W2759" s="1" t="str">
        <f>"0120"</f>
        <v>0120</v>
      </c>
      <c r="X2759" s="1" t="s">
        <v>35</v>
      </c>
    </row>
    <row r="2760" spans="1:24" x14ac:dyDescent="0.3">
      <c r="A2760" s="1" t="str">
        <f t="shared" si="524"/>
        <v>59829</v>
      </c>
      <c r="B2760" s="1" t="s">
        <v>47</v>
      </c>
      <c r="C2760" s="1" t="s">
        <v>48</v>
      </c>
      <c r="D2760" s="1" t="str">
        <f t="shared" si="527"/>
        <v>9805</v>
      </c>
      <c r="E2760" s="1" t="s">
        <v>57</v>
      </c>
      <c r="F2760" s="1" t="str">
        <f>"1407866561"</f>
        <v>1407866561</v>
      </c>
      <c r="G2760" s="1" t="s">
        <v>26</v>
      </c>
      <c r="H2760" s="1" t="str">
        <f t="shared" si="522"/>
        <v>20220912</v>
      </c>
      <c r="I2760" s="1" t="str">
        <f>"151701"</f>
        <v>151701</v>
      </c>
      <c r="J2760" s="1" t="s">
        <v>28</v>
      </c>
      <c r="K2760" s="1" t="s">
        <v>28</v>
      </c>
      <c r="L2760" s="1" t="str">
        <f t="shared" si="523"/>
        <v>20220912</v>
      </c>
      <c r="M2760" s="1" t="str">
        <f>"153643"</f>
        <v>153643</v>
      </c>
      <c r="N2760" s="1" t="s">
        <v>52</v>
      </c>
      <c r="O2760" s="1" t="s">
        <v>52</v>
      </c>
      <c r="P2760" s="1" t="s">
        <v>55</v>
      </c>
      <c r="Q2760" s="1">
        <v>13</v>
      </c>
      <c r="R2760" s="1">
        <v>13</v>
      </c>
      <c r="S2760" s="1">
        <v>0</v>
      </c>
      <c r="T2760" s="1">
        <v>0</v>
      </c>
      <c r="U2760" s="1">
        <v>0</v>
      </c>
      <c r="V2760" s="1" t="str">
        <f t="shared" si="526"/>
        <v>里程去程</v>
      </c>
      <c r="W2760" s="1" t="str">
        <f>"0120"</f>
        <v>0120</v>
      </c>
      <c r="X2760" s="1" t="s">
        <v>35</v>
      </c>
    </row>
    <row r="2761" spans="1:24" x14ac:dyDescent="0.3">
      <c r="A2761" s="1" t="str">
        <f t="shared" si="524"/>
        <v>59829</v>
      </c>
      <c r="B2761" s="1" t="s">
        <v>47</v>
      </c>
      <c r="C2761" s="1" t="s">
        <v>48</v>
      </c>
      <c r="D2761" s="1" t="str">
        <f t="shared" si="527"/>
        <v>9805</v>
      </c>
      <c r="E2761" s="1" t="s">
        <v>57</v>
      </c>
      <c r="F2761" s="1" t="str">
        <f>"307740840"</f>
        <v>307740840</v>
      </c>
      <c r="G2761" s="1" t="s">
        <v>26</v>
      </c>
      <c r="H2761" s="1" t="str">
        <f t="shared" si="522"/>
        <v>20220912</v>
      </c>
      <c r="I2761" s="1" t="str">
        <f>"151712"</f>
        <v>151712</v>
      </c>
      <c r="J2761" s="1" t="s">
        <v>28</v>
      </c>
      <c r="K2761" s="1" t="s">
        <v>28</v>
      </c>
      <c r="L2761" s="1" t="str">
        <f t="shared" si="523"/>
        <v>20220912</v>
      </c>
      <c r="M2761" s="1" t="str">
        <f>"152709"</f>
        <v>152709</v>
      </c>
      <c r="N2761" s="1" t="s">
        <v>70</v>
      </c>
      <c r="O2761" s="1" t="s">
        <v>28</v>
      </c>
      <c r="P2761" s="1" t="s">
        <v>55</v>
      </c>
      <c r="Q2761" s="1">
        <v>13</v>
      </c>
      <c r="R2761" s="1">
        <v>13</v>
      </c>
      <c r="S2761" s="1">
        <v>0</v>
      </c>
      <c r="T2761" s="1">
        <v>0</v>
      </c>
      <c r="U2761" s="1">
        <v>0</v>
      </c>
      <c r="V2761" s="1" t="str">
        <f t="shared" si="526"/>
        <v>里程去程</v>
      </c>
      <c r="W2761" s="1" t="str">
        <f>"1420"</f>
        <v>1420</v>
      </c>
      <c r="X2761" s="1" t="s">
        <v>35</v>
      </c>
    </row>
    <row r="2762" spans="1:24" x14ac:dyDescent="0.3">
      <c r="A2762" s="1" t="str">
        <f t="shared" si="524"/>
        <v>59829</v>
      </c>
      <c r="B2762" s="1" t="s">
        <v>47</v>
      </c>
      <c r="C2762" s="1" t="s">
        <v>48</v>
      </c>
      <c r="D2762" s="1" t="str">
        <f t="shared" si="527"/>
        <v>9805</v>
      </c>
      <c r="E2762" s="1" t="s">
        <v>57</v>
      </c>
      <c r="F2762" s="1" t="str">
        <f>"881670561"</f>
        <v>881670561</v>
      </c>
      <c r="G2762" s="1" t="s">
        <v>33</v>
      </c>
      <c r="H2762" s="1" t="str">
        <f t="shared" si="522"/>
        <v>20220912</v>
      </c>
      <c r="I2762" s="1" t="str">
        <f>"151753"</f>
        <v>151753</v>
      </c>
      <c r="J2762" s="1" t="s">
        <v>28</v>
      </c>
      <c r="K2762" s="1" t="s">
        <v>28</v>
      </c>
      <c r="L2762" s="1" t="str">
        <f t="shared" si="523"/>
        <v>20220912</v>
      </c>
      <c r="M2762" s="1" t="str">
        <f>"153241"</f>
        <v>153241</v>
      </c>
      <c r="N2762" s="1" t="s">
        <v>56</v>
      </c>
      <c r="O2762" s="1" t="s">
        <v>28</v>
      </c>
      <c r="P2762" s="1" t="s">
        <v>55</v>
      </c>
      <c r="Q2762" s="1">
        <v>25</v>
      </c>
      <c r="R2762" s="1">
        <v>25</v>
      </c>
      <c r="S2762" s="1">
        <v>0</v>
      </c>
      <c r="T2762" s="1">
        <v>0</v>
      </c>
      <c r="U2762" s="1">
        <v>0</v>
      </c>
      <c r="V2762" s="1" t="str">
        <f t="shared" si="526"/>
        <v>里程去程</v>
      </c>
      <c r="W2762" s="1" t="str">
        <f>"1420"</f>
        <v>1420</v>
      </c>
      <c r="X2762" s="1" t="s">
        <v>35</v>
      </c>
    </row>
    <row r="2763" spans="1:24" x14ac:dyDescent="0.3">
      <c r="A2763" s="1" t="str">
        <f t="shared" si="524"/>
        <v>59829</v>
      </c>
      <c r="B2763" s="1" t="s">
        <v>47</v>
      </c>
      <c r="C2763" s="1" t="s">
        <v>48</v>
      </c>
      <c r="D2763" s="1" t="str">
        <f t="shared" si="527"/>
        <v>9805</v>
      </c>
      <c r="E2763" s="1" t="s">
        <v>57</v>
      </c>
      <c r="F2763" s="1" t="str">
        <f>"1011461841"</f>
        <v>1011461841</v>
      </c>
      <c r="G2763" s="1" t="s">
        <v>33</v>
      </c>
      <c r="H2763" s="1" t="str">
        <f t="shared" ref="H2763:H2768" si="528">"20220912"</f>
        <v>20220912</v>
      </c>
      <c r="I2763" s="1" t="str">
        <f>"151813"</f>
        <v>151813</v>
      </c>
      <c r="J2763" s="1" t="s">
        <v>28</v>
      </c>
      <c r="K2763" s="1" t="s">
        <v>28</v>
      </c>
      <c r="L2763" s="1" t="str">
        <f t="shared" ref="L2763:L2768" si="529">"20220912"</f>
        <v>20220912</v>
      </c>
      <c r="M2763" s="1" t="str">
        <f>"153230"</f>
        <v>153230</v>
      </c>
      <c r="N2763" s="1" t="s">
        <v>56</v>
      </c>
      <c r="O2763" s="1" t="s">
        <v>28</v>
      </c>
      <c r="P2763" s="1" t="s">
        <v>55</v>
      </c>
      <c r="Q2763" s="1">
        <v>25</v>
      </c>
      <c r="R2763" s="1">
        <v>0</v>
      </c>
      <c r="S2763" s="1">
        <v>25</v>
      </c>
      <c r="T2763" s="1">
        <v>0</v>
      </c>
      <c r="U2763" s="1">
        <v>0</v>
      </c>
      <c r="V2763" s="1" t="str">
        <f t="shared" si="526"/>
        <v>里程去程</v>
      </c>
      <c r="W2763" s="1" t="str">
        <f>"0820"</f>
        <v>0820</v>
      </c>
      <c r="X2763" s="1" t="s">
        <v>35</v>
      </c>
    </row>
    <row r="2764" spans="1:24" x14ac:dyDescent="0.3">
      <c r="A2764" s="1" t="str">
        <f t="shared" si="524"/>
        <v>59829</v>
      </c>
      <c r="B2764" s="1" t="s">
        <v>47</v>
      </c>
      <c r="C2764" s="1" t="s">
        <v>48</v>
      </c>
      <c r="D2764" s="1" t="str">
        <f t="shared" si="527"/>
        <v>9805</v>
      </c>
      <c r="E2764" s="1" t="s">
        <v>57</v>
      </c>
      <c r="F2764" s="1" t="str">
        <f>"833270337"</f>
        <v>833270337</v>
      </c>
      <c r="G2764" s="1" t="s">
        <v>33</v>
      </c>
      <c r="H2764" s="1" t="str">
        <f t="shared" si="528"/>
        <v>20220912</v>
      </c>
      <c r="I2764" s="1" t="str">
        <f>"153814"</f>
        <v>153814</v>
      </c>
      <c r="J2764" s="1" t="s">
        <v>52</v>
      </c>
      <c r="K2764" s="1" t="s">
        <v>52</v>
      </c>
      <c r="L2764" s="1" t="str">
        <f t="shared" si="529"/>
        <v>20220912</v>
      </c>
      <c r="M2764" s="1" t="str">
        <f>"155348"</f>
        <v>155348</v>
      </c>
      <c r="N2764" s="1" t="s">
        <v>28</v>
      </c>
      <c r="O2764" s="1" t="s">
        <v>28</v>
      </c>
      <c r="P2764" s="1" t="s">
        <v>55</v>
      </c>
      <c r="Q2764" s="1">
        <v>25</v>
      </c>
      <c r="R2764" s="1">
        <v>25</v>
      </c>
      <c r="S2764" s="1">
        <v>0</v>
      </c>
      <c r="T2764" s="1">
        <v>0</v>
      </c>
      <c r="U2764" s="1">
        <v>0</v>
      </c>
      <c r="V2764" s="1" t="str">
        <f t="shared" ref="V2764:V2797" si="530">"里程返程"</f>
        <v>里程返程</v>
      </c>
      <c r="W2764" s="1" t="str">
        <f>"2020"</f>
        <v>2020</v>
      </c>
      <c r="X2764" s="1" t="s">
        <v>35</v>
      </c>
    </row>
    <row r="2765" spans="1:24" x14ac:dyDescent="0.3">
      <c r="A2765" s="1" t="str">
        <f t="shared" si="524"/>
        <v>59829</v>
      </c>
      <c r="B2765" s="1" t="s">
        <v>47</v>
      </c>
      <c r="C2765" s="1" t="s">
        <v>48</v>
      </c>
      <c r="D2765" s="1" t="str">
        <f t="shared" si="527"/>
        <v>9805</v>
      </c>
      <c r="E2765" s="1" t="s">
        <v>57</v>
      </c>
      <c r="F2765" s="1" t="str">
        <f>"1993259610"</f>
        <v>1993259610</v>
      </c>
      <c r="G2765" s="1" t="s">
        <v>74</v>
      </c>
      <c r="H2765" s="1" t="str">
        <f t="shared" si="528"/>
        <v>20220912</v>
      </c>
      <c r="I2765" s="1" t="str">
        <f>"153816"</f>
        <v>153816</v>
      </c>
      <c r="J2765" s="1" t="s">
        <v>52</v>
      </c>
      <c r="K2765" s="1" t="s">
        <v>52</v>
      </c>
      <c r="L2765" s="1" t="str">
        <f t="shared" si="529"/>
        <v>20220912</v>
      </c>
      <c r="M2765" s="1" t="str">
        <f>"155345"</f>
        <v>155345</v>
      </c>
      <c r="N2765" s="1" t="s">
        <v>28</v>
      </c>
      <c r="O2765" s="1" t="s">
        <v>28</v>
      </c>
      <c r="P2765" s="1" t="s">
        <v>55</v>
      </c>
      <c r="Q2765" s="1">
        <v>13</v>
      </c>
      <c r="R2765" s="1">
        <v>0</v>
      </c>
      <c r="S2765" s="1">
        <v>13</v>
      </c>
      <c r="T2765" s="1">
        <v>0</v>
      </c>
      <c r="U2765" s="1">
        <v>0</v>
      </c>
      <c r="V2765" s="1" t="str">
        <f t="shared" si="530"/>
        <v>里程返程</v>
      </c>
      <c r="W2765" s="1" t="str">
        <f>"2020"</f>
        <v>2020</v>
      </c>
      <c r="X2765" s="1" t="s">
        <v>35</v>
      </c>
    </row>
    <row r="2766" spans="1:24" x14ac:dyDescent="0.3">
      <c r="A2766" s="1" t="str">
        <f t="shared" si="524"/>
        <v>59829</v>
      </c>
      <c r="B2766" s="1" t="s">
        <v>47</v>
      </c>
      <c r="C2766" s="1" t="s">
        <v>48</v>
      </c>
      <c r="D2766" s="1" t="str">
        <f>"9803"</f>
        <v>9803</v>
      </c>
      <c r="E2766" s="1" t="s">
        <v>32</v>
      </c>
      <c r="F2766" s="1" t="str">
        <f>"205455953"</f>
        <v>205455953</v>
      </c>
      <c r="G2766" s="1" t="s">
        <v>33</v>
      </c>
      <c r="H2766" s="1" t="str">
        <f t="shared" si="528"/>
        <v>20220912</v>
      </c>
      <c r="I2766" s="1" t="str">
        <f>"163730"</f>
        <v>163730</v>
      </c>
      <c r="J2766" s="1" t="s">
        <v>87</v>
      </c>
      <c r="K2766" s="1" t="s">
        <v>28</v>
      </c>
      <c r="L2766" s="1" t="str">
        <f t="shared" si="529"/>
        <v>20220912</v>
      </c>
      <c r="M2766" s="1" t="str">
        <f>"164359"</f>
        <v>164359</v>
      </c>
      <c r="N2766" s="1" t="s">
        <v>46</v>
      </c>
      <c r="O2766" s="1" t="s">
        <v>28</v>
      </c>
      <c r="P2766" s="1" t="s">
        <v>55</v>
      </c>
      <c r="Q2766" s="1">
        <v>25</v>
      </c>
      <c r="R2766" s="1">
        <v>25</v>
      </c>
      <c r="S2766" s="1">
        <v>0</v>
      </c>
      <c r="T2766" s="1">
        <v>0</v>
      </c>
      <c r="U2766" s="1">
        <v>0</v>
      </c>
      <c r="V2766" s="1" t="str">
        <f t="shared" si="530"/>
        <v>里程返程</v>
      </c>
      <c r="W2766" s="1" t="str">
        <f>"2020"</f>
        <v>2020</v>
      </c>
      <c r="X2766" s="1" t="s">
        <v>35</v>
      </c>
    </row>
    <row r="2767" spans="1:24" x14ac:dyDescent="0.3">
      <c r="A2767" s="1" t="str">
        <f t="shared" si="524"/>
        <v>59829</v>
      </c>
      <c r="B2767" s="1" t="s">
        <v>47</v>
      </c>
      <c r="C2767" s="1" t="s">
        <v>48</v>
      </c>
      <c r="D2767" s="1" t="str">
        <f>"9803"</f>
        <v>9803</v>
      </c>
      <c r="E2767" s="1" t="s">
        <v>32</v>
      </c>
      <c r="F2767" s="1" t="str">
        <f>"1419180017"</f>
        <v>1419180017</v>
      </c>
      <c r="G2767" s="1" t="s">
        <v>33</v>
      </c>
      <c r="H2767" s="1" t="str">
        <f t="shared" si="528"/>
        <v>20220912</v>
      </c>
      <c r="I2767" s="1" t="str">
        <f>"163757"</f>
        <v>163757</v>
      </c>
      <c r="J2767" s="1" t="s">
        <v>87</v>
      </c>
      <c r="K2767" s="1" t="s">
        <v>28</v>
      </c>
      <c r="L2767" s="1" t="str">
        <f t="shared" si="529"/>
        <v>20220912</v>
      </c>
      <c r="M2767" s="1" t="str">
        <f>"164353"</f>
        <v>164353</v>
      </c>
      <c r="N2767" s="1" t="s">
        <v>46</v>
      </c>
      <c r="O2767" s="1" t="s">
        <v>28</v>
      </c>
      <c r="P2767" s="1" t="s">
        <v>55</v>
      </c>
      <c r="Q2767" s="1">
        <v>25</v>
      </c>
      <c r="R2767" s="1">
        <v>25</v>
      </c>
      <c r="S2767" s="1">
        <v>0</v>
      </c>
      <c r="T2767" s="1">
        <v>0</v>
      </c>
      <c r="U2767" s="1">
        <v>0</v>
      </c>
      <c r="V2767" s="1" t="str">
        <f t="shared" si="530"/>
        <v>里程返程</v>
      </c>
      <c r="W2767" s="1" t="str">
        <f>"2020"</f>
        <v>2020</v>
      </c>
      <c r="X2767" s="1" t="s">
        <v>35</v>
      </c>
    </row>
    <row r="2768" spans="1:24" x14ac:dyDescent="0.3">
      <c r="A2768" s="1" t="str">
        <f t="shared" si="524"/>
        <v>59829</v>
      </c>
      <c r="B2768" s="1" t="s">
        <v>47</v>
      </c>
      <c r="C2768" s="1" t="s">
        <v>48</v>
      </c>
      <c r="D2768" s="1" t="str">
        <f>"9806"</f>
        <v>9806</v>
      </c>
      <c r="E2768" s="1" t="s">
        <v>49</v>
      </c>
      <c r="F2768" s="1" t="str">
        <f>"737978593"</f>
        <v>737978593</v>
      </c>
      <c r="G2768" s="1" t="s">
        <v>33</v>
      </c>
      <c r="H2768" s="1" t="str">
        <f t="shared" si="528"/>
        <v>20220912</v>
      </c>
      <c r="I2768" s="1" t="str">
        <f>"165917"</f>
        <v>165917</v>
      </c>
      <c r="J2768" s="1" t="s">
        <v>28</v>
      </c>
      <c r="K2768" s="1" t="s">
        <v>28</v>
      </c>
      <c r="L2768" s="1" t="str">
        <f t="shared" si="529"/>
        <v>20220912</v>
      </c>
      <c r="M2768" s="1" t="str">
        <f>"171718"</f>
        <v>171718</v>
      </c>
      <c r="N2768" s="1" t="s">
        <v>104</v>
      </c>
      <c r="O2768" s="1" t="s">
        <v>28</v>
      </c>
      <c r="P2768" s="1" t="s">
        <v>55</v>
      </c>
      <c r="Q2768" s="1">
        <v>25</v>
      </c>
      <c r="R2768" s="1">
        <v>0</v>
      </c>
      <c r="S2768" s="1">
        <v>25</v>
      </c>
      <c r="T2768" s="1">
        <v>0</v>
      </c>
      <c r="U2768" s="1">
        <v>0</v>
      </c>
      <c r="V2768" s="1" t="str">
        <f t="shared" si="530"/>
        <v>里程返程</v>
      </c>
      <c r="W2768" s="1" t="str">
        <f>"0820"</f>
        <v>0820</v>
      </c>
      <c r="X2768" s="1" t="s">
        <v>35</v>
      </c>
    </row>
    <row r="2769" spans="1:24" x14ac:dyDescent="0.3">
      <c r="A2769" s="1" t="str">
        <f t="shared" ref="A2769:A2800" si="531">"59809"</f>
        <v>59809</v>
      </c>
      <c r="B2769" s="1" t="s">
        <v>42</v>
      </c>
      <c r="C2769" s="1" t="s">
        <v>43</v>
      </c>
      <c r="D2769" s="1" t="str">
        <f t="shared" ref="D2769:D2791" si="532">"9801"</f>
        <v>9801</v>
      </c>
      <c r="E2769" s="1" t="s">
        <v>25</v>
      </c>
      <c r="F2769" s="1" t="str">
        <f>"F29BD102BA880400C834002000000015"</f>
        <v>F29BD102BA880400C834002000000015</v>
      </c>
      <c r="G2769" s="1" t="s">
        <v>26</v>
      </c>
      <c r="H2769" s="1" t="str">
        <f t="shared" ref="H2769:H2832" si="533">"20220913"</f>
        <v>20220913</v>
      </c>
      <c r="I2769" s="1" t="str">
        <f>"083334"</f>
        <v>083334</v>
      </c>
      <c r="J2769" s="1" t="s">
        <v>44</v>
      </c>
      <c r="K2769" s="1" t="s">
        <v>45</v>
      </c>
      <c r="L2769" s="1" t="str">
        <f t="shared" ref="L2769:L2807" si="534">"20220913"</f>
        <v>20220913</v>
      </c>
      <c r="M2769" s="1" t="str">
        <f>"085026"</f>
        <v>085026</v>
      </c>
      <c r="N2769" s="1" t="s">
        <v>95</v>
      </c>
      <c r="O2769" s="1" t="s">
        <v>28</v>
      </c>
      <c r="P2769" s="1" t="s">
        <v>68</v>
      </c>
      <c r="Q2769" s="1">
        <v>13</v>
      </c>
      <c r="R2769" s="1">
        <v>0</v>
      </c>
      <c r="S2769" s="1">
        <v>0</v>
      </c>
      <c r="T2769" s="1">
        <v>13</v>
      </c>
      <c r="U2769" s="1">
        <v>0</v>
      </c>
      <c r="V2769" s="1" t="str">
        <f t="shared" si="530"/>
        <v>里程返程</v>
      </c>
      <c r="W2769" s="1" t="str">
        <f>"0020"</f>
        <v>0020</v>
      </c>
      <c r="X2769" s="1" t="s">
        <v>29</v>
      </c>
    </row>
    <row r="2770" spans="1:24" x14ac:dyDescent="0.3">
      <c r="A2770" s="1" t="str">
        <f t="shared" si="531"/>
        <v>59809</v>
      </c>
      <c r="B2770" s="1" t="s">
        <v>42</v>
      </c>
      <c r="C2770" s="1" t="s">
        <v>43</v>
      </c>
      <c r="D2770" s="1" t="str">
        <f t="shared" si="532"/>
        <v>9801</v>
      </c>
      <c r="E2770" s="1" t="s">
        <v>25</v>
      </c>
      <c r="F2770" s="1" t="str">
        <f>"641876385"</f>
        <v>641876385</v>
      </c>
      <c r="G2770" s="1" t="s">
        <v>33</v>
      </c>
      <c r="H2770" s="1" t="str">
        <f t="shared" si="533"/>
        <v>20220913</v>
      </c>
      <c r="I2770" s="1" t="str">
        <f>"083511"</f>
        <v>083511</v>
      </c>
      <c r="J2770" s="1" t="s">
        <v>100</v>
      </c>
      <c r="K2770" s="1" t="s">
        <v>45</v>
      </c>
      <c r="L2770" s="1" t="str">
        <f t="shared" si="534"/>
        <v>20220913</v>
      </c>
      <c r="M2770" s="1" t="str">
        <f>"085100"</f>
        <v>085100</v>
      </c>
      <c r="N2770" s="1" t="s">
        <v>28</v>
      </c>
      <c r="O2770" s="1" t="s">
        <v>28</v>
      </c>
      <c r="P2770" s="1" t="s">
        <v>55</v>
      </c>
      <c r="Q2770" s="1">
        <v>25</v>
      </c>
      <c r="R2770" s="1">
        <v>25</v>
      </c>
      <c r="S2770" s="1">
        <v>0</v>
      </c>
      <c r="T2770" s="1">
        <v>0</v>
      </c>
      <c r="U2770" s="1">
        <v>0</v>
      </c>
      <c r="V2770" s="1" t="str">
        <f t="shared" si="530"/>
        <v>里程返程</v>
      </c>
      <c r="W2770" s="1" t="str">
        <f>"2020"</f>
        <v>2020</v>
      </c>
      <c r="X2770" s="1" t="s">
        <v>35</v>
      </c>
    </row>
    <row r="2771" spans="1:24" x14ac:dyDescent="0.3">
      <c r="A2771" s="1" t="str">
        <f t="shared" si="531"/>
        <v>59809</v>
      </c>
      <c r="B2771" s="1" t="s">
        <v>42</v>
      </c>
      <c r="C2771" s="1" t="s">
        <v>43</v>
      </c>
      <c r="D2771" s="1" t="str">
        <f t="shared" si="532"/>
        <v>9801</v>
      </c>
      <c r="E2771" s="1" t="s">
        <v>25</v>
      </c>
      <c r="F2771" s="1" t="str">
        <f>"2395845819"</f>
        <v>2395845819</v>
      </c>
      <c r="G2771" s="1" t="s">
        <v>26</v>
      </c>
      <c r="H2771" s="1" t="str">
        <f t="shared" si="533"/>
        <v>20220913</v>
      </c>
      <c r="I2771" s="1" t="str">
        <f>"083943"</f>
        <v>083943</v>
      </c>
      <c r="J2771" s="1" t="s">
        <v>56</v>
      </c>
      <c r="K2771" s="1" t="s">
        <v>45</v>
      </c>
      <c r="L2771" s="1" t="str">
        <f t="shared" si="534"/>
        <v>20220913</v>
      </c>
      <c r="M2771" s="1" t="str">
        <f>"085058"</f>
        <v>085058</v>
      </c>
      <c r="N2771" s="1" t="s">
        <v>28</v>
      </c>
      <c r="O2771" s="1" t="s">
        <v>28</v>
      </c>
      <c r="P2771" s="1" t="s">
        <v>55</v>
      </c>
      <c r="Q2771" s="1">
        <v>13</v>
      </c>
      <c r="R2771" s="1">
        <v>13</v>
      </c>
      <c r="S2771" s="1">
        <v>0</v>
      </c>
      <c r="T2771" s="1">
        <v>0</v>
      </c>
      <c r="U2771" s="1">
        <v>0</v>
      </c>
      <c r="V2771" s="1" t="str">
        <f t="shared" si="530"/>
        <v>里程返程</v>
      </c>
      <c r="W2771" s="1" t="str">
        <f>"2120"</f>
        <v>2120</v>
      </c>
      <c r="X2771" s="1" t="s">
        <v>35</v>
      </c>
    </row>
    <row r="2772" spans="1:24" x14ac:dyDescent="0.3">
      <c r="A2772" s="1" t="str">
        <f t="shared" si="531"/>
        <v>59809</v>
      </c>
      <c r="B2772" s="1" t="s">
        <v>42</v>
      </c>
      <c r="C2772" s="1" t="s">
        <v>43</v>
      </c>
      <c r="D2772" s="1" t="str">
        <f t="shared" si="532"/>
        <v>9801</v>
      </c>
      <c r="E2772" s="1" t="s">
        <v>25</v>
      </c>
      <c r="F2772" s="1" t="str">
        <f>"3589896026"</f>
        <v>3589896026</v>
      </c>
      <c r="G2772" s="1" t="s">
        <v>33</v>
      </c>
      <c r="H2772" s="1" t="str">
        <f t="shared" si="533"/>
        <v>20220913</v>
      </c>
      <c r="I2772" s="1" t="str">
        <f>"083946"</f>
        <v>083946</v>
      </c>
      <c r="J2772" s="1" t="s">
        <v>56</v>
      </c>
      <c r="K2772" s="1" t="s">
        <v>45</v>
      </c>
      <c r="L2772" s="1" t="str">
        <f t="shared" si="534"/>
        <v>20220913</v>
      </c>
      <c r="M2772" s="1" t="str">
        <f>"085056"</f>
        <v>085056</v>
      </c>
      <c r="N2772" s="1" t="s">
        <v>28</v>
      </c>
      <c r="O2772" s="1" t="s">
        <v>28</v>
      </c>
      <c r="P2772" s="1" t="s">
        <v>55</v>
      </c>
      <c r="Q2772" s="1">
        <v>25</v>
      </c>
      <c r="R2772" s="1">
        <v>25</v>
      </c>
      <c r="S2772" s="1">
        <v>0</v>
      </c>
      <c r="T2772" s="1">
        <v>0</v>
      </c>
      <c r="U2772" s="1">
        <v>0</v>
      </c>
      <c r="V2772" s="1" t="str">
        <f t="shared" si="530"/>
        <v>里程返程</v>
      </c>
      <c r="W2772" s="1" t="str">
        <f>"2120"</f>
        <v>2120</v>
      </c>
      <c r="X2772" s="1" t="s">
        <v>35</v>
      </c>
    </row>
    <row r="2773" spans="1:24" x14ac:dyDescent="0.3">
      <c r="A2773" s="1" t="str">
        <f t="shared" si="531"/>
        <v>59809</v>
      </c>
      <c r="B2773" s="1" t="s">
        <v>42</v>
      </c>
      <c r="C2773" s="1" t="s">
        <v>43</v>
      </c>
      <c r="D2773" s="1" t="str">
        <f t="shared" si="532"/>
        <v>9801</v>
      </c>
      <c r="E2773" s="1" t="s">
        <v>25</v>
      </c>
      <c r="F2773" s="1" t="str">
        <f>"1620625640"</f>
        <v>1620625640</v>
      </c>
      <c r="G2773" s="1" t="s">
        <v>26</v>
      </c>
      <c r="H2773" s="1" t="str">
        <f t="shared" si="533"/>
        <v>20220913</v>
      </c>
      <c r="I2773" s="1" t="str">
        <f>"085108"</f>
        <v>085108</v>
      </c>
      <c r="J2773" s="1" t="s">
        <v>28</v>
      </c>
      <c r="K2773" s="1" t="s">
        <v>28</v>
      </c>
      <c r="L2773" s="1" t="str">
        <f t="shared" si="534"/>
        <v>20220913</v>
      </c>
      <c r="M2773" s="1" t="str">
        <f>"091920"</f>
        <v>091920</v>
      </c>
      <c r="N2773" s="1" t="s">
        <v>60</v>
      </c>
      <c r="O2773" s="1" t="s">
        <v>52</v>
      </c>
      <c r="P2773" s="1" t="s">
        <v>55</v>
      </c>
      <c r="Q2773" s="1">
        <v>13</v>
      </c>
      <c r="R2773" s="1">
        <v>13</v>
      </c>
      <c r="S2773" s="1">
        <v>0</v>
      </c>
      <c r="T2773" s="1">
        <v>0</v>
      </c>
      <c r="U2773" s="1">
        <v>0</v>
      </c>
      <c r="V2773" s="1" t="str">
        <f t="shared" si="530"/>
        <v>里程返程</v>
      </c>
      <c r="W2773" s="1" t="str">
        <f>"1f20"</f>
        <v>1f20</v>
      </c>
      <c r="X2773" s="1" t="s">
        <v>35</v>
      </c>
    </row>
    <row r="2774" spans="1:24" x14ac:dyDescent="0.3">
      <c r="A2774" s="1" t="str">
        <f t="shared" si="531"/>
        <v>59809</v>
      </c>
      <c r="B2774" s="1" t="s">
        <v>42</v>
      </c>
      <c r="C2774" s="1" t="s">
        <v>43</v>
      </c>
      <c r="D2774" s="1" t="str">
        <f t="shared" si="532"/>
        <v>9801</v>
      </c>
      <c r="E2774" s="1" t="s">
        <v>25</v>
      </c>
      <c r="F2774" s="1" t="str">
        <f>"1423105809"</f>
        <v>1423105809</v>
      </c>
      <c r="G2774" s="1" t="s">
        <v>33</v>
      </c>
      <c r="H2774" s="1" t="str">
        <f t="shared" si="533"/>
        <v>20220913</v>
      </c>
      <c r="I2774" s="1" t="str">
        <f>"085137"</f>
        <v>085137</v>
      </c>
      <c r="J2774" s="1" t="s">
        <v>28</v>
      </c>
      <c r="K2774" s="1" t="s">
        <v>28</v>
      </c>
      <c r="L2774" s="1" t="str">
        <f t="shared" si="534"/>
        <v>20220913</v>
      </c>
      <c r="M2774" s="1" t="str">
        <f>"091924"</f>
        <v>091924</v>
      </c>
      <c r="N2774" s="1" t="s">
        <v>60</v>
      </c>
      <c r="O2774" s="1" t="s">
        <v>52</v>
      </c>
      <c r="P2774" s="1" t="s">
        <v>55</v>
      </c>
      <c r="Q2774" s="1">
        <v>25</v>
      </c>
      <c r="R2774" s="1">
        <v>25</v>
      </c>
      <c r="S2774" s="1">
        <v>0</v>
      </c>
      <c r="T2774" s="1">
        <v>0</v>
      </c>
      <c r="U2774" s="1">
        <v>0</v>
      </c>
      <c r="V2774" s="1" t="str">
        <f t="shared" si="530"/>
        <v>里程返程</v>
      </c>
      <c r="W2774" s="1" t="str">
        <f>"2120"</f>
        <v>2120</v>
      </c>
      <c r="X2774" s="1" t="s">
        <v>35</v>
      </c>
    </row>
    <row r="2775" spans="1:24" x14ac:dyDescent="0.3">
      <c r="A2775" s="1" t="str">
        <f t="shared" si="531"/>
        <v>59809</v>
      </c>
      <c r="B2775" s="1" t="s">
        <v>42</v>
      </c>
      <c r="C2775" s="1" t="s">
        <v>43</v>
      </c>
      <c r="D2775" s="1" t="str">
        <f t="shared" si="532"/>
        <v>9801</v>
      </c>
      <c r="E2775" s="1" t="s">
        <v>25</v>
      </c>
      <c r="F2775" s="1" t="str">
        <f>"1725435766"</f>
        <v>1725435766</v>
      </c>
      <c r="G2775" s="1" t="s">
        <v>26</v>
      </c>
      <c r="H2775" s="1" t="str">
        <f t="shared" si="533"/>
        <v>20220913</v>
      </c>
      <c r="I2775" s="1" t="str">
        <f>"090608"</f>
        <v>090608</v>
      </c>
      <c r="J2775" s="1" t="s">
        <v>69</v>
      </c>
      <c r="K2775" s="1" t="s">
        <v>52</v>
      </c>
      <c r="L2775" s="1" t="str">
        <f t="shared" si="534"/>
        <v>20220913</v>
      </c>
      <c r="M2775" s="1" t="str">
        <f>"091714"</f>
        <v>091714</v>
      </c>
      <c r="N2775" s="1" t="s">
        <v>51</v>
      </c>
      <c r="O2775" s="1" t="s">
        <v>52</v>
      </c>
      <c r="P2775" s="1" t="s">
        <v>55</v>
      </c>
      <c r="Q2775" s="1">
        <v>13</v>
      </c>
      <c r="R2775" s="1">
        <v>13</v>
      </c>
      <c r="S2775" s="1">
        <v>0</v>
      </c>
      <c r="T2775" s="1">
        <v>0</v>
      </c>
      <c r="U2775" s="1">
        <v>0</v>
      </c>
      <c r="V2775" s="1" t="str">
        <f t="shared" si="530"/>
        <v>里程返程</v>
      </c>
      <c r="W2775" s="1" t="str">
        <f>"2020"</f>
        <v>2020</v>
      </c>
      <c r="X2775" s="1" t="s">
        <v>35</v>
      </c>
    </row>
    <row r="2776" spans="1:24" x14ac:dyDescent="0.3">
      <c r="A2776" s="1" t="str">
        <f t="shared" si="531"/>
        <v>59809</v>
      </c>
      <c r="B2776" s="1" t="s">
        <v>42</v>
      </c>
      <c r="C2776" s="1" t="s">
        <v>43</v>
      </c>
      <c r="D2776" s="1" t="str">
        <f t="shared" si="532"/>
        <v>9801</v>
      </c>
      <c r="E2776" s="1" t="s">
        <v>25</v>
      </c>
      <c r="F2776" s="1" t="str">
        <f>"6932EB0FBF8804004326A4E6000E0211"</f>
        <v>6932EB0FBF8804004326A4E6000E0211</v>
      </c>
      <c r="G2776" s="1" t="s">
        <v>58</v>
      </c>
      <c r="H2776" s="1" t="str">
        <f t="shared" si="533"/>
        <v>20220913</v>
      </c>
      <c r="I2776" s="1" t="str">
        <f>"092425"</f>
        <v>092425</v>
      </c>
      <c r="J2776" s="1" t="s">
        <v>44</v>
      </c>
      <c r="K2776" s="1" t="s">
        <v>45</v>
      </c>
      <c r="L2776" s="1" t="str">
        <f t="shared" si="534"/>
        <v>20220913</v>
      </c>
      <c r="M2776" s="1" t="str">
        <f>"094853"</f>
        <v>094853</v>
      </c>
      <c r="N2776" s="1" t="s">
        <v>95</v>
      </c>
      <c r="O2776" s="1" t="s">
        <v>28</v>
      </c>
      <c r="P2776" s="1" t="s">
        <v>55</v>
      </c>
      <c r="Q2776" s="1">
        <v>25</v>
      </c>
      <c r="R2776" s="1">
        <v>0</v>
      </c>
      <c r="S2776" s="1">
        <v>25</v>
      </c>
      <c r="T2776" s="1">
        <v>0</v>
      </c>
      <c r="U2776" s="1">
        <v>0</v>
      </c>
      <c r="V2776" s="1" t="str">
        <f t="shared" si="530"/>
        <v>里程返程</v>
      </c>
      <c r="W2776" s="1" t="str">
        <f>"1120"</f>
        <v>1120</v>
      </c>
      <c r="X2776" s="1" t="s">
        <v>29</v>
      </c>
    </row>
    <row r="2777" spans="1:24" x14ac:dyDescent="0.3">
      <c r="A2777" s="1" t="str">
        <f t="shared" si="531"/>
        <v>59809</v>
      </c>
      <c r="B2777" s="1" t="s">
        <v>42</v>
      </c>
      <c r="C2777" s="1" t="s">
        <v>54</v>
      </c>
      <c r="D2777" s="1" t="str">
        <f t="shared" si="532"/>
        <v>9801</v>
      </c>
      <c r="E2777" s="1" t="s">
        <v>25</v>
      </c>
      <c r="F2777" s="1" t="str">
        <f>"7111190786011506"</f>
        <v>7111190786011506</v>
      </c>
      <c r="G2777" s="1" t="s">
        <v>33</v>
      </c>
      <c r="H2777" s="1" t="str">
        <f t="shared" si="533"/>
        <v>20220913</v>
      </c>
      <c r="I2777" s="1" t="str">
        <f>"095308"</f>
        <v>095308</v>
      </c>
      <c r="J2777" s="1" t="s">
        <v>28</v>
      </c>
      <c r="K2777" s="1" t="s">
        <v>28</v>
      </c>
      <c r="L2777" s="1" t="str">
        <f t="shared" si="534"/>
        <v>20220913</v>
      </c>
      <c r="M2777" s="1" t="str">
        <f>"101056"</f>
        <v>101056</v>
      </c>
      <c r="N2777" s="1" t="s">
        <v>97</v>
      </c>
      <c r="O2777" s="1" t="s">
        <v>52</v>
      </c>
      <c r="P2777" s="1" t="s">
        <v>55</v>
      </c>
      <c r="Q2777" s="1">
        <v>25</v>
      </c>
      <c r="R2777" s="1">
        <v>25</v>
      </c>
      <c r="S2777" s="1">
        <v>0</v>
      </c>
      <c r="T2777" s="1">
        <v>0</v>
      </c>
      <c r="U2777" s="1">
        <v>0</v>
      </c>
      <c r="V2777" s="1" t="str">
        <f t="shared" si="530"/>
        <v>里程返程</v>
      </c>
      <c r="W2777" s="1" t="str">
        <f>"0F3B"</f>
        <v>0F3B</v>
      </c>
      <c r="X2777" s="1" t="s">
        <v>109</v>
      </c>
    </row>
    <row r="2778" spans="1:24" x14ac:dyDescent="0.3">
      <c r="A2778" s="1" t="str">
        <f t="shared" si="531"/>
        <v>59809</v>
      </c>
      <c r="B2778" s="1" t="s">
        <v>42</v>
      </c>
      <c r="C2778" s="1" t="s">
        <v>54</v>
      </c>
      <c r="D2778" s="1" t="str">
        <f t="shared" si="532"/>
        <v>9801</v>
      </c>
      <c r="E2778" s="1" t="s">
        <v>25</v>
      </c>
      <c r="F2778" s="1" t="str">
        <f>"1402001489"</f>
        <v>1402001489</v>
      </c>
      <c r="G2778" s="1" t="s">
        <v>33</v>
      </c>
      <c r="H2778" s="1" t="str">
        <f t="shared" si="533"/>
        <v>20220913</v>
      </c>
      <c r="I2778" s="1" t="str">
        <f>"095316"</f>
        <v>095316</v>
      </c>
      <c r="J2778" s="1" t="s">
        <v>28</v>
      </c>
      <c r="K2778" s="1" t="s">
        <v>28</v>
      </c>
      <c r="L2778" s="1" t="str">
        <f t="shared" si="534"/>
        <v>20220913</v>
      </c>
      <c r="M2778" s="1" t="str">
        <f>"101233"</f>
        <v>101233</v>
      </c>
      <c r="N2778" s="1" t="s">
        <v>65</v>
      </c>
      <c r="O2778" s="1" t="s">
        <v>52</v>
      </c>
      <c r="P2778" s="1" t="s">
        <v>55</v>
      </c>
      <c r="Q2778" s="1">
        <v>25</v>
      </c>
      <c r="R2778" s="1">
        <v>25</v>
      </c>
      <c r="S2778" s="1">
        <v>0</v>
      </c>
      <c r="T2778" s="1">
        <v>0</v>
      </c>
      <c r="U2778" s="1">
        <v>0</v>
      </c>
      <c r="V2778" s="1" t="str">
        <f t="shared" si="530"/>
        <v>里程返程</v>
      </c>
      <c r="W2778" s="1" t="str">
        <f>"0820"</f>
        <v>0820</v>
      </c>
      <c r="X2778" s="1" t="s">
        <v>35</v>
      </c>
    </row>
    <row r="2779" spans="1:24" x14ac:dyDescent="0.3">
      <c r="A2779" s="1" t="str">
        <f t="shared" si="531"/>
        <v>59809</v>
      </c>
      <c r="B2779" s="1" t="s">
        <v>42</v>
      </c>
      <c r="C2779" s="1" t="s">
        <v>54</v>
      </c>
      <c r="D2779" s="1" t="str">
        <f t="shared" si="532"/>
        <v>9801</v>
      </c>
      <c r="E2779" s="1" t="s">
        <v>25</v>
      </c>
      <c r="F2779" s="1" t="str">
        <f>"7311160809008404"</f>
        <v>7311160809008404</v>
      </c>
      <c r="G2779" s="1" t="s">
        <v>33</v>
      </c>
      <c r="H2779" s="1" t="str">
        <f t="shared" si="533"/>
        <v>20220913</v>
      </c>
      <c r="I2779" s="1" t="str">
        <f>"095321"</f>
        <v>095321</v>
      </c>
      <c r="J2779" s="1" t="s">
        <v>28</v>
      </c>
      <c r="K2779" s="1" t="s">
        <v>28</v>
      </c>
      <c r="L2779" s="1" t="str">
        <f t="shared" si="534"/>
        <v>20220913</v>
      </c>
      <c r="M2779" s="1" t="str">
        <f>"101052"</f>
        <v>101052</v>
      </c>
      <c r="N2779" s="1" t="s">
        <v>97</v>
      </c>
      <c r="O2779" s="1" t="s">
        <v>52</v>
      </c>
      <c r="P2779" s="1" t="s">
        <v>55</v>
      </c>
      <c r="Q2779" s="1">
        <v>25</v>
      </c>
      <c r="R2779" s="1">
        <v>25</v>
      </c>
      <c r="S2779" s="1">
        <v>0</v>
      </c>
      <c r="T2779" s="1">
        <v>0</v>
      </c>
      <c r="U2779" s="1">
        <v>0</v>
      </c>
      <c r="V2779" s="1" t="str">
        <f t="shared" si="530"/>
        <v>里程返程</v>
      </c>
      <c r="W2779" s="1" t="str">
        <f>"0F3B"</f>
        <v>0F3B</v>
      </c>
      <c r="X2779" s="1" t="s">
        <v>109</v>
      </c>
    </row>
    <row r="2780" spans="1:24" x14ac:dyDescent="0.3">
      <c r="A2780" s="1" t="str">
        <f t="shared" si="531"/>
        <v>59809</v>
      </c>
      <c r="B2780" s="1" t="s">
        <v>42</v>
      </c>
      <c r="C2780" s="1" t="s">
        <v>54</v>
      </c>
      <c r="D2780" s="1" t="str">
        <f t="shared" si="532"/>
        <v>9801</v>
      </c>
      <c r="E2780" s="1" t="s">
        <v>25</v>
      </c>
      <c r="F2780" s="1" t="str">
        <f>"F2C64D0E77880400C806002000000018"</f>
        <v>F2C64D0E77880400C806002000000018</v>
      </c>
      <c r="G2780" s="1" t="s">
        <v>58</v>
      </c>
      <c r="H2780" s="1" t="str">
        <f t="shared" si="533"/>
        <v>20220913</v>
      </c>
      <c r="I2780" s="1" t="str">
        <f>"095324"</f>
        <v>095324</v>
      </c>
      <c r="J2780" s="1" t="s">
        <v>28</v>
      </c>
      <c r="K2780" s="1" t="s">
        <v>28</v>
      </c>
      <c r="L2780" s="1" t="str">
        <f t="shared" si="534"/>
        <v>20220913</v>
      </c>
      <c r="M2780" s="1" t="str">
        <f>"100918"</f>
        <v>100918</v>
      </c>
      <c r="N2780" s="1" t="s">
        <v>80</v>
      </c>
      <c r="O2780" s="1" t="s">
        <v>52</v>
      </c>
      <c r="P2780" s="1" t="s">
        <v>55</v>
      </c>
      <c r="Q2780" s="1">
        <v>25</v>
      </c>
      <c r="R2780" s="1">
        <v>25</v>
      </c>
      <c r="S2780" s="1">
        <v>0</v>
      </c>
      <c r="T2780" s="1">
        <v>0</v>
      </c>
      <c r="U2780" s="1">
        <v>0</v>
      </c>
      <c r="V2780" s="1" t="str">
        <f t="shared" si="530"/>
        <v>里程返程</v>
      </c>
      <c r="W2780" s="1" t="str">
        <f>"0020"</f>
        <v>0020</v>
      </c>
      <c r="X2780" s="1" t="s">
        <v>29</v>
      </c>
    </row>
    <row r="2781" spans="1:24" x14ac:dyDescent="0.3">
      <c r="A2781" s="1" t="str">
        <f t="shared" si="531"/>
        <v>59809</v>
      </c>
      <c r="B2781" s="1" t="s">
        <v>42</v>
      </c>
      <c r="C2781" s="1" t="s">
        <v>54</v>
      </c>
      <c r="D2781" s="1" t="str">
        <f t="shared" si="532"/>
        <v>9801</v>
      </c>
      <c r="E2781" s="1" t="s">
        <v>25</v>
      </c>
      <c r="F2781" s="1" t="str">
        <f>"F25B1B03B1880400C834002000000015"</f>
        <v>F25B1B03B1880400C834002000000015</v>
      </c>
      <c r="G2781" s="1" t="s">
        <v>26</v>
      </c>
      <c r="H2781" s="1" t="str">
        <f t="shared" si="533"/>
        <v>20220913</v>
      </c>
      <c r="I2781" s="1" t="str">
        <f>"095329"</f>
        <v>095329</v>
      </c>
      <c r="J2781" s="1" t="s">
        <v>28</v>
      </c>
      <c r="K2781" s="1" t="s">
        <v>28</v>
      </c>
      <c r="L2781" s="1" t="str">
        <f t="shared" si="534"/>
        <v>20220913</v>
      </c>
      <c r="M2781" s="1" t="str">
        <f>"101723"</f>
        <v>101723</v>
      </c>
      <c r="N2781" s="1" t="s">
        <v>60</v>
      </c>
      <c r="O2781" s="1" t="s">
        <v>52</v>
      </c>
      <c r="P2781" s="1" t="s">
        <v>68</v>
      </c>
      <c r="Q2781" s="1">
        <v>13</v>
      </c>
      <c r="R2781" s="1">
        <v>0</v>
      </c>
      <c r="S2781" s="1">
        <v>0</v>
      </c>
      <c r="T2781" s="1">
        <v>13</v>
      </c>
      <c r="U2781" s="1">
        <v>0</v>
      </c>
      <c r="V2781" s="1" t="str">
        <f t="shared" si="530"/>
        <v>里程返程</v>
      </c>
      <c r="W2781" s="1" t="str">
        <f>"0020"</f>
        <v>0020</v>
      </c>
      <c r="X2781" s="1" t="s">
        <v>29</v>
      </c>
    </row>
    <row r="2782" spans="1:24" x14ac:dyDescent="0.3">
      <c r="A2782" s="1" t="str">
        <f t="shared" si="531"/>
        <v>59809</v>
      </c>
      <c r="B2782" s="1" t="s">
        <v>42</v>
      </c>
      <c r="C2782" s="1" t="s">
        <v>54</v>
      </c>
      <c r="D2782" s="1" t="str">
        <f t="shared" si="532"/>
        <v>9801</v>
      </c>
      <c r="E2782" s="1" t="s">
        <v>25</v>
      </c>
      <c r="F2782" s="1" t="str">
        <f>"285817872"</f>
        <v>285817872</v>
      </c>
      <c r="G2782" s="1" t="s">
        <v>33</v>
      </c>
      <c r="H2782" s="1" t="str">
        <f t="shared" si="533"/>
        <v>20220913</v>
      </c>
      <c r="I2782" s="1" t="str">
        <f>"095332"</f>
        <v>095332</v>
      </c>
      <c r="J2782" s="1" t="s">
        <v>28</v>
      </c>
      <c r="K2782" s="1" t="s">
        <v>28</v>
      </c>
      <c r="L2782" s="1" t="str">
        <f t="shared" si="534"/>
        <v>20220913</v>
      </c>
      <c r="M2782" s="1" t="str">
        <f>"101727"</f>
        <v>101727</v>
      </c>
      <c r="N2782" s="1" t="s">
        <v>60</v>
      </c>
      <c r="O2782" s="1" t="s">
        <v>52</v>
      </c>
      <c r="P2782" s="1" t="s">
        <v>55</v>
      </c>
      <c r="Q2782" s="1">
        <v>25</v>
      </c>
      <c r="R2782" s="1">
        <v>0</v>
      </c>
      <c r="S2782" s="1">
        <v>25</v>
      </c>
      <c r="T2782" s="1">
        <v>0</v>
      </c>
      <c r="U2782" s="1">
        <v>0</v>
      </c>
      <c r="V2782" s="1" t="str">
        <f t="shared" si="530"/>
        <v>里程返程</v>
      </c>
      <c r="W2782" s="1" t="str">
        <f>"0820"</f>
        <v>0820</v>
      </c>
      <c r="X2782" s="1" t="s">
        <v>35</v>
      </c>
    </row>
    <row r="2783" spans="1:24" x14ac:dyDescent="0.3">
      <c r="A2783" s="1" t="str">
        <f t="shared" si="531"/>
        <v>59809</v>
      </c>
      <c r="B2783" s="1" t="s">
        <v>42</v>
      </c>
      <c r="C2783" s="1" t="s">
        <v>54</v>
      </c>
      <c r="D2783" s="1" t="str">
        <f t="shared" si="532"/>
        <v>9801</v>
      </c>
      <c r="E2783" s="1" t="s">
        <v>25</v>
      </c>
      <c r="F2783" s="1" t="str">
        <f>"1326335457"</f>
        <v>1326335457</v>
      </c>
      <c r="G2783" s="1" t="s">
        <v>33</v>
      </c>
      <c r="H2783" s="1" t="str">
        <f t="shared" si="533"/>
        <v>20220913</v>
      </c>
      <c r="I2783" s="1" t="str">
        <f>"095336"</f>
        <v>095336</v>
      </c>
      <c r="J2783" s="1" t="s">
        <v>28</v>
      </c>
      <c r="K2783" s="1" t="s">
        <v>28</v>
      </c>
      <c r="L2783" s="1" t="str">
        <f t="shared" si="534"/>
        <v>20220913</v>
      </c>
      <c r="M2783" s="1" t="str">
        <f>"101329"</f>
        <v>101329</v>
      </c>
      <c r="N2783" s="1" t="s">
        <v>72</v>
      </c>
      <c r="O2783" s="1" t="s">
        <v>52</v>
      </c>
      <c r="P2783" s="1" t="s">
        <v>55</v>
      </c>
      <c r="Q2783" s="1">
        <v>25</v>
      </c>
      <c r="R2783" s="1">
        <v>25</v>
      </c>
      <c r="S2783" s="1">
        <v>0</v>
      </c>
      <c r="T2783" s="1">
        <v>0</v>
      </c>
      <c r="U2783" s="1">
        <v>0</v>
      </c>
      <c r="V2783" s="1" t="str">
        <f t="shared" si="530"/>
        <v>里程返程</v>
      </c>
      <c r="W2783" s="1" t="str">
        <f>"2020"</f>
        <v>2020</v>
      </c>
      <c r="X2783" s="1" t="s">
        <v>35</v>
      </c>
    </row>
    <row r="2784" spans="1:24" x14ac:dyDescent="0.3">
      <c r="A2784" s="1" t="str">
        <f t="shared" si="531"/>
        <v>59809</v>
      </c>
      <c r="B2784" s="1" t="s">
        <v>42</v>
      </c>
      <c r="C2784" s="1" t="s">
        <v>54</v>
      </c>
      <c r="D2784" s="1" t="str">
        <f t="shared" si="532"/>
        <v>9801</v>
      </c>
      <c r="E2784" s="1" t="s">
        <v>25</v>
      </c>
      <c r="F2784" s="1" t="str">
        <f>"82D5FB02AE880400C834002000000015"</f>
        <v>82D5FB02AE880400C834002000000015</v>
      </c>
      <c r="G2784" s="1" t="s">
        <v>26</v>
      </c>
      <c r="H2784" s="1" t="str">
        <f t="shared" si="533"/>
        <v>20220913</v>
      </c>
      <c r="I2784" s="1" t="str">
        <f>"100927"</f>
        <v>100927</v>
      </c>
      <c r="J2784" s="1" t="s">
        <v>80</v>
      </c>
      <c r="K2784" s="1" t="s">
        <v>52</v>
      </c>
      <c r="L2784" s="1" t="str">
        <f t="shared" si="534"/>
        <v>20220913</v>
      </c>
      <c r="M2784" s="1" t="str">
        <f>"101532"</f>
        <v>101532</v>
      </c>
      <c r="N2784" s="1" t="s">
        <v>51</v>
      </c>
      <c r="O2784" s="1" t="s">
        <v>52</v>
      </c>
      <c r="P2784" s="1" t="s">
        <v>68</v>
      </c>
      <c r="Q2784" s="1">
        <v>13</v>
      </c>
      <c r="R2784" s="1">
        <v>0</v>
      </c>
      <c r="S2784" s="1">
        <v>0</v>
      </c>
      <c r="T2784" s="1">
        <v>13</v>
      </c>
      <c r="U2784" s="1">
        <v>0</v>
      </c>
      <c r="V2784" s="1" t="str">
        <f t="shared" si="530"/>
        <v>里程返程</v>
      </c>
      <c r="W2784" s="1" t="str">
        <f>"0020"</f>
        <v>0020</v>
      </c>
      <c r="X2784" s="1" t="s">
        <v>29</v>
      </c>
    </row>
    <row r="2785" spans="1:24" x14ac:dyDescent="0.3">
      <c r="A2785" s="1" t="str">
        <f t="shared" si="531"/>
        <v>59809</v>
      </c>
      <c r="B2785" s="1" t="s">
        <v>42</v>
      </c>
      <c r="C2785" s="1" t="s">
        <v>54</v>
      </c>
      <c r="D2785" s="1" t="str">
        <f t="shared" si="532"/>
        <v>9801</v>
      </c>
      <c r="E2785" s="1" t="s">
        <v>25</v>
      </c>
      <c r="F2785" s="1" t="str">
        <f>"F2F7D002D7880400C834002000000015"</f>
        <v>F2F7D002D7880400C834002000000015</v>
      </c>
      <c r="G2785" s="1" t="s">
        <v>74</v>
      </c>
      <c r="H2785" s="1" t="str">
        <f t="shared" si="533"/>
        <v>20220913</v>
      </c>
      <c r="I2785" s="1" t="str">
        <f>"100931"</f>
        <v>100931</v>
      </c>
      <c r="J2785" s="1" t="s">
        <v>80</v>
      </c>
      <c r="K2785" s="1" t="s">
        <v>52</v>
      </c>
      <c r="L2785" s="1" t="str">
        <f t="shared" si="534"/>
        <v>20220913</v>
      </c>
      <c r="M2785" s="1" t="str">
        <f>"102019"</f>
        <v>102019</v>
      </c>
      <c r="N2785" s="1" t="s">
        <v>52</v>
      </c>
      <c r="O2785" s="1" t="s">
        <v>52</v>
      </c>
      <c r="P2785" s="1" t="s">
        <v>68</v>
      </c>
      <c r="Q2785" s="1">
        <v>13</v>
      </c>
      <c r="R2785" s="1">
        <v>0</v>
      </c>
      <c r="S2785" s="1">
        <v>0</v>
      </c>
      <c r="T2785" s="1">
        <v>13</v>
      </c>
      <c r="U2785" s="1">
        <v>0</v>
      </c>
      <c r="V2785" s="1" t="str">
        <f t="shared" si="530"/>
        <v>里程返程</v>
      </c>
      <c r="W2785" s="1" t="str">
        <f>"0020"</f>
        <v>0020</v>
      </c>
      <c r="X2785" s="1" t="s">
        <v>29</v>
      </c>
    </row>
    <row r="2786" spans="1:24" x14ac:dyDescent="0.3">
      <c r="A2786" s="1" t="str">
        <f t="shared" si="531"/>
        <v>59809</v>
      </c>
      <c r="B2786" s="1" t="s">
        <v>42</v>
      </c>
      <c r="C2786" s="1" t="s">
        <v>54</v>
      </c>
      <c r="D2786" s="1" t="str">
        <f t="shared" si="532"/>
        <v>9801</v>
      </c>
      <c r="E2786" s="1" t="s">
        <v>25</v>
      </c>
      <c r="F2786" s="1" t="str">
        <f>"F2F7D002D7880400C834002000000015"</f>
        <v>F2F7D002D7880400C834002000000015</v>
      </c>
      <c r="G2786" s="1" t="s">
        <v>74</v>
      </c>
      <c r="H2786" s="1" t="str">
        <f t="shared" si="533"/>
        <v>20220913</v>
      </c>
      <c r="I2786" s="1" t="str">
        <f>"103000"</f>
        <v>103000</v>
      </c>
      <c r="J2786" s="1" t="s">
        <v>44</v>
      </c>
      <c r="K2786" s="1" t="s">
        <v>45</v>
      </c>
      <c r="L2786" s="1" t="str">
        <f t="shared" si="534"/>
        <v>20220913</v>
      </c>
      <c r="M2786" s="1" t="str">
        <f>"103628"</f>
        <v>103628</v>
      </c>
      <c r="N2786" s="1" t="s">
        <v>75</v>
      </c>
      <c r="O2786" s="1" t="s">
        <v>45</v>
      </c>
      <c r="P2786" s="1" t="s">
        <v>68</v>
      </c>
      <c r="Q2786" s="1">
        <v>13</v>
      </c>
      <c r="R2786" s="1">
        <v>0</v>
      </c>
      <c r="S2786" s="1">
        <v>0</v>
      </c>
      <c r="T2786" s="1">
        <v>13</v>
      </c>
      <c r="U2786" s="1">
        <v>0</v>
      </c>
      <c r="V2786" s="1" t="str">
        <f t="shared" si="530"/>
        <v>里程返程</v>
      </c>
      <c r="W2786" s="1" t="str">
        <f>"0020"</f>
        <v>0020</v>
      </c>
      <c r="X2786" s="1" t="s">
        <v>29</v>
      </c>
    </row>
    <row r="2787" spans="1:24" x14ac:dyDescent="0.3">
      <c r="A2787" s="1" t="str">
        <f t="shared" si="531"/>
        <v>59809</v>
      </c>
      <c r="B2787" s="1" t="s">
        <v>42</v>
      </c>
      <c r="C2787" s="1" t="s">
        <v>54</v>
      </c>
      <c r="D2787" s="1" t="str">
        <f t="shared" si="532"/>
        <v>9801</v>
      </c>
      <c r="E2787" s="1" t="s">
        <v>25</v>
      </c>
      <c r="F2787" s="1" t="str">
        <f>"111EB061DE2804001C00000000000000"</f>
        <v>111EB061DE2804001C00000000000000</v>
      </c>
      <c r="G2787" s="1" t="s">
        <v>58</v>
      </c>
      <c r="H2787" s="1" t="str">
        <f t="shared" si="533"/>
        <v>20220913</v>
      </c>
      <c r="I2787" s="1" t="str">
        <f>"105559"</f>
        <v>105559</v>
      </c>
      <c r="J2787" s="1" t="s">
        <v>28</v>
      </c>
      <c r="K2787" s="1" t="s">
        <v>28</v>
      </c>
      <c r="L2787" s="1" t="str">
        <f t="shared" si="534"/>
        <v>20220913</v>
      </c>
      <c r="M2787" s="1" t="str">
        <f>"111219"</f>
        <v>111219</v>
      </c>
      <c r="N2787" s="1" t="s">
        <v>65</v>
      </c>
      <c r="O2787" s="1" t="s">
        <v>52</v>
      </c>
      <c r="P2787" s="1" t="s">
        <v>55</v>
      </c>
      <c r="Q2787" s="1">
        <v>25</v>
      </c>
      <c r="R2787" s="1">
        <v>25</v>
      </c>
      <c r="S2787" s="1">
        <v>0</v>
      </c>
      <c r="T2787" s="1">
        <v>0</v>
      </c>
      <c r="U2787" s="1">
        <v>0</v>
      </c>
      <c r="V2787" s="1" t="str">
        <f t="shared" si="530"/>
        <v>里程返程</v>
      </c>
      <c r="W2787" s="1" t="str">
        <f>"0020"</f>
        <v>0020</v>
      </c>
      <c r="X2787" s="1" t="s">
        <v>29</v>
      </c>
    </row>
    <row r="2788" spans="1:24" x14ac:dyDescent="0.3">
      <c r="A2788" s="1" t="str">
        <f t="shared" si="531"/>
        <v>59809</v>
      </c>
      <c r="B2788" s="1" t="s">
        <v>42</v>
      </c>
      <c r="C2788" s="1" t="s">
        <v>54</v>
      </c>
      <c r="D2788" s="1" t="str">
        <f t="shared" si="532"/>
        <v>9801</v>
      </c>
      <c r="E2788" s="1" t="s">
        <v>25</v>
      </c>
      <c r="F2788" s="1" t="str">
        <f>"2329748187"</f>
        <v>2329748187</v>
      </c>
      <c r="G2788" s="1" t="s">
        <v>33</v>
      </c>
      <c r="H2788" s="1" t="str">
        <f t="shared" si="533"/>
        <v>20220913</v>
      </c>
      <c r="I2788" s="1" t="str">
        <f>"115207"</f>
        <v>115207</v>
      </c>
      <c r="J2788" s="1" t="s">
        <v>28</v>
      </c>
      <c r="K2788" s="1" t="s">
        <v>28</v>
      </c>
      <c r="L2788" s="1" t="str">
        <f t="shared" si="534"/>
        <v>20220913</v>
      </c>
      <c r="M2788" s="1" t="str">
        <f>"122414"</f>
        <v>122414</v>
      </c>
      <c r="N2788" s="1" t="s">
        <v>52</v>
      </c>
      <c r="O2788" s="1" t="s">
        <v>52</v>
      </c>
      <c r="P2788" s="1" t="s">
        <v>55</v>
      </c>
      <c r="Q2788" s="1">
        <v>25</v>
      </c>
      <c r="R2788" s="1">
        <v>25</v>
      </c>
      <c r="S2788" s="1">
        <v>0</v>
      </c>
      <c r="T2788" s="1">
        <v>0</v>
      </c>
      <c r="U2788" s="1">
        <v>0</v>
      </c>
      <c r="V2788" s="1" t="str">
        <f t="shared" si="530"/>
        <v>里程返程</v>
      </c>
      <c r="W2788" s="1" t="str">
        <f>"0120"</f>
        <v>0120</v>
      </c>
      <c r="X2788" s="1" t="s">
        <v>35</v>
      </c>
    </row>
    <row r="2789" spans="1:24" x14ac:dyDescent="0.3">
      <c r="A2789" s="1" t="str">
        <f t="shared" si="531"/>
        <v>59809</v>
      </c>
      <c r="B2789" s="1" t="s">
        <v>42</v>
      </c>
      <c r="C2789" s="1" t="s">
        <v>54</v>
      </c>
      <c r="D2789" s="1" t="str">
        <f t="shared" si="532"/>
        <v>9801</v>
      </c>
      <c r="E2789" s="1" t="s">
        <v>25</v>
      </c>
      <c r="F2789" s="1" t="str">
        <f>"3191A52C29280400F700000000000000"</f>
        <v>3191A52C29280400F700000000000000</v>
      </c>
      <c r="G2789" s="1" t="s">
        <v>58</v>
      </c>
      <c r="H2789" s="1" t="str">
        <f t="shared" si="533"/>
        <v>20220913</v>
      </c>
      <c r="I2789" s="1" t="str">
        <f>"115210"</f>
        <v>115210</v>
      </c>
      <c r="J2789" s="1" t="s">
        <v>28</v>
      </c>
      <c r="K2789" s="1" t="s">
        <v>28</v>
      </c>
      <c r="L2789" s="1" t="str">
        <f t="shared" si="534"/>
        <v>20220913</v>
      </c>
      <c r="M2789" s="1" t="str">
        <f>"120319"</f>
        <v>120319</v>
      </c>
      <c r="N2789" s="1" t="s">
        <v>83</v>
      </c>
      <c r="O2789" s="1" t="s">
        <v>52</v>
      </c>
      <c r="P2789" s="1" t="s">
        <v>55</v>
      </c>
      <c r="Q2789" s="1">
        <v>25</v>
      </c>
      <c r="R2789" s="1">
        <v>25</v>
      </c>
      <c r="S2789" s="1">
        <v>0</v>
      </c>
      <c r="T2789" s="1">
        <v>0</v>
      </c>
      <c r="U2789" s="1">
        <v>0</v>
      </c>
      <c r="V2789" s="1" t="str">
        <f t="shared" si="530"/>
        <v>里程返程</v>
      </c>
      <c r="W2789" s="1" t="str">
        <f>"0020"</f>
        <v>0020</v>
      </c>
      <c r="X2789" s="1" t="s">
        <v>29</v>
      </c>
    </row>
    <row r="2790" spans="1:24" x14ac:dyDescent="0.3">
      <c r="A2790" s="1" t="str">
        <f t="shared" si="531"/>
        <v>59809</v>
      </c>
      <c r="B2790" s="1" t="s">
        <v>42</v>
      </c>
      <c r="C2790" s="1" t="s">
        <v>54</v>
      </c>
      <c r="D2790" s="1" t="str">
        <f t="shared" si="532"/>
        <v>9801</v>
      </c>
      <c r="E2790" s="1" t="s">
        <v>25</v>
      </c>
      <c r="F2790" s="1" t="str">
        <f>"913200165"</f>
        <v>913200165</v>
      </c>
      <c r="G2790" s="1" t="s">
        <v>33</v>
      </c>
      <c r="H2790" s="1" t="str">
        <f t="shared" si="533"/>
        <v>20220913</v>
      </c>
      <c r="I2790" s="1" t="str">
        <f>"115245"</f>
        <v>115245</v>
      </c>
      <c r="J2790" s="1" t="s">
        <v>28</v>
      </c>
      <c r="K2790" s="1" t="s">
        <v>28</v>
      </c>
      <c r="L2790" s="1" t="str">
        <f t="shared" si="534"/>
        <v>20220913</v>
      </c>
      <c r="M2790" s="1" t="str">
        <f>"122418"</f>
        <v>122418</v>
      </c>
      <c r="N2790" s="1" t="s">
        <v>52</v>
      </c>
      <c r="O2790" s="1" t="s">
        <v>52</v>
      </c>
      <c r="P2790" s="1" t="s">
        <v>55</v>
      </c>
      <c r="Q2790" s="1">
        <v>25</v>
      </c>
      <c r="R2790" s="1">
        <v>25</v>
      </c>
      <c r="S2790" s="1">
        <v>0</v>
      </c>
      <c r="T2790" s="1">
        <v>0</v>
      </c>
      <c r="U2790" s="1">
        <v>0</v>
      </c>
      <c r="V2790" s="1" t="str">
        <f t="shared" si="530"/>
        <v>里程返程</v>
      </c>
      <c r="W2790" s="1" t="str">
        <f>"0820"</f>
        <v>0820</v>
      </c>
      <c r="X2790" s="1" t="s">
        <v>35</v>
      </c>
    </row>
    <row r="2791" spans="1:24" x14ac:dyDescent="0.3">
      <c r="A2791" s="1" t="str">
        <f t="shared" si="531"/>
        <v>59809</v>
      </c>
      <c r="B2791" s="1" t="s">
        <v>42</v>
      </c>
      <c r="C2791" s="1" t="s">
        <v>54</v>
      </c>
      <c r="D2791" s="1" t="str">
        <f t="shared" si="532"/>
        <v>9801</v>
      </c>
      <c r="E2791" s="1" t="s">
        <v>25</v>
      </c>
      <c r="F2791" s="1" t="str">
        <f>"F2C64D0E77880400C806002000000018"</f>
        <v>F2C64D0E77880400C806002000000018</v>
      </c>
      <c r="G2791" s="1" t="s">
        <v>58</v>
      </c>
      <c r="H2791" s="1" t="str">
        <f t="shared" si="533"/>
        <v>20220913</v>
      </c>
      <c r="I2791" s="1" t="str">
        <f>"121239"</f>
        <v>121239</v>
      </c>
      <c r="J2791" s="1" t="s">
        <v>80</v>
      </c>
      <c r="K2791" s="1" t="s">
        <v>52</v>
      </c>
      <c r="L2791" s="1" t="str">
        <f t="shared" si="534"/>
        <v>20220913</v>
      </c>
      <c r="M2791" s="1" t="str">
        <f>"122023"</f>
        <v>122023</v>
      </c>
      <c r="N2791" s="1" t="s">
        <v>60</v>
      </c>
      <c r="O2791" s="1" t="s">
        <v>52</v>
      </c>
      <c r="P2791" s="1" t="s">
        <v>55</v>
      </c>
      <c r="Q2791" s="1">
        <v>25</v>
      </c>
      <c r="R2791" s="1">
        <v>25</v>
      </c>
      <c r="S2791" s="1">
        <v>0</v>
      </c>
      <c r="T2791" s="1">
        <v>0</v>
      </c>
      <c r="U2791" s="1">
        <v>0</v>
      </c>
      <c r="V2791" s="1" t="str">
        <f t="shared" si="530"/>
        <v>里程返程</v>
      </c>
      <c r="W2791" s="1" t="str">
        <f>"0020"</f>
        <v>0020</v>
      </c>
      <c r="X2791" s="1" t="s">
        <v>29</v>
      </c>
    </row>
    <row r="2792" spans="1:24" x14ac:dyDescent="0.3">
      <c r="A2792" s="1" t="str">
        <f t="shared" si="531"/>
        <v>59809</v>
      </c>
      <c r="B2792" s="1" t="s">
        <v>42</v>
      </c>
      <c r="C2792" s="1" t="s">
        <v>54</v>
      </c>
      <c r="D2792" s="1" t="str">
        <f t="shared" ref="D2792:D2804" si="535">"9805"</f>
        <v>9805</v>
      </c>
      <c r="E2792" s="1" t="s">
        <v>57</v>
      </c>
      <c r="F2792" s="1" t="str">
        <f>"1055796917"</f>
        <v>1055796917</v>
      </c>
      <c r="G2792" s="1" t="s">
        <v>33</v>
      </c>
      <c r="H2792" s="1" t="str">
        <f t="shared" si="533"/>
        <v>20220913</v>
      </c>
      <c r="I2792" s="1" t="str">
        <f>"132653"</f>
        <v>132653</v>
      </c>
      <c r="J2792" s="1" t="s">
        <v>52</v>
      </c>
      <c r="K2792" s="1" t="s">
        <v>52</v>
      </c>
      <c r="L2792" s="1" t="str">
        <f t="shared" si="534"/>
        <v>20220913</v>
      </c>
      <c r="M2792" s="1" t="str">
        <f>"133724"</f>
        <v>133724</v>
      </c>
      <c r="N2792" s="1" t="s">
        <v>46</v>
      </c>
      <c r="O2792" s="1" t="s">
        <v>28</v>
      </c>
      <c r="P2792" s="1" t="s">
        <v>55</v>
      </c>
      <c r="Q2792" s="1">
        <v>25</v>
      </c>
      <c r="R2792" s="1">
        <v>25</v>
      </c>
      <c r="S2792" s="1">
        <v>0</v>
      </c>
      <c r="T2792" s="1">
        <v>0</v>
      </c>
      <c r="U2792" s="1">
        <v>0</v>
      </c>
      <c r="V2792" s="1" t="str">
        <f t="shared" si="530"/>
        <v>里程返程</v>
      </c>
      <c r="W2792" s="1" t="str">
        <f>"2120"</f>
        <v>2120</v>
      </c>
      <c r="X2792" s="1" t="s">
        <v>35</v>
      </c>
    </row>
    <row r="2793" spans="1:24" x14ac:dyDescent="0.3">
      <c r="A2793" s="1" t="str">
        <f t="shared" si="531"/>
        <v>59809</v>
      </c>
      <c r="B2793" s="1" t="s">
        <v>42</v>
      </c>
      <c r="C2793" s="1" t="s">
        <v>54</v>
      </c>
      <c r="D2793" s="1" t="str">
        <f t="shared" si="535"/>
        <v>9805</v>
      </c>
      <c r="E2793" s="1" t="s">
        <v>57</v>
      </c>
      <c r="F2793" s="1" t="str">
        <f>"F24C511BF4880400C822002000000021"</f>
        <v>F24C511BF4880400C822002000000021</v>
      </c>
      <c r="G2793" s="1" t="s">
        <v>64</v>
      </c>
      <c r="H2793" s="1" t="str">
        <f t="shared" si="533"/>
        <v>20220913</v>
      </c>
      <c r="I2793" s="1" t="str">
        <f>"133342"</f>
        <v>133342</v>
      </c>
      <c r="J2793" s="1" t="s">
        <v>62</v>
      </c>
      <c r="K2793" s="1" t="s">
        <v>28</v>
      </c>
      <c r="L2793" s="1" t="str">
        <f t="shared" si="534"/>
        <v>20220913</v>
      </c>
      <c r="M2793" s="1" t="str">
        <f>"133704"</f>
        <v>133704</v>
      </c>
      <c r="N2793" s="1" t="s">
        <v>46</v>
      </c>
      <c r="O2793" s="1" t="s">
        <v>28</v>
      </c>
      <c r="P2793" s="1" t="s">
        <v>55</v>
      </c>
      <c r="Q2793" s="1">
        <v>13</v>
      </c>
      <c r="R2793" s="1">
        <v>0</v>
      </c>
      <c r="S2793" s="1">
        <v>13</v>
      </c>
      <c r="T2793" s="1">
        <v>0</v>
      </c>
      <c r="U2793" s="1">
        <v>0</v>
      </c>
      <c r="V2793" s="1" t="str">
        <f t="shared" si="530"/>
        <v>里程返程</v>
      </c>
      <c r="W2793" s="1" t="str">
        <f>"2020"</f>
        <v>2020</v>
      </c>
      <c r="X2793" s="1" t="s">
        <v>29</v>
      </c>
    </row>
    <row r="2794" spans="1:24" x14ac:dyDescent="0.3">
      <c r="A2794" s="1" t="str">
        <f t="shared" si="531"/>
        <v>59809</v>
      </c>
      <c r="B2794" s="1" t="s">
        <v>42</v>
      </c>
      <c r="C2794" s="1" t="s">
        <v>54</v>
      </c>
      <c r="D2794" s="1" t="str">
        <f t="shared" si="535"/>
        <v>9805</v>
      </c>
      <c r="E2794" s="1" t="s">
        <v>57</v>
      </c>
      <c r="F2794" s="1" t="str">
        <f>"808733733"</f>
        <v>808733733</v>
      </c>
      <c r="G2794" s="1" t="s">
        <v>33</v>
      </c>
      <c r="H2794" s="1" t="str">
        <f t="shared" si="533"/>
        <v>20220913</v>
      </c>
      <c r="I2794" s="1" t="str">
        <f>"133343"</f>
        <v>133343</v>
      </c>
      <c r="J2794" s="1" t="s">
        <v>62</v>
      </c>
      <c r="K2794" s="1" t="s">
        <v>28</v>
      </c>
      <c r="L2794" s="1" t="str">
        <f t="shared" si="534"/>
        <v>20220913</v>
      </c>
      <c r="M2794" s="1" t="str">
        <f>"133721"</f>
        <v>133721</v>
      </c>
      <c r="N2794" s="1" t="s">
        <v>46</v>
      </c>
      <c r="O2794" s="1" t="s">
        <v>28</v>
      </c>
      <c r="P2794" s="1" t="s">
        <v>55</v>
      </c>
      <c r="Q2794" s="1">
        <v>25</v>
      </c>
      <c r="R2794" s="1">
        <v>0</v>
      </c>
      <c r="S2794" s="1">
        <v>25</v>
      </c>
      <c r="T2794" s="1">
        <v>0</v>
      </c>
      <c r="U2794" s="1">
        <v>0</v>
      </c>
      <c r="V2794" s="1" t="str">
        <f t="shared" si="530"/>
        <v>里程返程</v>
      </c>
      <c r="W2794" s="1" t="str">
        <f>"2020"</f>
        <v>2020</v>
      </c>
      <c r="X2794" s="1" t="s">
        <v>35</v>
      </c>
    </row>
    <row r="2795" spans="1:24" x14ac:dyDescent="0.3">
      <c r="A2795" s="1" t="str">
        <f t="shared" si="531"/>
        <v>59809</v>
      </c>
      <c r="B2795" s="1" t="s">
        <v>42</v>
      </c>
      <c r="C2795" s="1" t="s">
        <v>54</v>
      </c>
      <c r="D2795" s="1" t="str">
        <f t="shared" si="535"/>
        <v>9805</v>
      </c>
      <c r="E2795" s="1" t="s">
        <v>57</v>
      </c>
      <c r="F2795" s="1" t="str">
        <f>"1621114069"</f>
        <v>1621114069</v>
      </c>
      <c r="G2795" s="1" t="s">
        <v>26</v>
      </c>
      <c r="H2795" s="1" t="str">
        <f t="shared" si="533"/>
        <v>20220913</v>
      </c>
      <c r="I2795" s="1" t="str">
        <f>"133346"</f>
        <v>133346</v>
      </c>
      <c r="J2795" s="1" t="s">
        <v>62</v>
      </c>
      <c r="K2795" s="1" t="s">
        <v>28</v>
      </c>
      <c r="L2795" s="1" t="str">
        <f t="shared" si="534"/>
        <v>20220913</v>
      </c>
      <c r="M2795" s="1" t="str">
        <f>"133714"</f>
        <v>133714</v>
      </c>
      <c r="N2795" s="1" t="s">
        <v>46</v>
      </c>
      <c r="O2795" s="1" t="s">
        <v>28</v>
      </c>
      <c r="P2795" s="1" t="s">
        <v>55</v>
      </c>
      <c r="Q2795" s="1">
        <v>13</v>
      </c>
      <c r="R2795" s="1">
        <v>0</v>
      </c>
      <c r="S2795" s="1">
        <v>13</v>
      </c>
      <c r="T2795" s="1">
        <v>0</v>
      </c>
      <c r="U2795" s="1">
        <v>0</v>
      </c>
      <c r="V2795" s="1" t="str">
        <f t="shared" si="530"/>
        <v>里程返程</v>
      </c>
      <c r="W2795" s="1" t="str">
        <f>"2020"</f>
        <v>2020</v>
      </c>
      <c r="X2795" s="1" t="s">
        <v>35</v>
      </c>
    </row>
    <row r="2796" spans="1:24" x14ac:dyDescent="0.3">
      <c r="A2796" s="1" t="str">
        <f t="shared" si="531"/>
        <v>59809</v>
      </c>
      <c r="B2796" s="1" t="s">
        <v>42</v>
      </c>
      <c r="C2796" s="1" t="s">
        <v>54</v>
      </c>
      <c r="D2796" s="1" t="str">
        <f t="shared" si="535"/>
        <v>9805</v>
      </c>
      <c r="E2796" s="1" t="s">
        <v>57</v>
      </c>
      <c r="F2796" s="1" t="str">
        <f>"789612437"</f>
        <v>789612437</v>
      </c>
      <c r="G2796" s="1" t="s">
        <v>26</v>
      </c>
      <c r="H2796" s="1" t="str">
        <f t="shared" si="533"/>
        <v>20220913</v>
      </c>
      <c r="I2796" s="1" t="str">
        <f>"133348"</f>
        <v>133348</v>
      </c>
      <c r="J2796" s="1" t="s">
        <v>62</v>
      </c>
      <c r="K2796" s="1" t="s">
        <v>28</v>
      </c>
      <c r="L2796" s="1" t="str">
        <f t="shared" si="534"/>
        <v>20220913</v>
      </c>
      <c r="M2796" s="1" t="str">
        <f>"133718"</f>
        <v>133718</v>
      </c>
      <c r="N2796" s="1" t="s">
        <v>46</v>
      </c>
      <c r="O2796" s="1" t="s">
        <v>28</v>
      </c>
      <c r="P2796" s="1" t="s">
        <v>55</v>
      </c>
      <c r="Q2796" s="1">
        <v>13</v>
      </c>
      <c r="R2796" s="1">
        <v>0</v>
      </c>
      <c r="S2796" s="1">
        <v>13</v>
      </c>
      <c r="T2796" s="1">
        <v>0</v>
      </c>
      <c r="U2796" s="1">
        <v>0</v>
      </c>
      <c r="V2796" s="1" t="str">
        <f t="shared" si="530"/>
        <v>里程返程</v>
      </c>
      <c r="W2796" s="1" t="str">
        <f>"2020"</f>
        <v>2020</v>
      </c>
      <c r="X2796" s="1" t="s">
        <v>35</v>
      </c>
    </row>
    <row r="2797" spans="1:24" x14ac:dyDescent="0.3">
      <c r="A2797" s="1" t="str">
        <f t="shared" si="531"/>
        <v>59809</v>
      </c>
      <c r="B2797" s="1" t="s">
        <v>42</v>
      </c>
      <c r="C2797" s="1" t="s">
        <v>54</v>
      </c>
      <c r="D2797" s="1" t="str">
        <f t="shared" si="535"/>
        <v>9805</v>
      </c>
      <c r="E2797" s="1" t="s">
        <v>57</v>
      </c>
      <c r="F2797" s="1" t="str">
        <f>"111EB061DE2804001C00000000000000"</f>
        <v>111EB061DE2804001C00000000000000</v>
      </c>
      <c r="G2797" s="1" t="s">
        <v>58</v>
      </c>
      <c r="H2797" s="1" t="str">
        <f t="shared" si="533"/>
        <v>20220913</v>
      </c>
      <c r="I2797" s="1" t="str">
        <f>"134259"</f>
        <v>134259</v>
      </c>
      <c r="J2797" s="1" t="s">
        <v>92</v>
      </c>
      <c r="K2797" s="1" t="s">
        <v>28</v>
      </c>
      <c r="L2797" s="1" t="str">
        <f t="shared" si="534"/>
        <v>20220913</v>
      </c>
      <c r="M2797" s="1" t="str">
        <f>"135022"</f>
        <v>135022</v>
      </c>
      <c r="N2797" s="1" t="s">
        <v>28</v>
      </c>
      <c r="O2797" s="1" t="s">
        <v>28</v>
      </c>
      <c r="P2797" s="1" t="s">
        <v>55</v>
      </c>
      <c r="Q2797" s="1">
        <v>25</v>
      </c>
      <c r="R2797" s="1">
        <v>25</v>
      </c>
      <c r="S2797" s="1">
        <v>0</v>
      </c>
      <c r="T2797" s="1">
        <v>0</v>
      </c>
      <c r="U2797" s="1">
        <v>0</v>
      </c>
      <c r="V2797" s="1" t="str">
        <f t="shared" si="530"/>
        <v>里程返程</v>
      </c>
      <c r="W2797" s="1" t="str">
        <f>"0020"</f>
        <v>0020</v>
      </c>
      <c r="X2797" s="1" t="s">
        <v>29</v>
      </c>
    </row>
    <row r="2798" spans="1:24" x14ac:dyDescent="0.3">
      <c r="A2798" s="1" t="str">
        <f t="shared" si="531"/>
        <v>59809</v>
      </c>
      <c r="B2798" s="1" t="s">
        <v>42</v>
      </c>
      <c r="C2798" s="1" t="s">
        <v>43</v>
      </c>
      <c r="D2798" s="1" t="str">
        <f t="shared" si="535"/>
        <v>9805</v>
      </c>
      <c r="E2798" s="1" t="s">
        <v>57</v>
      </c>
      <c r="F2798" s="1" t="str">
        <f>"B21DEC0A49880400C827002000000017"</f>
        <v>B21DEC0A49880400C827002000000017</v>
      </c>
      <c r="G2798" s="1" t="s">
        <v>58</v>
      </c>
      <c r="H2798" s="1" t="str">
        <f t="shared" si="533"/>
        <v>20220913</v>
      </c>
      <c r="I2798" s="1" t="str">
        <f>"142347"</f>
        <v>142347</v>
      </c>
      <c r="J2798" s="1" t="s">
        <v>28</v>
      </c>
      <c r="K2798" s="1" t="s">
        <v>28</v>
      </c>
      <c r="L2798" s="1" t="str">
        <f t="shared" si="534"/>
        <v>20220913</v>
      </c>
      <c r="M2798" s="1" t="str">
        <f>"144302"</f>
        <v>144302</v>
      </c>
      <c r="N2798" s="1" t="s">
        <v>52</v>
      </c>
      <c r="O2798" s="1" t="s">
        <v>52</v>
      </c>
      <c r="P2798" s="1" t="s">
        <v>55</v>
      </c>
      <c r="Q2798" s="1">
        <v>25</v>
      </c>
      <c r="R2798" s="1">
        <v>25</v>
      </c>
      <c r="S2798" s="1">
        <v>0</v>
      </c>
      <c r="T2798" s="1">
        <v>0</v>
      </c>
      <c r="U2798" s="1">
        <v>0</v>
      </c>
      <c r="V2798" s="1" t="str">
        <f>"里程去程"</f>
        <v>里程去程</v>
      </c>
      <c r="W2798" s="1" t="str">
        <f>"0020"</f>
        <v>0020</v>
      </c>
      <c r="X2798" s="1" t="s">
        <v>29</v>
      </c>
    </row>
    <row r="2799" spans="1:24" x14ac:dyDescent="0.3">
      <c r="A2799" s="1" t="str">
        <f t="shared" si="531"/>
        <v>59809</v>
      </c>
      <c r="B2799" s="1" t="s">
        <v>42</v>
      </c>
      <c r="C2799" s="1" t="s">
        <v>43</v>
      </c>
      <c r="D2799" s="1" t="str">
        <f t="shared" si="535"/>
        <v>9805</v>
      </c>
      <c r="E2799" s="1" t="s">
        <v>57</v>
      </c>
      <c r="F2799" s="1" t="str">
        <f>"1570275105"</f>
        <v>1570275105</v>
      </c>
      <c r="G2799" s="1" t="s">
        <v>33</v>
      </c>
      <c r="H2799" s="1" t="str">
        <f t="shared" si="533"/>
        <v>20220913</v>
      </c>
      <c r="I2799" s="1" t="str">
        <f>"142930"</f>
        <v>142930</v>
      </c>
      <c r="J2799" s="1" t="s">
        <v>28</v>
      </c>
      <c r="K2799" s="1" t="s">
        <v>28</v>
      </c>
      <c r="L2799" s="1" t="str">
        <f t="shared" si="534"/>
        <v>20220913</v>
      </c>
      <c r="M2799" s="1" t="str">
        <f>"144308"</f>
        <v>144308</v>
      </c>
      <c r="N2799" s="1" t="s">
        <v>52</v>
      </c>
      <c r="O2799" s="1" t="s">
        <v>52</v>
      </c>
      <c r="P2799" s="1" t="s">
        <v>55</v>
      </c>
      <c r="Q2799" s="1">
        <v>25</v>
      </c>
      <c r="R2799" s="1">
        <v>0</v>
      </c>
      <c r="S2799" s="1">
        <v>25</v>
      </c>
      <c r="T2799" s="1">
        <v>0</v>
      </c>
      <c r="U2799" s="1">
        <v>0</v>
      </c>
      <c r="V2799" s="1" t="str">
        <f>"里程去程"</f>
        <v>里程去程</v>
      </c>
      <c r="W2799" s="1" t="str">
        <f>"0820"</f>
        <v>0820</v>
      </c>
      <c r="X2799" s="1" t="s">
        <v>35</v>
      </c>
    </row>
    <row r="2800" spans="1:24" x14ac:dyDescent="0.3">
      <c r="A2800" s="1" t="str">
        <f t="shared" si="531"/>
        <v>59809</v>
      </c>
      <c r="B2800" s="1" t="s">
        <v>42</v>
      </c>
      <c r="C2800" s="1" t="s">
        <v>43</v>
      </c>
      <c r="D2800" s="1" t="str">
        <f t="shared" si="535"/>
        <v>9805</v>
      </c>
      <c r="E2800" s="1" t="s">
        <v>57</v>
      </c>
      <c r="F2800" s="1" t="str">
        <f>"2D8AC2CBAE0804006263646566676869"</f>
        <v>2D8AC2CBAE0804006263646566676869</v>
      </c>
      <c r="G2800" s="1" t="s">
        <v>58</v>
      </c>
      <c r="H2800" s="1" t="str">
        <f t="shared" si="533"/>
        <v>20220913</v>
      </c>
      <c r="I2800" s="1" t="str">
        <f>"144841"</f>
        <v>144841</v>
      </c>
      <c r="J2800" s="1" t="s">
        <v>52</v>
      </c>
      <c r="K2800" s="1" t="s">
        <v>52</v>
      </c>
      <c r="L2800" s="1" t="str">
        <f t="shared" si="534"/>
        <v>20220913</v>
      </c>
      <c r="M2800" s="1" t="str">
        <f>"150745"</f>
        <v>150745</v>
      </c>
      <c r="N2800" s="1" t="s">
        <v>28</v>
      </c>
      <c r="O2800" s="1" t="s">
        <v>28</v>
      </c>
      <c r="P2800" s="1" t="s">
        <v>55</v>
      </c>
      <c r="Q2800" s="1">
        <v>25</v>
      </c>
      <c r="R2800" s="1">
        <v>25</v>
      </c>
      <c r="S2800" s="1">
        <v>0</v>
      </c>
      <c r="T2800" s="1">
        <v>0</v>
      </c>
      <c r="U2800" s="1">
        <v>0</v>
      </c>
      <c r="V2800" s="1" t="str">
        <f t="shared" ref="V2800:V2809" si="536">"里程返程"</f>
        <v>里程返程</v>
      </c>
      <c r="W2800" s="1" t="str">
        <f>"0020"</f>
        <v>0020</v>
      </c>
      <c r="X2800" s="1" t="s">
        <v>29</v>
      </c>
    </row>
    <row r="2801" spans="1:24" x14ac:dyDescent="0.3">
      <c r="A2801" s="1" t="str">
        <f t="shared" ref="A2801:A2825" si="537">"59809"</f>
        <v>59809</v>
      </c>
      <c r="B2801" s="1" t="s">
        <v>42</v>
      </c>
      <c r="C2801" s="1" t="s">
        <v>43</v>
      </c>
      <c r="D2801" s="1" t="str">
        <f t="shared" si="535"/>
        <v>9805</v>
      </c>
      <c r="E2801" s="1" t="s">
        <v>57</v>
      </c>
      <c r="F2801" s="1" t="str">
        <f>"622058673"</f>
        <v>622058673</v>
      </c>
      <c r="G2801" s="1" t="s">
        <v>33</v>
      </c>
      <c r="H2801" s="1" t="str">
        <f t="shared" si="533"/>
        <v>20220913</v>
      </c>
      <c r="I2801" s="1" t="str">
        <f>"144855"</f>
        <v>144855</v>
      </c>
      <c r="J2801" s="1" t="s">
        <v>52</v>
      </c>
      <c r="K2801" s="1" t="s">
        <v>52</v>
      </c>
      <c r="L2801" s="1" t="str">
        <f t="shared" si="534"/>
        <v>20220913</v>
      </c>
      <c r="M2801" s="1" t="str">
        <f>"150741"</f>
        <v>150741</v>
      </c>
      <c r="N2801" s="1" t="s">
        <v>28</v>
      </c>
      <c r="O2801" s="1" t="s">
        <v>28</v>
      </c>
      <c r="P2801" s="1" t="s">
        <v>55</v>
      </c>
      <c r="Q2801" s="1">
        <v>25</v>
      </c>
      <c r="R2801" s="1">
        <v>0</v>
      </c>
      <c r="S2801" s="1">
        <v>25</v>
      </c>
      <c r="T2801" s="1">
        <v>0</v>
      </c>
      <c r="U2801" s="1">
        <v>0</v>
      </c>
      <c r="V2801" s="1" t="str">
        <f t="shared" si="536"/>
        <v>里程返程</v>
      </c>
      <c r="W2801" s="1" t="str">
        <f>"2120"</f>
        <v>2120</v>
      </c>
      <c r="X2801" s="1" t="s">
        <v>35</v>
      </c>
    </row>
    <row r="2802" spans="1:24" x14ac:dyDescent="0.3">
      <c r="A2802" s="1" t="str">
        <f t="shared" si="537"/>
        <v>59809</v>
      </c>
      <c r="B2802" s="1" t="s">
        <v>42</v>
      </c>
      <c r="C2802" s="1" t="s">
        <v>43</v>
      </c>
      <c r="D2802" s="1" t="str">
        <f t="shared" si="535"/>
        <v>9805</v>
      </c>
      <c r="E2802" s="1" t="s">
        <v>57</v>
      </c>
      <c r="F2802" s="1" t="str">
        <f>"1586685265"</f>
        <v>1586685265</v>
      </c>
      <c r="G2802" s="1" t="s">
        <v>33</v>
      </c>
      <c r="H2802" s="1" t="str">
        <f t="shared" si="533"/>
        <v>20220913</v>
      </c>
      <c r="I2802" s="1" t="str">
        <f>"144915"</f>
        <v>144915</v>
      </c>
      <c r="J2802" s="1" t="s">
        <v>52</v>
      </c>
      <c r="K2802" s="1" t="s">
        <v>52</v>
      </c>
      <c r="L2802" s="1" t="str">
        <f t="shared" si="534"/>
        <v>20220913</v>
      </c>
      <c r="M2802" s="1" t="str">
        <f>"150736"</f>
        <v>150736</v>
      </c>
      <c r="N2802" s="1" t="s">
        <v>28</v>
      </c>
      <c r="O2802" s="1" t="s">
        <v>28</v>
      </c>
      <c r="P2802" s="1" t="s">
        <v>55</v>
      </c>
      <c r="Q2802" s="1">
        <v>25</v>
      </c>
      <c r="R2802" s="1">
        <v>0</v>
      </c>
      <c r="S2802" s="1">
        <v>25</v>
      </c>
      <c r="T2802" s="1">
        <v>0</v>
      </c>
      <c r="U2802" s="1">
        <v>0</v>
      </c>
      <c r="V2802" s="1" t="str">
        <f t="shared" si="536"/>
        <v>里程返程</v>
      </c>
      <c r="W2802" s="1" t="str">
        <f t="shared" ref="W2802:W2807" si="538">"2020"</f>
        <v>2020</v>
      </c>
      <c r="X2802" s="1" t="s">
        <v>35</v>
      </c>
    </row>
    <row r="2803" spans="1:24" x14ac:dyDescent="0.3">
      <c r="A2803" s="1" t="str">
        <f t="shared" si="537"/>
        <v>59809</v>
      </c>
      <c r="B2803" s="1" t="s">
        <v>42</v>
      </c>
      <c r="C2803" s="1" t="s">
        <v>43</v>
      </c>
      <c r="D2803" s="1" t="str">
        <f t="shared" si="535"/>
        <v>9805</v>
      </c>
      <c r="E2803" s="1" t="s">
        <v>57</v>
      </c>
      <c r="F2803" s="1" t="str">
        <f>"161436677"</f>
        <v>161436677</v>
      </c>
      <c r="G2803" s="1" t="s">
        <v>33</v>
      </c>
      <c r="H2803" s="1" t="str">
        <f t="shared" si="533"/>
        <v>20220913</v>
      </c>
      <c r="I2803" s="1" t="str">
        <f>"144919"</f>
        <v>144919</v>
      </c>
      <c r="J2803" s="1" t="s">
        <v>52</v>
      </c>
      <c r="K2803" s="1" t="s">
        <v>52</v>
      </c>
      <c r="L2803" s="1" t="str">
        <f t="shared" si="534"/>
        <v>20220913</v>
      </c>
      <c r="M2803" s="1" t="str">
        <f>"150738"</f>
        <v>150738</v>
      </c>
      <c r="N2803" s="1" t="s">
        <v>28</v>
      </c>
      <c r="O2803" s="1" t="s">
        <v>28</v>
      </c>
      <c r="P2803" s="1" t="s">
        <v>55</v>
      </c>
      <c r="Q2803" s="1">
        <v>25</v>
      </c>
      <c r="R2803" s="1">
        <v>0</v>
      </c>
      <c r="S2803" s="1">
        <v>25</v>
      </c>
      <c r="T2803" s="1">
        <v>0</v>
      </c>
      <c r="U2803" s="1">
        <v>0</v>
      </c>
      <c r="V2803" s="1" t="str">
        <f t="shared" si="536"/>
        <v>里程返程</v>
      </c>
      <c r="W2803" s="1" t="str">
        <f t="shared" si="538"/>
        <v>2020</v>
      </c>
      <c r="X2803" s="1" t="s">
        <v>35</v>
      </c>
    </row>
    <row r="2804" spans="1:24" x14ac:dyDescent="0.3">
      <c r="A2804" s="1" t="str">
        <f t="shared" si="537"/>
        <v>59809</v>
      </c>
      <c r="B2804" s="1" t="s">
        <v>42</v>
      </c>
      <c r="C2804" s="1" t="s">
        <v>43</v>
      </c>
      <c r="D2804" s="1" t="str">
        <f t="shared" si="535"/>
        <v>9805</v>
      </c>
      <c r="E2804" s="1" t="s">
        <v>57</v>
      </c>
      <c r="F2804" s="1" t="str">
        <f>"1684668021"</f>
        <v>1684668021</v>
      </c>
      <c r="G2804" s="1" t="s">
        <v>33</v>
      </c>
      <c r="H2804" s="1" t="str">
        <f t="shared" si="533"/>
        <v>20220913</v>
      </c>
      <c r="I2804" s="1" t="str">
        <f>"145043"</f>
        <v>145043</v>
      </c>
      <c r="J2804" s="1" t="s">
        <v>52</v>
      </c>
      <c r="K2804" s="1" t="s">
        <v>52</v>
      </c>
      <c r="L2804" s="1" t="str">
        <f t="shared" si="534"/>
        <v>20220913</v>
      </c>
      <c r="M2804" s="1" t="str">
        <f>"150748"</f>
        <v>150748</v>
      </c>
      <c r="N2804" s="1" t="s">
        <v>28</v>
      </c>
      <c r="O2804" s="1" t="s">
        <v>28</v>
      </c>
      <c r="P2804" s="1" t="s">
        <v>55</v>
      </c>
      <c r="Q2804" s="1">
        <v>25</v>
      </c>
      <c r="R2804" s="1">
        <v>0</v>
      </c>
      <c r="S2804" s="1">
        <v>25</v>
      </c>
      <c r="T2804" s="1">
        <v>0</v>
      </c>
      <c r="U2804" s="1">
        <v>0</v>
      </c>
      <c r="V2804" s="1" t="str">
        <f t="shared" si="536"/>
        <v>里程返程</v>
      </c>
      <c r="W2804" s="1" t="str">
        <f t="shared" si="538"/>
        <v>2020</v>
      </c>
      <c r="X2804" s="1" t="s">
        <v>35</v>
      </c>
    </row>
    <row r="2805" spans="1:24" x14ac:dyDescent="0.3">
      <c r="A2805" s="1" t="str">
        <f t="shared" si="537"/>
        <v>59809</v>
      </c>
      <c r="B2805" s="1" t="s">
        <v>42</v>
      </c>
      <c r="C2805" s="1" t="s">
        <v>43</v>
      </c>
      <c r="D2805" s="1" t="str">
        <f>"9803"</f>
        <v>9803</v>
      </c>
      <c r="E2805" s="1" t="s">
        <v>32</v>
      </c>
      <c r="F2805" s="1" t="str">
        <f>"145937201"</f>
        <v>145937201</v>
      </c>
      <c r="G2805" s="1" t="s">
        <v>33</v>
      </c>
      <c r="H2805" s="1" t="str">
        <f t="shared" si="533"/>
        <v>20220913</v>
      </c>
      <c r="I2805" s="1" t="str">
        <f>"153741"</f>
        <v>153741</v>
      </c>
      <c r="J2805" s="1" t="s">
        <v>34</v>
      </c>
      <c r="K2805" s="1" t="s">
        <v>34</v>
      </c>
      <c r="L2805" s="1" t="str">
        <f t="shared" si="534"/>
        <v>20220913</v>
      </c>
      <c r="M2805" s="1" t="str">
        <f>"160626"</f>
        <v>160626</v>
      </c>
      <c r="N2805" s="1" t="s">
        <v>28</v>
      </c>
      <c r="O2805" s="1" t="s">
        <v>28</v>
      </c>
      <c r="P2805" s="1" t="s">
        <v>55</v>
      </c>
      <c r="Q2805" s="1">
        <v>25</v>
      </c>
      <c r="R2805" s="1">
        <v>25</v>
      </c>
      <c r="S2805" s="1">
        <v>0</v>
      </c>
      <c r="T2805" s="1">
        <v>0</v>
      </c>
      <c r="U2805" s="1">
        <v>0</v>
      </c>
      <c r="V2805" s="1" t="str">
        <f t="shared" si="536"/>
        <v>里程返程</v>
      </c>
      <c r="W2805" s="1" t="str">
        <f t="shared" si="538"/>
        <v>2020</v>
      </c>
      <c r="X2805" s="1" t="s">
        <v>35</v>
      </c>
    </row>
    <row r="2806" spans="1:24" x14ac:dyDescent="0.3">
      <c r="A2806" s="1" t="str">
        <f t="shared" si="537"/>
        <v>59809</v>
      </c>
      <c r="B2806" s="1" t="s">
        <v>42</v>
      </c>
      <c r="C2806" s="1" t="s">
        <v>43</v>
      </c>
      <c r="D2806" s="1" t="str">
        <f>"9803"</f>
        <v>9803</v>
      </c>
      <c r="E2806" s="1" t="s">
        <v>32</v>
      </c>
      <c r="F2806" s="1" t="str">
        <f>"886946741"</f>
        <v>886946741</v>
      </c>
      <c r="G2806" s="1" t="s">
        <v>33</v>
      </c>
      <c r="H2806" s="1" t="str">
        <f t="shared" si="533"/>
        <v>20220913</v>
      </c>
      <c r="I2806" s="1" t="str">
        <f>"153747"</f>
        <v>153747</v>
      </c>
      <c r="J2806" s="1" t="s">
        <v>34</v>
      </c>
      <c r="K2806" s="1" t="s">
        <v>34</v>
      </c>
      <c r="L2806" s="1" t="str">
        <f t="shared" si="534"/>
        <v>20220913</v>
      </c>
      <c r="M2806" s="1" t="str">
        <f>"160550"</f>
        <v>160550</v>
      </c>
      <c r="N2806" s="1" t="s">
        <v>28</v>
      </c>
      <c r="O2806" s="1" t="s">
        <v>28</v>
      </c>
      <c r="P2806" s="1" t="s">
        <v>55</v>
      </c>
      <c r="Q2806" s="1">
        <v>25</v>
      </c>
      <c r="R2806" s="1">
        <v>25</v>
      </c>
      <c r="S2806" s="1">
        <v>0</v>
      </c>
      <c r="T2806" s="1">
        <v>0</v>
      </c>
      <c r="U2806" s="1">
        <v>0</v>
      </c>
      <c r="V2806" s="1" t="str">
        <f t="shared" si="536"/>
        <v>里程返程</v>
      </c>
      <c r="W2806" s="1" t="str">
        <f t="shared" si="538"/>
        <v>2020</v>
      </c>
      <c r="X2806" s="1" t="s">
        <v>35</v>
      </c>
    </row>
    <row r="2807" spans="1:24" x14ac:dyDescent="0.3">
      <c r="A2807" s="1" t="str">
        <f t="shared" si="537"/>
        <v>59809</v>
      </c>
      <c r="B2807" s="1" t="s">
        <v>42</v>
      </c>
      <c r="C2807" s="1" t="s">
        <v>43</v>
      </c>
      <c r="D2807" s="1" t="str">
        <f>"9803"</f>
        <v>9803</v>
      </c>
      <c r="E2807" s="1" t="s">
        <v>32</v>
      </c>
      <c r="F2807" s="1" t="str">
        <f>"1742060069"</f>
        <v>1742060069</v>
      </c>
      <c r="G2807" s="1" t="s">
        <v>38</v>
      </c>
      <c r="H2807" s="1" t="str">
        <f t="shared" si="533"/>
        <v>20220913</v>
      </c>
      <c r="I2807" s="1" t="str">
        <f>"153756"</f>
        <v>153756</v>
      </c>
      <c r="J2807" s="1" t="s">
        <v>34</v>
      </c>
      <c r="K2807" s="1" t="s">
        <v>34</v>
      </c>
      <c r="L2807" s="1" t="str">
        <f t="shared" si="534"/>
        <v>20220913</v>
      </c>
      <c r="M2807" s="1" t="str">
        <f>"160631"</f>
        <v>160631</v>
      </c>
      <c r="N2807" s="1" t="s">
        <v>28</v>
      </c>
      <c r="O2807" s="1" t="s">
        <v>28</v>
      </c>
      <c r="P2807" s="1" t="s">
        <v>55</v>
      </c>
      <c r="Q2807" s="1">
        <v>25</v>
      </c>
      <c r="R2807" s="1">
        <v>25</v>
      </c>
      <c r="S2807" s="1">
        <v>0</v>
      </c>
      <c r="T2807" s="1">
        <v>0</v>
      </c>
      <c r="U2807" s="1">
        <v>0</v>
      </c>
      <c r="V2807" s="1" t="str">
        <f t="shared" si="536"/>
        <v>里程返程</v>
      </c>
      <c r="W2807" s="1" t="str">
        <f t="shared" si="538"/>
        <v>2020</v>
      </c>
      <c r="X2807" s="1" t="s">
        <v>35</v>
      </c>
    </row>
    <row r="2808" spans="1:24" x14ac:dyDescent="0.3">
      <c r="A2808" s="1" t="str">
        <f t="shared" si="537"/>
        <v>59809</v>
      </c>
      <c r="B2808" s="1" t="s">
        <v>42</v>
      </c>
      <c r="C2808" s="1" t="s">
        <v>43</v>
      </c>
      <c r="D2808" s="1" t="str">
        <f>"9803"</f>
        <v>9803</v>
      </c>
      <c r="E2808" s="1" t="s">
        <v>32</v>
      </c>
      <c r="F2808" s="1" t="str">
        <f>"69A02410FD8804004326A4E600170211"</f>
        <v>69A02410FD8804004326A4E600170211</v>
      </c>
      <c r="G2808" s="1" t="s">
        <v>82</v>
      </c>
      <c r="H2808" s="1" t="str">
        <f t="shared" si="533"/>
        <v>20220913</v>
      </c>
      <c r="I2808" s="1" t="str">
        <f>"153803"</f>
        <v>153803</v>
      </c>
      <c r="J2808" s="1" t="s">
        <v>34</v>
      </c>
      <c r="K2808" s="1" t="s">
        <v>34</v>
      </c>
      <c r="L2808" s="1" t="str">
        <f>""</f>
        <v/>
      </c>
      <c r="M2808" s="1" t="str">
        <f>""</f>
        <v/>
      </c>
      <c r="P2808" s="1" t="s">
        <v>88</v>
      </c>
      <c r="Q2808" s="1">
        <v>13</v>
      </c>
      <c r="R2808" s="1">
        <v>13</v>
      </c>
      <c r="S2808" s="1">
        <v>0</v>
      </c>
      <c r="T2808" s="1">
        <v>0</v>
      </c>
      <c r="U2808" s="1">
        <v>0</v>
      </c>
      <c r="V2808" s="1" t="str">
        <f t="shared" si="536"/>
        <v>里程返程</v>
      </c>
      <c r="W2808" s="1" t="str">
        <f>"0020"</f>
        <v>0020</v>
      </c>
      <c r="X2808" s="1" t="s">
        <v>29</v>
      </c>
    </row>
    <row r="2809" spans="1:24" x14ac:dyDescent="0.3">
      <c r="A2809" s="1" t="str">
        <f t="shared" si="537"/>
        <v>59809</v>
      </c>
      <c r="B2809" s="1" t="s">
        <v>42</v>
      </c>
      <c r="C2809" s="1" t="s">
        <v>43</v>
      </c>
      <c r="D2809" s="1" t="str">
        <f>"9803"</f>
        <v>9803</v>
      </c>
      <c r="E2809" s="1" t="s">
        <v>32</v>
      </c>
      <c r="F2809" s="1" t="str">
        <f>"1218555157"</f>
        <v>1218555157</v>
      </c>
      <c r="G2809" s="1" t="s">
        <v>38</v>
      </c>
      <c r="H2809" s="1" t="str">
        <f t="shared" si="533"/>
        <v>20220913</v>
      </c>
      <c r="I2809" s="1" t="str">
        <f>"153805"</f>
        <v>153805</v>
      </c>
      <c r="J2809" s="1" t="s">
        <v>34</v>
      </c>
      <c r="K2809" s="1" t="s">
        <v>34</v>
      </c>
      <c r="L2809" s="1" t="str">
        <f t="shared" ref="L2809:L2840" si="539">"20220913"</f>
        <v>20220913</v>
      </c>
      <c r="M2809" s="1" t="str">
        <f>"160605"</f>
        <v>160605</v>
      </c>
      <c r="N2809" s="1" t="s">
        <v>28</v>
      </c>
      <c r="O2809" s="1" t="s">
        <v>28</v>
      </c>
      <c r="P2809" s="1" t="s">
        <v>55</v>
      </c>
      <c r="Q2809" s="1">
        <v>25</v>
      </c>
      <c r="R2809" s="1">
        <v>25</v>
      </c>
      <c r="S2809" s="1">
        <v>0</v>
      </c>
      <c r="T2809" s="1">
        <v>0</v>
      </c>
      <c r="U2809" s="1">
        <v>0</v>
      </c>
      <c r="V2809" s="1" t="str">
        <f t="shared" si="536"/>
        <v>里程返程</v>
      </c>
      <c r="W2809" s="1" t="str">
        <f>"0120"</f>
        <v>0120</v>
      </c>
      <c r="X2809" s="1" t="s">
        <v>35</v>
      </c>
    </row>
    <row r="2810" spans="1:24" x14ac:dyDescent="0.3">
      <c r="A2810" s="1" t="str">
        <f t="shared" si="537"/>
        <v>59809</v>
      </c>
      <c r="B2810" s="1" t="s">
        <v>42</v>
      </c>
      <c r="C2810" s="1" t="s">
        <v>43</v>
      </c>
      <c r="D2810" s="1" t="str">
        <f t="shared" ref="D2810:D2815" si="540">"9806"</f>
        <v>9806</v>
      </c>
      <c r="E2810" s="1" t="s">
        <v>49</v>
      </c>
      <c r="F2810" s="1" t="str">
        <f>"B211E70246880400C834002000000015"</f>
        <v>B211E70246880400C834002000000015</v>
      </c>
      <c r="G2810" s="1" t="s">
        <v>74</v>
      </c>
      <c r="H2810" s="1" t="str">
        <f t="shared" si="533"/>
        <v>20220913</v>
      </c>
      <c r="I2810" s="1" t="str">
        <f>"163621"</f>
        <v>163621</v>
      </c>
      <c r="J2810" s="1" t="s">
        <v>76</v>
      </c>
      <c r="K2810" s="1" t="s">
        <v>28</v>
      </c>
      <c r="L2810" s="1" t="str">
        <f t="shared" si="539"/>
        <v>20220913</v>
      </c>
      <c r="M2810" s="1" t="str">
        <f>"164635"</f>
        <v>164635</v>
      </c>
      <c r="N2810" s="1" t="s">
        <v>84</v>
      </c>
      <c r="O2810" s="1" t="s">
        <v>28</v>
      </c>
      <c r="P2810" s="1" t="s">
        <v>68</v>
      </c>
      <c r="Q2810" s="1">
        <v>13</v>
      </c>
      <c r="R2810" s="1">
        <v>0</v>
      </c>
      <c r="S2810" s="1">
        <v>0</v>
      </c>
      <c r="T2810" s="1">
        <v>13</v>
      </c>
      <c r="U2810" s="1">
        <v>0</v>
      </c>
      <c r="V2810" s="1" t="str">
        <f t="shared" ref="V2810:V2818" si="541">"里程去程"</f>
        <v>里程去程</v>
      </c>
      <c r="W2810" s="1" t="str">
        <f>"0020"</f>
        <v>0020</v>
      </c>
      <c r="X2810" s="1" t="s">
        <v>29</v>
      </c>
    </row>
    <row r="2811" spans="1:24" x14ac:dyDescent="0.3">
      <c r="A2811" s="1" t="str">
        <f t="shared" si="537"/>
        <v>59809</v>
      </c>
      <c r="B2811" s="1" t="s">
        <v>42</v>
      </c>
      <c r="C2811" s="1" t="s">
        <v>43</v>
      </c>
      <c r="D2811" s="1" t="str">
        <f t="shared" si="540"/>
        <v>9806</v>
      </c>
      <c r="E2811" s="1" t="s">
        <v>49</v>
      </c>
      <c r="F2811" s="1" t="str">
        <f>"538267473"</f>
        <v>538267473</v>
      </c>
      <c r="G2811" s="1" t="s">
        <v>33</v>
      </c>
      <c r="H2811" s="1" t="str">
        <f t="shared" si="533"/>
        <v>20220913</v>
      </c>
      <c r="I2811" s="1" t="str">
        <f>"163625"</f>
        <v>163625</v>
      </c>
      <c r="J2811" s="1" t="s">
        <v>76</v>
      </c>
      <c r="K2811" s="1" t="s">
        <v>28</v>
      </c>
      <c r="L2811" s="1" t="str">
        <f t="shared" si="539"/>
        <v>20220913</v>
      </c>
      <c r="M2811" s="1" t="str">
        <f>"164958"</f>
        <v>164958</v>
      </c>
      <c r="N2811" s="1" t="s">
        <v>28</v>
      </c>
      <c r="O2811" s="1" t="s">
        <v>28</v>
      </c>
      <c r="P2811" s="1" t="s">
        <v>55</v>
      </c>
      <c r="Q2811" s="1">
        <v>25</v>
      </c>
      <c r="R2811" s="1">
        <v>25</v>
      </c>
      <c r="S2811" s="1">
        <v>0</v>
      </c>
      <c r="T2811" s="1">
        <v>0</v>
      </c>
      <c r="U2811" s="1">
        <v>0</v>
      </c>
      <c r="V2811" s="1" t="str">
        <f t="shared" si="541"/>
        <v>里程去程</v>
      </c>
      <c r="W2811" s="1" t="str">
        <f>"2020"</f>
        <v>2020</v>
      </c>
      <c r="X2811" s="1" t="s">
        <v>35</v>
      </c>
    </row>
    <row r="2812" spans="1:24" x14ac:dyDescent="0.3">
      <c r="A2812" s="1" t="str">
        <f t="shared" si="537"/>
        <v>59809</v>
      </c>
      <c r="B2812" s="1" t="s">
        <v>42</v>
      </c>
      <c r="C2812" s="1" t="s">
        <v>43</v>
      </c>
      <c r="D2812" s="1" t="str">
        <f t="shared" si="540"/>
        <v>9806</v>
      </c>
      <c r="E2812" s="1" t="s">
        <v>49</v>
      </c>
      <c r="F2812" s="1" t="str">
        <f>"1202E702F5880400C834002000000015"</f>
        <v>1202E702F5880400C834002000000015</v>
      </c>
      <c r="G2812" s="1" t="s">
        <v>74</v>
      </c>
      <c r="H2812" s="1" t="str">
        <f t="shared" si="533"/>
        <v>20220913</v>
      </c>
      <c r="I2812" s="1" t="str">
        <f>"163632"</f>
        <v>163632</v>
      </c>
      <c r="J2812" s="1" t="s">
        <v>76</v>
      </c>
      <c r="K2812" s="1" t="s">
        <v>28</v>
      </c>
      <c r="L2812" s="1" t="str">
        <f t="shared" si="539"/>
        <v>20220913</v>
      </c>
      <c r="M2812" s="1" t="str">
        <f>"164640"</f>
        <v>164640</v>
      </c>
      <c r="N2812" s="1" t="s">
        <v>84</v>
      </c>
      <c r="O2812" s="1" t="s">
        <v>28</v>
      </c>
      <c r="P2812" s="1" t="s">
        <v>68</v>
      </c>
      <c r="Q2812" s="1">
        <v>13</v>
      </c>
      <c r="R2812" s="1">
        <v>0</v>
      </c>
      <c r="S2812" s="1">
        <v>0</v>
      </c>
      <c r="T2812" s="1">
        <v>13</v>
      </c>
      <c r="U2812" s="1">
        <v>0</v>
      </c>
      <c r="V2812" s="1" t="str">
        <f t="shared" si="541"/>
        <v>里程去程</v>
      </c>
      <c r="W2812" s="1" t="str">
        <f>"0020"</f>
        <v>0020</v>
      </c>
      <c r="X2812" s="1" t="s">
        <v>29</v>
      </c>
    </row>
    <row r="2813" spans="1:24" x14ac:dyDescent="0.3">
      <c r="A2813" s="1" t="str">
        <f t="shared" si="537"/>
        <v>59809</v>
      </c>
      <c r="B2813" s="1" t="s">
        <v>42</v>
      </c>
      <c r="C2813" s="1" t="s">
        <v>43</v>
      </c>
      <c r="D2813" s="1" t="str">
        <f t="shared" si="540"/>
        <v>9806</v>
      </c>
      <c r="E2813" s="1" t="s">
        <v>49</v>
      </c>
      <c r="F2813" s="1" t="str">
        <f>"1695105317"</f>
        <v>1695105317</v>
      </c>
      <c r="G2813" s="1" t="s">
        <v>33</v>
      </c>
      <c r="H2813" s="1" t="str">
        <f t="shared" si="533"/>
        <v>20220913</v>
      </c>
      <c r="I2813" s="1" t="str">
        <f>"163640"</f>
        <v>163640</v>
      </c>
      <c r="J2813" s="1" t="s">
        <v>76</v>
      </c>
      <c r="K2813" s="1" t="s">
        <v>28</v>
      </c>
      <c r="L2813" s="1" t="str">
        <f t="shared" si="539"/>
        <v>20220913</v>
      </c>
      <c r="M2813" s="1" t="str">
        <f>"164953"</f>
        <v>164953</v>
      </c>
      <c r="N2813" s="1" t="s">
        <v>28</v>
      </c>
      <c r="O2813" s="1" t="s">
        <v>28</v>
      </c>
      <c r="P2813" s="1" t="s">
        <v>55</v>
      </c>
      <c r="Q2813" s="1">
        <v>25</v>
      </c>
      <c r="R2813" s="1">
        <v>25</v>
      </c>
      <c r="S2813" s="1">
        <v>0</v>
      </c>
      <c r="T2813" s="1">
        <v>0</v>
      </c>
      <c r="U2813" s="1">
        <v>0</v>
      </c>
      <c r="V2813" s="1" t="str">
        <f t="shared" si="541"/>
        <v>里程去程</v>
      </c>
      <c r="W2813" s="1" t="str">
        <f>"2020"</f>
        <v>2020</v>
      </c>
      <c r="X2813" s="1" t="s">
        <v>35</v>
      </c>
    </row>
    <row r="2814" spans="1:24" x14ac:dyDescent="0.3">
      <c r="A2814" s="1" t="str">
        <f t="shared" si="537"/>
        <v>59809</v>
      </c>
      <c r="B2814" s="1" t="s">
        <v>42</v>
      </c>
      <c r="C2814" s="1" t="s">
        <v>43</v>
      </c>
      <c r="D2814" s="1" t="str">
        <f t="shared" si="540"/>
        <v>9806</v>
      </c>
      <c r="E2814" s="1" t="s">
        <v>49</v>
      </c>
      <c r="F2814" s="1" t="str">
        <f>"22C8DE1B2F880400C822002000000021"</f>
        <v>22C8DE1B2F880400C822002000000021</v>
      </c>
      <c r="G2814" s="1" t="s">
        <v>58</v>
      </c>
      <c r="H2814" s="1" t="str">
        <f t="shared" si="533"/>
        <v>20220913</v>
      </c>
      <c r="I2814" s="1" t="str">
        <f>"163643"</f>
        <v>163643</v>
      </c>
      <c r="J2814" s="1" t="s">
        <v>76</v>
      </c>
      <c r="K2814" s="1" t="s">
        <v>28</v>
      </c>
      <c r="L2814" s="1" t="str">
        <f t="shared" si="539"/>
        <v>20220913</v>
      </c>
      <c r="M2814" s="1" t="str">
        <f>"164956"</f>
        <v>164956</v>
      </c>
      <c r="N2814" s="1" t="s">
        <v>28</v>
      </c>
      <c r="O2814" s="1" t="s">
        <v>28</v>
      </c>
      <c r="P2814" s="1" t="s">
        <v>55</v>
      </c>
      <c r="Q2814" s="1">
        <v>25</v>
      </c>
      <c r="R2814" s="1">
        <v>25</v>
      </c>
      <c r="S2814" s="1">
        <v>0</v>
      </c>
      <c r="T2814" s="1">
        <v>0</v>
      </c>
      <c r="U2814" s="1">
        <v>0</v>
      </c>
      <c r="V2814" s="1" t="str">
        <f t="shared" si="541"/>
        <v>里程去程</v>
      </c>
      <c r="W2814" s="1" t="str">
        <f>"0020"</f>
        <v>0020</v>
      </c>
      <c r="X2814" s="1" t="s">
        <v>29</v>
      </c>
    </row>
    <row r="2815" spans="1:24" x14ac:dyDescent="0.3">
      <c r="A2815" s="1" t="str">
        <f t="shared" si="537"/>
        <v>59809</v>
      </c>
      <c r="B2815" s="1" t="s">
        <v>42</v>
      </c>
      <c r="C2815" s="1" t="s">
        <v>43</v>
      </c>
      <c r="D2815" s="1" t="str">
        <f t="shared" si="540"/>
        <v>9806</v>
      </c>
      <c r="E2815" s="1" t="s">
        <v>49</v>
      </c>
      <c r="F2815" s="1" t="str">
        <f>"1055537829"</f>
        <v>1055537829</v>
      </c>
      <c r="G2815" s="1" t="s">
        <v>33</v>
      </c>
      <c r="H2815" s="1" t="str">
        <f t="shared" si="533"/>
        <v>20220913</v>
      </c>
      <c r="I2815" s="1" t="str">
        <f>"164200"</f>
        <v>164200</v>
      </c>
      <c r="J2815" s="1" t="s">
        <v>98</v>
      </c>
      <c r="K2815" s="1" t="s">
        <v>28</v>
      </c>
      <c r="L2815" s="1" t="str">
        <f t="shared" si="539"/>
        <v>20220913</v>
      </c>
      <c r="M2815" s="1" t="str">
        <f>"165006"</f>
        <v>165006</v>
      </c>
      <c r="N2815" s="1" t="s">
        <v>28</v>
      </c>
      <c r="O2815" s="1" t="s">
        <v>28</v>
      </c>
      <c r="P2815" s="1" t="s">
        <v>55</v>
      </c>
      <c r="Q2815" s="1">
        <v>25</v>
      </c>
      <c r="R2815" s="1">
        <v>25</v>
      </c>
      <c r="S2815" s="1">
        <v>0</v>
      </c>
      <c r="T2815" s="1">
        <v>0</v>
      </c>
      <c r="U2815" s="1">
        <v>0</v>
      </c>
      <c r="V2815" s="1" t="str">
        <f t="shared" si="541"/>
        <v>里程去程</v>
      </c>
      <c r="W2815" s="1" t="str">
        <f>"2020"</f>
        <v>2020</v>
      </c>
      <c r="X2815" s="1" t="s">
        <v>35</v>
      </c>
    </row>
    <row r="2816" spans="1:24" x14ac:dyDescent="0.3">
      <c r="A2816" s="1" t="str">
        <f t="shared" si="537"/>
        <v>59809</v>
      </c>
      <c r="B2816" s="1" t="s">
        <v>42</v>
      </c>
      <c r="C2816" s="1" t="s">
        <v>43</v>
      </c>
      <c r="D2816" s="1" t="str">
        <f>"9805"</f>
        <v>9805</v>
      </c>
      <c r="E2816" s="1" t="s">
        <v>57</v>
      </c>
      <c r="F2816" s="1" t="str">
        <f>"118981941"</f>
        <v>118981941</v>
      </c>
      <c r="G2816" s="1" t="s">
        <v>33</v>
      </c>
      <c r="H2816" s="1" t="str">
        <f t="shared" si="533"/>
        <v>20220913</v>
      </c>
      <c r="I2816" s="1" t="str">
        <f>"165044"</f>
        <v>165044</v>
      </c>
      <c r="J2816" s="1" t="s">
        <v>28</v>
      </c>
      <c r="K2816" s="1" t="s">
        <v>28</v>
      </c>
      <c r="L2816" s="1" t="str">
        <f t="shared" si="539"/>
        <v>20220913</v>
      </c>
      <c r="M2816" s="1" t="str">
        <f>"170114"</f>
        <v>170114</v>
      </c>
      <c r="N2816" s="1" t="s">
        <v>61</v>
      </c>
      <c r="O2816" s="1" t="s">
        <v>28</v>
      </c>
      <c r="P2816" s="1" t="s">
        <v>55</v>
      </c>
      <c r="Q2816" s="1">
        <v>25</v>
      </c>
      <c r="R2816" s="1">
        <v>25</v>
      </c>
      <c r="S2816" s="1">
        <v>0</v>
      </c>
      <c r="T2816" s="1">
        <v>0</v>
      </c>
      <c r="U2816" s="1">
        <v>0</v>
      </c>
      <c r="V2816" s="1" t="str">
        <f t="shared" si="541"/>
        <v>里程去程</v>
      </c>
      <c r="W2816" s="1" t="str">
        <f>"0620"</f>
        <v>0620</v>
      </c>
      <c r="X2816" s="1" t="s">
        <v>35</v>
      </c>
    </row>
    <row r="2817" spans="1:24" x14ac:dyDescent="0.3">
      <c r="A2817" s="1" t="str">
        <f t="shared" si="537"/>
        <v>59809</v>
      </c>
      <c r="B2817" s="1" t="s">
        <v>42</v>
      </c>
      <c r="C2817" s="1" t="s">
        <v>43</v>
      </c>
      <c r="D2817" s="1" t="str">
        <f>"9805"</f>
        <v>9805</v>
      </c>
      <c r="E2817" s="1" t="s">
        <v>57</v>
      </c>
      <c r="F2817" s="1" t="str">
        <f>"1030356058"</f>
        <v>1030356058</v>
      </c>
      <c r="G2817" s="1" t="s">
        <v>33</v>
      </c>
      <c r="H2817" s="1" t="str">
        <f t="shared" si="533"/>
        <v>20220913</v>
      </c>
      <c r="I2817" s="1" t="str">
        <f>"165047"</f>
        <v>165047</v>
      </c>
      <c r="J2817" s="1" t="s">
        <v>28</v>
      </c>
      <c r="K2817" s="1" t="s">
        <v>28</v>
      </c>
      <c r="L2817" s="1" t="str">
        <f t="shared" si="539"/>
        <v>20220913</v>
      </c>
      <c r="M2817" s="1" t="str">
        <f>"165942"</f>
        <v>165942</v>
      </c>
      <c r="N2817" s="1" t="s">
        <v>46</v>
      </c>
      <c r="O2817" s="1" t="s">
        <v>28</v>
      </c>
      <c r="P2817" s="1" t="s">
        <v>55</v>
      </c>
      <c r="Q2817" s="1">
        <v>25</v>
      </c>
      <c r="R2817" s="1">
        <v>25</v>
      </c>
      <c r="S2817" s="1">
        <v>0</v>
      </c>
      <c r="T2817" s="1">
        <v>0</v>
      </c>
      <c r="U2817" s="1">
        <v>0</v>
      </c>
      <c r="V2817" s="1" t="str">
        <f t="shared" si="541"/>
        <v>里程去程</v>
      </c>
      <c r="W2817" s="1" t="str">
        <f>"1e20"</f>
        <v>1e20</v>
      </c>
      <c r="X2817" s="1" t="s">
        <v>35</v>
      </c>
    </row>
    <row r="2818" spans="1:24" x14ac:dyDescent="0.3">
      <c r="A2818" s="1" t="str">
        <f t="shared" si="537"/>
        <v>59809</v>
      </c>
      <c r="B2818" s="1" t="s">
        <v>42</v>
      </c>
      <c r="C2818" s="1" t="s">
        <v>43</v>
      </c>
      <c r="D2818" s="1" t="str">
        <f>"9805"</f>
        <v>9805</v>
      </c>
      <c r="E2818" s="1" t="s">
        <v>57</v>
      </c>
      <c r="F2818" s="1" t="str">
        <f>"1408428113"</f>
        <v>1408428113</v>
      </c>
      <c r="G2818" s="1" t="s">
        <v>26</v>
      </c>
      <c r="H2818" s="1" t="str">
        <f t="shared" si="533"/>
        <v>20220913</v>
      </c>
      <c r="I2818" s="1" t="str">
        <f>"165048"</f>
        <v>165048</v>
      </c>
      <c r="J2818" s="1" t="s">
        <v>28</v>
      </c>
      <c r="K2818" s="1" t="s">
        <v>28</v>
      </c>
      <c r="L2818" s="1" t="str">
        <f t="shared" si="539"/>
        <v>20220913</v>
      </c>
      <c r="M2818" s="1" t="str">
        <f>"165936"</f>
        <v>165936</v>
      </c>
      <c r="N2818" s="1" t="s">
        <v>46</v>
      </c>
      <c r="O2818" s="1" t="s">
        <v>28</v>
      </c>
      <c r="P2818" s="1" t="s">
        <v>55</v>
      </c>
      <c r="Q2818" s="1">
        <v>13</v>
      </c>
      <c r="R2818" s="1">
        <v>13</v>
      </c>
      <c r="S2818" s="1">
        <v>0</v>
      </c>
      <c r="T2818" s="1">
        <v>0</v>
      </c>
      <c r="U2818" s="1">
        <v>0</v>
      </c>
      <c r="V2818" s="1" t="str">
        <f t="shared" si="541"/>
        <v>里程去程</v>
      </c>
      <c r="W2818" s="1" t="str">
        <f>"1e20"</f>
        <v>1e20</v>
      </c>
      <c r="X2818" s="1" t="s">
        <v>35</v>
      </c>
    </row>
    <row r="2819" spans="1:24" x14ac:dyDescent="0.3">
      <c r="A2819" s="1" t="str">
        <f t="shared" si="537"/>
        <v>59809</v>
      </c>
      <c r="B2819" s="1" t="s">
        <v>42</v>
      </c>
      <c r="C2819" s="1" t="s">
        <v>43</v>
      </c>
      <c r="D2819" s="1" t="str">
        <f>"9801"</f>
        <v>9801</v>
      </c>
      <c r="E2819" s="1" t="s">
        <v>25</v>
      </c>
      <c r="F2819" s="1" t="str">
        <f>"110234401"</f>
        <v>110234401</v>
      </c>
      <c r="G2819" s="1" t="s">
        <v>26</v>
      </c>
      <c r="H2819" s="1" t="str">
        <f t="shared" si="533"/>
        <v>20220913</v>
      </c>
      <c r="I2819" s="1" t="str">
        <f>"185709"</f>
        <v>185709</v>
      </c>
      <c r="J2819" s="1" t="s">
        <v>44</v>
      </c>
      <c r="K2819" s="1" t="s">
        <v>45</v>
      </c>
      <c r="L2819" s="1" t="str">
        <f t="shared" si="539"/>
        <v>20220913</v>
      </c>
      <c r="M2819" s="1" t="str">
        <f>"192145"</f>
        <v>192145</v>
      </c>
      <c r="N2819" s="1" t="s">
        <v>28</v>
      </c>
      <c r="O2819" s="1" t="s">
        <v>28</v>
      </c>
      <c r="P2819" s="1" t="s">
        <v>55</v>
      </c>
      <c r="Q2819" s="1">
        <v>13</v>
      </c>
      <c r="R2819" s="1">
        <v>0</v>
      </c>
      <c r="S2819" s="1">
        <v>13</v>
      </c>
      <c r="T2819" s="1">
        <v>0</v>
      </c>
      <c r="U2819" s="1">
        <v>0</v>
      </c>
      <c r="V2819" s="1" t="str">
        <f t="shared" ref="V2819:V2829" si="542">"里程返程"</f>
        <v>里程返程</v>
      </c>
      <c r="W2819" s="1" t="str">
        <f>"2120"</f>
        <v>2120</v>
      </c>
      <c r="X2819" s="1" t="s">
        <v>35</v>
      </c>
    </row>
    <row r="2820" spans="1:24" x14ac:dyDescent="0.3">
      <c r="A2820" s="1" t="str">
        <f t="shared" si="537"/>
        <v>59809</v>
      </c>
      <c r="B2820" s="1" t="s">
        <v>42</v>
      </c>
      <c r="C2820" s="1" t="s">
        <v>43</v>
      </c>
      <c r="D2820" s="1" t="str">
        <f>"9801"</f>
        <v>9801</v>
      </c>
      <c r="E2820" s="1" t="s">
        <v>25</v>
      </c>
      <c r="F2820" s="1" t="str">
        <f>"1408331441"</f>
        <v>1408331441</v>
      </c>
      <c r="G2820" s="1" t="s">
        <v>26</v>
      </c>
      <c r="H2820" s="1" t="str">
        <f t="shared" si="533"/>
        <v>20220913</v>
      </c>
      <c r="I2820" s="1" t="str">
        <f>"185712"</f>
        <v>185712</v>
      </c>
      <c r="J2820" s="1" t="s">
        <v>44</v>
      </c>
      <c r="K2820" s="1" t="s">
        <v>45</v>
      </c>
      <c r="L2820" s="1" t="str">
        <f t="shared" si="539"/>
        <v>20220913</v>
      </c>
      <c r="M2820" s="1" t="str">
        <f>"192151"</f>
        <v>192151</v>
      </c>
      <c r="N2820" s="1" t="s">
        <v>28</v>
      </c>
      <c r="O2820" s="1" t="s">
        <v>28</v>
      </c>
      <c r="P2820" s="1" t="s">
        <v>55</v>
      </c>
      <c r="Q2820" s="1">
        <v>13</v>
      </c>
      <c r="R2820" s="1">
        <v>0</v>
      </c>
      <c r="S2820" s="1">
        <v>13</v>
      </c>
      <c r="T2820" s="1">
        <v>0</v>
      </c>
      <c r="U2820" s="1">
        <v>0</v>
      </c>
      <c r="V2820" s="1" t="str">
        <f t="shared" si="542"/>
        <v>里程返程</v>
      </c>
      <c r="W2820" s="1" t="str">
        <f>"2120"</f>
        <v>2120</v>
      </c>
      <c r="X2820" s="1" t="s">
        <v>35</v>
      </c>
    </row>
    <row r="2821" spans="1:24" x14ac:dyDescent="0.3">
      <c r="A2821" s="1" t="str">
        <f t="shared" si="537"/>
        <v>59809</v>
      </c>
      <c r="B2821" s="1" t="s">
        <v>42</v>
      </c>
      <c r="C2821" s="1" t="s">
        <v>43</v>
      </c>
      <c r="D2821" s="1" t="str">
        <f>"9805"</f>
        <v>9805</v>
      </c>
      <c r="E2821" s="1" t="s">
        <v>57</v>
      </c>
      <c r="F2821" s="1" t="str">
        <f>"1830608901"</f>
        <v>1830608901</v>
      </c>
      <c r="G2821" s="1" t="s">
        <v>33</v>
      </c>
      <c r="H2821" s="1" t="str">
        <f t="shared" si="533"/>
        <v>20220913</v>
      </c>
      <c r="I2821" s="1" t="str">
        <f>"195307"</f>
        <v>195307</v>
      </c>
      <c r="J2821" s="1" t="s">
        <v>52</v>
      </c>
      <c r="K2821" s="1" t="s">
        <v>52</v>
      </c>
      <c r="L2821" s="1" t="str">
        <f t="shared" si="539"/>
        <v>20220913</v>
      </c>
      <c r="M2821" s="1" t="str">
        <f>"201818"</f>
        <v>201818</v>
      </c>
      <c r="N2821" s="1" t="s">
        <v>28</v>
      </c>
      <c r="O2821" s="1" t="s">
        <v>28</v>
      </c>
      <c r="P2821" s="1" t="s">
        <v>55</v>
      </c>
      <c r="Q2821" s="1">
        <v>25</v>
      </c>
      <c r="R2821" s="1">
        <v>25</v>
      </c>
      <c r="S2821" s="1">
        <v>0</v>
      </c>
      <c r="T2821" s="1">
        <v>0</v>
      </c>
      <c r="U2821" s="1">
        <v>0</v>
      </c>
      <c r="V2821" s="1" t="str">
        <f t="shared" si="542"/>
        <v>里程返程</v>
      </c>
      <c r="W2821" s="1" t="str">
        <f>"0320"</f>
        <v>0320</v>
      </c>
      <c r="X2821" s="1" t="s">
        <v>35</v>
      </c>
    </row>
    <row r="2822" spans="1:24" x14ac:dyDescent="0.3">
      <c r="A2822" s="1" t="str">
        <f t="shared" si="537"/>
        <v>59809</v>
      </c>
      <c r="B2822" s="1" t="s">
        <v>42</v>
      </c>
      <c r="C2822" s="1" t="s">
        <v>43</v>
      </c>
      <c r="D2822" s="1" t="str">
        <f>"9805"</f>
        <v>9805</v>
      </c>
      <c r="E2822" s="1" t="s">
        <v>57</v>
      </c>
      <c r="F2822" s="1" t="str">
        <f>"105296637"</f>
        <v>105296637</v>
      </c>
      <c r="G2822" s="1" t="s">
        <v>33</v>
      </c>
      <c r="H2822" s="1" t="str">
        <f t="shared" si="533"/>
        <v>20220913</v>
      </c>
      <c r="I2822" s="1" t="str">
        <f>"195312"</f>
        <v>195312</v>
      </c>
      <c r="J2822" s="1" t="s">
        <v>52</v>
      </c>
      <c r="K2822" s="1" t="s">
        <v>52</v>
      </c>
      <c r="L2822" s="1" t="str">
        <f t="shared" si="539"/>
        <v>20220913</v>
      </c>
      <c r="M2822" s="1" t="str">
        <f>"201810"</f>
        <v>201810</v>
      </c>
      <c r="N2822" s="1" t="s">
        <v>28</v>
      </c>
      <c r="O2822" s="1" t="s">
        <v>28</v>
      </c>
      <c r="P2822" s="1" t="s">
        <v>55</v>
      </c>
      <c r="Q2822" s="1">
        <v>25</v>
      </c>
      <c r="R2822" s="1">
        <v>25</v>
      </c>
      <c r="S2822" s="1">
        <v>0</v>
      </c>
      <c r="T2822" s="1">
        <v>0</v>
      </c>
      <c r="U2822" s="1">
        <v>0</v>
      </c>
      <c r="V2822" s="1" t="str">
        <f t="shared" si="542"/>
        <v>里程返程</v>
      </c>
      <c r="W2822" s="1" t="str">
        <f>"0e20"</f>
        <v>0e20</v>
      </c>
      <c r="X2822" s="1" t="s">
        <v>35</v>
      </c>
    </row>
    <row r="2823" spans="1:24" x14ac:dyDescent="0.3">
      <c r="A2823" s="1" t="str">
        <f t="shared" si="537"/>
        <v>59809</v>
      </c>
      <c r="B2823" s="1" t="s">
        <v>42</v>
      </c>
      <c r="C2823" s="1" t="s">
        <v>43</v>
      </c>
      <c r="D2823" s="1" t="str">
        <f>"9805"</f>
        <v>9805</v>
      </c>
      <c r="E2823" s="1" t="s">
        <v>57</v>
      </c>
      <c r="F2823" s="1" t="str">
        <f>"1075952405"</f>
        <v>1075952405</v>
      </c>
      <c r="G2823" s="1" t="s">
        <v>74</v>
      </c>
      <c r="H2823" s="1" t="str">
        <f t="shared" si="533"/>
        <v>20220913</v>
      </c>
      <c r="I2823" s="1" t="str">
        <f>"195322"</f>
        <v>195322</v>
      </c>
      <c r="J2823" s="1" t="s">
        <v>52</v>
      </c>
      <c r="K2823" s="1" t="s">
        <v>52</v>
      </c>
      <c r="L2823" s="1" t="str">
        <f t="shared" si="539"/>
        <v>20220913</v>
      </c>
      <c r="M2823" s="1" t="str">
        <f>"201759"</f>
        <v>201759</v>
      </c>
      <c r="N2823" s="1" t="s">
        <v>28</v>
      </c>
      <c r="O2823" s="1" t="s">
        <v>28</v>
      </c>
      <c r="P2823" s="1" t="s">
        <v>55</v>
      </c>
      <c r="Q2823" s="1">
        <v>13</v>
      </c>
      <c r="R2823" s="1">
        <v>13</v>
      </c>
      <c r="S2823" s="1">
        <v>0</v>
      </c>
      <c r="T2823" s="1">
        <v>0</v>
      </c>
      <c r="U2823" s="1">
        <v>0</v>
      </c>
      <c r="V2823" s="1" t="str">
        <f t="shared" si="542"/>
        <v>里程返程</v>
      </c>
      <c r="W2823" s="1" t="str">
        <f>"0320"</f>
        <v>0320</v>
      </c>
      <c r="X2823" s="1" t="s">
        <v>35</v>
      </c>
    </row>
    <row r="2824" spans="1:24" x14ac:dyDescent="0.3">
      <c r="A2824" s="1" t="str">
        <f t="shared" si="537"/>
        <v>59809</v>
      </c>
      <c r="B2824" s="1" t="s">
        <v>42</v>
      </c>
      <c r="C2824" s="1" t="s">
        <v>43</v>
      </c>
      <c r="D2824" s="1" t="str">
        <f>"9805"</f>
        <v>9805</v>
      </c>
      <c r="E2824" s="1" t="s">
        <v>57</v>
      </c>
      <c r="F2824" s="1" t="str">
        <f>"943575461"</f>
        <v>943575461</v>
      </c>
      <c r="G2824" s="1" t="s">
        <v>26</v>
      </c>
      <c r="H2824" s="1" t="str">
        <f t="shared" si="533"/>
        <v>20220913</v>
      </c>
      <c r="I2824" s="1" t="str">
        <f>"195324"</f>
        <v>195324</v>
      </c>
      <c r="J2824" s="1" t="s">
        <v>52</v>
      </c>
      <c r="K2824" s="1" t="s">
        <v>52</v>
      </c>
      <c r="L2824" s="1" t="str">
        <f t="shared" si="539"/>
        <v>20220913</v>
      </c>
      <c r="M2824" s="1" t="str">
        <f>"201804"</f>
        <v>201804</v>
      </c>
      <c r="N2824" s="1" t="s">
        <v>28</v>
      </c>
      <c r="O2824" s="1" t="s">
        <v>28</v>
      </c>
      <c r="P2824" s="1" t="s">
        <v>55</v>
      </c>
      <c r="Q2824" s="1">
        <v>13</v>
      </c>
      <c r="R2824" s="1">
        <v>13</v>
      </c>
      <c r="S2824" s="1">
        <v>0</v>
      </c>
      <c r="T2824" s="1">
        <v>0</v>
      </c>
      <c r="U2824" s="1">
        <v>0</v>
      </c>
      <c r="V2824" s="1" t="str">
        <f t="shared" si="542"/>
        <v>里程返程</v>
      </c>
      <c r="W2824" s="1" t="str">
        <f>"1920"</f>
        <v>1920</v>
      </c>
      <c r="X2824" s="1" t="s">
        <v>35</v>
      </c>
    </row>
    <row r="2825" spans="1:24" x14ac:dyDescent="0.3">
      <c r="A2825" s="1" t="str">
        <f t="shared" si="537"/>
        <v>59809</v>
      </c>
      <c r="B2825" s="1" t="s">
        <v>42</v>
      </c>
      <c r="C2825" s="1" t="s">
        <v>43</v>
      </c>
      <c r="D2825" s="1" t="str">
        <f>"9805"</f>
        <v>9805</v>
      </c>
      <c r="E2825" s="1" t="s">
        <v>57</v>
      </c>
      <c r="F2825" s="1" t="str">
        <f>"1737283381"</f>
        <v>1737283381</v>
      </c>
      <c r="G2825" s="1" t="s">
        <v>33</v>
      </c>
      <c r="H2825" s="1" t="str">
        <f t="shared" si="533"/>
        <v>20220913</v>
      </c>
      <c r="I2825" s="1" t="str">
        <f>"195328"</f>
        <v>195328</v>
      </c>
      <c r="J2825" s="1" t="s">
        <v>52</v>
      </c>
      <c r="K2825" s="1" t="s">
        <v>52</v>
      </c>
      <c r="L2825" s="1" t="str">
        <f t="shared" si="539"/>
        <v>20220913</v>
      </c>
      <c r="M2825" s="1" t="str">
        <f>"201821"</f>
        <v>201821</v>
      </c>
      <c r="N2825" s="1" t="s">
        <v>28</v>
      </c>
      <c r="O2825" s="1" t="s">
        <v>28</v>
      </c>
      <c r="P2825" s="1" t="s">
        <v>55</v>
      </c>
      <c r="Q2825" s="1">
        <v>25</v>
      </c>
      <c r="R2825" s="1">
        <v>25</v>
      </c>
      <c r="S2825" s="1">
        <v>0</v>
      </c>
      <c r="T2825" s="1">
        <v>0</v>
      </c>
      <c r="U2825" s="1">
        <v>0</v>
      </c>
      <c r="V2825" s="1" t="str">
        <f t="shared" si="542"/>
        <v>里程返程</v>
      </c>
      <c r="W2825" s="1" t="str">
        <f>"2020"</f>
        <v>2020</v>
      </c>
      <c r="X2825" s="1" t="s">
        <v>35</v>
      </c>
    </row>
    <row r="2826" spans="1:24" x14ac:dyDescent="0.3">
      <c r="A2826" s="1" t="str">
        <f t="shared" ref="A2826:A2857" si="543">"59823"</f>
        <v>59823</v>
      </c>
      <c r="B2826" s="1" t="s">
        <v>36</v>
      </c>
      <c r="C2826" s="1" t="s">
        <v>37</v>
      </c>
      <c r="D2826" s="1" t="str">
        <f>"9806"</f>
        <v>9806</v>
      </c>
      <c r="E2826" s="1" t="s">
        <v>49</v>
      </c>
      <c r="F2826" s="1" t="str">
        <f>"5294A50063880400C801002000000015"</f>
        <v>5294A50063880400C801002000000015</v>
      </c>
      <c r="G2826" s="1" t="s">
        <v>58</v>
      </c>
      <c r="H2826" s="1" t="str">
        <f t="shared" si="533"/>
        <v>20220913</v>
      </c>
      <c r="I2826" s="1" t="str">
        <f>"064904"</f>
        <v>064904</v>
      </c>
      <c r="J2826" s="1" t="s">
        <v>28</v>
      </c>
      <c r="K2826" s="1" t="s">
        <v>28</v>
      </c>
      <c r="L2826" s="1" t="str">
        <f t="shared" si="539"/>
        <v>20220913</v>
      </c>
      <c r="M2826" s="1" t="str">
        <f>"070859"</f>
        <v>070859</v>
      </c>
      <c r="N2826" s="1" t="s">
        <v>99</v>
      </c>
      <c r="O2826" s="1" t="s">
        <v>28</v>
      </c>
      <c r="P2826" s="1" t="s">
        <v>55</v>
      </c>
      <c r="Q2826" s="1">
        <v>25</v>
      </c>
      <c r="R2826" s="1">
        <v>0</v>
      </c>
      <c r="S2826" s="1">
        <v>25</v>
      </c>
      <c r="T2826" s="1">
        <v>0</v>
      </c>
      <c r="U2826" s="1">
        <v>0</v>
      </c>
      <c r="V2826" s="1" t="str">
        <f t="shared" si="542"/>
        <v>里程返程</v>
      </c>
      <c r="W2826" s="1" t="str">
        <f>"0620"</f>
        <v>0620</v>
      </c>
      <c r="X2826" s="1" t="s">
        <v>29</v>
      </c>
    </row>
    <row r="2827" spans="1:24" x14ac:dyDescent="0.3">
      <c r="A2827" s="1" t="str">
        <f t="shared" si="543"/>
        <v>59823</v>
      </c>
      <c r="B2827" s="1" t="s">
        <v>36</v>
      </c>
      <c r="C2827" s="1" t="s">
        <v>37</v>
      </c>
      <c r="D2827" s="1" t="str">
        <f>"9806"</f>
        <v>9806</v>
      </c>
      <c r="E2827" s="1" t="s">
        <v>49</v>
      </c>
      <c r="F2827" s="1" t="str">
        <f>"1695105317"</f>
        <v>1695105317</v>
      </c>
      <c r="G2827" s="1" t="s">
        <v>33</v>
      </c>
      <c r="H2827" s="1" t="str">
        <f t="shared" si="533"/>
        <v>20220913</v>
      </c>
      <c r="I2827" s="1" t="str">
        <f>"064934"</f>
        <v>064934</v>
      </c>
      <c r="J2827" s="1" t="s">
        <v>28</v>
      </c>
      <c r="K2827" s="1" t="s">
        <v>28</v>
      </c>
      <c r="L2827" s="1" t="str">
        <f t="shared" si="539"/>
        <v>20220913</v>
      </c>
      <c r="M2827" s="1" t="str">
        <f>"070850"</f>
        <v>070850</v>
      </c>
      <c r="N2827" s="1" t="s">
        <v>99</v>
      </c>
      <c r="O2827" s="1" t="s">
        <v>28</v>
      </c>
      <c r="P2827" s="1" t="s">
        <v>55</v>
      </c>
      <c r="Q2827" s="1">
        <v>25</v>
      </c>
      <c r="R2827" s="1">
        <v>0</v>
      </c>
      <c r="S2827" s="1">
        <v>25</v>
      </c>
      <c r="T2827" s="1">
        <v>0</v>
      </c>
      <c r="U2827" s="1">
        <v>0</v>
      </c>
      <c r="V2827" s="1" t="str">
        <f t="shared" si="542"/>
        <v>里程返程</v>
      </c>
      <c r="W2827" s="1" t="str">
        <f>"0820"</f>
        <v>0820</v>
      </c>
      <c r="X2827" s="1" t="s">
        <v>35</v>
      </c>
    </row>
    <row r="2828" spans="1:24" x14ac:dyDescent="0.3">
      <c r="A2828" s="1" t="str">
        <f t="shared" si="543"/>
        <v>59823</v>
      </c>
      <c r="B2828" s="1" t="s">
        <v>36</v>
      </c>
      <c r="C2828" s="1" t="s">
        <v>37</v>
      </c>
      <c r="D2828" s="1" t="str">
        <f>"9806"</f>
        <v>9806</v>
      </c>
      <c r="E2828" s="1" t="s">
        <v>49</v>
      </c>
      <c r="F2828" s="1" t="str">
        <f>"1202E702F5880400C834002000000015"</f>
        <v>1202E702F5880400C834002000000015</v>
      </c>
      <c r="G2828" s="1" t="s">
        <v>74</v>
      </c>
      <c r="H2828" s="1" t="str">
        <f t="shared" si="533"/>
        <v>20220913</v>
      </c>
      <c r="I2828" s="1" t="str">
        <f>"065721"</f>
        <v>065721</v>
      </c>
      <c r="J2828" s="1" t="s">
        <v>101</v>
      </c>
      <c r="K2828" s="1" t="s">
        <v>28</v>
      </c>
      <c r="L2828" s="1" t="str">
        <f t="shared" si="539"/>
        <v>20220913</v>
      </c>
      <c r="M2828" s="1" t="str">
        <f>"070857"</f>
        <v>070857</v>
      </c>
      <c r="N2828" s="1" t="s">
        <v>99</v>
      </c>
      <c r="O2828" s="1" t="s">
        <v>28</v>
      </c>
      <c r="P2828" s="1" t="s">
        <v>68</v>
      </c>
      <c r="Q2828" s="1">
        <v>13</v>
      </c>
      <c r="R2828" s="1">
        <v>0</v>
      </c>
      <c r="S2828" s="1">
        <v>0</v>
      </c>
      <c r="T2828" s="1">
        <v>13</v>
      </c>
      <c r="U2828" s="1">
        <v>0</v>
      </c>
      <c r="V2828" s="1" t="str">
        <f t="shared" si="542"/>
        <v>里程返程</v>
      </c>
      <c r="W2828" s="1" t="str">
        <f>"0020"</f>
        <v>0020</v>
      </c>
      <c r="X2828" s="1" t="s">
        <v>29</v>
      </c>
    </row>
    <row r="2829" spans="1:24" x14ac:dyDescent="0.3">
      <c r="A2829" s="1" t="str">
        <f t="shared" si="543"/>
        <v>59823</v>
      </c>
      <c r="B2829" s="1" t="s">
        <v>36</v>
      </c>
      <c r="C2829" s="1" t="s">
        <v>37</v>
      </c>
      <c r="D2829" s="1" t="str">
        <f>"9806"</f>
        <v>9806</v>
      </c>
      <c r="E2829" s="1" t="s">
        <v>49</v>
      </c>
      <c r="F2829" s="1" t="str">
        <f>"B211E70246880400C834002000000015"</f>
        <v>B211E70246880400C834002000000015</v>
      </c>
      <c r="G2829" s="1" t="s">
        <v>74</v>
      </c>
      <c r="H2829" s="1" t="str">
        <f t="shared" si="533"/>
        <v>20220913</v>
      </c>
      <c r="I2829" s="1" t="str">
        <f>"065730"</f>
        <v>065730</v>
      </c>
      <c r="J2829" s="1" t="s">
        <v>101</v>
      </c>
      <c r="K2829" s="1" t="s">
        <v>28</v>
      </c>
      <c r="L2829" s="1" t="str">
        <f t="shared" si="539"/>
        <v>20220913</v>
      </c>
      <c r="M2829" s="1" t="str">
        <f>"070852"</f>
        <v>070852</v>
      </c>
      <c r="N2829" s="1" t="s">
        <v>99</v>
      </c>
      <c r="O2829" s="1" t="s">
        <v>28</v>
      </c>
      <c r="P2829" s="1" t="s">
        <v>68</v>
      </c>
      <c r="Q2829" s="1">
        <v>13</v>
      </c>
      <c r="R2829" s="1">
        <v>0</v>
      </c>
      <c r="S2829" s="1">
        <v>0</v>
      </c>
      <c r="T2829" s="1">
        <v>13</v>
      </c>
      <c r="U2829" s="1">
        <v>0</v>
      </c>
      <c r="V2829" s="1" t="str">
        <f t="shared" si="542"/>
        <v>里程返程</v>
      </c>
      <c r="W2829" s="1" t="str">
        <f>"0020"</f>
        <v>0020</v>
      </c>
      <c r="X2829" s="1" t="s">
        <v>29</v>
      </c>
    </row>
    <row r="2830" spans="1:24" x14ac:dyDescent="0.3">
      <c r="A2830" s="1" t="str">
        <f t="shared" si="543"/>
        <v>59823</v>
      </c>
      <c r="B2830" s="1" t="s">
        <v>36</v>
      </c>
      <c r="C2830" s="1" t="s">
        <v>37</v>
      </c>
      <c r="D2830" s="1" t="str">
        <f>"9806"</f>
        <v>9806</v>
      </c>
      <c r="E2830" s="1" t="s">
        <v>49</v>
      </c>
      <c r="F2830" s="1" t="str">
        <f>"92771C03FA880400C834002000000015"</f>
        <v>92771C03FA880400C834002000000015</v>
      </c>
      <c r="G2830" s="1" t="s">
        <v>74</v>
      </c>
      <c r="H2830" s="1" t="str">
        <f t="shared" si="533"/>
        <v>20220913</v>
      </c>
      <c r="I2830" s="1" t="str">
        <f>"071441"</f>
        <v>071441</v>
      </c>
      <c r="J2830" s="1" t="s">
        <v>107</v>
      </c>
      <c r="K2830" s="1" t="s">
        <v>50</v>
      </c>
      <c r="L2830" s="1" t="str">
        <f t="shared" si="539"/>
        <v>20220913</v>
      </c>
      <c r="M2830" s="1" t="str">
        <f>"073204"</f>
        <v>073204</v>
      </c>
      <c r="N2830" s="1" t="s">
        <v>28</v>
      </c>
      <c r="O2830" s="1" t="s">
        <v>28</v>
      </c>
      <c r="P2830" s="1" t="s">
        <v>68</v>
      </c>
      <c r="Q2830" s="1">
        <v>13</v>
      </c>
      <c r="R2830" s="1">
        <v>0</v>
      </c>
      <c r="S2830" s="1">
        <v>0</v>
      </c>
      <c r="T2830" s="1">
        <v>13</v>
      </c>
      <c r="U2830" s="1">
        <v>0</v>
      </c>
      <c r="V2830" s="1" t="str">
        <f t="shared" ref="V2830:V2850" si="544">"里程去程"</f>
        <v>里程去程</v>
      </c>
      <c r="W2830" s="1" t="str">
        <f>"0020"</f>
        <v>0020</v>
      </c>
      <c r="X2830" s="1" t="s">
        <v>29</v>
      </c>
    </row>
    <row r="2831" spans="1:24" x14ac:dyDescent="0.3">
      <c r="A2831" s="1" t="str">
        <f t="shared" si="543"/>
        <v>59823</v>
      </c>
      <c r="B2831" s="1" t="s">
        <v>36</v>
      </c>
      <c r="C2831" s="1" t="s">
        <v>37</v>
      </c>
      <c r="D2831" s="1" t="str">
        <f t="shared" ref="D2831:D2877" si="545">"9803"</f>
        <v>9803</v>
      </c>
      <c r="E2831" s="1" t="s">
        <v>32</v>
      </c>
      <c r="F2831" s="1" t="str">
        <f>"D722CE467D8804004324AD6B00160B0E"</f>
        <v>D722CE467D8804004324AD6B00160B0E</v>
      </c>
      <c r="G2831" s="1" t="s">
        <v>58</v>
      </c>
      <c r="H2831" s="1" t="str">
        <f t="shared" si="533"/>
        <v>20220913</v>
      </c>
      <c r="I2831" s="1" t="str">
        <f>"102713"</f>
        <v>102713</v>
      </c>
      <c r="J2831" s="1" t="s">
        <v>28</v>
      </c>
      <c r="K2831" s="1" t="s">
        <v>28</v>
      </c>
      <c r="L2831" s="1" t="str">
        <f t="shared" si="539"/>
        <v>20220913</v>
      </c>
      <c r="M2831" s="1" t="str">
        <f>"105133"</f>
        <v>105133</v>
      </c>
      <c r="N2831" s="1" t="s">
        <v>34</v>
      </c>
      <c r="O2831" s="1" t="s">
        <v>34</v>
      </c>
      <c r="P2831" s="1" t="s">
        <v>55</v>
      </c>
      <c r="Q2831" s="1">
        <v>25</v>
      </c>
      <c r="R2831" s="1">
        <v>0</v>
      </c>
      <c r="S2831" s="1">
        <v>25</v>
      </c>
      <c r="T2831" s="1">
        <v>0</v>
      </c>
      <c r="U2831" s="1">
        <v>0</v>
      </c>
      <c r="V2831" s="1" t="str">
        <f t="shared" si="544"/>
        <v>里程去程</v>
      </c>
      <c r="W2831" s="1" t="str">
        <f>"0620"</f>
        <v>0620</v>
      </c>
      <c r="X2831" s="1" t="s">
        <v>29</v>
      </c>
    </row>
    <row r="2832" spans="1:24" x14ac:dyDescent="0.3">
      <c r="A2832" s="1" t="str">
        <f t="shared" si="543"/>
        <v>59823</v>
      </c>
      <c r="B2832" s="1" t="s">
        <v>36</v>
      </c>
      <c r="C2832" s="1" t="s">
        <v>37</v>
      </c>
      <c r="D2832" s="1" t="str">
        <f t="shared" si="545"/>
        <v>9803</v>
      </c>
      <c r="E2832" s="1" t="s">
        <v>32</v>
      </c>
      <c r="F2832" s="1" t="str">
        <f>"265771457"</f>
        <v>265771457</v>
      </c>
      <c r="G2832" s="1" t="s">
        <v>33</v>
      </c>
      <c r="H2832" s="1" t="str">
        <f t="shared" si="533"/>
        <v>20220913</v>
      </c>
      <c r="I2832" s="1" t="str">
        <f>"102719"</f>
        <v>102719</v>
      </c>
      <c r="J2832" s="1" t="s">
        <v>28</v>
      </c>
      <c r="K2832" s="1" t="s">
        <v>28</v>
      </c>
      <c r="L2832" s="1" t="str">
        <f t="shared" si="539"/>
        <v>20220913</v>
      </c>
      <c r="M2832" s="1" t="str">
        <f>"105137"</f>
        <v>105137</v>
      </c>
      <c r="N2832" s="1" t="s">
        <v>34</v>
      </c>
      <c r="O2832" s="1" t="s">
        <v>34</v>
      </c>
      <c r="P2832" s="1" t="s">
        <v>55</v>
      </c>
      <c r="Q2832" s="1">
        <v>25</v>
      </c>
      <c r="R2832" s="1">
        <v>25</v>
      </c>
      <c r="S2832" s="1">
        <v>0</v>
      </c>
      <c r="T2832" s="1">
        <v>0</v>
      </c>
      <c r="U2832" s="1">
        <v>0</v>
      </c>
      <c r="V2832" s="1" t="str">
        <f t="shared" si="544"/>
        <v>里程去程</v>
      </c>
      <c r="W2832" s="1" t="str">
        <f>"0120"</f>
        <v>0120</v>
      </c>
      <c r="X2832" s="1" t="s">
        <v>35</v>
      </c>
    </row>
    <row r="2833" spans="1:24" x14ac:dyDescent="0.3">
      <c r="A2833" s="1" t="str">
        <f t="shared" si="543"/>
        <v>59823</v>
      </c>
      <c r="B2833" s="1" t="s">
        <v>36</v>
      </c>
      <c r="C2833" s="1" t="s">
        <v>37</v>
      </c>
      <c r="D2833" s="1" t="str">
        <f t="shared" si="545"/>
        <v>9803</v>
      </c>
      <c r="E2833" s="1" t="s">
        <v>32</v>
      </c>
      <c r="F2833" s="1" t="str">
        <f>"1070295347"</f>
        <v>1070295347</v>
      </c>
      <c r="G2833" s="1" t="s">
        <v>33</v>
      </c>
      <c r="H2833" s="1" t="str">
        <f t="shared" ref="H2833:H2896" si="546">"20220913"</f>
        <v>20220913</v>
      </c>
      <c r="I2833" s="1" t="str">
        <f>"102721"</f>
        <v>102721</v>
      </c>
      <c r="J2833" s="1" t="s">
        <v>28</v>
      </c>
      <c r="K2833" s="1" t="s">
        <v>28</v>
      </c>
      <c r="L2833" s="1" t="str">
        <f t="shared" si="539"/>
        <v>20220913</v>
      </c>
      <c r="M2833" s="1" t="str">
        <f>"105140"</f>
        <v>105140</v>
      </c>
      <c r="N2833" s="1" t="s">
        <v>34</v>
      </c>
      <c r="O2833" s="1" t="s">
        <v>34</v>
      </c>
      <c r="P2833" s="1" t="s">
        <v>55</v>
      </c>
      <c r="Q2833" s="1">
        <v>25</v>
      </c>
      <c r="R2833" s="1">
        <v>25</v>
      </c>
      <c r="S2833" s="1">
        <v>0</v>
      </c>
      <c r="T2833" s="1">
        <v>0</v>
      </c>
      <c r="U2833" s="1">
        <v>0</v>
      </c>
      <c r="V2833" s="1" t="str">
        <f t="shared" si="544"/>
        <v>里程去程</v>
      </c>
      <c r="W2833" s="1" t="str">
        <f>"0220"</f>
        <v>0220</v>
      </c>
      <c r="X2833" s="1" t="s">
        <v>35</v>
      </c>
    </row>
    <row r="2834" spans="1:24" x14ac:dyDescent="0.3">
      <c r="A2834" s="1" t="str">
        <f t="shared" si="543"/>
        <v>59823</v>
      </c>
      <c r="B2834" s="1" t="s">
        <v>36</v>
      </c>
      <c r="C2834" s="1" t="s">
        <v>37</v>
      </c>
      <c r="D2834" s="1" t="str">
        <f t="shared" si="545"/>
        <v>9803</v>
      </c>
      <c r="E2834" s="1" t="s">
        <v>32</v>
      </c>
      <c r="F2834" s="1" t="str">
        <f>"1043869361"</f>
        <v>1043869361</v>
      </c>
      <c r="G2834" s="1" t="s">
        <v>33</v>
      </c>
      <c r="H2834" s="1" t="str">
        <f t="shared" si="546"/>
        <v>20220913</v>
      </c>
      <c r="I2834" s="1" t="str">
        <f>"102753"</f>
        <v>102753</v>
      </c>
      <c r="J2834" s="1" t="s">
        <v>28</v>
      </c>
      <c r="K2834" s="1" t="s">
        <v>28</v>
      </c>
      <c r="L2834" s="1" t="str">
        <f t="shared" si="539"/>
        <v>20220913</v>
      </c>
      <c r="M2834" s="1" t="str">
        <f>"104135"</f>
        <v>104135</v>
      </c>
      <c r="N2834" s="1" t="s">
        <v>46</v>
      </c>
      <c r="O2834" s="1" t="s">
        <v>28</v>
      </c>
      <c r="P2834" s="1" t="s">
        <v>55</v>
      </c>
      <c r="Q2834" s="1">
        <v>25</v>
      </c>
      <c r="R2834" s="1">
        <v>25</v>
      </c>
      <c r="S2834" s="1">
        <v>0</v>
      </c>
      <c r="T2834" s="1">
        <v>0</v>
      </c>
      <c r="U2834" s="1">
        <v>0</v>
      </c>
      <c r="V2834" s="1" t="str">
        <f t="shared" si="544"/>
        <v>里程去程</v>
      </c>
      <c r="W2834" s="1" t="str">
        <f>"1420"</f>
        <v>1420</v>
      </c>
      <c r="X2834" s="1" t="s">
        <v>35</v>
      </c>
    </row>
    <row r="2835" spans="1:24" x14ac:dyDescent="0.3">
      <c r="A2835" s="1" t="str">
        <f t="shared" si="543"/>
        <v>59823</v>
      </c>
      <c r="B2835" s="1" t="s">
        <v>36</v>
      </c>
      <c r="C2835" s="1" t="s">
        <v>37</v>
      </c>
      <c r="D2835" s="1" t="str">
        <f t="shared" si="545"/>
        <v>9803</v>
      </c>
      <c r="E2835" s="1" t="s">
        <v>32</v>
      </c>
      <c r="F2835" s="1" t="str">
        <f>"B232D01444880400C840002000000018"</f>
        <v>B232D01444880400C840002000000018</v>
      </c>
      <c r="G2835" s="1" t="s">
        <v>64</v>
      </c>
      <c r="H2835" s="1" t="str">
        <f t="shared" si="546"/>
        <v>20220913</v>
      </c>
      <c r="I2835" s="1" t="str">
        <f>"102758"</f>
        <v>102758</v>
      </c>
      <c r="J2835" s="1" t="s">
        <v>28</v>
      </c>
      <c r="K2835" s="1" t="s">
        <v>28</v>
      </c>
      <c r="L2835" s="1" t="str">
        <f t="shared" si="539"/>
        <v>20220913</v>
      </c>
      <c r="M2835" s="1" t="str">
        <f>"104138"</f>
        <v>104138</v>
      </c>
      <c r="N2835" s="1" t="s">
        <v>46</v>
      </c>
      <c r="O2835" s="1" t="s">
        <v>28</v>
      </c>
      <c r="P2835" s="1" t="s">
        <v>55</v>
      </c>
      <c r="Q2835" s="1">
        <v>13</v>
      </c>
      <c r="R2835" s="1">
        <v>13</v>
      </c>
      <c r="S2835" s="1">
        <v>0</v>
      </c>
      <c r="T2835" s="1">
        <v>0</v>
      </c>
      <c r="U2835" s="1">
        <v>0</v>
      </c>
      <c r="V2835" s="1" t="str">
        <f t="shared" si="544"/>
        <v>里程去程</v>
      </c>
      <c r="W2835" s="1" t="str">
        <f>"0020"</f>
        <v>0020</v>
      </c>
      <c r="X2835" s="1" t="s">
        <v>29</v>
      </c>
    </row>
    <row r="2836" spans="1:24" x14ac:dyDescent="0.3">
      <c r="A2836" s="1" t="str">
        <f t="shared" si="543"/>
        <v>59823</v>
      </c>
      <c r="B2836" s="1" t="s">
        <v>36</v>
      </c>
      <c r="C2836" s="1" t="s">
        <v>37</v>
      </c>
      <c r="D2836" s="1" t="str">
        <f t="shared" si="545"/>
        <v>9803</v>
      </c>
      <c r="E2836" s="1" t="s">
        <v>32</v>
      </c>
      <c r="F2836" s="1" t="str">
        <f>"1874963537"</f>
        <v>1874963537</v>
      </c>
      <c r="G2836" s="1" t="s">
        <v>33</v>
      </c>
      <c r="H2836" s="1" t="str">
        <f t="shared" si="546"/>
        <v>20220913</v>
      </c>
      <c r="I2836" s="1" t="str">
        <f>"102923"</f>
        <v>102923</v>
      </c>
      <c r="J2836" s="1" t="s">
        <v>28</v>
      </c>
      <c r="K2836" s="1" t="s">
        <v>28</v>
      </c>
      <c r="L2836" s="1" t="str">
        <f t="shared" si="539"/>
        <v>20220913</v>
      </c>
      <c r="M2836" s="1" t="str">
        <f>"105209"</f>
        <v>105209</v>
      </c>
      <c r="N2836" s="1" t="s">
        <v>34</v>
      </c>
      <c r="O2836" s="1" t="s">
        <v>34</v>
      </c>
      <c r="P2836" s="1" t="s">
        <v>55</v>
      </c>
      <c r="Q2836" s="1">
        <v>25</v>
      </c>
      <c r="R2836" s="1">
        <v>25</v>
      </c>
      <c r="S2836" s="1">
        <v>0</v>
      </c>
      <c r="T2836" s="1">
        <v>0</v>
      </c>
      <c r="U2836" s="1">
        <v>0</v>
      </c>
      <c r="V2836" s="1" t="str">
        <f t="shared" si="544"/>
        <v>里程去程</v>
      </c>
      <c r="W2836" s="1" t="str">
        <f>"0120"</f>
        <v>0120</v>
      </c>
      <c r="X2836" s="1" t="s">
        <v>35</v>
      </c>
    </row>
    <row r="2837" spans="1:24" x14ac:dyDescent="0.3">
      <c r="A2837" s="1" t="str">
        <f t="shared" si="543"/>
        <v>59823</v>
      </c>
      <c r="B2837" s="1" t="s">
        <v>36</v>
      </c>
      <c r="C2837" s="1" t="s">
        <v>37</v>
      </c>
      <c r="D2837" s="1" t="str">
        <f t="shared" si="545"/>
        <v>9803</v>
      </c>
      <c r="E2837" s="1" t="s">
        <v>32</v>
      </c>
      <c r="F2837" s="1" t="str">
        <f>"825755601"</f>
        <v>825755601</v>
      </c>
      <c r="G2837" s="1" t="s">
        <v>33</v>
      </c>
      <c r="H2837" s="1" t="str">
        <f t="shared" si="546"/>
        <v>20220913</v>
      </c>
      <c r="I2837" s="1" t="str">
        <f>"102925"</f>
        <v>102925</v>
      </c>
      <c r="J2837" s="1" t="s">
        <v>28</v>
      </c>
      <c r="K2837" s="1" t="s">
        <v>28</v>
      </c>
      <c r="L2837" s="1" t="str">
        <f t="shared" si="539"/>
        <v>20220913</v>
      </c>
      <c r="M2837" s="1" t="str">
        <f>"105217"</f>
        <v>105217</v>
      </c>
      <c r="N2837" s="1" t="s">
        <v>34</v>
      </c>
      <c r="O2837" s="1" t="s">
        <v>34</v>
      </c>
      <c r="P2837" s="1" t="s">
        <v>55</v>
      </c>
      <c r="Q2837" s="1">
        <v>25</v>
      </c>
      <c r="R2837" s="1">
        <v>25</v>
      </c>
      <c r="S2837" s="1">
        <v>0</v>
      </c>
      <c r="T2837" s="1">
        <v>0</v>
      </c>
      <c r="U2837" s="1">
        <v>0</v>
      </c>
      <c r="V2837" s="1" t="str">
        <f t="shared" si="544"/>
        <v>里程去程</v>
      </c>
      <c r="W2837" s="1" t="str">
        <f>"0120"</f>
        <v>0120</v>
      </c>
      <c r="X2837" s="1" t="s">
        <v>35</v>
      </c>
    </row>
    <row r="2838" spans="1:24" x14ac:dyDescent="0.3">
      <c r="A2838" s="1" t="str">
        <f t="shared" si="543"/>
        <v>59823</v>
      </c>
      <c r="B2838" s="1" t="s">
        <v>36</v>
      </c>
      <c r="C2838" s="1" t="s">
        <v>37</v>
      </c>
      <c r="D2838" s="1" t="str">
        <f t="shared" si="545"/>
        <v>9803</v>
      </c>
      <c r="E2838" s="1" t="s">
        <v>32</v>
      </c>
      <c r="F2838" s="1" t="str">
        <f>"1007808901"</f>
        <v>1007808901</v>
      </c>
      <c r="G2838" s="1" t="s">
        <v>33</v>
      </c>
      <c r="H2838" s="1" t="str">
        <f t="shared" si="546"/>
        <v>20220913</v>
      </c>
      <c r="I2838" s="1" t="str">
        <f>"102932"</f>
        <v>102932</v>
      </c>
      <c r="J2838" s="1" t="s">
        <v>28</v>
      </c>
      <c r="K2838" s="1" t="s">
        <v>28</v>
      </c>
      <c r="L2838" s="1" t="str">
        <f t="shared" si="539"/>
        <v>20220913</v>
      </c>
      <c r="M2838" s="1" t="str">
        <f>"105219"</f>
        <v>105219</v>
      </c>
      <c r="N2838" s="1" t="s">
        <v>34</v>
      </c>
      <c r="O2838" s="1" t="s">
        <v>34</v>
      </c>
      <c r="P2838" s="1" t="s">
        <v>55</v>
      </c>
      <c r="Q2838" s="1">
        <v>25</v>
      </c>
      <c r="R2838" s="1">
        <v>25</v>
      </c>
      <c r="S2838" s="1">
        <v>0</v>
      </c>
      <c r="T2838" s="1">
        <v>0</v>
      </c>
      <c r="U2838" s="1">
        <v>0</v>
      </c>
      <c r="V2838" s="1" t="str">
        <f t="shared" si="544"/>
        <v>里程去程</v>
      </c>
      <c r="W2838" s="1" t="str">
        <f>"0120"</f>
        <v>0120</v>
      </c>
      <c r="X2838" s="1" t="s">
        <v>35</v>
      </c>
    </row>
    <row r="2839" spans="1:24" x14ac:dyDescent="0.3">
      <c r="A2839" s="1" t="str">
        <f t="shared" si="543"/>
        <v>59823</v>
      </c>
      <c r="B2839" s="1" t="s">
        <v>36</v>
      </c>
      <c r="C2839" s="1" t="s">
        <v>37</v>
      </c>
      <c r="D2839" s="1" t="str">
        <f t="shared" si="545"/>
        <v>9803</v>
      </c>
      <c r="E2839" s="1" t="s">
        <v>32</v>
      </c>
      <c r="F2839" s="1" t="str">
        <f>"7311220103003056"</f>
        <v>7311220103003056</v>
      </c>
      <c r="G2839" s="1" t="s">
        <v>33</v>
      </c>
      <c r="H2839" s="1" t="str">
        <f t="shared" si="546"/>
        <v>20220913</v>
      </c>
      <c r="I2839" s="1" t="str">
        <f>"102938"</f>
        <v>102938</v>
      </c>
      <c r="J2839" s="1" t="s">
        <v>28</v>
      </c>
      <c r="K2839" s="1" t="s">
        <v>28</v>
      </c>
      <c r="L2839" s="1" t="str">
        <f t="shared" si="539"/>
        <v>20220913</v>
      </c>
      <c r="M2839" s="1" t="str">
        <f>"105222"</f>
        <v>105222</v>
      </c>
      <c r="N2839" s="1" t="s">
        <v>34</v>
      </c>
      <c r="O2839" s="1" t="s">
        <v>34</v>
      </c>
      <c r="P2839" s="1" t="s">
        <v>55</v>
      </c>
      <c r="Q2839" s="1">
        <v>25</v>
      </c>
      <c r="R2839" s="1">
        <v>25</v>
      </c>
      <c r="S2839" s="1">
        <v>0</v>
      </c>
      <c r="T2839" s="1">
        <v>0</v>
      </c>
      <c r="U2839" s="1">
        <v>0</v>
      </c>
      <c r="V2839" s="1" t="str">
        <f t="shared" si="544"/>
        <v>里程去程</v>
      </c>
      <c r="W2839" s="1" t="str">
        <f>"013B"</f>
        <v>013B</v>
      </c>
      <c r="X2839" s="1" t="s">
        <v>109</v>
      </c>
    </row>
    <row r="2840" spans="1:24" x14ac:dyDescent="0.3">
      <c r="A2840" s="1" t="str">
        <f t="shared" si="543"/>
        <v>59823</v>
      </c>
      <c r="B2840" s="1" t="s">
        <v>36</v>
      </c>
      <c r="C2840" s="1" t="s">
        <v>37</v>
      </c>
      <c r="D2840" s="1" t="str">
        <f t="shared" si="545"/>
        <v>9803</v>
      </c>
      <c r="E2840" s="1" t="s">
        <v>32</v>
      </c>
      <c r="F2840" s="1" t="str">
        <f>"12BFD0027F880400C834002000000015"</f>
        <v>12BFD0027F880400C834002000000015</v>
      </c>
      <c r="G2840" s="1" t="s">
        <v>74</v>
      </c>
      <c r="H2840" s="1" t="str">
        <f t="shared" si="546"/>
        <v>20220913</v>
      </c>
      <c r="I2840" s="1" t="str">
        <f>"103421"</f>
        <v>103421</v>
      </c>
      <c r="J2840" s="1" t="s">
        <v>90</v>
      </c>
      <c r="K2840" s="1" t="s">
        <v>28</v>
      </c>
      <c r="L2840" s="1" t="str">
        <f t="shared" si="539"/>
        <v>20220913</v>
      </c>
      <c r="M2840" s="1" t="str">
        <f>"105152"</f>
        <v>105152</v>
      </c>
      <c r="N2840" s="1" t="s">
        <v>34</v>
      </c>
      <c r="O2840" s="1" t="s">
        <v>34</v>
      </c>
      <c r="P2840" s="1" t="s">
        <v>68</v>
      </c>
      <c r="Q2840" s="1">
        <v>13</v>
      </c>
      <c r="R2840" s="1">
        <v>0</v>
      </c>
      <c r="S2840" s="1">
        <v>0</v>
      </c>
      <c r="T2840" s="1">
        <v>13</v>
      </c>
      <c r="U2840" s="1">
        <v>0</v>
      </c>
      <c r="V2840" s="1" t="str">
        <f t="shared" si="544"/>
        <v>里程去程</v>
      </c>
      <c r="W2840" s="1" t="str">
        <f>"0020"</f>
        <v>0020</v>
      </c>
      <c r="X2840" s="1" t="s">
        <v>29</v>
      </c>
    </row>
    <row r="2841" spans="1:24" x14ac:dyDescent="0.3">
      <c r="A2841" s="1" t="str">
        <f t="shared" si="543"/>
        <v>59823</v>
      </c>
      <c r="B2841" s="1" t="s">
        <v>36</v>
      </c>
      <c r="C2841" s="1" t="s">
        <v>37</v>
      </c>
      <c r="D2841" s="1" t="str">
        <f t="shared" si="545"/>
        <v>9803</v>
      </c>
      <c r="E2841" s="1" t="s">
        <v>32</v>
      </c>
      <c r="F2841" s="1" t="str">
        <f>"205455953"</f>
        <v>205455953</v>
      </c>
      <c r="G2841" s="1" t="s">
        <v>33</v>
      </c>
      <c r="H2841" s="1" t="str">
        <f t="shared" si="546"/>
        <v>20220913</v>
      </c>
      <c r="I2841" s="1" t="str">
        <f>"104806"</f>
        <v>104806</v>
      </c>
      <c r="J2841" s="1" t="s">
        <v>93</v>
      </c>
      <c r="K2841" s="1" t="s">
        <v>28</v>
      </c>
      <c r="L2841" s="1" t="str">
        <f t="shared" ref="L2841:L2872" si="547">"20220913"</f>
        <v>20220913</v>
      </c>
      <c r="M2841" s="1" t="str">
        <f>"105114"</f>
        <v>105114</v>
      </c>
      <c r="N2841" s="1" t="s">
        <v>34</v>
      </c>
      <c r="O2841" s="1" t="s">
        <v>34</v>
      </c>
      <c r="P2841" s="1" t="s">
        <v>55</v>
      </c>
      <c r="Q2841" s="1">
        <v>25</v>
      </c>
      <c r="R2841" s="1">
        <v>25</v>
      </c>
      <c r="S2841" s="1">
        <v>0</v>
      </c>
      <c r="T2841" s="1">
        <v>0</v>
      </c>
      <c r="U2841" s="1">
        <v>0</v>
      </c>
      <c r="V2841" s="1" t="str">
        <f t="shared" si="544"/>
        <v>里程去程</v>
      </c>
      <c r="W2841" s="1" t="str">
        <f>"2020"</f>
        <v>2020</v>
      </c>
      <c r="X2841" s="1" t="s">
        <v>35</v>
      </c>
    </row>
    <row r="2842" spans="1:24" x14ac:dyDescent="0.3">
      <c r="A2842" s="1" t="str">
        <f t="shared" si="543"/>
        <v>59823</v>
      </c>
      <c r="B2842" s="1" t="s">
        <v>36</v>
      </c>
      <c r="C2842" s="1" t="s">
        <v>37</v>
      </c>
      <c r="D2842" s="1" t="str">
        <f t="shared" si="545"/>
        <v>9803</v>
      </c>
      <c r="E2842" s="1" t="s">
        <v>32</v>
      </c>
      <c r="F2842" s="1" t="str">
        <f>"1076655729"</f>
        <v>1076655729</v>
      </c>
      <c r="G2842" s="1" t="s">
        <v>33</v>
      </c>
      <c r="H2842" s="1" t="str">
        <f t="shared" si="546"/>
        <v>20220913</v>
      </c>
      <c r="I2842" s="1" t="str">
        <f>"112957"</f>
        <v>112957</v>
      </c>
      <c r="J2842" s="1" t="s">
        <v>28</v>
      </c>
      <c r="K2842" s="1" t="s">
        <v>28</v>
      </c>
      <c r="L2842" s="1" t="str">
        <f t="shared" si="547"/>
        <v>20220913</v>
      </c>
      <c r="M2842" s="1" t="str">
        <f>"115056"</f>
        <v>115056</v>
      </c>
      <c r="N2842" s="1" t="s">
        <v>34</v>
      </c>
      <c r="O2842" s="1" t="s">
        <v>34</v>
      </c>
      <c r="P2842" s="1" t="s">
        <v>55</v>
      </c>
      <c r="Q2842" s="1">
        <v>25</v>
      </c>
      <c r="R2842" s="1">
        <v>25</v>
      </c>
      <c r="S2842" s="1">
        <v>0</v>
      </c>
      <c r="T2842" s="1">
        <v>0</v>
      </c>
      <c r="U2842" s="1">
        <v>0</v>
      </c>
      <c r="V2842" s="1" t="str">
        <f t="shared" si="544"/>
        <v>里程去程</v>
      </c>
      <c r="W2842" s="1" t="str">
        <f>"0120"</f>
        <v>0120</v>
      </c>
      <c r="X2842" s="1" t="s">
        <v>35</v>
      </c>
    </row>
    <row r="2843" spans="1:24" x14ac:dyDescent="0.3">
      <c r="A2843" s="1" t="str">
        <f t="shared" si="543"/>
        <v>59823</v>
      </c>
      <c r="B2843" s="1" t="s">
        <v>36</v>
      </c>
      <c r="C2843" s="1" t="s">
        <v>37</v>
      </c>
      <c r="D2843" s="1" t="str">
        <f t="shared" si="545"/>
        <v>9803</v>
      </c>
      <c r="E2843" s="1" t="s">
        <v>32</v>
      </c>
      <c r="F2843" s="1" t="str">
        <f>"3483310792"</f>
        <v>3483310792</v>
      </c>
      <c r="G2843" s="1" t="s">
        <v>33</v>
      </c>
      <c r="H2843" s="1" t="str">
        <f t="shared" si="546"/>
        <v>20220913</v>
      </c>
      <c r="I2843" s="1" t="str">
        <f>"113011"</f>
        <v>113011</v>
      </c>
      <c r="J2843" s="1" t="s">
        <v>28</v>
      </c>
      <c r="K2843" s="1" t="s">
        <v>28</v>
      </c>
      <c r="L2843" s="1" t="str">
        <f t="shared" si="547"/>
        <v>20220913</v>
      </c>
      <c r="M2843" s="1" t="str">
        <f>"115126"</f>
        <v>115126</v>
      </c>
      <c r="N2843" s="1" t="s">
        <v>34</v>
      </c>
      <c r="O2843" s="1" t="s">
        <v>34</v>
      </c>
      <c r="P2843" s="1" t="s">
        <v>55</v>
      </c>
      <c r="Q2843" s="1">
        <v>25</v>
      </c>
      <c r="R2843" s="1">
        <v>25</v>
      </c>
      <c r="S2843" s="1">
        <v>0</v>
      </c>
      <c r="T2843" s="1">
        <v>0</v>
      </c>
      <c r="U2843" s="1">
        <v>0</v>
      </c>
      <c r="V2843" s="1" t="str">
        <f t="shared" si="544"/>
        <v>里程去程</v>
      </c>
      <c r="W2843" s="1" t="str">
        <f>"2020"</f>
        <v>2020</v>
      </c>
      <c r="X2843" s="1" t="s">
        <v>35</v>
      </c>
    </row>
    <row r="2844" spans="1:24" x14ac:dyDescent="0.3">
      <c r="A2844" s="1" t="str">
        <f t="shared" si="543"/>
        <v>59823</v>
      </c>
      <c r="B2844" s="1" t="s">
        <v>36</v>
      </c>
      <c r="C2844" s="1" t="s">
        <v>37</v>
      </c>
      <c r="D2844" s="1" t="str">
        <f t="shared" si="545"/>
        <v>9803</v>
      </c>
      <c r="E2844" s="1" t="s">
        <v>32</v>
      </c>
      <c r="F2844" s="1" t="str">
        <f>"285171750"</f>
        <v>285171750</v>
      </c>
      <c r="G2844" s="1" t="s">
        <v>33</v>
      </c>
      <c r="H2844" s="1" t="str">
        <f t="shared" si="546"/>
        <v>20220913</v>
      </c>
      <c r="I2844" s="1" t="str">
        <f>"113036"</f>
        <v>113036</v>
      </c>
      <c r="J2844" s="1" t="s">
        <v>28</v>
      </c>
      <c r="K2844" s="1" t="s">
        <v>28</v>
      </c>
      <c r="L2844" s="1" t="str">
        <f t="shared" si="547"/>
        <v>20220913</v>
      </c>
      <c r="M2844" s="1" t="str">
        <f>"115033"</f>
        <v>115033</v>
      </c>
      <c r="N2844" s="1" t="s">
        <v>34</v>
      </c>
      <c r="O2844" s="1" t="s">
        <v>34</v>
      </c>
      <c r="P2844" s="1" t="s">
        <v>55</v>
      </c>
      <c r="Q2844" s="1">
        <v>25</v>
      </c>
      <c r="R2844" s="1">
        <v>25</v>
      </c>
      <c r="S2844" s="1">
        <v>0</v>
      </c>
      <c r="T2844" s="1">
        <v>0</v>
      </c>
      <c r="U2844" s="1">
        <v>0</v>
      </c>
      <c r="V2844" s="1" t="str">
        <f t="shared" si="544"/>
        <v>里程去程</v>
      </c>
      <c r="W2844" s="1" t="str">
        <f>"2020"</f>
        <v>2020</v>
      </c>
      <c r="X2844" s="1" t="s">
        <v>35</v>
      </c>
    </row>
    <row r="2845" spans="1:24" x14ac:dyDescent="0.3">
      <c r="A2845" s="1" t="str">
        <f t="shared" si="543"/>
        <v>59823</v>
      </c>
      <c r="B2845" s="1" t="s">
        <v>36</v>
      </c>
      <c r="C2845" s="1" t="s">
        <v>37</v>
      </c>
      <c r="D2845" s="1" t="str">
        <f t="shared" si="545"/>
        <v>9803</v>
      </c>
      <c r="E2845" s="1" t="s">
        <v>32</v>
      </c>
      <c r="F2845" s="1" t="str">
        <f>"91DB12267E8804004328091300160212"</f>
        <v>91DB12267E8804004328091300160212</v>
      </c>
      <c r="G2845" s="1" t="s">
        <v>58</v>
      </c>
      <c r="H2845" s="1" t="str">
        <f t="shared" si="546"/>
        <v>20220913</v>
      </c>
      <c r="I2845" s="1" t="str">
        <f>"113100"</f>
        <v>113100</v>
      </c>
      <c r="J2845" s="1" t="s">
        <v>28</v>
      </c>
      <c r="K2845" s="1" t="s">
        <v>28</v>
      </c>
      <c r="L2845" s="1" t="str">
        <f t="shared" si="547"/>
        <v>20220913</v>
      </c>
      <c r="M2845" s="1" t="str">
        <f>"115104"</f>
        <v>115104</v>
      </c>
      <c r="N2845" s="1" t="s">
        <v>34</v>
      </c>
      <c r="O2845" s="1" t="s">
        <v>34</v>
      </c>
      <c r="P2845" s="1" t="s">
        <v>55</v>
      </c>
      <c r="Q2845" s="1">
        <v>25</v>
      </c>
      <c r="R2845" s="1">
        <v>25</v>
      </c>
      <c r="S2845" s="1">
        <v>0</v>
      </c>
      <c r="T2845" s="1">
        <v>0</v>
      </c>
      <c r="U2845" s="1">
        <v>0</v>
      </c>
      <c r="V2845" s="1" t="str">
        <f t="shared" si="544"/>
        <v>里程去程</v>
      </c>
      <c r="W2845" s="1" t="str">
        <f>"0020"</f>
        <v>0020</v>
      </c>
      <c r="X2845" s="1" t="s">
        <v>29</v>
      </c>
    </row>
    <row r="2846" spans="1:24" x14ac:dyDescent="0.3">
      <c r="A2846" s="1" t="str">
        <f t="shared" si="543"/>
        <v>59823</v>
      </c>
      <c r="B2846" s="1" t="s">
        <v>36</v>
      </c>
      <c r="C2846" s="1" t="s">
        <v>37</v>
      </c>
      <c r="D2846" s="1" t="str">
        <f t="shared" si="545"/>
        <v>9803</v>
      </c>
      <c r="E2846" s="1" t="s">
        <v>32</v>
      </c>
      <c r="F2846" s="1" t="str">
        <f>"BCFF39E892880400468EB41659104807"</f>
        <v>BCFF39E892880400468EB41659104807</v>
      </c>
      <c r="G2846" s="1" t="s">
        <v>58</v>
      </c>
      <c r="H2846" s="1" t="str">
        <f t="shared" si="546"/>
        <v>20220913</v>
      </c>
      <c r="I2846" s="1" t="str">
        <f>"113108"</f>
        <v>113108</v>
      </c>
      <c r="J2846" s="1" t="s">
        <v>28</v>
      </c>
      <c r="K2846" s="1" t="s">
        <v>28</v>
      </c>
      <c r="L2846" s="1" t="str">
        <f t="shared" si="547"/>
        <v>20220913</v>
      </c>
      <c r="M2846" s="1" t="str">
        <f>"115051"</f>
        <v>115051</v>
      </c>
      <c r="N2846" s="1" t="s">
        <v>34</v>
      </c>
      <c r="O2846" s="1" t="s">
        <v>34</v>
      </c>
      <c r="P2846" s="1" t="s">
        <v>55</v>
      </c>
      <c r="Q2846" s="1">
        <v>25</v>
      </c>
      <c r="R2846" s="1">
        <v>25</v>
      </c>
      <c r="S2846" s="1">
        <v>0</v>
      </c>
      <c r="T2846" s="1">
        <v>0</v>
      </c>
      <c r="U2846" s="1">
        <v>0</v>
      </c>
      <c r="V2846" s="1" t="str">
        <f t="shared" si="544"/>
        <v>里程去程</v>
      </c>
      <c r="W2846" s="1" t="str">
        <f>"0020"</f>
        <v>0020</v>
      </c>
      <c r="X2846" s="1" t="s">
        <v>29</v>
      </c>
    </row>
    <row r="2847" spans="1:24" x14ac:dyDescent="0.3">
      <c r="A2847" s="1" t="str">
        <f t="shared" si="543"/>
        <v>59823</v>
      </c>
      <c r="B2847" s="1" t="s">
        <v>36</v>
      </c>
      <c r="C2847" s="1" t="s">
        <v>37</v>
      </c>
      <c r="D2847" s="1" t="str">
        <f t="shared" si="545"/>
        <v>9803</v>
      </c>
      <c r="E2847" s="1" t="s">
        <v>32</v>
      </c>
      <c r="F2847" s="1" t="str">
        <f>"1737678053"</f>
        <v>1737678053</v>
      </c>
      <c r="G2847" s="1" t="s">
        <v>33</v>
      </c>
      <c r="H2847" s="1" t="str">
        <f t="shared" si="546"/>
        <v>20220913</v>
      </c>
      <c r="I2847" s="1" t="str">
        <f>"113113"</f>
        <v>113113</v>
      </c>
      <c r="J2847" s="1" t="s">
        <v>28</v>
      </c>
      <c r="K2847" s="1" t="s">
        <v>28</v>
      </c>
      <c r="L2847" s="1" t="str">
        <f t="shared" si="547"/>
        <v>20220913</v>
      </c>
      <c r="M2847" s="1" t="str">
        <f>"115049"</f>
        <v>115049</v>
      </c>
      <c r="N2847" s="1" t="s">
        <v>34</v>
      </c>
      <c r="O2847" s="1" t="s">
        <v>34</v>
      </c>
      <c r="P2847" s="1" t="s">
        <v>55</v>
      </c>
      <c r="Q2847" s="1">
        <v>25</v>
      </c>
      <c r="R2847" s="1">
        <v>25</v>
      </c>
      <c r="S2847" s="1">
        <v>0</v>
      </c>
      <c r="T2847" s="1">
        <v>0</v>
      </c>
      <c r="U2847" s="1">
        <v>0</v>
      </c>
      <c r="V2847" s="1" t="str">
        <f t="shared" si="544"/>
        <v>里程去程</v>
      </c>
      <c r="W2847" s="1" t="str">
        <f>"1420"</f>
        <v>1420</v>
      </c>
      <c r="X2847" s="1" t="s">
        <v>35</v>
      </c>
    </row>
    <row r="2848" spans="1:24" x14ac:dyDescent="0.3">
      <c r="A2848" s="1" t="str">
        <f t="shared" si="543"/>
        <v>59823</v>
      </c>
      <c r="B2848" s="1" t="s">
        <v>36</v>
      </c>
      <c r="C2848" s="1" t="s">
        <v>37</v>
      </c>
      <c r="D2848" s="1" t="str">
        <f t="shared" si="545"/>
        <v>9803</v>
      </c>
      <c r="E2848" s="1" t="s">
        <v>32</v>
      </c>
      <c r="F2848" s="1" t="str">
        <f>"619168289"</f>
        <v>619168289</v>
      </c>
      <c r="G2848" s="1" t="s">
        <v>33</v>
      </c>
      <c r="H2848" s="1" t="str">
        <f t="shared" si="546"/>
        <v>20220913</v>
      </c>
      <c r="I2848" s="1" t="str">
        <f>"113208"</f>
        <v>113208</v>
      </c>
      <c r="J2848" s="1" t="s">
        <v>28</v>
      </c>
      <c r="K2848" s="1" t="s">
        <v>28</v>
      </c>
      <c r="L2848" s="1" t="str">
        <f t="shared" si="547"/>
        <v>20220913</v>
      </c>
      <c r="M2848" s="1" t="str">
        <f>"115005"</f>
        <v>115005</v>
      </c>
      <c r="N2848" s="1" t="s">
        <v>34</v>
      </c>
      <c r="O2848" s="1" t="s">
        <v>34</v>
      </c>
      <c r="P2848" s="1" t="s">
        <v>55</v>
      </c>
      <c r="Q2848" s="1">
        <v>25</v>
      </c>
      <c r="R2848" s="1">
        <v>25</v>
      </c>
      <c r="S2848" s="1">
        <v>0</v>
      </c>
      <c r="T2848" s="1">
        <v>0</v>
      </c>
      <c r="U2848" s="1">
        <v>0</v>
      </c>
      <c r="V2848" s="1" t="str">
        <f t="shared" si="544"/>
        <v>里程去程</v>
      </c>
      <c r="W2848" s="1" t="str">
        <f>"0e20"</f>
        <v>0e20</v>
      </c>
      <c r="X2848" s="1" t="s">
        <v>35</v>
      </c>
    </row>
    <row r="2849" spans="1:24" x14ac:dyDescent="0.3">
      <c r="A2849" s="1" t="str">
        <f t="shared" si="543"/>
        <v>59823</v>
      </c>
      <c r="B2849" s="1" t="s">
        <v>36</v>
      </c>
      <c r="C2849" s="1" t="s">
        <v>37</v>
      </c>
      <c r="D2849" s="1" t="str">
        <f t="shared" si="545"/>
        <v>9803</v>
      </c>
      <c r="E2849" s="1" t="s">
        <v>32</v>
      </c>
      <c r="F2849" s="1" t="str">
        <f>"1820469265"</f>
        <v>1820469265</v>
      </c>
      <c r="G2849" s="1" t="s">
        <v>33</v>
      </c>
      <c r="H2849" s="1" t="str">
        <f t="shared" si="546"/>
        <v>20220913</v>
      </c>
      <c r="I2849" s="1" t="str">
        <f>"113241"</f>
        <v>113241</v>
      </c>
      <c r="J2849" s="1" t="s">
        <v>28</v>
      </c>
      <c r="K2849" s="1" t="s">
        <v>28</v>
      </c>
      <c r="L2849" s="1" t="str">
        <f t="shared" si="547"/>
        <v>20220913</v>
      </c>
      <c r="M2849" s="1" t="str">
        <f>"115026"</f>
        <v>115026</v>
      </c>
      <c r="N2849" s="1" t="s">
        <v>34</v>
      </c>
      <c r="O2849" s="1" t="s">
        <v>34</v>
      </c>
      <c r="P2849" s="1" t="s">
        <v>55</v>
      </c>
      <c r="Q2849" s="1">
        <v>25</v>
      </c>
      <c r="R2849" s="1">
        <v>25</v>
      </c>
      <c r="S2849" s="1">
        <v>0</v>
      </c>
      <c r="T2849" s="1">
        <v>0</v>
      </c>
      <c r="U2849" s="1">
        <v>0</v>
      </c>
      <c r="V2849" s="1" t="str">
        <f t="shared" si="544"/>
        <v>里程去程</v>
      </c>
      <c r="W2849" s="1" t="str">
        <f>"0120"</f>
        <v>0120</v>
      </c>
      <c r="X2849" s="1" t="s">
        <v>35</v>
      </c>
    </row>
    <row r="2850" spans="1:24" x14ac:dyDescent="0.3">
      <c r="A2850" s="1" t="str">
        <f t="shared" si="543"/>
        <v>59823</v>
      </c>
      <c r="B2850" s="1" t="s">
        <v>36</v>
      </c>
      <c r="C2850" s="1" t="s">
        <v>37</v>
      </c>
      <c r="D2850" s="1" t="str">
        <f t="shared" si="545"/>
        <v>9803</v>
      </c>
      <c r="E2850" s="1" t="s">
        <v>32</v>
      </c>
      <c r="F2850" s="1" t="str">
        <f>"1007108565"</f>
        <v>1007108565</v>
      </c>
      <c r="G2850" s="1" t="s">
        <v>33</v>
      </c>
      <c r="H2850" s="1" t="str">
        <f t="shared" si="546"/>
        <v>20220913</v>
      </c>
      <c r="I2850" s="1" t="str">
        <f>"113547"</f>
        <v>113547</v>
      </c>
      <c r="J2850" s="1" t="s">
        <v>28</v>
      </c>
      <c r="K2850" s="1" t="s">
        <v>28</v>
      </c>
      <c r="L2850" s="1" t="str">
        <f t="shared" si="547"/>
        <v>20220913</v>
      </c>
      <c r="M2850" s="1" t="str">
        <f>"114945"</f>
        <v>114945</v>
      </c>
      <c r="N2850" s="1" t="s">
        <v>34</v>
      </c>
      <c r="O2850" s="1" t="s">
        <v>34</v>
      </c>
      <c r="P2850" s="1" t="s">
        <v>55</v>
      </c>
      <c r="Q2850" s="1">
        <v>25</v>
      </c>
      <c r="R2850" s="1">
        <v>25</v>
      </c>
      <c r="S2850" s="1">
        <v>0</v>
      </c>
      <c r="T2850" s="1">
        <v>0</v>
      </c>
      <c r="U2850" s="1">
        <v>0</v>
      </c>
      <c r="V2850" s="1" t="str">
        <f t="shared" si="544"/>
        <v>里程去程</v>
      </c>
      <c r="W2850" s="1" t="str">
        <f>"0120"</f>
        <v>0120</v>
      </c>
      <c r="X2850" s="1" t="s">
        <v>35</v>
      </c>
    </row>
    <row r="2851" spans="1:24" x14ac:dyDescent="0.3">
      <c r="A2851" s="1" t="str">
        <f t="shared" si="543"/>
        <v>59823</v>
      </c>
      <c r="B2851" s="1" t="s">
        <v>36</v>
      </c>
      <c r="C2851" s="1" t="s">
        <v>37</v>
      </c>
      <c r="D2851" s="1" t="str">
        <f t="shared" si="545"/>
        <v>9803</v>
      </c>
      <c r="E2851" s="1" t="s">
        <v>32</v>
      </c>
      <c r="F2851" s="1" t="str">
        <f>"D14A59488A2804001C00000000000000"</f>
        <v>D14A59488A2804001C00000000000000</v>
      </c>
      <c r="G2851" s="1" t="s">
        <v>58</v>
      </c>
      <c r="H2851" s="1" t="str">
        <f t="shared" si="546"/>
        <v>20220913</v>
      </c>
      <c r="I2851" s="1" t="str">
        <f>"115738"</f>
        <v>115738</v>
      </c>
      <c r="J2851" s="1" t="s">
        <v>34</v>
      </c>
      <c r="K2851" s="1" t="s">
        <v>34</v>
      </c>
      <c r="L2851" s="1" t="str">
        <f t="shared" si="547"/>
        <v>20220913</v>
      </c>
      <c r="M2851" s="1" t="str">
        <f>"122923"</f>
        <v>122923</v>
      </c>
      <c r="N2851" s="1" t="s">
        <v>28</v>
      </c>
      <c r="O2851" s="1" t="s">
        <v>28</v>
      </c>
      <c r="P2851" s="1" t="s">
        <v>55</v>
      </c>
      <c r="Q2851" s="1">
        <v>25</v>
      </c>
      <c r="R2851" s="1">
        <v>25</v>
      </c>
      <c r="S2851" s="1">
        <v>0</v>
      </c>
      <c r="T2851" s="1">
        <v>0</v>
      </c>
      <c r="U2851" s="1">
        <v>0</v>
      </c>
      <c r="V2851" s="1" t="str">
        <f t="shared" ref="V2851:V2857" si="548">"里程返程"</f>
        <v>里程返程</v>
      </c>
      <c r="W2851" s="1" t="str">
        <f>"0020"</f>
        <v>0020</v>
      </c>
      <c r="X2851" s="1" t="s">
        <v>29</v>
      </c>
    </row>
    <row r="2852" spans="1:24" x14ac:dyDescent="0.3">
      <c r="A2852" s="1" t="str">
        <f t="shared" si="543"/>
        <v>59823</v>
      </c>
      <c r="B2852" s="1" t="s">
        <v>36</v>
      </c>
      <c r="C2852" s="1" t="s">
        <v>37</v>
      </c>
      <c r="D2852" s="1" t="str">
        <f t="shared" si="545"/>
        <v>9803</v>
      </c>
      <c r="E2852" s="1" t="s">
        <v>32</v>
      </c>
      <c r="F2852" s="1" t="str">
        <f>"818259605"</f>
        <v>818259605</v>
      </c>
      <c r="G2852" s="1" t="s">
        <v>33</v>
      </c>
      <c r="H2852" s="1" t="str">
        <f t="shared" si="546"/>
        <v>20220913</v>
      </c>
      <c r="I2852" s="1" t="str">
        <f>"115750"</f>
        <v>115750</v>
      </c>
      <c r="J2852" s="1" t="s">
        <v>34</v>
      </c>
      <c r="K2852" s="1" t="s">
        <v>34</v>
      </c>
      <c r="L2852" s="1" t="str">
        <f t="shared" si="547"/>
        <v>20220913</v>
      </c>
      <c r="M2852" s="1" t="str">
        <f>"122919"</f>
        <v>122919</v>
      </c>
      <c r="N2852" s="1" t="s">
        <v>28</v>
      </c>
      <c r="O2852" s="1" t="s">
        <v>28</v>
      </c>
      <c r="P2852" s="1" t="s">
        <v>55</v>
      </c>
      <c r="Q2852" s="1">
        <v>25</v>
      </c>
      <c r="R2852" s="1">
        <v>25</v>
      </c>
      <c r="S2852" s="1">
        <v>0</v>
      </c>
      <c r="T2852" s="1">
        <v>0</v>
      </c>
      <c r="U2852" s="1">
        <v>0</v>
      </c>
      <c r="V2852" s="1" t="str">
        <f t="shared" si="548"/>
        <v>里程返程</v>
      </c>
      <c r="W2852" s="1" t="str">
        <f>"0120"</f>
        <v>0120</v>
      </c>
      <c r="X2852" s="1" t="s">
        <v>35</v>
      </c>
    </row>
    <row r="2853" spans="1:24" x14ac:dyDescent="0.3">
      <c r="A2853" s="1" t="str">
        <f t="shared" si="543"/>
        <v>59823</v>
      </c>
      <c r="B2853" s="1" t="s">
        <v>36</v>
      </c>
      <c r="C2853" s="1" t="s">
        <v>37</v>
      </c>
      <c r="D2853" s="1" t="str">
        <f t="shared" si="545"/>
        <v>9803</v>
      </c>
      <c r="E2853" s="1" t="s">
        <v>32</v>
      </c>
      <c r="F2853" s="1" t="str">
        <f>"825755601"</f>
        <v>825755601</v>
      </c>
      <c r="G2853" s="1" t="s">
        <v>33</v>
      </c>
      <c r="H2853" s="1" t="str">
        <f t="shared" si="546"/>
        <v>20220913</v>
      </c>
      <c r="I2853" s="1" t="str">
        <f>"120345"</f>
        <v>120345</v>
      </c>
      <c r="J2853" s="1" t="s">
        <v>73</v>
      </c>
      <c r="K2853" s="1" t="s">
        <v>28</v>
      </c>
      <c r="L2853" s="1" t="str">
        <f t="shared" si="547"/>
        <v>20220913</v>
      </c>
      <c r="M2853" s="1" t="str">
        <f>"120731"</f>
        <v>120731</v>
      </c>
      <c r="N2853" s="1" t="s">
        <v>87</v>
      </c>
      <c r="O2853" s="1" t="s">
        <v>28</v>
      </c>
      <c r="P2853" s="1" t="s">
        <v>55</v>
      </c>
      <c r="Q2853" s="1">
        <v>25</v>
      </c>
      <c r="R2853" s="1">
        <v>25</v>
      </c>
      <c r="S2853" s="1">
        <v>0</v>
      </c>
      <c r="T2853" s="1">
        <v>0</v>
      </c>
      <c r="U2853" s="1">
        <v>0</v>
      </c>
      <c r="V2853" s="1" t="str">
        <f t="shared" si="548"/>
        <v>里程返程</v>
      </c>
      <c r="W2853" s="1" t="str">
        <f>"2020"</f>
        <v>2020</v>
      </c>
      <c r="X2853" s="1" t="s">
        <v>35</v>
      </c>
    </row>
    <row r="2854" spans="1:24" x14ac:dyDescent="0.3">
      <c r="A2854" s="1" t="str">
        <f t="shared" si="543"/>
        <v>59823</v>
      </c>
      <c r="B2854" s="1" t="s">
        <v>36</v>
      </c>
      <c r="C2854" s="1" t="s">
        <v>37</v>
      </c>
      <c r="D2854" s="1" t="str">
        <f t="shared" si="545"/>
        <v>9803</v>
      </c>
      <c r="E2854" s="1" t="s">
        <v>32</v>
      </c>
      <c r="F2854" s="1" t="str">
        <f>"7311220103003056"</f>
        <v>7311220103003056</v>
      </c>
      <c r="G2854" s="1" t="s">
        <v>33</v>
      </c>
      <c r="H2854" s="1" t="str">
        <f t="shared" si="546"/>
        <v>20220913</v>
      </c>
      <c r="I2854" s="1" t="str">
        <f>"120348"</f>
        <v>120348</v>
      </c>
      <c r="J2854" s="1" t="s">
        <v>73</v>
      </c>
      <c r="K2854" s="1" t="s">
        <v>28</v>
      </c>
      <c r="L2854" s="1" t="str">
        <f t="shared" si="547"/>
        <v>20220913</v>
      </c>
      <c r="M2854" s="1" t="str">
        <f>"120724"</f>
        <v>120724</v>
      </c>
      <c r="N2854" s="1" t="s">
        <v>87</v>
      </c>
      <c r="O2854" s="1" t="s">
        <v>28</v>
      </c>
      <c r="P2854" s="1" t="s">
        <v>55</v>
      </c>
      <c r="Q2854" s="1">
        <v>25</v>
      </c>
      <c r="R2854" s="1">
        <v>25</v>
      </c>
      <c r="S2854" s="1">
        <v>0</v>
      </c>
      <c r="T2854" s="1">
        <v>0</v>
      </c>
      <c r="U2854" s="1">
        <v>0</v>
      </c>
      <c r="V2854" s="1" t="str">
        <f t="shared" si="548"/>
        <v>里程返程</v>
      </c>
      <c r="W2854" s="1" t="str">
        <f>"3B8B"</f>
        <v>3B8B</v>
      </c>
      <c r="X2854" s="1" t="s">
        <v>109</v>
      </c>
    </row>
    <row r="2855" spans="1:24" x14ac:dyDescent="0.3">
      <c r="A2855" s="1" t="str">
        <f t="shared" si="543"/>
        <v>59823</v>
      </c>
      <c r="B2855" s="1" t="s">
        <v>36</v>
      </c>
      <c r="C2855" s="1" t="s">
        <v>37</v>
      </c>
      <c r="D2855" s="1" t="str">
        <f t="shared" si="545"/>
        <v>9803</v>
      </c>
      <c r="E2855" s="1" t="s">
        <v>32</v>
      </c>
      <c r="F2855" s="1" t="str">
        <f>"1874963537"</f>
        <v>1874963537</v>
      </c>
      <c r="G2855" s="1" t="s">
        <v>33</v>
      </c>
      <c r="H2855" s="1" t="str">
        <f t="shared" si="546"/>
        <v>20220913</v>
      </c>
      <c r="I2855" s="1" t="str">
        <f>"120352"</f>
        <v>120352</v>
      </c>
      <c r="J2855" s="1" t="s">
        <v>73</v>
      </c>
      <c r="K2855" s="1" t="s">
        <v>28</v>
      </c>
      <c r="L2855" s="1" t="str">
        <f t="shared" si="547"/>
        <v>20220913</v>
      </c>
      <c r="M2855" s="1" t="str">
        <f>"120728"</f>
        <v>120728</v>
      </c>
      <c r="N2855" s="1" t="s">
        <v>87</v>
      </c>
      <c r="O2855" s="1" t="s">
        <v>28</v>
      </c>
      <c r="P2855" s="1" t="s">
        <v>55</v>
      </c>
      <c r="Q2855" s="1">
        <v>25</v>
      </c>
      <c r="R2855" s="1">
        <v>25</v>
      </c>
      <c r="S2855" s="1">
        <v>0</v>
      </c>
      <c r="T2855" s="1">
        <v>0</v>
      </c>
      <c r="U2855" s="1">
        <v>0</v>
      </c>
      <c r="V2855" s="1" t="str">
        <f t="shared" si="548"/>
        <v>里程返程</v>
      </c>
      <c r="W2855" s="1" t="str">
        <f>"2020"</f>
        <v>2020</v>
      </c>
      <c r="X2855" s="1" t="s">
        <v>35</v>
      </c>
    </row>
    <row r="2856" spans="1:24" x14ac:dyDescent="0.3">
      <c r="A2856" s="1" t="str">
        <f t="shared" si="543"/>
        <v>59823</v>
      </c>
      <c r="B2856" s="1" t="s">
        <v>36</v>
      </c>
      <c r="C2856" s="1" t="s">
        <v>37</v>
      </c>
      <c r="D2856" s="1" t="str">
        <f t="shared" si="545"/>
        <v>9803</v>
      </c>
      <c r="E2856" s="1" t="s">
        <v>32</v>
      </c>
      <c r="F2856" s="1" t="str">
        <f>"1007808901"</f>
        <v>1007808901</v>
      </c>
      <c r="G2856" s="1" t="s">
        <v>33</v>
      </c>
      <c r="H2856" s="1" t="str">
        <f t="shared" si="546"/>
        <v>20220913</v>
      </c>
      <c r="I2856" s="1" t="str">
        <f>"120353"</f>
        <v>120353</v>
      </c>
      <c r="J2856" s="1" t="s">
        <v>73</v>
      </c>
      <c r="K2856" s="1" t="s">
        <v>28</v>
      </c>
      <c r="L2856" s="1" t="str">
        <f t="shared" si="547"/>
        <v>20220913</v>
      </c>
      <c r="M2856" s="1" t="str">
        <f>"120726"</f>
        <v>120726</v>
      </c>
      <c r="N2856" s="1" t="s">
        <v>87</v>
      </c>
      <c r="O2856" s="1" t="s">
        <v>28</v>
      </c>
      <c r="P2856" s="1" t="s">
        <v>55</v>
      </c>
      <c r="Q2856" s="1">
        <v>25</v>
      </c>
      <c r="R2856" s="1">
        <v>25</v>
      </c>
      <c r="S2856" s="1">
        <v>0</v>
      </c>
      <c r="T2856" s="1">
        <v>0</v>
      </c>
      <c r="U2856" s="1">
        <v>0</v>
      </c>
      <c r="V2856" s="1" t="str">
        <f t="shared" si="548"/>
        <v>里程返程</v>
      </c>
      <c r="W2856" s="1" t="str">
        <f>"2020"</f>
        <v>2020</v>
      </c>
      <c r="X2856" s="1" t="s">
        <v>35</v>
      </c>
    </row>
    <row r="2857" spans="1:24" x14ac:dyDescent="0.3">
      <c r="A2857" s="1" t="str">
        <f t="shared" si="543"/>
        <v>59823</v>
      </c>
      <c r="B2857" s="1" t="s">
        <v>36</v>
      </c>
      <c r="C2857" s="1" t="s">
        <v>37</v>
      </c>
      <c r="D2857" s="1" t="str">
        <f t="shared" si="545"/>
        <v>9803</v>
      </c>
      <c r="E2857" s="1" t="s">
        <v>32</v>
      </c>
      <c r="F2857" s="1" t="str">
        <f>"42321C036F880400C834002000000015"</f>
        <v>42321C036F880400C834002000000015</v>
      </c>
      <c r="G2857" s="1" t="s">
        <v>26</v>
      </c>
      <c r="H2857" s="1" t="str">
        <f t="shared" si="546"/>
        <v>20220913</v>
      </c>
      <c r="I2857" s="1" t="str">
        <f>"121356"</f>
        <v>121356</v>
      </c>
      <c r="J2857" s="1" t="s">
        <v>46</v>
      </c>
      <c r="K2857" s="1" t="s">
        <v>28</v>
      </c>
      <c r="L2857" s="1" t="str">
        <f t="shared" si="547"/>
        <v>20220913</v>
      </c>
      <c r="M2857" s="1" t="str">
        <f>"122908"</f>
        <v>122908</v>
      </c>
      <c r="N2857" s="1" t="s">
        <v>28</v>
      </c>
      <c r="O2857" s="1" t="s">
        <v>28</v>
      </c>
      <c r="P2857" s="1" t="s">
        <v>68</v>
      </c>
      <c r="Q2857" s="1">
        <v>13</v>
      </c>
      <c r="R2857" s="1">
        <v>0</v>
      </c>
      <c r="S2857" s="1">
        <v>0</v>
      </c>
      <c r="T2857" s="1">
        <v>13</v>
      </c>
      <c r="U2857" s="1">
        <v>0</v>
      </c>
      <c r="V2857" s="1" t="str">
        <f t="shared" si="548"/>
        <v>里程返程</v>
      </c>
      <c r="W2857" s="1" t="str">
        <f>"0020"</f>
        <v>0020</v>
      </c>
      <c r="X2857" s="1" t="s">
        <v>29</v>
      </c>
    </row>
    <row r="2858" spans="1:24" x14ac:dyDescent="0.3">
      <c r="A2858" s="1" t="str">
        <f t="shared" ref="A2858:A2878" si="549">"59823"</f>
        <v>59823</v>
      </c>
      <c r="B2858" s="1" t="s">
        <v>36</v>
      </c>
      <c r="C2858" s="1" t="s">
        <v>37</v>
      </c>
      <c r="D2858" s="1" t="str">
        <f t="shared" si="545"/>
        <v>9803</v>
      </c>
      <c r="E2858" s="1" t="s">
        <v>32</v>
      </c>
      <c r="F2858" s="1" t="str">
        <f>"1509625967"</f>
        <v>1509625967</v>
      </c>
      <c r="G2858" s="1" t="s">
        <v>33</v>
      </c>
      <c r="H2858" s="1" t="str">
        <f t="shared" si="546"/>
        <v>20220913</v>
      </c>
      <c r="I2858" s="1" t="str">
        <f>"122958"</f>
        <v>122958</v>
      </c>
      <c r="J2858" s="1" t="s">
        <v>28</v>
      </c>
      <c r="K2858" s="1" t="s">
        <v>28</v>
      </c>
      <c r="L2858" s="1" t="str">
        <f t="shared" si="547"/>
        <v>20220913</v>
      </c>
      <c r="M2858" s="1" t="str">
        <f>"125058"</f>
        <v>125058</v>
      </c>
      <c r="N2858" s="1" t="s">
        <v>34</v>
      </c>
      <c r="O2858" s="1" t="s">
        <v>34</v>
      </c>
      <c r="P2858" s="1" t="s">
        <v>55</v>
      </c>
      <c r="Q2858" s="1">
        <v>25</v>
      </c>
      <c r="R2858" s="1">
        <v>0</v>
      </c>
      <c r="S2858" s="1">
        <v>25</v>
      </c>
      <c r="T2858" s="1">
        <v>0</v>
      </c>
      <c r="U2858" s="1">
        <v>0</v>
      </c>
      <c r="V2858" s="1" t="str">
        <f t="shared" ref="V2858:V2877" si="550">"里程去程"</f>
        <v>里程去程</v>
      </c>
      <c r="W2858" s="1" t="str">
        <f>"0820"</f>
        <v>0820</v>
      </c>
      <c r="X2858" s="1" t="s">
        <v>35</v>
      </c>
    </row>
    <row r="2859" spans="1:24" x14ac:dyDescent="0.3">
      <c r="A2859" s="1" t="str">
        <f t="shared" si="549"/>
        <v>59823</v>
      </c>
      <c r="B2859" s="1" t="s">
        <v>36</v>
      </c>
      <c r="C2859" s="1" t="s">
        <v>37</v>
      </c>
      <c r="D2859" s="1" t="str">
        <f t="shared" si="545"/>
        <v>9803</v>
      </c>
      <c r="E2859" s="1" t="s">
        <v>32</v>
      </c>
      <c r="F2859" s="1" t="str">
        <f>"1295880657"</f>
        <v>1295880657</v>
      </c>
      <c r="G2859" s="1" t="s">
        <v>33</v>
      </c>
      <c r="H2859" s="1" t="str">
        <f t="shared" si="546"/>
        <v>20220913</v>
      </c>
      <c r="I2859" s="1" t="str">
        <f>"123001"</f>
        <v>123001</v>
      </c>
      <c r="J2859" s="1" t="s">
        <v>28</v>
      </c>
      <c r="K2859" s="1" t="s">
        <v>28</v>
      </c>
      <c r="L2859" s="1" t="str">
        <f t="shared" si="547"/>
        <v>20220913</v>
      </c>
      <c r="M2859" s="1" t="str">
        <f>"125047"</f>
        <v>125047</v>
      </c>
      <c r="N2859" s="1" t="s">
        <v>34</v>
      </c>
      <c r="O2859" s="1" t="s">
        <v>34</v>
      </c>
      <c r="P2859" s="1" t="s">
        <v>55</v>
      </c>
      <c r="Q2859" s="1">
        <v>25</v>
      </c>
      <c r="R2859" s="1">
        <v>0</v>
      </c>
      <c r="S2859" s="1">
        <v>25</v>
      </c>
      <c r="T2859" s="1">
        <v>0</v>
      </c>
      <c r="U2859" s="1">
        <v>0</v>
      </c>
      <c r="V2859" s="1" t="str">
        <f t="shared" si="550"/>
        <v>里程去程</v>
      </c>
      <c r="W2859" s="1" t="str">
        <f>"0820"</f>
        <v>0820</v>
      </c>
      <c r="X2859" s="1" t="s">
        <v>35</v>
      </c>
    </row>
    <row r="2860" spans="1:24" x14ac:dyDescent="0.3">
      <c r="A2860" s="1" t="str">
        <f t="shared" si="549"/>
        <v>59823</v>
      </c>
      <c r="B2860" s="1" t="s">
        <v>36</v>
      </c>
      <c r="C2860" s="1" t="s">
        <v>37</v>
      </c>
      <c r="D2860" s="1" t="str">
        <f t="shared" si="545"/>
        <v>9803</v>
      </c>
      <c r="E2860" s="1" t="s">
        <v>32</v>
      </c>
      <c r="F2860" s="1" t="str">
        <f>"D71260F3568804004326A03B000D0211"</f>
        <v>D71260F3568804004326A03B000D0211</v>
      </c>
      <c r="G2860" s="1" t="s">
        <v>58</v>
      </c>
      <c r="H2860" s="1" t="str">
        <f t="shared" si="546"/>
        <v>20220913</v>
      </c>
      <c r="I2860" s="1" t="str">
        <f>"123003"</f>
        <v>123003</v>
      </c>
      <c r="J2860" s="1" t="s">
        <v>28</v>
      </c>
      <c r="K2860" s="1" t="s">
        <v>28</v>
      </c>
      <c r="L2860" s="1" t="str">
        <f t="shared" si="547"/>
        <v>20220913</v>
      </c>
      <c r="M2860" s="1" t="str">
        <f>"125045"</f>
        <v>125045</v>
      </c>
      <c r="N2860" s="1" t="s">
        <v>34</v>
      </c>
      <c r="O2860" s="1" t="s">
        <v>34</v>
      </c>
      <c r="P2860" s="1" t="s">
        <v>55</v>
      </c>
      <c r="Q2860" s="1">
        <v>25</v>
      </c>
      <c r="R2860" s="1">
        <v>25</v>
      </c>
      <c r="S2860" s="1">
        <v>0</v>
      </c>
      <c r="T2860" s="1">
        <v>0</v>
      </c>
      <c r="U2860" s="1">
        <v>0</v>
      </c>
      <c r="V2860" s="1" t="str">
        <f t="shared" si="550"/>
        <v>里程去程</v>
      </c>
      <c r="W2860" s="1" t="str">
        <f>"0020"</f>
        <v>0020</v>
      </c>
      <c r="X2860" s="1" t="s">
        <v>29</v>
      </c>
    </row>
    <row r="2861" spans="1:24" x14ac:dyDescent="0.3">
      <c r="A2861" s="1" t="str">
        <f t="shared" si="549"/>
        <v>59823</v>
      </c>
      <c r="B2861" s="1" t="s">
        <v>36</v>
      </c>
      <c r="C2861" s="1" t="s">
        <v>37</v>
      </c>
      <c r="D2861" s="1" t="str">
        <f t="shared" si="545"/>
        <v>9803</v>
      </c>
      <c r="E2861" s="1" t="s">
        <v>32</v>
      </c>
      <c r="F2861" s="1" t="str">
        <f>"1142954597"</f>
        <v>1142954597</v>
      </c>
      <c r="G2861" s="1" t="s">
        <v>33</v>
      </c>
      <c r="H2861" s="1" t="str">
        <f t="shared" si="546"/>
        <v>20220913</v>
      </c>
      <c r="I2861" s="1" t="str">
        <f>"123007"</f>
        <v>123007</v>
      </c>
      <c r="J2861" s="1" t="s">
        <v>28</v>
      </c>
      <c r="K2861" s="1" t="s">
        <v>28</v>
      </c>
      <c r="L2861" s="1" t="str">
        <f t="shared" si="547"/>
        <v>20220913</v>
      </c>
      <c r="M2861" s="1" t="str">
        <f>"125038"</f>
        <v>125038</v>
      </c>
      <c r="N2861" s="1" t="s">
        <v>34</v>
      </c>
      <c r="O2861" s="1" t="s">
        <v>34</v>
      </c>
      <c r="P2861" s="1" t="s">
        <v>55</v>
      </c>
      <c r="Q2861" s="1">
        <v>25</v>
      </c>
      <c r="R2861" s="1">
        <v>25</v>
      </c>
      <c r="S2861" s="1">
        <v>0</v>
      </c>
      <c r="T2861" s="1">
        <v>0</v>
      </c>
      <c r="U2861" s="1">
        <v>0</v>
      </c>
      <c r="V2861" s="1" t="str">
        <f t="shared" si="550"/>
        <v>里程去程</v>
      </c>
      <c r="W2861" s="1" t="str">
        <f>"0120"</f>
        <v>0120</v>
      </c>
      <c r="X2861" s="1" t="s">
        <v>35</v>
      </c>
    </row>
    <row r="2862" spans="1:24" x14ac:dyDescent="0.3">
      <c r="A2862" s="1" t="str">
        <f t="shared" si="549"/>
        <v>59823</v>
      </c>
      <c r="B2862" s="1" t="s">
        <v>36</v>
      </c>
      <c r="C2862" s="1" t="s">
        <v>37</v>
      </c>
      <c r="D2862" s="1" t="str">
        <f t="shared" si="545"/>
        <v>9803</v>
      </c>
      <c r="E2862" s="1" t="s">
        <v>32</v>
      </c>
      <c r="F2862" s="1" t="str">
        <f>"519040945"</f>
        <v>519040945</v>
      </c>
      <c r="G2862" s="1" t="s">
        <v>33</v>
      </c>
      <c r="H2862" s="1" t="str">
        <f t="shared" si="546"/>
        <v>20220913</v>
      </c>
      <c r="I2862" s="1" t="str">
        <f>"123012"</f>
        <v>123012</v>
      </c>
      <c r="J2862" s="1" t="s">
        <v>28</v>
      </c>
      <c r="K2862" s="1" t="s">
        <v>28</v>
      </c>
      <c r="L2862" s="1" t="str">
        <f t="shared" si="547"/>
        <v>20220913</v>
      </c>
      <c r="M2862" s="1" t="str">
        <f>"125042"</f>
        <v>125042</v>
      </c>
      <c r="N2862" s="1" t="s">
        <v>34</v>
      </c>
      <c r="O2862" s="1" t="s">
        <v>34</v>
      </c>
      <c r="P2862" s="1" t="s">
        <v>55</v>
      </c>
      <c r="Q2862" s="1">
        <v>25</v>
      </c>
      <c r="R2862" s="1">
        <v>25</v>
      </c>
      <c r="S2862" s="1">
        <v>0</v>
      </c>
      <c r="T2862" s="1">
        <v>0</v>
      </c>
      <c r="U2862" s="1">
        <v>0</v>
      </c>
      <c r="V2862" s="1" t="str">
        <f t="shared" si="550"/>
        <v>里程去程</v>
      </c>
      <c r="W2862" s="1" t="str">
        <f>"0120"</f>
        <v>0120</v>
      </c>
      <c r="X2862" s="1" t="s">
        <v>35</v>
      </c>
    </row>
    <row r="2863" spans="1:24" x14ac:dyDescent="0.3">
      <c r="A2863" s="1" t="str">
        <f t="shared" si="549"/>
        <v>59823</v>
      </c>
      <c r="B2863" s="1" t="s">
        <v>36</v>
      </c>
      <c r="C2863" s="1" t="s">
        <v>37</v>
      </c>
      <c r="D2863" s="1" t="str">
        <f t="shared" si="545"/>
        <v>9803</v>
      </c>
      <c r="E2863" s="1" t="s">
        <v>32</v>
      </c>
      <c r="F2863" s="1" t="str">
        <f>"1462068417"</f>
        <v>1462068417</v>
      </c>
      <c r="G2863" s="1" t="s">
        <v>33</v>
      </c>
      <c r="H2863" s="1" t="str">
        <f t="shared" si="546"/>
        <v>20220913</v>
      </c>
      <c r="I2863" s="1" t="str">
        <f>"123018"</f>
        <v>123018</v>
      </c>
      <c r="J2863" s="1" t="s">
        <v>28</v>
      </c>
      <c r="K2863" s="1" t="s">
        <v>28</v>
      </c>
      <c r="L2863" s="1" t="str">
        <f t="shared" si="547"/>
        <v>20220913</v>
      </c>
      <c r="M2863" s="1" t="str">
        <f>"125024"</f>
        <v>125024</v>
      </c>
      <c r="N2863" s="1" t="s">
        <v>34</v>
      </c>
      <c r="O2863" s="1" t="s">
        <v>34</v>
      </c>
      <c r="P2863" s="1" t="s">
        <v>55</v>
      </c>
      <c r="Q2863" s="1">
        <v>25</v>
      </c>
      <c r="R2863" s="1">
        <v>25</v>
      </c>
      <c r="S2863" s="1">
        <v>0</v>
      </c>
      <c r="T2863" s="1">
        <v>0</v>
      </c>
      <c r="U2863" s="1">
        <v>0</v>
      </c>
      <c r="V2863" s="1" t="str">
        <f t="shared" si="550"/>
        <v>里程去程</v>
      </c>
      <c r="W2863" s="1" t="str">
        <f>"0120"</f>
        <v>0120</v>
      </c>
      <c r="X2863" s="1" t="s">
        <v>35</v>
      </c>
    </row>
    <row r="2864" spans="1:24" x14ac:dyDescent="0.3">
      <c r="A2864" s="1" t="str">
        <f t="shared" si="549"/>
        <v>59823</v>
      </c>
      <c r="B2864" s="1" t="s">
        <v>36</v>
      </c>
      <c r="C2864" s="1" t="s">
        <v>37</v>
      </c>
      <c r="D2864" s="1" t="str">
        <f t="shared" si="545"/>
        <v>9803</v>
      </c>
      <c r="E2864" s="1" t="s">
        <v>32</v>
      </c>
      <c r="F2864" s="1" t="str">
        <f>"61440B032D88040043252B4B000B050F"</f>
        <v>61440B032D88040043252B4B000B050F</v>
      </c>
      <c r="G2864" s="1" t="s">
        <v>58</v>
      </c>
      <c r="H2864" s="1" t="str">
        <f t="shared" si="546"/>
        <v>20220913</v>
      </c>
      <c r="I2864" s="1" t="str">
        <f>"123024"</f>
        <v>123024</v>
      </c>
      <c r="J2864" s="1" t="s">
        <v>28</v>
      </c>
      <c r="K2864" s="1" t="s">
        <v>28</v>
      </c>
      <c r="L2864" s="1" t="str">
        <f t="shared" si="547"/>
        <v>20220913</v>
      </c>
      <c r="M2864" s="1" t="str">
        <f>"124940"</f>
        <v>124940</v>
      </c>
      <c r="N2864" s="1" t="s">
        <v>34</v>
      </c>
      <c r="O2864" s="1" t="s">
        <v>34</v>
      </c>
      <c r="P2864" s="1" t="s">
        <v>55</v>
      </c>
      <c r="Q2864" s="1">
        <v>25</v>
      </c>
      <c r="R2864" s="1">
        <v>25</v>
      </c>
      <c r="S2864" s="1">
        <v>0</v>
      </c>
      <c r="T2864" s="1">
        <v>0</v>
      </c>
      <c r="U2864" s="1">
        <v>0</v>
      </c>
      <c r="V2864" s="1" t="str">
        <f t="shared" si="550"/>
        <v>里程去程</v>
      </c>
      <c r="W2864" s="1" t="str">
        <f>"0020"</f>
        <v>0020</v>
      </c>
      <c r="X2864" s="1" t="s">
        <v>29</v>
      </c>
    </row>
    <row r="2865" spans="1:24" x14ac:dyDescent="0.3">
      <c r="A2865" s="1" t="str">
        <f t="shared" si="549"/>
        <v>59823</v>
      </c>
      <c r="B2865" s="1" t="s">
        <v>36</v>
      </c>
      <c r="C2865" s="1" t="s">
        <v>37</v>
      </c>
      <c r="D2865" s="1" t="str">
        <f t="shared" si="545"/>
        <v>9803</v>
      </c>
      <c r="E2865" s="1" t="s">
        <v>32</v>
      </c>
      <c r="F2865" s="1" t="str">
        <f>"1518734770"</f>
        <v>1518734770</v>
      </c>
      <c r="G2865" s="1" t="s">
        <v>33</v>
      </c>
      <c r="H2865" s="1" t="str">
        <f t="shared" si="546"/>
        <v>20220913</v>
      </c>
      <c r="I2865" s="1" t="str">
        <f>"123034"</f>
        <v>123034</v>
      </c>
      <c r="J2865" s="1" t="s">
        <v>28</v>
      </c>
      <c r="K2865" s="1" t="s">
        <v>28</v>
      </c>
      <c r="L2865" s="1" t="str">
        <f t="shared" si="547"/>
        <v>20220913</v>
      </c>
      <c r="M2865" s="1" t="str">
        <f>"124933"</f>
        <v>124933</v>
      </c>
      <c r="N2865" s="1" t="s">
        <v>34</v>
      </c>
      <c r="O2865" s="1" t="s">
        <v>34</v>
      </c>
      <c r="P2865" s="1" t="s">
        <v>55</v>
      </c>
      <c r="Q2865" s="1">
        <v>25</v>
      </c>
      <c r="R2865" s="1">
        <v>25</v>
      </c>
      <c r="S2865" s="1">
        <v>0</v>
      </c>
      <c r="T2865" s="1">
        <v>0</v>
      </c>
      <c r="U2865" s="1">
        <v>0</v>
      </c>
      <c r="V2865" s="1" t="str">
        <f t="shared" si="550"/>
        <v>里程去程</v>
      </c>
      <c r="W2865" s="1" t="str">
        <f>"0e20"</f>
        <v>0e20</v>
      </c>
      <c r="X2865" s="1" t="s">
        <v>35</v>
      </c>
    </row>
    <row r="2866" spans="1:24" x14ac:dyDescent="0.3">
      <c r="A2866" s="1" t="str">
        <f t="shared" si="549"/>
        <v>59823</v>
      </c>
      <c r="B2866" s="1" t="s">
        <v>36</v>
      </c>
      <c r="C2866" s="1" t="s">
        <v>37</v>
      </c>
      <c r="D2866" s="1" t="str">
        <f t="shared" si="545"/>
        <v>9803</v>
      </c>
      <c r="E2866" s="1" t="s">
        <v>32</v>
      </c>
      <c r="F2866" s="1" t="str">
        <f>"933825013"</f>
        <v>933825013</v>
      </c>
      <c r="G2866" s="1" t="s">
        <v>33</v>
      </c>
      <c r="H2866" s="1" t="str">
        <f t="shared" si="546"/>
        <v>20220913</v>
      </c>
      <c r="I2866" s="1" t="str">
        <f>"123042"</f>
        <v>123042</v>
      </c>
      <c r="J2866" s="1" t="s">
        <v>28</v>
      </c>
      <c r="K2866" s="1" t="s">
        <v>28</v>
      </c>
      <c r="L2866" s="1" t="str">
        <f t="shared" si="547"/>
        <v>20220913</v>
      </c>
      <c r="M2866" s="1" t="str">
        <f>"124946"</f>
        <v>124946</v>
      </c>
      <c r="N2866" s="1" t="s">
        <v>34</v>
      </c>
      <c r="O2866" s="1" t="s">
        <v>34</v>
      </c>
      <c r="P2866" s="1" t="s">
        <v>55</v>
      </c>
      <c r="Q2866" s="1">
        <v>25</v>
      </c>
      <c r="R2866" s="1">
        <v>25</v>
      </c>
      <c r="S2866" s="1">
        <v>0</v>
      </c>
      <c r="T2866" s="1">
        <v>0</v>
      </c>
      <c r="U2866" s="1">
        <v>0</v>
      </c>
      <c r="V2866" s="1" t="str">
        <f t="shared" si="550"/>
        <v>里程去程</v>
      </c>
      <c r="W2866" s="1" t="str">
        <f>"0820"</f>
        <v>0820</v>
      </c>
      <c r="X2866" s="1" t="s">
        <v>35</v>
      </c>
    </row>
    <row r="2867" spans="1:24" x14ac:dyDescent="0.3">
      <c r="A2867" s="1" t="str">
        <f t="shared" si="549"/>
        <v>59823</v>
      </c>
      <c r="B2867" s="1" t="s">
        <v>36</v>
      </c>
      <c r="C2867" s="1" t="s">
        <v>37</v>
      </c>
      <c r="D2867" s="1" t="str">
        <f t="shared" si="545"/>
        <v>9803</v>
      </c>
      <c r="E2867" s="1" t="s">
        <v>32</v>
      </c>
      <c r="F2867" s="1" t="str">
        <f>"1081568641"</f>
        <v>1081568641</v>
      </c>
      <c r="G2867" s="1" t="s">
        <v>33</v>
      </c>
      <c r="H2867" s="1" t="str">
        <f t="shared" si="546"/>
        <v>20220913</v>
      </c>
      <c r="I2867" s="1" t="str">
        <f>"123052"</f>
        <v>123052</v>
      </c>
      <c r="J2867" s="1" t="s">
        <v>28</v>
      </c>
      <c r="K2867" s="1" t="s">
        <v>28</v>
      </c>
      <c r="L2867" s="1" t="str">
        <f t="shared" si="547"/>
        <v>20220913</v>
      </c>
      <c r="M2867" s="1" t="str">
        <f>"125034"</f>
        <v>125034</v>
      </c>
      <c r="N2867" s="1" t="s">
        <v>34</v>
      </c>
      <c r="O2867" s="1" t="s">
        <v>34</v>
      </c>
      <c r="P2867" s="1" t="s">
        <v>55</v>
      </c>
      <c r="Q2867" s="1">
        <v>25</v>
      </c>
      <c r="R2867" s="1">
        <v>25</v>
      </c>
      <c r="S2867" s="1">
        <v>0</v>
      </c>
      <c r="T2867" s="1">
        <v>0</v>
      </c>
      <c r="U2867" s="1">
        <v>0</v>
      </c>
      <c r="V2867" s="1" t="str">
        <f t="shared" si="550"/>
        <v>里程去程</v>
      </c>
      <c r="W2867" s="1" t="str">
        <f>"0c20"</f>
        <v>0c20</v>
      </c>
      <c r="X2867" s="1" t="s">
        <v>35</v>
      </c>
    </row>
    <row r="2868" spans="1:24" x14ac:dyDescent="0.3">
      <c r="A2868" s="1" t="str">
        <f t="shared" si="549"/>
        <v>59823</v>
      </c>
      <c r="B2868" s="1" t="s">
        <v>36</v>
      </c>
      <c r="C2868" s="1" t="s">
        <v>37</v>
      </c>
      <c r="D2868" s="1" t="str">
        <f t="shared" si="545"/>
        <v>9803</v>
      </c>
      <c r="E2868" s="1" t="s">
        <v>32</v>
      </c>
      <c r="F2868" s="1" t="str">
        <f>"45BEB8094A180200D200000C22400417"</f>
        <v>45BEB8094A180200D200000C22400417</v>
      </c>
      <c r="G2868" s="1" t="s">
        <v>58</v>
      </c>
      <c r="H2868" s="1" t="str">
        <f t="shared" si="546"/>
        <v>20220913</v>
      </c>
      <c r="I2868" s="1" t="str">
        <f>"123100"</f>
        <v>123100</v>
      </c>
      <c r="J2868" s="1" t="s">
        <v>28</v>
      </c>
      <c r="K2868" s="1" t="s">
        <v>28</v>
      </c>
      <c r="L2868" s="1" t="str">
        <f t="shared" si="547"/>
        <v>20220913</v>
      </c>
      <c r="M2868" s="1" t="str">
        <f>"125021"</f>
        <v>125021</v>
      </c>
      <c r="N2868" s="1" t="s">
        <v>34</v>
      </c>
      <c r="O2868" s="1" t="s">
        <v>34</v>
      </c>
      <c r="P2868" s="1" t="s">
        <v>55</v>
      </c>
      <c r="Q2868" s="1">
        <v>25</v>
      </c>
      <c r="R2868" s="1">
        <v>25</v>
      </c>
      <c r="S2868" s="1">
        <v>0</v>
      </c>
      <c r="T2868" s="1">
        <v>0</v>
      </c>
      <c r="U2868" s="1">
        <v>0</v>
      </c>
      <c r="V2868" s="1" t="str">
        <f t="shared" si="550"/>
        <v>里程去程</v>
      </c>
      <c r="W2868" s="1" t="str">
        <f>"0020"</f>
        <v>0020</v>
      </c>
      <c r="X2868" s="1" t="s">
        <v>29</v>
      </c>
    </row>
    <row r="2869" spans="1:24" x14ac:dyDescent="0.3">
      <c r="A2869" s="1" t="str">
        <f t="shared" si="549"/>
        <v>59823</v>
      </c>
      <c r="B2869" s="1" t="s">
        <v>36</v>
      </c>
      <c r="C2869" s="1" t="s">
        <v>37</v>
      </c>
      <c r="D2869" s="1" t="str">
        <f t="shared" si="545"/>
        <v>9803</v>
      </c>
      <c r="E2869" s="1" t="s">
        <v>32</v>
      </c>
      <c r="F2869" s="1" t="str">
        <f>"1194629029"</f>
        <v>1194629029</v>
      </c>
      <c r="G2869" s="1" t="s">
        <v>33</v>
      </c>
      <c r="H2869" s="1" t="str">
        <f t="shared" si="546"/>
        <v>20220913</v>
      </c>
      <c r="I2869" s="1" t="str">
        <f>"123102"</f>
        <v>123102</v>
      </c>
      <c r="J2869" s="1" t="s">
        <v>28</v>
      </c>
      <c r="K2869" s="1" t="s">
        <v>28</v>
      </c>
      <c r="L2869" s="1" t="str">
        <f t="shared" si="547"/>
        <v>20220913</v>
      </c>
      <c r="M2869" s="1" t="str">
        <f>"125016"</f>
        <v>125016</v>
      </c>
      <c r="N2869" s="1" t="s">
        <v>34</v>
      </c>
      <c r="O2869" s="1" t="s">
        <v>34</v>
      </c>
      <c r="P2869" s="1" t="s">
        <v>55</v>
      </c>
      <c r="Q2869" s="1">
        <v>25</v>
      </c>
      <c r="R2869" s="1">
        <v>25</v>
      </c>
      <c r="S2869" s="1">
        <v>0</v>
      </c>
      <c r="T2869" s="1">
        <v>0</v>
      </c>
      <c r="U2869" s="1">
        <v>0</v>
      </c>
      <c r="V2869" s="1" t="str">
        <f t="shared" si="550"/>
        <v>里程去程</v>
      </c>
      <c r="W2869" s="1" t="str">
        <f>"0820"</f>
        <v>0820</v>
      </c>
      <c r="X2869" s="1" t="s">
        <v>35</v>
      </c>
    </row>
    <row r="2870" spans="1:24" x14ac:dyDescent="0.3">
      <c r="A2870" s="1" t="str">
        <f t="shared" si="549"/>
        <v>59823</v>
      </c>
      <c r="B2870" s="1" t="s">
        <v>36</v>
      </c>
      <c r="C2870" s="1" t="s">
        <v>37</v>
      </c>
      <c r="D2870" s="1" t="str">
        <f t="shared" si="545"/>
        <v>9803</v>
      </c>
      <c r="E2870" s="1" t="s">
        <v>32</v>
      </c>
      <c r="F2870" s="1" t="str">
        <f>"91EAA1459F280400F700000000000000"</f>
        <v>91EAA1459F280400F700000000000000</v>
      </c>
      <c r="G2870" s="1" t="s">
        <v>58</v>
      </c>
      <c r="H2870" s="1" t="str">
        <f t="shared" si="546"/>
        <v>20220913</v>
      </c>
      <c r="I2870" s="1" t="str">
        <f>"123108"</f>
        <v>123108</v>
      </c>
      <c r="J2870" s="1" t="s">
        <v>28</v>
      </c>
      <c r="K2870" s="1" t="s">
        <v>28</v>
      </c>
      <c r="L2870" s="1" t="str">
        <f t="shared" si="547"/>
        <v>20220913</v>
      </c>
      <c r="M2870" s="1" t="str">
        <f>"125012"</f>
        <v>125012</v>
      </c>
      <c r="N2870" s="1" t="s">
        <v>34</v>
      </c>
      <c r="O2870" s="1" t="s">
        <v>34</v>
      </c>
      <c r="P2870" s="1" t="s">
        <v>55</v>
      </c>
      <c r="Q2870" s="1">
        <v>25</v>
      </c>
      <c r="R2870" s="1">
        <v>25</v>
      </c>
      <c r="S2870" s="1">
        <v>0</v>
      </c>
      <c r="T2870" s="1">
        <v>0</v>
      </c>
      <c r="U2870" s="1">
        <v>0</v>
      </c>
      <c r="V2870" s="1" t="str">
        <f t="shared" si="550"/>
        <v>里程去程</v>
      </c>
      <c r="W2870" s="1" t="str">
        <f>"0020"</f>
        <v>0020</v>
      </c>
      <c r="X2870" s="1" t="s">
        <v>29</v>
      </c>
    </row>
    <row r="2871" spans="1:24" x14ac:dyDescent="0.3">
      <c r="A2871" s="1" t="str">
        <f t="shared" si="549"/>
        <v>59823</v>
      </c>
      <c r="B2871" s="1" t="s">
        <v>36</v>
      </c>
      <c r="C2871" s="1" t="s">
        <v>37</v>
      </c>
      <c r="D2871" s="1" t="str">
        <f t="shared" si="545"/>
        <v>9803</v>
      </c>
      <c r="E2871" s="1" t="s">
        <v>32</v>
      </c>
      <c r="F2871" s="1" t="str">
        <f>"822514049"</f>
        <v>822514049</v>
      </c>
      <c r="G2871" s="1" t="s">
        <v>33</v>
      </c>
      <c r="H2871" s="1" t="str">
        <f t="shared" si="546"/>
        <v>20220913</v>
      </c>
      <c r="I2871" s="1" t="str">
        <f>"123124"</f>
        <v>123124</v>
      </c>
      <c r="J2871" s="1" t="s">
        <v>28</v>
      </c>
      <c r="K2871" s="1" t="s">
        <v>28</v>
      </c>
      <c r="L2871" s="1" t="str">
        <f t="shared" si="547"/>
        <v>20220913</v>
      </c>
      <c r="M2871" s="1" t="str">
        <f>"125007"</f>
        <v>125007</v>
      </c>
      <c r="N2871" s="1" t="s">
        <v>34</v>
      </c>
      <c r="O2871" s="1" t="s">
        <v>34</v>
      </c>
      <c r="P2871" s="1" t="s">
        <v>55</v>
      </c>
      <c r="Q2871" s="1">
        <v>25</v>
      </c>
      <c r="R2871" s="1">
        <v>25</v>
      </c>
      <c r="S2871" s="1">
        <v>0</v>
      </c>
      <c r="T2871" s="1">
        <v>0</v>
      </c>
      <c r="U2871" s="1">
        <v>0</v>
      </c>
      <c r="V2871" s="1" t="str">
        <f t="shared" si="550"/>
        <v>里程去程</v>
      </c>
      <c r="W2871" s="1" t="str">
        <f>"0620"</f>
        <v>0620</v>
      </c>
      <c r="X2871" s="1" t="s">
        <v>35</v>
      </c>
    </row>
    <row r="2872" spans="1:24" x14ac:dyDescent="0.3">
      <c r="A2872" s="1" t="str">
        <f t="shared" si="549"/>
        <v>59823</v>
      </c>
      <c r="B2872" s="1" t="s">
        <v>36</v>
      </c>
      <c r="C2872" s="1" t="s">
        <v>37</v>
      </c>
      <c r="D2872" s="1" t="str">
        <f t="shared" si="545"/>
        <v>9803</v>
      </c>
      <c r="E2872" s="1" t="s">
        <v>32</v>
      </c>
      <c r="F2872" s="1" t="str">
        <f>"3C13BA72E7880400C08E1E5149601713"</f>
        <v>3C13BA72E7880400C08E1E5149601713</v>
      </c>
      <c r="G2872" s="1" t="s">
        <v>58</v>
      </c>
      <c r="H2872" s="1" t="str">
        <f t="shared" si="546"/>
        <v>20220913</v>
      </c>
      <c r="I2872" s="1" t="str">
        <f>"123136"</f>
        <v>123136</v>
      </c>
      <c r="J2872" s="1" t="s">
        <v>28</v>
      </c>
      <c r="K2872" s="1" t="s">
        <v>28</v>
      </c>
      <c r="L2872" s="1" t="str">
        <f t="shared" si="547"/>
        <v>20220913</v>
      </c>
      <c r="M2872" s="1" t="str">
        <f>"124959"</f>
        <v>124959</v>
      </c>
      <c r="N2872" s="1" t="s">
        <v>34</v>
      </c>
      <c r="O2872" s="1" t="s">
        <v>34</v>
      </c>
      <c r="P2872" s="1" t="s">
        <v>55</v>
      </c>
      <c r="Q2872" s="1">
        <v>25</v>
      </c>
      <c r="R2872" s="1">
        <v>0</v>
      </c>
      <c r="S2872" s="1">
        <v>25</v>
      </c>
      <c r="T2872" s="1">
        <v>0</v>
      </c>
      <c r="U2872" s="1">
        <v>0</v>
      </c>
      <c r="V2872" s="1" t="str">
        <f t="shared" si="550"/>
        <v>里程去程</v>
      </c>
      <c r="W2872" s="1" t="str">
        <f>"0620"</f>
        <v>0620</v>
      </c>
      <c r="X2872" s="1" t="s">
        <v>29</v>
      </c>
    </row>
    <row r="2873" spans="1:24" x14ac:dyDescent="0.3">
      <c r="A2873" s="1" t="str">
        <f t="shared" si="549"/>
        <v>59823</v>
      </c>
      <c r="B2873" s="1" t="s">
        <v>36</v>
      </c>
      <c r="C2873" s="1" t="s">
        <v>37</v>
      </c>
      <c r="D2873" s="1" t="str">
        <f t="shared" si="545"/>
        <v>9803</v>
      </c>
      <c r="E2873" s="1" t="s">
        <v>32</v>
      </c>
      <c r="F2873" s="1" t="str">
        <f>"81686C23A68804004328148200130112"</f>
        <v>81686C23A68804004328148200130112</v>
      </c>
      <c r="G2873" s="1" t="s">
        <v>58</v>
      </c>
      <c r="H2873" s="1" t="str">
        <f t="shared" si="546"/>
        <v>20220913</v>
      </c>
      <c r="I2873" s="1" t="str">
        <f>"123142"</f>
        <v>123142</v>
      </c>
      <c r="J2873" s="1" t="s">
        <v>28</v>
      </c>
      <c r="K2873" s="1" t="s">
        <v>28</v>
      </c>
      <c r="L2873" s="1" t="str">
        <f t="shared" ref="L2873:L2904" si="551">"20220913"</f>
        <v>20220913</v>
      </c>
      <c r="M2873" s="1" t="str">
        <f>"124956"</f>
        <v>124956</v>
      </c>
      <c r="N2873" s="1" t="s">
        <v>34</v>
      </c>
      <c r="O2873" s="1" t="s">
        <v>34</v>
      </c>
      <c r="P2873" s="1" t="s">
        <v>55</v>
      </c>
      <c r="Q2873" s="1">
        <v>25</v>
      </c>
      <c r="R2873" s="1">
        <v>25</v>
      </c>
      <c r="S2873" s="1">
        <v>0</v>
      </c>
      <c r="T2873" s="1">
        <v>0</v>
      </c>
      <c r="U2873" s="1">
        <v>0</v>
      </c>
      <c r="V2873" s="1" t="str">
        <f t="shared" si="550"/>
        <v>里程去程</v>
      </c>
      <c r="W2873" s="1" t="str">
        <f>"0020"</f>
        <v>0020</v>
      </c>
      <c r="X2873" s="1" t="s">
        <v>29</v>
      </c>
    </row>
    <row r="2874" spans="1:24" x14ac:dyDescent="0.3">
      <c r="A2874" s="1" t="str">
        <f t="shared" si="549"/>
        <v>59823</v>
      </c>
      <c r="B2874" s="1" t="s">
        <v>36</v>
      </c>
      <c r="C2874" s="1" t="s">
        <v>37</v>
      </c>
      <c r="D2874" s="1" t="str">
        <f t="shared" si="545"/>
        <v>9803</v>
      </c>
      <c r="E2874" s="1" t="s">
        <v>32</v>
      </c>
      <c r="F2874" s="1" t="str">
        <f>"454219441"</f>
        <v>454219441</v>
      </c>
      <c r="G2874" s="1" t="s">
        <v>38</v>
      </c>
      <c r="H2874" s="1" t="str">
        <f t="shared" si="546"/>
        <v>20220913</v>
      </c>
      <c r="I2874" s="1" t="str">
        <f>"123151"</f>
        <v>123151</v>
      </c>
      <c r="J2874" s="1" t="s">
        <v>28</v>
      </c>
      <c r="K2874" s="1" t="s">
        <v>28</v>
      </c>
      <c r="L2874" s="1" t="str">
        <f t="shared" si="551"/>
        <v>20220913</v>
      </c>
      <c r="M2874" s="1" t="str">
        <f>"124952"</f>
        <v>124952</v>
      </c>
      <c r="N2874" s="1" t="s">
        <v>34</v>
      </c>
      <c r="O2874" s="1" t="s">
        <v>34</v>
      </c>
      <c r="P2874" s="1" t="s">
        <v>55</v>
      </c>
      <c r="Q2874" s="1">
        <v>25</v>
      </c>
      <c r="R2874" s="1">
        <v>25</v>
      </c>
      <c r="S2874" s="1">
        <v>0</v>
      </c>
      <c r="T2874" s="1">
        <v>0</v>
      </c>
      <c r="U2874" s="1">
        <v>0</v>
      </c>
      <c r="V2874" s="1" t="str">
        <f t="shared" si="550"/>
        <v>里程去程</v>
      </c>
      <c r="W2874" s="1" t="str">
        <f>"0920"</f>
        <v>0920</v>
      </c>
      <c r="X2874" s="1" t="s">
        <v>35</v>
      </c>
    </row>
    <row r="2875" spans="1:24" x14ac:dyDescent="0.3">
      <c r="A2875" s="1" t="str">
        <f t="shared" si="549"/>
        <v>59823</v>
      </c>
      <c r="B2875" s="1" t="s">
        <v>36</v>
      </c>
      <c r="C2875" s="1" t="s">
        <v>37</v>
      </c>
      <c r="D2875" s="1" t="str">
        <f t="shared" si="545"/>
        <v>9803</v>
      </c>
      <c r="E2875" s="1" t="s">
        <v>32</v>
      </c>
      <c r="F2875" s="1" t="str">
        <f>"1418788721"</f>
        <v>1418788721</v>
      </c>
      <c r="G2875" s="1" t="s">
        <v>33</v>
      </c>
      <c r="H2875" s="1" t="str">
        <f t="shared" si="546"/>
        <v>20220913</v>
      </c>
      <c r="I2875" s="1" t="str">
        <f>"123201"</f>
        <v>123201</v>
      </c>
      <c r="J2875" s="1" t="s">
        <v>28</v>
      </c>
      <c r="K2875" s="1" t="s">
        <v>28</v>
      </c>
      <c r="L2875" s="1" t="str">
        <f t="shared" si="551"/>
        <v>20220913</v>
      </c>
      <c r="M2875" s="1" t="str">
        <f>"124936"</f>
        <v>124936</v>
      </c>
      <c r="N2875" s="1" t="s">
        <v>34</v>
      </c>
      <c r="O2875" s="1" t="s">
        <v>34</v>
      </c>
      <c r="P2875" s="1" t="s">
        <v>55</v>
      </c>
      <c r="Q2875" s="1">
        <v>25</v>
      </c>
      <c r="R2875" s="1">
        <v>0</v>
      </c>
      <c r="S2875" s="1">
        <v>25</v>
      </c>
      <c r="T2875" s="1">
        <v>0</v>
      </c>
      <c r="U2875" s="1">
        <v>0</v>
      </c>
      <c r="V2875" s="1" t="str">
        <f t="shared" si="550"/>
        <v>里程去程</v>
      </c>
      <c r="W2875" s="1" t="str">
        <f>"0820"</f>
        <v>0820</v>
      </c>
      <c r="X2875" s="1" t="s">
        <v>35</v>
      </c>
    </row>
    <row r="2876" spans="1:24" x14ac:dyDescent="0.3">
      <c r="A2876" s="1" t="str">
        <f t="shared" si="549"/>
        <v>59823</v>
      </c>
      <c r="B2876" s="1" t="s">
        <v>36</v>
      </c>
      <c r="C2876" s="1" t="s">
        <v>37</v>
      </c>
      <c r="D2876" s="1" t="str">
        <f t="shared" si="545"/>
        <v>9803</v>
      </c>
      <c r="E2876" s="1" t="s">
        <v>32</v>
      </c>
      <c r="F2876" s="1" t="str">
        <f>"3369766360"</f>
        <v>3369766360</v>
      </c>
      <c r="G2876" s="1" t="s">
        <v>38</v>
      </c>
      <c r="H2876" s="1" t="str">
        <f t="shared" si="546"/>
        <v>20220913</v>
      </c>
      <c r="I2876" s="1" t="str">
        <f>"123212"</f>
        <v>123212</v>
      </c>
      <c r="J2876" s="1" t="s">
        <v>28</v>
      </c>
      <c r="K2876" s="1" t="s">
        <v>28</v>
      </c>
      <c r="L2876" s="1" t="str">
        <f t="shared" si="551"/>
        <v>20220913</v>
      </c>
      <c r="M2876" s="1" t="str">
        <f>"124926"</f>
        <v>124926</v>
      </c>
      <c r="N2876" s="1" t="s">
        <v>34</v>
      </c>
      <c r="O2876" s="1" t="s">
        <v>34</v>
      </c>
      <c r="P2876" s="1" t="s">
        <v>55</v>
      </c>
      <c r="Q2876" s="1">
        <v>25</v>
      </c>
      <c r="R2876" s="1">
        <v>0</v>
      </c>
      <c r="S2876" s="1">
        <v>25</v>
      </c>
      <c r="T2876" s="1">
        <v>0</v>
      </c>
      <c r="U2876" s="1">
        <v>0</v>
      </c>
      <c r="V2876" s="1" t="str">
        <f t="shared" si="550"/>
        <v>里程去程</v>
      </c>
      <c r="W2876" s="1" t="str">
        <f>"0820"</f>
        <v>0820</v>
      </c>
      <c r="X2876" s="1" t="s">
        <v>35</v>
      </c>
    </row>
    <row r="2877" spans="1:24" x14ac:dyDescent="0.3">
      <c r="A2877" s="1" t="str">
        <f t="shared" si="549"/>
        <v>59823</v>
      </c>
      <c r="B2877" s="1" t="s">
        <v>36</v>
      </c>
      <c r="C2877" s="1" t="s">
        <v>37</v>
      </c>
      <c r="D2877" s="1" t="str">
        <f t="shared" si="545"/>
        <v>9803</v>
      </c>
      <c r="E2877" s="1" t="s">
        <v>32</v>
      </c>
      <c r="F2877" s="1" t="str">
        <f>"1018354085"</f>
        <v>1018354085</v>
      </c>
      <c r="G2877" s="1" t="s">
        <v>33</v>
      </c>
      <c r="H2877" s="1" t="str">
        <f t="shared" si="546"/>
        <v>20220913</v>
      </c>
      <c r="I2877" s="1" t="str">
        <f>"123216"</f>
        <v>123216</v>
      </c>
      <c r="J2877" s="1" t="s">
        <v>28</v>
      </c>
      <c r="K2877" s="1" t="s">
        <v>28</v>
      </c>
      <c r="L2877" s="1" t="str">
        <f t="shared" si="551"/>
        <v>20220913</v>
      </c>
      <c r="M2877" s="1" t="str">
        <f>"124909"</f>
        <v>124909</v>
      </c>
      <c r="N2877" s="1" t="s">
        <v>34</v>
      </c>
      <c r="O2877" s="1" t="s">
        <v>34</v>
      </c>
      <c r="P2877" s="1" t="s">
        <v>55</v>
      </c>
      <c r="Q2877" s="1">
        <v>25</v>
      </c>
      <c r="R2877" s="1">
        <v>0</v>
      </c>
      <c r="S2877" s="1">
        <v>25</v>
      </c>
      <c r="T2877" s="1">
        <v>0</v>
      </c>
      <c r="U2877" s="1">
        <v>0</v>
      </c>
      <c r="V2877" s="1" t="str">
        <f t="shared" si="550"/>
        <v>里程去程</v>
      </c>
      <c r="W2877" s="1" t="str">
        <f>"0820"</f>
        <v>0820</v>
      </c>
      <c r="X2877" s="1" t="s">
        <v>35</v>
      </c>
    </row>
    <row r="2878" spans="1:24" x14ac:dyDescent="0.3">
      <c r="A2878" s="1" t="str">
        <f t="shared" si="549"/>
        <v>59823</v>
      </c>
      <c r="B2878" s="1" t="s">
        <v>36</v>
      </c>
      <c r="C2878" s="1" t="s">
        <v>37</v>
      </c>
      <c r="D2878" s="1" t="str">
        <f>"9805"</f>
        <v>9805</v>
      </c>
      <c r="E2878" s="1" t="s">
        <v>57</v>
      </c>
      <c r="F2878" s="1" t="str">
        <f>"1576548593"</f>
        <v>1576548593</v>
      </c>
      <c r="G2878" s="1" t="s">
        <v>33</v>
      </c>
      <c r="H2878" s="1" t="str">
        <f t="shared" si="546"/>
        <v>20220913</v>
      </c>
      <c r="I2878" s="1" t="str">
        <f>"181932"</f>
        <v>181932</v>
      </c>
      <c r="J2878" s="1" t="s">
        <v>52</v>
      </c>
      <c r="K2878" s="1" t="s">
        <v>52</v>
      </c>
      <c r="L2878" s="1" t="str">
        <f t="shared" si="551"/>
        <v>20220913</v>
      </c>
      <c r="M2878" s="1" t="str">
        <f>"182812"</f>
        <v>182812</v>
      </c>
      <c r="N2878" s="1" t="s">
        <v>46</v>
      </c>
      <c r="O2878" s="1" t="s">
        <v>28</v>
      </c>
      <c r="P2878" s="1" t="s">
        <v>55</v>
      </c>
      <c r="Q2878" s="1">
        <v>25</v>
      </c>
      <c r="R2878" s="1">
        <v>25</v>
      </c>
      <c r="S2878" s="1">
        <v>0</v>
      </c>
      <c r="T2878" s="1">
        <v>0</v>
      </c>
      <c r="U2878" s="1">
        <v>0</v>
      </c>
      <c r="V2878" s="1" t="str">
        <f>"里程返程"</f>
        <v>里程返程</v>
      </c>
      <c r="W2878" s="1" t="str">
        <f>"0920"</f>
        <v>0920</v>
      </c>
      <c r="X2878" s="1" t="s">
        <v>35</v>
      </c>
    </row>
    <row r="2879" spans="1:24" x14ac:dyDescent="0.3">
      <c r="A2879" s="1" t="str">
        <f t="shared" ref="A2879:A2910" si="552">"59825"</f>
        <v>59825</v>
      </c>
      <c r="B2879" s="1" t="s">
        <v>30</v>
      </c>
      <c r="C2879" s="1" t="s">
        <v>31</v>
      </c>
      <c r="D2879" s="1" t="str">
        <f>"9805"</f>
        <v>9805</v>
      </c>
      <c r="E2879" s="1" t="s">
        <v>57</v>
      </c>
      <c r="F2879" s="1" t="str">
        <f>"F29BD102BA880400C834002000000015"</f>
        <v>F29BD102BA880400C834002000000015</v>
      </c>
      <c r="G2879" s="1" t="s">
        <v>26</v>
      </c>
      <c r="H2879" s="1" t="str">
        <f t="shared" si="546"/>
        <v>20220913</v>
      </c>
      <c r="I2879" s="1" t="str">
        <f>"103324"</f>
        <v>103324</v>
      </c>
      <c r="J2879" s="1" t="s">
        <v>28</v>
      </c>
      <c r="K2879" s="1" t="s">
        <v>28</v>
      </c>
      <c r="L2879" s="1" t="str">
        <f t="shared" si="551"/>
        <v>20220913</v>
      </c>
      <c r="M2879" s="1" t="str">
        <f>"105359"</f>
        <v>105359</v>
      </c>
      <c r="N2879" s="1" t="s">
        <v>62</v>
      </c>
      <c r="O2879" s="1" t="s">
        <v>28</v>
      </c>
      <c r="P2879" s="1" t="s">
        <v>68</v>
      </c>
      <c r="Q2879" s="1">
        <v>13</v>
      </c>
      <c r="R2879" s="1">
        <v>0</v>
      </c>
      <c r="S2879" s="1">
        <v>0</v>
      </c>
      <c r="T2879" s="1">
        <v>13</v>
      </c>
      <c r="U2879" s="1">
        <v>0</v>
      </c>
      <c r="V2879" s="1" t="str">
        <f t="shared" ref="V2879:V2921" si="553">"里程去程"</f>
        <v>里程去程</v>
      </c>
      <c r="W2879" s="1" t="str">
        <f>"0020"</f>
        <v>0020</v>
      </c>
      <c r="X2879" s="1" t="s">
        <v>29</v>
      </c>
    </row>
    <row r="2880" spans="1:24" x14ac:dyDescent="0.3">
      <c r="A2880" s="1" t="str">
        <f t="shared" si="552"/>
        <v>59825</v>
      </c>
      <c r="B2880" s="1" t="s">
        <v>30</v>
      </c>
      <c r="C2880" s="1" t="s">
        <v>31</v>
      </c>
      <c r="D2880" s="1" t="str">
        <f t="shared" ref="D2880:D2911" si="554">"9801"</f>
        <v>9801</v>
      </c>
      <c r="E2880" s="1" t="s">
        <v>25</v>
      </c>
      <c r="F2880" s="1" t="str">
        <f>"1725435766"</f>
        <v>1725435766</v>
      </c>
      <c r="G2880" s="1" t="s">
        <v>26</v>
      </c>
      <c r="H2880" s="1" t="str">
        <f t="shared" si="546"/>
        <v>20220913</v>
      </c>
      <c r="I2880" s="1" t="str">
        <f>"111146"</f>
        <v>111146</v>
      </c>
      <c r="J2880" s="1" t="s">
        <v>51</v>
      </c>
      <c r="K2880" s="1" t="s">
        <v>52</v>
      </c>
      <c r="L2880" s="1" t="str">
        <f t="shared" si="551"/>
        <v>20220913</v>
      </c>
      <c r="M2880" s="1" t="str">
        <f>"112337"</f>
        <v>112337</v>
      </c>
      <c r="N2880" s="1" t="s">
        <v>77</v>
      </c>
      <c r="O2880" s="1" t="s">
        <v>52</v>
      </c>
      <c r="P2880" s="1" t="s">
        <v>55</v>
      </c>
      <c r="Q2880" s="1">
        <v>13</v>
      </c>
      <c r="R2880" s="1">
        <v>0</v>
      </c>
      <c r="S2880" s="1">
        <v>13</v>
      </c>
      <c r="T2880" s="1">
        <v>0</v>
      </c>
      <c r="U2880" s="1">
        <v>0</v>
      </c>
      <c r="V2880" s="1" t="str">
        <f t="shared" si="553"/>
        <v>里程去程</v>
      </c>
      <c r="W2880" s="1" t="str">
        <f>"2020"</f>
        <v>2020</v>
      </c>
      <c r="X2880" s="1" t="s">
        <v>35</v>
      </c>
    </row>
    <row r="2881" spans="1:24" x14ac:dyDescent="0.3">
      <c r="A2881" s="1" t="str">
        <f t="shared" si="552"/>
        <v>59825</v>
      </c>
      <c r="B2881" s="1" t="s">
        <v>30</v>
      </c>
      <c r="C2881" s="1" t="s">
        <v>31</v>
      </c>
      <c r="D2881" s="1" t="str">
        <f t="shared" si="554"/>
        <v>9801</v>
      </c>
      <c r="E2881" s="1" t="s">
        <v>25</v>
      </c>
      <c r="F2881" s="1" t="str">
        <f>"1621114069"</f>
        <v>1621114069</v>
      </c>
      <c r="G2881" s="1" t="s">
        <v>26</v>
      </c>
      <c r="H2881" s="1" t="str">
        <f t="shared" si="546"/>
        <v>20220913</v>
      </c>
      <c r="I2881" s="1" t="str">
        <f>"113708"</f>
        <v>113708</v>
      </c>
      <c r="J2881" s="1" t="s">
        <v>27</v>
      </c>
      <c r="K2881" s="1" t="s">
        <v>28</v>
      </c>
      <c r="L2881" s="1" t="str">
        <f t="shared" si="551"/>
        <v>20220913</v>
      </c>
      <c r="M2881" s="1" t="str">
        <f>"115702"</f>
        <v>115702</v>
      </c>
      <c r="N2881" s="1" t="s">
        <v>100</v>
      </c>
      <c r="O2881" s="1" t="s">
        <v>45</v>
      </c>
      <c r="P2881" s="1" t="s">
        <v>55</v>
      </c>
      <c r="Q2881" s="1">
        <v>13</v>
      </c>
      <c r="R2881" s="1">
        <v>13</v>
      </c>
      <c r="S2881" s="1">
        <v>0</v>
      </c>
      <c r="T2881" s="1">
        <v>0</v>
      </c>
      <c r="U2881" s="1">
        <v>0</v>
      </c>
      <c r="V2881" s="1" t="str">
        <f t="shared" si="553"/>
        <v>里程去程</v>
      </c>
      <c r="W2881" s="1" t="str">
        <f>"0e20"</f>
        <v>0e20</v>
      </c>
      <c r="X2881" s="1" t="s">
        <v>35</v>
      </c>
    </row>
    <row r="2882" spans="1:24" x14ac:dyDescent="0.3">
      <c r="A2882" s="1" t="str">
        <f t="shared" si="552"/>
        <v>59825</v>
      </c>
      <c r="B2882" s="1" t="s">
        <v>30</v>
      </c>
      <c r="C2882" s="1" t="s">
        <v>31</v>
      </c>
      <c r="D2882" s="1" t="str">
        <f t="shared" si="554"/>
        <v>9801</v>
      </c>
      <c r="E2882" s="1" t="s">
        <v>25</v>
      </c>
      <c r="F2882" s="1" t="str">
        <f>"789612437"</f>
        <v>789612437</v>
      </c>
      <c r="G2882" s="1" t="s">
        <v>26</v>
      </c>
      <c r="H2882" s="1" t="str">
        <f t="shared" si="546"/>
        <v>20220913</v>
      </c>
      <c r="I2882" s="1" t="str">
        <f>"113718"</f>
        <v>113718</v>
      </c>
      <c r="J2882" s="1" t="s">
        <v>27</v>
      </c>
      <c r="K2882" s="1" t="s">
        <v>28</v>
      </c>
      <c r="L2882" s="1" t="str">
        <f t="shared" si="551"/>
        <v>20220913</v>
      </c>
      <c r="M2882" s="1" t="str">
        <f>"115659"</f>
        <v>115659</v>
      </c>
      <c r="N2882" s="1" t="s">
        <v>100</v>
      </c>
      <c r="O2882" s="1" t="s">
        <v>45</v>
      </c>
      <c r="P2882" s="1" t="s">
        <v>55</v>
      </c>
      <c r="Q2882" s="1">
        <v>13</v>
      </c>
      <c r="R2882" s="1">
        <v>13</v>
      </c>
      <c r="S2882" s="1">
        <v>0</v>
      </c>
      <c r="T2882" s="1">
        <v>0</v>
      </c>
      <c r="U2882" s="1">
        <v>0</v>
      </c>
      <c r="V2882" s="1" t="str">
        <f t="shared" si="553"/>
        <v>里程去程</v>
      </c>
      <c r="W2882" s="1" t="str">
        <f>"0e20"</f>
        <v>0e20</v>
      </c>
      <c r="X2882" s="1" t="s">
        <v>35</v>
      </c>
    </row>
    <row r="2883" spans="1:24" x14ac:dyDescent="0.3">
      <c r="A2883" s="1" t="str">
        <f t="shared" si="552"/>
        <v>59825</v>
      </c>
      <c r="B2883" s="1" t="s">
        <v>30</v>
      </c>
      <c r="C2883" s="1" t="s">
        <v>31</v>
      </c>
      <c r="D2883" s="1" t="str">
        <f t="shared" si="554"/>
        <v>9801</v>
      </c>
      <c r="E2883" s="1" t="s">
        <v>25</v>
      </c>
      <c r="F2883" s="1" t="str">
        <f>"F24C511BF4880400C822002000000021"</f>
        <v>F24C511BF4880400C822002000000021</v>
      </c>
      <c r="G2883" s="1" t="s">
        <v>64</v>
      </c>
      <c r="H2883" s="1" t="str">
        <f t="shared" si="546"/>
        <v>20220913</v>
      </c>
      <c r="I2883" s="1" t="str">
        <f>"113722"</f>
        <v>113722</v>
      </c>
      <c r="J2883" s="1" t="s">
        <v>27</v>
      </c>
      <c r="K2883" s="1" t="s">
        <v>28</v>
      </c>
      <c r="L2883" s="1" t="str">
        <f t="shared" si="551"/>
        <v>20220913</v>
      </c>
      <c r="M2883" s="1" t="str">
        <f>"115655"</f>
        <v>115655</v>
      </c>
      <c r="N2883" s="1" t="s">
        <v>100</v>
      </c>
      <c r="O2883" s="1" t="s">
        <v>45</v>
      </c>
      <c r="P2883" s="1" t="s">
        <v>55</v>
      </c>
      <c r="Q2883" s="1">
        <v>13</v>
      </c>
      <c r="R2883" s="1">
        <v>13</v>
      </c>
      <c r="S2883" s="1">
        <v>0</v>
      </c>
      <c r="T2883" s="1">
        <v>0</v>
      </c>
      <c r="U2883" s="1">
        <v>0</v>
      </c>
      <c r="V2883" s="1" t="str">
        <f t="shared" si="553"/>
        <v>里程去程</v>
      </c>
      <c r="W2883" s="1" t="str">
        <f>"0020"</f>
        <v>0020</v>
      </c>
      <c r="X2883" s="1" t="s">
        <v>29</v>
      </c>
    </row>
    <row r="2884" spans="1:24" x14ac:dyDescent="0.3">
      <c r="A2884" s="1" t="str">
        <f t="shared" si="552"/>
        <v>59825</v>
      </c>
      <c r="B2884" s="1" t="s">
        <v>30</v>
      </c>
      <c r="C2884" s="1" t="s">
        <v>31</v>
      </c>
      <c r="D2884" s="1" t="str">
        <f t="shared" si="554"/>
        <v>9801</v>
      </c>
      <c r="E2884" s="1" t="s">
        <v>25</v>
      </c>
      <c r="F2884" s="1" t="str">
        <f>"808733733"</f>
        <v>808733733</v>
      </c>
      <c r="G2884" s="1" t="s">
        <v>33</v>
      </c>
      <c r="H2884" s="1" t="str">
        <f t="shared" si="546"/>
        <v>20220913</v>
      </c>
      <c r="I2884" s="1" t="str">
        <f>"113724"</f>
        <v>113724</v>
      </c>
      <c r="J2884" s="1" t="s">
        <v>27</v>
      </c>
      <c r="K2884" s="1" t="s">
        <v>28</v>
      </c>
      <c r="L2884" s="1" t="str">
        <f t="shared" si="551"/>
        <v>20220913</v>
      </c>
      <c r="M2884" s="1" t="str">
        <f>"115653"</f>
        <v>115653</v>
      </c>
      <c r="N2884" s="1" t="s">
        <v>100</v>
      </c>
      <c r="O2884" s="1" t="s">
        <v>45</v>
      </c>
      <c r="P2884" s="1" t="s">
        <v>55</v>
      </c>
      <c r="Q2884" s="1">
        <v>25</v>
      </c>
      <c r="R2884" s="1">
        <v>25</v>
      </c>
      <c r="S2884" s="1">
        <v>0</v>
      </c>
      <c r="T2884" s="1">
        <v>0</v>
      </c>
      <c r="U2884" s="1">
        <v>0</v>
      </c>
      <c r="V2884" s="1" t="str">
        <f t="shared" si="553"/>
        <v>里程去程</v>
      </c>
      <c r="W2884" s="1" t="str">
        <f>"0b20"</f>
        <v>0b20</v>
      </c>
      <c r="X2884" s="1" t="s">
        <v>35</v>
      </c>
    </row>
    <row r="2885" spans="1:24" x14ac:dyDescent="0.3">
      <c r="A2885" s="1" t="str">
        <f t="shared" si="552"/>
        <v>59825</v>
      </c>
      <c r="B2885" s="1" t="s">
        <v>30</v>
      </c>
      <c r="C2885" s="1" t="s">
        <v>31</v>
      </c>
      <c r="D2885" s="1" t="str">
        <f t="shared" si="554"/>
        <v>9801</v>
      </c>
      <c r="E2885" s="1" t="s">
        <v>25</v>
      </c>
      <c r="F2885" s="1" t="str">
        <f>"274258800"</f>
        <v>274258800</v>
      </c>
      <c r="G2885" s="1" t="s">
        <v>33</v>
      </c>
      <c r="H2885" s="1" t="str">
        <f t="shared" si="546"/>
        <v>20220913</v>
      </c>
      <c r="I2885" s="1" t="str">
        <f>"113741"</f>
        <v>113741</v>
      </c>
      <c r="J2885" s="1" t="s">
        <v>27</v>
      </c>
      <c r="K2885" s="1" t="s">
        <v>28</v>
      </c>
      <c r="L2885" s="1" t="str">
        <f t="shared" si="551"/>
        <v>20220913</v>
      </c>
      <c r="M2885" s="1" t="str">
        <f>"115911"</f>
        <v>115911</v>
      </c>
      <c r="N2885" s="1" t="s">
        <v>44</v>
      </c>
      <c r="O2885" s="1" t="s">
        <v>45</v>
      </c>
      <c r="P2885" s="1" t="s">
        <v>55</v>
      </c>
      <c r="Q2885" s="1">
        <v>25</v>
      </c>
      <c r="R2885" s="1">
        <v>25</v>
      </c>
      <c r="S2885" s="1">
        <v>0</v>
      </c>
      <c r="T2885" s="1">
        <v>0</v>
      </c>
      <c r="U2885" s="1">
        <v>0</v>
      </c>
      <c r="V2885" s="1" t="str">
        <f t="shared" si="553"/>
        <v>里程去程</v>
      </c>
      <c r="W2885" s="1" t="str">
        <f>"0120"</f>
        <v>0120</v>
      </c>
      <c r="X2885" s="1" t="s">
        <v>35</v>
      </c>
    </row>
    <row r="2886" spans="1:24" x14ac:dyDescent="0.3">
      <c r="A2886" s="1" t="str">
        <f t="shared" si="552"/>
        <v>59825</v>
      </c>
      <c r="B2886" s="1" t="s">
        <v>30</v>
      </c>
      <c r="C2886" s="1" t="s">
        <v>31</v>
      </c>
      <c r="D2886" s="1" t="str">
        <f t="shared" si="554"/>
        <v>9801</v>
      </c>
      <c r="E2886" s="1" t="s">
        <v>25</v>
      </c>
      <c r="F2886" s="1" t="str">
        <f>"1408331441"</f>
        <v>1408331441</v>
      </c>
      <c r="G2886" s="1" t="s">
        <v>26</v>
      </c>
      <c r="H2886" s="1" t="str">
        <f t="shared" si="546"/>
        <v>20220913</v>
      </c>
      <c r="I2886" s="1" t="str">
        <f>"113746"</f>
        <v>113746</v>
      </c>
      <c r="J2886" s="1" t="s">
        <v>27</v>
      </c>
      <c r="K2886" s="1" t="s">
        <v>28</v>
      </c>
      <c r="L2886" s="1" t="str">
        <f t="shared" si="551"/>
        <v>20220913</v>
      </c>
      <c r="M2886" s="1" t="str">
        <f>"120037"</f>
        <v>120037</v>
      </c>
      <c r="N2886" s="1" t="s">
        <v>44</v>
      </c>
      <c r="O2886" s="1" t="s">
        <v>45</v>
      </c>
      <c r="P2886" s="1" t="s">
        <v>55</v>
      </c>
      <c r="Q2886" s="1">
        <v>13</v>
      </c>
      <c r="R2886" s="1">
        <v>13</v>
      </c>
      <c r="S2886" s="1">
        <v>0</v>
      </c>
      <c r="T2886" s="1">
        <v>0</v>
      </c>
      <c r="U2886" s="1">
        <v>0</v>
      </c>
      <c r="V2886" s="1" t="str">
        <f t="shared" si="553"/>
        <v>里程去程</v>
      </c>
      <c r="W2886" s="1" t="str">
        <f>"0120"</f>
        <v>0120</v>
      </c>
      <c r="X2886" s="1" t="s">
        <v>35</v>
      </c>
    </row>
    <row r="2887" spans="1:24" x14ac:dyDescent="0.3">
      <c r="A2887" s="1" t="str">
        <f t="shared" si="552"/>
        <v>59825</v>
      </c>
      <c r="B2887" s="1" t="s">
        <v>30</v>
      </c>
      <c r="C2887" s="1" t="s">
        <v>31</v>
      </c>
      <c r="D2887" s="1" t="str">
        <f t="shared" si="554"/>
        <v>9801</v>
      </c>
      <c r="E2887" s="1" t="s">
        <v>25</v>
      </c>
      <c r="F2887" s="1" t="str">
        <f>"110234401"</f>
        <v>110234401</v>
      </c>
      <c r="G2887" s="1" t="s">
        <v>26</v>
      </c>
      <c r="H2887" s="1" t="str">
        <f t="shared" si="546"/>
        <v>20220913</v>
      </c>
      <c r="I2887" s="1" t="str">
        <f>"113808"</f>
        <v>113808</v>
      </c>
      <c r="J2887" s="1" t="s">
        <v>27</v>
      </c>
      <c r="K2887" s="1" t="s">
        <v>28</v>
      </c>
      <c r="L2887" s="1" t="str">
        <f t="shared" si="551"/>
        <v>20220913</v>
      </c>
      <c r="M2887" s="1" t="str">
        <f>"120033"</f>
        <v>120033</v>
      </c>
      <c r="N2887" s="1" t="s">
        <v>44</v>
      </c>
      <c r="O2887" s="1" t="s">
        <v>45</v>
      </c>
      <c r="P2887" s="1" t="s">
        <v>55</v>
      </c>
      <c r="Q2887" s="1">
        <v>13</v>
      </c>
      <c r="R2887" s="1">
        <v>13</v>
      </c>
      <c r="S2887" s="1">
        <v>0</v>
      </c>
      <c r="T2887" s="1">
        <v>0</v>
      </c>
      <c r="U2887" s="1">
        <v>0</v>
      </c>
      <c r="V2887" s="1" t="str">
        <f t="shared" si="553"/>
        <v>里程去程</v>
      </c>
      <c r="W2887" s="1" t="str">
        <f>"0120"</f>
        <v>0120</v>
      </c>
      <c r="X2887" s="1" t="s">
        <v>35</v>
      </c>
    </row>
    <row r="2888" spans="1:24" x14ac:dyDescent="0.3">
      <c r="A2888" s="1" t="str">
        <f t="shared" si="552"/>
        <v>59825</v>
      </c>
      <c r="B2888" s="1" t="s">
        <v>30</v>
      </c>
      <c r="C2888" s="1" t="s">
        <v>31</v>
      </c>
      <c r="D2888" s="1" t="str">
        <f t="shared" si="554"/>
        <v>9801</v>
      </c>
      <c r="E2888" s="1" t="s">
        <v>25</v>
      </c>
      <c r="F2888" s="1" t="str">
        <f>"628051759"</f>
        <v>628051759</v>
      </c>
      <c r="G2888" s="1" t="s">
        <v>96</v>
      </c>
      <c r="H2888" s="1" t="str">
        <f t="shared" si="546"/>
        <v>20220913</v>
      </c>
      <c r="I2888" s="1" t="str">
        <f>"113811"</f>
        <v>113811</v>
      </c>
      <c r="J2888" s="1" t="s">
        <v>27</v>
      </c>
      <c r="K2888" s="1" t="s">
        <v>28</v>
      </c>
      <c r="L2888" s="1" t="str">
        <f t="shared" si="551"/>
        <v>20220913</v>
      </c>
      <c r="M2888" s="1" t="str">
        <f>"120055"</f>
        <v>120055</v>
      </c>
      <c r="N2888" s="1" t="s">
        <v>44</v>
      </c>
      <c r="O2888" s="1" t="s">
        <v>45</v>
      </c>
      <c r="P2888" s="1" t="s">
        <v>55</v>
      </c>
      <c r="Q2888" s="1">
        <v>13</v>
      </c>
      <c r="R2888" s="1">
        <v>13</v>
      </c>
      <c r="S2888" s="1">
        <v>0</v>
      </c>
      <c r="T2888" s="1">
        <v>0</v>
      </c>
      <c r="U2888" s="1">
        <v>0</v>
      </c>
      <c r="V2888" s="1" t="str">
        <f t="shared" si="553"/>
        <v>里程去程</v>
      </c>
      <c r="W2888" s="1" t="str">
        <f>"1920"</f>
        <v>1920</v>
      </c>
      <c r="X2888" s="1" t="s">
        <v>35</v>
      </c>
    </row>
    <row r="2889" spans="1:24" x14ac:dyDescent="0.3">
      <c r="A2889" s="1" t="str">
        <f t="shared" si="552"/>
        <v>59825</v>
      </c>
      <c r="B2889" s="1" t="s">
        <v>30</v>
      </c>
      <c r="C2889" s="1" t="s">
        <v>31</v>
      </c>
      <c r="D2889" s="1" t="str">
        <f t="shared" si="554"/>
        <v>9801</v>
      </c>
      <c r="E2889" s="1" t="s">
        <v>25</v>
      </c>
      <c r="F2889" s="1" t="str">
        <f>"1076221589"</f>
        <v>1076221589</v>
      </c>
      <c r="G2889" s="1" t="s">
        <v>33</v>
      </c>
      <c r="H2889" s="1" t="str">
        <f t="shared" si="546"/>
        <v>20220913</v>
      </c>
      <c r="I2889" s="1" t="str">
        <f>"113823"</f>
        <v>113823</v>
      </c>
      <c r="J2889" s="1" t="s">
        <v>27</v>
      </c>
      <c r="K2889" s="1" t="s">
        <v>28</v>
      </c>
      <c r="L2889" s="1" t="str">
        <f t="shared" si="551"/>
        <v>20220913</v>
      </c>
      <c r="M2889" s="1" t="str">
        <f>"115920"</f>
        <v>115920</v>
      </c>
      <c r="N2889" s="1" t="s">
        <v>44</v>
      </c>
      <c r="O2889" s="1" t="s">
        <v>45</v>
      </c>
      <c r="P2889" s="1" t="s">
        <v>55</v>
      </c>
      <c r="Q2889" s="1">
        <v>25</v>
      </c>
      <c r="R2889" s="1">
        <v>25</v>
      </c>
      <c r="S2889" s="1">
        <v>0</v>
      </c>
      <c r="T2889" s="1">
        <v>0</v>
      </c>
      <c r="U2889" s="1">
        <v>0</v>
      </c>
      <c r="V2889" s="1" t="str">
        <f t="shared" si="553"/>
        <v>里程去程</v>
      </c>
      <c r="W2889" s="1" t="str">
        <f>"0220"</f>
        <v>0220</v>
      </c>
      <c r="X2889" s="1" t="s">
        <v>35</v>
      </c>
    </row>
    <row r="2890" spans="1:24" x14ac:dyDescent="0.3">
      <c r="A2890" s="1" t="str">
        <f t="shared" si="552"/>
        <v>59825</v>
      </c>
      <c r="B2890" s="1" t="s">
        <v>30</v>
      </c>
      <c r="C2890" s="1" t="s">
        <v>31</v>
      </c>
      <c r="D2890" s="1" t="str">
        <f t="shared" si="554"/>
        <v>9801</v>
      </c>
      <c r="E2890" s="1" t="s">
        <v>25</v>
      </c>
      <c r="F2890" s="1" t="str">
        <f>"1682057445"</f>
        <v>1682057445</v>
      </c>
      <c r="G2890" s="1" t="s">
        <v>33</v>
      </c>
      <c r="H2890" s="1" t="str">
        <f t="shared" si="546"/>
        <v>20220913</v>
      </c>
      <c r="I2890" s="1" t="str">
        <f>"120121"</f>
        <v>120121</v>
      </c>
      <c r="J2890" s="1" t="s">
        <v>52</v>
      </c>
      <c r="K2890" s="1" t="s">
        <v>52</v>
      </c>
      <c r="L2890" s="1" t="str">
        <f t="shared" si="551"/>
        <v>20220913</v>
      </c>
      <c r="M2890" s="1" t="str">
        <f>"123151"</f>
        <v>123151</v>
      </c>
      <c r="N2890" s="1" t="s">
        <v>70</v>
      </c>
      <c r="O2890" s="1" t="s">
        <v>28</v>
      </c>
      <c r="P2890" s="1" t="s">
        <v>55</v>
      </c>
      <c r="Q2890" s="1">
        <v>25</v>
      </c>
      <c r="R2890" s="1">
        <v>25</v>
      </c>
      <c r="S2890" s="1">
        <v>0</v>
      </c>
      <c r="T2890" s="1">
        <v>0</v>
      </c>
      <c r="U2890" s="1">
        <v>0</v>
      </c>
      <c r="V2890" s="1" t="str">
        <f t="shared" si="553"/>
        <v>里程去程</v>
      </c>
      <c r="W2890" s="1" t="str">
        <f>"2120"</f>
        <v>2120</v>
      </c>
      <c r="X2890" s="1" t="s">
        <v>35</v>
      </c>
    </row>
    <row r="2891" spans="1:24" x14ac:dyDescent="0.3">
      <c r="A2891" s="1" t="str">
        <f t="shared" si="552"/>
        <v>59825</v>
      </c>
      <c r="B2891" s="1" t="s">
        <v>30</v>
      </c>
      <c r="C2891" s="1" t="s">
        <v>31</v>
      </c>
      <c r="D2891" s="1" t="str">
        <f t="shared" si="554"/>
        <v>9801</v>
      </c>
      <c r="E2891" s="1" t="s">
        <v>25</v>
      </c>
      <c r="F2891" s="1" t="str">
        <f>"628051759"</f>
        <v>628051759</v>
      </c>
      <c r="G2891" s="1" t="s">
        <v>96</v>
      </c>
      <c r="H2891" s="1" t="str">
        <f t="shared" si="546"/>
        <v>20220913</v>
      </c>
      <c r="I2891" s="1" t="str">
        <f>"120131"</f>
        <v>120131</v>
      </c>
      <c r="J2891" s="1" t="s">
        <v>52</v>
      </c>
      <c r="K2891" s="1" t="s">
        <v>52</v>
      </c>
      <c r="L2891" s="1" t="str">
        <f t="shared" si="551"/>
        <v>20220913</v>
      </c>
      <c r="M2891" s="1" t="str">
        <f>"123142"</f>
        <v>123142</v>
      </c>
      <c r="N2891" s="1" t="s">
        <v>70</v>
      </c>
      <c r="O2891" s="1" t="s">
        <v>28</v>
      </c>
      <c r="P2891" s="1" t="s">
        <v>55</v>
      </c>
      <c r="Q2891" s="1">
        <v>13</v>
      </c>
      <c r="R2891" s="1">
        <v>13</v>
      </c>
      <c r="S2891" s="1">
        <v>0</v>
      </c>
      <c r="T2891" s="1">
        <v>0</v>
      </c>
      <c r="U2891" s="1">
        <v>0</v>
      </c>
      <c r="V2891" s="1" t="str">
        <f t="shared" si="553"/>
        <v>里程去程</v>
      </c>
      <c r="W2891" s="1" t="str">
        <f>"2020"</f>
        <v>2020</v>
      </c>
      <c r="X2891" s="1" t="s">
        <v>35</v>
      </c>
    </row>
    <row r="2892" spans="1:24" x14ac:dyDescent="0.3">
      <c r="A2892" s="1" t="str">
        <f t="shared" si="552"/>
        <v>59825</v>
      </c>
      <c r="B2892" s="1" t="s">
        <v>30</v>
      </c>
      <c r="C2892" s="1" t="s">
        <v>31</v>
      </c>
      <c r="D2892" s="1" t="str">
        <f t="shared" si="554"/>
        <v>9801</v>
      </c>
      <c r="E2892" s="1" t="s">
        <v>25</v>
      </c>
      <c r="F2892" s="1" t="str">
        <f>"1423105809"</f>
        <v>1423105809</v>
      </c>
      <c r="G2892" s="1" t="s">
        <v>33</v>
      </c>
      <c r="H2892" s="1" t="str">
        <f t="shared" si="546"/>
        <v>20220913</v>
      </c>
      <c r="I2892" s="1" t="str">
        <f>"120721"</f>
        <v>120721</v>
      </c>
      <c r="J2892" s="1" t="s">
        <v>60</v>
      </c>
      <c r="K2892" s="1" t="s">
        <v>52</v>
      </c>
      <c r="L2892" s="1" t="str">
        <f t="shared" si="551"/>
        <v>20220913</v>
      </c>
      <c r="M2892" s="1" t="str">
        <f>"123154"</f>
        <v>123154</v>
      </c>
      <c r="N2892" s="1" t="s">
        <v>70</v>
      </c>
      <c r="O2892" s="1" t="s">
        <v>28</v>
      </c>
      <c r="P2892" s="1" t="s">
        <v>55</v>
      </c>
      <c r="Q2892" s="1">
        <v>25</v>
      </c>
      <c r="R2892" s="1">
        <v>25</v>
      </c>
      <c r="S2892" s="1">
        <v>0</v>
      </c>
      <c r="T2892" s="1">
        <v>0</v>
      </c>
      <c r="U2892" s="1">
        <v>0</v>
      </c>
      <c r="V2892" s="1" t="str">
        <f t="shared" si="553"/>
        <v>里程去程</v>
      </c>
      <c r="W2892" s="1" t="str">
        <f>"2020"</f>
        <v>2020</v>
      </c>
      <c r="X2892" s="1" t="s">
        <v>35</v>
      </c>
    </row>
    <row r="2893" spans="1:24" x14ac:dyDescent="0.3">
      <c r="A2893" s="1" t="str">
        <f t="shared" si="552"/>
        <v>59825</v>
      </c>
      <c r="B2893" s="1" t="s">
        <v>30</v>
      </c>
      <c r="C2893" s="1" t="s">
        <v>31</v>
      </c>
      <c r="D2893" s="1" t="str">
        <f t="shared" si="554"/>
        <v>9801</v>
      </c>
      <c r="E2893" s="1" t="s">
        <v>25</v>
      </c>
      <c r="F2893" s="1" t="str">
        <f>"F25B1B03B1880400C834002000000015"</f>
        <v>F25B1B03B1880400C834002000000015</v>
      </c>
      <c r="G2893" s="1" t="s">
        <v>26</v>
      </c>
      <c r="H2893" s="1" t="str">
        <f t="shared" si="546"/>
        <v>20220913</v>
      </c>
      <c r="I2893" s="1" t="str">
        <f>"120728"</f>
        <v>120728</v>
      </c>
      <c r="J2893" s="1" t="s">
        <v>60</v>
      </c>
      <c r="K2893" s="1" t="s">
        <v>52</v>
      </c>
      <c r="L2893" s="1" t="str">
        <f t="shared" si="551"/>
        <v>20220913</v>
      </c>
      <c r="M2893" s="1" t="str">
        <f>"123148"</f>
        <v>123148</v>
      </c>
      <c r="N2893" s="1" t="s">
        <v>70</v>
      </c>
      <c r="O2893" s="1" t="s">
        <v>28</v>
      </c>
      <c r="P2893" s="1" t="s">
        <v>68</v>
      </c>
      <c r="Q2893" s="1">
        <v>13</v>
      </c>
      <c r="R2893" s="1">
        <v>0</v>
      </c>
      <c r="S2893" s="1">
        <v>0</v>
      </c>
      <c r="T2893" s="1">
        <v>13</v>
      </c>
      <c r="U2893" s="1">
        <v>0</v>
      </c>
      <c r="V2893" s="1" t="str">
        <f t="shared" si="553"/>
        <v>里程去程</v>
      </c>
      <c r="W2893" s="1" t="str">
        <f>"0020"</f>
        <v>0020</v>
      </c>
      <c r="X2893" s="1" t="s">
        <v>29</v>
      </c>
    </row>
    <row r="2894" spans="1:24" x14ac:dyDescent="0.3">
      <c r="A2894" s="1" t="str">
        <f t="shared" si="552"/>
        <v>59825</v>
      </c>
      <c r="B2894" s="1" t="s">
        <v>30</v>
      </c>
      <c r="C2894" s="1" t="s">
        <v>31</v>
      </c>
      <c r="D2894" s="1" t="str">
        <f t="shared" si="554"/>
        <v>9801</v>
      </c>
      <c r="E2894" s="1" t="s">
        <v>25</v>
      </c>
      <c r="F2894" s="1" t="str">
        <f>"4251460257880400C821002000000015"</f>
        <v>4251460257880400C821002000000015</v>
      </c>
      <c r="G2894" s="1" t="s">
        <v>26</v>
      </c>
      <c r="H2894" s="1" t="str">
        <f t="shared" si="546"/>
        <v>20220913</v>
      </c>
      <c r="I2894" s="1" t="str">
        <f>"121858"</f>
        <v>121858</v>
      </c>
      <c r="J2894" s="1" t="s">
        <v>69</v>
      </c>
      <c r="K2894" s="1" t="s">
        <v>52</v>
      </c>
      <c r="L2894" s="1" t="str">
        <f t="shared" si="551"/>
        <v>20220913</v>
      </c>
      <c r="M2894" s="1" t="str">
        <f>"122445"</f>
        <v>122445</v>
      </c>
      <c r="N2894" s="1" t="s">
        <v>83</v>
      </c>
      <c r="O2894" s="1" t="s">
        <v>52</v>
      </c>
      <c r="P2894" s="1" t="s">
        <v>68</v>
      </c>
      <c r="Q2894" s="1">
        <v>13</v>
      </c>
      <c r="R2894" s="1">
        <v>0</v>
      </c>
      <c r="S2894" s="1">
        <v>0</v>
      </c>
      <c r="T2894" s="1">
        <v>13</v>
      </c>
      <c r="U2894" s="1">
        <v>0</v>
      </c>
      <c r="V2894" s="1" t="str">
        <f t="shared" si="553"/>
        <v>里程去程</v>
      </c>
      <c r="W2894" s="1" t="str">
        <f>"0020"</f>
        <v>0020</v>
      </c>
      <c r="X2894" s="1" t="s">
        <v>29</v>
      </c>
    </row>
    <row r="2895" spans="1:24" x14ac:dyDescent="0.3">
      <c r="A2895" s="1" t="str">
        <f t="shared" si="552"/>
        <v>59825</v>
      </c>
      <c r="B2895" s="1" t="s">
        <v>30</v>
      </c>
      <c r="C2895" s="1" t="s">
        <v>31</v>
      </c>
      <c r="D2895" s="1" t="str">
        <f t="shared" si="554"/>
        <v>9801</v>
      </c>
      <c r="E2895" s="1" t="s">
        <v>25</v>
      </c>
      <c r="F2895" s="1" t="str">
        <f>"C5A9C109A4180200D200000C22400417"</f>
        <v>C5A9C109A4180200D200000C22400417</v>
      </c>
      <c r="G2895" s="1" t="s">
        <v>58</v>
      </c>
      <c r="H2895" s="1" t="str">
        <f t="shared" si="546"/>
        <v>20220913</v>
      </c>
      <c r="I2895" s="1" t="str">
        <f>"123219"</f>
        <v>123219</v>
      </c>
      <c r="J2895" s="1" t="s">
        <v>27</v>
      </c>
      <c r="K2895" s="1" t="s">
        <v>28</v>
      </c>
      <c r="L2895" s="1" t="str">
        <f t="shared" si="551"/>
        <v>20220913</v>
      </c>
      <c r="M2895" s="1" t="str">
        <f>"125604"</f>
        <v>125604</v>
      </c>
      <c r="N2895" s="1" t="s">
        <v>44</v>
      </c>
      <c r="O2895" s="1" t="s">
        <v>45</v>
      </c>
      <c r="P2895" s="1" t="s">
        <v>55</v>
      </c>
      <c r="Q2895" s="1">
        <v>25</v>
      </c>
      <c r="R2895" s="1">
        <v>25</v>
      </c>
      <c r="S2895" s="1">
        <v>0</v>
      </c>
      <c r="T2895" s="1">
        <v>0</v>
      </c>
      <c r="U2895" s="1">
        <v>0</v>
      </c>
      <c r="V2895" s="1" t="str">
        <f t="shared" si="553"/>
        <v>里程去程</v>
      </c>
      <c r="W2895" s="1" t="str">
        <f>"0020"</f>
        <v>0020</v>
      </c>
      <c r="X2895" s="1" t="s">
        <v>29</v>
      </c>
    </row>
    <row r="2896" spans="1:24" x14ac:dyDescent="0.3">
      <c r="A2896" s="1" t="str">
        <f t="shared" si="552"/>
        <v>59825</v>
      </c>
      <c r="B2896" s="1" t="s">
        <v>30</v>
      </c>
      <c r="C2896" s="1" t="s">
        <v>31</v>
      </c>
      <c r="D2896" s="1" t="str">
        <f t="shared" si="554"/>
        <v>9801</v>
      </c>
      <c r="E2896" s="1" t="s">
        <v>25</v>
      </c>
      <c r="F2896" s="1" t="str">
        <f>"1586685265"</f>
        <v>1586685265</v>
      </c>
      <c r="G2896" s="1" t="s">
        <v>33</v>
      </c>
      <c r="H2896" s="1" t="str">
        <f t="shared" si="546"/>
        <v>20220913</v>
      </c>
      <c r="I2896" s="1" t="str">
        <f>"123230"</f>
        <v>123230</v>
      </c>
      <c r="J2896" s="1" t="s">
        <v>27</v>
      </c>
      <c r="K2896" s="1" t="s">
        <v>28</v>
      </c>
      <c r="L2896" s="1" t="str">
        <f t="shared" si="551"/>
        <v>20220913</v>
      </c>
      <c r="M2896" s="1" t="str">
        <f>"130036"</f>
        <v>130036</v>
      </c>
      <c r="N2896" s="1" t="s">
        <v>44</v>
      </c>
      <c r="O2896" s="1" t="s">
        <v>45</v>
      </c>
      <c r="P2896" s="1" t="s">
        <v>55</v>
      </c>
      <c r="Q2896" s="1">
        <v>25</v>
      </c>
      <c r="R2896" s="1">
        <v>25</v>
      </c>
      <c r="S2896" s="1">
        <v>0</v>
      </c>
      <c r="T2896" s="1">
        <v>0</v>
      </c>
      <c r="U2896" s="1">
        <v>0</v>
      </c>
      <c r="V2896" s="1" t="str">
        <f t="shared" si="553"/>
        <v>里程去程</v>
      </c>
      <c r="W2896" s="1" t="str">
        <f>"0120"</f>
        <v>0120</v>
      </c>
      <c r="X2896" s="1" t="s">
        <v>35</v>
      </c>
    </row>
    <row r="2897" spans="1:24" x14ac:dyDescent="0.3">
      <c r="A2897" s="1" t="str">
        <f t="shared" si="552"/>
        <v>59825</v>
      </c>
      <c r="B2897" s="1" t="s">
        <v>30</v>
      </c>
      <c r="C2897" s="1" t="s">
        <v>31</v>
      </c>
      <c r="D2897" s="1" t="str">
        <f t="shared" si="554"/>
        <v>9801</v>
      </c>
      <c r="E2897" s="1" t="s">
        <v>25</v>
      </c>
      <c r="F2897" s="1" t="str">
        <f>"161436677"</f>
        <v>161436677</v>
      </c>
      <c r="G2897" s="1" t="s">
        <v>33</v>
      </c>
      <c r="H2897" s="1" t="str">
        <f t="shared" ref="H2897:H2960" si="555">"20220913"</f>
        <v>20220913</v>
      </c>
      <c r="I2897" s="1" t="str">
        <f>"123233"</f>
        <v>123233</v>
      </c>
      <c r="J2897" s="1" t="s">
        <v>27</v>
      </c>
      <c r="K2897" s="1" t="s">
        <v>28</v>
      </c>
      <c r="L2897" s="1" t="str">
        <f t="shared" si="551"/>
        <v>20220913</v>
      </c>
      <c r="M2897" s="1" t="str">
        <f>"130009"</f>
        <v>130009</v>
      </c>
      <c r="N2897" s="1" t="s">
        <v>44</v>
      </c>
      <c r="O2897" s="1" t="s">
        <v>45</v>
      </c>
      <c r="P2897" s="1" t="s">
        <v>55</v>
      </c>
      <c r="Q2897" s="1">
        <v>25</v>
      </c>
      <c r="R2897" s="1">
        <v>25</v>
      </c>
      <c r="S2897" s="1">
        <v>0</v>
      </c>
      <c r="T2897" s="1">
        <v>0</v>
      </c>
      <c r="U2897" s="1">
        <v>0</v>
      </c>
      <c r="V2897" s="1" t="str">
        <f t="shared" si="553"/>
        <v>里程去程</v>
      </c>
      <c r="W2897" s="1" t="str">
        <f>"0120"</f>
        <v>0120</v>
      </c>
      <c r="X2897" s="1" t="s">
        <v>35</v>
      </c>
    </row>
    <row r="2898" spans="1:24" x14ac:dyDescent="0.3">
      <c r="A2898" s="1" t="str">
        <f t="shared" si="552"/>
        <v>59825</v>
      </c>
      <c r="B2898" s="1" t="s">
        <v>30</v>
      </c>
      <c r="C2898" s="1" t="s">
        <v>31</v>
      </c>
      <c r="D2898" s="1" t="str">
        <f t="shared" si="554"/>
        <v>9801</v>
      </c>
      <c r="E2898" s="1" t="s">
        <v>25</v>
      </c>
      <c r="F2898" s="1" t="str">
        <f>"881678961"</f>
        <v>881678961</v>
      </c>
      <c r="G2898" s="1" t="s">
        <v>33</v>
      </c>
      <c r="H2898" s="1" t="str">
        <f t="shared" si="555"/>
        <v>20220913</v>
      </c>
      <c r="I2898" s="1" t="str">
        <f>"123237"</f>
        <v>123237</v>
      </c>
      <c r="J2898" s="1" t="s">
        <v>27</v>
      </c>
      <c r="K2898" s="1" t="s">
        <v>28</v>
      </c>
      <c r="L2898" s="1" t="str">
        <f t="shared" si="551"/>
        <v>20220913</v>
      </c>
      <c r="M2898" s="1" t="str">
        <f>"130048"</f>
        <v>130048</v>
      </c>
      <c r="N2898" s="1" t="s">
        <v>44</v>
      </c>
      <c r="O2898" s="1" t="s">
        <v>45</v>
      </c>
      <c r="P2898" s="1" t="s">
        <v>55</v>
      </c>
      <c r="Q2898" s="1">
        <v>25</v>
      </c>
      <c r="R2898" s="1">
        <v>0</v>
      </c>
      <c r="S2898" s="1">
        <v>25</v>
      </c>
      <c r="T2898" s="1">
        <v>0</v>
      </c>
      <c r="U2898" s="1">
        <v>0</v>
      </c>
      <c r="V2898" s="1" t="str">
        <f t="shared" si="553"/>
        <v>里程去程</v>
      </c>
      <c r="W2898" s="1" t="str">
        <f>"0820"</f>
        <v>0820</v>
      </c>
      <c r="X2898" s="1" t="s">
        <v>35</v>
      </c>
    </row>
    <row r="2899" spans="1:24" x14ac:dyDescent="0.3">
      <c r="A2899" s="1" t="str">
        <f t="shared" si="552"/>
        <v>59825</v>
      </c>
      <c r="B2899" s="1" t="s">
        <v>30</v>
      </c>
      <c r="C2899" s="1" t="s">
        <v>31</v>
      </c>
      <c r="D2899" s="1" t="str">
        <f t="shared" si="554"/>
        <v>9801</v>
      </c>
      <c r="E2899" s="1" t="s">
        <v>25</v>
      </c>
      <c r="F2899" s="1" t="str">
        <f>"1010025637"</f>
        <v>1010025637</v>
      </c>
      <c r="G2899" s="1" t="s">
        <v>33</v>
      </c>
      <c r="H2899" s="1" t="str">
        <f t="shared" si="555"/>
        <v>20220913</v>
      </c>
      <c r="I2899" s="1" t="str">
        <f>"123240"</f>
        <v>123240</v>
      </c>
      <c r="J2899" s="1" t="s">
        <v>27</v>
      </c>
      <c r="K2899" s="1" t="s">
        <v>28</v>
      </c>
      <c r="L2899" s="1" t="str">
        <f t="shared" si="551"/>
        <v>20220913</v>
      </c>
      <c r="M2899" s="1" t="str">
        <f>"130045"</f>
        <v>130045</v>
      </c>
      <c r="N2899" s="1" t="s">
        <v>44</v>
      </c>
      <c r="O2899" s="1" t="s">
        <v>45</v>
      </c>
      <c r="P2899" s="1" t="s">
        <v>55</v>
      </c>
      <c r="Q2899" s="1">
        <v>25</v>
      </c>
      <c r="R2899" s="1">
        <v>0</v>
      </c>
      <c r="S2899" s="1">
        <v>25</v>
      </c>
      <c r="T2899" s="1">
        <v>0</v>
      </c>
      <c r="U2899" s="1">
        <v>0</v>
      </c>
      <c r="V2899" s="1" t="str">
        <f t="shared" si="553"/>
        <v>里程去程</v>
      </c>
      <c r="W2899" s="1" t="str">
        <f>"0820"</f>
        <v>0820</v>
      </c>
      <c r="X2899" s="1" t="s">
        <v>35</v>
      </c>
    </row>
    <row r="2900" spans="1:24" x14ac:dyDescent="0.3">
      <c r="A2900" s="1" t="str">
        <f t="shared" si="552"/>
        <v>59825</v>
      </c>
      <c r="B2900" s="1" t="s">
        <v>30</v>
      </c>
      <c r="C2900" s="1" t="s">
        <v>31</v>
      </c>
      <c r="D2900" s="1" t="str">
        <f t="shared" si="554"/>
        <v>9801</v>
      </c>
      <c r="E2900" s="1" t="s">
        <v>25</v>
      </c>
      <c r="F2900" s="1" t="str">
        <f>"92B242197B880400C821002000000019"</f>
        <v>92B242197B880400C821002000000019</v>
      </c>
      <c r="G2900" s="1" t="s">
        <v>64</v>
      </c>
      <c r="H2900" s="1" t="str">
        <f t="shared" si="555"/>
        <v>20220913</v>
      </c>
      <c r="I2900" s="1" t="str">
        <f>"123244"</f>
        <v>123244</v>
      </c>
      <c r="J2900" s="1" t="s">
        <v>27</v>
      </c>
      <c r="K2900" s="1" t="s">
        <v>28</v>
      </c>
      <c r="L2900" s="1" t="str">
        <f t="shared" si="551"/>
        <v>20220913</v>
      </c>
      <c r="M2900" s="1" t="str">
        <f>"130043"</f>
        <v>130043</v>
      </c>
      <c r="N2900" s="1" t="s">
        <v>44</v>
      </c>
      <c r="O2900" s="1" t="s">
        <v>45</v>
      </c>
      <c r="P2900" s="1" t="s">
        <v>55</v>
      </c>
      <c r="Q2900" s="1">
        <v>13</v>
      </c>
      <c r="R2900" s="1">
        <v>0</v>
      </c>
      <c r="S2900" s="1">
        <v>13</v>
      </c>
      <c r="T2900" s="1">
        <v>0</v>
      </c>
      <c r="U2900" s="1">
        <v>0</v>
      </c>
      <c r="V2900" s="1" t="str">
        <f t="shared" si="553"/>
        <v>里程去程</v>
      </c>
      <c r="W2900" s="1" t="str">
        <f>"0620"</f>
        <v>0620</v>
      </c>
      <c r="X2900" s="1" t="s">
        <v>29</v>
      </c>
    </row>
    <row r="2901" spans="1:24" x14ac:dyDescent="0.3">
      <c r="A2901" s="1" t="str">
        <f t="shared" si="552"/>
        <v>59825</v>
      </c>
      <c r="B2901" s="1" t="s">
        <v>30</v>
      </c>
      <c r="C2901" s="1" t="s">
        <v>31</v>
      </c>
      <c r="D2901" s="1" t="str">
        <f t="shared" si="554"/>
        <v>9801</v>
      </c>
      <c r="E2901" s="1" t="s">
        <v>25</v>
      </c>
      <c r="F2901" s="1" t="str">
        <f>"1057821877"</f>
        <v>1057821877</v>
      </c>
      <c r="G2901" s="1" t="s">
        <v>33</v>
      </c>
      <c r="H2901" s="1" t="str">
        <f t="shared" si="555"/>
        <v>20220913</v>
      </c>
      <c r="I2901" s="1" t="str">
        <f>"123249"</f>
        <v>123249</v>
      </c>
      <c r="J2901" s="1" t="s">
        <v>27</v>
      </c>
      <c r="K2901" s="1" t="s">
        <v>28</v>
      </c>
      <c r="L2901" s="1" t="str">
        <f t="shared" si="551"/>
        <v>20220913</v>
      </c>
      <c r="M2901" s="1" t="str">
        <f>"130039"</f>
        <v>130039</v>
      </c>
      <c r="N2901" s="1" t="s">
        <v>44</v>
      </c>
      <c r="O2901" s="1" t="s">
        <v>45</v>
      </c>
      <c r="P2901" s="1" t="s">
        <v>55</v>
      </c>
      <c r="Q2901" s="1">
        <v>25</v>
      </c>
      <c r="R2901" s="1">
        <v>0</v>
      </c>
      <c r="S2901" s="1">
        <v>25</v>
      </c>
      <c r="T2901" s="1">
        <v>0</v>
      </c>
      <c r="U2901" s="1">
        <v>0</v>
      </c>
      <c r="V2901" s="1" t="str">
        <f t="shared" si="553"/>
        <v>里程去程</v>
      </c>
      <c r="W2901" s="1" t="str">
        <f>"0820"</f>
        <v>0820</v>
      </c>
      <c r="X2901" s="1" t="s">
        <v>35</v>
      </c>
    </row>
    <row r="2902" spans="1:24" x14ac:dyDescent="0.3">
      <c r="A2902" s="1" t="str">
        <f t="shared" si="552"/>
        <v>59825</v>
      </c>
      <c r="B2902" s="1" t="s">
        <v>30</v>
      </c>
      <c r="C2902" s="1" t="s">
        <v>31</v>
      </c>
      <c r="D2902" s="1" t="str">
        <f t="shared" si="554"/>
        <v>9801</v>
      </c>
      <c r="E2902" s="1" t="s">
        <v>25</v>
      </c>
      <c r="F2902" s="1" t="str">
        <f>"51F2385DC68804004325C3F9000C0C0F"</f>
        <v>51F2385DC68804004325C3F9000C0C0F</v>
      </c>
      <c r="G2902" s="1" t="s">
        <v>59</v>
      </c>
      <c r="H2902" s="1" t="str">
        <f t="shared" si="555"/>
        <v>20220913</v>
      </c>
      <c r="I2902" s="1" t="str">
        <f>"123356"</f>
        <v>123356</v>
      </c>
      <c r="J2902" s="1" t="s">
        <v>27</v>
      </c>
      <c r="K2902" s="1" t="s">
        <v>28</v>
      </c>
      <c r="L2902" s="1" t="str">
        <f t="shared" si="551"/>
        <v>20220913</v>
      </c>
      <c r="M2902" s="1" t="str">
        <f>"130058"</f>
        <v>130058</v>
      </c>
      <c r="N2902" s="1" t="s">
        <v>44</v>
      </c>
      <c r="O2902" s="1" t="s">
        <v>45</v>
      </c>
      <c r="P2902" s="1" t="s">
        <v>55</v>
      </c>
      <c r="Q2902" s="1">
        <v>25</v>
      </c>
      <c r="R2902" s="1">
        <v>25</v>
      </c>
      <c r="S2902" s="1">
        <v>0</v>
      </c>
      <c r="T2902" s="1">
        <v>0</v>
      </c>
      <c r="U2902" s="1">
        <v>0</v>
      </c>
      <c r="V2902" s="1" t="str">
        <f t="shared" si="553"/>
        <v>里程去程</v>
      </c>
      <c r="W2902" s="1" t="str">
        <f>"0020"</f>
        <v>0020</v>
      </c>
      <c r="X2902" s="1" t="s">
        <v>29</v>
      </c>
    </row>
    <row r="2903" spans="1:24" x14ac:dyDescent="0.3">
      <c r="A2903" s="1" t="str">
        <f t="shared" si="552"/>
        <v>59825</v>
      </c>
      <c r="B2903" s="1" t="s">
        <v>30</v>
      </c>
      <c r="C2903" s="1" t="s">
        <v>31</v>
      </c>
      <c r="D2903" s="1" t="str">
        <f t="shared" si="554"/>
        <v>9801</v>
      </c>
      <c r="E2903" s="1" t="s">
        <v>25</v>
      </c>
      <c r="F2903" s="1" t="str">
        <f>"1561925761"</f>
        <v>1561925761</v>
      </c>
      <c r="G2903" s="1" t="s">
        <v>33</v>
      </c>
      <c r="H2903" s="1" t="str">
        <f t="shared" si="555"/>
        <v>20220913</v>
      </c>
      <c r="I2903" s="1" t="str">
        <f>"123408"</f>
        <v>123408</v>
      </c>
      <c r="J2903" s="1" t="s">
        <v>27</v>
      </c>
      <c r="K2903" s="1" t="s">
        <v>28</v>
      </c>
      <c r="L2903" s="1" t="str">
        <f t="shared" si="551"/>
        <v>20220913</v>
      </c>
      <c r="M2903" s="1" t="str">
        <f>"124429"</f>
        <v>124429</v>
      </c>
      <c r="N2903" s="1" t="s">
        <v>79</v>
      </c>
      <c r="O2903" s="1" t="s">
        <v>45</v>
      </c>
      <c r="P2903" s="1" t="s">
        <v>55</v>
      </c>
      <c r="Q2903" s="1">
        <v>25</v>
      </c>
      <c r="R2903" s="1">
        <v>25</v>
      </c>
      <c r="S2903" s="1">
        <v>0</v>
      </c>
      <c r="T2903" s="1">
        <v>0</v>
      </c>
      <c r="U2903" s="1">
        <v>0</v>
      </c>
      <c r="V2903" s="1" t="str">
        <f t="shared" si="553"/>
        <v>里程去程</v>
      </c>
      <c r="W2903" s="1" t="str">
        <f>"0820"</f>
        <v>0820</v>
      </c>
      <c r="X2903" s="1" t="s">
        <v>35</v>
      </c>
    </row>
    <row r="2904" spans="1:24" x14ac:dyDescent="0.3">
      <c r="A2904" s="1" t="str">
        <f t="shared" si="552"/>
        <v>59825</v>
      </c>
      <c r="B2904" s="1" t="s">
        <v>30</v>
      </c>
      <c r="C2904" s="1" t="s">
        <v>31</v>
      </c>
      <c r="D2904" s="1" t="str">
        <f t="shared" si="554"/>
        <v>9801</v>
      </c>
      <c r="E2904" s="1" t="s">
        <v>25</v>
      </c>
      <c r="F2904" s="1" t="str">
        <f>"3907804618"</f>
        <v>3907804618</v>
      </c>
      <c r="G2904" s="1" t="s">
        <v>33</v>
      </c>
      <c r="H2904" s="1" t="str">
        <f t="shared" si="555"/>
        <v>20220913</v>
      </c>
      <c r="I2904" s="1" t="str">
        <f>"123553"</f>
        <v>123553</v>
      </c>
      <c r="J2904" s="1" t="s">
        <v>27</v>
      </c>
      <c r="K2904" s="1" t="s">
        <v>28</v>
      </c>
      <c r="L2904" s="1" t="str">
        <f t="shared" si="551"/>
        <v>20220913</v>
      </c>
      <c r="M2904" s="1" t="str">
        <f>"130101"</f>
        <v>130101</v>
      </c>
      <c r="N2904" s="1" t="s">
        <v>44</v>
      </c>
      <c r="O2904" s="1" t="s">
        <v>45</v>
      </c>
      <c r="P2904" s="1" t="s">
        <v>55</v>
      </c>
      <c r="Q2904" s="1">
        <v>25</v>
      </c>
      <c r="R2904" s="1">
        <v>25</v>
      </c>
      <c r="S2904" s="1">
        <v>0</v>
      </c>
      <c r="T2904" s="1">
        <v>0</v>
      </c>
      <c r="U2904" s="1">
        <v>0</v>
      </c>
      <c r="V2904" s="1" t="str">
        <f t="shared" si="553"/>
        <v>里程去程</v>
      </c>
      <c r="W2904" s="1" t="str">
        <f>"2120"</f>
        <v>2120</v>
      </c>
      <c r="X2904" s="1" t="s">
        <v>35</v>
      </c>
    </row>
    <row r="2905" spans="1:24" x14ac:dyDescent="0.3">
      <c r="A2905" s="1" t="str">
        <f t="shared" si="552"/>
        <v>59825</v>
      </c>
      <c r="B2905" s="1" t="s">
        <v>30</v>
      </c>
      <c r="C2905" s="1" t="s">
        <v>31</v>
      </c>
      <c r="D2905" s="1" t="str">
        <f t="shared" si="554"/>
        <v>9801</v>
      </c>
      <c r="E2905" s="1" t="s">
        <v>25</v>
      </c>
      <c r="F2905" s="1" t="str">
        <f>"3907804618"</f>
        <v>3907804618</v>
      </c>
      <c r="G2905" s="1" t="s">
        <v>33</v>
      </c>
      <c r="H2905" s="1" t="str">
        <f t="shared" si="555"/>
        <v>20220913</v>
      </c>
      <c r="I2905" s="1" t="str">
        <f>"130136"</f>
        <v>130136</v>
      </c>
      <c r="J2905" s="1" t="s">
        <v>52</v>
      </c>
      <c r="K2905" s="1" t="s">
        <v>52</v>
      </c>
      <c r="L2905" s="1" t="str">
        <f t="shared" ref="L2905:L2936" si="556">"20220913"</f>
        <v>20220913</v>
      </c>
      <c r="M2905" s="1" t="str">
        <f>"130702"</f>
        <v>130702</v>
      </c>
      <c r="N2905" s="1" t="s">
        <v>60</v>
      </c>
      <c r="O2905" s="1" t="s">
        <v>52</v>
      </c>
      <c r="P2905" s="1" t="s">
        <v>55</v>
      </c>
      <c r="Q2905" s="1">
        <v>25</v>
      </c>
      <c r="R2905" s="1">
        <v>25</v>
      </c>
      <c r="S2905" s="1">
        <v>0</v>
      </c>
      <c r="T2905" s="1">
        <v>0</v>
      </c>
      <c r="U2905" s="1">
        <v>0</v>
      </c>
      <c r="V2905" s="1" t="str">
        <f t="shared" si="553"/>
        <v>里程去程</v>
      </c>
      <c r="W2905" s="1" t="str">
        <f>"2020"</f>
        <v>2020</v>
      </c>
      <c r="X2905" s="1" t="s">
        <v>35</v>
      </c>
    </row>
    <row r="2906" spans="1:24" x14ac:dyDescent="0.3">
      <c r="A2906" s="1" t="str">
        <f t="shared" si="552"/>
        <v>59825</v>
      </c>
      <c r="B2906" s="1" t="s">
        <v>30</v>
      </c>
      <c r="C2906" s="1" t="s">
        <v>31</v>
      </c>
      <c r="D2906" s="1" t="str">
        <f t="shared" si="554"/>
        <v>9801</v>
      </c>
      <c r="E2906" s="1" t="s">
        <v>25</v>
      </c>
      <c r="F2906" s="1" t="str">
        <f>"923F4602E9880400C821002000000015"</f>
        <v>923F4602E9880400C821002000000015</v>
      </c>
      <c r="G2906" s="1" t="s">
        <v>26</v>
      </c>
      <c r="H2906" s="1" t="str">
        <f t="shared" si="555"/>
        <v>20220913</v>
      </c>
      <c r="I2906" s="1" t="str">
        <f>"130139"</f>
        <v>130139</v>
      </c>
      <c r="J2906" s="1" t="s">
        <v>52</v>
      </c>
      <c r="K2906" s="1" t="s">
        <v>52</v>
      </c>
      <c r="L2906" s="1" t="str">
        <f t="shared" si="556"/>
        <v>20220913</v>
      </c>
      <c r="M2906" s="1" t="str">
        <f>"130722"</f>
        <v>130722</v>
      </c>
      <c r="N2906" s="1" t="s">
        <v>60</v>
      </c>
      <c r="O2906" s="1" t="s">
        <v>52</v>
      </c>
      <c r="P2906" s="1" t="s">
        <v>68</v>
      </c>
      <c r="Q2906" s="1">
        <v>13</v>
      </c>
      <c r="R2906" s="1">
        <v>0</v>
      </c>
      <c r="S2906" s="1">
        <v>0</v>
      </c>
      <c r="T2906" s="1">
        <v>13</v>
      </c>
      <c r="U2906" s="1">
        <v>0</v>
      </c>
      <c r="V2906" s="1" t="str">
        <f t="shared" si="553"/>
        <v>里程去程</v>
      </c>
      <c r="W2906" s="1" t="str">
        <f>"0020"</f>
        <v>0020</v>
      </c>
      <c r="X2906" s="1" t="s">
        <v>29</v>
      </c>
    </row>
    <row r="2907" spans="1:24" x14ac:dyDescent="0.3">
      <c r="A2907" s="1" t="str">
        <f t="shared" si="552"/>
        <v>59825</v>
      </c>
      <c r="B2907" s="1" t="s">
        <v>30</v>
      </c>
      <c r="C2907" s="1" t="s">
        <v>110</v>
      </c>
      <c r="D2907" s="1" t="str">
        <f t="shared" si="554"/>
        <v>9801</v>
      </c>
      <c r="E2907" s="1" t="s">
        <v>25</v>
      </c>
      <c r="F2907" s="1" t="str">
        <f>"7511200847011585"</f>
        <v>7511200847011585</v>
      </c>
      <c r="G2907" s="1" t="s">
        <v>33</v>
      </c>
      <c r="H2907" s="1" t="str">
        <f t="shared" si="555"/>
        <v>20220913</v>
      </c>
      <c r="I2907" s="1" t="str">
        <f>"133302"</f>
        <v>133302</v>
      </c>
      <c r="J2907" s="1" t="s">
        <v>27</v>
      </c>
      <c r="K2907" s="1" t="s">
        <v>28</v>
      </c>
      <c r="L2907" s="1" t="str">
        <f t="shared" si="556"/>
        <v>20220913</v>
      </c>
      <c r="M2907" s="1" t="str">
        <f>"134859"</f>
        <v>134859</v>
      </c>
      <c r="N2907" s="1" t="s">
        <v>100</v>
      </c>
      <c r="O2907" s="1" t="s">
        <v>45</v>
      </c>
      <c r="P2907" s="1" t="s">
        <v>55</v>
      </c>
      <c r="Q2907" s="1">
        <v>25</v>
      </c>
      <c r="R2907" s="1">
        <v>25</v>
      </c>
      <c r="S2907" s="1">
        <v>0</v>
      </c>
      <c r="T2907" s="1">
        <v>0</v>
      </c>
      <c r="U2907" s="1">
        <v>0</v>
      </c>
      <c r="V2907" s="1" t="str">
        <f t="shared" si="553"/>
        <v>里程去程</v>
      </c>
      <c r="W2907" s="1" t="str">
        <f>"0F3B"</f>
        <v>0F3B</v>
      </c>
      <c r="X2907" s="1" t="s">
        <v>109</v>
      </c>
    </row>
    <row r="2908" spans="1:24" x14ac:dyDescent="0.3">
      <c r="A2908" s="1" t="str">
        <f t="shared" si="552"/>
        <v>59825</v>
      </c>
      <c r="B2908" s="1" t="s">
        <v>30</v>
      </c>
      <c r="C2908" s="1" t="s">
        <v>31</v>
      </c>
      <c r="D2908" s="1" t="str">
        <f t="shared" si="554"/>
        <v>9801</v>
      </c>
      <c r="E2908" s="1" t="s">
        <v>25</v>
      </c>
      <c r="F2908" s="1" t="str">
        <f>"F27CE6026A880400C834002000000015"</f>
        <v>F27CE6026A880400C834002000000015</v>
      </c>
      <c r="G2908" s="1" t="s">
        <v>74</v>
      </c>
      <c r="H2908" s="1" t="str">
        <f t="shared" si="555"/>
        <v>20220913</v>
      </c>
      <c r="I2908" s="1" t="str">
        <f>"145840"</f>
        <v>145840</v>
      </c>
      <c r="J2908" s="1" t="s">
        <v>52</v>
      </c>
      <c r="K2908" s="1" t="s">
        <v>52</v>
      </c>
      <c r="L2908" s="1" t="str">
        <f t="shared" si="556"/>
        <v>20220913</v>
      </c>
      <c r="M2908" s="1" t="str">
        <f>"150659"</f>
        <v>150659</v>
      </c>
      <c r="N2908" s="1" t="s">
        <v>60</v>
      </c>
      <c r="O2908" s="1" t="s">
        <v>52</v>
      </c>
      <c r="P2908" s="1" t="s">
        <v>68</v>
      </c>
      <c r="Q2908" s="1">
        <v>13</v>
      </c>
      <c r="R2908" s="1">
        <v>0</v>
      </c>
      <c r="S2908" s="1">
        <v>0</v>
      </c>
      <c r="T2908" s="1">
        <v>13</v>
      </c>
      <c r="U2908" s="1">
        <v>0</v>
      </c>
      <c r="V2908" s="1" t="str">
        <f t="shared" si="553"/>
        <v>里程去程</v>
      </c>
      <c r="W2908" s="1" t="str">
        <f>"0020"</f>
        <v>0020</v>
      </c>
      <c r="X2908" s="1" t="s">
        <v>29</v>
      </c>
    </row>
    <row r="2909" spans="1:24" x14ac:dyDescent="0.3">
      <c r="A2909" s="1" t="str">
        <f t="shared" si="552"/>
        <v>59825</v>
      </c>
      <c r="B2909" s="1" t="s">
        <v>30</v>
      </c>
      <c r="C2909" s="1" t="s">
        <v>31</v>
      </c>
      <c r="D2909" s="1" t="str">
        <f t="shared" si="554"/>
        <v>9801</v>
      </c>
      <c r="E2909" s="1" t="s">
        <v>25</v>
      </c>
      <c r="F2909" s="1" t="str">
        <f>"1825936917"</f>
        <v>1825936917</v>
      </c>
      <c r="G2909" s="1" t="s">
        <v>38</v>
      </c>
      <c r="H2909" s="1" t="str">
        <f t="shared" si="555"/>
        <v>20220913</v>
      </c>
      <c r="I2909" s="1" t="str">
        <f>"150729"</f>
        <v>150729</v>
      </c>
      <c r="J2909" s="1" t="s">
        <v>60</v>
      </c>
      <c r="K2909" s="1" t="s">
        <v>52</v>
      </c>
      <c r="L2909" s="1" t="str">
        <f t="shared" si="556"/>
        <v>20220913</v>
      </c>
      <c r="M2909" s="1" t="str">
        <f>"153116"</f>
        <v>153116</v>
      </c>
      <c r="N2909" s="1" t="s">
        <v>70</v>
      </c>
      <c r="O2909" s="1" t="s">
        <v>28</v>
      </c>
      <c r="P2909" s="1" t="s">
        <v>55</v>
      </c>
      <c r="Q2909" s="1">
        <v>25</v>
      </c>
      <c r="R2909" s="1">
        <v>25</v>
      </c>
      <c r="S2909" s="1">
        <v>0</v>
      </c>
      <c r="T2909" s="1">
        <v>0</v>
      </c>
      <c r="U2909" s="1">
        <v>0</v>
      </c>
      <c r="V2909" s="1" t="str">
        <f t="shared" si="553"/>
        <v>里程去程</v>
      </c>
      <c r="W2909" s="1" t="str">
        <f>"0020"</f>
        <v>0020</v>
      </c>
      <c r="X2909" s="1" t="s">
        <v>35</v>
      </c>
    </row>
    <row r="2910" spans="1:24" x14ac:dyDescent="0.3">
      <c r="A2910" s="1" t="str">
        <f t="shared" si="552"/>
        <v>59825</v>
      </c>
      <c r="B2910" s="1" t="s">
        <v>30</v>
      </c>
      <c r="C2910" s="1" t="s">
        <v>110</v>
      </c>
      <c r="D2910" s="1" t="str">
        <f t="shared" si="554"/>
        <v>9801</v>
      </c>
      <c r="E2910" s="1" t="s">
        <v>25</v>
      </c>
      <c r="F2910" s="1" t="str">
        <f>"5317202019051170"</f>
        <v>5317202019051170</v>
      </c>
      <c r="G2910" s="1" t="s">
        <v>33</v>
      </c>
      <c r="H2910" s="1" t="str">
        <f t="shared" si="555"/>
        <v>20220913</v>
      </c>
      <c r="I2910" s="1" t="str">
        <f>"153408"</f>
        <v>153408</v>
      </c>
      <c r="J2910" s="1" t="s">
        <v>27</v>
      </c>
      <c r="K2910" s="1" t="s">
        <v>28</v>
      </c>
      <c r="L2910" s="1" t="str">
        <f t="shared" si="556"/>
        <v>20220913</v>
      </c>
      <c r="M2910" s="1" t="str">
        <f>"155603"</f>
        <v>155603</v>
      </c>
      <c r="N2910" s="1" t="s">
        <v>44</v>
      </c>
      <c r="O2910" s="1" t="s">
        <v>45</v>
      </c>
      <c r="P2910" s="1" t="s">
        <v>55</v>
      </c>
      <c r="Q2910" s="1">
        <v>25</v>
      </c>
      <c r="R2910" s="1">
        <v>25</v>
      </c>
      <c r="S2910" s="1">
        <v>0</v>
      </c>
      <c r="T2910" s="1">
        <v>0</v>
      </c>
      <c r="U2910" s="1">
        <v>0</v>
      </c>
      <c r="V2910" s="1" t="str">
        <f t="shared" si="553"/>
        <v>里程去程</v>
      </c>
      <c r="W2910" s="1" t="str">
        <f>"0B3B"</f>
        <v>0B3B</v>
      </c>
      <c r="X2910" s="1" t="s">
        <v>109</v>
      </c>
    </row>
    <row r="2911" spans="1:24" x14ac:dyDescent="0.3">
      <c r="A2911" s="1" t="str">
        <f t="shared" ref="A2911:A2935" si="557">"59825"</f>
        <v>59825</v>
      </c>
      <c r="B2911" s="1" t="s">
        <v>30</v>
      </c>
      <c r="C2911" s="1" t="s">
        <v>31</v>
      </c>
      <c r="D2911" s="1" t="str">
        <f t="shared" si="554"/>
        <v>9801</v>
      </c>
      <c r="E2911" s="1" t="s">
        <v>25</v>
      </c>
      <c r="F2911" s="1" t="str">
        <f>"1834553153"</f>
        <v>1834553153</v>
      </c>
      <c r="G2911" s="1" t="s">
        <v>33</v>
      </c>
      <c r="H2911" s="1" t="str">
        <f t="shared" si="555"/>
        <v>20220913</v>
      </c>
      <c r="I2911" s="1" t="str">
        <f>"153423"</f>
        <v>153423</v>
      </c>
      <c r="J2911" s="1" t="s">
        <v>27</v>
      </c>
      <c r="K2911" s="1" t="s">
        <v>28</v>
      </c>
      <c r="L2911" s="1" t="str">
        <f t="shared" si="556"/>
        <v>20220913</v>
      </c>
      <c r="M2911" s="1" t="str">
        <f>"154403"</f>
        <v>154403</v>
      </c>
      <c r="N2911" s="1" t="s">
        <v>45</v>
      </c>
      <c r="O2911" s="1" t="s">
        <v>45</v>
      </c>
      <c r="P2911" s="1" t="s">
        <v>55</v>
      </c>
      <c r="Q2911" s="1">
        <v>25</v>
      </c>
      <c r="R2911" s="1">
        <v>25</v>
      </c>
      <c r="S2911" s="1">
        <v>0</v>
      </c>
      <c r="T2911" s="1">
        <v>0</v>
      </c>
      <c r="U2911" s="1">
        <v>0</v>
      </c>
      <c r="V2911" s="1" t="str">
        <f t="shared" si="553"/>
        <v>里程去程</v>
      </c>
      <c r="W2911" s="1" t="str">
        <f>"1420"</f>
        <v>1420</v>
      </c>
      <c r="X2911" s="1" t="s">
        <v>35</v>
      </c>
    </row>
    <row r="2912" spans="1:24" x14ac:dyDescent="0.3">
      <c r="A2912" s="1" t="str">
        <f t="shared" si="557"/>
        <v>59825</v>
      </c>
      <c r="B2912" s="1" t="s">
        <v>30</v>
      </c>
      <c r="C2912" s="1" t="s">
        <v>31</v>
      </c>
      <c r="D2912" s="1" t="str">
        <f t="shared" ref="D2912:D2932" si="558">"9801"</f>
        <v>9801</v>
      </c>
      <c r="E2912" s="1" t="s">
        <v>25</v>
      </c>
      <c r="F2912" s="1" t="str">
        <f>"A2641D03D8880400C834002000000015"</f>
        <v>A2641D03D8880400C834002000000015</v>
      </c>
      <c r="G2912" s="1" t="s">
        <v>26</v>
      </c>
      <c r="H2912" s="1" t="str">
        <f t="shared" si="555"/>
        <v>20220913</v>
      </c>
      <c r="I2912" s="1" t="str">
        <f>"153433"</f>
        <v>153433</v>
      </c>
      <c r="J2912" s="1" t="s">
        <v>27</v>
      </c>
      <c r="K2912" s="1" t="s">
        <v>28</v>
      </c>
      <c r="L2912" s="1" t="str">
        <f t="shared" si="556"/>
        <v>20220913</v>
      </c>
      <c r="M2912" s="1" t="str">
        <f>"155555"</f>
        <v>155555</v>
      </c>
      <c r="N2912" s="1" t="s">
        <v>44</v>
      </c>
      <c r="O2912" s="1" t="s">
        <v>45</v>
      </c>
      <c r="P2912" s="1" t="s">
        <v>68</v>
      </c>
      <c r="Q2912" s="1">
        <v>13</v>
      </c>
      <c r="R2912" s="1">
        <v>0</v>
      </c>
      <c r="S2912" s="1">
        <v>0</v>
      </c>
      <c r="T2912" s="1">
        <v>13</v>
      </c>
      <c r="U2912" s="1">
        <v>0</v>
      </c>
      <c r="V2912" s="1" t="str">
        <f t="shared" si="553"/>
        <v>里程去程</v>
      </c>
      <c r="W2912" s="1" t="str">
        <f>"0020"</f>
        <v>0020</v>
      </c>
      <c r="X2912" s="1" t="s">
        <v>29</v>
      </c>
    </row>
    <row r="2913" spans="1:24" x14ac:dyDescent="0.3">
      <c r="A2913" s="1" t="str">
        <f t="shared" si="557"/>
        <v>59825</v>
      </c>
      <c r="B2913" s="1" t="s">
        <v>30</v>
      </c>
      <c r="C2913" s="1" t="s">
        <v>31</v>
      </c>
      <c r="D2913" s="1" t="str">
        <f t="shared" si="558"/>
        <v>9801</v>
      </c>
      <c r="E2913" s="1" t="s">
        <v>25</v>
      </c>
      <c r="F2913" s="1" t="str">
        <f>"793886709"</f>
        <v>793886709</v>
      </c>
      <c r="G2913" s="1" t="s">
        <v>33</v>
      </c>
      <c r="H2913" s="1" t="str">
        <f t="shared" si="555"/>
        <v>20220913</v>
      </c>
      <c r="I2913" s="1" t="str">
        <f>"153447"</f>
        <v>153447</v>
      </c>
      <c r="J2913" s="1" t="s">
        <v>27</v>
      </c>
      <c r="K2913" s="1" t="s">
        <v>28</v>
      </c>
      <c r="L2913" s="1" t="str">
        <f t="shared" si="556"/>
        <v>20220913</v>
      </c>
      <c r="M2913" s="1" t="str">
        <f>"155558"</f>
        <v>155558</v>
      </c>
      <c r="N2913" s="1" t="s">
        <v>44</v>
      </c>
      <c r="O2913" s="1" t="s">
        <v>45</v>
      </c>
      <c r="P2913" s="1" t="s">
        <v>55</v>
      </c>
      <c r="Q2913" s="1">
        <v>25</v>
      </c>
      <c r="R2913" s="1">
        <v>25</v>
      </c>
      <c r="S2913" s="1">
        <v>0</v>
      </c>
      <c r="T2913" s="1">
        <v>0</v>
      </c>
      <c r="U2913" s="1">
        <v>0</v>
      </c>
      <c r="V2913" s="1" t="str">
        <f t="shared" si="553"/>
        <v>里程去程</v>
      </c>
      <c r="W2913" s="1" t="str">
        <f>"0e20"</f>
        <v>0e20</v>
      </c>
      <c r="X2913" s="1" t="s">
        <v>35</v>
      </c>
    </row>
    <row r="2914" spans="1:24" x14ac:dyDescent="0.3">
      <c r="A2914" s="1" t="str">
        <f t="shared" si="557"/>
        <v>59825</v>
      </c>
      <c r="B2914" s="1" t="s">
        <v>30</v>
      </c>
      <c r="C2914" s="1" t="s">
        <v>31</v>
      </c>
      <c r="D2914" s="1" t="str">
        <f t="shared" si="558"/>
        <v>9801</v>
      </c>
      <c r="E2914" s="1" t="s">
        <v>25</v>
      </c>
      <c r="F2914" s="1" t="str">
        <f>"55D2A79CBC88040043265ABE00170710"</f>
        <v>55D2A79CBC88040043265ABE00170710</v>
      </c>
      <c r="G2914" s="1" t="s">
        <v>64</v>
      </c>
      <c r="H2914" s="1" t="str">
        <f t="shared" si="555"/>
        <v>20220913</v>
      </c>
      <c r="I2914" s="1" t="str">
        <f>"155920"</f>
        <v>155920</v>
      </c>
      <c r="J2914" s="1" t="s">
        <v>52</v>
      </c>
      <c r="K2914" s="1" t="s">
        <v>52</v>
      </c>
      <c r="L2914" s="1" t="str">
        <f t="shared" si="556"/>
        <v>20220913</v>
      </c>
      <c r="M2914" s="1" t="str">
        <f>"162900"</f>
        <v>162900</v>
      </c>
      <c r="N2914" s="1" t="s">
        <v>67</v>
      </c>
      <c r="O2914" s="1" t="s">
        <v>52</v>
      </c>
      <c r="P2914" s="1" t="s">
        <v>55</v>
      </c>
      <c r="Q2914" s="1">
        <v>13</v>
      </c>
      <c r="R2914" s="1">
        <v>0</v>
      </c>
      <c r="S2914" s="1">
        <v>13</v>
      </c>
      <c r="T2914" s="1">
        <v>0</v>
      </c>
      <c r="U2914" s="1">
        <v>0</v>
      </c>
      <c r="V2914" s="1" t="str">
        <f t="shared" si="553"/>
        <v>里程去程</v>
      </c>
      <c r="W2914" s="1" t="str">
        <f>"1120"</f>
        <v>1120</v>
      </c>
      <c r="X2914" s="1" t="s">
        <v>29</v>
      </c>
    </row>
    <row r="2915" spans="1:24" x14ac:dyDescent="0.3">
      <c r="A2915" s="1" t="str">
        <f t="shared" si="557"/>
        <v>59825</v>
      </c>
      <c r="B2915" s="1" t="s">
        <v>30</v>
      </c>
      <c r="C2915" s="1" t="s">
        <v>31</v>
      </c>
      <c r="D2915" s="1" t="str">
        <f t="shared" si="558"/>
        <v>9801</v>
      </c>
      <c r="E2915" s="1" t="s">
        <v>25</v>
      </c>
      <c r="F2915" s="1" t="str">
        <f>"C2C219031A880400C834002000000015"</f>
        <v>C2C219031A880400C834002000000015</v>
      </c>
      <c r="G2915" s="1" t="s">
        <v>74</v>
      </c>
      <c r="H2915" s="1" t="str">
        <f t="shared" si="555"/>
        <v>20220913</v>
      </c>
      <c r="I2915" s="1" t="str">
        <f>"160734"</f>
        <v>160734</v>
      </c>
      <c r="J2915" s="1" t="s">
        <v>60</v>
      </c>
      <c r="K2915" s="1" t="s">
        <v>52</v>
      </c>
      <c r="L2915" s="1" t="str">
        <f t="shared" si="556"/>
        <v>20220913</v>
      </c>
      <c r="M2915" s="1" t="str">
        <f>"161718"</f>
        <v>161718</v>
      </c>
      <c r="N2915" s="1" t="s">
        <v>80</v>
      </c>
      <c r="O2915" s="1" t="s">
        <v>52</v>
      </c>
      <c r="P2915" s="1" t="s">
        <v>68</v>
      </c>
      <c r="Q2915" s="1">
        <v>13</v>
      </c>
      <c r="R2915" s="1">
        <v>0</v>
      </c>
      <c r="S2915" s="1">
        <v>0</v>
      </c>
      <c r="T2915" s="1">
        <v>13</v>
      </c>
      <c r="U2915" s="1">
        <v>0</v>
      </c>
      <c r="V2915" s="1" t="str">
        <f t="shared" si="553"/>
        <v>里程去程</v>
      </c>
      <c r="W2915" s="1" t="str">
        <f>"0020"</f>
        <v>0020</v>
      </c>
      <c r="X2915" s="1" t="s">
        <v>29</v>
      </c>
    </row>
    <row r="2916" spans="1:24" x14ac:dyDescent="0.3">
      <c r="A2916" s="1" t="str">
        <f t="shared" si="557"/>
        <v>59825</v>
      </c>
      <c r="B2916" s="1" t="s">
        <v>30</v>
      </c>
      <c r="C2916" s="1" t="s">
        <v>31</v>
      </c>
      <c r="D2916" s="1" t="str">
        <f t="shared" si="558"/>
        <v>9801</v>
      </c>
      <c r="E2916" s="1" t="s">
        <v>25</v>
      </c>
      <c r="F2916" s="1" t="str">
        <f>"F2C64D0E77880400C806002000000018"</f>
        <v>F2C64D0E77880400C806002000000018</v>
      </c>
      <c r="G2916" s="1" t="s">
        <v>58</v>
      </c>
      <c r="H2916" s="1" t="str">
        <f t="shared" si="555"/>
        <v>20220913</v>
      </c>
      <c r="I2916" s="1" t="str">
        <f>"160736"</f>
        <v>160736</v>
      </c>
      <c r="J2916" s="1" t="s">
        <v>60</v>
      </c>
      <c r="K2916" s="1" t="s">
        <v>52</v>
      </c>
      <c r="L2916" s="1" t="str">
        <f t="shared" si="556"/>
        <v>20220913</v>
      </c>
      <c r="M2916" s="1" t="str">
        <f>"161802"</f>
        <v>161802</v>
      </c>
      <c r="N2916" s="1" t="s">
        <v>80</v>
      </c>
      <c r="O2916" s="1" t="s">
        <v>52</v>
      </c>
      <c r="P2916" s="1" t="s">
        <v>55</v>
      </c>
      <c r="Q2916" s="1">
        <v>25</v>
      </c>
      <c r="R2916" s="1">
        <v>25</v>
      </c>
      <c r="S2916" s="1">
        <v>0</v>
      </c>
      <c r="T2916" s="1">
        <v>0</v>
      </c>
      <c r="U2916" s="1">
        <v>0</v>
      </c>
      <c r="V2916" s="1" t="str">
        <f t="shared" si="553"/>
        <v>里程去程</v>
      </c>
      <c r="W2916" s="1" t="str">
        <f>"0020"</f>
        <v>0020</v>
      </c>
      <c r="X2916" s="1" t="s">
        <v>29</v>
      </c>
    </row>
    <row r="2917" spans="1:24" x14ac:dyDescent="0.3">
      <c r="A2917" s="1" t="str">
        <f t="shared" si="557"/>
        <v>59825</v>
      </c>
      <c r="B2917" s="1" t="s">
        <v>30</v>
      </c>
      <c r="C2917" s="1" t="s">
        <v>31</v>
      </c>
      <c r="D2917" s="1" t="str">
        <f t="shared" si="558"/>
        <v>9801</v>
      </c>
      <c r="E2917" s="1" t="s">
        <v>25</v>
      </c>
      <c r="F2917" s="1" t="str">
        <f>"8227D00277880400C834002000000015"</f>
        <v>8227D00277880400C834002000000015</v>
      </c>
      <c r="G2917" s="1" t="s">
        <v>26</v>
      </c>
      <c r="H2917" s="1" t="str">
        <f t="shared" si="555"/>
        <v>20220913</v>
      </c>
      <c r="I2917" s="1" t="str">
        <f>"162711"</f>
        <v>162711</v>
      </c>
      <c r="J2917" s="1" t="s">
        <v>78</v>
      </c>
      <c r="K2917" s="1" t="s">
        <v>52</v>
      </c>
      <c r="L2917" s="1" t="str">
        <f t="shared" si="556"/>
        <v>20220913</v>
      </c>
      <c r="M2917" s="1" t="str">
        <f>"163943"</f>
        <v>163943</v>
      </c>
      <c r="N2917" s="1" t="s">
        <v>70</v>
      </c>
      <c r="O2917" s="1" t="s">
        <v>28</v>
      </c>
      <c r="P2917" s="1" t="s">
        <v>68</v>
      </c>
      <c r="Q2917" s="1">
        <v>13</v>
      </c>
      <c r="R2917" s="1">
        <v>0</v>
      </c>
      <c r="S2917" s="1">
        <v>0</v>
      </c>
      <c r="T2917" s="1">
        <v>13</v>
      </c>
      <c r="U2917" s="1">
        <v>0</v>
      </c>
      <c r="V2917" s="1" t="str">
        <f t="shared" si="553"/>
        <v>里程去程</v>
      </c>
      <c r="W2917" s="1" t="str">
        <f>"0020"</f>
        <v>0020</v>
      </c>
      <c r="X2917" s="1" t="s">
        <v>29</v>
      </c>
    </row>
    <row r="2918" spans="1:24" x14ac:dyDescent="0.3">
      <c r="A2918" s="1" t="str">
        <f t="shared" si="557"/>
        <v>59825</v>
      </c>
      <c r="B2918" s="1" t="s">
        <v>30</v>
      </c>
      <c r="C2918" s="1" t="s">
        <v>31</v>
      </c>
      <c r="D2918" s="1" t="str">
        <f t="shared" si="558"/>
        <v>9801</v>
      </c>
      <c r="E2918" s="1" t="s">
        <v>25</v>
      </c>
      <c r="F2918" s="1" t="str">
        <f>"1103653621"</f>
        <v>1103653621</v>
      </c>
      <c r="G2918" s="1" t="s">
        <v>38</v>
      </c>
      <c r="H2918" s="1" t="str">
        <f t="shared" si="555"/>
        <v>20220913</v>
      </c>
      <c r="I2918" s="1" t="str">
        <f>"163950"</f>
        <v>163950</v>
      </c>
      <c r="J2918" s="1" t="s">
        <v>27</v>
      </c>
      <c r="K2918" s="1" t="s">
        <v>28</v>
      </c>
      <c r="L2918" s="1" t="str">
        <f t="shared" si="556"/>
        <v>20220913</v>
      </c>
      <c r="M2918" s="1" t="str">
        <f>"165411"</f>
        <v>165411</v>
      </c>
      <c r="N2918" s="1" t="s">
        <v>56</v>
      </c>
      <c r="O2918" s="1" t="s">
        <v>45</v>
      </c>
      <c r="P2918" s="1" t="s">
        <v>55</v>
      </c>
      <c r="Q2918" s="1">
        <v>25</v>
      </c>
      <c r="R2918" s="1">
        <v>25</v>
      </c>
      <c r="S2918" s="1">
        <v>0</v>
      </c>
      <c r="T2918" s="1">
        <v>0</v>
      </c>
      <c r="U2918" s="1">
        <v>0</v>
      </c>
      <c r="V2918" s="1" t="str">
        <f t="shared" si="553"/>
        <v>里程去程</v>
      </c>
      <c r="W2918" s="1" t="str">
        <f>"1f20"</f>
        <v>1f20</v>
      </c>
      <c r="X2918" s="1" t="s">
        <v>35</v>
      </c>
    </row>
    <row r="2919" spans="1:24" x14ac:dyDescent="0.3">
      <c r="A2919" s="1" t="str">
        <f t="shared" si="557"/>
        <v>59825</v>
      </c>
      <c r="B2919" s="1" t="s">
        <v>30</v>
      </c>
      <c r="C2919" s="1" t="s">
        <v>31</v>
      </c>
      <c r="D2919" s="1" t="str">
        <f t="shared" si="558"/>
        <v>9801</v>
      </c>
      <c r="E2919" s="1" t="s">
        <v>25</v>
      </c>
      <c r="F2919" s="1" t="str">
        <f>"1300375009"</f>
        <v>1300375009</v>
      </c>
      <c r="G2919" s="1" t="s">
        <v>74</v>
      </c>
      <c r="H2919" s="1" t="str">
        <f t="shared" si="555"/>
        <v>20220913</v>
      </c>
      <c r="I2919" s="1" t="str">
        <f>"164005"</f>
        <v>164005</v>
      </c>
      <c r="J2919" s="1" t="s">
        <v>27</v>
      </c>
      <c r="K2919" s="1" t="s">
        <v>28</v>
      </c>
      <c r="L2919" s="1" t="str">
        <f t="shared" si="556"/>
        <v>20220913</v>
      </c>
      <c r="M2919" s="1" t="str">
        <f>"170524"</f>
        <v>170524</v>
      </c>
      <c r="N2919" s="1" t="s">
        <v>44</v>
      </c>
      <c r="O2919" s="1" t="s">
        <v>45</v>
      </c>
      <c r="P2919" s="1" t="s">
        <v>55</v>
      </c>
      <c r="Q2919" s="1">
        <v>13</v>
      </c>
      <c r="R2919" s="1">
        <v>13</v>
      </c>
      <c r="S2919" s="1">
        <v>0</v>
      </c>
      <c r="T2919" s="1">
        <v>0</v>
      </c>
      <c r="U2919" s="1">
        <v>0</v>
      </c>
      <c r="V2919" s="1" t="str">
        <f t="shared" si="553"/>
        <v>里程去程</v>
      </c>
      <c r="W2919" s="1" t="str">
        <f>"2520"</f>
        <v>2520</v>
      </c>
      <c r="X2919" s="1" t="s">
        <v>35</v>
      </c>
    </row>
    <row r="2920" spans="1:24" x14ac:dyDescent="0.3">
      <c r="A2920" s="1" t="str">
        <f t="shared" si="557"/>
        <v>59825</v>
      </c>
      <c r="B2920" s="1" t="s">
        <v>30</v>
      </c>
      <c r="C2920" s="1" t="s">
        <v>31</v>
      </c>
      <c r="D2920" s="1" t="str">
        <f t="shared" si="558"/>
        <v>9801</v>
      </c>
      <c r="E2920" s="1" t="s">
        <v>25</v>
      </c>
      <c r="F2920" s="1" t="str">
        <f>"1404051745"</f>
        <v>1404051745</v>
      </c>
      <c r="G2920" s="1" t="s">
        <v>102</v>
      </c>
      <c r="H2920" s="1" t="str">
        <f t="shared" si="555"/>
        <v>20220913</v>
      </c>
      <c r="I2920" s="1" t="str">
        <f>"164010"</f>
        <v>164010</v>
      </c>
      <c r="J2920" s="1" t="s">
        <v>27</v>
      </c>
      <c r="K2920" s="1" t="s">
        <v>28</v>
      </c>
      <c r="L2920" s="1" t="str">
        <f t="shared" si="556"/>
        <v>20220913</v>
      </c>
      <c r="M2920" s="1" t="str">
        <f>"170539"</f>
        <v>170539</v>
      </c>
      <c r="N2920" s="1" t="s">
        <v>44</v>
      </c>
      <c r="O2920" s="1" t="s">
        <v>45</v>
      </c>
      <c r="P2920" s="1" t="s">
        <v>55</v>
      </c>
      <c r="Q2920" s="1">
        <v>13</v>
      </c>
      <c r="R2920" s="1">
        <v>13</v>
      </c>
      <c r="S2920" s="1">
        <v>0</v>
      </c>
      <c r="T2920" s="1">
        <v>0</v>
      </c>
      <c r="U2920" s="1">
        <v>0</v>
      </c>
      <c r="V2920" s="1" t="str">
        <f t="shared" si="553"/>
        <v>里程去程</v>
      </c>
      <c r="W2920" s="1" t="str">
        <f>"0120"</f>
        <v>0120</v>
      </c>
      <c r="X2920" s="1" t="s">
        <v>35</v>
      </c>
    </row>
    <row r="2921" spans="1:24" x14ac:dyDescent="0.3">
      <c r="A2921" s="1" t="str">
        <f t="shared" si="557"/>
        <v>59825</v>
      </c>
      <c r="B2921" s="1" t="s">
        <v>30</v>
      </c>
      <c r="C2921" s="1" t="s">
        <v>31</v>
      </c>
      <c r="D2921" s="1" t="str">
        <f t="shared" si="558"/>
        <v>9801</v>
      </c>
      <c r="E2921" s="1" t="s">
        <v>25</v>
      </c>
      <c r="F2921" s="1" t="str">
        <f>"3717912958"</f>
        <v>3717912958</v>
      </c>
      <c r="G2921" s="1" t="s">
        <v>33</v>
      </c>
      <c r="H2921" s="1" t="str">
        <f t="shared" si="555"/>
        <v>20220913</v>
      </c>
      <c r="I2921" s="1" t="str">
        <f>"164027"</f>
        <v>164027</v>
      </c>
      <c r="J2921" s="1" t="s">
        <v>27</v>
      </c>
      <c r="K2921" s="1" t="s">
        <v>28</v>
      </c>
      <c r="L2921" s="1" t="str">
        <f t="shared" si="556"/>
        <v>20220913</v>
      </c>
      <c r="M2921" s="1" t="str">
        <f>"165723"</f>
        <v>165723</v>
      </c>
      <c r="N2921" s="1" t="s">
        <v>75</v>
      </c>
      <c r="O2921" s="1" t="s">
        <v>45</v>
      </c>
      <c r="P2921" s="1" t="s">
        <v>55</v>
      </c>
      <c r="Q2921" s="1">
        <v>25</v>
      </c>
      <c r="R2921" s="1">
        <v>25</v>
      </c>
      <c r="S2921" s="1">
        <v>0</v>
      </c>
      <c r="T2921" s="1">
        <v>0</v>
      </c>
      <c r="U2921" s="1">
        <v>0</v>
      </c>
      <c r="V2921" s="1" t="str">
        <f t="shared" si="553"/>
        <v>里程去程</v>
      </c>
      <c r="W2921" s="1" t="str">
        <f>"0120"</f>
        <v>0120</v>
      </c>
      <c r="X2921" s="1" t="s">
        <v>35</v>
      </c>
    </row>
    <row r="2922" spans="1:24" x14ac:dyDescent="0.3">
      <c r="A2922" s="1" t="str">
        <f t="shared" si="557"/>
        <v>59825</v>
      </c>
      <c r="B2922" s="1" t="s">
        <v>30</v>
      </c>
      <c r="C2922" s="1" t="s">
        <v>31</v>
      </c>
      <c r="D2922" s="1" t="str">
        <f t="shared" si="558"/>
        <v>9801</v>
      </c>
      <c r="E2922" s="1" t="s">
        <v>25</v>
      </c>
      <c r="F2922" s="1" t="str">
        <f>"026A101860880400C814002000000019"</f>
        <v>026A101860880400C814002000000019</v>
      </c>
      <c r="G2922" s="1" t="s">
        <v>59</v>
      </c>
      <c r="H2922" s="1" t="str">
        <f t="shared" si="555"/>
        <v>20220913</v>
      </c>
      <c r="I2922" s="1" t="str">
        <f>"173003"</f>
        <v>173003</v>
      </c>
      <c r="J2922" s="1" t="s">
        <v>44</v>
      </c>
      <c r="K2922" s="1" t="s">
        <v>45</v>
      </c>
      <c r="L2922" s="1" t="str">
        <f t="shared" si="556"/>
        <v>20220913</v>
      </c>
      <c r="M2922" s="1" t="str">
        <f>"175210"</f>
        <v>175210</v>
      </c>
      <c r="N2922" s="1" t="s">
        <v>28</v>
      </c>
      <c r="O2922" s="1" t="s">
        <v>28</v>
      </c>
      <c r="P2922" s="1" t="s">
        <v>55</v>
      </c>
      <c r="Q2922" s="1">
        <v>25</v>
      </c>
      <c r="R2922" s="1">
        <v>25</v>
      </c>
      <c r="S2922" s="1">
        <v>0</v>
      </c>
      <c r="T2922" s="1">
        <v>0</v>
      </c>
      <c r="U2922" s="1">
        <v>0</v>
      </c>
      <c r="V2922" s="1" t="str">
        <f t="shared" ref="V2922:V2930" si="559">"里程返程"</f>
        <v>里程返程</v>
      </c>
      <c r="W2922" s="1" t="str">
        <f>"0020"</f>
        <v>0020</v>
      </c>
      <c r="X2922" s="1" t="s">
        <v>29</v>
      </c>
    </row>
    <row r="2923" spans="1:24" x14ac:dyDescent="0.3">
      <c r="A2923" s="1" t="str">
        <f t="shared" si="557"/>
        <v>59825</v>
      </c>
      <c r="B2923" s="1" t="s">
        <v>30</v>
      </c>
      <c r="C2923" s="1" t="s">
        <v>31</v>
      </c>
      <c r="D2923" s="1" t="str">
        <f t="shared" si="558"/>
        <v>9801</v>
      </c>
      <c r="E2923" s="1" t="s">
        <v>25</v>
      </c>
      <c r="F2923" s="1" t="str">
        <f>"422AE7028D880400C834002000000015"</f>
        <v>422AE7028D880400C834002000000015</v>
      </c>
      <c r="G2923" s="1" t="s">
        <v>74</v>
      </c>
      <c r="H2923" s="1" t="str">
        <f t="shared" si="555"/>
        <v>20220913</v>
      </c>
      <c r="I2923" s="1" t="str">
        <f>"173007"</f>
        <v>173007</v>
      </c>
      <c r="J2923" s="1" t="s">
        <v>44</v>
      </c>
      <c r="K2923" s="1" t="s">
        <v>45</v>
      </c>
      <c r="L2923" s="1" t="str">
        <f t="shared" si="556"/>
        <v>20220913</v>
      </c>
      <c r="M2923" s="1" t="str">
        <f>"175207"</f>
        <v>175207</v>
      </c>
      <c r="N2923" s="1" t="s">
        <v>28</v>
      </c>
      <c r="O2923" s="1" t="s">
        <v>28</v>
      </c>
      <c r="P2923" s="1" t="s">
        <v>68</v>
      </c>
      <c r="Q2923" s="1">
        <v>13</v>
      </c>
      <c r="R2923" s="1">
        <v>0</v>
      </c>
      <c r="S2923" s="1">
        <v>0</v>
      </c>
      <c r="T2923" s="1">
        <v>13</v>
      </c>
      <c r="U2923" s="1">
        <v>0</v>
      </c>
      <c r="V2923" s="1" t="str">
        <f t="shared" si="559"/>
        <v>里程返程</v>
      </c>
      <c r="W2923" s="1" t="str">
        <f>"0020"</f>
        <v>0020</v>
      </c>
      <c r="X2923" s="1" t="s">
        <v>29</v>
      </c>
    </row>
    <row r="2924" spans="1:24" x14ac:dyDescent="0.3">
      <c r="A2924" s="1" t="str">
        <f t="shared" si="557"/>
        <v>59825</v>
      </c>
      <c r="B2924" s="1" t="s">
        <v>30</v>
      </c>
      <c r="C2924" s="1" t="s">
        <v>31</v>
      </c>
      <c r="D2924" s="1" t="str">
        <f t="shared" si="558"/>
        <v>9801</v>
      </c>
      <c r="E2924" s="1" t="s">
        <v>25</v>
      </c>
      <c r="F2924" s="1" t="str">
        <f>"1749994773"</f>
        <v>1749994773</v>
      </c>
      <c r="G2924" s="1" t="s">
        <v>38</v>
      </c>
      <c r="H2924" s="1" t="str">
        <f t="shared" si="555"/>
        <v>20220913</v>
      </c>
      <c r="I2924" s="1" t="str">
        <f>"175716"</f>
        <v>175716</v>
      </c>
      <c r="J2924" s="1" t="s">
        <v>41</v>
      </c>
      <c r="K2924" s="1" t="s">
        <v>28</v>
      </c>
      <c r="L2924" s="1" t="str">
        <f t="shared" si="556"/>
        <v>20220913</v>
      </c>
      <c r="M2924" s="1" t="str">
        <f>"182232"</f>
        <v>182232</v>
      </c>
      <c r="N2924" s="1" t="s">
        <v>51</v>
      </c>
      <c r="O2924" s="1" t="s">
        <v>52</v>
      </c>
      <c r="P2924" s="1" t="s">
        <v>55</v>
      </c>
      <c r="Q2924" s="1">
        <v>25</v>
      </c>
      <c r="R2924" s="1">
        <v>0</v>
      </c>
      <c r="S2924" s="1">
        <v>25</v>
      </c>
      <c r="T2924" s="1">
        <v>0</v>
      </c>
      <c r="U2924" s="1">
        <v>0</v>
      </c>
      <c r="V2924" s="1" t="str">
        <f t="shared" si="559"/>
        <v>里程返程</v>
      </c>
      <c r="W2924" s="1" t="str">
        <f>"2020"</f>
        <v>2020</v>
      </c>
      <c r="X2924" s="1" t="s">
        <v>35</v>
      </c>
    </row>
    <row r="2925" spans="1:24" x14ac:dyDescent="0.3">
      <c r="A2925" s="1" t="str">
        <f t="shared" si="557"/>
        <v>59825</v>
      </c>
      <c r="B2925" s="1" t="s">
        <v>30</v>
      </c>
      <c r="C2925" s="1" t="s">
        <v>31</v>
      </c>
      <c r="D2925" s="1" t="str">
        <f t="shared" si="558"/>
        <v>9801</v>
      </c>
      <c r="E2925" s="1" t="s">
        <v>25</v>
      </c>
      <c r="F2925" s="1" t="str">
        <f>"B126CE6A332804001C00000000000000"</f>
        <v>B126CE6A332804001C00000000000000</v>
      </c>
      <c r="G2925" s="1" t="s">
        <v>58</v>
      </c>
      <c r="H2925" s="1" t="str">
        <f t="shared" si="555"/>
        <v>20220913</v>
      </c>
      <c r="I2925" s="1" t="str">
        <f>"184304"</f>
        <v>184304</v>
      </c>
      <c r="J2925" s="1" t="s">
        <v>56</v>
      </c>
      <c r="K2925" s="1" t="s">
        <v>45</v>
      </c>
      <c r="L2925" s="1" t="str">
        <f t="shared" si="556"/>
        <v>20220913</v>
      </c>
      <c r="M2925" s="1" t="str">
        <f>"185421"</f>
        <v>185421</v>
      </c>
      <c r="N2925" s="1" t="s">
        <v>28</v>
      </c>
      <c r="O2925" s="1" t="s">
        <v>28</v>
      </c>
      <c r="P2925" s="1" t="s">
        <v>55</v>
      </c>
      <c r="Q2925" s="1">
        <v>25</v>
      </c>
      <c r="R2925" s="1">
        <v>0</v>
      </c>
      <c r="S2925" s="1">
        <v>25</v>
      </c>
      <c r="T2925" s="1">
        <v>0</v>
      </c>
      <c r="U2925" s="1">
        <v>0</v>
      </c>
      <c r="V2925" s="1" t="str">
        <f t="shared" si="559"/>
        <v>里程返程</v>
      </c>
      <c r="W2925" s="1" t="str">
        <f>"1120"</f>
        <v>1120</v>
      </c>
      <c r="X2925" s="1" t="s">
        <v>29</v>
      </c>
    </row>
    <row r="2926" spans="1:24" x14ac:dyDescent="0.3">
      <c r="A2926" s="1" t="str">
        <f t="shared" si="557"/>
        <v>59825</v>
      </c>
      <c r="B2926" s="1" t="s">
        <v>30</v>
      </c>
      <c r="C2926" s="1" t="s">
        <v>31</v>
      </c>
      <c r="D2926" s="1" t="str">
        <f t="shared" si="558"/>
        <v>9801</v>
      </c>
      <c r="E2926" s="1" t="s">
        <v>25</v>
      </c>
      <c r="F2926" s="1" t="str">
        <f>"106085009"</f>
        <v>106085009</v>
      </c>
      <c r="G2926" s="1" t="s">
        <v>33</v>
      </c>
      <c r="H2926" s="1" t="str">
        <f t="shared" si="555"/>
        <v>20220913</v>
      </c>
      <c r="I2926" s="1" t="str">
        <f>"185451"</f>
        <v>185451</v>
      </c>
      <c r="J2926" s="1" t="s">
        <v>28</v>
      </c>
      <c r="K2926" s="1" t="s">
        <v>28</v>
      </c>
      <c r="L2926" s="1" t="str">
        <f t="shared" si="556"/>
        <v>20220913</v>
      </c>
      <c r="M2926" s="1" t="str">
        <f>"192607"</f>
        <v>192607</v>
      </c>
      <c r="N2926" s="1" t="s">
        <v>52</v>
      </c>
      <c r="O2926" s="1" t="s">
        <v>52</v>
      </c>
      <c r="P2926" s="1" t="s">
        <v>55</v>
      </c>
      <c r="Q2926" s="1">
        <v>25</v>
      </c>
      <c r="R2926" s="1">
        <v>25</v>
      </c>
      <c r="S2926" s="1">
        <v>0</v>
      </c>
      <c r="T2926" s="1">
        <v>0</v>
      </c>
      <c r="U2926" s="1">
        <v>0</v>
      </c>
      <c r="V2926" s="1" t="str">
        <f t="shared" si="559"/>
        <v>里程返程</v>
      </c>
      <c r="W2926" s="1" t="str">
        <f>"1420"</f>
        <v>1420</v>
      </c>
      <c r="X2926" s="1" t="s">
        <v>35</v>
      </c>
    </row>
    <row r="2927" spans="1:24" x14ac:dyDescent="0.3">
      <c r="A2927" s="1" t="str">
        <f t="shared" si="557"/>
        <v>59825</v>
      </c>
      <c r="B2927" s="1" t="s">
        <v>30</v>
      </c>
      <c r="C2927" s="1" t="s">
        <v>31</v>
      </c>
      <c r="D2927" s="1" t="str">
        <f t="shared" si="558"/>
        <v>9801</v>
      </c>
      <c r="E2927" s="1" t="s">
        <v>25</v>
      </c>
      <c r="F2927" s="1" t="str">
        <f>"2395845819"</f>
        <v>2395845819</v>
      </c>
      <c r="G2927" s="1" t="s">
        <v>26</v>
      </c>
      <c r="H2927" s="1" t="str">
        <f t="shared" si="555"/>
        <v>20220913</v>
      </c>
      <c r="I2927" s="1" t="str">
        <f>"185456"</f>
        <v>185456</v>
      </c>
      <c r="J2927" s="1" t="s">
        <v>28</v>
      </c>
      <c r="K2927" s="1" t="s">
        <v>28</v>
      </c>
      <c r="L2927" s="1" t="str">
        <f t="shared" si="556"/>
        <v>20220913</v>
      </c>
      <c r="M2927" s="1" t="str">
        <f>"192559"</f>
        <v>192559</v>
      </c>
      <c r="N2927" s="1" t="s">
        <v>52</v>
      </c>
      <c r="O2927" s="1" t="s">
        <v>52</v>
      </c>
      <c r="P2927" s="1" t="s">
        <v>55</v>
      </c>
      <c r="Q2927" s="1">
        <v>13</v>
      </c>
      <c r="R2927" s="1">
        <v>13</v>
      </c>
      <c r="S2927" s="1">
        <v>0</v>
      </c>
      <c r="T2927" s="1">
        <v>0</v>
      </c>
      <c r="U2927" s="1">
        <v>0</v>
      </c>
      <c r="V2927" s="1" t="str">
        <f t="shared" si="559"/>
        <v>里程返程</v>
      </c>
      <c r="W2927" s="1" t="str">
        <f>"2020"</f>
        <v>2020</v>
      </c>
      <c r="X2927" s="1" t="s">
        <v>35</v>
      </c>
    </row>
    <row r="2928" spans="1:24" x14ac:dyDescent="0.3">
      <c r="A2928" s="1" t="str">
        <f t="shared" si="557"/>
        <v>59825</v>
      </c>
      <c r="B2928" s="1" t="s">
        <v>30</v>
      </c>
      <c r="C2928" s="1" t="s">
        <v>31</v>
      </c>
      <c r="D2928" s="1" t="str">
        <f t="shared" si="558"/>
        <v>9801</v>
      </c>
      <c r="E2928" s="1" t="s">
        <v>25</v>
      </c>
      <c r="F2928" s="1" t="str">
        <f>"3589896026"</f>
        <v>3589896026</v>
      </c>
      <c r="G2928" s="1" t="s">
        <v>33</v>
      </c>
      <c r="H2928" s="1" t="str">
        <f t="shared" si="555"/>
        <v>20220913</v>
      </c>
      <c r="I2928" s="1" t="str">
        <f>"185458"</f>
        <v>185458</v>
      </c>
      <c r="J2928" s="1" t="s">
        <v>28</v>
      </c>
      <c r="K2928" s="1" t="s">
        <v>28</v>
      </c>
      <c r="L2928" s="1" t="str">
        <f t="shared" si="556"/>
        <v>20220913</v>
      </c>
      <c r="M2928" s="1" t="str">
        <f>"192546"</f>
        <v>192546</v>
      </c>
      <c r="N2928" s="1" t="s">
        <v>52</v>
      </c>
      <c r="O2928" s="1" t="s">
        <v>52</v>
      </c>
      <c r="P2928" s="1" t="s">
        <v>55</v>
      </c>
      <c r="Q2928" s="1">
        <v>25</v>
      </c>
      <c r="R2928" s="1">
        <v>25</v>
      </c>
      <c r="S2928" s="1">
        <v>0</v>
      </c>
      <c r="T2928" s="1">
        <v>0</v>
      </c>
      <c r="U2928" s="1">
        <v>0</v>
      </c>
      <c r="V2928" s="1" t="str">
        <f t="shared" si="559"/>
        <v>里程返程</v>
      </c>
      <c r="W2928" s="1" t="str">
        <f>"2020"</f>
        <v>2020</v>
      </c>
      <c r="X2928" s="1" t="s">
        <v>35</v>
      </c>
    </row>
    <row r="2929" spans="1:24" x14ac:dyDescent="0.3">
      <c r="A2929" s="1" t="str">
        <f t="shared" si="557"/>
        <v>59825</v>
      </c>
      <c r="B2929" s="1" t="s">
        <v>30</v>
      </c>
      <c r="C2929" s="1" t="s">
        <v>31</v>
      </c>
      <c r="D2929" s="1" t="str">
        <f t="shared" si="558"/>
        <v>9801</v>
      </c>
      <c r="E2929" s="1" t="s">
        <v>25</v>
      </c>
      <c r="F2929" s="1" t="str">
        <f>"1123942693"</f>
        <v>1123942693</v>
      </c>
      <c r="G2929" s="1" t="s">
        <v>33</v>
      </c>
      <c r="H2929" s="1" t="str">
        <f t="shared" si="555"/>
        <v>20220913</v>
      </c>
      <c r="I2929" s="1" t="str">
        <f>"185503"</f>
        <v>185503</v>
      </c>
      <c r="J2929" s="1" t="s">
        <v>28</v>
      </c>
      <c r="K2929" s="1" t="s">
        <v>28</v>
      </c>
      <c r="L2929" s="1" t="str">
        <f t="shared" si="556"/>
        <v>20220913</v>
      </c>
      <c r="M2929" s="1" t="str">
        <f>"191727"</f>
        <v>191727</v>
      </c>
      <c r="N2929" s="1" t="s">
        <v>72</v>
      </c>
      <c r="O2929" s="1" t="s">
        <v>52</v>
      </c>
      <c r="P2929" s="1" t="s">
        <v>55</v>
      </c>
      <c r="Q2929" s="1">
        <v>25</v>
      </c>
      <c r="R2929" s="1">
        <v>25</v>
      </c>
      <c r="S2929" s="1">
        <v>0</v>
      </c>
      <c r="T2929" s="1">
        <v>0</v>
      </c>
      <c r="U2929" s="1">
        <v>0</v>
      </c>
      <c r="V2929" s="1" t="str">
        <f t="shared" si="559"/>
        <v>里程返程</v>
      </c>
      <c r="W2929" s="1" t="str">
        <f>"0120"</f>
        <v>0120</v>
      </c>
      <c r="X2929" s="1" t="s">
        <v>35</v>
      </c>
    </row>
    <row r="2930" spans="1:24" x14ac:dyDescent="0.3">
      <c r="A2930" s="1" t="str">
        <f t="shared" si="557"/>
        <v>59825</v>
      </c>
      <c r="B2930" s="1" t="s">
        <v>30</v>
      </c>
      <c r="C2930" s="1" t="s">
        <v>31</v>
      </c>
      <c r="D2930" s="1" t="str">
        <f t="shared" si="558"/>
        <v>9801</v>
      </c>
      <c r="E2930" s="1" t="s">
        <v>25</v>
      </c>
      <c r="F2930" s="1" t="str">
        <f>"2075560860"</f>
        <v>2075560860</v>
      </c>
      <c r="G2930" s="1" t="s">
        <v>33</v>
      </c>
      <c r="H2930" s="1" t="str">
        <f t="shared" si="555"/>
        <v>20220913</v>
      </c>
      <c r="I2930" s="1" t="str">
        <f>"185520"</f>
        <v>185520</v>
      </c>
      <c r="J2930" s="1" t="s">
        <v>28</v>
      </c>
      <c r="K2930" s="1" t="s">
        <v>28</v>
      </c>
      <c r="L2930" s="1" t="str">
        <f t="shared" si="556"/>
        <v>20220913</v>
      </c>
      <c r="M2930" s="1" t="str">
        <f>"192601"</f>
        <v>192601</v>
      </c>
      <c r="N2930" s="1" t="s">
        <v>52</v>
      </c>
      <c r="O2930" s="1" t="s">
        <v>52</v>
      </c>
      <c r="P2930" s="1" t="s">
        <v>55</v>
      </c>
      <c r="Q2930" s="1">
        <v>25</v>
      </c>
      <c r="R2930" s="1">
        <v>25</v>
      </c>
      <c r="S2930" s="1">
        <v>0</v>
      </c>
      <c r="T2930" s="1">
        <v>0</v>
      </c>
      <c r="U2930" s="1">
        <v>0</v>
      </c>
      <c r="V2930" s="1" t="str">
        <f t="shared" si="559"/>
        <v>里程返程</v>
      </c>
      <c r="W2930" s="1" t="str">
        <f>"0e20"</f>
        <v>0e20</v>
      </c>
      <c r="X2930" s="1" t="s">
        <v>35</v>
      </c>
    </row>
    <row r="2931" spans="1:24" x14ac:dyDescent="0.3">
      <c r="A2931" s="1" t="str">
        <f t="shared" si="557"/>
        <v>59825</v>
      </c>
      <c r="B2931" s="1" t="s">
        <v>30</v>
      </c>
      <c r="C2931" s="1" t="s">
        <v>31</v>
      </c>
      <c r="D2931" s="1" t="str">
        <f t="shared" si="558"/>
        <v>9801</v>
      </c>
      <c r="E2931" s="1" t="s">
        <v>25</v>
      </c>
      <c r="F2931" s="1" t="str">
        <f>"55D2A79CBC88040043265ABE00170710"</f>
        <v>55D2A79CBC88040043265ABE00170710</v>
      </c>
      <c r="G2931" s="1" t="s">
        <v>64</v>
      </c>
      <c r="H2931" s="1" t="str">
        <f t="shared" si="555"/>
        <v>20220913</v>
      </c>
      <c r="I2931" s="1" t="str">
        <f>"200253"</f>
        <v>200253</v>
      </c>
      <c r="J2931" s="1" t="s">
        <v>52</v>
      </c>
      <c r="K2931" s="1" t="s">
        <v>52</v>
      </c>
      <c r="L2931" s="1" t="str">
        <f t="shared" si="556"/>
        <v>20220913</v>
      </c>
      <c r="M2931" s="1" t="str">
        <f>"202649"</f>
        <v>202649</v>
      </c>
      <c r="N2931" s="1" t="s">
        <v>67</v>
      </c>
      <c r="O2931" s="1" t="s">
        <v>52</v>
      </c>
      <c r="P2931" s="1" t="s">
        <v>55</v>
      </c>
      <c r="Q2931" s="1">
        <v>13</v>
      </c>
      <c r="R2931" s="1">
        <v>0</v>
      </c>
      <c r="S2931" s="1">
        <v>13</v>
      </c>
      <c r="T2931" s="1">
        <v>0</v>
      </c>
      <c r="U2931" s="1">
        <v>0</v>
      </c>
      <c r="V2931" s="1" t="str">
        <f>"里程去程"</f>
        <v>里程去程</v>
      </c>
      <c r="W2931" s="1" t="str">
        <f>"1120"</f>
        <v>1120</v>
      </c>
      <c r="X2931" s="1" t="s">
        <v>29</v>
      </c>
    </row>
    <row r="2932" spans="1:24" x14ac:dyDescent="0.3">
      <c r="A2932" s="1" t="str">
        <f t="shared" si="557"/>
        <v>59825</v>
      </c>
      <c r="B2932" s="1" t="s">
        <v>30</v>
      </c>
      <c r="C2932" s="1" t="s">
        <v>31</v>
      </c>
      <c r="D2932" s="1" t="str">
        <f t="shared" si="558"/>
        <v>9801</v>
      </c>
      <c r="E2932" s="1" t="s">
        <v>25</v>
      </c>
      <c r="F2932" s="1" t="str">
        <f>"1129190405"</f>
        <v>1129190405</v>
      </c>
      <c r="G2932" s="1" t="s">
        <v>33</v>
      </c>
      <c r="H2932" s="1" t="str">
        <f t="shared" si="555"/>
        <v>20220913</v>
      </c>
      <c r="I2932" s="1" t="str">
        <f>"202313"</f>
        <v>202313</v>
      </c>
      <c r="J2932" s="1" t="s">
        <v>69</v>
      </c>
      <c r="K2932" s="1" t="s">
        <v>52</v>
      </c>
      <c r="L2932" s="1" t="str">
        <f t="shared" si="556"/>
        <v>20220913</v>
      </c>
      <c r="M2932" s="1" t="str">
        <f>"202919"</f>
        <v>202919</v>
      </c>
      <c r="N2932" s="1" t="s">
        <v>84</v>
      </c>
      <c r="O2932" s="1" t="s">
        <v>28</v>
      </c>
      <c r="P2932" s="1" t="s">
        <v>55</v>
      </c>
      <c r="Q2932" s="1">
        <v>25</v>
      </c>
      <c r="R2932" s="1">
        <v>25</v>
      </c>
      <c r="S2932" s="1">
        <v>0</v>
      </c>
      <c r="T2932" s="1">
        <v>0</v>
      </c>
      <c r="U2932" s="1">
        <v>0</v>
      </c>
      <c r="V2932" s="1" t="str">
        <f>"里程去程"</f>
        <v>里程去程</v>
      </c>
      <c r="W2932" s="1" t="str">
        <f>"2120"</f>
        <v>2120</v>
      </c>
      <c r="X2932" s="1" t="s">
        <v>35</v>
      </c>
    </row>
    <row r="2933" spans="1:24" x14ac:dyDescent="0.3">
      <c r="A2933" s="1" t="str">
        <f t="shared" si="557"/>
        <v>59825</v>
      </c>
      <c r="B2933" s="1" t="s">
        <v>30</v>
      </c>
      <c r="C2933" s="1" t="s">
        <v>31</v>
      </c>
      <c r="D2933" s="1" t="str">
        <f>"9805"</f>
        <v>9805</v>
      </c>
      <c r="E2933" s="1" t="s">
        <v>57</v>
      </c>
      <c r="F2933" s="1" t="str">
        <f>"1123942693"</f>
        <v>1123942693</v>
      </c>
      <c r="G2933" s="1" t="s">
        <v>33</v>
      </c>
      <c r="H2933" s="1" t="str">
        <f t="shared" si="555"/>
        <v>20220913</v>
      </c>
      <c r="I2933" s="1" t="str">
        <f>"210022"</f>
        <v>210022</v>
      </c>
      <c r="J2933" s="1" t="s">
        <v>52</v>
      </c>
      <c r="K2933" s="1" t="s">
        <v>52</v>
      </c>
      <c r="L2933" s="1" t="str">
        <f t="shared" si="556"/>
        <v>20220913</v>
      </c>
      <c r="M2933" s="1" t="str">
        <f>"211647"</f>
        <v>211647</v>
      </c>
      <c r="N2933" s="1" t="s">
        <v>90</v>
      </c>
      <c r="O2933" s="1" t="s">
        <v>28</v>
      </c>
      <c r="P2933" s="1" t="s">
        <v>55</v>
      </c>
      <c r="Q2933" s="1">
        <v>25</v>
      </c>
      <c r="R2933" s="1">
        <v>0</v>
      </c>
      <c r="S2933" s="1">
        <v>25</v>
      </c>
      <c r="T2933" s="1">
        <v>0</v>
      </c>
      <c r="U2933" s="1">
        <v>0</v>
      </c>
      <c r="V2933" s="1" t="str">
        <f t="shared" ref="V2933:V2950" si="560">"里程返程"</f>
        <v>里程返程</v>
      </c>
      <c r="W2933" s="1" t="str">
        <f>"2020"</f>
        <v>2020</v>
      </c>
      <c r="X2933" s="1" t="s">
        <v>35</v>
      </c>
    </row>
    <row r="2934" spans="1:24" x14ac:dyDescent="0.3">
      <c r="A2934" s="1" t="str">
        <f t="shared" si="557"/>
        <v>59825</v>
      </c>
      <c r="B2934" s="1" t="s">
        <v>30</v>
      </c>
      <c r="C2934" s="1" t="s">
        <v>31</v>
      </c>
      <c r="D2934" s="1" t="str">
        <f>"9805"</f>
        <v>9805</v>
      </c>
      <c r="E2934" s="1" t="s">
        <v>57</v>
      </c>
      <c r="F2934" s="1" t="str">
        <f>"1418750577"</f>
        <v>1418750577</v>
      </c>
      <c r="G2934" s="1" t="s">
        <v>33</v>
      </c>
      <c r="H2934" s="1" t="str">
        <f t="shared" si="555"/>
        <v>20220913</v>
      </c>
      <c r="I2934" s="1" t="str">
        <f>"210615"</f>
        <v>210615</v>
      </c>
      <c r="J2934" s="1" t="s">
        <v>103</v>
      </c>
      <c r="K2934" s="1" t="s">
        <v>28</v>
      </c>
      <c r="L2934" s="1" t="str">
        <f t="shared" si="556"/>
        <v>20220913</v>
      </c>
      <c r="M2934" s="1" t="str">
        <f>"211903"</f>
        <v>211903</v>
      </c>
      <c r="N2934" s="1" t="s">
        <v>28</v>
      </c>
      <c r="O2934" s="1" t="s">
        <v>28</v>
      </c>
      <c r="P2934" s="1" t="s">
        <v>55</v>
      </c>
      <c r="Q2934" s="1">
        <v>25</v>
      </c>
      <c r="R2934" s="1">
        <v>25</v>
      </c>
      <c r="S2934" s="1">
        <v>0</v>
      </c>
      <c r="T2934" s="1">
        <v>0</v>
      </c>
      <c r="U2934" s="1">
        <v>0</v>
      </c>
      <c r="V2934" s="1" t="str">
        <f t="shared" si="560"/>
        <v>里程返程</v>
      </c>
      <c r="W2934" s="1" t="str">
        <f>"0120"</f>
        <v>0120</v>
      </c>
      <c r="X2934" s="1" t="s">
        <v>35</v>
      </c>
    </row>
    <row r="2935" spans="1:24" x14ac:dyDescent="0.3">
      <c r="A2935" s="1" t="str">
        <f t="shared" si="557"/>
        <v>59825</v>
      </c>
      <c r="B2935" s="1" t="s">
        <v>30</v>
      </c>
      <c r="C2935" s="1" t="s">
        <v>31</v>
      </c>
      <c r="D2935" s="1" t="str">
        <f>"9805"</f>
        <v>9805</v>
      </c>
      <c r="E2935" s="1" t="s">
        <v>57</v>
      </c>
      <c r="F2935" s="1" t="str">
        <f>"3489849623"</f>
        <v>3489849623</v>
      </c>
      <c r="G2935" s="1" t="s">
        <v>33</v>
      </c>
      <c r="H2935" s="1" t="str">
        <f t="shared" si="555"/>
        <v>20220913</v>
      </c>
      <c r="I2935" s="1" t="str">
        <f>"210629"</f>
        <v>210629</v>
      </c>
      <c r="J2935" s="1" t="s">
        <v>103</v>
      </c>
      <c r="K2935" s="1" t="s">
        <v>28</v>
      </c>
      <c r="L2935" s="1" t="str">
        <f t="shared" si="556"/>
        <v>20220913</v>
      </c>
      <c r="M2935" s="1" t="str">
        <f>"211906"</f>
        <v>211906</v>
      </c>
      <c r="N2935" s="1" t="s">
        <v>28</v>
      </c>
      <c r="O2935" s="1" t="s">
        <v>28</v>
      </c>
      <c r="P2935" s="1" t="s">
        <v>55</v>
      </c>
      <c r="Q2935" s="1">
        <v>25</v>
      </c>
      <c r="R2935" s="1">
        <v>25</v>
      </c>
      <c r="S2935" s="1">
        <v>0</v>
      </c>
      <c r="T2935" s="1">
        <v>0</v>
      </c>
      <c r="U2935" s="1">
        <v>0</v>
      </c>
      <c r="V2935" s="1" t="str">
        <f t="shared" si="560"/>
        <v>里程返程</v>
      </c>
      <c r="W2935" s="1" t="str">
        <f>"0120"</f>
        <v>0120</v>
      </c>
      <c r="X2935" s="1" t="s">
        <v>35</v>
      </c>
    </row>
    <row r="2936" spans="1:24" x14ac:dyDescent="0.3">
      <c r="A2936" s="1" t="str">
        <f t="shared" ref="A2936:A2971" si="561">"59828"</f>
        <v>59828</v>
      </c>
      <c r="B2936" s="1" t="s">
        <v>23</v>
      </c>
      <c r="C2936" s="1" t="s">
        <v>24</v>
      </c>
      <c r="D2936" s="1" t="str">
        <f t="shared" ref="D2936:D2971" si="562">"9801"</f>
        <v>9801</v>
      </c>
      <c r="E2936" s="1" t="s">
        <v>25</v>
      </c>
      <c r="F2936" s="1" t="str">
        <f>"1752749445"</f>
        <v>1752749445</v>
      </c>
      <c r="G2936" s="1" t="s">
        <v>33</v>
      </c>
      <c r="H2936" s="1" t="str">
        <f t="shared" si="555"/>
        <v>20220913</v>
      </c>
      <c r="I2936" s="1" t="str">
        <f>"063325"</f>
        <v>063325</v>
      </c>
      <c r="J2936" s="1" t="s">
        <v>28</v>
      </c>
      <c r="K2936" s="1" t="s">
        <v>28</v>
      </c>
      <c r="L2936" s="1" t="str">
        <f t="shared" si="556"/>
        <v>20220913</v>
      </c>
      <c r="M2936" s="1" t="str">
        <f>"065244"</f>
        <v>065244</v>
      </c>
      <c r="N2936" s="1" t="s">
        <v>72</v>
      </c>
      <c r="O2936" s="1" t="s">
        <v>52</v>
      </c>
      <c r="P2936" s="1" t="s">
        <v>55</v>
      </c>
      <c r="Q2936" s="1">
        <v>25</v>
      </c>
      <c r="R2936" s="1">
        <v>0</v>
      </c>
      <c r="S2936" s="1">
        <v>25</v>
      </c>
      <c r="T2936" s="1">
        <v>0</v>
      </c>
      <c r="U2936" s="1">
        <v>0</v>
      </c>
      <c r="V2936" s="1" t="str">
        <f t="shared" si="560"/>
        <v>里程返程</v>
      </c>
      <c r="W2936" s="1" t="str">
        <f>"0820"</f>
        <v>0820</v>
      </c>
      <c r="X2936" s="1" t="s">
        <v>35</v>
      </c>
    </row>
    <row r="2937" spans="1:24" x14ac:dyDescent="0.3">
      <c r="A2937" s="1" t="str">
        <f t="shared" si="561"/>
        <v>59828</v>
      </c>
      <c r="B2937" s="1" t="s">
        <v>23</v>
      </c>
      <c r="C2937" s="1" t="s">
        <v>24</v>
      </c>
      <c r="D2937" s="1" t="str">
        <f t="shared" si="562"/>
        <v>9801</v>
      </c>
      <c r="E2937" s="1" t="s">
        <v>25</v>
      </c>
      <c r="F2937" s="1" t="str">
        <f>"619F1761882804001C00000000000000"</f>
        <v>619F1761882804001C00000000000000</v>
      </c>
      <c r="G2937" s="1" t="s">
        <v>58</v>
      </c>
      <c r="H2937" s="1" t="str">
        <f t="shared" si="555"/>
        <v>20220913</v>
      </c>
      <c r="I2937" s="1" t="str">
        <f>"063330"</f>
        <v>063330</v>
      </c>
      <c r="J2937" s="1" t="s">
        <v>28</v>
      </c>
      <c r="K2937" s="1" t="s">
        <v>28</v>
      </c>
      <c r="L2937" s="1" t="str">
        <f t="shared" ref="L2937:L2968" si="563">"20220913"</f>
        <v>20220913</v>
      </c>
      <c r="M2937" s="1" t="str">
        <f>"065238"</f>
        <v>065238</v>
      </c>
      <c r="N2937" s="1" t="s">
        <v>72</v>
      </c>
      <c r="O2937" s="1" t="s">
        <v>52</v>
      </c>
      <c r="P2937" s="1" t="s">
        <v>55</v>
      </c>
      <c r="Q2937" s="1">
        <v>25</v>
      </c>
      <c r="R2937" s="1">
        <v>0</v>
      </c>
      <c r="S2937" s="1">
        <v>25</v>
      </c>
      <c r="T2937" s="1">
        <v>0</v>
      </c>
      <c r="U2937" s="1">
        <v>0</v>
      </c>
      <c r="V2937" s="1" t="str">
        <f t="shared" si="560"/>
        <v>里程返程</v>
      </c>
      <c r="W2937" s="1" t="str">
        <f>"0620"</f>
        <v>0620</v>
      </c>
      <c r="X2937" s="1" t="s">
        <v>29</v>
      </c>
    </row>
    <row r="2938" spans="1:24" x14ac:dyDescent="0.3">
      <c r="A2938" s="1" t="str">
        <f t="shared" si="561"/>
        <v>59828</v>
      </c>
      <c r="B2938" s="1" t="s">
        <v>23</v>
      </c>
      <c r="C2938" s="1" t="s">
        <v>24</v>
      </c>
      <c r="D2938" s="1" t="str">
        <f t="shared" si="562"/>
        <v>9801</v>
      </c>
      <c r="E2938" s="1" t="s">
        <v>25</v>
      </c>
      <c r="F2938" s="1" t="str">
        <f>"D2EDC500FA880400C801002000000015"</f>
        <v>D2EDC500FA880400C801002000000015</v>
      </c>
      <c r="G2938" s="1" t="s">
        <v>58</v>
      </c>
      <c r="H2938" s="1" t="str">
        <f t="shared" si="555"/>
        <v>20220913</v>
      </c>
      <c r="I2938" s="1" t="str">
        <f>"063345"</f>
        <v>063345</v>
      </c>
      <c r="J2938" s="1" t="s">
        <v>28</v>
      </c>
      <c r="K2938" s="1" t="s">
        <v>28</v>
      </c>
      <c r="L2938" s="1" t="str">
        <f t="shared" si="563"/>
        <v>20220913</v>
      </c>
      <c r="M2938" s="1" t="str">
        <f>"070020"</f>
        <v>070020</v>
      </c>
      <c r="N2938" s="1" t="s">
        <v>52</v>
      </c>
      <c r="O2938" s="1" t="s">
        <v>52</v>
      </c>
      <c r="P2938" s="1" t="s">
        <v>55</v>
      </c>
      <c r="Q2938" s="1">
        <v>25</v>
      </c>
      <c r="R2938" s="1">
        <v>25</v>
      </c>
      <c r="S2938" s="1">
        <v>0</v>
      </c>
      <c r="T2938" s="1">
        <v>0</v>
      </c>
      <c r="U2938" s="1">
        <v>0</v>
      </c>
      <c r="V2938" s="1" t="str">
        <f t="shared" si="560"/>
        <v>里程返程</v>
      </c>
      <c r="W2938" s="1" t="str">
        <f>"0020"</f>
        <v>0020</v>
      </c>
      <c r="X2938" s="1" t="s">
        <v>29</v>
      </c>
    </row>
    <row r="2939" spans="1:24" x14ac:dyDescent="0.3">
      <c r="A2939" s="1" t="str">
        <f t="shared" si="561"/>
        <v>59828</v>
      </c>
      <c r="B2939" s="1" t="s">
        <v>23</v>
      </c>
      <c r="C2939" s="1" t="s">
        <v>24</v>
      </c>
      <c r="D2939" s="1" t="str">
        <f t="shared" si="562"/>
        <v>9801</v>
      </c>
      <c r="E2939" s="1" t="s">
        <v>25</v>
      </c>
      <c r="F2939" s="1" t="str">
        <f>"422294833"</f>
        <v>422294833</v>
      </c>
      <c r="G2939" s="1" t="s">
        <v>96</v>
      </c>
      <c r="H2939" s="1" t="str">
        <f t="shared" si="555"/>
        <v>20220913</v>
      </c>
      <c r="I2939" s="1" t="str">
        <f>"070740"</f>
        <v>070740</v>
      </c>
      <c r="J2939" s="1" t="s">
        <v>75</v>
      </c>
      <c r="K2939" s="1" t="s">
        <v>45</v>
      </c>
      <c r="L2939" s="1" t="str">
        <f t="shared" si="563"/>
        <v>20220913</v>
      </c>
      <c r="M2939" s="1" t="str">
        <f>"072137"</f>
        <v>072137</v>
      </c>
      <c r="N2939" s="1" t="s">
        <v>28</v>
      </c>
      <c r="O2939" s="1" t="s">
        <v>28</v>
      </c>
      <c r="P2939" s="1" t="s">
        <v>55</v>
      </c>
      <c r="Q2939" s="1">
        <v>13</v>
      </c>
      <c r="R2939" s="1">
        <v>13</v>
      </c>
      <c r="S2939" s="1">
        <v>0</v>
      </c>
      <c r="T2939" s="1">
        <v>0</v>
      </c>
      <c r="U2939" s="1">
        <v>0</v>
      </c>
      <c r="V2939" s="1" t="str">
        <f t="shared" si="560"/>
        <v>里程返程</v>
      </c>
      <c r="W2939" s="1" t="str">
        <f>"2120"</f>
        <v>2120</v>
      </c>
      <c r="X2939" s="1" t="s">
        <v>35</v>
      </c>
    </row>
    <row r="2940" spans="1:24" x14ac:dyDescent="0.3">
      <c r="A2940" s="1" t="str">
        <f t="shared" si="561"/>
        <v>59828</v>
      </c>
      <c r="B2940" s="1" t="s">
        <v>23</v>
      </c>
      <c r="C2940" s="1" t="s">
        <v>24</v>
      </c>
      <c r="D2940" s="1" t="str">
        <f t="shared" si="562"/>
        <v>9801</v>
      </c>
      <c r="E2940" s="1" t="s">
        <v>25</v>
      </c>
      <c r="F2940" s="1" t="str">
        <f>"2262D30291880400C834002000000015"</f>
        <v>2262D30291880400C834002000000015</v>
      </c>
      <c r="G2940" s="1" t="s">
        <v>26</v>
      </c>
      <c r="H2940" s="1" t="str">
        <f t="shared" si="555"/>
        <v>20220913</v>
      </c>
      <c r="I2940" s="1" t="str">
        <f>"070927"</f>
        <v>070927</v>
      </c>
      <c r="J2940" s="1" t="s">
        <v>56</v>
      </c>
      <c r="K2940" s="1" t="s">
        <v>45</v>
      </c>
      <c r="L2940" s="1" t="str">
        <f t="shared" si="563"/>
        <v>20220913</v>
      </c>
      <c r="M2940" s="1" t="str">
        <f>"072145"</f>
        <v>072145</v>
      </c>
      <c r="N2940" s="1" t="s">
        <v>28</v>
      </c>
      <c r="O2940" s="1" t="s">
        <v>28</v>
      </c>
      <c r="P2940" s="1" t="s">
        <v>68</v>
      </c>
      <c r="Q2940" s="1">
        <v>13</v>
      </c>
      <c r="R2940" s="1">
        <v>0</v>
      </c>
      <c r="S2940" s="1">
        <v>0</v>
      </c>
      <c r="T2940" s="1">
        <v>13</v>
      </c>
      <c r="U2940" s="1">
        <v>0</v>
      </c>
      <c r="V2940" s="1" t="str">
        <f t="shared" si="560"/>
        <v>里程返程</v>
      </c>
      <c r="W2940" s="1" t="str">
        <f>"0020"</f>
        <v>0020</v>
      </c>
      <c r="X2940" s="1" t="s">
        <v>29</v>
      </c>
    </row>
    <row r="2941" spans="1:24" x14ac:dyDescent="0.3">
      <c r="A2941" s="1" t="str">
        <f t="shared" si="561"/>
        <v>59828</v>
      </c>
      <c r="B2941" s="1" t="s">
        <v>23</v>
      </c>
      <c r="C2941" s="1" t="s">
        <v>24</v>
      </c>
      <c r="D2941" s="1" t="str">
        <f t="shared" si="562"/>
        <v>9801</v>
      </c>
      <c r="E2941" s="1" t="s">
        <v>25</v>
      </c>
      <c r="F2941" s="1" t="str">
        <f>"D257BD023A880400C834002000000015"</f>
        <v>D257BD023A880400C834002000000015</v>
      </c>
      <c r="G2941" s="1" t="s">
        <v>74</v>
      </c>
      <c r="H2941" s="1" t="str">
        <f t="shared" si="555"/>
        <v>20220913</v>
      </c>
      <c r="I2941" s="1" t="str">
        <f>"072224"</f>
        <v>072224</v>
      </c>
      <c r="J2941" s="1" t="s">
        <v>28</v>
      </c>
      <c r="K2941" s="1" t="s">
        <v>28</v>
      </c>
      <c r="L2941" s="1" t="str">
        <f t="shared" si="563"/>
        <v>20220913</v>
      </c>
      <c r="M2941" s="1" t="str">
        <f>"073201"</f>
        <v>073201</v>
      </c>
      <c r="N2941" s="1" t="s">
        <v>67</v>
      </c>
      <c r="O2941" s="1" t="s">
        <v>52</v>
      </c>
      <c r="P2941" s="1" t="s">
        <v>68</v>
      </c>
      <c r="Q2941" s="1">
        <v>13</v>
      </c>
      <c r="R2941" s="1">
        <v>0</v>
      </c>
      <c r="S2941" s="1">
        <v>0</v>
      </c>
      <c r="T2941" s="1">
        <v>13</v>
      </c>
      <c r="U2941" s="1">
        <v>0</v>
      </c>
      <c r="V2941" s="1" t="str">
        <f t="shared" si="560"/>
        <v>里程返程</v>
      </c>
      <c r="W2941" s="1" t="str">
        <f>"0020"</f>
        <v>0020</v>
      </c>
      <c r="X2941" s="1" t="s">
        <v>29</v>
      </c>
    </row>
    <row r="2942" spans="1:24" x14ac:dyDescent="0.3">
      <c r="A2942" s="1" t="str">
        <f t="shared" si="561"/>
        <v>59828</v>
      </c>
      <c r="B2942" s="1" t="s">
        <v>23</v>
      </c>
      <c r="C2942" s="1" t="s">
        <v>24</v>
      </c>
      <c r="D2942" s="1" t="str">
        <f t="shared" si="562"/>
        <v>9801</v>
      </c>
      <c r="E2942" s="1" t="s">
        <v>25</v>
      </c>
      <c r="F2942" s="1" t="str">
        <f>"F282E40195880400C821002000000015"</f>
        <v>F282E40195880400C821002000000015</v>
      </c>
      <c r="G2942" s="1" t="s">
        <v>58</v>
      </c>
      <c r="H2942" s="1" t="str">
        <f t="shared" si="555"/>
        <v>20220913</v>
      </c>
      <c r="I2942" s="1" t="str">
        <f>"072227"</f>
        <v>072227</v>
      </c>
      <c r="J2942" s="1" t="s">
        <v>28</v>
      </c>
      <c r="K2942" s="1" t="s">
        <v>28</v>
      </c>
      <c r="L2942" s="1" t="str">
        <f t="shared" si="563"/>
        <v>20220913</v>
      </c>
      <c r="M2942" s="1" t="str">
        <f>"074354"</f>
        <v>074354</v>
      </c>
      <c r="N2942" s="1" t="s">
        <v>65</v>
      </c>
      <c r="O2942" s="1" t="s">
        <v>52</v>
      </c>
      <c r="P2942" s="1" t="s">
        <v>55</v>
      </c>
      <c r="Q2942" s="1">
        <v>25</v>
      </c>
      <c r="R2942" s="1">
        <v>0</v>
      </c>
      <c r="S2942" s="1">
        <v>25</v>
      </c>
      <c r="T2942" s="1">
        <v>0</v>
      </c>
      <c r="U2942" s="1">
        <v>0</v>
      </c>
      <c r="V2942" s="1" t="str">
        <f t="shared" si="560"/>
        <v>里程返程</v>
      </c>
      <c r="W2942" s="1" t="str">
        <f>"0620"</f>
        <v>0620</v>
      </c>
      <c r="X2942" s="1" t="s">
        <v>29</v>
      </c>
    </row>
    <row r="2943" spans="1:24" x14ac:dyDescent="0.3">
      <c r="A2943" s="1" t="str">
        <f t="shared" si="561"/>
        <v>59828</v>
      </c>
      <c r="B2943" s="1" t="s">
        <v>23</v>
      </c>
      <c r="C2943" s="1" t="s">
        <v>24</v>
      </c>
      <c r="D2943" s="1" t="str">
        <f t="shared" si="562"/>
        <v>9801</v>
      </c>
      <c r="E2943" s="1" t="s">
        <v>25</v>
      </c>
      <c r="F2943" s="1" t="str">
        <f>"1626624682"</f>
        <v>1626624682</v>
      </c>
      <c r="G2943" s="1" t="s">
        <v>33</v>
      </c>
      <c r="H2943" s="1" t="str">
        <f t="shared" si="555"/>
        <v>20220913</v>
      </c>
      <c r="I2943" s="1" t="str">
        <f>"072232"</f>
        <v>072232</v>
      </c>
      <c r="J2943" s="1" t="s">
        <v>28</v>
      </c>
      <c r="K2943" s="1" t="s">
        <v>28</v>
      </c>
      <c r="L2943" s="1" t="str">
        <f t="shared" si="563"/>
        <v>20220913</v>
      </c>
      <c r="M2943" s="1" t="str">
        <f>"074305"</f>
        <v>074305</v>
      </c>
      <c r="N2943" s="1" t="s">
        <v>65</v>
      </c>
      <c r="O2943" s="1" t="s">
        <v>52</v>
      </c>
      <c r="P2943" s="1" t="s">
        <v>55</v>
      </c>
      <c r="Q2943" s="1">
        <v>25</v>
      </c>
      <c r="R2943" s="1">
        <v>25</v>
      </c>
      <c r="S2943" s="1">
        <v>0</v>
      </c>
      <c r="T2943" s="1">
        <v>0</v>
      </c>
      <c r="U2943" s="1">
        <v>0</v>
      </c>
      <c r="V2943" s="1" t="str">
        <f t="shared" si="560"/>
        <v>里程返程</v>
      </c>
      <c r="W2943" s="1" t="str">
        <f>"0620"</f>
        <v>0620</v>
      </c>
      <c r="X2943" s="1" t="s">
        <v>35</v>
      </c>
    </row>
    <row r="2944" spans="1:24" x14ac:dyDescent="0.3">
      <c r="A2944" s="1" t="str">
        <f t="shared" si="561"/>
        <v>59828</v>
      </c>
      <c r="B2944" s="1" t="s">
        <v>23</v>
      </c>
      <c r="C2944" s="1" t="s">
        <v>24</v>
      </c>
      <c r="D2944" s="1" t="str">
        <f t="shared" si="562"/>
        <v>9801</v>
      </c>
      <c r="E2944" s="1" t="s">
        <v>25</v>
      </c>
      <c r="F2944" s="1" t="str">
        <f>"026A101860880400C814002000000019"</f>
        <v>026A101860880400C814002000000019</v>
      </c>
      <c r="G2944" s="1" t="s">
        <v>59</v>
      </c>
      <c r="H2944" s="1" t="str">
        <f t="shared" si="555"/>
        <v>20220913</v>
      </c>
      <c r="I2944" s="1" t="str">
        <f>"072236"</f>
        <v>072236</v>
      </c>
      <c r="J2944" s="1" t="s">
        <v>28</v>
      </c>
      <c r="K2944" s="1" t="s">
        <v>28</v>
      </c>
      <c r="L2944" s="1" t="str">
        <f t="shared" si="563"/>
        <v>20220913</v>
      </c>
      <c r="M2944" s="1" t="str">
        <f>"074732"</f>
        <v>074732</v>
      </c>
      <c r="N2944" s="1" t="s">
        <v>71</v>
      </c>
      <c r="O2944" s="1" t="s">
        <v>52</v>
      </c>
      <c r="P2944" s="1" t="s">
        <v>55</v>
      </c>
      <c r="Q2944" s="1">
        <v>25</v>
      </c>
      <c r="R2944" s="1">
        <v>0</v>
      </c>
      <c r="S2944" s="1">
        <v>25</v>
      </c>
      <c r="T2944" s="1">
        <v>0</v>
      </c>
      <c r="U2944" s="1">
        <v>0</v>
      </c>
      <c r="V2944" s="1" t="str">
        <f t="shared" si="560"/>
        <v>里程返程</v>
      </c>
      <c r="W2944" s="1" t="str">
        <f>"0620"</f>
        <v>0620</v>
      </c>
      <c r="X2944" s="1" t="s">
        <v>29</v>
      </c>
    </row>
    <row r="2945" spans="1:24" x14ac:dyDescent="0.3">
      <c r="A2945" s="1" t="str">
        <f t="shared" si="561"/>
        <v>59828</v>
      </c>
      <c r="B2945" s="1" t="s">
        <v>23</v>
      </c>
      <c r="C2945" s="1" t="s">
        <v>24</v>
      </c>
      <c r="D2945" s="1" t="str">
        <f t="shared" si="562"/>
        <v>9801</v>
      </c>
      <c r="E2945" s="1" t="s">
        <v>25</v>
      </c>
      <c r="F2945" s="1" t="str">
        <f>"222FE702E8880400C834002000000015"</f>
        <v>222FE702E8880400C834002000000015</v>
      </c>
      <c r="G2945" s="1" t="s">
        <v>74</v>
      </c>
      <c r="H2945" s="1" t="str">
        <f t="shared" si="555"/>
        <v>20220913</v>
      </c>
      <c r="I2945" s="1" t="str">
        <f>"072240"</f>
        <v>072240</v>
      </c>
      <c r="J2945" s="1" t="s">
        <v>28</v>
      </c>
      <c r="K2945" s="1" t="s">
        <v>28</v>
      </c>
      <c r="L2945" s="1" t="str">
        <f t="shared" si="563"/>
        <v>20220913</v>
      </c>
      <c r="M2945" s="1" t="str">
        <f>"075214"</f>
        <v>075214</v>
      </c>
      <c r="N2945" s="1" t="s">
        <v>60</v>
      </c>
      <c r="O2945" s="1" t="s">
        <v>52</v>
      </c>
      <c r="P2945" s="1" t="s">
        <v>68</v>
      </c>
      <c r="Q2945" s="1">
        <v>13</v>
      </c>
      <c r="R2945" s="1">
        <v>0</v>
      </c>
      <c r="S2945" s="1">
        <v>0</v>
      </c>
      <c r="T2945" s="1">
        <v>13</v>
      </c>
      <c r="U2945" s="1">
        <v>0</v>
      </c>
      <c r="V2945" s="1" t="str">
        <f t="shared" si="560"/>
        <v>里程返程</v>
      </c>
      <c r="W2945" s="1" t="str">
        <f>"0020"</f>
        <v>0020</v>
      </c>
      <c r="X2945" s="1" t="s">
        <v>29</v>
      </c>
    </row>
    <row r="2946" spans="1:24" x14ac:dyDescent="0.3">
      <c r="A2946" s="1" t="str">
        <f t="shared" si="561"/>
        <v>59828</v>
      </c>
      <c r="B2946" s="1" t="s">
        <v>23</v>
      </c>
      <c r="C2946" s="1" t="s">
        <v>24</v>
      </c>
      <c r="D2946" s="1" t="str">
        <f t="shared" si="562"/>
        <v>9801</v>
      </c>
      <c r="E2946" s="1" t="s">
        <v>25</v>
      </c>
      <c r="F2946" s="1" t="str">
        <f>"82730F18E6880400C814002000000019"</f>
        <v>82730F18E6880400C814002000000019</v>
      </c>
      <c r="G2946" s="1" t="s">
        <v>59</v>
      </c>
      <c r="H2946" s="1" t="str">
        <f t="shared" si="555"/>
        <v>20220913</v>
      </c>
      <c r="I2946" s="1" t="str">
        <f>"072243"</f>
        <v>072243</v>
      </c>
      <c r="J2946" s="1" t="s">
        <v>28</v>
      </c>
      <c r="K2946" s="1" t="s">
        <v>28</v>
      </c>
      <c r="L2946" s="1" t="str">
        <f t="shared" si="563"/>
        <v>20220913</v>
      </c>
      <c r="M2946" s="1" t="str">
        <f>"074457"</f>
        <v>074457</v>
      </c>
      <c r="N2946" s="1" t="s">
        <v>72</v>
      </c>
      <c r="O2946" s="1" t="s">
        <v>52</v>
      </c>
      <c r="P2946" s="1" t="s">
        <v>55</v>
      </c>
      <c r="Q2946" s="1">
        <v>25</v>
      </c>
      <c r="R2946" s="1">
        <v>0</v>
      </c>
      <c r="S2946" s="1">
        <v>25</v>
      </c>
      <c r="T2946" s="1">
        <v>0</v>
      </c>
      <c r="U2946" s="1">
        <v>0</v>
      </c>
      <c r="V2946" s="1" t="str">
        <f t="shared" si="560"/>
        <v>里程返程</v>
      </c>
      <c r="W2946" s="1" t="str">
        <f>"0620"</f>
        <v>0620</v>
      </c>
      <c r="X2946" s="1" t="s">
        <v>29</v>
      </c>
    </row>
    <row r="2947" spans="1:24" x14ac:dyDescent="0.3">
      <c r="A2947" s="1" t="str">
        <f t="shared" si="561"/>
        <v>59828</v>
      </c>
      <c r="B2947" s="1" t="s">
        <v>23</v>
      </c>
      <c r="C2947" s="1" t="s">
        <v>24</v>
      </c>
      <c r="D2947" s="1" t="str">
        <f t="shared" si="562"/>
        <v>9801</v>
      </c>
      <c r="E2947" s="1" t="s">
        <v>25</v>
      </c>
      <c r="F2947" s="1" t="str">
        <f>"1204061808880400C814002000000019"</f>
        <v>1204061808880400C814002000000019</v>
      </c>
      <c r="G2947" s="1" t="s">
        <v>59</v>
      </c>
      <c r="H2947" s="1" t="str">
        <f t="shared" si="555"/>
        <v>20220913</v>
      </c>
      <c r="I2947" s="1" t="str">
        <f>"072246"</f>
        <v>072246</v>
      </c>
      <c r="J2947" s="1" t="s">
        <v>28</v>
      </c>
      <c r="K2947" s="1" t="s">
        <v>28</v>
      </c>
      <c r="L2947" s="1" t="str">
        <f t="shared" si="563"/>
        <v>20220913</v>
      </c>
      <c r="M2947" s="1" t="str">
        <f>"074501"</f>
        <v>074501</v>
      </c>
      <c r="N2947" s="1" t="s">
        <v>72</v>
      </c>
      <c r="O2947" s="1" t="s">
        <v>52</v>
      </c>
      <c r="P2947" s="1" t="s">
        <v>55</v>
      </c>
      <c r="Q2947" s="1">
        <v>25</v>
      </c>
      <c r="R2947" s="1">
        <v>0</v>
      </c>
      <c r="S2947" s="1">
        <v>25</v>
      </c>
      <c r="T2947" s="1">
        <v>0</v>
      </c>
      <c r="U2947" s="1">
        <v>0</v>
      </c>
      <c r="V2947" s="1" t="str">
        <f t="shared" si="560"/>
        <v>里程返程</v>
      </c>
      <c r="W2947" s="1" t="str">
        <f>"0620"</f>
        <v>0620</v>
      </c>
      <c r="X2947" s="1" t="s">
        <v>29</v>
      </c>
    </row>
    <row r="2948" spans="1:24" x14ac:dyDescent="0.3">
      <c r="A2948" s="1" t="str">
        <f t="shared" si="561"/>
        <v>59828</v>
      </c>
      <c r="B2948" s="1" t="s">
        <v>23</v>
      </c>
      <c r="C2948" s="1" t="s">
        <v>24</v>
      </c>
      <c r="D2948" s="1" t="str">
        <f t="shared" si="562"/>
        <v>9801</v>
      </c>
      <c r="E2948" s="1" t="s">
        <v>25</v>
      </c>
      <c r="F2948" s="1" t="str">
        <f>"62F00B1881880400C814002000000019"</f>
        <v>62F00B1881880400C814002000000019</v>
      </c>
      <c r="G2948" s="1" t="s">
        <v>59</v>
      </c>
      <c r="H2948" s="1" t="str">
        <f t="shared" si="555"/>
        <v>20220913</v>
      </c>
      <c r="I2948" s="1" t="str">
        <f>"072249"</f>
        <v>072249</v>
      </c>
      <c r="J2948" s="1" t="s">
        <v>28</v>
      </c>
      <c r="K2948" s="1" t="s">
        <v>28</v>
      </c>
      <c r="L2948" s="1" t="str">
        <f t="shared" si="563"/>
        <v>20220913</v>
      </c>
      <c r="M2948" s="1" t="str">
        <f>"074459"</f>
        <v>074459</v>
      </c>
      <c r="N2948" s="1" t="s">
        <v>72</v>
      </c>
      <c r="O2948" s="1" t="s">
        <v>52</v>
      </c>
      <c r="P2948" s="1" t="s">
        <v>55</v>
      </c>
      <c r="Q2948" s="1">
        <v>25</v>
      </c>
      <c r="R2948" s="1">
        <v>0</v>
      </c>
      <c r="S2948" s="1">
        <v>25</v>
      </c>
      <c r="T2948" s="1">
        <v>0</v>
      </c>
      <c r="U2948" s="1">
        <v>0</v>
      </c>
      <c r="V2948" s="1" t="str">
        <f t="shared" si="560"/>
        <v>里程返程</v>
      </c>
      <c r="W2948" s="1" t="str">
        <f>"0620"</f>
        <v>0620</v>
      </c>
      <c r="X2948" s="1" t="s">
        <v>29</v>
      </c>
    </row>
    <row r="2949" spans="1:24" x14ac:dyDescent="0.3">
      <c r="A2949" s="1" t="str">
        <f t="shared" si="561"/>
        <v>59828</v>
      </c>
      <c r="B2949" s="1" t="s">
        <v>23</v>
      </c>
      <c r="C2949" s="1" t="s">
        <v>24</v>
      </c>
      <c r="D2949" s="1" t="str">
        <f t="shared" si="562"/>
        <v>9801</v>
      </c>
      <c r="E2949" s="1" t="s">
        <v>25</v>
      </c>
      <c r="F2949" s="1" t="str">
        <f>"1842327157"</f>
        <v>1842327157</v>
      </c>
      <c r="G2949" s="1" t="s">
        <v>33</v>
      </c>
      <c r="H2949" s="1" t="str">
        <f t="shared" si="555"/>
        <v>20220913</v>
      </c>
      <c r="I2949" s="1" t="str">
        <f>"072257"</f>
        <v>072257</v>
      </c>
      <c r="J2949" s="1" t="s">
        <v>28</v>
      </c>
      <c r="K2949" s="1" t="s">
        <v>28</v>
      </c>
      <c r="L2949" s="1" t="str">
        <f t="shared" si="563"/>
        <v>20220913</v>
      </c>
      <c r="M2949" s="1" t="str">
        <f>"074045"</f>
        <v>074045</v>
      </c>
      <c r="N2949" s="1" t="s">
        <v>80</v>
      </c>
      <c r="O2949" s="1" t="s">
        <v>52</v>
      </c>
      <c r="P2949" s="1" t="s">
        <v>55</v>
      </c>
      <c r="Q2949" s="1">
        <v>25</v>
      </c>
      <c r="R2949" s="1">
        <v>25</v>
      </c>
      <c r="S2949" s="1">
        <v>0</v>
      </c>
      <c r="T2949" s="1">
        <v>0</v>
      </c>
      <c r="U2949" s="1">
        <v>0</v>
      </c>
      <c r="V2949" s="1" t="str">
        <f t="shared" si="560"/>
        <v>里程返程</v>
      </c>
      <c r="W2949" s="1" t="str">
        <f>"2020"</f>
        <v>2020</v>
      </c>
      <c r="X2949" s="1" t="s">
        <v>35</v>
      </c>
    </row>
    <row r="2950" spans="1:24" x14ac:dyDescent="0.3">
      <c r="A2950" s="1" t="str">
        <f t="shared" si="561"/>
        <v>59828</v>
      </c>
      <c r="B2950" s="1" t="s">
        <v>23</v>
      </c>
      <c r="C2950" s="1" t="s">
        <v>24</v>
      </c>
      <c r="D2950" s="1" t="str">
        <f t="shared" si="562"/>
        <v>9801</v>
      </c>
      <c r="E2950" s="1" t="s">
        <v>25</v>
      </c>
      <c r="F2950" s="1" t="str">
        <f>"1759959808"</f>
        <v>1759959808</v>
      </c>
      <c r="G2950" s="1" t="s">
        <v>33</v>
      </c>
      <c r="H2950" s="1" t="str">
        <f t="shared" si="555"/>
        <v>20220913</v>
      </c>
      <c r="I2950" s="1" t="str">
        <f>"074051"</f>
        <v>074051</v>
      </c>
      <c r="J2950" s="1" t="s">
        <v>80</v>
      </c>
      <c r="K2950" s="1" t="s">
        <v>52</v>
      </c>
      <c r="L2950" s="1" t="str">
        <f t="shared" si="563"/>
        <v>20220913</v>
      </c>
      <c r="M2950" s="1" t="str">
        <f>"075216"</f>
        <v>075216</v>
      </c>
      <c r="N2950" s="1" t="s">
        <v>60</v>
      </c>
      <c r="O2950" s="1" t="s">
        <v>52</v>
      </c>
      <c r="P2950" s="1" t="s">
        <v>55</v>
      </c>
      <c r="Q2950" s="1">
        <v>25</v>
      </c>
      <c r="R2950" s="1">
        <v>25</v>
      </c>
      <c r="S2950" s="1">
        <v>0</v>
      </c>
      <c r="T2950" s="1">
        <v>0</v>
      </c>
      <c r="U2950" s="1">
        <v>0</v>
      </c>
      <c r="V2950" s="1" t="str">
        <f t="shared" si="560"/>
        <v>里程返程</v>
      </c>
      <c r="W2950" s="1" t="str">
        <f>"2020"</f>
        <v>2020</v>
      </c>
      <c r="X2950" s="1" t="s">
        <v>35</v>
      </c>
    </row>
    <row r="2951" spans="1:24" x14ac:dyDescent="0.3">
      <c r="A2951" s="1" t="str">
        <f t="shared" si="561"/>
        <v>59828</v>
      </c>
      <c r="B2951" s="1" t="s">
        <v>23</v>
      </c>
      <c r="C2951" s="1" t="s">
        <v>24</v>
      </c>
      <c r="D2951" s="1" t="str">
        <f t="shared" si="562"/>
        <v>9801</v>
      </c>
      <c r="E2951" s="1" t="s">
        <v>25</v>
      </c>
      <c r="F2951" s="1" t="str">
        <f>"82D5FB02AE880400C834002000000015"</f>
        <v>82D5FB02AE880400C834002000000015</v>
      </c>
      <c r="G2951" s="1" t="s">
        <v>26</v>
      </c>
      <c r="H2951" s="1" t="str">
        <f t="shared" si="555"/>
        <v>20220913</v>
      </c>
      <c r="I2951" s="1" t="str">
        <f>"080933"</f>
        <v>080933</v>
      </c>
      <c r="J2951" s="1" t="s">
        <v>51</v>
      </c>
      <c r="K2951" s="1" t="s">
        <v>52</v>
      </c>
      <c r="L2951" s="1" t="str">
        <f t="shared" si="563"/>
        <v>20220913</v>
      </c>
      <c r="M2951" s="1" t="str">
        <f>"081633"</f>
        <v>081633</v>
      </c>
      <c r="N2951" s="1" t="s">
        <v>80</v>
      </c>
      <c r="O2951" s="1" t="s">
        <v>52</v>
      </c>
      <c r="P2951" s="1" t="s">
        <v>68</v>
      </c>
      <c r="Q2951" s="1">
        <v>13</v>
      </c>
      <c r="R2951" s="1">
        <v>0</v>
      </c>
      <c r="S2951" s="1">
        <v>0</v>
      </c>
      <c r="T2951" s="1">
        <v>13</v>
      </c>
      <c r="U2951" s="1">
        <v>0</v>
      </c>
      <c r="V2951" s="1" t="str">
        <f t="shared" ref="V2951:V2957" si="564">"里程去程"</f>
        <v>里程去程</v>
      </c>
      <c r="W2951" s="1" t="str">
        <f>"0020"</f>
        <v>0020</v>
      </c>
      <c r="X2951" s="1" t="s">
        <v>29</v>
      </c>
    </row>
    <row r="2952" spans="1:24" x14ac:dyDescent="0.3">
      <c r="A2952" s="1" t="str">
        <f t="shared" si="561"/>
        <v>59828</v>
      </c>
      <c r="B2952" s="1" t="s">
        <v>23</v>
      </c>
      <c r="C2952" s="1" t="s">
        <v>24</v>
      </c>
      <c r="D2952" s="1" t="str">
        <f t="shared" si="562"/>
        <v>9801</v>
      </c>
      <c r="E2952" s="1" t="s">
        <v>25</v>
      </c>
      <c r="F2952" s="1" t="str">
        <f>"F2F7D002D7880400C834002000000015"</f>
        <v>F2F7D002D7880400C834002000000015</v>
      </c>
      <c r="G2952" s="1" t="s">
        <v>74</v>
      </c>
      <c r="H2952" s="1" t="str">
        <f t="shared" si="555"/>
        <v>20220913</v>
      </c>
      <c r="I2952" s="1" t="str">
        <f>"082559"</f>
        <v>082559</v>
      </c>
      <c r="J2952" s="1" t="s">
        <v>67</v>
      </c>
      <c r="K2952" s="1" t="s">
        <v>52</v>
      </c>
      <c r="L2952" s="1" t="str">
        <f t="shared" si="563"/>
        <v>20220913</v>
      </c>
      <c r="M2952" s="1" t="str">
        <f>"085603"</f>
        <v>085603</v>
      </c>
      <c r="N2952" s="1" t="s">
        <v>44</v>
      </c>
      <c r="O2952" s="1" t="s">
        <v>45</v>
      </c>
      <c r="P2952" s="1" t="s">
        <v>68</v>
      </c>
      <c r="Q2952" s="1">
        <v>25</v>
      </c>
      <c r="R2952" s="1">
        <v>0</v>
      </c>
      <c r="S2952" s="1">
        <v>0</v>
      </c>
      <c r="T2952" s="1">
        <v>25</v>
      </c>
      <c r="U2952" s="1">
        <v>0</v>
      </c>
      <c r="V2952" s="1" t="str">
        <f t="shared" si="564"/>
        <v>里程去程</v>
      </c>
      <c r="W2952" s="1" t="str">
        <f>"0020"</f>
        <v>0020</v>
      </c>
      <c r="X2952" s="1" t="s">
        <v>29</v>
      </c>
    </row>
    <row r="2953" spans="1:24" x14ac:dyDescent="0.3">
      <c r="A2953" s="1" t="str">
        <f t="shared" si="561"/>
        <v>59828</v>
      </c>
      <c r="B2953" s="1" t="s">
        <v>23</v>
      </c>
      <c r="C2953" s="1" t="s">
        <v>24</v>
      </c>
      <c r="D2953" s="1" t="str">
        <f t="shared" si="562"/>
        <v>9801</v>
      </c>
      <c r="E2953" s="1" t="s">
        <v>25</v>
      </c>
      <c r="F2953" s="1" t="str">
        <f>"F2F7D002D7880400C834002000000015"</f>
        <v>F2F7D002D7880400C834002000000015</v>
      </c>
      <c r="G2953" s="1" t="s">
        <v>74</v>
      </c>
      <c r="H2953" s="1" t="str">
        <f t="shared" si="555"/>
        <v>20220913</v>
      </c>
      <c r="I2953" s="1" t="str">
        <f>"085741"</f>
        <v>085741</v>
      </c>
      <c r="J2953" s="1" t="s">
        <v>52</v>
      </c>
      <c r="K2953" s="1" t="s">
        <v>52</v>
      </c>
      <c r="L2953" s="1" t="str">
        <f t="shared" si="563"/>
        <v>20220913</v>
      </c>
      <c r="M2953" s="1" t="str">
        <f>"090051"</f>
        <v>090051</v>
      </c>
      <c r="N2953" s="1" t="s">
        <v>52</v>
      </c>
      <c r="O2953" s="1" t="s">
        <v>52</v>
      </c>
      <c r="P2953" s="1" t="s">
        <v>68</v>
      </c>
      <c r="Q2953" s="1">
        <v>13</v>
      </c>
      <c r="R2953" s="1">
        <v>0</v>
      </c>
      <c r="S2953" s="1">
        <v>0</v>
      </c>
      <c r="T2953" s="1">
        <v>13</v>
      </c>
      <c r="U2953" s="1">
        <v>0</v>
      </c>
      <c r="V2953" s="1" t="str">
        <f t="shared" si="564"/>
        <v>里程去程</v>
      </c>
      <c r="W2953" s="1" t="str">
        <f>"0020"</f>
        <v>0020</v>
      </c>
      <c r="X2953" s="1" t="s">
        <v>29</v>
      </c>
    </row>
    <row r="2954" spans="1:24" x14ac:dyDescent="0.3">
      <c r="A2954" s="1" t="str">
        <f t="shared" si="561"/>
        <v>59828</v>
      </c>
      <c r="B2954" s="1" t="s">
        <v>23</v>
      </c>
      <c r="C2954" s="1" t="s">
        <v>24</v>
      </c>
      <c r="D2954" s="1" t="str">
        <f t="shared" si="562"/>
        <v>9801</v>
      </c>
      <c r="E2954" s="1" t="s">
        <v>25</v>
      </c>
      <c r="F2954" s="1" t="str">
        <f>"A0112D71ED8804004885149351802811"</f>
        <v>A0112D71ED8804004885149351802811</v>
      </c>
      <c r="G2954" s="1" t="s">
        <v>58</v>
      </c>
      <c r="H2954" s="1" t="str">
        <f t="shared" si="555"/>
        <v>20220913</v>
      </c>
      <c r="I2954" s="1" t="str">
        <f>"093107"</f>
        <v>093107</v>
      </c>
      <c r="J2954" s="1" t="s">
        <v>27</v>
      </c>
      <c r="K2954" s="1" t="s">
        <v>28</v>
      </c>
      <c r="L2954" s="1" t="str">
        <f t="shared" si="563"/>
        <v>20220913</v>
      </c>
      <c r="M2954" s="1" t="str">
        <f>"094242"</f>
        <v>094242</v>
      </c>
      <c r="N2954" s="1" t="s">
        <v>70</v>
      </c>
      <c r="O2954" s="1" t="s">
        <v>28</v>
      </c>
      <c r="P2954" s="1" t="s">
        <v>55</v>
      </c>
      <c r="Q2954" s="1">
        <v>25</v>
      </c>
      <c r="R2954" s="1">
        <v>0</v>
      </c>
      <c r="S2954" s="1">
        <v>25</v>
      </c>
      <c r="T2954" s="1">
        <v>0</v>
      </c>
      <c r="U2954" s="1">
        <v>0</v>
      </c>
      <c r="V2954" s="1" t="str">
        <f t="shared" si="564"/>
        <v>里程去程</v>
      </c>
      <c r="W2954" s="1" t="str">
        <f>"0620"</f>
        <v>0620</v>
      </c>
      <c r="X2954" s="1" t="s">
        <v>29</v>
      </c>
    </row>
    <row r="2955" spans="1:24" x14ac:dyDescent="0.3">
      <c r="A2955" s="1" t="str">
        <f t="shared" si="561"/>
        <v>59828</v>
      </c>
      <c r="B2955" s="1" t="s">
        <v>23</v>
      </c>
      <c r="C2955" s="1" t="s">
        <v>24</v>
      </c>
      <c r="D2955" s="1" t="str">
        <f t="shared" si="562"/>
        <v>9801</v>
      </c>
      <c r="E2955" s="1" t="s">
        <v>25</v>
      </c>
      <c r="F2955" s="1" t="str">
        <f>"1077257477"</f>
        <v>1077257477</v>
      </c>
      <c r="G2955" s="1" t="s">
        <v>33</v>
      </c>
      <c r="H2955" s="1" t="str">
        <f t="shared" si="555"/>
        <v>20220913</v>
      </c>
      <c r="I2955" s="1" t="str">
        <f>"093111"</f>
        <v>093111</v>
      </c>
      <c r="J2955" s="1" t="s">
        <v>27</v>
      </c>
      <c r="K2955" s="1" t="s">
        <v>28</v>
      </c>
      <c r="L2955" s="1" t="str">
        <f t="shared" si="563"/>
        <v>20220913</v>
      </c>
      <c r="M2955" s="1" t="str">
        <f>"094516"</f>
        <v>094516</v>
      </c>
      <c r="N2955" s="1" t="s">
        <v>79</v>
      </c>
      <c r="O2955" s="1" t="s">
        <v>45</v>
      </c>
      <c r="P2955" s="1" t="s">
        <v>55</v>
      </c>
      <c r="Q2955" s="1">
        <v>25</v>
      </c>
      <c r="R2955" s="1">
        <v>0</v>
      </c>
      <c r="S2955" s="1">
        <v>25</v>
      </c>
      <c r="T2955" s="1">
        <v>0</v>
      </c>
      <c r="U2955" s="1">
        <v>0</v>
      </c>
      <c r="V2955" s="1" t="str">
        <f t="shared" si="564"/>
        <v>里程去程</v>
      </c>
      <c r="W2955" s="1" t="str">
        <f>"0820"</f>
        <v>0820</v>
      </c>
      <c r="X2955" s="1" t="s">
        <v>35</v>
      </c>
    </row>
    <row r="2956" spans="1:24" x14ac:dyDescent="0.3">
      <c r="A2956" s="1" t="str">
        <f t="shared" si="561"/>
        <v>59828</v>
      </c>
      <c r="B2956" s="1" t="s">
        <v>23</v>
      </c>
      <c r="C2956" s="1" t="s">
        <v>24</v>
      </c>
      <c r="D2956" s="1" t="str">
        <f t="shared" si="562"/>
        <v>9801</v>
      </c>
      <c r="E2956" s="1" t="s">
        <v>25</v>
      </c>
      <c r="F2956" s="1" t="str">
        <f>"E213BD024E880400C834002000000015"</f>
        <v>E213BD024E880400C834002000000015</v>
      </c>
      <c r="G2956" s="1" t="s">
        <v>74</v>
      </c>
      <c r="H2956" s="1" t="str">
        <f t="shared" si="555"/>
        <v>20220913</v>
      </c>
      <c r="I2956" s="1" t="str">
        <f>"093114"</f>
        <v>093114</v>
      </c>
      <c r="J2956" s="1" t="s">
        <v>27</v>
      </c>
      <c r="K2956" s="1" t="s">
        <v>28</v>
      </c>
      <c r="L2956" s="1" t="str">
        <f t="shared" si="563"/>
        <v>20220913</v>
      </c>
      <c r="M2956" s="1" t="str">
        <f>"094921"</f>
        <v>094921</v>
      </c>
      <c r="N2956" s="1" t="s">
        <v>61</v>
      </c>
      <c r="O2956" s="1" t="s">
        <v>45</v>
      </c>
      <c r="P2956" s="1" t="s">
        <v>68</v>
      </c>
      <c r="Q2956" s="1">
        <v>13</v>
      </c>
      <c r="R2956" s="1">
        <v>0</v>
      </c>
      <c r="S2956" s="1">
        <v>0</v>
      </c>
      <c r="T2956" s="1">
        <v>13</v>
      </c>
      <c r="U2956" s="1">
        <v>0</v>
      </c>
      <c r="V2956" s="1" t="str">
        <f t="shared" si="564"/>
        <v>里程去程</v>
      </c>
      <c r="W2956" s="1" t="str">
        <f>"0020"</f>
        <v>0020</v>
      </c>
      <c r="X2956" s="1" t="s">
        <v>29</v>
      </c>
    </row>
    <row r="2957" spans="1:24" x14ac:dyDescent="0.3">
      <c r="A2957" s="1" t="str">
        <f t="shared" si="561"/>
        <v>59828</v>
      </c>
      <c r="B2957" s="1" t="s">
        <v>23</v>
      </c>
      <c r="C2957" s="1" t="s">
        <v>24</v>
      </c>
      <c r="D2957" s="1" t="str">
        <f t="shared" si="562"/>
        <v>9801</v>
      </c>
      <c r="E2957" s="1" t="s">
        <v>25</v>
      </c>
      <c r="F2957" s="1" t="str">
        <f>"1684668021"</f>
        <v>1684668021</v>
      </c>
      <c r="G2957" s="1" t="s">
        <v>33</v>
      </c>
      <c r="H2957" s="1" t="str">
        <f t="shared" si="555"/>
        <v>20220913</v>
      </c>
      <c r="I2957" s="1" t="str">
        <f>"093215"</f>
        <v>093215</v>
      </c>
      <c r="J2957" s="1" t="s">
        <v>27</v>
      </c>
      <c r="K2957" s="1" t="s">
        <v>28</v>
      </c>
      <c r="L2957" s="1" t="str">
        <f t="shared" si="563"/>
        <v>20220913</v>
      </c>
      <c r="M2957" s="1" t="str">
        <f>"095205"</f>
        <v>095205</v>
      </c>
      <c r="N2957" s="1" t="s">
        <v>75</v>
      </c>
      <c r="O2957" s="1" t="s">
        <v>45</v>
      </c>
      <c r="P2957" s="1" t="s">
        <v>55</v>
      </c>
      <c r="Q2957" s="1">
        <v>25</v>
      </c>
      <c r="R2957" s="1">
        <v>25</v>
      </c>
      <c r="S2957" s="1">
        <v>0</v>
      </c>
      <c r="T2957" s="1">
        <v>0</v>
      </c>
      <c r="U2957" s="1">
        <v>0</v>
      </c>
      <c r="V2957" s="1" t="str">
        <f t="shared" si="564"/>
        <v>里程去程</v>
      </c>
      <c r="W2957" s="1" t="str">
        <f>"1120"</f>
        <v>1120</v>
      </c>
      <c r="X2957" s="1" t="s">
        <v>35</v>
      </c>
    </row>
    <row r="2958" spans="1:24" x14ac:dyDescent="0.3">
      <c r="A2958" s="1" t="str">
        <f t="shared" si="561"/>
        <v>59828</v>
      </c>
      <c r="B2958" s="1" t="s">
        <v>23</v>
      </c>
      <c r="C2958" s="1" t="s">
        <v>24</v>
      </c>
      <c r="D2958" s="1" t="str">
        <f t="shared" si="562"/>
        <v>9801</v>
      </c>
      <c r="E2958" s="1" t="s">
        <v>25</v>
      </c>
      <c r="F2958" s="1" t="str">
        <f>"252092911"</f>
        <v>252092911</v>
      </c>
      <c r="G2958" s="1" t="s">
        <v>26</v>
      </c>
      <c r="H2958" s="1" t="str">
        <f t="shared" si="555"/>
        <v>20220913</v>
      </c>
      <c r="I2958" s="1" t="str">
        <f>"125017"</f>
        <v>125017</v>
      </c>
      <c r="J2958" s="1" t="s">
        <v>28</v>
      </c>
      <c r="K2958" s="1" t="s">
        <v>28</v>
      </c>
      <c r="L2958" s="1" t="str">
        <f t="shared" si="563"/>
        <v>20220913</v>
      </c>
      <c r="M2958" s="1" t="str">
        <f>"132226"</f>
        <v>132226</v>
      </c>
      <c r="N2958" s="1" t="s">
        <v>52</v>
      </c>
      <c r="O2958" s="1" t="s">
        <v>52</v>
      </c>
      <c r="P2958" s="1" t="s">
        <v>55</v>
      </c>
      <c r="Q2958" s="1">
        <v>13</v>
      </c>
      <c r="R2958" s="1">
        <v>0</v>
      </c>
      <c r="S2958" s="1">
        <v>13</v>
      </c>
      <c r="T2958" s="1">
        <v>0</v>
      </c>
      <c r="U2958" s="1">
        <v>0</v>
      </c>
      <c r="V2958" s="1" t="str">
        <f t="shared" ref="V2958:V2984" si="565">"里程返程"</f>
        <v>里程返程</v>
      </c>
      <c r="W2958" s="1" t="str">
        <f>"2120"</f>
        <v>2120</v>
      </c>
      <c r="X2958" s="1" t="s">
        <v>35</v>
      </c>
    </row>
    <row r="2959" spans="1:24" x14ac:dyDescent="0.3">
      <c r="A2959" s="1" t="str">
        <f t="shared" si="561"/>
        <v>59828</v>
      </c>
      <c r="B2959" s="1" t="s">
        <v>23</v>
      </c>
      <c r="C2959" s="1" t="s">
        <v>24</v>
      </c>
      <c r="D2959" s="1" t="str">
        <f t="shared" si="562"/>
        <v>9801</v>
      </c>
      <c r="E2959" s="1" t="s">
        <v>25</v>
      </c>
      <c r="F2959" s="1" t="str">
        <f>"427BB21B90880400C822002000000021"</f>
        <v>427BB21B90880400C822002000000021</v>
      </c>
      <c r="G2959" s="1" t="s">
        <v>58</v>
      </c>
      <c r="H2959" s="1" t="str">
        <f t="shared" si="555"/>
        <v>20220913</v>
      </c>
      <c r="I2959" s="1" t="str">
        <f>"125021"</f>
        <v>125021</v>
      </c>
      <c r="J2959" s="1" t="s">
        <v>28</v>
      </c>
      <c r="K2959" s="1" t="s">
        <v>28</v>
      </c>
      <c r="L2959" s="1" t="str">
        <f t="shared" si="563"/>
        <v>20220913</v>
      </c>
      <c r="M2959" s="1" t="str">
        <f>"131433"</f>
        <v>131433</v>
      </c>
      <c r="N2959" s="1" t="s">
        <v>65</v>
      </c>
      <c r="O2959" s="1" t="s">
        <v>52</v>
      </c>
      <c r="P2959" s="1" t="s">
        <v>55</v>
      </c>
      <c r="Q2959" s="1">
        <v>25</v>
      </c>
      <c r="R2959" s="1">
        <v>25</v>
      </c>
      <c r="S2959" s="1">
        <v>0</v>
      </c>
      <c r="T2959" s="1">
        <v>0</v>
      </c>
      <c r="U2959" s="1">
        <v>0</v>
      </c>
      <c r="V2959" s="1" t="str">
        <f t="shared" si="565"/>
        <v>里程返程</v>
      </c>
      <c r="W2959" s="1" t="str">
        <f>"0020"</f>
        <v>0020</v>
      </c>
      <c r="X2959" s="1" t="s">
        <v>29</v>
      </c>
    </row>
    <row r="2960" spans="1:24" x14ac:dyDescent="0.3">
      <c r="A2960" s="1" t="str">
        <f t="shared" si="561"/>
        <v>59828</v>
      </c>
      <c r="B2960" s="1" t="s">
        <v>23</v>
      </c>
      <c r="C2960" s="1" t="s">
        <v>24</v>
      </c>
      <c r="D2960" s="1" t="str">
        <f t="shared" si="562"/>
        <v>9801</v>
      </c>
      <c r="E2960" s="1" t="s">
        <v>25</v>
      </c>
      <c r="F2960" s="1" t="str">
        <f>"821C1A0387880400C834002000000015"</f>
        <v>821C1A0387880400C834002000000015</v>
      </c>
      <c r="G2960" s="1" t="s">
        <v>26</v>
      </c>
      <c r="H2960" s="1" t="str">
        <f t="shared" si="555"/>
        <v>20220913</v>
      </c>
      <c r="I2960" s="1" t="str">
        <f>"125057"</f>
        <v>125057</v>
      </c>
      <c r="J2960" s="1" t="s">
        <v>28</v>
      </c>
      <c r="K2960" s="1" t="s">
        <v>28</v>
      </c>
      <c r="L2960" s="1" t="str">
        <f t="shared" si="563"/>
        <v>20220913</v>
      </c>
      <c r="M2960" s="1" t="str">
        <f>"131108"</f>
        <v>131108</v>
      </c>
      <c r="N2960" s="1" t="s">
        <v>80</v>
      </c>
      <c r="O2960" s="1" t="s">
        <v>52</v>
      </c>
      <c r="P2960" s="1" t="s">
        <v>68</v>
      </c>
      <c r="Q2960" s="1">
        <v>13</v>
      </c>
      <c r="R2960" s="1">
        <v>0</v>
      </c>
      <c r="S2960" s="1">
        <v>0</v>
      </c>
      <c r="T2960" s="1">
        <v>13</v>
      </c>
      <c r="U2960" s="1">
        <v>0</v>
      </c>
      <c r="V2960" s="1" t="str">
        <f t="shared" si="565"/>
        <v>里程返程</v>
      </c>
      <c r="W2960" s="1" t="str">
        <f>"0020"</f>
        <v>0020</v>
      </c>
      <c r="X2960" s="1" t="s">
        <v>29</v>
      </c>
    </row>
    <row r="2961" spans="1:24" x14ac:dyDescent="0.3">
      <c r="A2961" s="1" t="str">
        <f t="shared" si="561"/>
        <v>59828</v>
      </c>
      <c r="B2961" s="1" t="s">
        <v>23</v>
      </c>
      <c r="C2961" s="1" t="s">
        <v>24</v>
      </c>
      <c r="D2961" s="1" t="str">
        <f t="shared" si="562"/>
        <v>9801</v>
      </c>
      <c r="E2961" s="1" t="s">
        <v>25</v>
      </c>
      <c r="F2961" s="1" t="str">
        <f>"E220D10211880400C834002000000015"</f>
        <v>E220D10211880400C834002000000015</v>
      </c>
      <c r="G2961" s="1" t="s">
        <v>74</v>
      </c>
      <c r="H2961" s="1" t="str">
        <f t="shared" ref="H2961:H3004" si="566">"20220913"</f>
        <v>20220913</v>
      </c>
      <c r="I2961" s="1" t="str">
        <f>"131157"</f>
        <v>131157</v>
      </c>
      <c r="J2961" s="1" t="s">
        <v>97</v>
      </c>
      <c r="K2961" s="1" t="s">
        <v>52</v>
      </c>
      <c r="L2961" s="1" t="str">
        <f t="shared" si="563"/>
        <v>20220913</v>
      </c>
      <c r="M2961" s="1" t="str">
        <f>"131358"</f>
        <v>131358</v>
      </c>
      <c r="N2961" s="1" t="s">
        <v>65</v>
      </c>
      <c r="O2961" s="1" t="s">
        <v>52</v>
      </c>
      <c r="P2961" s="1" t="s">
        <v>68</v>
      </c>
      <c r="Q2961" s="1">
        <v>13</v>
      </c>
      <c r="R2961" s="1">
        <v>0</v>
      </c>
      <c r="S2961" s="1">
        <v>0</v>
      </c>
      <c r="T2961" s="1">
        <v>13</v>
      </c>
      <c r="U2961" s="1">
        <v>0</v>
      </c>
      <c r="V2961" s="1" t="str">
        <f t="shared" si="565"/>
        <v>里程返程</v>
      </c>
      <c r="W2961" s="1" t="str">
        <f>"0020"</f>
        <v>0020</v>
      </c>
      <c r="X2961" s="1" t="s">
        <v>29</v>
      </c>
    </row>
    <row r="2962" spans="1:24" x14ac:dyDescent="0.3">
      <c r="A2962" s="1" t="str">
        <f t="shared" si="561"/>
        <v>59828</v>
      </c>
      <c r="B2962" s="1" t="s">
        <v>23</v>
      </c>
      <c r="C2962" s="1" t="s">
        <v>24</v>
      </c>
      <c r="D2962" s="1" t="str">
        <f t="shared" si="562"/>
        <v>9801</v>
      </c>
      <c r="E2962" s="1" t="s">
        <v>25</v>
      </c>
      <c r="F2962" s="1" t="str">
        <f>"524940134828040080CED9985D913018"</f>
        <v>524940134828040080CED9985D913018</v>
      </c>
      <c r="G2962" s="1" t="s">
        <v>58</v>
      </c>
      <c r="H2962" s="1" t="str">
        <f t="shared" si="566"/>
        <v>20220913</v>
      </c>
      <c r="I2962" s="1" t="str">
        <f>"142831"</f>
        <v>142831</v>
      </c>
      <c r="J2962" s="1" t="s">
        <v>44</v>
      </c>
      <c r="K2962" s="1" t="s">
        <v>45</v>
      </c>
      <c r="L2962" s="1" t="str">
        <f t="shared" si="563"/>
        <v>20220913</v>
      </c>
      <c r="M2962" s="1" t="str">
        <f>"145116"</f>
        <v>145116</v>
      </c>
      <c r="N2962" s="1" t="s">
        <v>28</v>
      </c>
      <c r="O2962" s="1" t="s">
        <v>28</v>
      </c>
      <c r="P2962" s="1" t="s">
        <v>55</v>
      </c>
      <c r="Q2962" s="1">
        <v>25</v>
      </c>
      <c r="R2962" s="1">
        <v>0</v>
      </c>
      <c r="S2962" s="1">
        <v>25</v>
      </c>
      <c r="T2962" s="1">
        <v>0</v>
      </c>
      <c r="U2962" s="1">
        <v>0</v>
      </c>
      <c r="V2962" s="1" t="str">
        <f t="shared" si="565"/>
        <v>里程返程</v>
      </c>
      <c r="W2962" s="1" t="str">
        <f>"1120"</f>
        <v>1120</v>
      </c>
      <c r="X2962" s="1" t="s">
        <v>29</v>
      </c>
    </row>
    <row r="2963" spans="1:24" x14ac:dyDescent="0.3">
      <c r="A2963" s="1" t="str">
        <f t="shared" si="561"/>
        <v>59828</v>
      </c>
      <c r="B2963" s="1" t="s">
        <v>23</v>
      </c>
      <c r="C2963" s="1" t="s">
        <v>24</v>
      </c>
      <c r="D2963" s="1" t="str">
        <f t="shared" si="562"/>
        <v>9801</v>
      </c>
      <c r="E2963" s="1" t="s">
        <v>25</v>
      </c>
      <c r="F2963" s="1" t="str">
        <f>"1015450469"</f>
        <v>1015450469</v>
      </c>
      <c r="G2963" s="1" t="s">
        <v>33</v>
      </c>
      <c r="H2963" s="1" t="str">
        <f t="shared" si="566"/>
        <v>20220913</v>
      </c>
      <c r="I2963" s="1" t="str">
        <f>"142837"</f>
        <v>142837</v>
      </c>
      <c r="J2963" s="1" t="s">
        <v>44</v>
      </c>
      <c r="K2963" s="1" t="s">
        <v>45</v>
      </c>
      <c r="L2963" s="1" t="str">
        <f t="shared" si="563"/>
        <v>20220913</v>
      </c>
      <c r="M2963" s="1" t="str">
        <f>"145121"</f>
        <v>145121</v>
      </c>
      <c r="N2963" s="1" t="s">
        <v>28</v>
      </c>
      <c r="O2963" s="1" t="s">
        <v>28</v>
      </c>
      <c r="P2963" s="1" t="s">
        <v>55</v>
      </c>
      <c r="Q2963" s="1">
        <v>25</v>
      </c>
      <c r="R2963" s="1">
        <v>0</v>
      </c>
      <c r="S2963" s="1">
        <v>25</v>
      </c>
      <c r="T2963" s="1">
        <v>0</v>
      </c>
      <c r="U2963" s="1">
        <v>0</v>
      </c>
      <c r="V2963" s="1" t="str">
        <f t="shared" si="565"/>
        <v>里程返程</v>
      </c>
      <c r="W2963" s="1" t="str">
        <f>"2120"</f>
        <v>2120</v>
      </c>
      <c r="X2963" s="1" t="s">
        <v>35</v>
      </c>
    </row>
    <row r="2964" spans="1:24" x14ac:dyDescent="0.3">
      <c r="A2964" s="1" t="str">
        <f t="shared" si="561"/>
        <v>59828</v>
      </c>
      <c r="B2964" s="1" t="s">
        <v>23</v>
      </c>
      <c r="C2964" s="1" t="s">
        <v>24</v>
      </c>
      <c r="D2964" s="1" t="str">
        <f t="shared" si="562"/>
        <v>9801</v>
      </c>
      <c r="E2964" s="1" t="s">
        <v>25</v>
      </c>
      <c r="F2964" s="1" t="str">
        <f>"32780D0344880400C834002000000015"</f>
        <v>32780D0344880400C834002000000015</v>
      </c>
      <c r="G2964" s="1" t="s">
        <v>26</v>
      </c>
      <c r="H2964" s="1" t="str">
        <f t="shared" si="566"/>
        <v>20220913</v>
      </c>
      <c r="I2964" s="1" t="str">
        <f>"145727"</f>
        <v>145727</v>
      </c>
      <c r="J2964" s="1" t="s">
        <v>41</v>
      </c>
      <c r="K2964" s="1" t="s">
        <v>28</v>
      </c>
      <c r="L2964" s="1" t="str">
        <f t="shared" si="563"/>
        <v>20220913</v>
      </c>
      <c r="M2964" s="1" t="str">
        <f>"152419"</f>
        <v>152419</v>
      </c>
      <c r="N2964" s="1" t="s">
        <v>52</v>
      </c>
      <c r="O2964" s="1" t="s">
        <v>52</v>
      </c>
      <c r="P2964" s="1" t="s">
        <v>68</v>
      </c>
      <c r="Q2964" s="1">
        <v>13</v>
      </c>
      <c r="R2964" s="1">
        <v>0</v>
      </c>
      <c r="S2964" s="1">
        <v>0</v>
      </c>
      <c r="T2964" s="1">
        <v>13</v>
      </c>
      <c r="U2964" s="1">
        <v>0</v>
      </c>
      <c r="V2964" s="1" t="str">
        <f t="shared" si="565"/>
        <v>里程返程</v>
      </c>
      <c r="W2964" s="1" t="str">
        <f>"0020"</f>
        <v>0020</v>
      </c>
      <c r="X2964" s="1" t="s">
        <v>29</v>
      </c>
    </row>
    <row r="2965" spans="1:24" x14ac:dyDescent="0.3">
      <c r="A2965" s="1" t="str">
        <f t="shared" si="561"/>
        <v>59828</v>
      </c>
      <c r="B2965" s="1" t="s">
        <v>23</v>
      </c>
      <c r="C2965" s="1" t="s">
        <v>24</v>
      </c>
      <c r="D2965" s="1" t="str">
        <f t="shared" si="562"/>
        <v>9801</v>
      </c>
      <c r="E2965" s="1" t="s">
        <v>25</v>
      </c>
      <c r="F2965" s="1" t="str">
        <f>"1402001489"</f>
        <v>1402001489</v>
      </c>
      <c r="G2965" s="1" t="s">
        <v>33</v>
      </c>
      <c r="H2965" s="1" t="str">
        <f t="shared" si="566"/>
        <v>20220913</v>
      </c>
      <c r="I2965" s="1" t="str">
        <f>"153836"</f>
        <v>153836</v>
      </c>
      <c r="J2965" s="1" t="s">
        <v>75</v>
      </c>
      <c r="K2965" s="1" t="s">
        <v>45</v>
      </c>
      <c r="L2965" s="1" t="str">
        <f t="shared" si="563"/>
        <v>20220913</v>
      </c>
      <c r="M2965" s="1" t="str">
        <f>"155202"</f>
        <v>155202</v>
      </c>
      <c r="N2965" s="1" t="s">
        <v>28</v>
      </c>
      <c r="O2965" s="1" t="s">
        <v>28</v>
      </c>
      <c r="P2965" s="1" t="s">
        <v>55</v>
      </c>
      <c r="Q2965" s="1">
        <v>25</v>
      </c>
      <c r="R2965" s="1">
        <v>25</v>
      </c>
      <c r="S2965" s="1">
        <v>0</v>
      </c>
      <c r="T2965" s="1">
        <v>0</v>
      </c>
      <c r="U2965" s="1">
        <v>0</v>
      </c>
      <c r="V2965" s="1" t="str">
        <f t="shared" si="565"/>
        <v>里程返程</v>
      </c>
      <c r="W2965" s="1" t="str">
        <f>"2020"</f>
        <v>2020</v>
      </c>
      <c r="X2965" s="1" t="s">
        <v>35</v>
      </c>
    </row>
    <row r="2966" spans="1:24" x14ac:dyDescent="0.3">
      <c r="A2966" s="1" t="str">
        <f t="shared" si="561"/>
        <v>59828</v>
      </c>
      <c r="B2966" s="1" t="s">
        <v>23</v>
      </c>
      <c r="C2966" s="1" t="s">
        <v>24</v>
      </c>
      <c r="D2966" s="1" t="str">
        <f t="shared" si="562"/>
        <v>9801</v>
      </c>
      <c r="E2966" s="1" t="s">
        <v>25</v>
      </c>
      <c r="F2966" s="1" t="str">
        <f>"F24C511BF4880400C822002000000021"</f>
        <v>F24C511BF4880400C822002000000021</v>
      </c>
      <c r="G2966" s="1" t="s">
        <v>64</v>
      </c>
      <c r="H2966" s="1" t="str">
        <f t="shared" si="566"/>
        <v>20220913</v>
      </c>
      <c r="I2966" s="1" t="str">
        <f>"154338"</f>
        <v>154338</v>
      </c>
      <c r="J2966" s="1" t="s">
        <v>45</v>
      </c>
      <c r="K2966" s="1" t="s">
        <v>45</v>
      </c>
      <c r="L2966" s="1" t="str">
        <f t="shared" si="563"/>
        <v>20220913</v>
      </c>
      <c r="M2966" s="1" t="str">
        <f>"155212"</f>
        <v>155212</v>
      </c>
      <c r="N2966" s="1" t="s">
        <v>28</v>
      </c>
      <c r="O2966" s="1" t="s">
        <v>28</v>
      </c>
      <c r="P2966" s="1" t="s">
        <v>55</v>
      </c>
      <c r="Q2966" s="1">
        <v>13</v>
      </c>
      <c r="R2966" s="1">
        <v>0</v>
      </c>
      <c r="S2966" s="1">
        <v>13</v>
      </c>
      <c r="T2966" s="1">
        <v>0</v>
      </c>
      <c r="U2966" s="1">
        <v>0</v>
      </c>
      <c r="V2966" s="1" t="str">
        <f t="shared" si="565"/>
        <v>里程返程</v>
      </c>
      <c r="W2966" s="1" t="str">
        <f>"2020"</f>
        <v>2020</v>
      </c>
      <c r="X2966" s="1" t="s">
        <v>29</v>
      </c>
    </row>
    <row r="2967" spans="1:24" x14ac:dyDescent="0.3">
      <c r="A2967" s="1" t="str">
        <f t="shared" si="561"/>
        <v>59828</v>
      </c>
      <c r="B2967" s="1" t="s">
        <v>23</v>
      </c>
      <c r="C2967" s="1" t="s">
        <v>24</v>
      </c>
      <c r="D2967" s="1" t="str">
        <f t="shared" si="562"/>
        <v>9801</v>
      </c>
      <c r="E2967" s="1" t="s">
        <v>25</v>
      </c>
      <c r="F2967" s="1" t="str">
        <f>"808733733"</f>
        <v>808733733</v>
      </c>
      <c r="G2967" s="1" t="s">
        <v>33</v>
      </c>
      <c r="H2967" s="1" t="str">
        <f t="shared" si="566"/>
        <v>20220913</v>
      </c>
      <c r="I2967" s="1" t="str">
        <f>"154341"</f>
        <v>154341</v>
      </c>
      <c r="J2967" s="1" t="s">
        <v>45</v>
      </c>
      <c r="K2967" s="1" t="s">
        <v>45</v>
      </c>
      <c r="L2967" s="1" t="str">
        <f t="shared" si="563"/>
        <v>20220913</v>
      </c>
      <c r="M2967" s="1" t="str">
        <f>"155215"</f>
        <v>155215</v>
      </c>
      <c r="N2967" s="1" t="s">
        <v>28</v>
      </c>
      <c r="O2967" s="1" t="s">
        <v>28</v>
      </c>
      <c r="P2967" s="1" t="s">
        <v>55</v>
      </c>
      <c r="Q2967" s="1">
        <v>25</v>
      </c>
      <c r="R2967" s="1">
        <v>0</v>
      </c>
      <c r="S2967" s="1">
        <v>25</v>
      </c>
      <c r="T2967" s="1">
        <v>0</v>
      </c>
      <c r="U2967" s="1">
        <v>0</v>
      </c>
      <c r="V2967" s="1" t="str">
        <f t="shared" si="565"/>
        <v>里程返程</v>
      </c>
      <c r="W2967" s="1" t="str">
        <f>"2020"</f>
        <v>2020</v>
      </c>
      <c r="X2967" s="1" t="s">
        <v>35</v>
      </c>
    </row>
    <row r="2968" spans="1:24" x14ac:dyDescent="0.3">
      <c r="A2968" s="1" t="str">
        <f t="shared" si="561"/>
        <v>59828</v>
      </c>
      <c r="B2968" s="1" t="s">
        <v>23</v>
      </c>
      <c r="C2968" s="1" t="s">
        <v>24</v>
      </c>
      <c r="D2968" s="1" t="str">
        <f t="shared" si="562"/>
        <v>9801</v>
      </c>
      <c r="E2968" s="1" t="s">
        <v>25</v>
      </c>
      <c r="F2968" s="1" t="str">
        <f>"1621114069"</f>
        <v>1621114069</v>
      </c>
      <c r="G2968" s="1" t="s">
        <v>26</v>
      </c>
      <c r="H2968" s="1" t="str">
        <f t="shared" si="566"/>
        <v>20220913</v>
      </c>
      <c r="I2968" s="1" t="str">
        <f>"154344"</f>
        <v>154344</v>
      </c>
      <c r="J2968" s="1" t="s">
        <v>45</v>
      </c>
      <c r="K2968" s="1" t="s">
        <v>45</v>
      </c>
      <c r="L2968" s="1" t="str">
        <f t="shared" si="563"/>
        <v>20220913</v>
      </c>
      <c r="M2968" s="1" t="str">
        <f>"155206"</f>
        <v>155206</v>
      </c>
      <c r="N2968" s="1" t="s">
        <v>28</v>
      </c>
      <c r="O2968" s="1" t="s">
        <v>28</v>
      </c>
      <c r="P2968" s="1" t="s">
        <v>55</v>
      </c>
      <c r="Q2968" s="1">
        <v>13</v>
      </c>
      <c r="R2968" s="1">
        <v>0</v>
      </c>
      <c r="S2968" s="1">
        <v>13</v>
      </c>
      <c r="T2968" s="1">
        <v>0</v>
      </c>
      <c r="U2968" s="1">
        <v>0</v>
      </c>
      <c r="V2968" s="1" t="str">
        <f t="shared" si="565"/>
        <v>里程返程</v>
      </c>
      <c r="W2968" s="1" t="str">
        <f>"2020"</f>
        <v>2020</v>
      </c>
      <c r="X2968" s="1" t="s">
        <v>35</v>
      </c>
    </row>
    <row r="2969" spans="1:24" x14ac:dyDescent="0.3">
      <c r="A2969" s="1" t="str">
        <f t="shared" si="561"/>
        <v>59828</v>
      </c>
      <c r="B2969" s="1" t="s">
        <v>23</v>
      </c>
      <c r="C2969" s="1" t="s">
        <v>24</v>
      </c>
      <c r="D2969" s="1" t="str">
        <f t="shared" si="562"/>
        <v>9801</v>
      </c>
      <c r="E2969" s="1" t="s">
        <v>25</v>
      </c>
      <c r="F2969" s="1" t="str">
        <f>"789612437"</f>
        <v>789612437</v>
      </c>
      <c r="G2969" s="1" t="s">
        <v>26</v>
      </c>
      <c r="H2969" s="1" t="str">
        <f t="shared" si="566"/>
        <v>20220913</v>
      </c>
      <c r="I2969" s="1" t="str">
        <f>"154348"</f>
        <v>154348</v>
      </c>
      <c r="J2969" s="1" t="s">
        <v>45</v>
      </c>
      <c r="K2969" s="1" t="s">
        <v>45</v>
      </c>
      <c r="L2969" s="1" t="str">
        <f t="shared" ref="L2969:L3004" si="567">"20220913"</f>
        <v>20220913</v>
      </c>
      <c r="M2969" s="1" t="str">
        <f>"155209"</f>
        <v>155209</v>
      </c>
      <c r="N2969" s="1" t="s">
        <v>28</v>
      </c>
      <c r="O2969" s="1" t="s">
        <v>28</v>
      </c>
      <c r="P2969" s="1" t="s">
        <v>55</v>
      </c>
      <c r="Q2969" s="1">
        <v>13</v>
      </c>
      <c r="R2969" s="1">
        <v>0</v>
      </c>
      <c r="S2969" s="1">
        <v>13</v>
      </c>
      <c r="T2969" s="1">
        <v>0</v>
      </c>
      <c r="U2969" s="1">
        <v>0</v>
      </c>
      <c r="V2969" s="1" t="str">
        <f t="shared" si="565"/>
        <v>里程返程</v>
      </c>
      <c r="W2969" s="1" t="str">
        <f>"2020"</f>
        <v>2020</v>
      </c>
      <c r="X2969" s="1" t="s">
        <v>35</v>
      </c>
    </row>
    <row r="2970" spans="1:24" x14ac:dyDescent="0.3">
      <c r="A2970" s="1" t="str">
        <f t="shared" si="561"/>
        <v>59828</v>
      </c>
      <c r="B2970" s="1" t="s">
        <v>23</v>
      </c>
      <c r="C2970" s="1" t="s">
        <v>24</v>
      </c>
      <c r="D2970" s="1" t="str">
        <f t="shared" si="562"/>
        <v>9801</v>
      </c>
      <c r="E2970" s="1" t="s">
        <v>25</v>
      </c>
      <c r="F2970" s="1" t="str">
        <f>"1406577105"</f>
        <v>1406577105</v>
      </c>
      <c r="G2970" s="1" t="s">
        <v>26</v>
      </c>
      <c r="H2970" s="1" t="str">
        <f t="shared" si="566"/>
        <v>20220913</v>
      </c>
      <c r="I2970" s="1" t="str">
        <f>"155224"</f>
        <v>155224</v>
      </c>
      <c r="J2970" s="1" t="s">
        <v>28</v>
      </c>
      <c r="K2970" s="1" t="s">
        <v>28</v>
      </c>
      <c r="L2970" s="1" t="str">
        <f t="shared" si="567"/>
        <v>20220913</v>
      </c>
      <c r="M2970" s="1" t="str">
        <f>"162546"</f>
        <v>162546</v>
      </c>
      <c r="N2970" s="1" t="s">
        <v>52</v>
      </c>
      <c r="O2970" s="1" t="s">
        <v>52</v>
      </c>
      <c r="P2970" s="1" t="s">
        <v>55</v>
      </c>
      <c r="Q2970" s="1">
        <v>13</v>
      </c>
      <c r="R2970" s="1">
        <v>0</v>
      </c>
      <c r="S2970" s="1">
        <v>13</v>
      </c>
      <c r="T2970" s="1">
        <v>0</v>
      </c>
      <c r="U2970" s="1">
        <v>0</v>
      </c>
      <c r="V2970" s="1" t="str">
        <f t="shared" si="565"/>
        <v>里程返程</v>
      </c>
      <c r="W2970" s="1" t="str">
        <f>"0820"</f>
        <v>0820</v>
      </c>
      <c r="X2970" s="1" t="s">
        <v>35</v>
      </c>
    </row>
    <row r="2971" spans="1:24" x14ac:dyDescent="0.3">
      <c r="A2971" s="1" t="str">
        <f t="shared" si="561"/>
        <v>59828</v>
      </c>
      <c r="B2971" s="1" t="s">
        <v>23</v>
      </c>
      <c r="C2971" s="1" t="s">
        <v>24</v>
      </c>
      <c r="D2971" s="1" t="str">
        <f t="shared" si="562"/>
        <v>9801</v>
      </c>
      <c r="E2971" s="1" t="s">
        <v>25</v>
      </c>
      <c r="F2971" s="1" t="str">
        <f>"32780D0344880400C834002000000015"</f>
        <v>32780D0344880400C834002000000015</v>
      </c>
      <c r="G2971" s="1" t="s">
        <v>26</v>
      </c>
      <c r="H2971" s="1" t="str">
        <f t="shared" si="566"/>
        <v>20220913</v>
      </c>
      <c r="I2971" s="1" t="str">
        <f>"163026"</f>
        <v>163026</v>
      </c>
      <c r="J2971" s="1" t="s">
        <v>44</v>
      </c>
      <c r="K2971" s="1" t="s">
        <v>45</v>
      </c>
      <c r="L2971" s="1" t="str">
        <f t="shared" si="567"/>
        <v>20220913</v>
      </c>
      <c r="M2971" s="1" t="str">
        <f>"164915"</f>
        <v>164915</v>
      </c>
      <c r="N2971" s="1" t="s">
        <v>95</v>
      </c>
      <c r="O2971" s="1" t="s">
        <v>28</v>
      </c>
      <c r="P2971" s="1" t="s">
        <v>68</v>
      </c>
      <c r="Q2971" s="1">
        <v>13</v>
      </c>
      <c r="R2971" s="1">
        <v>0</v>
      </c>
      <c r="S2971" s="1">
        <v>0</v>
      </c>
      <c r="T2971" s="1">
        <v>13</v>
      </c>
      <c r="U2971" s="1">
        <v>0</v>
      </c>
      <c r="V2971" s="1" t="str">
        <f t="shared" si="565"/>
        <v>里程返程</v>
      </c>
      <c r="W2971" s="1" t="str">
        <f>"0020"</f>
        <v>0020</v>
      </c>
      <c r="X2971" s="1" t="s">
        <v>29</v>
      </c>
    </row>
    <row r="2972" spans="1:24" x14ac:dyDescent="0.3">
      <c r="A2972" s="1" t="str">
        <f t="shared" ref="A2972:A3004" si="568">"59829"</f>
        <v>59829</v>
      </c>
      <c r="B2972" s="1" t="s">
        <v>47</v>
      </c>
      <c r="C2972" s="1" t="s">
        <v>48</v>
      </c>
      <c r="D2972" s="1" t="str">
        <f t="shared" ref="D2972:D2984" si="569">"9806"</f>
        <v>9806</v>
      </c>
      <c r="E2972" s="1" t="s">
        <v>49</v>
      </c>
      <c r="F2972" s="1" t="str">
        <f>"538267473"</f>
        <v>538267473</v>
      </c>
      <c r="G2972" s="1" t="s">
        <v>33</v>
      </c>
      <c r="H2972" s="1" t="str">
        <f t="shared" si="566"/>
        <v>20220913</v>
      </c>
      <c r="I2972" s="1" t="str">
        <f>"072757"</f>
        <v>072757</v>
      </c>
      <c r="J2972" s="1" t="s">
        <v>28</v>
      </c>
      <c r="K2972" s="1" t="s">
        <v>28</v>
      </c>
      <c r="L2972" s="1" t="str">
        <f t="shared" si="567"/>
        <v>20220913</v>
      </c>
      <c r="M2972" s="1" t="str">
        <f>"074330"</f>
        <v>074330</v>
      </c>
      <c r="N2972" s="1" t="s">
        <v>99</v>
      </c>
      <c r="O2972" s="1" t="s">
        <v>28</v>
      </c>
      <c r="P2972" s="1" t="s">
        <v>55</v>
      </c>
      <c r="Q2972" s="1">
        <v>25</v>
      </c>
      <c r="R2972" s="1">
        <v>0</v>
      </c>
      <c r="S2972" s="1">
        <v>25</v>
      </c>
      <c r="T2972" s="1">
        <v>0</v>
      </c>
      <c r="U2972" s="1">
        <v>0</v>
      </c>
      <c r="V2972" s="1" t="str">
        <f t="shared" si="565"/>
        <v>里程返程</v>
      </c>
      <c r="W2972" s="1" t="str">
        <f>"0820"</f>
        <v>0820</v>
      </c>
      <c r="X2972" s="1" t="s">
        <v>35</v>
      </c>
    </row>
    <row r="2973" spans="1:24" x14ac:dyDescent="0.3">
      <c r="A2973" s="1" t="str">
        <f t="shared" si="568"/>
        <v>59829</v>
      </c>
      <c r="B2973" s="1" t="s">
        <v>47</v>
      </c>
      <c r="C2973" s="1" t="s">
        <v>48</v>
      </c>
      <c r="D2973" s="1" t="str">
        <f t="shared" si="569"/>
        <v>9806</v>
      </c>
      <c r="E2973" s="1" t="s">
        <v>49</v>
      </c>
      <c r="F2973" s="1" t="str">
        <f>"927551509"</f>
        <v>927551509</v>
      </c>
      <c r="G2973" s="1" t="s">
        <v>38</v>
      </c>
      <c r="H2973" s="1" t="str">
        <f t="shared" si="566"/>
        <v>20220913</v>
      </c>
      <c r="I2973" s="1" t="str">
        <f>"072800"</f>
        <v>072800</v>
      </c>
      <c r="J2973" s="1" t="s">
        <v>28</v>
      </c>
      <c r="K2973" s="1" t="s">
        <v>28</v>
      </c>
      <c r="L2973" s="1" t="str">
        <f t="shared" si="567"/>
        <v>20220913</v>
      </c>
      <c r="M2973" s="1" t="str">
        <f>"073653"</f>
        <v>073653</v>
      </c>
      <c r="N2973" s="1" t="s">
        <v>63</v>
      </c>
      <c r="O2973" s="1" t="s">
        <v>28</v>
      </c>
      <c r="P2973" s="1" t="s">
        <v>55</v>
      </c>
      <c r="Q2973" s="1">
        <v>25</v>
      </c>
      <c r="R2973" s="1">
        <v>0</v>
      </c>
      <c r="S2973" s="1">
        <v>25</v>
      </c>
      <c r="T2973" s="1">
        <v>0</v>
      </c>
      <c r="U2973" s="1">
        <v>0</v>
      </c>
      <c r="V2973" s="1" t="str">
        <f t="shared" si="565"/>
        <v>里程返程</v>
      </c>
      <c r="W2973" s="1" t="str">
        <f>"0820"</f>
        <v>0820</v>
      </c>
      <c r="X2973" s="1" t="s">
        <v>35</v>
      </c>
    </row>
    <row r="2974" spans="1:24" x14ac:dyDescent="0.3">
      <c r="A2974" s="1" t="str">
        <f t="shared" si="568"/>
        <v>59829</v>
      </c>
      <c r="B2974" s="1" t="s">
        <v>47</v>
      </c>
      <c r="C2974" s="1" t="s">
        <v>48</v>
      </c>
      <c r="D2974" s="1" t="str">
        <f t="shared" si="569"/>
        <v>9806</v>
      </c>
      <c r="E2974" s="1" t="s">
        <v>49</v>
      </c>
      <c r="F2974" s="1" t="str">
        <f>"126D55163C880400C814002000000019"</f>
        <v>126D55163C880400C814002000000019</v>
      </c>
      <c r="G2974" s="1" t="s">
        <v>59</v>
      </c>
      <c r="H2974" s="1" t="str">
        <f t="shared" si="566"/>
        <v>20220913</v>
      </c>
      <c r="I2974" s="1" t="str">
        <f>"072802"</f>
        <v>072802</v>
      </c>
      <c r="J2974" s="1" t="s">
        <v>28</v>
      </c>
      <c r="K2974" s="1" t="s">
        <v>28</v>
      </c>
      <c r="L2974" s="1" t="str">
        <f t="shared" si="567"/>
        <v>20220913</v>
      </c>
      <c r="M2974" s="1" t="str">
        <f>"073643"</f>
        <v>073643</v>
      </c>
      <c r="N2974" s="1" t="s">
        <v>63</v>
      </c>
      <c r="O2974" s="1" t="s">
        <v>28</v>
      </c>
      <c r="P2974" s="1" t="s">
        <v>55</v>
      </c>
      <c r="Q2974" s="1">
        <v>25</v>
      </c>
      <c r="R2974" s="1">
        <v>0</v>
      </c>
      <c r="S2974" s="1">
        <v>25</v>
      </c>
      <c r="T2974" s="1">
        <v>0</v>
      </c>
      <c r="U2974" s="1">
        <v>0</v>
      </c>
      <c r="V2974" s="1" t="str">
        <f t="shared" si="565"/>
        <v>里程返程</v>
      </c>
      <c r="W2974" s="1" t="str">
        <f>"0620"</f>
        <v>0620</v>
      </c>
      <c r="X2974" s="1" t="s">
        <v>29</v>
      </c>
    </row>
    <row r="2975" spans="1:24" x14ac:dyDescent="0.3">
      <c r="A2975" s="1" t="str">
        <f t="shared" si="568"/>
        <v>59829</v>
      </c>
      <c r="B2975" s="1" t="s">
        <v>47</v>
      </c>
      <c r="C2975" s="1" t="s">
        <v>48</v>
      </c>
      <c r="D2975" s="1" t="str">
        <f t="shared" si="569"/>
        <v>9806</v>
      </c>
      <c r="E2975" s="1" t="s">
        <v>49</v>
      </c>
      <c r="F2975" s="1" t="str">
        <f>"62C93D1680880400C814002000000019"</f>
        <v>62C93D1680880400C814002000000019</v>
      </c>
      <c r="G2975" s="1" t="s">
        <v>59</v>
      </c>
      <c r="H2975" s="1" t="str">
        <f t="shared" si="566"/>
        <v>20220913</v>
      </c>
      <c r="I2975" s="1" t="str">
        <f>"072813"</f>
        <v>072813</v>
      </c>
      <c r="J2975" s="1" t="s">
        <v>28</v>
      </c>
      <c r="K2975" s="1" t="s">
        <v>28</v>
      </c>
      <c r="L2975" s="1" t="str">
        <f t="shared" si="567"/>
        <v>20220913</v>
      </c>
      <c r="M2975" s="1" t="str">
        <f>"073659"</f>
        <v>073659</v>
      </c>
      <c r="N2975" s="1" t="s">
        <v>63</v>
      </c>
      <c r="O2975" s="1" t="s">
        <v>28</v>
      </c>
      <c r="P2975" s="1" t="s">
        <v>55</v>
      </c>
      <c r="Q2975" s="1">
        <v>25</v>
      </c>
      <c r="R2975" s="1">
        <v>0</v>
      </c>
      <c r="S2975" s="1">
        <v>25</v>
      </c>
      <c r="T2975" s="1">
        <v>0</v>
      </c>
      <c r="U2975" s="1">
        <v>0</v>
      </c>
      <c r="V2975" s="1" t="str">
        <f t="shared" si="565"/>
        <v>里程返程</v>
      </c>
      <c r="W2975" s="1" t="str">
        <f>"0620"</f>
        <v>0620</v>
      </c>
      <c r="X2975" s="1" t="s">
        <v>29</v>
      </c>
    </row>
    <row r="2976" spans="1:24" x14ac:dyDescent="0.3">
      <c r="A2976" s="1" t="str">
        <f t="shared" si="568"/>
        <v>59829</v>
      </c>
      <c r="B2976" s="1" t="s">
        <v>47</v>
      </c>
      <c r="C2976" s="1" t="s">
        <v>48</v>
      </c>
      <c r="D2976" s="1" t="str">
        <f t="shared" si="569"/>
        <v>9806</v>
      </c>
      <c r="E2976" s="1" t="s">
        <v>49</v>
      </c>
      <c r="F2976" s="1" t="str">
        <f>"652006485"</f>
        <v>652006485</v>
      </c>
      <c r="G2976" s="1" t="s">
        <v>33</v>
      </c>
      <c r="H2976" s="1" t="str">
        <f t="shared" si="566"/>
        <v>20220913</v>
      </c>
      <c r="I2976" s="1" t="str">
        <f>"072815"</f>
        <v>072815</v>
      </c>
      <c r="J2976" s="1" t="s">
        <v>28</v>
      </c>
      <c r="K2976" s="1" t="s">
        <v>28</v>
      </c>
      <c r="L2976" s="1" t="str">
        <f t="shared" si="567"/>
        <v>20220913</v>
      </c>
      <c r="M2976" s="1" t="str">
        <f>"073655"</f>
        <v>073655</v>
      </c>
      <c r="N2976" s="1" t="s">
        <v>63</v>
      </c>
      <c r="O2976" s="1" t="s">
        <v>28</v>
      </c>
      <c r="P2976" s="1" t="s">
        <v>55</v>
      </c>
      <c r="Q2976" s="1">
        <v>25</v>
      </c>
      <c r="R2976" s="1">
        <v>0</v>
      </c>
      <c r="S2976" s="1">
        <v>25</v>
      </c>
      <c r="T2976" s="1">
        <v>0</v>
      </c>
      <c r="U2976" s="1">
        <v>0</v>
      </c>
      <c r="V2976" s="1" t="str">
        <f t="shared" si="565"/>
        <v>里程返程</v>
      </c>
      <c r="W2976" s="1" t="str">
        <f>"0820"</f>
        <v>0820</v>
      </c>
      <c r="X2976" s="1" t="s">
        <v>35</v>
      </c>
    </row>
    <row r="2977" spans="1:24" x14ac:dyDescent="0.3">
      <c r="A2977" s="1" t="str">
        <f t="shared" si="568"/>
        <v>59829</v>
      </c>
      <c r="B2977" s="1" t="s">
        <v>47</v>
      </c>
      <c r="C2977" s="1" t="s">
        <v>48</v>
      </c>
      <c r="D2977" s="1" t="str">
        <f t="shared" si="569"/>
        <v>9806</v>
      </c>
      <c r="E2977" s="1" t="s">
        <v>49</v>
      </c>
      <c r="F2977" s="1" t="str">
        <f>"1697487813"</f>
        <v>1697487813</v>
      </c>
      <c r="G2977" s="1" t="s">
        <v>33</v>
      </c>
      <c r="H2977" s="1" t="str">
        <f t="shared" si="566"/>
        <v>20220913</v>
      </c>
      <c r="I2977" s="1" t="str">
        <f>"072818"</f>
        <v>072818</v>
      </c>
      <c r="J2977" s="1" t="s">
        <v>28</v>
      </c>
      <c r="K2977" s="1" t="s">
        <v>28</v>
      </c>
      <c r="L2977" s="1" t="str">
        <f t="shared" si="567"/>
        <v>20220913</v>
      </c>
      <c r="M2977" s="1" t="str">
        <f>"074325"</f>
        <v>074325</v>
      </c>
      <c r="N2977" s="1" t="s">
        <v>99</v>
      </c>
      <c r="O2977" s="1" t="s">
        <v>28</v>
      </c>
      <c r="P2977" s="1" t="s">
        <v>55</v>
      </c>
      <c r="Q2977" s="1">
        <v>25</v>
      </c>
      <c r="R2977" s="1">
        <v>0</v>
      </c>
      <c r="S2977" s="1">
        <v>25</v>
      </c>
      <c r="T2977" s="1">
        <v>0</v>
      </c>
      <c r="U2977" s="1">
        <v>0</v>
      </c>
      <c r="V2977" s="1" t="str">
        <f t="shared" si="565"/>
        <v>里程返程</v>
      </c>
      <c r="W2977" s="1" t="str">
        <f>"0820"</f>
        <v>0820</v>
      </c>
      <c r="X2977" s="1" t="s">
        <v>35</v>
      </c>
    </row>
    <row r="2978" spans="1:24" x14ac:dyDescent="0.3">
      <c r="A2978" s="1" t="str">
        <f t="shared" si="568"/>
        <v>59829</v>
      </c>
      <c r="B2978" s="1" t="s">
        <v>47</v>
      </c>
      <c r="C2978" s="1" t="s">
        <v>48</v>
      </c>
      <c r="D2978" s="1" t="str">
        <f t="shared" si="569"/>
        <v>9806</v>
      </c>
      <c r="E2978" s="1" t="s">
        <v>49</v>
      </c>
      <c r="F2978" s="1" t="str">
        <f>"7511161863006423"</f>
        <v>7511161863006423</v>
      </c>
      <c r="G2978" s="1" t="s">
        <v>33</v>
      </c>
      <c r="H2978" s="1" t="str">
        <f t="shared" si="566"/>
        <v>20220913</v>
      </c>
      <c r="I2978" s="1" t="str">
        <f>"072820"</f>
        <v>072820</v>
      </c>
      <c r="J2978" s="1" t="s">
        <v>28</v>
      </c>
      <c r="K2978" s="1" t="s">
        <v>28</v>
      </c>
      <c r="L2978" s="1" t="str">
        <f t="shared" si="567"/>
        <v>20220913</v>
      </c>
      <c r="M2978" s="1" t="str">
        <f>"074321"</f>
        <v>074321</v>
      </c>
      <c r="N2978" s="1" t="s">
        <v>99</v>
      </c>
      <c r="O2978" s="1" t="s">
        <v>28</v>
      </c>
      <c r="P2978" s="1" t="s">
        <v>55</v>
      </c>
      <c r="Q2978" s="1">
        <v>25</v>
      </c>
      <c r="R2978" s="1">
        <v>25</v>
      </c>
      <c r="S2978" s="1">
        <v>0</v>
      </c>
      <c r="T2978" s="1">
        <v>0</v>
      </c>
      <c r="U2978" s="1">
        <v>0</v>
      </c>
      <c r="V2978" s="1" t="str">
        <f t="shared" si="565"/>
        <v>里程返程</v>
      </c>
      <c r="W2978" s="1" t="str">
        <f>"088B"</f>
        <v>088B</v>
      </c>
      <c r="X2978" s="1" t="s">
        <v>109</v>
      </c>
    </row>
    <row r="2979" spans="1:24" x14ac:dyDescent="0.3">
      <c r="A2979" s="1" t="str">
        <f t="shared" si="568"/>
        <v>59829</v>
      </c>
      <c r="B2979" s="1" t="s">
        <v>47</v>
      </c>
      <c r="C2979" s="1" t="s">
        <v>48</v>
      </c>
      <c r="D2979" s="1" t="str">
        <f t="shared" si="569"/>
        <v>9806</v>
      </c>
      <c r="E2979" s="1" t="s">
        <v>49</v>
      </c>
      <c r="F2979" s="1" t="str">
        <f>"22861B13AC28040080CED9985D913018"</f>
        <v>22861B13AC28040080CED9985D913018</v>
      </c>
      <c r="G2979" s="1" t="s">
        <v>58</v>
      </c>
      <c r="H2979" s="1" t="str">
        <f t="shared" si="566"/>
        <v>20220913</v>
      </c>
      <c r="I2979" s="1" t="str">
        <f>"072825"</f>
        <v>072825</v>
      </c>
      <c r="J2979" s="1" t="s">
        <v>28</v>
      </c>
      <c r="K2979" s="1" t="s">
        <v>28</v>
      </c>
      <c r="L2979" s="1" t="str">
        <f t="shared" si="567"/>
        <v>20220913</v>
      </c>
      <c r="M2979" s="1" t="str">
        <f>"073651"</f>
        <v>073651</v>
      </c>
      <c r="N2979" s="1" t="s">
        <v>63</v>
      </c>
      <c r="O2979" s="1" t="s">
        <v>28</v>
      </c>
      <c r="P2979" s="1" t="s">
        <v>55</v>
      </c>
      <c r="Q2979" s="1">
        <v>25</v>
      </c>
      <c r="R2979" s="1">
        <v>0</v>
      </c>
      <c r="S2979" s="1">
        <v>25</v>
      </c>
      <c r="T2979" s="1">
        <v>0</v>
      </c>
      <c r="U2979" s="1">
        <v>0</v>
      </c>
      <c r="V2979" s="1" t="str">
        <f t="shared" si="565"/>
        <v>里程返程</v>
      </c>
      <c r="W2979" s="1" t="str">
        <f>"0620"</f>
        <v>0620</v>
      </c>
      <c r="X2979" s="1" t="s">
        <v>29</v>
      </c>
    </row>
    <row r="2980" spans="1:24" x14ac:dyDescent="0.3">
      <c r="A2980" s="1" t="str">
        <f t="shared" si="568"/>
        <v>59829</v>
      </c>
      <c r="B2980" s="1" t="s">
        <v>47</v>
      </c>
      <c r="C2980" s="1" t="s">
        <v>48</v>
      </c>
      <c r="D2980" s="1" t="str">
        <f t="shared" si="569"/>
        <v>9806</v>
      </c>
      <c r="E2980" s="1" t="s">
        <v>49</v>
      </c>
      <c r="F2980" s="1" t="str">
        <f>"7111220514006728"</f>
        <v>7111220514006728</v>
      </c>
      <c r="G2980" s="1" t="s">
        <v>33</v>
      </c>
      <c r="H2980" s="1" t="str">
        <f t="shared" si="566"/>
        <v>20220913</v>
      </c>
      <c r="I2980" s="1" t="str">
        <f>"072827"</f>
        <v>072827</v>
      </c>
      <c r="J2980" s="1" t="s">
        <v>28</v>
      </c>
      <c r="K2980" s="1" t="s">
        <v>28</v>
      </c>
      <c r="L2980" s="1" t="str">
        <f t="shared" si="567"/>
        <v>20220913</v>
      </c>
      <c r="M2980" s="1" t="str">
        <f>"074327"</f>
        <v>074327</v>
      </c>
      <c r="N2980" s="1" t="s">
        <v>99</v>
      </c>
      <c r="O2980" s="1" t="s">
        <v>28</v>
      </c>
      <c r="P2980" s="1" t="s">
        <v>55</v>
      </c>
      <c r="Q2980" s="1">
        <v>25</v>
      </c>
      <c r="R2980" s="1">
        <v>25</v>
      </c>
      <c r="S2980" s="1">
        <v>0</v>
      </c>
      <c r="T2980" s="1">
        <v>0</v>
      </c>
      <c r="U2980" s="1">
        <v>0</v>
      </c>
      <c r="V2980" s="1" t="str">
        <f t="shared" si="565"/>
        <v>里程返程</v>
      </c>
      <c r="W2980" s="1" t="str">
        <f>"088B"</f>
        <v>088B</v>
      </c>
      <c r="X2980" s="1" t="s">
        <v>109</v>
      </c>
    </row>
    <row r="2981" spans="1:24" x14ac:dyDescent="0.3">
      <c r="A2981" s="1" t="str">
        <f t="shared" si="568"/>
        <v>59829</v>
      </c>
      <c r="B2981" s="1" t="s">
        <v>47</v>
      </c>
      <c r="C2981" s="1" t="s">
        <v>48</v>
      </c>
      <c r="D2981" s="1" t="str">
        <f t="shared" si="569"/>
        <v>9806</v>
      </c>
      <c r="E2981" s="1" t="s">
        <v>49</v>
      </c>
      <c r="F2981" s="1" t="str">
        <f>"D2B4601610880400C814002000000019"</f>
        <v>D2B4601610880400C814002000000019</v>
      </c>
      <c r="G2981" s="1" t="s">
        <v>59</v>
      </c>
      <c r="H2981" s="1" t="str">
        <f t="shared" si="566"/>
        <v>20220913</v>
      </c>
      <c r="I2981" s="1" t="str">
        <f>"072831"</f>
        <v>072831</v>
      </c>
      <c r="J2981" s="1" t="s">
        <v>28</v>
      </c>
      <c r="K2981" s="1" t="s">
        <v>28</v>
      </c>
      <c r="L2981" s="1" t="str">
        <f t="shared" si="567"/>
        <v>20220913</v>
      </c>
      <c r="M2981" s="1" t="str">
        <f>"073657"</f>
        <v>073657</v>
      </c>
      <c r="N2981" s="1" t="s">
        <v>63</v>
      </c>
      <c r="O2981" s="1" t="s">
        <v>28</v>
      </c>
      <c r="P2981" s="1" t="s">
        <v>55</v>
      </c>
      <c r="Q2981" s="1">
        <v>25</v>
      </c>
      <c r="R2981" s="1">
        <v>0</v>
      </c>
      <c r="S2981" s="1">
        <v>25</v>
      </c>
      <c r="T2981" s="1">
        <v>0</v>
      </c>
      <c r="U2981" s="1">
        <v>0</v>
      </c>
      <c r="V2981" s="1" t="str">
        <f t="shared" si="565"/>
        <v>里程返程</v>
      </c>
      <c r="W2981" s="1" t="str">
        <f>"0620"</f>
        <v>0620</v>
      </c>
      <c r="X2981" s="1" t="s">
        <v>29</v>
      </c>
    </row>
    <row r="2982" spans="1:24" x14ac:dyDescent="0.3">
      <c r="A2982" s="1" t="str">
        <f t="shared" si="568"/>
        <v>59829</v>
      </c>
      <c r="B2982" s="1" t="s">
        <v>47</v>
      </c>
      <c r="C2982" s="1" t="s">
        <v>48</v>
      </c>
      <c r="D2982" s="1" t="str">
        <f t="shared" si="569"/>
        <v>9806</v>
      </c>
      <c r="E2982" s="1" t="s">
        <v>49</v>
      </c>
      <c r="F2982" s="1" t="str">
        <f>"F238370AF7880400C810002000000016"</f>
        <v>F238370AF7880400C810002000000016</v>
      </c>
      <c r="G2982" s="1" t="s">
        <v>59</v>
      </c>
      <c r="H2982" s="1" t="str">
        <f t="shared" si="566"/>
        <v>20220913</v>
      </c>
      <c r="I2982" s="1" t="str">
        <f>"072833"</f>
        <v>072833</v>
      </c>
      <c r="J2982" s="1" t="s">
        <v>28</v>
      </c>
      <c r="K2982" s="1" t="s">
        <v>28</v>
      </c>
      <c r="L2982" s="1" t="str">
        <f t="shared" si="567"/>
        <v>20220913</v>
      </c>
      <c r="M2982" s="1" t="str">
        <f>"073649"</f>
        <v>073649</v>
      </c>
      <c r="N2982" s="1" t="s">
        <v>63</v>
      </c>
      <c r="O2982" s="1" t="s">
        <v>28</v>
      </c>
      <c r="P2982" s="1" t="s">
        <v>55</v>
      </c>
      <c r="Q2982" s="1">
        <v>25</v>
      </c>
      <c r="R2982" s="1">
        <v>0</v>
      </c>
      <c r="S2982" s="1">
        <v>25</v>
      </c>
      <c r="T2982" s="1">
        <v>0</v>
      </c>
      <c r="U2982" s="1">
        <v>0</v>
      </c>
      <c r="V2982" s="1" t="str">
        <f t="shared" si="565"/>
        <v>里程返程</v>
      </c>
      <c r="W2982" s="1" t="str">
        <f>"0620"</f>
        <v>0620</v>
      </c>
      <c r="X2982" s="1" t="s">
        <v>29</v>
      </c>
    </row>
    <row r="2983" spans="1:24" x14ac:dyDescent="0.3">
      <c r="A2983" s="1" t="str">
        <f t="shared" si="568"/>
        <v>59829</v>
      </c>
      <c r="B2983" s="1" t="s">
        <v>47</v>
      </c>
      <c r="C2983" s="1" t="s">
        <v>48</v>
      </c>
      <c r="D2983" s="1" t="str">
        <f t="shared" si="569"/>
        <v>9806</v>
      </c>
      <c r="E2983" s="1" t="s">
        <v>49</v>
      </c>
      <c r="F2983" s="1" t="str">
        <f>"1055537829"</f>
        <v>1055537829</v>
      </c>
      <c r="G2983" s="1" t="s">
        <v>33</v>
      </c>
      <c r="H2983" s="1" t="str">
        <f t="shared" si="566"/>
        <v>20220913</v>
      </c>
      <c r="I2983" s="1" t="str">
        <f>"072837"</f>
        <v>072837</v>
      </c>
      <c r="J2983" s="1" t="s">
        <v>28</v>
      </c>
      <c r="K2983" s="1" t="s">
        <v>28</v>
      </c>
      <c r="L2983" s="1" t="str">
        <f t="shared" si="567"/>
        <v>20220913</v>
      </c>
      <c r="M2983" s="1" t="str">
        <f>"073646"</f>
        <v>073646</v>
      </c>
      <c r="N2983" s="1" t="s">
        <v>63</v>
      </c>
      <c r="O2983" s="1" t="s">
        <v>28</v>
      </c>
      <c r="P2983" s="1" t="s">
        <v>55</v>
      </c>
      <c r="Q2983" s="1">
        <v>25</v>
      </c>
      <c r="R2983" s="1">
        <v>0</v>
      </c>
      <c r="S2983" s="1">
        <v>25</v>
      </c>
      <c r="T2983" s="1">
        <v>0</v>
      </c>
      <c r="U2983" s="1">
        <v>0</v>
      </c>
      <c r="V2983" s="1" t="str">
        <f t="shared" si="565"/>
        <v>里程返程</v>
      </c>
      <c r="W2983" s="1" t="str">
        <f>"0820"</f>
        <v>0820</v>
      </c>
      <c r="X2983" s="1" t="s">
        <v>35</v>
      </c>
    </row>
    <row r="2984" spans="1:24" x14ac:dyDescent="0.3">
      <c r="A2984" s="1" t="str">
        <f t="shared" si="568"/>
        <v>59829</v>
      </c>
      <c r="B2984" s="1" t="s">
        <v>47</v>
      </c>
      <c r="C2984" s="1" t="s">
        <v>48</v>
      </c>
      <c r="D2984" s="1" t="str">
        <f t="shared" si="569"/>
        <v>9806</v>
      </c>
      <c r="E2984" s="1" t="s">
        <v>49</v>
      </c>
      <c r="F2984" s="1" t="str">
        <f>"22C8DE1B2F880400C822002000000021"</f>
        <v>22C8DE1B2F880400C822002000000021</v>
      </c>
      <c r="G2984" s="1" t="s">
        <v>58</v>
      </c>
      <c r="H2984" s="1" t="str">
        <f t="shared" si="566"/>
        <v>20220913</v>
      </c>
      <c r="I2984" s="1" t="str">
        <f>"072840"</f>
        <v>072840</v>
      </c>
      <c r="J2984" s="1" t="s">
        <v>28</v>
      </c>
      <c r="K2984" s="1" t="s">
        <v>28</v>
      </c>
      <c r="L2984" s="1" t="str">
        <f t="shared" si="567"/>
        <v>20220913</v>
      </c>
      <c r="M2984" s="1" t="str">
        <f>"074343"</f>
        <v>074343</v>
      </c>
      <c r="N2984" s="1" t="s">
        <v>99</v>
      </c>
      <c r="O2984" s="1" t="s">
        <v>28</v>
      </c>
      <c r="P2984" s="1" t="s">
        <v>55</v>
      </c>
      <c r="Q2984" s="1">
        <v>25</v>
      </c>
      <c r="R2984" s="1">
        <v>0</v>
      </c>
      <c r="S2984" s="1">
        <v>25</v>
      </c>
      <c r="T2984" s="1">
        <v>0</v>
      </c>
      <c r="U2984" s="1">
        <v>0</v>
      </c>
      <c r="V2984" s="1" t="str">
        <f t="shared" si="565"/>
        <v>里程返程</v>
      </c>
      <c r="W2984" s="1" t="str">
        <f>"0620"</f>
        <v>0620</v>
      </c>
      <c r="X2984" s="1" t="s">
        <v>29</v>
      </c>
    </row>
    <row r="2985" spans="1:24" x14ac:dyDescent="0.3">
      <c r="A2985" s="1" t="str">
        <f t="shared" si="568"/>
        <v>59829</v>
      </c>
      <c r="B2985" s="1" t="s">
        <v>47</v>
      </c>
      <c r="C2985" s="1" t="s">
        <v>48</v>
      </c>
      <c r="D2985" s="1" t="str">
        <f>"9805"</f>
        <v>9805</v>
      </c>
      <c r="E2985" s="1" t="s">
        <v>57</v>
      </c>
      <c r="F2985" s="1" t="str">
        <f>"736747053"</f>
        <v>736747053</v>
      </c>
      <c r="G2985" s="1" t="s">
        <v>33</v>
      </c>
      <c r="H2985" s="1" t="str">
        <f t="shared" si="566"/>
        <v>20220913</v>
      </c>
      <c r="I2985" s="1" t="str">
        <f>"120908"</f>
        <v>120908</v>
      </c>
      <c r="J2985" s="1" t="s">
        <v>28</v>
      </c>
      <c r="K2985" s="1" t="s">
        <v>28</v>
      </c>
      <c r="L2985" s="1" t="str">
        <f t="shared" si="567"/>
        <v>20220913</v>
      </c>
      <c r="M2985" s="1" t="str">
        <f>"121837"</f>
        <v>121837</v>
      </c>
      <c r="N2985" s="1" t="s">
        <v>79</v>
      </c>
      <c r="O2985" s="1" t="s">
        <v>28</v>
      </c>
      <c r="P2985" s="1" t="s">
        <v>55</v>
      </c>
      <c r="Q2985" s="1">
        <v>25</v>
      </c>
      <c r="R2985" s="1">
        <v>0</v>
      </c>
      <c r="S2985" s="1">
        <v>25</v>
      </c>
      <c r="T2985" s="1">
        <v>0</v>
      </c>
      <c r="U2985" s="1">
        <v>0</v>
      </c>
      <c r="V2985" s="1" t="str">
        <f>"里程去程"</f>
        <v>里程去程</v>
      </c>
      <c r="W2985" s="1" t="str">
        <f>"0820"</f>
        <v>0820</v>
      </c>
      <c r="X2985" s="1" t="s">
        <v>35</v>
      </c>
    </row>
    <row r="2986" spans="1:24" x14ac:dyDescent="0.3">
      <c r="A2986" s="1" t="str">
        <f t="shared" si="568"/>
        <v>59829</v>
      </c>
      <c r="B2986" s="1" t="s">
        <v>47</v>
      </c>
      <c r="C2986" s="1" t="s">
        <v>48</v>
      </c>
      <c r="D2986" s="1" t="str">
        <f>"9805"</f>
        <v>9805</v>
      </c>
      <c r="E2986" s="1" t="s">
        <v>57</v>
      </c>
      <c r="F2986" s="1" t="str">
        <f>"1939586024"</f>
        <v>1939586024</v>
      </c>
      <c r="G2986" s="1" t="s">
        <v>33</v>
      </c>
      <c r="H2986" s="1" t="str">
        <f t="shared" si="566"/>
        <v>20220913</v>
      </c>
      <c r="I2986" s="1" t="str">
        <f>"131734"</f>
        <v>131734</v>
      </c>
      <c r="J2986" s="1" t="s">
        <v>103</v>
      </c>
      <c r="K2986" s="1" t="s">
        <v>28</v>
      </c>
      <c r="L2986" s="1" t="str">
        <f t="shared" si="567"/>
        <v>20220913</v>
      </c>
      <c r="M2986" s="1" t="str">
        <f>"132826"</f>
        <v>132826</v>
      </c>
      <c r="N2986" s="1" t="s">
        <v>28</v>
      </c>
      <c r="O2986" s="1" t="s">
        <v>28</v>
      </c>
      <c r="P2986" s="1" t="s">
        <v>55</v>
      </c>
      <c r="Q2986" s="1">
        <v>25</v>
      </c>
      <c r="R2986" s="1">
        <v>0</v>
      </c>
      <c r="S2986" s="1">
        <v>25</v>
      </c>
      <c r="T2986" s="1">
        <v>0</v>
      </c>
      <c r="U2986" s="1">
        <v>0</v>
      </c>
      <c r="V2986" s="1" t="str">
        <f>"里程返程"</f>
        <v>里程返程</v>
      </c>
      <c r="W2986" s="1" t="str">
        <f>"2120"</f>
        <v>2120</v>
      </c>
      <c r="X2986" s="1" t="s">
        <v>35</v>
      </c>
    </row>
    <row r="2987" spans="1:24" x14ac:dyDescent="0.3">
      <c r="A2987" s="1" t="str">
        <f t="shared" si="568"/>
        <v>59829</v>
      </c>
      <c r="B2987" s="1" t="s">
        <v>47</v>
      </c>
      <c r="C2987" s="1" t="s">
        <v>48</v>
      </c>
      <c r="D2987" s="1" t="str">
        <f t="shared" ref="D2987:D2996" si="570">"9803"</f>
        <v>9803</v>
      </c>
      <c r="E2987" s="1" t="s">
        <v>32</v>
      </c>
      <c r="F2987" s="1" t="str">
        <f>"1159548401"</f>
        <v>1159548401</v>
      </c>
      <c r="G2987" s="1" t="s">
        <v>33</v>
      </c>
      <c r="H2987" s="1" t="str">
        <f t="shared" si="566"/>
        <v>20220913</v>
      </c>
      <c r="I2987" s="1" t="str">
        <f>"132923"</f>
        <v>132923</v>
      </c>
      <c r="J2987" s="1" t="s">
        <v>28</v>
      </c>
      <c r="K2987" s="1" t="s">
        <v>28</v>
      </c>
      <c r="L2987" s="1" t="str">
        <f t="shared" si="567"/>
        <v>20220913</v>
      </c>
      <c r="M2987" s="1" t="str">
        <f>"134007"</f>
        <v>134007</v>
      </c>
      <c r="N2987" s="1" t="s">
        <v>46</v>
      </c>
      <c r="O2987" s="1" t="s">
        <v>28</v>
      </c>
      <c r="P2987" s="1" t="s">
        <v>55</v>
      </c>
      <c r="Q2987" s="1">
        <v>25</v>
      </c>
      <c r="R2987" s="1">
        <v>25</v>
      </c>
      <c r="S2987" s="1">
        <v>0</v>
      </c>
      <c r="T2987" s="1">
        <v>0</v>
      </c>
      <c r="U2987" s="1">
        <v>0</v>
      </c>
      <c r="V2987" s="1" t="str">
        <f t="shared" ref="V2987:V2992" si="571">"里程去程"</f>
        <v>里程去程</v>
      </c>
      <c r="W2987" s="1" t="str">
        <f>"0320"</f>
        <v>0320</v>
      </c>
      <c r="X2987" s="1" t="s">
        <v>35</v>
      </c>
    </row>
    <row r="2988" spans="1:24" x14ac:dyDescent="0.3">
      <c r="A2988" s="1" t="str">
        <f t="shared" si="568"/>
        <v>59829</v>
      </c>
      <c r="B2988" s="1" t="s">
        <v>47</v>
      </c>
      <c r="C2988" s="1" t="s">
        <v>48</v>
      </c>
      <c r="D2988" s="1" t="str">
        <f t="shared" si="570"/>
        <v>9803</v>
      </c>
      <c r="E2988" s="1" t="s">
        <v>32</v>
      </c>
      <c r="F2988" s="1" t="str">
        <f>"806404177"</f>
        <v>806404177</v>
      </c>
      <c r="G2988" s="1" t="s">
        <v>26</v>
      </c>
      <c r="H2988" s="1" t="str">
        <f t="shared" si="566"/>
        <v>20220913</v>
      </c>
      <c r="I2988" s="1" t="str">
        <f>"132940"</f>
        <v>132940</v>
      </c>
      <c r="J2988" s="1" t="s">
        <v>28</v>
      </c>
      <c r="K2988" s="1" t="s">
        <v>28</v>
      </c>
      <c r="L2988" s="1" t="str">
        <f t="shared" si="567"/>
        <v>20220913</v>
      </c>
      <c r="M2988" s="1" t="str">
        <f>"134849"</f>
        <v>134849</v>
      </c>
      <c r="N2988" s="1" t="s">
        <v>34</v>
      </c>
      <c r="O2988" s="1" t="s">
        <v>34</v>
      </c>
      <c r="P2988" s="1" t="s">
        <v>55</v>
      </c>
      <c r="Q2988" s="1">
        <v>13</v>
      </c>
      <c r="R2988" s="1">
        <v>13</v>
      </c>
      <c r="S2988" s="1">
        <v>0</v>
      </c>
      <c r="T2988" s="1">
        <v>0</v>
      </c>
      <c r="U2988" s="1">
        <v>0</v>
      </c>
      <c r="V2988" s="1" t="str">
        <f t="shared" si="571"/>
        <v>里程去程</v>
      </c>
      <c r="W2988" s="1" t="str">
        <f>"0820"</f>
        <v>0820</v>
      </c>
      <c r="X2988" s="1" t="s">
        <v>35</v>
      </c>
    </row>
    <row r="2989" spans="1:24" x14ac:dyDescent="0.3">
      <c r="A2989" s="1" t="str">
        <f t="shared" si="568"/>
        <v>59829</v>
      </c>
      <c r="B2989" s="1" t="s">
        <v>47</v>
      </c>
      <c r="C2989" s="1" t="s">
        <v>48</v>
      </c>
      <c r="D2989" s="1" t="str">
        <f t="shared" si="570"/>
        <v>9803</v>
      </c>
      <c r="E2989" s="1" t="s">
        <v>32</v>
      </c>
      <c r="F2989" s="1" t="str">
        <f>"419582897"</f>
        <v>419582897</v>
      </c>
      <c r="G2989" s="1" t="s">
        <v>33</v>
      </c>
      <c r="H2989" s="1" t="str">
        <f t="shared" si="566"/>
        <v>20220913</v>
      </c>
      <c r="I2989" s="1" t="str">
        <f>"132951"</f>
        <v>132951</v>
      </c>
      <c r="J2989" s="1" t="s">
        <v>28</v>
      </c>
      <c r="K2989" s="1" t="s">
        <v>28</v>
      </c>
      <c r="L2989" s="1" t="str">
        <f t="shared" si="567"/>
        <v>20220913</v>
      </c>
      <c r="M2989" s="1" t="str">
        <f>"134844"</f>
        <v>134844</v>
      </c>
      <c r="N2989" s="1" t="s">
        <v>34</v>
      </c>
      <c r="O2989" s="1" t="s">
        <v>34</v>
      </c>
      <c r="P2989" s="1" t="s">
        <v>55</v>
      </c>
      <c r="Q2989" s="1">
        <v>25</v>
      </c>
      <c r="R2989" s="1">
        <v>25</v>
      </c>
      <c r="S2989" s="1">
        <v>0</v>
      </c>
      <c r="T2989" s="1">
        <v>0</v>
      </c>
      <c r="U2989" s="1">
        <v>0</v>
      </c>
      <c r="V2989" s="1" t="str">
        <f t="shared" si="571"/>
        <v>里程去程</v>
      </c>
      <c r="W2989" s="1" t="str">
        <f>"1620"</f>
        <v>1620</v>
      </c>
      <c r="X2989" s="1" t="s">
        <v>35</v>
      </c>
    </row>
    <row r="2990" spans="1:24" x14ac:dyDescent="0.3">
      <c r="A2990" s="1" t="str">
        <f t="shared" si="568"/>
        <v>59829</v>
      </c>
      <c r="B2990" s="1" t="s">
        <v>47</v>
      </c>
      <c r="C2990" s="1" t="s">
        <v>48</v>
      </c>
      <c r="D2990" s="1" t="str">
        <f t="shared" si="570"/>
        <v>9803</v>
      </c>
      <c r="E2990" s="1" t="s">
        <v>32</v>
      </c>
      <c r="F2990" s="1" t="str">
        <f>"378846120"</f>
        <v>378846120</v>
      </c>
      <c r="G2990" s="1" t="s">
        <v>33</v>
      </c>
      <c r="H2990" s="1" t="str">
        <f t="shared" si="566"/>
        <v>20220913</v>
      </c>
      <c r="I2990" s="1" t="str">
        <f>"133002"</f>
        <v>133002</v>
      </c>
      <c r="J2990" s="1" t="s">
        <v>28</v>
      </c>
      <c r="K2990" s="1" t="s">
        <v>28</v>
      </c>
      <c r="L2990" s="1" t="str">
        <f t="shared" si="567"/>
        <v>20220913</v>
      </c>
      <c r="M2990" s="1" t="str">
        <f>"134854"</f>
        <v>134854</v>
      </c>
      <c r="N2990" s="1" t="s">
        <v>34</v>
      </c>
      <c r="O2990" s="1" t="s">
        <v>34</v>
      </c>
      <c r="P2990" s="1" t="s">
        <v>55</v>
      </c>
      <c r="Q2990" s="1">
        <v>25</v>
      </c>
      <c r="R2990" s="1">
        <v>25</v>
      </c>
      <c r="S2990" s="1">
        <v>0</v>
      </c>
      <c r="T2990" s="1">
        <v>0</v>
      </c>
      <c r="U2990" s="1">
        <v>0</v>
      </c>
      <c r="V2990" s="1" t="str">
        <f t="shared" si="571"/>
        <v>里程去程</v>
      </c>
      <c r="W2990" s="1" t="str">
        <f>"1620"</f>
        <v>1620</v>
      </c>
      <c r="X2990" s="1" t="s">
        <v>35</v>
      </c>
    </row>
    <row r="2991" spans="1:24" x14ac:dyDescent="0.3">
      <c r="A2991" s="1" t="str">
        <f t="shared" si="568"/>
        <v>59829</v>
      </c>
      <c r="B2991" s="1" t="s">
        <v>47</v>
      </c>
      <c r="C2991" s="1" t="s">
        <v>48</v>
      </c>
      <c r="D2991" s="1" t="str">
        <f t="shared" si="570"/>
        <v>9803</v>
      </c>
      <c r="E2991" s="1" t="s">
        <v>32</v>
      </c>
      <c r="F2991" s="1" t="str">
        <f>"1787560636"</f>
        <v>1787560636</v>
      </c>
      <c r="G2991" s="1" t="s">
        <v>33</v>
      </c>
      <c r="H2991" s="1" t="str">
        <f t="shared" si="566"/>
        <v>20220913</v>
      </c>
      <c r="I2991" s="1" t="str">
        <f>"133020"</f>
        <v>133020</v>
      </c>
      <c r="J2991" s="1" t="s">
        <v>28</v>
      </c>
      <c r="K2991" s="1" t="s">
        <v>28</v>
      </c>
      <c r="L2991" s="1" t="str">
        <f t="shared" si="567"/>
        <v>20220913</v>
      </c>
      <c r="M2991" s="1" t="str">
        <f>"134822"</f>
        <v>134822</v>
      </c>
      <c r="N2991" s="1" t="s">
        <v>34</v>
      </c>
      <c r="O2991" s="1" t="s">
        <v>34</v>
      </c>
      <c r="P2991" s="1" t="s">
        <v>55</v>
      </c>
      <c r="Q2991" s="1">
        <v>25</v>
      </c>
      <c r="R2991" s="1">
        <v>25</v>
      </c>
      <c r="S2991" s="1">
        <v>0</v>
      </c>
      <c r="T2991" s="1">
        <v>0</v>
      </c>
      <c r="U2991" s="1">
        <v>0</v>
      </c>
      <c r="V2991" s="1" t="str">
        <f t="shared" si="571"/>
        <v>里程去程</v>
      </c>
      <c r="W2991" s="1" t="str">
        <f>"0320"</f>
        <v>0320</v>
      </c>
      <c r="X2991" s="1" t="s">
        <v>35</v>
      </c>
    </row>
    <row r="2992" spans="1:24" x14ac:dyDescent="0.3">
      <c r="A2992" s="1" t="str">
        <f t="shared" si="568"/>
        <v>59829</v>
      </c>
      <c r="B2992" s="1" t="s">
        <v>47</v>
      </c>
      <c r="C2992" s="1" t="s">
        <v>48</v>
      </c>
      <c r="D2992" s="1" t="str">
        <f t="shared" si="570"/>
        <v>9803</v>
      </c>
      <c r="E2992" s="1" t="s">
        <v>32</v>
      </c>
      <c r="F2992" s="1" t="str">
        <f>"1562988504"</f>
        <v>1562988504</v>
      </c>
      <c r="G2992" s="1" t="s">
        <v>33</v>
      </c>
      <c r="H2992" s="1" t="str">
        <f t="shared" si="566"/>
        <v>20220913</v>
      </c>
      <c r="I2992" s="1" t="str">
        <f>"133026"</f>
        <v>133026</v>
      </c>
      <c r="J2992" s="1" t="s">
        <v>28</v>
      </c>
      <c r="K2992" s="1" t="s">
        <v>28</v>
      </c>
      <c r="L2992" s="1" t="str">
        <f t="shared" si="567"/>
        <v>20220913</v>
      </c>
      <c r="M2992" s="1" t="str">
        <f>"134839"</f>
        <v>134839</v>
      </c>
      <c r="N2992" s="1" t="s">
        <v>34</v>
      </c>
      <c r="O2992" s="1" t="s">
        <v>34</v>
      </c>
      <c r="P2992" s="1" t="s">
        <v>55</v>
      </c>
      <c r="Q2992" s="1">
        <v>25</v>
      </c>
      <c r="R2992" s="1">
        <v>25</v>
      </c>
      <c r="S2992" s="1">
        <v>0</v>
      </c>
      <c r="T2992" s="1">
        <v>0</v>
      </c>
      <c r="U2992" s="1">
        <v>0</v>
      </c>
      <c r="V2992" s="1" t="str">
        <f t="shared" si="571"/>
        <v>里程去程</v>
      </c>
      <c r="W2992" s="1" t="str">
        <f>"0820"</f>
        <v>0820</v>
      </c>
      <c r="X2992" s="1" t="s">
        <v>35</v>
      </c>
    </row>
    <row r="2993" spans="1:24" x14ac:dyDescent="0.3">
      <c r="A2993" s="1" t="str">
        <f t="shared" si="568"/>
        <v>59829</v>
      </c>
      <c r="B2993" s="1" t="s">
        <v>47</v>
      </c>
      <c r="C2993" s="1" t="s">
        <v>48</v>
      </c>
      <c r="D2993" s="1" t="str">
        <f t="shared" si="570"/>
        <v>9803</v>
      </c>
      <c r="E2993" s="1" t="s">
        <v>32</v>
      </c>
      <c r="F2993" s="1" t="str">
        <f>"1874963537"</f>
        <v>1874963537</v>
      </c>
      <c r="G2993" s="1" t="s">
        <v>33</v>
      </c>
      <c r="H2993" s="1" t="str">
        <f t="shared" si="566"/>
        <v>20220913</v>
      </c>
      <c r="I2993" s="1" t="str">
        <f>"140732"</f>
        <v>140732</v>
      </c>
      <c r="J2993" s="1" t="s">
        <v>87</v>
      </c>
      <c r="K2993" s="1" t="s">
        <v>28</v>
      </c>
      <c r="L2993" s="1" t="str">
        <f t="shared" si="567"/>
        <v>20220913</v>
      </c>
      <c r="M2993" s="1" t="str">
        <f>"142633"</f>
        <v>142633</v>
      </c>
      <c r="N2993" s="1" t="s">
        <v>28</v>
      </c>
      <c r="O2993" s="1" t="s">
        <v>28</v>
      </c>
      <c r="P2993" s="1" t="s">
        <v>55</v>
      </c>
      <c r="Q2993" s="1">
        <v>25</v>
      </c>
      <c r="R2993" s="1">
        <v>25</v>
      </c>
      <c r="S2993" s="1">
        <v>0</v>
      </c>
      <c r="T2993" s="1">
        <v>0</v>
      </c>
      <c r="U2993" s="1">
        <v>0</v>
      </c>
      <c r="V2993" s="1" t="str">
        <f>"里程返程"</f>
        <v>里程返程</v>
      </c>
      <c r="W2993" s="1" t="str">
        <f>"2020"</f>
        <v>2020</v>
      </c>
      <c r="X2993" s="1" t="s">
        <v>35</v>
      </c>
    </row>
    <row r="2994" spans="1:24" x14ac:dyDescent="0.3">
      <c r="A2994" s="1" t="str">
        <f t="shared" si="568"/>
        <v>59829</v>
      </c>
      <c r="B2994" s="1" t="s">
        <v>47</v>
      </c>
      <c r="C2994" s="1" t="s">
        <v>48</v>
      </c>
      <c r="D2994" s="1" t="str">
        <f t="shared" si="570"/>
        <v>9803</v>
      </c>
      <c r="E2994" s="1" t="s">
        <v>32</v>
      </c>
      <c r="F2994" s="1" t="str">
        <f>"7311220103003056"</f>
        <v>7311220103003056</v>
      </c>
      <c r="G2994" s="1" t="s">
        <v>33</v>
      </c>
      <c r="H2994" s="1" t="str">
        <f t="shared" si="566"/>
        <v>20220913</v>
      </c>
      <c r="I2994" s="1" t="str">
        <f>"140733"</f>
        <v>140733</v>
      </c>
      <c r="J2994" s="1" t="s">
        <v>87</v>
      </c>
      <c r="K2994" s="1" t="s">
        <v>28</v>
      </c>
      <c r="L2994" s="1" t="str">
        <f t="shared" si="567"/>
        <v>20220913</v>
      </c>
      <c r="M2994" s="1" t="str">
        <f>"142631"</f>
        <v>142631</v>
      </c>
      <c r="N2994" s="1" t="s">
        <v>28</v>
      </c>
      <c r="O2994" s="1" t="s">
        <v>28</v>
      </c>
      <c r="P2994" s="1" t="s">
        <v>55</v>
      </c>
      <c r="Q2994" s="1">
        <v>25</v>
      </c>
      <c r="R2994" s="1">
        <v>25</v>
      </c>
      <c r="S2994" s="1">
        <v>0</v>
      </c>
      <c r="T2994" s="1">
        <v>0</v>
      </c>
      <c r="U2994" s="1">
        <v>0</v>
      </c>
      <c r="V2994" s="1" t="str">
        <f>"里程返程"</f>
        <v>里程返程</v>
      </c>
      <c r="W2994" s="1" t="str">
        <f>"3B8B"</f>
        <v>3B8B</v>
      </c>
      <c r="X2994" s="1" t="s">
        <v>109</v>
      </c>
    </row>
    <row r="2995" spans="1:24" x14ac:dyDescent="0.3">
      <c r="A2995" s="1" t="str">
        <f t="shared" si="568"/>
        <v>59829</v>
      </c>
      <c r="B2995" s="1" t="s">
        <v>47</v>
      </c>
      <c r="C2995" s="1" t="s">
        <v>48</v>
      </c>
      <c r="D2995" s="1" t="str">
        <f t="shared" si="570"/>
        <v>9803</v>
      </c>
      <c r="E2995" s="1" t="s">
        <v>32</v>
      </c>
      <c r="F2995" s="1" t="str">
        <f>"825755601"</f>
        <v>825755601</v>
      </c>
      <c r="G2995" s="1" t="s">
        <v>33</v>
      </c>
      <c r="H2995" s="1" t="str">
        <f t="shared" si="566"/>
        <v>20220913</v>
      </c>
      <c r="I2995" s="1" t="str">
        <f>"140736"</f>
        <v>140736</v>
      </c>
      <c r="J2995" s="1" t="s">
        <v>87</v>
      </c>
      <c r="K2995" s="1" t="s">
        <v>28</v>
      </c>
      <c r="L2995" s="1" t="str">
        <f t="shared" si="567"/>
        <v>20220913</v>
      </c>
      <c r="M2995" s="1" t="str">
        <f>"142635"</f>
        <v>142635</v>
      </c>
      <c r="N2995" s="1" t="s">
        <v>28</v>
      </c>
      <c r="O2995" s="1" t="s">
        <v>28</v>
      </c>
      <c r="P2995" s="1" t="s">
        <v>55</v>
      </c>
      <c r="Q2995" s="1">
        <v>25</v>
      </c>
      <c r="R2995" s="1">
        <v>25</v>
      </c>
      <c r="S2995" s="1">
        <v>0</v>
      </c>
      <c r="T2995" s="1">
        <v>0</v>
      </c>
      <c r="U2995" s="1">
        <v>0</v>
      </c>
      <c r="V2995" s="1" t="str">
        <f>"里程返程"</f>
        <v>里程返程</v>
      </c>
      <c r="W2995" s="1" t="str">
        <f>"2020"</f>
        <v>2020</v>
      </c>
      <c r="X2995" s="1" t="s">
        <v>35</v>
      </c>
    </row>
    <row r="2996" spans="1:24" x14ac:dyDescent="0.3">
      <c r="A2996" s="1" t="str">
        <f t="shared" si="568"/>
        <v>59829</v>
      </c>
      <c r="B2996" s="1" t="s">
        <v>47</v>
      </c>
      <c r="C2996" s="1" t="s">
        <v>48</v>
      </c>
      <c r="D2996" s="1" t="str">
        <f t="shared" si="570"/>
        <v>9803</v>
      </c>
      <c r="E2996" s="1" t="s">
        <v>32</v>
      </c>
      <c r="F2996" s="1" t="str">
        <f>"1007808901"</f>
        <v>1007808901</v>
      </c>
      <c r="G2996" s="1" t="s">
        <v>33</v>
      </c>
      <c r="H2996" s="1" t="str">
        <f t="shared" si="566"/>
        <v>20220913</v>
      </c>
      <c r="I2996" s="1" t="str">
        <f>"140738"</f>
        <v>140738</v>
      </c>
      <c r="J2996" s="1" t="s">
        <v>87</v>
      </c>
      <c r="K2996" s="1" t="s">
        <v>28</v>
      </c>
      <c r="L2996" s="1" t="str">
        <f t="shared" si="567"/>
        <v>20220913</v>
      </c>
      <c r="M2996" s="1" t="str">
        <f>"142639"</f>
        <v>142639</v>
      </c>
      <c r="N2996" s="1" t="s">
        <v>28</v>
      </c>
      <c r="O2996" s="1" t="s">
        <v>28</v>
      </c>
      <c r="P2996" s="1" t="s">
        <v>55</v>
      </c>
      <c r="Q2996" s="1">
        <v>25</v>
      </c>
      <c r="R2996" s="1">
        <v>25</v>
      </c>
      <c r="S2996" s="1">
        <v>0</v>
      </c>
      <c r="T2996" s="1">
        <v>0</v>
      </c>
      <c r="U2996" s="1">
        <v>0</v>
      </c>
      <c r="V2996" s="1" t="str">
        <f>"里程返程"</f>
        <v>里程返程</v>
      </c>
      <c r="W2996" s="1" t="str">
        <f>"2020"</f>
        <v>2020</v>
      </c>
      <c r="X2996" s="1" t="s">
        <v>35</v>
      </c>
    </row>
    <row r="2997" spans="1:24" x14ac:dyDescent="0.3">
      <c r="A2997" s="1" t="str">
        <f t="shared" si="568"/>
        <v>59829</v>
      </c>
      <c r="B2997" s="1" t="s">
        <v>47</v>
      </c>
      <c r="C2997" s="1" t="s">
        <v>48</v>
      </c>
      <c r="D2997" s="1" t="str">
        <f>"9805"</f>
        <v>9805</v>
      </c>
      <c r="E2997" s="1" t="s">
        <v>57</v>
      </c>
      <c r="F2997" s="1" t="str">
        <f>"1737283381"</f>
        <v>1737283381</v>
      </c>
      <c r="G2997" s="1" t="s">
        <v>33</v>
      </c>
      <c r="H2997" s="1" t="str">
        <f t="shared" si="566"/>
        <v>20220913</v>
      </c>
      <c r="I2997" s="1" t="str">
        <f>"151534"</f>
        <v>151534</v>
      </c>
      <c r="J2997" s="1" t="s">
        <v>28</v>
      </c>
      <c r="K2997" s="1" t="s">
        <v>28</v>
      </c>
      <c r="L2997" s="1" t="str">
        <f t="shared" si="567"/>
        <v>20220913</v>
      </c>
      <c r="M2997" s="1" t="str">
        <f>"153411"</f>
        <v>153411</v>
      </c>
      <c r="N2997" s="1" t="s">
        <v>62</v>
      </c>
      <c r="O2997" s="1" t="s">
        <v>28</v>
      </c>
      <c r="P2997" s="1" t="s">
        <v>55</v>
      </c>
      <c r="Q2997" s="1">
        <v>25</v>
      </c>
      <c r="R2997" s="1">
        <v>25</v>
      </c>
      <c r="S2997" s="1">
        <v>0</v>
      </c>
      <c r="T2997" s="1">
        <v>0</v>
      </c>
      <c r="U2997" s="1">
        <v>0</v>
      </c>
      <c r="V2997" s="1" t="str">
        <f>"里程去程"</f>
        <v>里程去程</v>
      </c>
      <c r="W2997" s="1" t="str">
        <f>"2020"</f>
        <v>2020</v>
      </c>
      <c r="X2997" s="1" t="s">
        <v>35</v>
      </c>
    </row>
    <row r="2998" spans="1:24" x14ac:dyDescent="0.3">
      <c r="A2998" s="1" t="str">
        <f t="shared" si="568"/>
        <v>59829</v>
      </c>
      <c r="B2998" s="1" t="s">
        <v>47</v>
      </c>
      <c r="C2998" s="1" t="s">
        <v>48</v>
      </c>
      <c r="D2998" s="1" t="str">
        <f>"9805"</f>
        <v>9805</v>
      </c>
      <c r="E2998" s="1" t="s">
        <v>57</v>
      </c>
      <c r="F2998" s="1" t="str">
        <f>"1030630677"</f>
        <v>1030630677</v>
      </c>
      <c r="G2998" s="1" t="s">
        <v>38</v>
      </c>
      <c r="H2998" s="1" t="str">
        <f t="shared" si="566"/>
        <v>20220913</v>
      </c>
      <c r="I2998" s="1" t="str">
        <f>"151538"</f>
        <v>151538</v>
      </c>
      <c r="J2998" s="1" t="s">
        <v>28</v>
      </c>
      <c r="K2998" s="1" t="s">
        <v>28</v>
      </c>
      <c r="L2998" s="1" t="str">
        <f t="shared" si="567"/>
        <v>20220913</v>
      </c>
      <c r="M2998" s="1" t="str">
        <f>"153752"</f>
        <v>153752</v>
      </c>
      <c r="N2998" s="1" t="s">
        <v>52</v>
      </c>
      <c r="O2998" s="1" t="s">
        <v>52</v>
      </c>
      <c r="P2998" s="1" t="s">
        <v>55</v>
      </c>
      <c r="Q2998" s="1">
        <v>25</v>
      </c>
      <c r="R2998" s="1">
        <v>0</v>
      </c>
      <c r="S2998" s="1">
        <v>25</v>
      </c>
      <c r="T2998" s="1">
        <v>0</v>
      </c>
      <c r="U2998" s="1">
        <v>0</v>
      </c>
      <c r="V2998" s="1" t="str">
        <f>"里程去程"</f>
        <v>里程去程</v>
      </c>
      <c r="W2998" s="1" t="str">
        <f>"2120"</f>
        <v>2120</v>
      </c>
      <c r="X2998" s="1" t="s">
        <v>35</v>
      </c>
    </row>
    <row r="2999" spans="1:24" x14ac:dyDescent="0.3">
      <c r="A2999" s="1" t="str">
        <f t="shared" si="568"/>
        <v>59829</v>
      </c>
      <c r="B2999" s="1" t="s">
        <v>47</v>
      </c>
      <c r="C2999" s="1" t="s">
        <v>48</v>
      </c>
      <c r="D2999" s="1" t="str">
        <f t="shared" ref="D2999:D3004" si="572">"9803"</f>
        <v>9803</v>
      </c>
      <c r="E2999" s="1" t="s">
        <v>32</v>
      </c>
      <c r="F2999" s="1" t="str">
        <f>"1749994773"</f>
        <v>1749994773</v>
      </c>
      <c r="G2999" s="1" t="s">
        <v>38</v>
      </c>
      <c r="H2999" s="1" t="str">
        <f t="shared" si="566"/>
        <v>20220913</v>
      </c>
      <c r="I2999" s="1" t="str">
        <f>"162400"</f>
        <v>162400</v>
      </c>
      <c r="J2999" s="1" t="s">
        <v>34</v>
      </c>
      <c r="K2999" s="1" t="s">
        <v>34</v>
      </c>
      <c r="L2999" s="1" t="str">
        <f t="shared" si="567"/>
        <v>20220913</v>
      </c>
      <c r="M2999" s="1" t="str">
        <f>"165806"</f>
        <v>165806</v>
      </c>
      <c r="N2999" s="1" t="s">
        <v>28</v>
      </c>
      <c r="O2999" s="1" t="s">
        <v>28</v>
      </c>
      <c r="P2999" s="1" t="s">
        <v>55</v>
      </c>
      <c r="Q2999" s="1">
        <v>25</v>
      </c>
      <c r="R2999" s="1">
        <v>25</v>
      </c>
      <c r="S2999" s="1">
        <v>0</v>
      </c>
      <c r="T2999" s="1">
        <v>0</v>
      </c>
      <c r="U2999" s="1">
        <v>0</v>
      </c>
      <c r="V2999" s="1" t="str">
        <f t="shared" ref="V2999:V3008" si="573">"里程返程"</f>
        <v>里程返程</v>
      </c>
      <c r="W2999" s="1" t="str">
        <f>"0820"</f>
        <v>0820</v>
      </c>
      <c r="X2999" s="1" t="s">
        <v>35</v>
      </c>
    </row>
    <row r="3000" spans="1:24" x14ac:dyDescent="0.3">
      <c r="A3000" s="1" t="str">
        <f t="shared" si="568"/>
        <v>59829</v>
      </c>
      <c r="B3000" s="1" t="s">
        <v>47</v>
      </c>
      <c r="C3000" s="1" t="s">
        <v>48</v>
      </c>
      <c r="D3000" s="1" t="str">
        <f t="shared" si="572"/>
        <v>9803</v>
      </c>
      <c r="E3000" s="1" t="s">
        <v>32</v>
      </c>
      <c r="F3000" s="1" t="str">
        <f>"1587526417"</f>
        <v>1587526417</v>
      </c>
      <c r="G3000" s="1" t="s">
        <v>33</v>
      </c>
      <c r="H3000" s="1" t="str">
        <f t="shared" si="566"/>
        <v>20220913</v>
      </c>
      <c r="I3000" s="1" t="str">
        <f>"180030"</f>
        <v>180030</v>
      </c>
      <c r="J3000" s="1" t="s">
        <v>34</v>
      </c>
      <c r="K3000" s="1" t="s">
        <v>34</v>
      </c>
      <c r="L3000" s="1" t="str">
        <f t="shared" si="567"/>
        <v>20220913</v>
      </c>
      <c r="M3000" s="1" t="str">
        <f>"183242"</f>
        <v>183242</v>
      </c>
      <c r="N3000" s="1" t="s">
        <v>28</v>
      </c>
      <c r="O3000" s="1" t="s">
        <v>28</v>
      </c>
      <c r="P3000" s="1" t="s">
        <v>55</v>
      </c>
      <c r="Q3000" s="1">
        <v>25</v>
      </c>
      <c r="R3000" s="1">
        <v>25</v>
      </c>
      <c r="S3000" s="1">
        <v>0</v>
      </c>
      <c r="T3000" s="1">
        <v>0</v>
      </c>
      <c r="U3000" s="1">
        <v>0</v>
      </c>
      <c r="V3000" s="1" t="str">
        <f t="shared" si="573"/>
        <v>里程返程</v>
      </c>
      <c r="W3000" s="1" t="str">
        <f>"0220"</f>
        <v>0220</v>
      </c>
      <c r="X3000" s="1" t="s">
        <v>35</v>
      </c>
    </row>
    <row r="3001" spans="1:24" x14ac:dyDescent="0.3">
      <c r="A3001" s="1" t="str">
        <f t="shared" si="568"/>
        <v>59829</v>
      </c>
      <c r="B3001" s="1" t="s">
        <v>47</v>
      </c>
      <c r="C3001" s="1" t="s">
        <v>48</v>
      </c>
      <c r="D3001" s="1" t="str">
        <f t="shared" si="572"/>
        <v>9803</v>
      </c>
      <c r="E3001" s="1" t="s">
        <v>32</v>
      </c>
      <c r="F3001" s="1" t="str">
        <f>"70724997"</f>
        <v>70724997</v>
      </c>
      <c r="G3001" s="1" t="s">
        <v>33</v>
      </c>
      <c r="H3001" s="1" t="str">
        <f t="shared" si="566"/>
        <v>20220913</v>
      </c>
      <c r="I3001" s="1" t="str">
        <f>"180035"</f>
        <v>180035</v>
      </c>
      <c r="J3001" s="1" t="s">
        <v>34</v>
      </c>
      <c r="K3001" s="1" t="s">
        <v>34</v>
      </c>
      <c r="L3001" s="1" t="str">
        <f t="shared" si="567"/>
        <v>20220913</v>
      </c>
      <c r="M3001" s="1" t="str">
        <f>"183253"</f>
        <v>183253</v>
      </c>
      <c r="N3001" s="1" t="s">
        <v>28</v>
      </c>
      <c r="O3001" s="1" t="s">
        <v>28</v>
      </c>
      <c r="P3001" s="1" t="s">
        <v>55</v>
      </c>
      <c r="Q3001" s="1">
        <v>25</v>
      </c>
      <c r="R3001" s="1">
        <v>25</v>
      </c>
      <c r="S3001" s="1">
        <v>0</v>
      </c>
      <c r="T3001" s="1">
        <v>0</v>
      </c>
      <c r="U3001" s="1">
        <v>0</v>
      </c>
      <c r="V3001" s="1" t="str">
        <f t="shared" si="573"/>
        <v>里程返程</v>
      </c>
      <c r="W3001" s="1" t="str">
        <f>"0b20"</f>
        <v>0b20</v>
      </c>
      <c r="X3001" s="1" t="s">
        <v>35</v>
      </c>
    </row>
    <row r="3002" spans="1:24" x14ac:dyDescent="0.3">
      <c r="A3002" s="1" t="str">
        <f t="shared" si="568"/>
        <v>59829</v>
      </c>
      <c r="B3002" s="1" t="s">
        <v>47</v>
      </c>
      <c r="C3002" s="1" t="s">
        <v>48</v>
      </c>
      <c r="D3002" s="1" t="str">
        <f t="shared" si="572"/>
        <v>9803</v>
      </c>
      <c r="E3002" s="1" t="s">
        <v>32</v>
      </c>
      <c r="F3002" s="1" t="str">
        <f>"852538449"</f>
        <v>852538449</v>
      </c>
      <c r="G3002" s="1" t="s">
        <v>33</v>
      </c>
      <c r="H3002" s="1" t="str">
        <f t="shared" si="566"/>
        <v>20220913</v>
      </c>
      <c r="I3002" s="1" t="str">
        <f>"181104"</f>
        <v>181104</v>
      </c>
      <c r="J3002" s="1" t="s">
        <v>34</v>
      </c>
      <c r="K3002" s="1" t="s">
        <v>34</v>
      </c>
      <c r="L3002" s="1" t="str">
        <f t="shared" si="567"/>
        <v>20220913</v>
      </c>
      <c r="M3002" s="1" t="str">
        <f>"183246"</f>
        <v>183246</v>
      </c>
      <c r="N3002" s="1" t="s">
        <v>28</v>
      </c>
      <c r="O3002" s="1" t="s">
        <v>28</v>
      </c>
      <c r="P3002" s="1" t="s">
        <v>55</v>
      </c>
      <c r="Q3002" s="1">
        <v>25</v>
      </c>
      <c r="R3002" s="1">
        <v>25</v>
      </c>
      <c r="S3002" s="1">
        <v>0</v>
      </c>
      <c r="T3002" s="1">
        <v>0</v>
      </c>
      <c r="U3002" s="1">
        <v>0</v>
      </c>
      <c r="V3002" s="1" t="str">
        <f t="shared" si="573"/>
        <v>里程返程</v>
      </c>
      <c r="W3002" s="1" t="str">
        <f>"0220"</f>
        <v>0220</v>
      </c>
      <c r="X3002" s="1" t="s">
        <v>35</v>
      </c>
    </row>
    <row r="3003" spans="1:24" x14ac:dyDescent="0.3">
      <c r="A3003" s="1" t="str">
        <f t="shared" si="568"/>
        <v>59829</v>
      </c>
      <c r="B3003" s="1" t="s">
        <v>47</v>
      </c>
      <c r="C3003" s="1" t="s">
        <v>48</v>
      </c>
      <c r="D3003" s="1" t="str">
        <f t="shared" si="572"/>
        <v>9803</v>
      </c>
      <c r="E3003" s="1" t="s">
        <v>32</v>
      </c>
      <c r="F3003" s="1" t="str">
        <f>"1030356058"</f>
        <v>1030356058</v>
      </c>
      <c r="G3003" s="1" t="s">
        <v>33</v>
      </c>
      <c r="H3003" s="1" t="str">
        <f t="shared" si="566"/>
        <v>20220913</v>
      </c>
      <c r="I3003" s="1" t="str">
        <f>"182247"</f>
        <v>182247</v>
      </c>
      <c r="J3003" s="1" t="s">
        <v>46</v>
      </c>
      <c r="K3003" s="1" t="s">
        <v>28</v>
      </c>
      <c r="L3003" s="1" t="str">
        <f t="shared" si="567"/>
        <v>20220913</v>
      </c>
      <c r="M3003" s="1" t="str">
        <f>"183131"</f>
        <v>183131</v>
      </c>
      <c r="N3003" s="1" t="s">
        <v>95</v>
      </c>
      <c r="O3003" s="1" t="s">
        <v>28</v>
      </c>
      <c r="P3003" s="1" t="s">
        <v>55</v>
      </c>
      <c r="Q3003" s="1">
        <v>25</v>
      </c>
      <c r="R3003" s="1">
        <v>0</v>
      </c>
      <c r="S3003" s="1">
        <v>25</v>
      </c>
      <c r="T3003" s="1">
        <v>0</v>
      </c>
      <c r="U3003" s="1">
        <v>0</v>
      </c>
      <c r="V3003" s="1" t="str">
        <f t="shared" si="573"/>
        <v>里程返程</v>
      </c>
      <c r="W3003" s="1" t="str">
        <f>"2020"</f>
        <v>2020</v>
      </c>
      <c r="X3003" s="1" t="s">
        <v>35</v>
      </c>
    </row>
    <row r="3004" spans="1:24" x14ac:dyDescent="0.3">
      <c r="A3004" s="1" t="str">
        <f t="shared" si="568"/>
        <v>59829</v>
      </c>
      <c r="B3004" s="1" t="s">
        <v>47</v>
      </c>
      <c r="C3004" s="1" t="s">
        <v>48</v>
      </c>
      <c r="D3004" s="1" t="str">
        <f t="shared" si="572"/>
        <v>9803</v>
      </c>
      <c r="E3004" s="1" t="s">
        <v>32</v>
      </c>
      <c r="F3004" s="1" t="str">
        <f>"1408428113"</f>
        <v>1408428113</v>
      </c>
      <c r="G3004" s="1" t="s">
        <v>26</v>
      </c>
      <c r="H3004" s="1" t="str">
        <f t="shared" si="566"/>
        <v>20220913</v>
      </c>
      <c r="I3004" s="1" t="str">
        <f>"182252"</f>
        <v>182252</v>
      </c>
      <c r="J3004" s="1" t="s">
        <v>46</v>
      </c>
      <c r="K3004" s="1" t="s">
        <v>28</v>
      </c>
      <c r="L3004" s="1" t="str">
        <f t="shared" si="567"/>
        <v>20220913</v>
      </c>
      <c r="M3004" s="1" t="str">
        <f>"183128"</f>
        <v>183128</v>
      </c>
      <c r="N3004" s="1" t="s">
        <v>95</v>
      </c>
      <c r="O3004" s="1" t="s">
        <v>28</v>
      </c>
      <c r="P3004" s="1" t="s">
        <v>55</v>
      </c>
      <c r="Q3004" s="1">
        <v>13</v>
      </c>
      <c r="R3004" s="1">
        <v>0</v>
      </c>
      <c r="S3004" s="1">
        <v>13</v>
      </c>
      <c r="T3004" s="1">
        <v>0</v>
      </c>
      <c r="U3004" s="1">
        <v>0</v>
      </c>
      <c r="V3004" s="1" t="str">
        <f t="shared" si="573"/>
        <v>里程返程</v>
      </c>
      <c r="W3004" s="1" t="str">
        <f>"2020"</f>
        <v>2020</v>
      </c>
      <c r="X3004" s="1" t="s">
        <v>35</v>
      </c>
    </row>
    <row r="3005" spans="1:24" x14ac:dyDescent="0.3">
      <c r="A3005" s="1" t="str">
        <f t="shared" ref="A3005:A3036" si="574">"59820"</f>
        <v>59820</v>
      </c>
      <c r="B3005" s="1" t="s">
        <v>53</v>
      </c>
      <c r="C3005" s="1" t="s">
        <v>54</v>
      </c>
      <c r="D3005" s="1" t="str">
        <f>"9806"</f>
        <v>9806</v>
      </c>
      <c r="E3005" s="1" t="s">
        <v>49</v>
      </c>
      <c r="F3005" s="1" t="str">
        <f>"1695105317"</f>
        <v>1695105317</v>
      </c>
      <c r="G3005" s="1" t="s">
        <v>33</v>
      </c>
      <c r="H3005" s="1" t="str">
        <f t="shared" ref="H3005:H3068" si="575">"20220914"</f>
        <v>20220914</v>
      </c>
      <c r="I3005" s="1" t="str">
        <f>"064834"</f>
        <v>064834</v>
      </c>
      <c r="J3005" s="1" t="s">
        <v>28</v>
      </c>
      <c r="K3005" s="1" t="s">
        <v>28</v>
      </c>
      <c r="L3005" s="1" t="str">
        <f t="shared" ref="L3005:L3068" si="576">"20220914"</f>
        <v>20220914</v>
      </c>
      <c r="M3005" s="1" t="str">
        <f>"070654"</f>
        <v>070654</v>
      </c>
      <c r="N3005" s="1" t="s">
        <v>99</v>
      </c>
      <c r="O3005" s="1" t="s">
        <v>28</v>
      </c>
      <c r="P3005" s="1" t="s">
        <v>55</v>
      </c>
      <c r="Q3005" s="1">
        <v>25</v>
      </c>
      <c r="R3005" s="1">
        <v>0</v>
      </c>
      <c r="S3005" s="1">
        <v>25</v>
      </c>
      <c r="T3005" s="1">
        <v>0</v>
      </c>
      <c r="U3005" s="1">
        <v>0</v>
      </c>
      <c r="V3005" s="1" t="str">
        <f t="shared" si="573"/>
        <v>里程返程</v>
      </c>
      <c r="W3005" s="1" t="str">
        <f>"0820"</f>
        <v>0820</v>
      </c>
      <c r="X3005" s="1" t="s">
        <v>35</v>
      </c>
    </row>
    <row r="3006" spans="1:24" x14ac:dyDescent="0.3">
      <c r="A3006" s="1" t="str">
        <f t="shared" si="574"/>
        <v>59820</v>
      </c>
      <c r="B3006" s="1" t="s">
        <v>53</v>
      </c>
      <c r="C3006" s="1" t="s">
        <v>54</v>
      </c>
      <c r="D3006" s="1" t="str">
        <f>"9806"</f>
        <v>9806</v>
      </c>
      <c r="E3006" s="1" t="s">
        <v>49</v>
      </c>
      <c r="F3006" s="1" t="str">
        <f>"5294A50063880400C801002000000015"</f>
        <v>5294A50063880400C801002000000015</v>
      </c>
      <c r="G3006" s="1" t="s">
        <v>58</v>
      </c>
      <c r="H3006" s="1" t="str">
        <f t="shared" si="575"/>
        <v>20220914</v>
      </c>
      <c r="I3006" s="1" t="str">
        <f>"064844"</f>
        <v>064844</v>
      </c>
      <c r="J3006" s="1" t="s">
        <v>28</v>
      </c>
      <c r="K3006" s="1" t="s">
        <v>28</v>
      </c>
      <c r="L3006" s="1" t="str">
        <f t="shared" si="576"/>
        <v>20220914</v>
      </c>
      <c r="M3006" s="1" t="str">
        <f>"070655"</f>
        <v>070655</v>
      </c>
      <c r="N3006" s="1" t="s">
        <v>99</v>
      </c>
      <c r="O3006" s="1" t="s">
        <v>28</v>
      </c>
      <c r="P3006" s="1" t="s">
        <v>55</v>
      </c>
      <c r="Q3006" s="1">
        <v>25</v>
      </c>
      <c r="R3006" s="1">
        <v>0</v>
      </c>
      <c r="S3006" s="1">
        <v>25</v>
      </c>
      <c r="T3006" s="1">
        <v>0</v>
      </c>
      <c r="U3006" s="1">
        <v>0</v>
      </c>
      <c r="V3006" s="1" t="str">
        <f t="shared" si="573"/>
        <v>里程返程</v>
      </c>
      <c r="W3006" s="1" t="str">
        <f>"0620"</f>
        <v>0620</v>
      </c>
      <c r="X3006" s="1" t="s">
        <v>29</v>
      </c>
    </row>
    <row r="3007" spans="1:24" x14ac:dyDescent="0.3">
      <c r="A3007" s="1" t="str">
        <f t="shared" si="574"/>
        <v>59820</v>
      </c>
      <c r="B3007" s="1" t="s">
        <v>53</v>
      </c>
      <c r="C3007" s="1" t="s">
        <v>54</v>
      </c>
      <c r="D3007" s="1" t="str">
        <f>"9806"</f>
        <v>9806</v>
      </c>
      <c r="E3007" s="1" t="s">
        <v>49</v>
      </c>
      <c r="F3007" s="1" t="str">
        <f>"1202E702F5880400C834002000000015"</f>
        <v>1202E702F5880400C834002000000015</v>
      </c>
      <c r="G3007" s="1" t="s">
        <v>74</v>
      </c>
      <c r="H3007" s="1" t="str">
        <f t="shared" si="575"/>
        <v>20220914</v>
      </c>
      <c r="I3007" s="1" t="str">
        <f>"065504"</f>
        <v>065504</v>
      </c>
      <c r="J3007" s="1" t="s">
        <v>101</v>
      </c>
      <c r="K3007" s="1" t="s">
        <v>28</v>
      </c>
      <c r="L3007" s="1" t="str">
        <f t="shared" si="576"/>
        <v>20220914</v>
      </c>
      <c r="M3007" s="1" t="str">
        <f>"070700"</f>
        <v>070700</v>
      </c>
      <c r="N3007" s="1" t="s">
        <v>99</v>
      </c>
      <c r="O3007" s="1" t="s">
        <v>28</v>
      </c>
      <c r="P3007" s="1" t="s">
        <v>68</v>
      </c>
      <c r="Q3007" s="1">
        <v>13</v>
      </c>
      <c r="R3007" s="1">
        <v>0</v>
      </c>
      <c r="S3007" s="1">
        <v>0</v>
      </c>
      <c r="T3007" s="1">
        <v>13</v>
      </c>
      <c r="U3007" s="1">
        <v>0</v>
      </c>
      <c r="V3007" s="1" t="str">
        <f t="shared" si="573"/>
        <v>里程返程</v>
      </c>
      <c r="W3007" s="1" t="str">
        <f>"0020"</f>
        <v>0020</v>
      </c>
      <c r="X3007" s="1" t="s">
        <v>29</v>
      </c>
    </row>
    <row r="3008" spans="1:24" x14ac:dyDescent="0.3">
      <c r="A3008" s="1" t="str">
        <f t="shared" si="574"/>
        <v>59820</v>
      </c>
      <c r="B3008" s="1" t="s">
        <v>53</v>
      </c>
      <c r="C3008" s="1" t="s">
        <v>54</v>
      </c>
      <c r="D3008" s="1" t="str">
        <f>"9806"</f>
        <v>9806</v>
      </c>
      <c r="E3008" s="1" t="s">
        <v>49</v>
      </c>
      <c r="F3008" s="1" t="str">
        <f>"B211E70246880400C834002000000015"</f>
        <v>B211E70246880400C834002000000015</v>
      </c>
      <c r="G3008" s="1" t="s">
        <v>74</v>
      </c>
      <c r="H3008" s="1" t="str">
        <f t="shared" si="575"/>
        <v>20220914</v>
      </c>
      <c r="I3008" s="1" t="str">
        <f>"065509"</f>
        <v>065509</v>
      </c>
      <c r="J3008" s="1" t="s">
        <v>101</v>
      </c>
      <c r="K3008" s="1" t="s">
        <v>28</v>
      </c>
      <c r="L3008" s="1" t="str">
        <f t="shared" si="576"/>
        <v>20220914</v>
      </c>
      <c r="M3008" s="1" t="str">
        <f>"070657"</f>
        <v>070657</v>
      </c>
      <c r="N3008" s="1" t="s">
        <v>99</v>
      </c>
      <c r="O3008" s="1" t="s">
        <v>28</v>
      </c>
      <c r="P3008" s="1" t="s">
        <v>68</v>
      </c>
      <c r="Q3008" s="1">
        <v>13</v>
      </c>
      <c r="R3008" s="1">
        <v>0</v>
      </c>
      <c r="S3008" s="1">
        <v>0</v>
      </c>
      <c r="T3008" s="1">
        <v>13</v>
      </c>
      <c r="U3008" s="1">
        <v>0</v>
      </c>
      <c r="V3008" s="1" t="str">
        <f t="shared" si="573"/>
        <v>里程返程</v>
      </c>
      <c r="W3008" s="1" t="str">
        <f>"0020"</f>
        <v>0020</v>
      </c>
      <c r="X3008" s="1" t="s">
        <v>29</v>
      </c>
    </row>
    <row r="3009" spans="1:24" x14ac:dyDescent="0.3">
      <c r="A3009" s="1" t="str">
        <f t="shared" si="574"/>
        <v>59820</v>
      </c>
      <c r="B3009" s="1" t="s">
        <v>53</v>
      </c>
      <c r="C3009" s="1" t="s">
        <v>54</v>
      </c>
      <c r="D3009" s="1" t="str">
        <f>"9806"</f>
        <v>9806</v>
      </c>
      <c r="E3009" s="1" t="s">
        <v>49</v>
      </c>
      <c r="F3009" s="1" t="str">
        <f>"92771C03FA880400C834002000000015"</f>
        <v>92771C03FA880400C834002000000015</v>
      </c>
      <c r="G3009" s="1" t="s">
        <v>74</v>
      </c>
      <c r="H3009" s="1" t="str">
        <f t="shared" si="575"/>
        <v>20220914</v>
      </c>
      <c r="I3009" s="1" t="str">
        <f>"071322"</f>
        <v>071322</v>
      </c>
      <c r="J3009" s="1" t="s">
        <v>107</v>
      </c>
      <c r="K3009" s="1" t="s">
        <v>50</v>
      </c>
      <c r="L3009" s="1" t="str">
        <f t="shared" si="576"/>
        <v>20220914</v>
      </c>
      <c r="M3009" s="1" t="str">
        <f>"073204"</f>
        <v>073204</v>
      </c>
      <c r="N3009" s="1" t="s">
        <v>28</v>
      </c>
      <c r="O3009" s="1" t="s">
        <v>28</v>
      </c>
      <c r="P3009" s="1" t="s">
        <v>68</v>
      </c>
      <c r="Q3009" s="1">
        <v>13</v>
      </c>
      <c r="R3009" s="1">
        <v>0</v>
      </c>
      <c r="S3009" s="1">
        <v>0</v>
      </c>
      <c r="T3009" s="1">
        <v>13</v>
      </c>
      <c r="U3009" s="1">
        <v>0</v>
      </c>
      <c r="V3009" s="1" t="str">
        <f>"里程去程"</f>
        <v>里程去程</v>
      </c>
      <c r="W3009" s="1" t="str">
        <f>"0020"</f>
        <v>0020</v>
      </c>
      <c r="X3009" s="1" t="s">
        <v>29</v>
      </c>
    </row>
    <row r="3010" spans="1:24" x14ac:dyDescent="0.3">
      <c r="A3010" s="1" t="str">
        <f t="shared" si="574"/>
        <v>59820</v>
      </c>
      <c r="B3010" s="1" t="s">
        <v>53</v>
      </c>
      <c r="C3010" s="1" t="s">
        <v>54</v>
      </c>
      <c r="D3010" s="1" t="str">
        <f t="shared" ref="D3010:D3041" si="577">"9803"</f>
        <v>9803</v>
      </c>
      <c r="E3010" s="1" t="s">
        <v>32</v>
      </c>
      <c r="F3010" s="1" t="str">
        <f>"1233712885"</f>
        <v>1233712885</v>
      </c>
      <c r="G3010" s="1" t="s">
        <v>26</v>
      </c>
      <c r="H3010" s="1" t="str">
        <f t="shared" si="575"/>
        <v>20220914</v>
      </c>
      <c r="I3010" s="1" t="str">
        <f>"083113"</f>
        <v>083113</v>
      </c>
      <c r="J3010" s="1" t="s">
        <v>28</v>
      </c>
      <c r="K3010" s="1" t="s">
        <v>28</v>
      </c>
      <c r="L3010" s="1" t="str">
        <f t="shared" si="576"/>
        <v>20220914</v>
      </c>
      <c r="M3010" s="1" t="str">
        <f>"084706"</f>
        <v>084706</v>
      </c>
      <c r="N3010" s="1" t="s">
        <v>34</v>
      </c>
      <c r="O3010" s="1" t="s">
        <v>34</v>
      </c>
      <c r="P3010" s="1" t="s">
        <v>55</v>
      </c>
      <c r="Q3010" s="1">
        <v>13</v>
      </c>
      <c r="R3010" s="1">
        <v>13</v>
      </c>
      <c r="S3010" s="1">
        <v>0</v>
      </c>
      <c r="T3010" s="1">
        <v>0</v>
      </c>
      <c r="U3010" s="1">
        <v>0</v>
      </c>
      <c r="V3010" s="1" t="str">
        <f>"里程去程"</f>
        <v>里程去程</v>
      </c>
      <c r="W3010" s="1" t="str">
        <f>"0b20"</f>
        <v>0b20</v>
      </c>
      <c r="X3010" s="1" t="s">
        <v>35</v>
      </c>
    </row>
    <row r="3011" spans="1:24" x14ac:dyDescent="0.3">
      <c r="A3011" s="1" t="str">
        <f t="shared" si="574"/>
        <v>59820</v>
      </c>
      <c r="B3011" s="1" t="s">
        <v>53</v>
      </c>
      <c r="C3011" s="1" t="s">
        <v>54</v>
      </c>
      <c r="D3011" s="1" t="str">
        <f t="shared" si="577"/>
        <v>9803</v>
      </c>
      <c r="E3011" s="1" t="s">
        <v>32</v>
      </c>
      <c r="F3011" s="1" t="str">
        <f>"1233712885"</f>
        <v>1233712885</v>
      </c>
      <c r="G3011" s="1" t="s">
        <v>26</v>
      </c>
      <c r="H3011" s="1" t="str">
        <f t="shared" si="575"/>
        <v>20220914</v>
      </c>
      <c r="I3011" s="1" t="str">
        <f>"090026"</f>
        <v>090026</v>
      </c>
      <c r="J3011" s="1" t="s">
        <v>34</v>
      </c>
      <c r="K3011" s="1" t="s">
        <v>34</v>
      </c>
      <c r="L3011" s="1" t="str">
        <f t="shared" si="576"/>
        <v>20220914</v>
      </c>
      <c r="M3011" s="1" t="str">
        <f>"091146"</f>
        <v>091146</v>
      </c>
      <c r="N3011" s="1" t="s">
        <v>46</v>
      </c>
      <c r="O3011" s="1" t="s">
        <v>28</v>
      </c>
      <c r="P3011" s="1" t="s">
        <v>55</v>
      </c>
      <c r="Q3011" s="1">
        <v>13</v>
      </c>
      <c r="R3011" s="1">
        <v>0</v>
      </c>
      <c r="S3011" s="1">
        <v>13</v>
      </c>
      <c r="T3011" s="1">
        <v>0</v>
      </c>
      <c r="U3011" s="1">
        <v>0</v>
      </c>
      <c r="V3011" s="1" t="str">
        <f>"里程返程"</f>
        <v>里程返程</v>
      </c>
      <c r="W3011" s="1" t="str">
        <f>"2020"</f>
        <v>2020</v>
      </c>
      <c r="X3011" s="1" t="s">
        <v>35</v>
      </c>
    </row>
    <row r="3012" spans="1:24" x14ac:dyDescent="0.3">
      <c r="A3012" s="1" t="str">
        <f t="shared" si="574"/>
        <v>59820</v>
      </c>
      <c r="B3012" s="1" t="s">
        <v>53</v>
      </c>
      <c r="C3012" s="1" t="s">
        <v>54</v>
      </c>
      <c r="D3012" s="1" t="str">
        <f t="shared" si="577"/>
        <v>9803</v>
      </c>
      <c r="E3012" s="1" t="s">
        <v>32</v>
      </c>
      <c r="F3012" s="1" t="str">
        <f>"3899682238"</f>
        <v>3899682238</v>
      </c>
      <c r="G3012" s="1" t="s">
        <v>33</v>
      </c>
      <c r="H3012" s="1" t="str">
        <f t="shared" si="575"/>
        <v>20220914</v>
      </c>
      <c r="I3012" s="1" t="str">
        <f>"102634"</f>
        <v>102634</v>
      </c>
      <c r="J3012" s="1" t="s">
        <v>28</v>
      </c>
      <c r="K3012" s="1" t="s">
        <v>28</v>
      </c>
      <c r="L3012" s="1" t="str">
        <f t="shared" si="576"/>
        <v>20220914</v>
      </c>
      <c r="M3012" s="1" t="str">
        <f>"104827"</f>
        <v>104827</v>
      </c>
      <c r="N3012" s="1" t="s">
        <v>34</v>
      </c>
      <c r="O3012" s="1" t="s">
        <v>34</v>
      </c>
      <c r="P3012" s="1" t="s">
        <v>55</v>
      </c>
      <c r="Q3012" s="1">
        <v>25</v>
      </c>
      <c r="R3012" s="1">
        <v>25</v>
      </c>
      <c r="S3012" s="1">
        <v>0</v>
      </c>
      <c r="T3012" s="1">
        <v>0</v>
      </c>
      <c r="U3012" s="1">
        <v>0</v>
      </c>
      <c r="V3012" s="1" t="str">
        <f t="shared" ref="V3012:V3041" si="578">"里程去程"</f>
        <v>里程去程</v>
      </c>
      <c r="W3012" s="1" t="str">
        <f>"0c20"</f>
        <v>0c20</v>
      </c>
      <c r="X3012" s="1" t="s">
        <v>35</v>
      </c>
    </row>
    <row r="3013" spans="1:24" x14ac:dyDescent="0.3">
      <c r="A3013" s="1" t="str">
        <f t="shared" si="574"/>
        <v>59820</v>
      </c>
      <c r="B3013" s="1" t="s">
        <v>53</v>
      </c>
      <c r="C3013" s="1" t="s">
        <v>54</v>
      </c>
      <c r="D3013" s="1" t="str">
        <f t="shared" si="577"/>
        <v>9803</v>
      </c>
      <c r="E3013" s="1" t="s">
        <v>32</v>
      </c>
      <c r="F3013" s="1" t="str">
        <f>"1108602981"</f>
        <v>1108602981</v>
      </c>
      <c r="G3013" s="1" t="s">
        <v>33</v>
      </c>
      <c r="H3013" s="1" t="str">
        <f t="shared" si="575"/>
        <v>20220914</v>
      </c>
      <c r="I3013" s="1" t="str">
        <f>"102637"</f>
        <v>102637</v>
      </c>
      <c r="J3013" s="1" t="s">
        <v>28</v>
      </c>
      <c r="K3013" s="1" t="s">
        <v>28</v>
      </c>
      <c r="L3013" s="1" t="str">
        <f t="shared" si="576"/>
        <v>20220914</v>
      </c>
      <c r="M3013" s="1" t="str">
        <f>"104810"</f>
        <v>104810</v>
      </c>
      <c r="N3013" s="1" t="s">
        <v>34</v>
      </c>
      <c r="O3013" s="1" t="s">
        <v>34</v>
      </c>
      <c r="P3013" s="1" t="s">
        <v>55</v>
      </c>
      <c r="Q3013" s="1">
        <v>25</v>
      </c>
      <c r="R3013" s="1">
        <v>25</v>
      </c>
      <c r="S3013" s="1">
        <v>0</v>
      </c>
      <c r="T3013" s="1">
        <v>0</v>
      </c>
      <c r="U3013" s="1">
        <v>0</v>
      </c>
      <c r="V3013" s="1" t="str">
        <f t="shared" si="578"/>
        <v>里程去程</v>
      </c>
      <c r="W3013" s="1" t="str">
        <f>"0320"</f>
        <v>0320</v>
      </c>
      <c r="X3013" s="1" t="s">
        <v>35</v>
      </c>
    </row>
    <row r="3014" spans="1:24" x14ac:dyDescent="0.3">
      <c r="A3014" s="1" t="str">
        <f t="shared" si="574"/>
        <v>59820</v>
      </c>
      <c r="B3014" s="1" t="s">
        <v>53</v>
      </c>
      <c r="C3014" s="1" t="s">
        <v>54</v>
      </c>
      <c r="D3014" s="1" t="str">
        <f t="shared" si="577"/>
        <v>9803</v>
      </c>
      <c r="E3014" s="1" t="s">
        <v>32</v>
      </c>
      <c r="F3014" s="1" t="str">
        <f>"592481681"</f>
        <v>592481681</v>
      </c>
      <c r="G3014" s="1" t="s">
        <v>33</v>
      </c>
      <c r="H3014" s="1" t="str">
        <f t="shared" si="575"/>
        <v>20220914</v>
      </c>
      <c r="I3014" s="1" t="str">
        <f>"102641"</f>
        <v>102641</v>
      </c>
      <c r="J3014" s="1" t="s">
        <v>28</v>
      </c>
      <c r="K3014" s="1" t="s">
        <v>28</v>
      </c>
      <c r="L3014" s="1" t="str">
        <f t="shared" si="576"/>
        <v>20220914</v>
      </c>
      <c r="M3014" s="1" t="str">
        <f>"104800"</f>
        <v>104800</v>
      </c>
      <c r="N3014" s="1" t="s">
        <v>34</v>
      </c>
      <c r="O3014" s="1" t="s">
        <v>34</v>
      </c>
      <c r="P3014" s="1" t="s">
        <v>55</v>
      </c>
      <c r="Q3014" s="1">
        <v>25</v>
      </c>
      <c r="R3014" s="1">
        <v>25</v>
      </c>
      <c r="S3014" s="1">
        <v>0</v>
      </c>
      <c r="T3014" s="1">
        <v>0</v>
      </c>
      <c r="U3014" s="1">
        <v>0</v>
      </c>
      <c r="V3014" s="1" t="str">
        <f t="shared" si="578"/>
        <v>里程去程</v>
      </c>
      <c r="W3014" s="1" t="str">
        <f>"0120"</f>
        <v>0120</v>
      </c>
      <c r="X3014" s="1" t="s">
        <v>35</v>
      </c>
    </row>
    <row r="3015" spans="1:24" x14ac:dyDescent="0.3">
      <c r="A3015" s="1" t="str">
        <f t="shared" si="574"/>
        <v>59820</v>
      </c>
      <c r="B3015" s="1" t="s">
        <v>53</v>
      </c>
      <c r="C3015" s="1" t="s">
        <v>54</v>
      </c>
      <c r="D3015" s="1" t="str">
        <f t="shared" si="577"/>
        <v>9803</v>
      </c>
      <c r="E3015" s="1" t="s">
        <v>32</v>
      </c>
      <c r="F3015" s="1" t="str">
        <f>"1295796417"</f>
        <v>1295796417</v>
      </c>
      <c r="G3015" s="1" t="s">
        <v>33</v>
      </c>
      <c r="H3015" s="1" t="str">
        <f t="shared" si="575"/>
        <v>20220914</v>
      </c>
      <c r="I3015" s="1" t="str">
        <f>"102649"</f>
        <v>102649</v>
      </c>
      <c r="J3015" s="1" t="s">
        <v>28</v>
      </c>
      <c r="K3015" s="1" t="s">
        <v>28</v>
      </c>
      <c r="L3015" s="1" t="str">
        <f t="shared" si="576"/>
        <v>20220914</v>
      </c>
      <c r="M3015" s="1" t="str">
        <f>"104817"</f>
        <v>104817</v>
      </c>
      <c r="N3015" s="1" t="s">
        <v>34</v>
      </c>
      <c r="O3015" s="1" t="s">
        <v>34</v>
      </c>
      <c r="P3015" s="1" t="s">
        <v>55</v>
      </c>
      <c r="Q3015" s="1">
        <v>25</v>
      </c>
      <c r="R3015" s="1">
        <v>25</v>
      </c>
      <c r="S3015" s="1">
        <v>0</v>
      </c>
      <c r="T3015" s="1">
        <v>0</v>
      </c>
      <c r="U3015" s="1">
        <v>0</v>
      </c>
      <c r="V3015" s="1" t="str">
        <f t="shared" si="578"/>
        <v>里程去程</v>
      </c>
      <c r="W3015" s="1" t="str">
        <f>"0820"</f>
        <v>0820</v>
      </c>
      <c r="X3015" s="1" t="s">
        <v>35</v>
      </c>
    </row>
    <row r="3016" spans="1:24" x14ac:dyDescent="0.3">
      <c r="A3016" s="1" t="str">
        <f t="shared" si="574"/>
        <v>59820</v>
      </c>
      <c r="B3016" s="1" t="s">
        <v>53</v>
      </c>
      <c r="C3016" s="1" t="s">
        <v>54</v>
      </c>
      <c r="D3016" s="1" t="str">
        <f t="shared" si="577"/>
        <v>9803</v>
      </c>
      <c r="E3016" s="1" t="s">
        <v>32</v>
      </c>
      <c r="F3016" s="1" t="str">
        <f>"1454608033"</f>
        <v>1454608033</v>
      </c>
      <c r="G3016" s="1" t="s">
        <v>33</v>
      </c>
      <c r="H3016" s="1" t="str">
        <f t="shared" si="575"/>
        <v>20220914</v>
      </c>
      <c r="I3016" s="1" t="str">
        <f>"102655"</f>
        <v>102655</v>
      </c>
      <c r="J3016" s="1" t="s">
        <v>28</v>
      </c>
      <c r="K3016" s="1" t="s">
        <v>28</v>
      </c>
      <c r="L3016" s="1" t="str">
        <f t="shared" si="576"/>
        <v>20220914</v>
      </c>
      <c r="M3016" s="1" t="str">
        <f>"104753"</f>
        <v>104753</v>
      </c>
      <c r="N3016" s="1" t="s">
        <v>34</v>
      </c>
      <c r="O3016" s="1" t="s">
        <v>34</v>
      </c>
      <c r="P3016" s="1" t="s">
        <v>55</v>
      </c>
      <c r="Q3016" s="1">
        <v>25</v>
      </c>
      <c r="R3016" s="1">
        <v>25</v>
      </c>
      <c r="S3016" s="1">
        <v>0</v>
      </c>
      <c r="T3016" s="1">
        <v>0</v>
      </c>
      <c r="U3016" s="1">
        <v>0</v>
      </c>
      <c r="V3016" s="1" t="str">
        <f t="shared" si="578"/>
        <v>里程去程</v>
      </c>
      <c r="W3016" s="1" t="str">
        <f>"0120"</f>
        <v>0120</v>
      </c>
      <c r="X3016" s="1" t="s">
        <v>35</v>
      </c>
    </row>
    <row r="3017" spans="1:24" x14ac:dyDescent="0.3">
      <c r="A3017" s="1" t="str">
        <f t="shared" si="574"/>
        <v>59820</v>
      </c>
      <c r="B3017" s="1" t="s">
        <v>53</v>
      </c>
      <c r="C3017" s="1" t="s">
        <v>54</v>
      </c>
      <c r="D3017" s="1" t="str">
        <f t="shared" si="577"/>
        <v>9803</v>
      </c>
      <c r="E3017" s="1" t="s">
        <v>32</v>
      </c>
      <c r="F3017" s="1" t="str">
        <f>"827000229"</f>
        <v>827000229</v>
      </c>
      <c r="G3017" s="1" t="s">
        <v>33</v>
      </c>
      <c r="H3017" s="1" t="str">
        <f t="shared" si="575"/>
        <v>20220914</v>
      </c>
      <c r="I3017" s="1" t="str">
        <f>"102702"</f>
        <v>102702</v>
      </c>
      <c r="J3017" s="1" t="s">
        <v>28</v>
      </c>
      <c r="K3017" s="1" t="s">
        <v>28</v>
      </c>
      <c r="L3017" s="1" t="str">
        <f t="shared" si="576"/>
        <v>20220914</v>
      </c>
      <c r="M3017" s="1" t="str">
        <f>"104728"</f>
        <v>104728</v>
      </c>
      <c r="N3017" s="1" t="s">
        <v>34</v>
      </c>
      <c r="O3017" s="1" t="s">
        <v>34</v>
      </c>
      <c r="P3017" s="1" t="s">
        <v>55</v>
      </c>
      <c r="Q3017" s="1">
        <v>25</v>
      </c>
      <c r="R3017" s="1">
        <v>0</v>
      </c>
      <c r="S3017" s="1">
        <v>25</v>
      </c>
      <c r="T3017" s="1">
        <v>0</v>
      </c>
      <c r="U3017" s="1">
        <v>0</v>
      </c>
      <c r="V3017" s="1" t="str">
        <f t="shared" si="578"/>
        <v>里程去程</v>
      </c>
      <c r="W3017" s="1" t="str">
        <f>"0820"</f>
        <v>0820</v>
      </c>
      <c r="X3017" s="1" t="s">
        <v>35</v>
      </c>
    </row>
    <row r="3018" spans="1:24" x14ac:dyDescent="0.3">
      <c r="A3018" s="1" t="str">
        <f t="shared" si="574"/>
        <v>59820</v>
      </c>
      <c r="B3018" s="1" t="s">
        <v>53</v>
      </c>
      <c r="C3018" s="1" t="s">
        <v>54</v>
      </c>
      <c r="D3018" s="1" t="str">
        <f t="shared" si="577"/>
        <v>9803</v>
      </c>
      <c r="E3018" s="1" t="s">
        <v>32</v>
      </c>
      <c r="F3018" s="1" t="str">
        <f>"7133625A7A2804001C00000000000000"</f>
        <v>7133625A7A2804001C00000000000000</v>
      </c>
      <c r="G3018" s="1" t="s">
        <v>58</v>
      </c>
      <c r="H3018" s="1" t="str">
        <f t="shared" si="575"/>
        <v>20220914</v>
      </c>
      <c r="I3018" s="1" t="str">
        <f>"102706"</f>
        <v>102706</v>
      </c>
      <c r="J3018" s="1" t="s">
        <v>28</v>
      </c>
      <c r="K3018" s="1" t="s">
        <v>28</v>
      </c>
      <c r="L3018" s="1" t="str">
        <f t="shared" si="576"/>
        <v>20220914</v>
      </c>
      <c r="M3018" s="1" t="str">
        <f>"104721"</f>
        <v>104721</v>
      </c>
      <c r="N3018" s="1" t="s">
        <v>34</v>
      </c>
      <c r="O3018" s="1" t="s">
        <v>34</v>
      </c>
      <c r="P3018" s="1" t="s">
        <v>55</v>
      </c>
      <c r="Q3018" s="1">
        <v>25</v>
      </c>
      <c r="R3018" s="1">
        <v>25</v>
      </c>
      <c r="S3018" s="1">
        <v>0</v>
      </c>
      <c r="T3018" s="1">
        <v>0</v>
      </c>
      <c r="U3018" s="1">
        <v>0</v>
      </c>
      <c r="V3018" s="1" t="str">
        <f t="shared" si="578"/>
        <v>里程去程</v>
      </c>
      <c r="W3018" s="1" t="str">
        <f>"0020"</f>
        <v>0020</v>
      </c>
      <c r="X3018" s="1" t="s">
        <v>29</v>
      </c>
    </row>
    <row r="3019" spans="1:24" x14ac:dyDescent="0.3">
      <c r="A3019" s="1" t="str">
        <f t="shared" si="574"/>
        <v>59820</v>
      </c>
      <c r="B3019" s="1" t="s">
        <v>53</v>
      </c>
      <c r="C3019" s="1" t="s">
        <v>54</v>
      </c>
      <c r="D3019" s="1" t="str">
        <f t="shared" si="577"/>
        <v>9803</v>
      </c>
      <c r="E3019" s="1" t="s">
        <v>32</v>
      </c>
      <c r="F3019" s="1" t="str">
        <f>"1249891221"</f>
        <v>1249891221</v>
      </c>
      <c r="G3019" s="1" t="s">
        <v>38</v>
      </c>
      <c r="H3019" s="1" t="str">
        <f t="shared" si="575"/>
        <v>20220914</v>
      </c>
      <c r="I3019" s="1" t="str">
        <f>"102720"</f>
        <v>102720</v>
      </c>
      <c r="J3019" s="1" t="s">
        <v>28</v>
      </c>
      <c r="K3019" s="1" t="s">
        <v>28</v>
      </c>
      <c r="L3019" s="1" t="str">
        <f t="shared" si="576"/>
        <v>20220914</v>
      </c>
      <c r="M3019" s="1" t="str">
        <f>"104717"</f>
        <v>104717</v>
      </c>
      <c r="N3019" s="1" t="s">
        <v>34</v>
      </c>
      <c r="O3019" s="1" t="s">
        <v>34</v>
      </c>
      <c r="P3019" s="1" t="s">
        <v>55</v>
      </c>
      <c r="Q3019" s="1">
        <v>25</v>
      </c>
      <c r="R3019" s="1">
        <v>25</v>
      </c>
      <c r="S3019" s="1">
        <v>0</v>
      </c>
      <c r="T3019" s="1">
        <v>0</v>
      </c>
      <c r="U3019" s="1">
        <v>0</v>
      </c>
      <c r="V3019" s="1" t="str">
        <f t="shared" si="578"/>
        <v>里程去程</v>
      </c>
      <c r="W3019" s="1" t="str">
        <f>"0220"</f>
        <v>0220</v>
      </c>
      <c r="X3019" s="1" t="s">
        <v>35</v>
      </c>
    </row>
    <row r="3020" spans="1:24" x14ac:dyDescent="0.3">
      <c r="A3020" s="1" t="str">
        <f t="shared" si="574"/>
        <v>59820</v>
      </c>
      <c r="B3020" s="1" t="s">
        <v>53</v>
      </c>
      <c r="C3020" s="1" t="s">
        <v>54</v>
      </c>
      <c r="D3020" s="1" t="str">
        <f t="shared" si="577"/>
        <v>9803</v>
      </c>
      <c r="E3020" s="1" t="s">
        <v>32</v>
      </c>
      <c r="F3020" s="1" t="str">
        <f>"319A775A862804001C00000000000000"</f>
        <v>319A775A862804001C00000000000000</v>
      </c>
      <c r="G3020" s="1" t="s">
        <v>58</v>
      </c>
      <c r="H3020" s="1" t="str">
        <f t="shared" si="575"/>
        <v>20220914</v>
      </c>
      <c r="I3020" s="1" t="str">
        <f>"102730"</f>
        <v>102730</v>
      </c>
      <c r="J3020" s="1" t="s">
        <v>28</v>
      </c>
      <c r="K3020" s="1" t="s">
        <v>28</v>
      </c>
      <c r="L3020" s="1" t="str">
        <f t="shared" si="576"/>
        <v>20220914</v>
      </c>
      <c r="M3020" s="1" t="str">
        <f>"104805"</f>
        <v>104805</v>
      </c>
      <c r="N3020" s="1" t="s">
        <v>34</v>
      </c>
      <c r="O3020" s="1" t="s">
        <v>34</v>
      </c>
      <c r="P3020" s="1" t="s">
        <v>55</v>
      </c>
      <c r="Q3020" s="1">
        <v>25</v>
      </c>
      <c r="R3020" s="1">
        <v>25</v>
      </c>
      <c r="S3020" s="1">
        <v>0</v>
      </c>
      <c r="T3020" s="1">
        <v>0</v>
      </c>
      <c r="U3020" s="1">
        <v>0</v>
      </c>
      <c r="V3020" s="1" t="str">
        <f t="shared" si="578"/>
        <v>里程去程</v>
      </c>
      <c r="W3020" s="1" t="str">
        <f>"0020"</f>
        <v>0020</v>
      </c>
      <c r="X3020" s="1" t="s">
        <v>29</v>
      </c>
    </row>
    <row r="3021" spans="1:24" x14ac:dyDescent="0.3">
      <c r="A3021" s="1" t="str">
        <f t="shared" si="574"/>
        <v>59820</v>
      </c>
      <c r="B3021" s="1" t="s">
        <v>53</v>
      </c>
      <c r="C3021" s="1" t="s">
        <v>54</v>
      </c>
      <c r="D3021" s="1" t="str">
        <f t="shared" si="577"/>
        <v>9803</v>
      </c>
      <c r="E3021" s="1" t="s">
        <v>32</v>
      </c>
      <c r="F3021" s="1" t="str">
        <f>"200347525"</f>
        <v>200347525</v>
      </c>
      <c r="G3021" s="1" t="s">
        <v>33</v>
      </c>
      <c r="H3021" s="1" t="str">
        <f t="shared" si="575"/>
        <v>20220914</v>
      </c>
      <c r="I3021" s="1" t="str">
        <f>"102803"</f>
        <v>102803</v>
      </c>
      <c r="J3021" s="1" t="s">
        <v>28</v>
      </c>
      <c r="K3021" s="1" t="s">
        <v>28</v>
      </c>
      <c r="L3021" s="1" t="str">
        <f t="shared" si="576"/>
        <v>20220914</v>
      </c>
      <c r="M3021" s="1" t="str">
        <f>"104748"</f>
        <v>104748</v>
      </c>
      <c r="N3021" s="1" t="s">
        <v>34</v>
      </c>
      <c r="O3021" s="1" t="s">
        <v>34</v>
      </c>
      <c r="P3021" s="1" t="s">
        <v>55</v>
      </c>
      <c r="Q3021" s="1">
        <v>25</v>
      </c>
      <c r="R3021" s="1">
        <v>25</v>
      </c>
      <c r="S3021" s="1">
        <v>0</v>
      </c>
      <c r="T3021" s="1">
        <v>0</v>
      </c>
      <c r="U3021" s="1">
        <v>0</v>
      </c>
      <c r="V3021" s="1" t="str">
        <f t="shared" si="578"/>
        <v>里程去程</v>
      </c>
      <c r="W3021" s="1" t="str">
        <f>"0b20"</f>
        <v>0b20</v>
      </c>
      <c r="X3021" s="1" t="s">
        <v>35</v>
      </c>
    </row>
    <row r="3022" spans="1:24" x14ac:dyDescent="0.3">
      <c r="A3022" s="1" t="str">
        <f t="shared" si="574"/>
        <v>59820</v>
      </c>
      <c r="B3022" s="1" t="s">
        <v>53</v>
      </c>
      <c r="C3022" s="1" t="s">
        <v>54</v>
      </c>
      <c r="D3022" s="1" t="str">
        <f t="shared" si="577"/>
        <v>9803</v>
      </c>
      <c r="E3022" s="1" t="s">
        <v>32</v>
      </c>
      <c r="F3022" s="1" t="str">
        <f>"1052684949"</f>
        <v>1052684949</v>
      </c>
      <c r="G3022" s="1" t="s">
        <v>33</v>
      </c>
      <c r="H3022" s="1" t="str">
        <f t="shared" si="575"/>
        <v>20220914</v>
      </c>
      <c r="I3022" s="1" t="str">
        <f>"102811"</f>
        <v>102811</v>
      </c>
      <c r="J3022" s="1" t="s">
        <v>28</v>
      </c>
      <c r="K3022" s="1" t="s">
        <v>28</v>
      </c>
      <c r="L3022" s="1" t="str">
        <f t="shared" si="576"/>
        <v>20220914</v>
      </c>
      <c r="M3022" s="1" t="str">
        <f>"104739"</f>
        <v>104739</v>
      </c>
      <c r="N3022" s="1" t="s">
        <v>34</v>
      </c>
      <c r="O3022" s="1" t="s">
        <v>34</v>
      </c>
      <c r="P3022" s="1" t="s">
        <v>55</v>
      </c>
      <c r="Q3022" s="1">
        <v>25</v>
      </c>
      <c r="R3022" s="1">
        <v>25</v>
      </c>
      <c r="S3022" s="1">
        <v>0</v>
      </c>
      <c r="T3022" s="1">
        <v>0</v>
      </c>
      <c r="U3022" s="1">
        <v>0</v>
      </c>
      <c r="V3022" s="1" t="str">
        <f t="shared" si="578"/>
        <v>里程去程</v>
      </c>
      <c r="W3022" s="1" t="str">
        <f>"0020"</f>
        <v>0020</v>
      </c>
      <c r="X3022" s="1" t="s">
        <v>35</v>
      </c>
    </row>
    <row r="3023" spans="1:24" x14ac:dyDescent="0.3">
      <c r="A3023" s="1" t="str">
        <f t="shared" si="574"/>
        <v>59820</v>
      </c>
      <c r="B3023" s="1" t="s">
        <v>53</v>
      </c>
      <c r="C3023" s="1" t="s">
        <v>54</v>
      </c>
      <c r="D3023" s="1" t="str">
        <f t="shared" si="577"/>
        <v>9803</v>
      </c>
      <c r="E3023" s="1" t="s">
        <v>32</v>
      </c>
      <c r="F3023" s="1" t="str">
        <f>"668505061"</f>
        <v>668505061</v>
      </c>
      <c r="G3023" s="1" t="s">
        <v>33</v>
      </c>
      <c r="H3023" s="1" t="str">
        <f t="shared" si="575"/>
        <v>20220914</v>
      </c>
      <c r="I3023" s="1" t="str">
        <f>"102818"</f>
        <v>102818</v>
      </c>
      <c r="J3023" s="1" t="s">
        <v>28</v>
      </c>
      <c r="K3023" s="1" t="s">
        <v>28</v>
      </c>
      <c r="L3023" s="1" t="str">
        <f t="shared" si="576"/>
        <v>20220914</v>
      </c>
      <c r="M3023" s="1" t="str">
        <f>"104743"</f>
        <v>104743</v>
      </c>
      <c r="N3023" s="1" t="s">
        <v>34</v>
      </c>
      <c r="O3023" s="1" t="s">
        <v>34</v>
      </c>
      <c r="P3023" s="1" t="s">
        <v>55</v>
      </c>
      <c r="Q3023" s="1">
        <v>25</v>
      </c>
      <c r="R3023" s="1">
        <v>25</v>
      </c>
      <c r="S3023" s="1">
        <v>0</v>
      </c>
      <c r="T3023" s="1">
        <v>0</v>
      </c>
      <c r="U3023" s="1">
        <v>0</v>
      </c>
      <c r="V3023" s="1" t="str">
        <f t="shared" si="578"/>
        <v>里程去程</v>
      </c>
      <c r="W3023" s="1" t="str">
        <f>"1420"</f>
        <v>1420</v>
      </c>
      <c r="X3023" s="1" t="s">
        <v>35</v>
      </c>
    </row>
    <row r="3024" spans="1:24" x14ac:dyDescent="0.3">
      <c r="A3024" s="1" t="str">
        <f t="shared" si="574"/>
        <v>59820</v>
      </c>
      <c r="B3024" s="1" t="s">
        <v>53</v>
      </c>
      <c r="C3024" s="1" t="s">
        <v>54</v>
      </c>
      <c r="D3024" s="1" t="str">
        <f t="shared" si="577"/>
        <v>9803</v>
      </c>
      <c r="E3024" s="1" t="s">
        <v>32</v>
      </c>
      <c r="F3024" s="1" t="str">
        <f>"1775599361"</f>
        <v>1775599361</v>
      </c>
      <c r="G3024" s="1" t="s">
        <v>33</v>
      </c>
      <c r="H3024" s="1" t="str">
        <f t="shared" si="575"/>
        <v>20220914</v>
      </c>
      <c r="I3024" s="1" t="str">
        <f>"112943"</f>
        <v>112943</v>
      </c>
      <c r="J3024" s="1" t="s">
        <v>28</v>
      </c>
      <c r="K3024" s="1" t="s">
        <v>28</v>
      </c>
      <c r="L3024" s="1" t="str">
        <f t="shared" si="576"/>
        <v>20220914</v>
      </c>
      <c r="M3024" s="1" t="str">
        <f>"114921"</f>
        <v>114921</v>
      </c>
      <c r="N3024" s="1" t="s">
        <v>34</v>
      </c>
      <c r="O3024" s="1" t="s">
        <v>34</v>
      </c>
      <c r="P3024" s="1" t="s">
        <v>55</v>
      </c>
      <c r="Q3024" s="1">
        <v>25</v>
      </c>
      <c r="R3024" s="1">
        <v>25</v>
      </c>
      <c r="S3024" s="1">
        <v>0</v>
      </c>
      <c r="T3024" s="1">
        <v>0</v>
      </c>
      <c r="U3024" s="1">
        <v>0</v>
      </c>
      <c r="V3024" s="1" t="str">
        <f t="shared" si="578"/>
        <v>里程去程</v>
      </c>
      <c r="W3024" s="1" t="str">
        <f>"1f20"</f>
        <v>1f20</v>
      </c>
      <c r="X3024" s="1" t="s">
        <v>35</v>
      </c>
    </row>
    <row r="3025" spans="1:24" x14ac:dyDescent="0.3">
      <c r="A3025" s="1" t="str">
        <f t="shared" si="574"/>
        <v>59820</v>
      </c>
      <c r="B3025" s="1" t="s">
        <v>53</v>
      </c>
      <c r="C3025" s="1" t="s">
        <v>54</v>
      </c>
      <c r="D3025" s="1" t="str">
        <f t="shared" si="577"/>
        <v>9803</v>
      </c>
      <c r="E3025" s="1" t="s">
        <v>32</v>
      </c>
      <c r="F3025" s="1" t="str">
        <f>"214744534"</f>
        <v>214744534</v>
      </c>
      <c r="G3025" s="1" t="s">
        <v>26</v>
      </c>
      <c r="H3025" s="1" t="str">
        <f t="shared" si="575"/>
        <v>20220914</v>
      </c>
      <c r="I3025" s="1" t="str">
        <f>"112946"</f>
        <v>112946</v>
      </c>
      <c r="J3025" s="1" t="s">
        <v>28</v>
      </c>
      <c r="K3025" s="1" t="s">
        <v>28</v>
      </c>
      <c r="L3025" s="1" t="str">
        <f t="shared" si="576"/>
        <v>20220914</v>
      </c>
      <c r="M3025" s="1" t="str">
        <f>"114929"</f>
        <v>114929</v>
      </c>
      <c r="N3025" s="1" t="s">
        <v>34</v>
      </c>
      <c r="O3025" s="1" t="s">
        <v>34</v>
      </c>
      <c r="P3025" s="1" t="s">
        <v>55</v>
      </c>
      <c r="Q3025" s="1">
        <v>13</v>
      </c>
      <c r="R3025" s="1">
        <v>13</v>
      </c>
      <c r="S3025" s="1">
        <v>0</v>
      </c>
      <c r="T3025" s="1">
        <v>0</v>
      </c>
      <c r="U3025" s="1">
        <v>0</v>
      </c>
      <c r="V3025" s="1" t="str">
        <f t="shared" si="578"/>
        <v>里程去程</v>
      </c>
      <c r="W3025" s="1" t="str">
        <f>"1f20"</f>
        <v>1f20</v>
      </c>
      <c r="X3025" s="1" t="s">
        <v>35</v>
      </c>
    </row>
    <row r="3026" spans="1:24" x14ac:dyDescent="0.3">
      <c r="A3026" s="1" t="str">
        <f t="shared" si="574"/>
        <v>59820</v>
      </c>
      <c r="B3026" s="1" t="s">
        <v>53</v>
      </c>
      <c r="C3026" s="1" t="s">
        <v>54</v>
      </c>
      <c r="D3026" s="1" t="str">
        <f t="shared" si="577"/>
        <v>9803</v>
      </c>
      <c r="E3026" s="1" t="s">
        <v>32</v>
      </c>
      <c r="F3026" s="1" t="str">
        <f>"1088405425"</f>
        <v>1088405425</v>
      </c>
      <c r="G3026" s="1" t="s">
        <v>33</v>
      </c>
      <c r="H3026" s="1" t="str">
        <f t="shared" si="575"/>
        <v>20220914</v>
      </c>
      <c r="I3026" s="1" t="str">
        <f>"112951"</f>
        <v>112951</v>
      </c>
      <c r="J3026" s="1" t="s">
        <v>28</v>
      </c>
      <c r="K3026" s="1" t="s">
        <v>28</v>
      </c>
      <c r="L3026" s="1" t="str">
        <f t="shared" si="576"/>
        <v>20220914</v>
      </c>
      <c r="M3026" s="1" t="str">
        <f>"115039"</f>
        <v>115039</v>
      </c>
      <c r="N3026" s="1" t="s">
        <v>34</v>
      </c>
      <c r="O3026" s="1" t="s">
        <v>34</v>
      </c>
      <c r="P3026" s="1" t="s">
        <v>55</v>
      </c>
      <c r="Q3026" s="1">
        <v>25</v>
      </c>
      <c r="R3026" s="1">
        <v>25</v>
      </c>
      <c r="S3026" s="1">
        <v>0</v>
      </c>
      <c r="T3026" s="1">
        <v>0</v>
      </c>
      <c r="U3026" s="1">
        <v>0</v>
      </c>
      <c r="V3026" s="1" t="str">
        <f t="shared" si="578"/>
        <v>里程去程</v>
      </c>
      <c r="W3026" s="1" t="str">
        <f>"0620"</f>
        <v>0620</v>
      </c>
      <c r="X3026" s="1" t="s">
        <v>35</v>
      </c>
    </row>
    <row r="3027" spans="1:24" x14ac:dyDescent="0.3">
      <c r="A3027" s="1" t="str">
        <f t="shared" si="574"/>
        <v>59820</v>
      </c>
      <c r="B3027" s="1" t="s">
        <v>53</v>
      </c>
      <c r="C3027" s="1" t="s">
        <v>54</v>
      </c>
      <c r="D3027" s="1" t="str">
        <f t="shared" si="577"/>
        <v>9803</v>
      </c>
      <c r="E3027" s="1" t="s">
        <v>32</v>
      </c>
      <c r="F3027" s="1" t="str">
        <f>"8795BD822D88040043250D550013010F"</f>
        <v>8795BD822D88040043250D550013010F</v>
      </c>
      <c r="G3027" s="1" t="s">
        <v>58</v>
      </c>
      <c r="H3027" s="1" t="str">
        <f t="shared" si="575"/>
        <v>20220914</v>
      </c>
      <c r="I3027" s="1" t="str">
        <f>"112955"</f>
        <v>112955</v>
      </c>
      <c r="J3027" s="1" t="s">
        <v>28</v>
      </c>
      <c r="K3027" s="1" t="s">
        <v>28</v>
      </c>
      <c r="L3027" s="1" t="str">
        <f t="shared" si="576"/>
        <v>20220914</v>
      </c>
      <c r="M3027" s="1" t="str">
        <f>"114933"</f>
        <v>114933</v>
      </c>
      <c r="N3027" s="1" t="s">
        <v>34</v>
      </c>
      <c r="O3027" s="1" t="s">
        <v>34</v>
      </c>
      <c r="P3027" s="1" t="s">
        <v>55</v>
      </c>
      <c r="Q3027" s="1">
        <v>25</v>
      </c>
      <c r="R3027" s="1">
        <v>25</v>
      </c>
      <c r="S3027" s="1">
        <v>0</v>
      </c>
      <c r="T3027" s="1">
        <v>0</v>
      </c>
      <c r="U3027" s="1">
        <v>0</v>
      </c>
      <c r="V3027" s="1" t="str">
        <f t="shared" si="578"/>
        <v>里程去程</v>
      </c>
      <c r="W3027" s="1" t="str">
        <f>"0020"</f>
        <v>0020</v>
      </c>
      <c r="X3027" s="1" t="s">
        <v>29</v>
      </c>
    </row>
    <row r="3028" spans="1:24" x14ac:dyDescent="0.3">
      <c r="A3028" s="1" t="str">
        <f t="shared" si="574"/>
        <v>59820</v>
      </c>
      <c r="B3028" s="1" t="s">
        <v>53</v>
      </c>
      <c r="C3028" s="1" t="s">
        <v>54</v>
      </c>
      <c r="D3028" s="1" t="str">
        <f t="shared" si="577"/>
        <v>9803</v>
      </c>
      <c r="E3028" s="1" t="s">
        <v>32</v>
      </c>
      <c r="F3028" s="1" t="str">
        <f>"3044971298"</f>
        <v>3044971298</v>
      </c>
      <c r="G3028" s="1" t="s">
        <v>74</v>
      </c>
      <c r="H3028" s="1" t="str">
        <f t="shared" si="575"/>
        <v>20220914</v>
      </c>
      <c r="I3028" s="1" t="str">
        <f>"112959"</f>
        <v>112959</v>
      </c>
      <c r="J3028" s="1" t="s">
        <v>28</v>
      </c>
      <c r="K3028" s="1" t="s">
        <v>28</v>
      </c>
      <c r="L3028" s="1" t="str">
        <f t="shared" si="576"/>
        <v>20220914</v>
      </c>
      <c r="M3028" s="1" t="str">
        <f>"115030"</f>
        <v>115030</v>
      </c>
      <c r="N3028" s="1" t="s">
        <v>34</v>
      </c>
      <c r="O3028" s="1" t="s">
        <v>34</v>
      </c>
      <c r="P3028" s="1" t="s">
        <v>55</v>
      </c>
      <c r="Q3028" s="1">
        <v>13</v>
      </c>
      <c r="R3028" s="1">
        <v>13</v>
      </c>
      <c r="S3028" s="1">
        <v>0</v>
      </c>
      <c r="T3028" s="1">
        <v>0</v>
      </c>
      <c r="U3028" s="1">
        <v>0</v>
      </c>
      <c r="V3028" s="1" t="str">
        <f t="shared" si="578"/>
        <v>里程去程</v>
      </c>
      <c r="W3028" s="1" t="str">
        <f>"0220"</f>
        <v>0220</v>
      </c>
      <c r="X3028" s="1" t="s">
        <v>35</v>
      </c>
    </row>
    <row r="3029" spans="1:24" x14ac:dyDescent="0.3">
      <c r="A3029" s="1" t="str">
        <f t="shared" si="574"/>
        <v>59820</v>
      </c>
      <c r="B3029" s="1" t="s">
        <v>53</v>
      </c>
      <c r="C3029" s="1" t="s">
        <v>54</v>
      </c>
      <c r="D3029" s="1" t="str">
        <f t="shared" si="577"/>
        <v>9803</v>
      </c>
      <c r="E3029" s="1" t="s">
        <v>32</v>
      </c>
      <c r="F3029" s="1" t="str">
        <f>"1124422261"</f>
        <v>1124422261</v>
      </c>
      <c r="G3029" s="1" t="s">
        <v>33</v>
      </c>
      <c r="H3029" s="1" t="str">
        <f t="shared" si="575"/>
        <v>20220914</v>
      </c>
      <c r="I3029" s="1" t="str">
        <f>"113007"</f>
        <v>113007</v>
      </c>
      <c r="J3029" s="1" t="s">
        <v>28</v>
      </c>
      <c r="K3029" s="1" t="s">
        <v>28</v>
      </c>
      <c r="L3029" s="1" t="str">
        <f t="shared" si="576"/>
        <v>20220914</v>
      </c>
      <c r="M3029" s="1" t="str">
        <f>"115034"</f>
        <v>115034</v>
      </c>
      <c r="N3029" s="1" t="s">
        <v>34</v>
      </c>
      <c r="O3029" s="1" t="s">
        <v>34</v>
      </c>
      <c r="P3029" s="1" t="s">
        <v>55</v>
      </c>
      <c r="Q3029" s="1">
        <v>25</v>
      </c>
      <c r="R3029" s="1">
        <v>25</v>
      </c>
      <c r="S3029" s="1">
        <v>0</v>
      </c>
      <c r="T3029" s="1">
        <v>0</v>
      </c>
      <c r="U3029" s="1">
        <v>0</v>
      </c>
      <c r="V3029" s="1" t="str">
        <f t="shared" si="578"/>
        <v>里程去程</v>
      </c>
      <c r="W3029" s="1" t="str">
        <f>"0320"</f>
        <v>0320</v>
      </c>
      <c r="X3029" s="1" t="s">
        <v>35</v>
      </c>
    </row>
    <row r="3030" spans="1:24" x14ac:dyDescent="0.3">
      <c r="A3030" s="1" t="str">
        <f t="shared" si="574"/>
        <v>59820</v>
      </c>
      <c r="B3030" s="1" t="s">
        <v>53</v>
      </c>
      <c r="C3030" s="1" t="s">
        <v>54</v>
      </c>
      <c r="D3030" s="1" t="str">
        <f t="shared" si="577"/>
        <v>9803</v>
      </c>
      <c r="E3030" s="1" t="s">
        <v>32</v>
      </c>
      <c r="F3030" s="1" t="str">
        <f>"4079971282"</f>
        <v>4079971282</v>
      </c>
      <c r="G3030" s="1" t="s">
        <v>33</v>
      </c>
      <c r="H3030" s="1" t="str">
        <f t="shared" si="575"/>
        <v>20220914</v>
      </c>
      <c r="I3030" s="1" t="str">
        <f>"113009"</f>
        <v>113009</v>
      </c>
      <c r="J3030" s="1" t="s">
        <v>28</v>
      </c>
      <c r="K3030" s="1" t="s">
        <v>28</v>
      </c>
      <c r="L3030" s="1" t="str">
        <f t="shared" si="576"/>
        <v>20220914</v>
      </c>
      <c r="M3030" s="1" t="str">
        <f>"115026"</f>
        <v>115026</v>
      </c>
      <c r="N3030" s="1" t="s">
        <v>34</v>
      </c>
      <c r="O3030" s="1" t="s">
        <v>34</v>
      </c>
      <c r="P3030" s="1" t="s">
        <v>55</v>
      </c>
      <c r="Q3030" s="1">
        <v>25</v>
      </c>
      <c r="R3030" s="1">
        <v>25</v>
      </c>
      <c r="S3030" s="1">
        <v>0</v>
      </c>
      <c r="T3030" s="1">
        <v>0</v>
      </c>
      <c r="U3030" s="1">
        <v>0</v>
      </c>
      <c r="V3030" s="1" t="str">
        <f t="shared" si="578"/>
        <v>里程去程</v>
      </c>
      <c r="W3030" s="1" t="str">
        <f>"0220"</f>
        <v>0220</v>
      </c>
      <c r="X3030" s="1" t="s">
        <v>35</v>
      </c>
    </row>
    <row r="3031" spans="1:24" x14ac:dyDescent="0.3">
      <c r="A3031" s="1" t="str">
        <f t="shared" si="574"/>
        <v>59820</v>
      </c>
      <c r="B3031" s="1" t="s">
        <v>53</v>
      </c>
      <c r="C3031" s="1" t="s">
        <v>54</v>
      </c>
      <c r="D3031" s="1" t="str">
        <f t="shared" si="577"/>
        <v>9803</v>
      </c>
      <c r="E3031" s="1" t="s">
        <v>32</v>
      </c>
      <c r="F3031" s="1" t="str">
        <f>"2657175887"</f>
        <v>2657175887</v>
      </c>
      <c r="G3031" s="1" t="s">
        <v>33</v>
      </c>
      <c r="H3031" s="1" t="str">
        <f t="shared" si="575"/>
        <v>20220914</v>
      </c>
      <c r="I3031" s="1" t="str">
        <f>"113015"</f>
        <v>113015</v>
      </c>
      <c r="J3031" s="1" t="s">
        <v>28</v>
      </c>
      <c r="K3031" s="1" t="s">
        <v>28</v>
      </c>
      <c r="L3031" s="1" t="str">
        <f t="shared" si="576"/>
        <v>20220914</v>
      </c>
      <c r="M3031" s="1" t="str">
        <f>"115019"</f>
        <v>115019</v>
      </c>
      <c r="N3031" s="1" t="s">
        <v>34</v>
      </c>
      <c r="O3031" s="1" t="s">
        <v>34</v>
      </c>
      <c r="P3031" s="1" t="s">
        <v>55</v>
      </c>
      <c r="Q3031" s="1">
        <v>25</v>
      </c>
      <c r="R3031" s="1">
        <v>25</v>
      </c>
      <c r="S3031" s="1">
        <v>0</v>
      </c>
      <c r="T3031" s="1">
        <v>0</v>
      </c>
      <c r="U3031" s="1">
        <v>0</v>
      </c>
      <c r="V3031" s="1" t="str">
        <f t="shared" si="578"/>
        <v>里程去程</v>
      </c>
      <c r="W3031" s="1" t="str">
        <f>"0220"</f>
        <v>0220</v>
      </c>
      <c r="X3031" s="1" t="s">
        <v>35</v>
      </c>
    </row>
    <row r="3032" spans="1:24" x14ac:dyDescent="0.3">
      <c r="A3032" s="1" t="str">
        <f t="shared" si="574"/>
        <v>59820</v>
      </c>
      <c r="B3032" s="1" t="s">
        <v>53</v>
      </c>
      <c r="C3032" s="1" t="s">
        <v>54</v>
      </c>
      <c r="D3032" s="1" t="str">
        <f t="shared" si="577"/>
        <v>9803</v>
      </c>
      <c r="E3032" s="1" t="s">
        <v>32</v>
      </c>
      <c r="F3032" s="1" t="str">
        <f>"685878209"</f>
        <v>685878209</v>
      </c>
      <c r="G3032" s="1" t="s">
        <v>33</v>
      </c>
      <c r="H3032" s="1" t="str">
        <f t="shared" si="575"/>
        <v>20220914</v>
      </c>
      <c r="I3032" s="1" t="str">
        <f>"113023"</f>
        <v>113023</v>
      </c>
      <c r="J3032" s="1" t="s">
        <v>28</v>
      </c>
      <c r="K3032" s="1" t="s">
        <v>28</v>
      </c>
      <c r="L3032" s="1" t="str">
        <f t="shared" si="576"/>
        <v>20220914</v>
      </c>
      <c r="M3032" s="1" t="str">
        <f>"115013"</f>
        <v>115013</v>
      </c>
      <c r="N3032" s="1" t="s">
        <v>34</v>
      </c>
      <c r="O3032" s="1" t="s">
        <v>34</v>
      </c>
      <c r="P3032" s="1" t="s">
        <v>55</v>
      </c>
      <c r="Q3032" s="1">
        <v>25</v>
      </c>
      <c r="R3032" s="1">
        <v>25</v>
      </c>
      <c r="S3032" s="1">
        <v>0</v>
      </c>
      <c r="T3032" s="1">
        <v>0</v>
      </c>
      <c r="U3032" s="1">
        <v>0</v>
      </c>
      <c r="V3032" s="1" t="str">
        <f t="shared" si="578"/>
        <v>里程去程</v>
      </c>
      <c r="W3032" s="1" t="str">
        <f>"0820"</f>
        <v>0820</v>
      </c>
      <c r="X3032" s="1" t="s">
        <v>35</v>
      </c>
    </row>
    <row r="3033" spans="1:24" x14ac:dyDescent="0.3">
      <c r="A3033" s="1" t="str">
        <f t="shared" si="574"/>
        <v>59820</v>
      </c>
      <c r="B3033" s="1" t="s">
        <v>53</v>
      </c>
      <c r="C3033" s="1" t="s">
        <v>54</v>
      </c>
      <c r="D3033" s="1" t="str">
        <f t="shared" si="577"/>
        <v>9803</v>
      </c>
      <c r="E3033" s="1" t="s">
        <v>32</v>
      </c>
      <c r="F3033" s="1" t="str">
        <f>"1087510273"</f>
        <v>1087510273</v>
      </c>
      <c r="G3033" s="1" t="s">
        <v>33</v>
      </c>
      <c r="H3033" s="1" t="str">
        <f t="shared" si="575"/>
        <v>20220914</v>
      </c>
      <c r="I3033" s="1" t="str">
        <f>"113037"</f>
        <v>113037</v>
      </c>
      <c r="J3033" s="1" t="s">
        <v>28</v>
      </c>
      <c r="K3033" s="1" t="s">
        <v>28</v>
      </c>
      <c r="L3033" s="1" t="str">
        <f t="shared" si="576"/>
        <v>20220914</v>
      </c>
      <c r="M3033" s="1" t="str">
        <f>"115007"</f>
        <v>115007</v>
      </c>
      <c r="N3033" s="1" t="s">
        <v>34</v>
      </c>
      <c r="O3033" s="1" t="s">
        <v>34</v>
      </c>
      <c r="P3033" s="1" t="s">
        <v>55</v>
      </c>
      <c r="Q3033" s="1">
        <v>25</v>
      </c>
      <c r="R3033" s="1">
        <v>25</v>
      </c>
      <c r="S3033" s="1">
        <v>0</v>
      </c>
      <c r="T3033" s="1">
        <v>0</v>
      </c>
      <c r="U3033" s="1">
        <v>0</v>
      </c>
      <c r="V3033" s="1" t="str">
        <f t="shared" si="578"/>
        <v>里程去程</v>
      </c>
      <c r="W3033" s="1" t="str">
        <f>"0820"</f>
        <v>0820</v>
      </c>
      <c r="X3033" s="1" t="s">
        <v>35</v>
      </c>
    </row>
    <row r="3034" spans="1:24" x14ac:dyDescent="0.3">
      <c r="A3034" s="1" t="str">
        <f t="shared" si="574"/>
        <v>59820</v>
      </c>
      <c r="B3034" s="1" t="s">
        <v>53</v>
      </c>
      <c r="C3034" s="1" t="s">
        <v>54</v>
      </c>
      <c r="D3034" s="1" t="str">
        <f t="shared" si="577"/>
        <v>9803</v>
      </c>
      <c r="E3034" s="1" t="s">
        <v>32</v>
      </c>
      <c r="F3034" s="1" t="str">
        <f>"2023364016"</f>
        <v>2023364016</v>
      </c>
      <c r="G3034" s="1" t="s">
        <v>33</v>
      </c>
      <c r="H3034" s="1" t="str">
        <f t="shared" si="575"/>
        <v>20220914</v>
      </c>
      <c r="I3034" s="1" t="str">
        <f>"113047"</f>
        <v>113047</v>
      </c>
      <c r="J3034" s="1" t="s">
        <v>28</v>
      </c>
      <c r="K3034" s="1" t="s">
        <v>28</v>
      </c>
      <c r="L3034" s="1" t="str">
        <f t="shared" si="576"/>
        <v>20220914</v>
      </c>
      <c r="M3034" s="1" t="str">
        <f>"114951"</f>
        <v>114951</v>
      </c>
      <c r="N3034" s="1" t="s">
        <v>34</v>
      </c>
      <c r="O3034" s="1" t="s">
        <v>34</v>
      </c>
      <c r="P3034" s="1" t="s">
        <v>55</v>
      </c>
      <c r="Q3034" s="1">
        <v>25</v>
      </c>
      <c r="R3034" s="1">
        <v>25</v>
      </c>
      <c r="S3034" s="1">
        <v>0</v>
      </c>
      <c r="T3034" s="1">
        <v>0</v>
      </c>
      <c r="U3034" s="1">
        <v>0</v>
      </c>
      <c r="V3034" s="1" t="str">
        <f t="shared" si="578"/>
        <v>里程去程</v>
      </c>
      <c r="W3034" s="1" t="str">
        <f>"0820"</f>
        <v>0820</v>
      </c>
      <c r="X3034" s="1" t="s">
        <v>35</v>
      </c>
    </row>
    <row r="3035" spans="1:24" x14ac:dyDescent="0.3">
      <c r="A3035" s="1" t="str">
        <f t="shared" si="574"/>
        <v>59820</v>
      </c>
      <c r="B3035" s="1" t="s">
        <v>53</v>
      </c>
      <c r="C3035" s="1" t="s">
        <v>54</v>
      </c>
      <c r="D3035" s="1" t="str">
        <f t="shared" si="577"/>
        <v>9803</v>
      </c>
      <c r="E3035" s="1" t="s">
        <v>32</v>
      </c>
      <c r="F3035" s="1" t="str">
        <f>"3760623847"</f>
        <v>3760623847</v>
      </c>
      <c r="G3035" s="1" t="s">
        <v>33</v>
      </c>
      <c r="H3035" s="1" t="str">
        <f t="shared" si="575"/>
        <v>20220914</v>
      </c>
      <c r="I3035" s="1" t="str">
        <f>"113053"</f>
        <v>113053</v>
      </c>
      <c r="J3035" s="1" t="s">
        <v>28</v>
      </c>
      <c r="K3035" s="1" t="s">
        <v>28</v>
      </c>
      <c r="L3035" s="1" t="str">
        <f t="shared" si="576"/>
        <v>20220914</v>
      </c>
      <c r="M3035" s="1" t="str">
        <f>"114947"</f>
        <v>114947</v>
      </c>
      <c r="N3035" s="1" t="s">
        <v>34</v>
      </c>
      <c r="O3035" s="1" t="s">
        <v>34</v>
      </c>
      <c r="P3035" s="1" t="s">
        <v>55</v>
      </c>
      <c r="Q3035" s="1">
        <v>25</v>
      </c>
      <c r="R3035" s="1">
        <v>25</v>
      </c>
      <c r="S3035" s="1">
        <v>0</v>
      </c>
      <c r="T3035" s="1">
        <v>0</v>
      </c>
      <c r="U3035" s="1">
        <v>0</v>
      </c>
      <c r="V3035" s="1" t="str">
        <f t="shared" si="578"/>
        <v>里程去程</v>
      </c>
      <c r="W3035" s="1" t="str">
        <f>"0820"</f>
        <v>0820</v>
      </c>
      <c r="X3035" s="1" t="s">
        <v>35</v>
      </c>
    </row>
    <row r="3036" spans="1:24" x14ac:dyDescent="0.3">
      <c r="A3036" s="1" t="str">
        <f t="shared" si="574"/>
        <v>59820</v>
      </c>
      <c r="B3036" s="1" t="s">
        <v>53</v>
      </c>
      <c r="C3036" s="1" t="s">
        <v>54</v>
      </c>
      <c r="D3036" s="1" t="str">
        <f t="shared" si="577"/>
        <v>9803</v>
      </c>
      <c r="E3036" s="1" t="s">
        <v>32</v>
      </c>
      <c r="F3036" s="1" t="str">
        <f>"207699457"</f>
        <v>207699457</v>
      </c>
      <c r="G3036" s="1" t="s">
        <v>33</v>
      </c>
      <c r="H3036" s="1" t="str">
        <f t="shared" si="575"/>
        <v>20220914</v>
      </c>
      <c r="I3036" s="1" t="str">
        <f>"113109"</f>
        <v>113109</v>
      </c>
      <c r="J3036" s="1" t="s">
        <v>28</v>
      </c>
      <c r="K3036" s="1" t="s">
        <v>28</v>
      </c>
      <c r="L3036" s="1" t="str">
        <f t="shared" si="576"/>
        <v>20220914</v>
      </c>
      <c r="M3036" s="1" t="str">
        <f>"115002"</f>
        <v>115002</v>
      </c>
      <c r="N3036" s="1" t="s">
        <v>34</v>
      </c>
      <c r="O3036" s="1" t="s">
        <v>34</v>
      </c>
      <c r="P3036" s="1" t="s">
        <v>55</v>
      </c>
      <c r="Q3036" s="1">
        <v>25</v>
      </c>
      <c r="R3036" s="1">
        <v>25</v>
      </c>
      <c r="S3036" s="1">
        <v>0</v>
      </c>
      <c r="T3036" s="1">
        <v>0</v>
      </c>
      <c r="U3036" s="1">
        <v>0</v>
      </c>
      <c r="V3036" s="1" t="str">
        <f t="shared" si="578"/>
        <v>里程去程</v>
      </c>
      <c r="W3036" s="1" t="str">
        <f>"0220"</f>
        <v>0220</v>
      </c>
      <c r="X3036" s="1" t="s">
        <v>35</v>
      </c>
    </row>
    <row r="3037" spans="1:24" x14ac:dyDescent="0.3">
      <c r="A3037" s="1" t="str">
        <f t="shared" ref="A3037:A3068" si="579">"59820"</f>
        <v>59820</v>
      </c>
      <c r="B3037" s="1" t="s">
        <v>53</v>
      </c>
      <c r="C3037" s="1" t="s">
        <v>54</v>
      </c>
      <c r="D3037" s="1" t="str">
        <f t="shared" si="577"/>
        <v>9803</v>
      </c>
      <c r="E3037" s="1" t="s">
        <v>32</v>
      </c>
      <c r="F3037" s="1" t="str">
        <f>"809242337"</f>
        <v>809242337</v>
      </c>
      <c r="G3037" s="1" t="s">
        <v>33</v>
      </c>
      <c r="H3037" s="1" t="str">
        <f t="shared" si="575"/>
        <v>20220914</v>
      </c>
      <c r="I3037" s="1" t="str">
        <f>"113116"</f>
        <v>113116</v>
      </c>
      <c r="J3037" s="1" t="s">
        <v>28</v>
      </c>
      <c r="K3037" s="1" t="s">
        <v>28</v>
      </c>
      <c r="L3037" s="1" t="str">
        <f t="shared" si="576"/>
        <v>20220914</v>
      </c>
      <c r="M3037" s="1" t="str">
        <f>"115005"</f>
        <v>115005</v>
      </c>
      <c r="N3037" s="1" t="s">
        <v>34</v>
      </c>
      <c r="O3037" s="1" t="s">
        <v>34</v>
      </c>
      <c r="P3037" s="1" t="s">
        <v>55</v>
      </c>
      <c r="Q3037" s="1">
        <v>25</v>
      </c>
      <c r="R3037" s="1">
        <v>25</v>
      </c>
      <c r="S3037" s="1">
        <v>0</v>
      </c>
      <c r="T3037" s="1">
        <v>0</v>
      </c>
      <c r="U3037" s="1">
        <v>0</v>
      </c>
      <c r="V3037" s="1" t="str">
        <f t="shared" si="578"/>
        <v>里程去程</v>
      </c>
      <c r="W3037" s="1" t="str">
        <f>"0320"</f>
        <v>0320</v>
      </c>
      <c r="X3037" s="1" t="s">
        <v>35</v>
      </c>
    </row>
    <row r="3038" spans="1:24" x14ac:dyDescent="0.3">
      <c r="A3038" s="1" t="str">
        <f t="shared" si="579"/>
        <v>59820</v>
      </c>
      <c r="B3038" s="1" t="s">
        <v>53</v>
      </c>
      <c r="C3038" s="1" t="s">
        <v>54</v>
      </c>
      <c r="D3038" s="1" t="str">
        <f t="shared" si="577"/>
        <v>9803</v>
      </c>
      <c r="E3038" s="1" t="s">
        <v>32</v>
      </c>
      <c r="F3038" s="1" t="str">
        <f>"B553DF0A33180200D200000C22400417"</f>
        <v>B553DF0A33180200D200000C22400417</v>
      </c>
      <c r="G3038" s="1" t="s">
        <v>58</v>
      </c>
      <c r="H3038" s="1" t="str">
        <f t="shared" si="575"/>
        <v>20220914</v>
      </c>
      <c r="I3038" s="1" t="str">
        <f>"113122"</f>
        <v>113122</v>
      </c>
      <c r="J3038" s="1" t="s">
        <v>28</v>
      </c>
      <c r="K3038" s="1" t="s">
        <v>28</v>
      </c>
      <c r="L3038" s="1" t="str">
        <f t="shared" si="576"/>
        <v>20220914</v>
      </c>
      <c r="M3038" s="1" t="str">
        <f>"114958"</f>
        <v>114958</v>
      </c>
      <c r="N3038" s="1" t="s">
        <v>34</v>
      </c>
      <c r="O3038" s="1" t="s">
        <v>34</v>
      </c>
      <c r="P3038" s="1" t="s">
        <v>55</v>
      </c>
      <c r="Q3038" s="1">
        <v>25</v>
      </c>
      <c r="R3038" s="1">
        <v>25</v>
      </c>
      <c r="S3038" s="1">
        <v>0</v>
      </c>
      <c r="T3038" s="1">
        <v>0</v>
      </c>
      <c r="U3038" s="1">
        <v>0</v>
      </c>
      <c r="V3038" s="1" t="str">
        <f t="shared" si="578"/>
        <v>里程去程</v>
      </c>
      <c r="W3038" s="1" t="str">
        <f>"0020"</f>
        <v>0020</v>
      </c>
      <c r="X3038" s="1" t="s">
        <v>29</v>
      </c>
    </row>
    <row r="3039" spans="1:24" x14ac:dyDescent="0.3">
      <c r="A3039" s="1" t="str">
        <f t="shared" si="579"/>
        <v>59820</v>
      </c>
      <c r="B3039" s="1" t="s">
        <v>53</v>
      </c>
      <c r="C3039" s="1" t="s">
        <v>54</v>
      </c>
      <c r="D3039" s="1" t="str">
        <f t="shared" si="577"/>
        <v>9803</v>
      </c>
      <c r="E3039" s="1" t="s">
        <v>32</v>
      </c>
      <c r="F3039" s="1" t="str">
        <f>"205585925"</f>
        <v>205585925</v>
      </c>
      <c r="G3039" s="1" t="s">
        <v>33</v>
      </c>
      <c r="H3039" s="1" t="str">
        <f t="shared" si="575"/>
        <v>20220914</v>
      </c>
      <c r="I3039" s="1" t="str">
        <f>"113127"</f>
        <v>113127</v>
      </c>
      <c r="J3039" s="1" t="s">
        <v>28</v>
      </c>
      <c r="K3039" s="1" t="s">
        <v>28</v>
      </c>
      <c r="L3039" s="1" t="str">
        <f t="shared" si="576"/>
        <v>20220914</v>
      </c>
      <c r="M3039" s="1" t="str">
        <f>"114926"</f>
        <v>114926</v>
      </c>
      <c r="N3039" s="1" t="s">
        <v>34</v>
      </c>
      <c r="O3039" s="1" t="s">
        <v>34</v>
      </c>
      <c r="P3039" s="1" t="s">
        <v>55</v>
      </c>
      <c r="Q3039" s="1">
        <v>25</v>
      </c>
      <c r="R3039" s="1">
        <v>25</v>
      </c>
      <c r="S3039" s="1">
        <v>0</v>
      </c>
      <c r="T3039" s="1">
        <v>0</v>
      </c>
      <c r="U3039" s="1">
        <v>0</v>
      </c>
      <c r="V3039" s="1" t="str">
        <f t="shared" si="578"/>
        <v>里程去程</v>
      </c>
      <c r="W3039" s="1" t="str">
        <f>"0c20"</f>
        <v>0c20</v>
      </c>
      <c r="X3039" s="1" t="s">
        <v>35</v>
      </c>
    </row>
    <row r="3040" spans="1:24" x14ac:dyDescent="0.3">
      <c r="A3040" s="1" t="str">
        <f t="shared" si="579"/>
        <v>59820</v>
      </c>
      <c r="B3040" s="1" t="s">
        <v>53</v>
      </c>
      <c r="C3040" s="1" t="s">
        <v>54</v>
      </c>
      <c r="D3040" s="1" t="str">
        <f t="shared" si="577"/>
        <v>9803</v>
      </c>
      <c r="E3040" s="1" t="s">
        <v>32</v>
      </c>
      <c r="F3040" s="1" t="str">
        <f>"883429797"</f>
        <v>883429797</v>
      </c>
      <c r="G3040" s="1" t="s">
        <v>26</v>
      </c>
      <c r="H3040" s="1" t="str">
        <f t="shared" si="575"/>
        <v>20220914</v>
      </c>
      <c r="I3040" s="1" t="str">
        <f>"113142"</f>
        <v>113142</v>
      </c>
      <c r="J3040" s="1" t="s">
        <v>28</v>
      </c>
      <c r="K3040" s="1" t="s">
        <v>28</v>
      </c>
      <c r="L3040" s="1" t="str">
        <f t="shared" si="576"/>
        <v>20220914</v>
      </c>
      <c r="M3040" s="1" t="str">
        <f>"113935"</f>
        <v>113935</v>
      </c>
      <c r="N3040" s="1" t="s">
        <v>46</v>
      </c>
      <c r="O3040" s="1" t="s">
        <v>28</v>
      </c>
      <c r="P3040" s="1" t="s">
        <v>55</v>
      </c>
      <c r="Q3040" s="1">
        <v>13</v>
      </c>
      <c r="R3040" s="1">
        <v>13</v>
      </c>
      <c r="S3040" s="1">
        <v>0</v>
      </c>
      <c r="T3040" s="1">
        <v>0</v>
      </c>
      <c r="U3040" s="1">
        <v>0</v>
      </c>
      <c r="V3040" s="1" t="str">
        <f t="shared" si="578"/>
        <v>里程去程</v>
      </c>
      <c r="W3040" s="1" t="str">
        <f>"0c20"</f>
        <v>0c20</v>
      </c>
      <c r="X3040" s="1" t="s">
        <v>35</v>
      </c>
    </row>
    <row r="3041" spans="1:24" x14ac:dyDescent="0.3">
      <c r="A3041" s="1" t="str">
        <f t="shared" si="579"/>
        <v>59820</v>
      </c>
      <c r="B3041" s="1" t="s">
        <v>53</v>
      </c>
      <c r="C3041" s="1" t="s">
        <v>54</v>
      </c>
      <c r="D3041" s="1" t="str">
        <f t="shared" si="577"/>
        <v>9803</v>
      </c>
      <c r="E3041" s="1" t="s">
        <v>32</v>
      </c>
      <c r="F3041" s="1" t="str">
        <f>"799699749"</f>
        <v>799699749</v>
      </c>
      <c r="G3041" s="1" t="s">
        <v>26</v>
      </c>
      <c r="H3041" s="1" t="str">
        <f t="shared" si="575"/>
        <v>20220914</v>
      </c>
      <c r="I3041" s="1" t="str">
        <f>"113148"</f>
        <v>113148</v>
      </c>
      <c r="J3041" s="1" t="s">
        <v>28</v>
      </c>
      <c r="K3041" s="1" t="s">
        <v>28</v>
      </c>
      <c r="L3041" s="1" t="str">
        <f t="shared" si="576"/>
        <v>20220914</v>
      </c>
      <c r="M3041" s="1" t="str">
        <f>"113939"</f>
        <v>113939</v>
      </c>
      <c r="N3041" s="1" t="s">
        <v>46</v>
      </c>
      <c r="O3041" s="1" t="s">
        <v>28</v>
      </c>
      <c r="P3041" s="1" t="s">
        <v>55</v>
      </c>
      <c r="Q3041" s="1">
        <v>13</v>
      </c>
      <c r="R3041" s="1">
        <v>13</v>
      </c>
      <c r="S3041" s="1">
        <v>0</v>
      </c>
      <c r="T3041" s="1">
        <v>0</v>
      </c>
      <c r="U3041" s="1">
        <v>0</v>
      </c>
      <c r="V3041" s="1" t="str">
        <f t="shared" si="578"/>
        <v>里程去程</v>
      </c>
      <c r="W3041" s="1" t="str">
        <f>"0220"</f>
        <v>0220</v>
      </c>
      <c r="X3041" s="1" t="s">
        <v>35</v>
      </c>
    </row>
    <row r="3042" spans="1:24" x14ac:dyDescent="0.3">
      <c r="A3042" s="1" t="str">
        <f t="shared" si="579"/>
        <v>59820</v>
      </c>
      <c r="B3042" s="1" t="s">
        <v>53</v>
      </c>
      <c r="C3042" s="1" t="s">
        <v>54</v>
      </c>
      <c r="D3042" s="1" t="str">
        <f t="shared" ref="D3042:D3065" si="580">"9803"</f>
        <v>9803</v>
      </c>
      <c r="E3042" s="1" t="s">
        <v>32</v>
      </c>
      <c r="F3042" s="1" t="str">
        <f>"402003073"</f>
        <v>402003073</v>
      </c>
      <c r="G3042" s="1" t="s">
        <v>33</v>
      </c>
      <c r="H3042" s="1" t="str">
        <f t="shared" si="575"/>
        <v>20220914</v>
      </c>
      <c r="I3042" s="1" t="str">
        <f>"115119"</f>
        <v>115119</v>
      </c>
      <c r="J3042" s="1" t="s">
        <v>34</v>
      </c>
      <c r="K3042" s="1" t="s">
        <v>34</v>
      </c>
      <c r="L3042" s="1" t="str">
        <f t="shared" si="576"/>
        <v>20220914</v>
      </c>
      <c r="M3042" s="1" t="str">
        <f>"122750"</f>
        <v>122750</v>
      </c>
      <c r="N3042" s="1" t="s">
        <v>28</v>
      </c>
      <c r="O3042" s="1" t="s">
        <v>28</v>
      </c>
      <c r="P3042" s="1" t="s">
        <v>55</v>
      </c>
      <c r="Q3042" s="1">
        <v>25</v>
      </c>
      <c r="R3042" s="1">
        <v>25</v>
      </c>
      <c r="S3042" s="1">
        <v>0</v>
      </c>
      <c r="T3042" s="1">
        <v>0</v>
      </c>
      <c r="U3042" s="1">
        <v>0</v>
      </c>
      <c r="V3042" s="1" t="str">
        <f>"里程返程"</f>
        <v>里程返程</v>
      </c>
      <c r="W3042" s="1" t="str">
        <f>"2020"</f>
        <v>2020</v>
      </c>
      <c r="X3042" s="1" t="s">
        <v>35</v>
      </c>
    </row>
    <row r="3043" spans="1:24" x14ac:dyDescent="0.3">
      <c r="A3043" s="1" t="str">
        <f t="shared" si="579"/>
        <v>59820</v>
      </c>
      <c r="B3043" s="1" t="s">
        <v>53</v>
      </c>
      <c r="C3043" s="1" t="s">
        <v>54</v>
      </c>
      <c r="D3043" s="1" t="str">
        <f t="shared" si="580"/>
        <v>9803</v>
      </c>
      <c r="E3043" s="1" t="s">
        <v>32</v>
      </c>
      <c r="F3043" s="1" t="str">
        <f>"315906280"</f>
        <v>315906280</v>
      </c>
      <c r="G3043" s="1" t="s">
        <v>33</v>
      </c>
      <c r="H3043" s="1" t="str">
        <f t="shared" si="575"/>
        <v>20220914</v>
      </c>
      <c r="I3043" s="1" t="str">
        <f>"115127"</f>
        <v>115127</v>
      </c>
      <c r="J3043" s="1" t="s">
        <v>34</v>
      </c>
      <c r="K3043" s="1" t="s">
        <v>34</v>
      </c>
      <c r="L3043" s="1" t="str">
        <f t="shared" si="576"/>
        <v>20220914</v>
      </c>
      <c r="M3043" s="1" t="str">
        <f>"122758"</f>
        <v>122758</v>
      </c>
      <c r="N3043" s="1" t="s">
        <v>28</v>
      </c>
      <c r="O3043" s="1" t="s">
        <v>28</v>
      </c>
      <c r="P3043" s="1" t="s">
        <v>55</v>
      </c>
      <c r="Q3043" s="1">
        <v>25</v>
      </c>
      <c r="R3043" s="1">
        <v>25</v>
      </c>
      <c r="S3043" s="1">
        <v>0</v>
      </c>
      <c r="T3043" s="1">
        <v>0</v>
      </c>
      <c r="U3043" s="1">
        <v>0</v>
      </c>
      <c r="V3043" s="1" t="str">
        <f>"里程返程"</f>
        <v>里程返程</v>
      </c>
      <c r="W3043" s="1" t="str">
        <f>"2020"</f>
        <v>2020</v>
      </c>
      <c r="X3043" s="1" t="s">
        <v>35</v>
      </c>
    </row>
    <row r="3044" spans="1:24" x14ac:dyDescent="0.3">
      <c r="A3044" s="1" t="str">
        <f t="shared" si="579"/>
        <v>59820</v>
      </c>
      <c r="B3044" s="1" t="s">
        <v>53</v>
      </c>
      <c r="C3044" s="1" t="s">
        <v>54</v>
      </c>
      <c r="D3044" s="1" t="str">
        <f t="shared" si="580"/>
        <v>9803</v>
      </c>
      <c r="E3044" s="1" t="s">
        <v>32</v>
      </c>
      <c r="F3044" s="1" t="str">
        <f>"1693115425"</f>
        <v>1693115425</v>
      </c>
      <c r="G3044" s="1" t="s">
        <v>33</v>
      </c>
      <c r="H3044" s="1" t="str">
        <f t="shared" si="575"/>
        <v>20220914</v>
      </c>
      <c r="I3044" s="1" t="str">
        <f>"122824"</f>
        <v>122824</v>
      </c>
      <c r="J3044" s="1" t="s">
        <v>28</v>
      </c>
      <c r="K3044" s="1" t="s">
        <v>28</v>
      </c>
      <c r="L3044" s="1" t="str">
        <f t="shared" si="576"/>
        <v>20220914</v>
      </c>
      <c r="M3044" s="1" t="str">
        <f>"124802"</f>
        <v>124802</v>
      </c>
      <c r="N3044" s="1" t="s">
        <v>34</v>
      </c>
      <c r="O3044" s="1" t="s">
        <v>34</v>
      </c>
      <c r="P3044" s="1" t="s">
        <v>55</v>
      </c>
      <c r="Q3044" s="1">
        <v>25</v>
      </c>
      <c r="R3044" s="1">
        <v>25</v>
      </c>
      <c r="S3044" s="1">
        <v>0</v>
      </c>
      <c r="T3044" s="1">
        <v>0</v>
      </c>
      <c r="U3044" s="1">
        <v>0</v>
      </c>
      <c r="V3044" s="1" t="str">
        <f t="shared" ref="V3044:V3052" si="581">"里程去程"</f>
        <v>里程去程</v>
      </c>
      <c r="W3044" s="1" t="str">
        <f>"0920"</f>
        <v>0920</v>
      </c>
      <c r="X3044" s="1" t="s">
        <v>35</v>
      </c>
    </row>
    <row r="3045" spans="1:24" x14ac:dyDescent="0.3">
      <c r="A3045" s="1" t="str">
        <f t="shared" si="579"/>
        <v>59820</v>
      </c>
      <c r="B3045" s="1" t="s">
        <v>53</v>
      </c>
      <c r="C3045" s="1" t="s">
        <v>54</v>
      </c>
      <c r="D3045" s="1" t="str">
        <f t="shared" si="580"/>
        <v>9803</v>
      </c>
      <c r="E3045" s="1" t="s">
        <v>32</v>
      </c>
      <c r="F3045" s="1" t="str">
        <f>"70967A78E4880400468F755365703011"</f>
        <v>70967A78E4880400468F755365703011</v>
      </c>
      <c r="G3045" s="1" t="s">
        <v>59</v>
      </c>
      <c r="H3045" s="1" t="str">
        <f t="shared" si="575"/>
        <v>20220914</v>
      </c>
      <c r="I3045" s="1" t="str">
        <f>"122829"</f>
        <v>122829</v>
      </c>
      <c r="J3045" s="1" t="s">
        <v>28</v>
      </c>
      <c r="K3045" s="1" t="s">
        <v>28</v>
      </c>
      <c r="L3045" s="1" t="str">
        <f t="shared" si="576"/>
        <v>20220914</v>
      </c>
      <c r="M3045" s="1" t="str">
        <f>"124814"</f>
        <v>124814</v>
      </c>
      <c r="N3045" s="1" t="s">
        <v>34</v>
      </c>
      <c r="O3045" s="1" t="s">
        <v>34</v>
      </c>
      <c r="P3045" s="1" t="s">
        <v>55</v>
      </c>
      <c r="Q3045" s="1">
        <v>25</v>
      </c>
      <c r="R3045" s="1">
        <v>25</v>
      </c>
      <c r="S3045" s="1">
        <v>0</v>
      </c>
      <c r="T3045" s="1">
        <v>0</v>
      </c>
      <c r="U3045" s="1">
        <v>0</v>
      </c>
      <c r="V3045" s="1" t="str">
        <f t="shared" si="581"/>
        <v>里程去程</v>
      </c>
      <c r="W3045" s="1" t="str">
        <f>"0020"</f>
        <v>0020</v>
      </c>
      <c r="X3045" s="1" t="s">
        <v>29</v>
      </c>
    </row>
    <row r="3046" spans="1:24" x14ac:dyDescent="0.3">
      <c r="A3046" s="1" t="str">
        <f t="shared" si="579"/>
        <v>59820</v>
      </c>
      <c r="B3046" s="1" t="s">
        <v>53</v>
      </c>
      <c r="C3046" s="1" t="s">
        <v>54</v>
      </c>
      <c r="D3046" s="1" t="str">
        <f t="shared" si="580"/>
        <v>9803</v>
      </c>
      <c r="E3046" s="1" t="s">
        <v>32</v>
      </c>
      <c r="F3046" s="1" t="str">
        <f>"01DD043EE6280400F700000000000000"</f>
        <v>01DD043EE6280400F700000000000000</v>
      </c>
      <c r="G3046" s="1" t="s">
        <v>58</v>
      </c>
      <c r="H3046" s="1" t="str">
        <f t="shared" si="575"/>
        <v>20220914</v>
      </c>
      <c r="I3046" s="1" t="str">
        <f>"122831"</f>
        <v>122831</v>
      </c>
      <c r="J3046" s="1" t="s">
        <v>28</v>
      </c>
      <c r="K3046" s="1" t="s">
        <v>28</v>
      </c>
      <c r="L3046" s="1" t="str">
        <f t="shared" si="576"/>
        <v>20220914</v>
      </c>
      <c r="M3046" s="1" t="str">
        <f>"124730"</f>
        <v>124730</v>
      </c>
      <c r="N3046" s="1" t="s">
        <v>34</v>
      </c>
      <c r="O3046" s="1" t="s">
        <v>34</v>
      </c>
      <c r="P3046" s="1" t="s">
        <v>55</v>
      </c>
      <c r="Q3046" s="1">
        <v>25</v>
      </c>
      <c r="R3046" s="1">
        <v>25</v>
      </c>
      <c r="S3046" s="1">
        <v>0</v>
      </c>
      <c r="T3046" s="1">
        <v>0</v>
      </c>
      <c r="U3046" s="1">
        <v>0</v>
      </c>
      <c r="V3046" s="1" t="str">
        <f t="shared" si="581"/>
        <v>里程去程</v>
      </c>
      <c r="W3046" s="1" t="str">
        <f>"0020"</f>
        <v>0020</v>
      </c>
      <c r="X3046" s="1" t="s">
        <v>29</v>
      </c>
    </row>
    <row r="3047" spans="1:24" x14ac:dyDescent="0.3">
      <c r="A3047" s="1" t="str">
        <f t="shared" si="579"/>
        <v>59820</v>
      </c>
      <c r="B3047" s="1" t="s">
        <v>53</v>
      </c>
      <c r="C3047" s="1" t="s">
        <v>54</v>
      </c>
      <c r="D3047" s="1" t="str">
        <f t="shared" si="580"/>
        <v>9803</v>
      </c>
      <c r="E3047" s="1" t="s">
        <v>32</v>
      </c>
      <c r="F3047" s="1" t="str">
        <f>"C1D05D2569280400F700000000000000"</f>
        <v>C1D05D2569280400F700000000000000</v>
      </c>
      <c r="G3047" s="1" t="s">
        <v>58</v>
      </c>
      <c r="H3047" s="1" t="str">
        <f t="shared" si="575"/>
        <v>20220914</v>
      </c>
      <c r="I3047" s="1" t="str">
        <f>"122835"</f>
        <v>122835</v>
      </c>
      <c r="J3047" s="1" t="s">
        <v>28</v>
      </c>
      <c r="K3047" s="1" t="s">
        <v>28</v>
      </c>
      <c r="L3047" s="1" t="str">
        <f t="shared" si="576"/>
        <v>20220914</v>
      </c>
      <c r="M3047" s="1" t="str">
        <f>"124733"</f>
        <v>124733</v>
      </c>
      <c r="N3047" s="1" t="s">
        <v>34</v>
      </c>
      <c r="O3047" s="1" t="s">
        <v>34</v>
      </c>
      <c r="P3047" s="1" t="s">
        <v>55</v>
      </c>
      <c r="Q3047" s="1">
        <v>25</v>
      </c>
      <c r="R3047" s="1">
        <v>25</v>
      </c>
      <c r="S3047" s="1">
        <v>0</v>
      </c>
      <c r="T3047" s="1">
        <v>0</v>
      </c>
      <c r="U3047" s="1">
        <v>0</v>
      </c>
      <c r="V3047" s="1" t="str">
        <f t="shared" si="581"/>
        <v>里程去程</v>
      </c>
      <c r="W3047" s="1" t="str">
        <f>"0020"</f>
        <v>0020</v>
      </c>
      <c r="X3047" s="1" t="s">
        <v>29</v>
      </c>
    </row>
    <row r="3048" spans="1:24" x14ac:dyDescent="0.3">
      <c r="A3048" s="1" t="str">
        <f t="shared" si="579"/>
        <v>59820</v>
      </c>
      <c r="B3048" s="1" t="s">
        <v>53</v>
      </c>
      <c r="C3048" s="1" t="s">
        <v>54</v>
      </c>
      <c r="D3048" s="1" t="str">
        <f t="shared" si="580"/>
        <v>9803</v>
      </c>
      <c r="E3048" s="1" t="s">
        <v>32</v>
      </c>
      <c r="F3048" s="1" t="str">
        <f>"1080411377"</f>
        <v>1080411377</v>
      </c>
      <c r="G3048" s="1" t="s">
        <v>33</v>
      </c>
      <c r="H3048" s="1" t="str">
        <f t="shared" si="575"/>
        <v>20220914</v>
      </c>
      <c r="I3048" s="1" t="str">
        <f>"122843"</f>
        <v>122843</v>
      </c>
      <c r="J3048" s="1" t="s">
        <v>28</v>
      </c>
      <c r="K3048" s="1" t="s">
        <v>28</v>
      </c>
      <c r="L3048" s="1" t="str">
        <f t="shared" si="576"/>
        <v>20220914</v>
      </c>
      <c r="M3048" s="1" t="str">
        <f>"124736"</f>
        <v>124736</v>
      </c>
      <c r="N3048" s="1" t="s">
        <v>34</v>
      </c>
      <c r="O3048" s="1" t="s">
        <v>34</v>
      </c>
      <c r="P3048" s="1" t="s">
        <v>55</v>
      </c>
      <c r="Q3048" s="1">
        <v>25</v>
      </c>
      <c r="R3048" s="1">
        <v>0</v>
      </c>
      <c r="S3048" s="1">
        <v>25</v>
      </c>
      <c r="T3048" s="1">
        <v>0</v>
      </c>
      <c r="U3048" s="1">
        <v>0</v>
      </c>
      <c r="V3048" s="1" t="str">
        <f t="shared" si="581"/>
        <v>里程去程</v>
      </c>
      <c r="W3048" s="1" t="str">
        <f>"0820"</f>
        <v>0820</v>
      </c>
      <c r="X3048" s="1" t="s">
        <v>35</v>
      </c>
    </row>
    <row r="3049" spans="1:24" x14ac:dyDescent="0.3">
      <c r="A3049" s="1" t="str">
        <f t="shared" si="579"/>
        <v>59820</v>
      </c>
      <c r="B3049" s="1" t="s">
        <v>53</v>
      </c>
      <c r="C3049" s="1" t="s">
        <v>54</v>
      </c>
      <c r="D3049" s="1" t="str">
        <f t="shared" si="580"/>
        <v>9803</v>
      </c>
      <c r="E3049" s="1" t="s">
        <v>32</v>
      </c>
      <c r="F3049" s="1" t="str">
        <f>"822738108D880400C823002000000018"</f>
        <v>822738108D880400C823002000000018</v>
      </c>
      <c r="G3049" s="1" t="s">
        <v>58</v>
      </c>
      <c r="H3049" s="1" t="str">
        <f t="shared" si="575"/>
        <v>20220914</v>
      </c>
      <c r="I3049" s="1" t="str">
        <f>"122851"</f>
        <v>122851</v>
      </c>
      <c r="J3049" s="1" t="s">
        <v>28</v>
      </c>
      <c r="K3049" s="1" t="s">
        <v>28</v>
      </c>
      <c r="L3049" s="1" t="str">
        <f t="shared" si="576"/>
        <v>20220914</v>
      </c>
      <c r="M3049" s="1" t="str">
        <f>"124807"</f>
        <v>124807</v>
      </c>
      <c r="N3049" s="1" t="s">
        <v>34</v>
      </c>
      <c r="O3049" s="1" t="s">
        <v>34</v>
      </c>
      <c r="P3049" s="1" t="s">
        <v>55</v>
      </c>
      <c r="Q3049" s="1">
        <v>25</v>
      </c>
      <c r="R3049" s="1">
        <v>25</v>
      </c>
      <c r="S3049" s="1">
        <v>0</v>
      </c>
      <c r="T3049" s="1">
        <v>0</v>
      </c>
      <c r="U3049" s="1">
        <v>0</v>
      </c>
      <c r="V3049" s="1" t="str">
        <f t="shared" si="581"/>
        <v>里程去程</v>
      </c>
      <c r="W3049" s="1" t="str">
        <f>"0020"</f>
        <v>0020</v>
      </c>
      <c r="X3049" s="1" t="s">
        <v>29</v>
      </c>
    </row>
    <row r="3050" spans="1:24" x14ac:dyDescent="0.3">
      <c r="A3050" s="1" t="str">
        <f t="shared" si="579"/>
        <v>59820</v>
      </c>
      <c r="B3050" s="1" t="s">
        <v>53</v>
      </c>
      <c r="C3050" s="1" t="s">
        <v>54</v>
      </c>
      <c r="D3050" s="1" t="str">
        <f t="shared" si="580"/>
        <v>9803</v>
      </c>
      <c r="E3050" s="1" t="s">
        <v>32</v>
      </c>
      <c r="F3050" s="1" t="str">
        <f>"187206357"</f>
        <v>187206357</v>
      </c>
      <c r="G3050" s="1" t="s">
        <v>33</v>
      </c>
      <c r="H3050" s="1" t="str">
        <f t="shared" si="575"/>
        <v>20220914</v>
      </c>
      <c r="I3050" s="1" t="str">
        <f>"122906"</f>
        <v>122906</v>
      </c>
      <c r="J3050" s="1" t="s">
        <v>28</v>
      </c>
      <c r="K3050" s="1" t="s">
        <v>28</v>
      </c>
      <c r="L3050" s="1" t="str">
        <f t="shared" si="576"/>
        <v>20220914</v>
      </c>
      <c r="M3050" s="1" t="str">
        <f>"124745"</f>
        <v>124745</v>
      </c>
      <c r="N3050" s="1" t="s">
        <v>34</v>
      </c>
      <c r="O3050" s="1" t="s">
        <v>34</v>
      </c>
      <c r="P3050" s="1" t="s">
        <v>55</v>
      </c>
      <c r="Q3050" s="1">
        <v>25</v>
      </c>
      <c r="R3050" s="1">
        <v>25</v>
      </c>
      <c r="S3050" s="1">
        <v>0</v>
      </c>
      <c r="T3050" s="1">
        <v>0</v>
      </c>
      <c r="U3050" s="1">
        <v>0</v>
      </c>
      <c r="V3050" s="1" t="str">
        <f t="shared" si="581"/>
        <v>里程去程</v>
      </c>
      <c r="W3050" s="1" t="str">
        <f>"0820"</f>
        <v>0820</v>
      </c>
      <c r="X3050" s="1" t="s">
        <v>35</v>
      </c>
    </row>
    <row r="3051" spans="1:24" x14ac:dyDescent="0.3">
      <c r="A3051" s="1" t="str">
        <f t="shared" si="579"/>
        <v>59820</v>
      </c>
      <c r="B3051" s="1" t="s">
        <v>53</v>
      </c>
      <c r="C3051" s="1" t="s">
        <v>54</v>
      </c>
      <c r="D3051" s="1" t="str">
        <f t="shared" si="580"/>
        <v>9803</v>
      </c>
      <c r="E3051" s="1" t="s">
        <v>32</v>
      </c>
      <c r="F3051" s="1" t="str">
        <f>"81564E29B0280400F700000000000000"</f>
        <v>81564E29B0280400F700000000000000</v>
      </c>
      <c r="G3051" s="1" t="s">
        <v>58</v>
      </c>
      <c r="H3051" s="1" t="str">
        <f t="shared" si="575"/>
        <v>20220914</v>
      </c>
      <c r="I3051" s="1" t="str">
        <f>"122909"</f>
        <v>122909</v>
      </c>
      <c r="J3051" s="1" t="s">
        <v>28</v>
      </c>
      <c r="K3051" s="1" t="s">
        <v>28</v>
      </c>
      <c r="L3051" s="1" t="str">
        <f t="shared" si="576"/>
        <v>20220914</v>
      </c>
      <c r="M3051" s="1" t="str">
        <f>"124751"</f>
        <v>124751</v>
      </c>
      <c r="N3051" s="1" t="s">
        <v>34</v>
      </c>
      <c r="O3051" s="1" t="s">
        <v>34</v>
      </c>
      <c r="P3051" s="1" t="s">
        <v>55</v>
      </c>
      <c r="Q3051" s="1">
        <v>25</v>
      </c>
      <c r="R3051" s="1">
        <v>25</v>
      </c>
      <c r="S3051" s="1">
        <v>0</v>
      </c>
      <c r="T3051" s="1">
        <v>0</v>
      </c>
      <c r="U3051" s="1">
        <v>0</v>
      </c>
      <c r="V3051" s="1" t="str">
        <f t="shared" si="581"/>
        <v>里程去程</v>
      </c>
      <c r="W3051" s="1" t="str">
        <f>"0020"</f>
        <v>0020</v>
      </c>
      <c r="X3051" s="1" t="s">
        <v>29</v>
      </c>
    </row>
    <row r="3052" spans="1:24" x14ac:dyDescent="0.3">
      <c r="A3052" s="1" t="str">
        <f t="shared" si="579"/>
        <v>59820</v>
      </c>
      <c r="B3052" s="1" t="s">
        <v>53</v>
      </c>
      <c r="C3052" s="1" t="s">
        <v>54</v>
      </c>
      <c r="D3052" s="1" t="str">
        <f t="shared" si="580"/>
        <v>9803</v>
      </c>
      <c r="E3052" s="1" t="s">
        <v>32</v>
      </c>
      <c r="F3052" s="1" t="str">
        <f>"889139569"</f>
        <v>889139569</v>
      </c>
      <c r="G3052" s="1" t="s">
        <v>33</v>
      </c>
      <c r="H3052" s="1" t="str">
        <f t="shared" si="575"/>
        <v>20220914</v>
      </c>
      <c r="I3052" s="1" t="str">
        <f>"122919"</f>
        <v>122919</v>
      </c>
      <c r="J3052" s="1" t="s">
        <v>28</v>
      </c>
      <c r="K3052" s="1" t="s">
        <v>28</v>
      </c>
      <c r="L3052" s="1" t="str">
        <f t="shared" si="576"/>
        <v>20220914</v>
      </c>
      <c r="M3052" s="1" t="str">
        <f>"124755"</f>
        <v>124755</v>
      </c>
      <c r="N3052" s="1" t="s">
        <v>34</v>
      </c>
      <c r="O3052" s="1" t="s">
        <v>34</v>
      </c>
      <c r="P3052" s="1" t="s">
        <v>55</v>
      </c>
      <c r="Q3052" s="1">
        <v>25</v>
      </c>
      <c r="R3052" s="1">
        <v>25</v>
      </c>
      <c r="S3052" s="1">
        <v>0</v>
      </c>
      <c r="T3052" s="1">
        <v>0</v>
      </c>
      <c r="U3052" s="1">
        <v>0</v>
      </c>
      <c r="V3052" s="1" t="str">
        <f t="shared" si="581"/>
        <v>里程去程</v>
      </c>
      <c r="W3052" s="1" t="str">
        <f>"0120"</f>
        <v>0120</v>
      </c>
      <c r="X3052" s="1" t="s">
        <v>35</v>
      </c>
    </row>
    <row r="3053" spans="1:24" x14ac:dyDescent="0.3">
      <c r="A3053" s="1" t="str">
        <f t="shared" si="579"/>
        <v>59820</v>
      </c>
      <c r="B3053" s="1" t="s">
        <v>53</v>
      </c>
      <c r="C3053" s="1" t="s">
        <v>54</v>
      </c>
      <c r="D3053" s="1" t="str">
        <f t="shared" si="580"/>
        <v>9803</v>
      </c>
      <c r="E3053" s="1" t="s">
        <v>32</v>
      </c>
      <c r="F3053" s="1" t="str">
        <f>"845046F96B880400C819002000000021"</f>
        <v>845046F96B880400C819002000000021</v>
      </c>
      <c r="G3053" s="1" t="s">
        <v>58</v>
      </c>
      <c r="H3053" s="1" t="str">
        <f t="shared" si="575"/>
        <v>20220914</v>
      </c>
      <c r="I3053" s="1" t="str">
        <f>"130232"</f>
        <v>130232</v>
      </c>
      <c r="J3053" s="1" t="s">
        <v>73</v>
      </c>
      <c r="K3053" s="1" t="s">
        <v>28</v>
      </c>
      <c r="L3053" s="1" t="str">
        <f t="shared" si="576"/>
        <v>20220914</v>
      </c>
      <c r="M3053" s="1" t="str">
        <f>"131046"</f>
        <v>131046</v>
      </c>
      <c r="N3053" s="1" t="s">
        <v>46</v>
      </c>
      <c r="O3053" s="1" t="s">
        <v>28</v>
      </c>
      <c r="P3053" s="1" t="s">
        <v>55</v>
      </c>
      <c r="Q3053" s="1">
        <v>25</v>
      </c>
      <c r="R3053" s="1">
        <v>0</v>
      </c>
      <c r="S3053" s="1">
        <v>25</v>
      </c>
      <c r="T3053" s="1">
        <v>0</v>
      </c>
      <c r="U3053" s="1">
        <v>0</v>
      </c>
      <c r="V3053" s="1" t="str">
        <f>"里程返程"</f>
        <v>里程返程</v>
      </c>
      <c r="W3053" s="1" t="str">
        <f>"1120"</f>
        <v>1120</v>
      </c>
      <c r="X3053" s="1" t="s">
        <v>29</v>
      </c>
    </row>
    <row r="3054" spans="1:24" x14ac:dyDescent="0.3">
      <c r="A3054" s="1" t="str">
        <f t="shared" si="579"/>
        <v>59820</v>
      </c>
      <c r="B3054" s="1" t="s">
        <v>53</v>
      </c>
      <c r="C3054" s="1" t="s">
        <v>54</v>
      </c>
      <c r="D3054" s="1" t="str">
        <f t="shared" si="580"/>
        <v>9803</v>
      </c>
      <c r="E3054" s="1" t="s">
        <v>32</v>
      </c>
      <c r="F3054" s="1" t="str">
        <f>"1830608901"</f>
        <v>1830608901</v>
      </c>
      <c r="G3054" s="1" t="s">
        <v>33</v>
      </c>
      <c r="H3054" s="1" t="str">
        <f t="shared" si="575"/>
        <v>20220914</v>
      </c>
      <c r="I3054" s="1" t="str">
        <f>"153703"</f>
        <v>153703</v>
      </c>
      <c r="J3054" s="1" t="s">
        <v>28</v>
      </c>
      <c r="K3054" s="1" t="s">
        <v>28</v>
      </c>
      <c r="L3054" s="1" t="str">
        <f t="shared" si="576"/>
        <v>20220914</v>
      </c>
      <c r="M3054" s="1" t="str">
        <f>"155726"</f>
        <v>155726</v>
      </c>
      <c r="N3054" s="1" t="s">
        <v>34</v>
      </c>
      <c r="O3054" s="1" t="s">
        <v>34</v>
      </c>
      <c r="P3054" s="1" t="s">
        <v>55</v>
      </c>
      <c r="Q3054" s="1">
        <v>25</v>
      </c>
      <c r="R3054" s="1">
        <v>25</v>
      </c>
      <c r="S3054" s="1">
        <v>0</v>
      </c>
      <c r="T3054" s="1">
        <v>0</v>
      </c>
      <c r="U3054" s="1">
        <v>0</v>
      </c>
      <c r="V3054" s="1" t="str">
        <f>"里程去程"</f>
        <v>里程去程</v>
      </c>
      <c r="W3054" s="1" t="str">
        <f>"2020"</f>
        <v>2020</v>
      </c>
      <c r="X3054" s="1" t="s">
        <v>35</v>
      </c>
    </row>
    <row r="3055" spans="1:24" x14ac:dyDescent="0.3">
      <c r="A3055" s="1" t="str">
        <f t="shared" si="579"/>
        <v>59820</v>
      </c>
      <c r="B3055" s="1" t="s">
        <v>53</v>
      </c>
      <c r="C3055" s="1" t="s">
        <v>54</v>
      </c>
      <c r="D3055" s="1" t="str">
        <f t="shared" si="580"/>
        <v>9803</v>
      </c>
      <c r="E3055" s="1" t="s">
        <v>32</v>
      </c>
      <c r="F3055" s="1" t="str">
        <f>"943575461"</f>
        <v>943575461</v>
      </c>
      <c r="G3055" s="1" t="s">
        <v>26</v>
      </c>
      <c r="H3055" s="1" t="str">
        <f t="shared" si="575"/>
        <v>20220914</v>
      </c>
      <c r="I3055" s="1" t="str">
        <f>"153706"</f>
        <v>153706</v>
      </c>
      <c r="J3055" s="1" t="s">
        <v>28</v>
      </c>
      <c r="K3055" s="1" t="s">
        <v>28</v>
      </c>
      <c r="L3055" s="1" t="str">
        <f t="shared" si="576"/>
        <v>20220914</v>
      </c>
      <c r="M3055" s="1" t="str">
        <f>"155738"</f>
        <v>155738</v>
      </c>
      <c r="N3055" s="1" t="s">
        <v>34</v>
      </c>
      <c r="O3055" s="1" t="s">
        <v>34</v>
      </c>
      <c r="P3055" s="1" t="s">
        <v>55</v>
      </c>
      <c r="Q3055" s="1">
        <v>13</v>
      </c>
      <c r="R3055" s="1">
        <v>13</v>
      </c>
      <c r="S3055" s="1">
        <v>0</v>
      </c>
      <c r="T3055" s="1">
        <v>0</v>
      </c>
      <c r="U3055" s="1">
        <v>0</v>
      </c>
      <c r="V3055" s="1" t="str">
        <f>"里程去程"</f>
        <v>里程去程</v>
      </c>
      <c r="W3055" s="1" t="str">
        <f>"2020"</f>
        <v>2020</v>
      </c>
      <c r="X3055" s="1" t="s">
        <v>35</v>
      </c>
    </row>
    <row r="3056" spans="1:24" x14ac:dyDescent="0.3">
      <c r="A3056" s="1" t="str">
        <f t="shared" si="579"/>
        <v>59820</v>
      </c>
      <c r="B3056" s="1" t="s">
        <v>53</v>
      </c>
      <c r="C3056" s="1" t="s">
        <v>54</v>
      </c>
      <c r="D3056" s="1" t="str">
        <f t="shared" si="580"/>
        <v>9803</v>
      </c>
      <c r="E3056" s="1" t="s">
        <v>32</v>
      </c>
      <c r="F3056" s="1" t="str">
        <f>"1075952405"</f>
        <v>1075952405</v>
      </c>
      <c r="G3056" s="1" t="s">
        <v>74</v>
      </c>
      <c r="H3056" s="1" t="str">
        <f t="shared" si="575"/>
        <v>20220914</v>
      </c>
      <c r="I3056" s="1" t="str">
        <f>"153714"</f>
        <v>153714</v>
      </c>
      <c r="J3056" s="1" t="s">
        <v>28</v>
      </c>
      <c r="K3056" s="1" t="s">
        <v>28</v>
      </c>
      <c r="L3056" s="1" t="str">
        <f t="shared" si="576"/>
        <v>20220914</v>
      </c>
      <c r="M3056" s="1" t="str">
        <f>"155743"</f>
        <v>155743</v>
      </c>
      <c r="N3056" s="1" t="s">
        <v>34</v>
      </c>
      <c r="O3056" s="1" t="s">
        <v>34</v>
      </c>
      <c r="P3056" s="1" t="s">
        <v>55</v>
      </c>
      <c r="Q3056" s="1">
        <v>13</v>
      </c>
      <c r="R3056" s="1">
        <v>13</v>
      </c>
      <c r="S3056" s="1">
        <v>0</v>
      </c>
      <c r="T3056" s="1">
        <v>0</v>
      </c>
      <c r="U3056" s="1">
        <v>0</v>
      </c>
      <c r="V3056" s="1" t="str">
        <f>"里程去程"</f>
        <v>里程去程</v>
      </c>
      <c r="W3056" s="1" t="str">
        <f>"2020"</f>
        <v>2020</v>
      </c>
      <c r="X3056" s="1" t="s">
        <v>35</v>
      </c>
    </row>
    <row r="3057" spans="1:24" x14ac:dyDescent="0.3">
      <c r="A3057" s="1" t="str">
        <f t="shared" si="579"/>
        <v>59820</v>
      </c>
      <c r="B3057" s="1" t="s">
        <v>53</v>
      </c>
      <c r="C3057" s="1" t="s">
        <v>54</v>
      </c>
      <c r="D3057" s="1" t="str">
        <f t="shared" si="580"/>
        <v>9803</v>
      </c>
      <c r="E3057" s="1" t="s">
        <v>32</v>
      </c>
      <c r="F3057" s="1" t="str">
        <f>"105296637"</f>
        <v>105296637</v>
      </c>
      <c r="G3057" s="1" t="s">
        <v>33</v>
      </c>
      <c r="H3057" s="1" t="str">
        <f t="shared" si="575"/>
        <v>20220914</v>
      </c>
      <c r="I3057" s="1" t="str">
        <f>"153718"</f>
        <v>153718</v>
      </c>
      <c r="J3057" s="1" t="s">
        <v>28</v>
      </c>
      <c r="K3057" s="1" t="s">
        <v>28</v>
      </c>
      <c r="L3057" s="1" t="str">
        <f t="shared" si="576"/>
        <v>20220914</v>
      </c>
      <c r="M3057" s="1" t="str">
        <f>"155731"</f>
        <v>155731</v>
      </c>
      <c r="N3057" s="1" t="s">
        <v>34</v>
      </c>
      <c r="O3057" s="1" t="s">
        <v>34</v>
      </c>
      <c r="P3057" s="1" t="s">
        <v>55</v>
      </c>
      <c r="Q3057" s="1">
        <v>25</v>
      </c>
      <c r="R3057" s="1">
        <v>25</v>
      </c>
      <c r="S3057" s="1">
        <v>0</v>
      </c>
      <c r="T3057" s="1">
        <v>0</v>
      </c>
      <c r="U3057" s="1">
        <v>0</v>
      </c>
      <c r="V3057" s="1" t="str">
        <f>"里程去程"</f>
        <v>里程去程</v>
      </c>
      <c r="W3057" s="1" t="str">
        <f>"2020"</f>
        <v>2020</v>
      </c>
      <c r="X3057" s="1" t="s">
        <v>35</v>
      </c>
    </row>
    <row r="3058" spans="1:24" x14ac:dyDescent="0.3">
      <c r="A3058" s="1" t="str">
        <f t="shared" si="579"/>
        <v>59820</v>
      </c>
      <c r="B3058" s="1" t="s">
        <v>53</v>
      </c>
      <c r="C3058" s="1" t="s">
        <v>54</v>
      </c>
      <c r="D3058" s="1" t="str">
        <f t="shared" si="580"/>
        <v>9803</v>
      </c>
      <c r="E3058" s="1" t="s">
        <v>32</v>
      </c>
      <c r="F3058" s="1" t="str">
        <f>"1709069061"</f>
        <v>1709069061</v>
      </c>
      <c r="G3058" s="1" t="s">
        <v>33</v>
      </c>
      <c r="H3058" s="1" t="str">
        <f t="shared" si="575"/>
        <v>20220914</v>
      </c>
      <c r="I3058" s="1" t="str">
        <f>"160821"</f>
        <v>160821</v>
      </c>
      <c r="J3058" s="1" t="s">
        <v>34</v>
      </c>
      <c r="K3058" s="1" t="s">
        <v>34</v>
      </c>
      <c r="L3058" s="1" t="str">
        <f t="shared" si="576"/>
        <v>20220914</v>
      </c>
      <c r="M3058" s="1" t="str">
        <f>"162144"</f>
        <v>162144</v>
      </c>
      <c r="N3058" s="1" t="s">
        <v>46</v>
      </c>
      <c r="O3058" s="1" t="s">
        <v>28</v>
      </c>
      <c r="P3058" s="1" t="s">
        <v>55</v>
      </c>
      <c r="Q3058" s="1">
        <v>25</v>
      </c>
      <c r="R3058" s="1">
        <v>25</v>
      </c>
      <c r="S3058" s="1">
        <v>0</v>
      </c>
      <c r="T3058" s="1">
        <v>0</v>
      </c>
      <c r="U3058" s="1">
        <v>0</v>
      </c>
      <c r="V3058" s="1" t="str">
        <f>"里程返程"</f>
        <v>里程返程</v>
      </c>
      <c r="W3058" s="1" t="str">
        <f>"2020"</f>
        <v>2020</v>
      </c>
      <c r="X3058" s="1" t="s">
        <v>35</v>
      </c>
    </row>
    <row r="3059" spans="1:24" x14ac:dyDescent="0.3">
      <c r="A3059" s="1" t="str">
        <f t="shared" si="579"/>
        <v>59820</v>
      </c>
      <c r="B3059" s="1" t="s">
        <v>53</v>
      </c>
      <c r="C3059" s="1" t="s">
        <v>54</v>
      </c>
      <c r="D3059" s="1" t="str">
        <f t="shared" si="580"/>
        <v>9803</v>
      </c>
      <c r="E3059" s="1" t="s">
        <v>32</v>
      </c>
      <c r="F3059" s="1" t="str">
        <f>"834050549"</f>
        <v>834050549</v>
      </c>
      <c r="G3059" s="1" t="s">
        <v>33</v>
      </c>
      <c r="H3059" s="1" t="str">
        <f t="shared" si="575"/>
        <v>20220914</v>
      </c>
      <c r="I3059" s="1" t="str">
        <f>"163943"</f>
        <v>163943</v>
      </c>
      <c r="J3059" s="1" t="s">
        <v>28</v>
      </c>
      <c r="K3059" s="1" t="s">
        <v>28</v>
      </c>
      <c r="L3059" s="1" t="str">
        <f t="shared" si="576"/>
        <v>20220914</v>
      </c>
      <c r="M3059" s="1" t="str">
        <f>"164837"</f>
        <v>164837</v>
      </c>
      <c r="N3059" s="1" t="s">
        <v>70</v>
      </c>
      <c r="O3059" s="1" t="s">
        <v>28</v>
      </c>
      <c r="P3059" s="1" t="s">
        <v>55</v>
      </c>
      <c r="Q3059" s="1">
        <v>25</v>
      </c>
      <c r="R3059" s="1">
        <v>25</v>
      </c>
      <c r="S3059" s="1">
        <v>0</v>
      </c>
      <c r="T3059" s="1">
        <v>0</v>
      </c>
      <c r="U3059" s="1">
        <v>0</v>
      </c>
      <c r="V3059" s="1" t="str">
        <f>"里程去程"</f>
        <v>里程去程</v>
      </c>
      <c r="W3059" s="1" t="str">
        <f>"0120"</f>
        <v>0120</v>
      </c>
      <c r="X3059" s="1" t="s">
        <v>35</v>
      </c>
    </row>
    <row r="3060" spans="1:24" x14ac:dyDescent="0.3">
      <c r="A3060" s="1" t="str">
        <f t="shared" si="579"/>
        <v>59820</v>
      </c>
      <c r="B3060" s="1" t="s">
        <v>53</v>
      </c>
      <c r="C3060" s="1" t="s">
        <v>54</v>
      </c>
      <c r="D3060" s="1" t="str">
        <f t="shared" si="580"/>
        <v>9803</v>
      </c>
      <c r="E3060" s="1" t="s">
        <v>32</v>
      </c>
      <c r="F3060" s="1" t="str">
        <f>"02B3D10262880400C834002000000015"</f>
        <v>02B3D10262880400C834002000000015</v>
      </c>
      <c r="G3060" s="1" t="s">
        <v>26</v>
      </c>
      <c r="H3060" s="1" t="str">
        <f t="shared" si="575"/>
        <v>20220914</v>
      </c>
      <c r="I3060" s="1" t="str">
        <f>"164017"</f>
        <v>164017</v>
      </c>
      <c r="J3060" s="1" t="s">
        <v>28</v>
      </c>
      <c r="K3060" s="1" t="s">
        <v>28</v>
      </c>
      <c r="L3060" s="1" t="str">
        <f t="shared" si="576"/>
        <v>20220914</v>
      </c>
      <c r="M3060" s="1" t="str">
        <f>"165011"</f>
        <v>165011</v>
      </c>
      <c r="N3060" s="1" t="s">
        <v>79</v>
      </c>
      <c r="O3060" s="1" t="s">
        <v>28</v>
      </c>
      <c r="P3060" s="1" t="s">
        <v>68</v>
      </c>
      <c r="Q3060" s="1">
        <v>13</v>
      </c>
      <c r="R3060" s="1">
        <v>0</v>
      </c>
      <c r="S3060" s="1">
        <v>0</v>
      </c>
      <c r="T3060" s="1">
        <v>13</v>
      </c>
      <c r="U3060" s="1">
        <v>0</v>
      </c>
      <c r="V3060" s="1" t="str">
        <f>"里程去程"</f>
        <v>里程去程</v>
      </c>
      <c r="W3060" s="1" t="str">
        <f>"0020"</f>
        <v>0020</v>
      </c>
      <c r="X3060" s="1" t="s">
        <v>29</v>
      </c>
    </row>
    <row r="3061" spans="1:24" x14ac:dyDescent="0.3">
      <c r="A3061" s="1" t="str">
        <f t="shared" si="579"/>
        <v>59820</v>
      </c>
      <c r="B3061" s="1" t="s">
        <v>53</v>
      </c>
      <c r="C3061" s="1" t="s">
        <v>54</v>
      </c>
      <c r="D3061" s="1" t="str">
        <f t="shared" si="580"/>
        <v>9803</v>
      </c>
      <c r="E3061" s="1" t="s">
        <v>32</v>
      </c>
      <c r="F3061" s="1" t="str">
        <f>"32FDBC0271880400C834002000000015"</f>
        <v>32FDBC0271880400C834002000000015</v>
      </c>
      <c r="G3061" s="1" t="s">
        <v>26</v>
      </c>
      <c r="H3061" s="1" t="str">
        <f t="shared" si="575"/>
        <v>20220914</v>
      </c>
      <c r="I3061" s="1" t="str">
        <f>"164023"</f>
        <v>164023</v>
      </c>
      <c r="J3061" s="1" t="s">
        <v>28</v>
      </c>
      <c r="K3061" s="1" t="s">
        <v>28</v>
      </c>
      <c r="L3061" s="1" t="str">
        <f t="shared" si="576"/>
        <v>20220914</v>
      </c>
      <c r="M3061" s="1" t="str">
        <f>"165016"</f>
        <v>165016</v>
      </c>
      <c r="N3061" s="1" t="s">
        <v>79</v>
      </c>
      <c r="O3061" s="1" t="s">
        <v>28</v>
      </c>
      <c r="P3061" s="1" t="s">
        <v>68</v>
      </c>
      <c r="Q3061" s="1">
        <v>13</v>
      </c>
      <c r="R3061" s="1">
        <v>0</v>
      </c>
      <c r="S3061" s="1">
        <v>0</v>
      </c>
      <c r="T3061" s="1">
        <v>13</v>
      </c>
      <c r="U3061" s="1">
        <v>0</v>
      </c>
      <c r="V3061" s="1" t="str">
        <f>"里程去程"</f>
        <v>里程去程</v>
      </c>
      <c r="W3061" s="1" t="str">
        <f>"0020"</f>
        <v>0020</v>
      </c>
      <c r="X3061" s="1" t="s">
        <v>29</v>
      </c>
    </row>
    <row r="3062" spans="1:24" x14ac:dyDescent="0.3">
      <c r="A3062" s="1" t="str">
        <f t="shared" si="579"/>
        <v>59820</v>
      </c>
      <c r="B3062" s="1" t="s">
        <v>53</v>
      </c>
      <c r="C3062" s="1" t="s">
        <v>54</v>
      </c>
      <c r="D3062" s="1" t="str">
        <f t="shared" si="580"/>
        <v>9803</v>
      </c>
      <c r="E3062" s="1" t="s">
        <v>32</v>
      </c>
      <c r="F3062" s="1" t="str">
        <f>"105296637"</f>
        <v>105296637</v>
      </c>
      <c r="G3062" s="1" t="s">
        <v>33</v>
      </c>
      <c r="H3062" s="1" t="str">
        <f t="shared" si="575"/>
        <v>20220914</v>
      </c>
      <c r="I3062" s="1" t="str">
        <f>"173012"</f>
        <v>173012</v>
      </c>
      <c r="J3062" s="1" t="s">
        <v>34</v>
      </c>
      <c r="K3062" s="1" t="s">
        <v>34</v>
      </c>
      <c r="L3062" s="1" t="str">
        <f t="shared" si="576"/>
        <v>20220914</v>
      </c>
      <c r="M3062" s="1" t="str">
        <f>"175635"</f>
        <v>175635</v>
      </c>
      <c r="N3062" s="1" t="s">
        <v>28</v>
      </c>
      <c r="O3062" s="1" t="s">
        <v>28</v>
      </c>
      <c r="P3062" s="1" t="s">
        <v>55</v>
      </c>
      <c r="Q3062" s="1">
        <v>25</v>
      </c>
      <c r="R3062" s="1">
        <v>25</v>
      </c>
      <c r="S3062" s="1">
        <v>0</v>
      </c>
      <c r="T3062" s="1">
        <v>0</v>
      </c>
      <c r="U3062" s="1">
        <v>0</v>
      </c>
      <c r="V3062" s="1" t="str">
        <f t="shared" ref="V3062:V3074" si="582">"里程返程"</f>
        <v>里程返程</v>
      </c>
      <c r="W3062" s="1" t="str">
        <f>"2020"</f>
        <v>2020</v>
      </c>
      <c r="X3062" s="1" t="s">
        <v>35</v>
      </c>
    </row>
    <row r="3063" spans="1:24" x14ac:dyDescent="0.3">
      <c r="A3063" s="1" t="str">
        <f t="shared" si="579"/>
        <v>59820</v>
      </c>
      <c r="B3063" s="1" t="s">
        <v>53</v>
      </c>
      <c r="C3063" s="1" t="s">
        <v>54</v>
      </c>
      <c r="D3063" s="1" t="str">
        <f t="shared" si="580"/>
        <v>9803</v>
      </c>
      <c r="E3063" s="1" t="s">
        <v>32</v>
      </c>
      <c r="F3063" s="1" t="str">
        <f>"1830608901"</f>
        <v>1830608901</v>
      </c>
      <c r="G3063" s="1" t="s">
        <v>33</v>
      </c>
      <c r="H3063" s="1" t="str">
        <f t="shared" si="575"/>
        <v>20220914</v>
      </c>
      <c r="I3063" s="1" t="str">
        <f>"173015"</f>
        <v>173015</v>
      </c>
      <c r="J3063" s="1" t="s">
        <v>34</v>
      </c>
      <c r="K3063" s="1" t="s">
        <v>34</v>
      </c>
      <c r="L3063" s="1" t="str">
        <f t="shared" si="576"/>
        <v>20220914</v>
      </c>
      <c r="M3063" s="1" t="str">
        <f>"175634"</f>
        <v>175634</v>
      </c>
      <c r="N3063" s="1" t="s">
        <v>28</v>
      </c>
      <c r="O3063" s="1" t="s">
        <v>28</v>
      </c>
      <c r="P3063" s="1" t="s">
        <v>55</v>
      </c>
      <c r="Q3063" s="1">
        <v>25</v>
      </c>
      <c r="R3063" s="1">
        <v>25</v>
      </c>
      <c r="S3063" s="1">
        <v>0</v>
      </c>
      <c r="T3063" s="1">
        <v>0</v>
      </c>
      <c r="U3063" s="1">
        <v>0</v>
      </c>
      <c r="V3063" s="1" t="str">
        <f t="shared" si="582"/>
        <v>里程返程</v>
      </c>
      <c r="W3063" s="1" t="str">
        <f>"2020"</f>
        <v>2020</v>
      </c>
      <c r="X3063" s="1" t="s">
        <v>35</v>
      </c>
    </row>
    <row r="3064" spans="1:24" x14ac:dyDescent="0.3">
      <c r="A3064" s="1" t="str">
        <f t="shared" si="579"/>
        <v>59820</v>
      </c>
      <c r="B3064" s="1" t="s">
        <v>53</v>
      </c>
      <c r="C3064" s="1" t="s">
        <v>54</v>
      </c>
      <c r="D3064" s="1" t="str">
        <f t="shared" si="580"/>
        <v>9803</v>
      </c>
      <c r="E3064" s="1" t="s">
        <v>32</v>
      </c>
      <c r="F3064" s="1" t="str">
        <f>"943575461"</f>
        <v>943575461</v>
      </c>
      <c r="G3064" s="1" t="s">
        <v>26</v>
      </c>
      <c r="H3064" s="1" t="str">
        <f t="shared" si="575"/>
        <v>20220914</v>
      </c>
      <c r="I3064" s="1" t="str">
        <f>"173023"</f>
        <v>173023</v>
      </c>
      <c r="J3064" s="1" t="s">
        <v>34</v>
      </c>
      <c r="K3064" s="1" t="s">
        <v>34</v>
      </c>
      <c r="L3064" s="1" t="str">
        <f t="shared" si="576"/>
        <v>20220914</v>
      </c>
      <c r="M3064" s="1" t="str">
        <f>"175640"</f>
        <v>175640</v>
      </c>
      <c r="N3064" s="1" t="s">
        <v>28</v>
      </c>
      <c r="O3064" s="1" t="s">
        <v>28</v>
      </c>
      <c r="P3064" s="1" t="s">
        <v>55</v>
      </c>
      <c r="Q3064" s="1">
        <v>13</v>
      </c>
      <c r="R3064" s="1">
        <v>0</v>
      </c>
      <c r="S3064" s="1">
        <v>13</v>
      </c>
      <c r="T3064" s="1">
        <v>0</v>
      </c>
      <c r="U3064" s="1">
        <v>0</v>
      </c>
      <c r="V3064" s="1" t="str">
        <f t="shared" si="582"/>
        <v>里程返程</v>
      </c>
      <c r="W3064" s="1" t="str">
        <f>"2020"</f>
        <v>2020</v>
      </c>
      <c r="X3064" s="1" t="s">
        <v>35</v>
      </c>
    </row>
    <row r="3065" spans="1:24" x14ac:dyDescent="0.3">
      <c r="A3065" s="1" t="str">
        <f t="shared" si="579"/>
        <v>59820</v>
      </c>
      <c r="B3065" s="1" t="s">
        <v>53</v>
      </c>
      <c r="C3065" s="1" t="s">
        <v>54</v>
      </c>
      <c r="D3065" s="1" t="str">
        <f t="shared" si="580"/>
        <v>9803</v>
      </c>
      <c r="E3065" s="1" t="s">
        <v>32</v>
      </c>
      <c r="F3065" s="1" t="str">
        <f>"1075952405"</f>
        <v>1075952405</v>
      </c>
      <c r="G3065" s="1" t="s">
        <v>74</v>
      </c>
      <c r="H3065" s="1" t="str">
        <f t="shared" si="575"/>
        <v>20220914</v>
      </c>
      <c r="I3065" s="1" t="str">
        <f>"173033"</f>
        <v>173033</v>
      </c>
      <c r="J3065" s="1" t="s">
        <v>34</v>
      </c>
      <c r="K3065" s="1" t="s">
        <v>34</v>
      </c>
      <c r="L3065" s="1" t="str">
        <f t="shared" si="576"/>
        <v>20220914</v>
      </c>
      <c r="M3065" s="1" t="str">
        <f>"175644"</f>
        <v>175644</v>
      </c>
      <c r="N3065" s="1" t="s">
        <v>28</v>
      </c>
      <c r="O3065" s="1" t="s">
        <v>28</v>
      </c>
      <c r="P3065" s="1" t="s">
        <v>55</v>
      </c>
      <c r="Q3065" s="1">
        <v>13</v>
      </c>
      <c r="R3065" s="1">
        <v>0</v>
      </c>
      <c r="S3065" s="1">
        <v>13</v>
      </c>
      <c r="T3065" s="1">
        <v>0</v>
      </c>
      <c r="U3065" s="1">
        <v>0</v>
      </c>
      <c r="V3065" s="1" t="str">
        <f t="shared" si="582"/>
        <v>里程返程</v>
      </c>
      <c r="W3065" s="1" t="str">
        <f>"2020"</f>
        <v>2020</v>
      </c>
      <c r="X3065" s="1" t="s">
        <v>35</v>
      </c>
    </row>
    <row r="3066" spans="1:24" x14ac:dyDescent="0.3">
      <c r="A3066" s="1" t="str">
        <f t="shared" si="579"/>
        <v>59820</v>
      </c>
      <c r="B3066" s="1" t="s">
        <v>53</v>
      </c>
      <c r="C3066" s="1" t="s">
        <v>54</v>
      </c>
      <c r="D3066" s="1" t="str">
        <f t="shared" ref="D3066:D3076" si="583">"9805"</f>
        <v>9805</v>
      </c>
      <c r="E3066" s="1" t="s">
        <v>57</v>
      </c>
      <c r="F3066" s="1" t="str">
        <f>"1610786853"</f>
        <v>1610786853</v>
      </c>
      <c r="G3066" s="1" t="s">
        <v>26</v>
      </c>
      <c r="H3066" s="1" t="str">
        <f t="shared" si="575"/>
        <v>20220914</v>
      </c>
      <c r="I3066" s="1" t="str">
        <f>"181823"</f>
        <v>181823</v>
      </c>
      <c r="J3066" s="1" t="s">
        <v>52</v>
      </c>
      <c r="K3066" s="1" t="s">
        <v>52</v>
      </c>
      <c r="L3066" s="1" t="str">
        <f t="shared" si="576"/>
        <v>20220914</v>
      </c>
      <c r="M3066" s="1" t="str">
        <f>"183644"</f>
        <v>183644</v>
      </c>
      <c r="N3066" s="1" t="s">
        <v>28</v>
      </c>
      <c r="O3066" s="1" t="s">
        <v>28</v>
      </c>
      <c r="P3066" s="1" t="s">
        <v>55</v>
      </c>
      <c r="Q3066" s="1">
        <v>13</v>
      </c>
      <c r="R3066" s="1">
        <v>0</v>
      </c>
      <c r="S3066" s="1">
        <v>13</v>
      </c>
      <c r="T3066" s="1">
        <v>0</v>
      </c>
      <c r="U3066" s="1">
        <v>0</v>
      </c>
      <c r="V3066" s="1" t="str">
        <f t="shared" si="582"/>
        <v>里程返程</v>
      </c>
      <c r="W3066" s="1" t="str">
        <f t="shared" ref="W3066:W3076" si="584">"2120"</f>
        <v>2120</v>
      </c>
      <c r="X3066" s="1" t="s">
        <v>35</v>
      </c>
    </row>
    <row r="3067" spans="1:24" x14ac:dyDescent="0.3">
      <c r="A3067" s="1" t="str">
        <f t="shared" si="579"/>
        <v>59820</v>
      </c>
      <c r="B3067" s="1" t="s">
        <v>53</v>
      </c>
      <c r="C3067" s="1" t="s">
        <v>54</v>
      </c>
      <c r="D3067" s="1" t="str">
        <f t="shared" si="583"/>
        <v>9805</v>
      </c>
      <c r="E3067" s="1" t="s">
        <v>57</v>
      </c>
      <c r="F3067" s="1" t="str">
        <f>"1299757825"</f>
        <v>1299757825</v>
      </c>
      <c r="G3067" s="1" t="s">
        <v>26</v>
      </c>
      <c r="H3067" s="1" t="str">
        <f t="shared" si="575"/>
        <v>20220914</v>
      </c>
      <c r="I3067" s="1" t="str">
        <f>"181825"</f>
        <v>181825</v>
      </c>
      <c r="J3067" s="1" t="s">
        <v>52</v>
      </c>
      <c r="K3067" s="1" t="s">
        <v>52</v>
      </c>
      <c r="L3067" s="1" t="str">
        <f t="shared" si="576"/>
        <v>20220914</v>
      </c>
      <c r="M3067" s="1" t="str">
        <f>"183657"</f>
        <v>183657</v>
      </c>
      <c r="N3067" s="1" t="s">
        <v>28</v>
      </c>
      <c r="O3067" s="1" t="s">
        <v>28</v>
      </c>
      <c r="P3067" s="1" t="s">
        <v>55</v>
      </c>
      <c r="Q3067" s="1">
        <v>13</v>
      </c>
      <c r="R3067" s="1">
        <v>0</v>
      </c>
      <c r="S3067" s="1">
        <v>13</v>
      </c>
      <c r="T3067" s="1">
        <v>0</v>
      </c>
      <c r="U3067" s="1">
        <v>0</v>
      </c>
      <c r="V3067" s="1" t="str">
        <f t="shared" si="582"/>
        <v>里程返程</v>
      </c>
      <c r="W3067" s="1" t="str">
        <f t="shared" si="584"/>
        <v>2120</v>
      </c>
      <c r="X3067" s="1" t="s">
        <v>35</v>
      </c>
    </row>
    <row r="3068" spans="1:24" x14ac:dyDescent="0.3">
      <c r="A3068" s="1" t="str">
        <f t="shared" si="579"/>
        <v>59820</v>
      </c>
      <c r="B3068" s="1" t="s">
        <v>53</v>
      </c>
      <c r="C3068" s="1" t="s">
        <v>54</v>
      </c>
      <c r="D3068" s="1" t="str">
        <f t="shared" si="583"/>
        <v>9805</v>
      </c>
      <c r="E3068" s="1" t="s">
        <v>57</v>
      </c>
      <c r="F3068" s="1" t="str">
        <f>"253150351"</f>
        <v>253150351</v>
      </c>
      <c r="G3068" s="1" t="s">
        <v>26</v>
      </c>
      <c r="H3068" s="1" t="str">
        <f t="shared" si="575"/>
        <v>20220914</v>
      </c>
      <c r="I3068" s="1" t="str">
        <f>"181829"</f>
        <v>181829</v>
      </c>
      <c r="J3068" s="1" t="s">
        <v>52</v>
      </c>
      <c r="K3068" s="1" t="s">
        <v>52</v>
      </c>
      <c r="L3068" s="1" t="str">
        <f t="shared" si="576"/>
        <v>20220914</v>
      </c>
      <c r="M3068" s="1" t="str">
        <f>"183704"</f>
        <v>183704</v>
      </c>
      <c r="N3068" s="1" t="s">
        <v>28</v>
      </c>
      <c r="O3068" s="1" t="s">
        <v>28</v>
      </c>
      <c r="P3068" s="1" t="s">
        <v>55</v>
      </c>
      <c r="Q3068" s="1">
        <v>13</v>
      </c>
      <c r="R3068" s="1">
        <v>0</v>
      </c>
      <c r="S3068" s="1">
        <v>13</v>
      </c>
      <c r="T3068" s="1">
        <v>0</v>
      </c>
      <c r="U3068" s="1">
        <v>0</v>
      </c>
      <c r="V3068" s="1" t="str">
        <f t="shared" si="582"/>
        <v>里程返程</v>
      </c>
      <c r="W3068" s="1" t="str">
        <f t="shared" si="584"/>
        <v>2120</v>
      </c>
      <c r="X3068" s="1" t="s">
        <v>35</v>
      </c>
    </row>
    <row r="3069" spans="1:24" x14ac:dyDescent="0.3">
      <c r="A3069" s="1" t="str">
        <f t="shared" ref="A3069:A3074" si="585">"59820"</f>
        <v>59820</v>
      </c>
      <c r="B3069" s="1" t="s">
        <v>53</v>
      </c>
      <c r="C3069" s="1" t="s">
        <v>54</v>
      </c>
      <c r="D3069" s="1" t="str">
        <f t="shared" si="583"/>
        <v>9805</v>
      </c>
      <c r="E3069" s="1" t="s">
        <v>57</v>
      </c>
      <c r="F3069" s="1" t="str">
        <f>"752712385"</f>
        <v>752712385</v>
      </c>
      <c r="G3069" s="1" t="s">
        <v>26</v>
      </c>
      <c r="H3069" s="1" t="str">
        <f t="shared" ref="H3069:H3132" si="586">"20220914"</f>
        <v>20220914</v>
      </c>
      <c r="I3069" s="1" t="str">
        <f>"181835"</f>
        <v>181835</v>
      </c>
      <c r="J3069" s="1" t="s">
        <v>52</v>
      </c>
      <c r="K3069" s="1" t="s">
        <v>52</v>
      </c>
      <c r="L3069" s="1" t="str">
        <f t="shared" ref="L3069:L3132" si="587">"20220914"</f>
        <v>20220914</v>
      </c>
      <c r="M3069" s="1" t="str">
        <f>"183650"</f>
        <v>183650</v>
      </c>
      <c r="N3069" s="1" t="s">
        <v>28</v>
      </c>
      <c r="O3069" s="1" t="s">
        <v>28</v>
      </c>
      <c r="P3069" s="1" t="s">
        <v>55</v>
      </c>
      <c r="Q3069" s="1">
        <v>13</v>
      </c>
      <c r="R3069" s="1">
        <v>0</v>
      </c>
      <c r="S3069" s="1">
        <v>13</v>
      </c>
      <c r="T3069" s="1">
        <v>0</v>
      </c>
      <c r="U3069" s="1">
        <v>0</v>
      </c>
      <c r="V3069" s="1" t="str">
        <f t="shared" si="582"/>
        <v>里程返程</v>
      </c>
      <c r="W3069" s="1" t="str">
        <f t="shared" si="584"/>
        <v>2120</v>
      </c>
      <c r="X3069" s="1" t="s">
        <v>35</v>
      </c>
    </row>
    <row r="3070" spans="1:24" x14ac:dyDescent="0.3">
      <c r="A3070" s="1" t="str">
        <f t="shared" si="585"/>
        <v>59820</v>
      </c>
      <c r="B3070" s="1" t="s">
        <v>53</v>
      </c>
      <c r="C3070" s="1" t="s">
        <v>54</v>
      </c>
      <c r="D3070" s="1" t="str">
        <f t="shared" si="583"/>
        <v>9805</v>
      </c>
      <c r="E3070" s="1" t="s">
        <v>57</v>
      </c>
      <c r="F3070" s="1" t="str">
        <f>"941870693"</f>
        <v>941870693</v>
      </c>
      <c r="G3070" s="1" t="s">
        <v>26</v>
      </c>
      <c r="H3070" s="1" t="str">
        <f t="shared" si="586"/>
        <v>20220914</v>
      </c>
      <c r="I3070" s="1" t="str">
        <f>"181838"</f>
        <v>181838</v>
      </c>
      <c r="J3070" s="1" t="s">
        <v>52</v>
      </c>
      <c r="K3070" s="1" t="s">
        <v>52</v>
      </c>
      <c r="L3070" s="1" t="str">
        <f t="shared" si="587"/>
        <v>20220914</v>
      </c>
      <c r="M3070" s="1" t="str">
        <f>"183646"</f>
        <v>183646</v>
      </c>
      <c r="N3070" s="1" t="s">
        <v>28</v>
      </c>
      <c r="O3070" s="1" t="s">
        <v>28</v>
      </c>
      <c r="P3070" s="1" t="s">
        <v>55</v>
      </c>
      <c r="Q3070" s="1">
        <v>13</v>
      </c>
      <c r="R3070" s="1">
        <v>0</v>
      </c>
      <c r="S3070" s="1">
        <v>13</v>
      </c>
      <c r="T3070" s="1">
        <v>0</v>
      </c>
      <c r="U3070" s="1">
        <v>0</v>
      </c>
      <c r="V3070" s="1" t="str">
        <f t="shared" si="582"/>
        <v>里程返程</v>
      </c>
      <c r="W3070" s="1" t="str">
        <f t="shared" si="584"/>
        <v>2120</v>
      </c>
      <c r="X3070" s="1" t="s">
        <v>35</v>
      </c>
    </row>
    <row r="3071" spans="1:24" x14ac:dyDescent="0.3">
      <c r="A3071" s="1" t="str">
        <f t="shared" si="585"/>
        <v>59820</v>
      </c>
      <c r="B3071" s="1" t="s">
        <v>53</v>
      </c>
      <c r="C3071" s="1" t="s">
        <v>54</v>
      </c>
      <c r="D3071" s="1" t="str">
        <f t="shared" si="583"/>
        <v>9805</v>
      </c>
      <c r="E3071" s="1" t="s">
        <v>57</v>
      </c>
      <c r="F3071" s="1" t="str">
        <f>"1641380389"</f>
        <v>1641380389</v>
      </c>
      <c r="G3071" s="1" t="s">
        <v>26</v>
      </c>
      <c r="H3071" s="1" t="str">
        <f t="shared" si="586"/>
        <v>20220914</v>
      </c>
      <c r="I3071" s="1" t="str">
        <f>"181844"</f>
        <v>181844</v>
      </c>
      <c r="J3071" s="1" t="s">
        <v>52</v>
      </c>
      <c r="K3071" s="1" t="s">
        <v>52</v>
      </c>
      <c r="L3071" s="1" t="str">
        <f t="shared" si="587"/>
        <v>20220914</v>
      </c>
      <c r="M3071" s="1" t="str">
        <f>"183653"</f>
        <v>183653</v>
      </c>
      <c r="N3071" s="1" t="s">
        <v>28</v>
      </c>
      <c r="O3071" s="1" t="s">
        <v>28</v>
      </c>
      <c r="P3071" s="1" t="s">
        <v>55</v>
      </c>
      <c r="Q3071" s="1">
        <v>13</v>
      </c>
      <c r="R3071" s="1">
        <v>0</v>
      </c>
      <c r="S3071" s="1">
        <v>13</v>
      </c>
      <c r="T3071" s="1">
        <v>0</v>
      </c>
      <c r="U3071" s="1">
        <v>0</v>
      </c>
      <c r="V3071" s="1" t="str">
        <f t="shared" si="582"/>
        <v>里程返程</v>
      </c>
      <c r="W3071" s="1" t="str">
        <f t="shared" si="584"/>
        <v>2120</v>
      </c>
      <c r="X3071" s="1" t="s">
        <v>35</v>
      </c>
    </row>
    <row r="3072" spans="1:24" x14ac:dyDescent="0.3">
      <c r="A3072" s="1" t="str">
        <f t="shared" si="585"/>
        <v>59820</v>
      </c>
      <c r="B3072" s="1" t="s">
        <v>53</v>
      </c>
      <c r="C3072" s="1" t="s">
        <v>54</v>
      </c>
      <c r="D3072" s="1" t="str">
        <f t="shared" si="583"/>
        <v>9805</v>
      </c>
      <c r="E3072" s="1" t="s">
        <v>57</v>
      </c>
      <c r="F3072" s="1" t="str">
        <f>"1600834117"</f>
        <v>1600834117</v>
      </c>
      <c r="G3072" s="1" t="s">
        <v>26</v>
      </c>
      <c r="H3072" s="1" t="str">
        <f t="shared" si="586"/>
        <v>20220914</v>
      </c>
      <c r="I3072" s="1" t="str">
        <f>"181848"</f>
        <v>181848</v>
      </c>
      <c r="J3072" s="1" t="s">
        <v>52</v>
      </c>
      <c r="K3072" s="1" t="s">
        <v>52</v>
      </c>
      <c r="L3072" s="1" t="str">
        <f t="shared" si="587"/>
        <v>20220914</v>
      </c>
      <c r="M3072" s="1" t="str">
        <f>"183700"</f>
        <v>183700</v>
      </c>
      <c r="N3072" s="1" t="s">
        <v>28</v>
      </c>
      <c r="O3072" s="1" t="s">
        <v>28</v>
      </c>
      <c r="P3072" s="1" t="s">
        <v>55</v>
      </c>
      <c r="Q3072" s="1">
        <v>13</v>
      </c>
      <c r="R3072" s="1">
        <v>0</v>
      </c>
      <c r="S3072" s="1">
        <v>13</v>
      </c>
      <c r="T3072" s="1">
        <v>0</v>
      </c>
      <c r="U3072" s="1">
        <v>0</v>
      </c>
      <c r="V3072" s="1" t="str">
        <f t="shared" si="582"/>
        <v>里程返程</v>
      </c>
      <c r="W3072" s="1" t="str">
        <f t="shared" si="584"/>
        <v>2120</v>
      </c>
      <c r="X3072" s="1" t="s">
        <v>35</v>
      </c>
    </row>
    <row r="3073" spans="1:24" x14ac:dyDescent="0.3">
      <c r="A3073" s="1" t="str">
        <f t="shared" si="585"/>
        <v>59820</v>
      </c>
      <c r="B3073" s="1" t="s">
        <v>53</v>
      </c>
      <c r="C3073" s="1" t="s">
        <v>54</v>
      </c>
      <c r="D3073" s="1" t="str">
        <f t="shared" si="583"/>
        <v>9805</v>
      </c>
      <c r="E3073" s="1" t="s">
        <v>57</v>
      </c>
      <c r="F3073" s="1" t="str">
        <f>"2100974762"</f>
        <v>2100974762</v>
      </c>
      <c r="G3073" s="1" t="s">
        <v>33</v>
      </c>
      <c r="H3073" s="1" t="str">
        <f t="shared" si="586"/>
        <v>20220914</v>
      </c>
      <c r="I3073" s="1" t="str">
        <f>"181851"</f>
        <v>181851</v>
      </c>
      <c r="J3073" s="1" t="s">
        <v>52</v>
      </c>
      <c r="K3073" s="1" t="s">
        <v>52</v>
      </c>
      <c r="L3073" s="1" t="str">
        <f t="shared" si="587"/>
        <v>20220914</v>
      </c>
      <c r="M3073" s="1" t="str">
        <f>"183709"</f>
        <v>183709</v>
      </c>
      <c r="N3073" s="1" t="s">
        <v>28</v>
      </c>
      <c r="O3073" s="1" t="s">
        <v>28</v>
      </c>
      <c r="P3073" s="1" t="s">
        <v>55</v>
      </c>
      <c r="Q3073" s="1">
        <v>25</v>
      </c>
      <c r="R3073" s="1">
        <v>0</v>
      </c>
      <c r="S3073" s="1">
        <v>25</v>
      </c>
      <c r="T3073" s="1">
        <v>0</v>
      </c>
      <c r="U3073" s="1">
        <v>0</v>
      </c>
      <c r="V3073" s="1" t="str">
        <f t="shared" si="582"/>
        <v>里程返程</v>
      </c>
      <c r="W3073" s="1" t="str">
        <f t="shared" si="584"/>
        <v>2120</v>
      </c>
      <c r="X3073" s="1" t="s">
        <v>35</v>
      </c>
    </row>
    <row r="3074" spans="1:24" x14ac:dyDescent="0.3">
      <c r="A3074" s="1" t="str">
        <f t="shared" si="585"/>
        <v>59820</v>
      </c>
      <c r="B3074" s="1" t="s">
        <v>53</v>
      </c>
      <c r="C3074" s="1" t="s">
        <v>54</v>
      </c>
      <c r="D3074" s="1" t="str">
        <f t="shared" si="583"/>
        <v>9805</v>
      </c>
      <c r="E3074" s="1" t="s">
        <v>57</v>
      </c>
      <c r="F3074" s="1" t="str">
        <f>"800318963"</f>
        <v>800318963</v>
      </c>
      <c r="G3074" s="1" t="s">
        <v>33</v>
      </c>
      <c r="H3074" s="1" t="str">
        <f t="shared" si="586"/>
        <v>20220914</v>
      </c>
      <c r="I3074" s="1" t="str">
        <f>"181855"</f>
        <v>181855</v>
      </c>
      <c r="J3074" s="1" t="s">
        <v>52</v>
      </c>
      <c r="K3074" s="1" t="s">
        <v>52</v>
      </c>
      <c r="L3074" s="1" t="str">
        <f t="shared" si="587"/>
        <v>20220914</v>
      </c>
      <c r="M3074" s="1" t="str">
        <f>"183714"</f>
        <v>183714</v>
      </c>
      <c r="N3074" s="1" t="s">
        <v>28</v>
      </c>
      <c r="O3074" s="1" t="s">
        <v>28</v>
      </c>
      <c r="P3074" s="1" t="s">
        <v>55</v>
      </c>
      <c r="Q3074" s="1">
        <v>25</v>
      </c>
      <c r="R3074" s="1">
        <v>0</v>
      </c>
      <c r="S3074" s="1">
        <v>25</v>
      </c>
      <c r="T3074" s="1">
        <v>0</v>
      </c>
      <c r="U3074" s="1">
        <v>0</v>
      </c>
      <c r="V3074" s="1" t="str">
        <f t="shared" si="582"/>
        <v>里程返程</v>
      </c>
      <c r="W3074" s="1" t="str">
        <f t="shared" si="584"/>
        <v>2120</v>
      </c>
      <c r="X3074" s="1" t="s">
        <v>35</v>
      </c>
    </row>
    <row r="3075" spans="1:24" x14ac:dyDescent="0.3">
      <c r="A3075" s="1" t="str">
        <f t="shared" ref="A3075:A3106" si="588">"59822"</f>
        <v>59822</v>
      </c>
      <c r="B3075" s="1" t="s">
        <v>39</v>
      </c>
      <c r="C3075" s="1" t="s">
        <v>40</v>
      </c>
      <c r="D3075" s="1" t="str">
        <f t="shared" si="583"/>
        <v>9805</v>
      </c>
      <c r="E3075" s="1" t="s">
        <v>57</v>
      </c>
      <c r="F3075" s="1" t="str">
        <f>"1311139025"</f>
        <v>1311139025</v>
      </c>
      <c r="G3075" s="1" t="s">
        <v>26</v>
      </c>
      <c r="H3075" s="1" t="str">
        <f t="shared" si="586"/>
        <v>20220914</v>
      </c>
      <c r="I3075" s="1" t="str">
        <f>"104228"</f>
        <v>104228</v>
      </c>
      <c r="J3075" s="1" t="s">
        <v>28</v>
      </c>
      <c r="K3075" s="1" t="s">
        <v>28</v>
      </c>
      <c r="L3075" s="1" t="str">
        <f t="shared" si="587"/>
        <v>20220914</v>
      </c>
      <c r="M3075" s="1" t="str">
        <f>"105332"</f>
        <v>105332</v>
      </c>
      <c r="N3075" s="1" t="s">
        <v>56</v>
      </c>
      <c r="O3075" s="1" t="s">
        <v>28</v>
      </c>
      <c r="P3075" s="1" t="s">
        <v>55</v>
      </c>
      <c r="Q3075" s="1">
        <v>13</v>
      </c>
      <c r="R3075" s="1">
        <v>13</v>
      </c>
      <c r="S3075" s="1">
        <v>0</v>
      </c>
      <c r="T3075" s="1">
        <v>0</v>
      </c>
      <c r="U3075" s="1">
        <v>0</v>
      </c>
      <c r="V3075" s="1" t="str">
        <f t="shared" ref="V3075:V3106" si="589">"里程去程"</f>
        <v>里程去程</v>
      </c>
      <c r="W3075" s="1" t="str">
        <f t="shared" si="584"/>
        <v>2120</v>
      </c>
      <c r="X3075" s="1" t="s">
        <v>35</v>
      </c>
    </row>
    <row r="3076" spans="1:24" x14ac:dyDescent="0.3">
      <c r="A3076" s="1" t="str">
        <f t="shared" si="588"/>
        <v>59822</v>
      </c>
      <c r="B3076" s="1" t="s">
        <v>39</v>
      </c>
      <c r="C3076" s="1" t="s">
        <v>40</v>
      </c>
      <c r="D3076" s="1" t="str">
        <f t="shared" si="583"/>
        <v>9805</v>
      </c>
      <c r="E3076" s="1" t="s">
        <v>57</v>
      </c>
      <c r="F3076" s="1" t="str">
        <f>"1672262368"</f>
        <v>1672262368</v>
      </c>
      <c r="G3076" s="1" t="s">
        <v>26</v>
      </c>
      <c r="H3076" s="1" t="str">
        <f t="shared" si="586"/>
        <v>20220914</v>
      </c>
      <c r="I3076" s="1" t="str">
        <f>"104232"</f>
        <v>104232</v>
      </c>
      <c r="J3076" s="1" t="s">
        <v>28</v>
      </c>
      <c r="K3076" s="1" t="s">
        <v>28</v>
      </c>
      <c r="L3076" s="1" t="str">
        <f t="shared" si="587"/>
        <v>20220914</v>
      </c>
      <c r="M3076" s="1" t="str">
        <f>"105402"</f>
        <v>105402</v>
      </c>
      <c r="N3076" s="1" t="s">
        <v>62</v>
      </c>
      <c r="O3076" s="1" t="s">
        <v>28</v>
      </c>
      <c r="P3076" s="1" t="s">
        <v>55</v>
      </c>
      <c r="Q3076" s="1">
        <v>13</v>
      </c>
      <c r="R3076" s="1">
        <v>13</v>
      </c>
      <c r="S3076" s="1">
        <v>0</v>
      </c>
      <c r="T3076" s="1">
        <v>0</v>
      </c>
      <c r="U3076" s="1">
        <v>0</v>
      </c>
      <c r="V3076" s="1" t="str">
        <f t="shared" si="589"/>
        <v>里程去程</v>
      </c>
      <c r="W3076" s="1" t="str">
        <f t="shared" si="584"/>
        <v>2120</v>
      </c>
      <c r="X3076" s="1" t="s">
        <v>35</v>
      </c>
    </row>
    <row r="3077" spans="1:24" x14ac:dyDescent="0.3">
      <c r="A3077" s="1" t="str">
        <f t="shared" si="588"/>
        <v>59822</v>
      </c>
      <c r="B3077" s="1" t="s">
        <v>39</v>
      </c>
      <c r="C3077" s="1" t="s">
        <v>40</v>
      </c>
      <c r="D3077" s="1" t="str">
        <f t="shared" ref="D3077:D3108" si="590">"9801"</f>
        <v>9801</v>
      </c>
      <c r="E3077" s="1" t="s">
        <v>25</v>
      </c>
      <c r="F3077" s="1" t="str">
        <f>"72191C0374880400C834002000000015"</f>
        <v>72191C0374880400C834002000000015</v>
      </c>
      <c r="G3077" s="1" t="s">
        <v>26</v>
      </c>
      <c r="H3077" s="1" t="str">
        <f t="shared" si="586"/>
        <v>20220914</v>
      </c>
      <c r="I3077" s="1" t="str">
        <f>"105657"</f>
        <v>105657</v>
      </c>
      <c r="J3077" s="1" t="s">
        <v>52</v>
      </c>
      <c r="K3077" s="1" t="s">
        <v>52</v>
      </c>
      <c r="L3077" s="1" t="str">
        <f t="shared" si="587"/>
        <v>20220914</v>
      </c>
      <c r="M3077" s="1" t="str">
        <f>"110720"</f>
        <v>110720</v>
      </c>
      <c r="N3077" s="1" t="s">
        <v>60</v>
      </c>
      <c r="O3077" s="1" t="s">
        <v>52</v>
      </c>
      <c r="P3077" s="1" t="s">
        <v>68</v>
      </c>
      <c r="Q3077" s="1">
        <v>13</v>
      </c>
      <c r="R3077" s="1">
        <v>0</v>
      </c>
      <c r="S3077" s="1">
        <v>0</v>
      </c>
      <c r="T3077" s="1">
        <v>13</v>
      </c>
      <c r="U3077" s="1">
        <v>0</v>
      </c>
      <c r="V3077" s="1" t="str">
        <f t="shared" si="589"/>
        <v>里程去程</v>
      </c>
      <c r="W3077" s="1" t="str">
        <f>"0020"</f>
        <v>0020</v>
      </c>
      <c r="X3077" s="1" t="s">
        <v>29</v>
      </c>
    </row>
    <row r="3078" spans="1:24" x14ac:dyDescent="0.3">
      <c r="A3078" s="1" t="str">
        <f t="shared" si="588"/>
        <v>59822</v>
      </c>
      <c r="B3078" s="1" t="s">
        <v>39</v>
      </c>
      <c r="C3078" s="1" t="s">
        <v>40</v>
      </c>
      <c r="D3078" s="1" t="str">
        <f t="shared" si="590"/>
        <v>9801</v>
      </c>
      <c r="E3078" s="1" t="s">
        <v>25</v>
      </c>
      <c r="F3078" s="1" t="str">
        <f>"106085009"</f>
        <v>106085009</v>
      </c>
      <c r="G3078" s="1" t="s">
        <v>33</v>
      </c>
      <c r="H3078" s="1" t="str">
        <f t="shared" si="586"/>
        <v>20220914</v>
      </c>
      <c r="I3078" s="1" t="str">
        <f>"115503"</f>
        <v>115503</v>
      </c>
      <c r="J3078" s="1" t="s">
        <v>52</v>
      </c>
      <c r="K3078" s="1" t="s">
        <v>52</v>
      </c>
      <c r="L3078" s="1" t="str">
        <f t="shared" si="587"/>
        <v>20220914</v>
      </c>
      <c r="M3078" s="1" t="str">
        <f>"122608"</f>
        <v>122608</v>
      </c>
      <c r="N3078" s="1" t="s">
        <v>83</v>
      </c>
      <c r="O3078" s="1" t="s">
        <v>52</v>
      </c>
      <c r="P3078" s="1" t="s">
        <v>55</v>
      </c>
      <c r="Q3078" s="1">
        <v>25</v>
      </c>
      <c r="R3078" s="1">
        <v>25</v>
      </c>
      <c r="S3078" s="1">
        <v>0</v>
      </c>
      <c r="T3078" s="1">
        <v>0</v>
      </c>
      <c r="U3078" s="1">
        <v>0</v>
      </c>
      <c r="V3078" s="1" t="str">
        <f t="shared" si="589"/>
        <v>里程去程</v>
      </c>
      <c r="W3078" s="1" t="str">
        <f>"2020"</f>
        <v>2020</v>
      </c>
      <c r="X3078" s="1" t="s">
        <v>35</v>
      </c>
    </row>
    <row r="3079" spans="1:24" x14ac:dyDescent="0.3">
      <c r="A3079" s="1" t="str">
        <f t="shared" si="588"/>
        <v>59822</v>
      </c>
      <c r="B3079" s="1" t="s">
        <v>39</v>
      </c>
      <c r="C3079" s="1" t="s">
        <v>40</v>
      </c>
      <c r="D3079" s="1" t="str">
        <f t="shared" si="590"/>
        <v>9801</v>
      </c>
      <c r="E3079" s="1" t="s">
        <v>25</v>
      </c>
      <c r="F3079" s="1" t="str">
        <f>"1672262368"</f>
        <v>1672262368</v>
      </c>
      <c r="G3079" s="1" t="s">
        <v>26</v>
      </c>
      <c r="H3079" s="1" t="str">
        <f t="shared" si="586"/>
        <v>20220914</v>
      </c>
      <c r="I3079" s="1" t="str">
        <f>"115524"</f>
        <v>115524</v>
      </c>
      <c r="J3079" s="1" t="s">
        <v>52</v>
      </c>
      <c r="K3079" s="1" t="s">
        <v>52</v>
      </c>
      <c r="L3079" s="1" t="str">
        <f t="shared" si="587"/>
        <v>20220914</v>
      </c>
      <c r="M3079" s="1" t="str">
        <f>"123244"</f>
        <v>123244</v>
      </c>
      <c r="N3079" s="1" t="s">
        <v>70</v>
      </c>
      <c r="O3079" s="1" t="s">
        <v>28</v>
      </c>
      <c r="P3079" s="1" t="s">
        <v>55</v>
      </c>
      <c r="Q3079" s="1">
        <v>13</v>
      </c>
      <c r="R3079" s="1">
        <v>0</v>
      </c>
      <c r="S3079" s="1">
        <v>13</v>
      </c>
      <c r="T3079" s="1">
        <v>0</v>
      </c>
      <c r="U3079" s="1">
        <v>0</v>
      </c>
      <c r="V3079" s="1" t="str">
        <f t="shared" si="589"/>
        <v>里程去程</v>
      </c>
      <c r="W3079" s="1" t="str">
        <f>"2020"</f>
        <v>2020</v>
      </c>
      <c r="X3079" s="1" t="s">
        <v>35</v>
      </c>
    </row>
    <row r="3080" spans="1:24" x14ac:dyDescent="0.3">
      <c r="A3080" s="1" t="str">
        <f t="shared" si="588"/>
        <v>59822</v>
      </c>
      <c r="B3080" s="1" t="s">
        <v>39</v>
      </c>
      <c r="C3080" s="1" t="s">
        <v>40</v>
      </c>
      <c r="D3080" s="1" t="str">
        <f t="shared" si="590"/>
        <v>9801</v>
      </c>
      <c r="E3080" s="1" t="s">
        <v>25</v>
      </c>
      <c r="F3080" s="1" t="str">
        <f>"1311139025"</f>
        <v>1311139025</v>
      </c>
      <c r="G3080" s="1" t="s">
        <v>26</v>
      </c>
      <c r="H3080" s="1" t="str">
        <f t="shared" si="586"/>
        <v>20220914</v>
      </c>
      <c r="I3080" s="1" t="str">
        <f>"115534"</f>
        <v>115534</v>
      </c>
      <c r="J3080" s="1" t="s">
        <v>52</v>
      </c>
      <c r="K3080" s="1" t="s">
        <v>52</v>
      </c>
      <c r="L3080" s="1" t="str">
        <f t="shared" si="587"/>
        <v>20220914</v>
      </c>
      <c r="M3080" s="1" t="str">
        <f>"123238"</f>
        <v>123238</v>
      </c>
      <c r="N3080" s="1" t="s">
        <v>70</v>
      </c>
      <c r="O3080" s="1" t="s">
        <v>28</v>
      </c>
      <c r="P3080" s="1" t="s">
        <v>55</v>
      </c>
      <c r="Q3080" s="1">
        <v>13</v>
      </c>
      <c r="R3080" s="1">
        <v>0</v>
      </c>
      <c r="S3080" s="1">
        <v>13</v>
      </c>
      <c r="T3080" s="1">
        <v>0</v>
      </c>
      <c r="U3080" s="1">
        <v>0</v>
      </c>
      <c r="V3080" s="1" t="str">
        <f t="shared" si="589"/>
        <v>里程去程</v>
      </c>
      <c r="W3080" s="1" t="str">
        <f>"2020"</f>
        <v>2020</v>
      </c>
      <c r="X3080" s="1" t="s">
        <v>35</v>
      </c>
    </row>
    <row r="3081" spans="1:24" x14ac:dyDescent="0.3">
      <c r="A3081" s="1" t="str">
        <f t="shared" si="588"/>
        <v>59822</v>
      </c>
      <c r="B3081" s="1" t="s">
        <v>39</v>
      </c>
      <c r="C3081" s="1" t="s">
        <v>40</v>
      </c>
      <c r="D3081" s="1" t="str">
        <f t="shared" si="590"/>
        <v>9801</v>
      </c>
      <c r="E3081" s="1" t="s">
        <v>25</v>
      </c>
      <c r="F3081" s="1" t="str">
        <f>"F25B1B03B1880400C834002000000015"</f>
        <v>F25B1B03B1880400C834002000000015</v>
      </c>
      <c r="G3081" s="1" t="s">
        <v>26</v>
      </c>
      <c r="H3081" s="1" t="str">
        <f t="shared" si="586"/>
        <v>20220914</v>
      </c>
      <c r="I3081" s="1" t="str">
        <f>"120601"</f>
        <v>120601</v>
      </c>
      <c r="J3081" s="1" t="s">
        <v>60</v>
      </c>
      <c r="K3081" s="1" t="s">
        <v>52</v>
      </c>
      <c r="L3081" s="1" t="str">
        <f t="shared" si="587"/>
        <v>20220914</v>
      </c>
      <c r="M3081" s="1" t="str">
        <f>"123338"</f>
        <v>123338</v>
      </c>
      <c r="N3081" s="1" t="s">
        <v>70</v>
      </c>
      <c r="O3081" s="1" t="s">
        <v>28</v>
      </c>
      <c r="P3081" s="1" t="s">
        <v>68</v>
      </c>
      <c r="Q3081" s="1">
        <v>13</v>
      </c>
      <c r="R3081" s="1">
        <v>0</v>
      </c>
      <c r="S3081" s="1">
        <v>0</v>
      </c>
      <c r="T3081" s="1">
        <v>13</v>
      </c>
      <c r="U3081" s="1">
        <v>0</v>
      </c>
      <c r="V3081" s="1" t="str">
        <f t="shared" si="589"/>
        <v>里程去程</v>
      </c>
      <c r="W3081" s="1" t="str">
        <f>"0020"</f>
        <v>0020</v>
      </c>
      <c r="X3081" s="1" t="s">
        <v>29</v>
      </c>
    </row>
    <row r="3082" spans="1:24" x14ac:dyDescent="0.3">
      <c r="A3082" s="1" t="str">
        <f t="shared" si="588"/>
        <v>59822</v>
      </c>
      <c r="B3082" s="1" t="s">
        <v>39</v>
      </c>
      <c r="C3082" s="1" t="s">
        <v>40</v>
      </c>
      <c r="D3082" s="1" t="str">
        <f t="shared" si="590"/>
        <v>9801</v>
      </c>
      <c r="E3082" s="1" t="s">
        <v>25</v>
      </c>
      <c r="F3082" s="1" t="str">
        <f>"1423105809"</f>
        <v>1423105809</v>
      </c>
      <c r="G3082" s="1" t="s">
        <v>33</v>
      </c>
      <c r="H3082" s="1" t="str">
        <f t="shared" si="586"/>
        <v>20220914</v>
      </c>
      <c r="I3082" s="1" t="str">
        <f>"120604"</f>
        <v>120604</v>
      </c>
      <c r="J3082" s="1" t="s">
        <v>60</v>
      </c>
      <c r="K3082" s="1" t="s">
        <v>52</v>
      </c>
      <c r="L3082" s="1" t="str">
        <f t="shared" si="587"/>
        <v>20220914</v>
      </c>
      <c r="M3082" s="1" t="str">
        <f>"123345"</f>
        <v>123345</v>
      </c>
      <c r="N3082" s="1" t="s">
        <v>70</v>
      </c>
      <c r="O3082" s="1" t="s">
        <v>28</v>
      </c>
      <c r="P3082" s="1" t="s">
        <v>55</v>
      </c>
      <c r="Q3082" s="1">
        <v>25</v>
      </c>
      <c r="R3082" s="1">
        <v>25</v>
      </c>
      <c r="S3082" s="1">
        <v>0</v>
      </c>
      <c r="T3082" s="1">
        <v>0</v>
      </c>
      <c r="U3082" s="1">
        <v>0</v>
      </c>
      <c r="V3082" s="1" t="str">
        <f t="shared" si="589"/>
        <v>里程去程</v>
      </c>
      <c r="W3082" s="1" t="str">
        <f>"2020"</f>
        <v>2020</v>
      </c>
      <c r="X3082" s="1" t="s">
        <v>35</v>
      </c>
    </row>
    <row r="3083" spans="1:24" x14ac:dyDescent="0.3">
      <c r="A3083" s="1" t="str">
        <f t="shared" si="588"/>
        <v>59822</v>
      </c>
      <c r="B3083" s="1" t="s">
        <v>39</v>
      </c>
      <c r="C3083" s="1" t="s">
        <v>40</v>
      </c>
      <c r="D3083" s="1" t="str">
        <f t="shared" si="590"/>
        <v>9801</v>
      </c>
      <c r="E3083" s="1" t="s">
        <v>25</v>
      </c>
      <c r="F3083" s="1" t="str">
        <f>"4251460257880400C821002000000015"</f>
        <v>4251460257880400C821002000000015</v>
      </c>
      <c r="G3083" s="1" t="s">
        <v>26</v>
      </c>
      <c r="H3083" s="1" t="str">
        <f t="shared" si="586"/>
        <v>20220914</v>
      </c>
      <c r="I3083" s="1" t="str">
        <f>"122031"</f>
        <v>122031</v>
      </c>
      <c r="J3083" s="1" t="s">
        <v>69</v>
      </c>
      <c r="K3083" s="1" t="s">
        <v>52</v>
      </c>
      <c r="L3083" s="1" t="str">
        <f t="shared" si="587"/>
        <v>20220914</v>
      </c>
      <c r="M3083" s="1" t="str">
        <f>"122610"</f>
        <v>122610</v>
      </c>
      <c r="N3083" s="1" t="s">
        <v>83</v>
      </c>
      <c r="O3083" s="1" t="s">
        <v>52</v>
      </c>
      <c r="P3083" s="1" t="s">
        <v>68</v>
      </c>
      <c r="Q3083" s="1">
        <v>13</v>
      </c>
      <c r="R3083" s="1">
        <v>0</v>
      </c>
      <c r="S3083" s="1">
        <v>0</v>
      </c>
      <c r="T3083" s="1">
        <v>13</v>
      </c>
      <c r="U3083" s="1">
        <v>0</v>
      </c>
      <c r="V3083" s="1" t="str">
        <f t="shared" si="589"/>
        <v>里程去程</v>
      </c>
      <c r="W3083" s="1" t="str">
        <f>"0020"</f>
        <v>0020</v>
      </c>
      <c r="X3083" s="1" t="s">
        <v>29</v>
      </c>
    </row>
    <row r="3084" spans="1:24" x14ac:dyDescent="0.3">
      <c r="A3084" s="1" t="str">
        <f t="shared" si="588"/>
        <v>59822</v>
      </c>
      <c r="B3084" s="1" t="s">
        <v>39</v>
      </c>
      <c r="C3084" s="1" t="s">
        <v>40</v>
      </c>
      <c r="D3084" s="1" t="str">
        <f t="shared" si="590"/>
        <v>9801</v>
      </c>
      <c r="E3084" s="1" t="s">
        <v>25</v>
      </c>
      <c r="F3084" s="1" t="str">
        <f>"1078532017"</f>
        <v>1078532017</v>
      </c>
      <c r="G3084" s="1" t="s">
        <v>33</v>
      </c>
      <c r="H3084" s="1" t="str">
        <f t="shared" si="586"/>
        <v>20220914</v>
      </c>
      <c r="I3084" s="1" t="str">
        <f>"123423"</f>
        <v>123423</v>
      </c>
      <c r="J3084" s="1" t="s">
        <v>27</v>
      </c>
      <c r="K3084" s="1" t="s">
        <v>28</v>
      </c>
      <c r="L3084" s="1" t="str">
        <f t="shared" si="587"/>
        <v>20220914</v>
      </c>
      <c r="M3084" s="1" t="str">
        <f>"125220"</f>
        <v>125220</v>
      </c>
      <c r="N3084" s="1" t="s">
        <v>91</v>
      </c>
      <c r="O3084" s="1" t="s">
        <v>45</v>
      </c>
      <c r="P3084" s="1" t="s">
        <v>55</v>
      </c>
      <c r="Q3084" s="1">
        <v>25</v>
      </c>
      <c r="R3084" s="1">
        <v>25</v>
      </c>
      <c r="S3084" s="1">
        <v>0</v>
      </c>
      <c r="T3084" s="1">
        <v>0</v>
      </c>
      <c r="U3084" s="1">
        <v>0</v>
      </c>
      <c r="V3084" s="1" t="str">
        <f t="shared" si="589"/>
        <v>里程去程</v>
      </c>
      <c r="W3084" s="1" t="str">
        <f t="shared" ref="W3084:W3091" si="591">"0120"</f>
        <v>0120</v>
      </c>
      <c r="X3084" s="1" t="s">
        <v>35</v>
      </c>
    </row>
    <row r="3085" spans="1:24" x14ac:dyDescent="0.3">
      <c r="A3085" s="1" t="str">
        <f t="shared" si="588"/>
        <v>59822</v>
      </c>
      <c r="B3085" s="1" t="s">
        <v>39</v>
      </c>
      <c r="C3085" s="1" t="s">
        <v>40</v>
      </c>
      <c r="D3085" s="1" t="str">
        <f t="shared" si="590"/>
        <v>9801</v>
      </c>
      <c r="E3085" s="1" t="s">
        <v>25</v>
      </c>
      <c r="F3085" s="1" t="str">
        <f>"620523025"</f>
        <v>620523025</v>
      </c>
      <c r="G3085" s="1" t="s">
        <v>33</v>
      </c>
      <c r="H3085" s="1" t="str">
        <f t="shared" si="586"/>
        <v>20220914</v>
      </c>
      <c r="I3085" s="1" t="str">
        <f>"123424"</f>
        <v>123424</v>
      </c>
      <c r="J3085" s="1" t="s">
        <v>27</v>
      </c>
      <c r="K3085" s="1" t="s">
        <v>28</v>
      </c>
      <c r="L3085" s="1" t="str">
        <f t="shared" si="587"/>
        <v>20220914</v>
      </c>
      <c r="M3085" s="1" t="str">
        <f>"125226"</f>
        <v>125226</v>
      </c>
      <c r="N3085" s="1" t="s">
        <v>91</v>
      </c>
      <c r="O3085" s="1" t="s">
        <v>45</v>
      </c>
      <c r="P3085" s="1" t="s">
        <v>55</v>
      </c>
      <c r="Q3085" s="1">
        <v>25</v>
      </c>
      <c r="R3085" s="1">
        <v>25</v>
      </c>
      <c r="S3085" s="1">
        <v>0</v>
      </c>
      <c r="T3085" s="1">
        <v>0</v>
      </c>
      <c r="U3085" s="1">
        <v>0</v>
      </c>
      <c r="V3085" s="1" t="str">
        <f t="shared" si="589"/>
        <v>里程去程</v>
      </c>
      <c r="W3085" s="1" t="str">
        <f t="shared" si="591"/>
        <v>0120</v>
      </c>
      <c r="X3085" s="1" t="s">
        <v>35</v>
      </c>
    </row>
    <row r="3086" spans="1:24" x14ac:dyDescent="0.3">
      <c r="A3086" s="1" t="str">
        <f t="shared" si="588"/>
        <v>59822</v>
      </c>
      <c r="B3086" s="1" t="s">
        <v>39</v>
      </c>
      <c r="C3086" s="1" t="s">
        <v>40</v>
      </c>
      <c r="D3086" s="1" t="str">
        <f t="shared" si="590"/>
        <v>9801</v>
      </c>
      <c r="E3086" s="1" t="s">
        <v>25</v>
      </c>
      <c r="F3086" s="1" t="str">
        <f>"1115744837"</f>
        <v>1115744837</v>
      </c>
      <c r="G3086" s="1" t="s">
        <v>26</v>
      </c>
      <c r="H3086" s="1" t="str">
        <f t="shared" si="586"/>
        <v>20220914</v>
      </c>
      <c r="I3086" s="1" t="str">
        <f>"123431"</f>
        <v>123431</v>
      </c>
      <c r="J3086" s="1" t="s">
        <v>27</v>
      </c>
      <c r="K3086" s="1" t="s">
        <v>28</v>
      </c>
      <c r="L3086" s="1" t="str">
        <f t="shared" si="587"/>
        <v>20220914</v>
      </c>
      <c r="M3086" s="1" t="str">
        <f>"125351"</f>
        <v>125351</v>
      </c>
      <c r="N3086" s="1" t="s">
        <v>91</v>
      </c>
      <c r="O3086" s="1" t="s">
        <v>45</v>
      </c>
      <c r="P3086" s="1" t="s">
        <v>55</v>
      </c>
      <c r="Q3086" s="1">
        <v>13</v>
      </c>
      <c r="R3086" s="1">
        <v>13</v>
      </c>
      <c r="S3086" s="1">
        <v>0</v>
      </c>
      <c r="T3086" s="1">
        <v>0</v>
      </c>
      <c r="U3086" s="1">
        <v>0</v>
      </c>
      <c r="V3086" s="1" t="str">
        <f t="shared" si="589"/>
        <v>里程去程</v>
      </c>
      <c r="W3086" s="1" t="str">
        <f t="shared" si="591"/>
        <v>0120</v>
      </c>
      <c r="X3086" s="1" t="s">
        <v>35</v>
      </c>
    </row>
    <row r="3087" spans="1:24" x14ac:dyDescent="0.3">
      <c r="A3087" s="1" t="str">
        <f t="shared" si="588"/>
        <v>59822</v>
      </c>
      <c r="B3087" s="1" t="s">
        <v>39</v>
      </c>
      <c r="C3087" s="1" t="s">
        <v>40</v>
      </c>
      <c r="D3087" s="1" t="str">
        <f t="shared" si="590"/>
        <v>9801</v>
      </c>
      <c r="E3087" s="1" t="s">
        <v>25</v>
      </c>
      <c r="F3087" s="1" t="str">
        <f>"807380965"</f>
        <v>807380965</v>
      </c>
      <c r="G3087" s="1" t="s">
        <v>26</v>
      </c>
      <c r="H3087" s="1" t="str">
        <f t="shared" si="586"/>
        <v>20220914</v>
      </c>
      <c r="I3087" s="1" t="str">
        <f>"123445"</f>
        <v>123445</v>
      </c>
      <c r="J3087" s="1" t="s">
        <v>27</v>
      </c>
      <c r="K3087" s="1" t="s">
        <v>28</v>
      </c>
      <c r="L3087" s="1" t="str">
        <f t="shared" si="587"/>
        <v>20220914</v>
      </c>
      <c r="M3087" s="1" t="str">
        <f>"125317"</f>
        <v>125317</v>
      </c>
      <c r="N3087" s="1" t="s">
        <v>91</v>
      </c>
      <c r="O3087" s="1" t="s">
        <v>45</v>
      </c>
      <c r="P3087" s="1" t="s">
        <v>55</v>
      </c>
      <c r="Q3087" s="1">
        <v>13</v>
      </c>
      <c r="R3087" s="1">
        <v>13</v>
      </c>
      <c r="S3087" s="1">
        <v>0</v>
      </c>
      <c r="T3087" s="1">
        <v>0</v>
      </c>
      <c r="U3087" s="1">
        <v>0</v>
      </c>
      <c r="V3087" s="1" t="str">
        <f t="shared" si="589"/>
        <v>里程去程</v>
      </c>
      <c r="W3087" s="1" t="str">
        <f t="shared" si="591"/>
        <v>0120</v>
      </c>
      <c r="X3087" s="1" t="s">
        <v>35</v>
      </c>
    </row>
    <row r="3088" spans="1:24" x14ac:dyDescent="0.3">
      <c r="A3088" s="1" t="str">
        <f t="shared" si="588"/>
        <v>59822</v>
      </c>
      <c r="B3088" s="1" t="s">
        <v>39</v>
      </c>
      <c r="C3088" s="1" t="s">
        <v>40</v>
      </c>
      <c r="D3088" s="1" t="str">
        <f t="shared" si="590"/>
        <v>9801</v>
      </c>
      <c r="E3088" s="1" t="s">
        <v>25</v>
      </c>
      <c r="F3088" s="1" t="str">
        <f>"1727339829"</f>
        <v>1727339829</v>
      </c>
      <c r="G3088" s="1" t="s">
        <v>33</v>
      </c>
      <c r="H3088" s="1" t="str">
        <f t="shared" si="586"/>
        <v>20220914</v>
      </c>
      <c r="I3088" s="1" t="str">
        <f>"123447"</f>
        <v>123447</v>
      </c>
      <c r="J3088" s="1" t="s">
        <v>27</v>
      </c>
      <c r="K3088" s="1" t="s">
        <v>28</v>
      </c>
      <c r="L3088" s="1" t="str">
        <f t="shared" si="587"/>
        <v>20220914</v>
      </c>
      <c r="M3088" s="1" t="str">
        <f>"125314"</f>
        <v>125314</v>
      </c>
      <c r="N3088" s="1" t="s">
        <v>91</v>
      </c>
      <c r="O3088" s="1" t="s">
        <v>45</v>
      </c>
      <c r="P3088" s="1" t="s">
        <v>55</v>
      </c>
      <c r="Q3088" s="1">
        <v>25</v>
      </c>
      <c r="R3088" s="1">
        <v>25</v>
      </c>
      <c r="S3088" s="1">
        <v>0</v>
      </c>
      <c r="T3088" s="1">
        <v>0</v>
      </c>
      <c r="U3088" s="1">
        <v>0</v>
      </c>
      <c r="V3088" s="1" t="str">
        <f t="shared" si="589"/>
        <v>里程去程</v>
      </c>
      <c r="W3088" s="1" t="str">
        <f t="shared" si="591"/>
        <v>0120</v>
      </c>
      <c r="X3088" s="1" t="s">
        <v>35</v>
      </c>
    </row>
    <row r="3089" spans="1:24" x14ac:dyDescent="0.3">
      <c r="A3089" s="1" t="str">
        <f t="shared" si="588"/>
        <v>59822</v>
      </c>
      <c r="B3089" s="1" t="s">
        <v>39</v>
      </c>
      <c r="C3089" s="1" t="s">
        <v>40</v>
      </c>
      <c r="D3089" s="1" t="str">
        <f t="shared" si="590"/>
        <v>9801</v>
      </c>
      <c r="E3089" s="1" t="s">
        <v>25</v>
      </c>
      <c r="F3089" s="1" t="str">
        <f>"1196061205"</f>
        <v>1196061205</v>
      </c>
      <c r="G3089" s="1" t="s">
        <v>33</v>
      </c>
      <c r="H3089" s="1" t="str">
        <f t="shared" si="586"/>
        <v>20220914</v>
      </c>
      <c r="I3089" s="1" t="str">
        <f>"123502"</f>
        <v>123502</v>
      </c>
      <c r="J3089" s="1" t="s">
        <v>27</v>
      </c>
      <c r="K3089" s="1" t="s">
        <v>28</v>
      </c>
      <c r="L3089" s="1" t="str">
        <f t="shared" si="587"/>
        <v>20220914</v>
      </c>
      <c r="M3089" s="1" t="str">
        <f>"125355"</f>
        <v>125355</v>
      </c>
      <c r="N3089" s="1" t="s">
        <v>91</v>
      </c>
      <c r="O3089" s="1" t="s">
        <v>45</v>
      </c>
      <c r="P3089" s="1" t="s">
        <v>55</v>
      </c>
      <c r="Q3089" s="1">
        <v>25</v>
      </c>
      <c r="R3089" s="1">
        <v>25</v>
      </c>
      <c r="S3089" s="1">
        <v>0</v>
      </c>
      <c r="T3089" s="1">
        <v>0</v>
      </c>
      <c r="U3089" s="1">
        <v>0</v>
      </c>
      <c r="V3089" s="1" t="str">
        <f t="shared" si="589"/>
        <v>里程去程</v>
      </c>
      <c r="W3089" s="1" t="str">
        <f t="shared" si="591"/>
        <v>0120</v>
      </c>
      <c r="X3089" s="1" t="s">
        <v>35</v>
      </c>
    </row>
    <row r="3090" spans="1:24" x14ac:dyDescent="0.3">
      <c r="A3090" s="1" t="str">
        <f t="shared" si="588"/>
        <v>59822</v>
      </c>
      <c r="B3090" s="1" t="s">
        <v>39</v>
      </c>
      <c r="C3090" s="1" t="s">
        <v>40</v>
      </c>
      <c r="D3090" s="1" t="str">
        <f t="shared" si="590"/>
        <v>9801</v>
      </c>
      <c r="E3090" s="1" t="s">
        <v>25</v>
      </c>
      <c r="F3090" s="1" t="str">
        <f>"793634709"</f>
        <v>793634709</v>
      </c>
      <c r="G3090" s="1" t="s">
        <v>26</v>
      </c>
      <c r="H3090" s="1" t="str">
        <f t="shared" si="586"/>
        <v>20220914</v>
      </c>
      <c r="I3090" s="1" t="str">
        <f>"123506"</f>
        <v>123506</v>
      </c>
      <c r="J3090" s="1" t="s">
        <v>27</v>
      </c>
      <c r="K3090" s="1" t="s">
        <v>28</v>
      </c>
      <c r="L3090" s="1" t="str">
        <f t="shared" si="587"/>
        <v>20220914</v>
      </c>
      <c r="M3090" s="1" t="str">
        <f>"125339"</f>
        <v>125339</v>
      </c>
      <c r="N3090" s="1" t="s">
        <v>91</v>
      </c>
      <c r="O3090" s="1" t="s">
        <v>45</v>
      </c>
      <c r="P3090" s="1" t="s">
        <v>55</v>
      </c>
      <c r="Q3090" s="1">
        <v>13</v>
      </c>
      <c r="R3090" s="1">
        <v>13</v>
      </c>
      <c r="S3090" s="1">
        <v>0</v>
      </c>
      <c r="T3090" s="1">
        <v>0</v>
      </c>
      <c r="U3090" s="1">
        <v>0</v>
      </c>
      <c r="V3090" s="1" t="str">
        <f t="shared" si="589"/>
        <v>里程去程</v>
      </c>
      <c r="W3090" s="1" t="str">
        <f t="shared" si="591"/>
        <v>0120</v>
      </c>
      <c r="X3090" s="1" t="s">
        <v>35</v>
      </c>
    </row>
    <row r="3091" spans="1:24" x14ac:dyDescent="0.3">
      <c r="A3091" s="1" t="str">
        <f t="shared" si="588"/>
        <v>59822</v>
      </c>
      <c r="B3091" s="1" t="s">
        <v>39</v>
      </c>
      <c r="C3091" s="1" t="s">
        <v>40</v>
      </c>
      <c r="D3091" s="1" t="str">
        <f t="shared" si="590"/>
        <v>9801</v>
      </c>
      <c r="E3091" s="1" t="s">
        <v>25</v>
      </c>
      <c r="F3091" s="1" t="str">
        <f>"1075385649"</f>
        <v>1075385649</v>
      </c>
      <c r="G3091" s="1" t="s">
        <v>33</v>
      </c>
      <c r="H3091" s="1" t="str">
        <f t="shared" si="586"/>
        <v>20220914</v>
      </c>
      <c r="I3091" s="1" t="str">
        <f>"123511"</f>
        <v>123511</v>
      </c>
      <c r="J3091" s="1" t="s">
        <v>27</v>
      </c>
      <c r="K3091" s="1" t="s">
        <v>28</v>
      </c>
      <c r="L3091" s="1" t="str">
        <f t="shared" si="587"/>
        <v>20220914</v>
      </c>
      <c r="M3091" s="1" t="str">
        <f>"125342"</f>
        <v>125342</v>
      </c>
      <c r="N3091" s="1" t="s">
        <v>91</v>
      </c>
      <c r="O3091" s="1" t="s">
        <v>45</v>
      </c>
      <c r="P3091" s="1" t="s">
        <v>55</v>
      </c>
      <c r="Q3091" s="1">
        <v>25</v>
      </c>
      <c r="R3091" s="1">
        <v>25</v>
      </c>
      <c r="S3091" s="1">
        <v>0</v>
      </c>
      <c r="T3091" s="1">
        <v>0</v>
      </c>
      <c r="U3091" s="1">
        <v>0</v>
      </c>
      <c r="V3091" s="1" t="str">
        <f t="shared" si="589"/>
        <v>里程去程</v>
      </c>
      <c r="W3091" s="1" t="str">
        <f t="shared" si="591"/>
        <v>0120</v>
      </c>
      <c r="X3091" s="1" t="s">
        <v>35</v>
      </c>
    </row>
    <row r="3092" spans="1:24" x14ac:dyDescent="0.3">
      <c r="A3092" s="1" t="str">
        <f t="shared" si="588"/>
        <v>59822</v>
      </c>
      <c r="B3092" s="1" t="s">
        <v>39</v>
      </c>
      <c r="C3092" s="1" t="s">
        <v>40</v>
      </c>
      <c r="D3092" s="1" t="str">
        <f t="shared" si="590"/>
        <v>9801</v>
      </c>
      <c r="E3092" s="1" t="s">
        <v>25</v>
      </c>
      <c r="F3092" s="1" t="str">
        <f>"668637157"</f>
        <v>668637157</v>
      </c>
      <c r="G3092" s="1" t="s">
        <v>33</v>
      </c>
      <c r="H3092" s="1" t="str">
        <f t="shared" si="586"/>
        <v>20220914</v>
      </c>
      <c r="I3092" s="1" t="str">
        <f>"123513"</f>
        <v>123513</v>
      </c>
      <c r="J3092" s="1" t="s">
        <v>27</v>
      </c>
      <c r="K3092" s="1" t="s">
        <v>28</v>
      </c>
      <c r="L3092" s="1" t="str">
        <f t="shared" si="587"/>
        <v>20220914</v>
      </c>
      <c r="M3092" s="1" t="str">
        <f>"125345"</f>
        <v>125345</v>
      </c>
      <c r="N3092" s="1" t="s">
        <v>91</v>
      </c>
      <c r="O3092" s="1" t="s">
        <v>45</v>
      </c>
      <c r="P3092" s="1" t="s">
        <v>55</v>
      </c>
      <c r="Q3092" s="1">
        <v>25</v>
      </c>
      <c r="R3092" s="1">
        <v>25</v>
      </c>
      <c r="S3092" s="1">
        <v>0</v>
      </c>
      <c r="T3092" s="1">
        <v>0</v>
      </c>
      <c r="U3092" s="1">
        <v>0</v>
      </c>
      <c r="V3092" s="1" t="str">
        <f t="shared" si="589"/>
        <v>里程去程</v>
      </c>
      <c r="W3092" s="1" t="str">
        <f>"2320"</f>
        <v>2320</v>
      </c>
      <c r="X3092" s="1" t="s">
        <v>35</v>
      </c>
    </row>
    <row r="3093" spans="1:24" x14ac:dyDescent="0.3">
      <c r="A3093" s="1" t="str">
        <f t="shared" si="588"/>
        <v>59822</v>
      </c>
      <c r="B3093" s="1" t="s">
        <v>39</v>
      </c>
      <c r="C3093" s="1" t="s">
        <v>40</v>
      </c>
      <c r="D3093" s="1" t="str">
        <f t="shared" si="590"/>
        <v>9801</v>
      </c>
      <c r="E3093" s="1" t="s">
        <v>25</v>
      </c>
      <c r="F3093" s="1" t="str">
        <f>"1023323605"</f>
        <v>1023323605</v>
      </c>
      <c r="G3093" s="1" t="s">
        <v>33</v>
      </c>
      <c r="H3093" s="1" t="str">
        <f t="shared" si="586"/>
        <v>20220914</v>
      </c>
      <c r="I3093" s="1" t="str">
        <f>"123519"</f>
        <v>123519</v>
      </c>
      <c r="J3093" s="1" t="s">
        <v>27</v>
      </c>
      <c r="K3093" s="1" t="s">
        <v>28</v>
      </c>
      <c r="L3093" s="1" t="str">
        <f t="shared" si="587"/>
        <v>20220914</v>
      </c>
      <c r="M3093" s="1" t="str">
        <f>"125403"</f>
        <v>125403</v>
      </c>
      <c r="N3093" s="1" t="s">
        <v>91</v>
      </c>
      <c r="O3093" s="1" t="s">
        <v>45</v>
      </c>
      <c r="P3093" s="1" t="s">
        <v>55</v>
      </c>
      <c r="Q3093" s="1">
        <v>25</v>
      </c>
      <c r="R3093" s="1">
        <v>25</v>
      </c>
      <c r="S3093" s="1">
        <v>0</v>
      </c>
      <c r="T3093" s="1">
        <v>0</v>
      </c>
      <c r="U3093" s="1">
        <v>0</v>
      </c>
      <c r="V3093" s="1" t="str">
        <f t="shared" si="589"/>
        <v>里程去程</v>
      </c>
      <c r="W3093" s="1" t="str">
        <f>"0120"</f>
        <v>0120</v>
      </c>
      <c r="X3093" s="1" t="s">
        <v>35</v>
      </c>
    </row>
    <row r="3094" spans="1:24" x14ac:dyDescent="0.3">
      <c r="A3094" s="1" t="str">
        <f t="shared" si="588"/>
        <v>59822</v>
      </c>
      <c r="B3094" s="1" t="s">
        <v>39</v>
      </c>
      <c r="C3094" s="1" t="s">
        <v>40</v>
      </c>
      <c r="D3094" s="1" t="str">
        <f t="shared" si="590"/>
        <v>9801</v>
      </c>
      <c r="E3094" s="1" t="s">
        <v>25</v>
      </c>
      <c r="F3094" s="1" t="str">
        <f>"750279361"</f>
        <v>750279361</v>
      </c>
      <c r="G3094" s="1" t="s">
        <v>33</v>
      </c>
      <c r="H3094" s="1" t="str">
        <f t="shared" si="586"/>
        <v>20220914</v>
      </c>
      <c r="I3094" s="1" t="str">
        <f>"123522"</f>
        <v>123522</v>
      </c>
      <c r="J3094" s="1" t="s">
        <v>27</v>
      </c>
      <c r="K3094" s="1" t="s">
        <v>28</v>
      </c>
      <c r="L3094" s="1" t="str">
        <f t="shared" si="587"/>
        <v>20220914</v>
      </c>
      <c r="M3094" s="1" t="str">
        <f>"125406"</f>
        <v>125406</v>
      </c>
      <c r="N3094" s="1" t="s">
        <v>91</v>
      </c>
      <c r="O3094" s="1" t="s">
        <v>45</v>
      </c>
      <c r="P3094" s="1" t="s">
        <v>55</v>
      </c>
      <c r="Q3094" s="1">
        <v>25</v>
      </c>
      <c r="R3094" s="1">
        <v>25</v>
      </c>
      <c r="S3094" s="1">
        <v>0</v>
      </c>
      <c r="T3094" s="1">
        <v>0</v>
      </c>
      <c r="U3094" s="1">
        <v>0</v>
      </c>
      <c r="V3094" s="1" t="str">
        <f t="shared" si="589"/>
        <v>里程去程</v>
      </c>
      <c r="W3094" s="1" t="str">
        <f>"0220"</f>
        <v>0220</v>
      </c>
      <c r="X3094" s="1" t="s">
        <v>35</v>
      </c>
    </row>
    <row r="3095" spans="1:24" x14ac:dyDescent="0.3">
      <c r="A3095" s="1" t="str">
        <f t="shared" si="588"/>
        <v>59822</v>
      </c>
      <c r="B3095" s="1" t="s">
        <v>39</v>
      </c>
      <c r="C3095" s="1" t="s">
        <v>40</v>
      </c>
      <c r="D3095" s="1" t="str">
        <f t="shared" si="590"/>
        <v>9801</v>
      </c>
      <c r="E3095" s="1" t="s">
        <v>25</v>
      </c>
      <c r="F3095" s="1" t="str">
        <f>"3478009790"</f>
        <v>3478009790</v>
      </c>
      <c r="G3095" s="1" t="s">
        <v>33</v>
      </c>
      <c r="H3095" s="1" t="str">
        <f t="shared" si="586"/>
        <v>20220914</v>
      </c>
      <c r="I3095" s="1" t="str">
        <f>"123526"</f>
        <v>123526</v>
      </c>
      <c r="J3095" s="1" t="s">
        <v>27</v>
      </c>
      <c r="K3095" s="1" t="s">
        <v>28</v>
      </c>
      <c r="L3095" s="1" t="str">
        <f t="shared" si="587"/>
        <v>20220914</v>
      </c>
      <c r="M3095" s="1" t="str">
        <f>"125309"</f>
        <v>125309</v>
      </c>
      <c r="N3095" s="1" t="s">
        <v>91</v>
      </c>
      <c r="O3095" s="1" t="s">
        <v>45</v>
      </c>
      <c r="P3095" s="1" t="s">
        <v>55</v>
      </c>
      <c r="Q3095" s="1">
        <v>25</v>
      </c>
      <c r="R3095" s="1">
        <v>25</v>
      </c>
      <c r="S3095" s="1">
        <v>0</v>
      </c>
      <c r="T3095" s="1">
        <v>0</v>
      </c>
      <c r="U3095" s="1">
        <v>0</v>
      </c>
      <c r="V3095" s="1" t="str">
        <f t="shared" si="589"/>
        <v>里程去程</v>
      </c>
      <c r="W3095" s="1" t="str">
        <f>"0220"</f>
        <v>0220</v>
      </c>
      <c r="X3095" s="1" t="s">
        <v>35</v>
      </c>
    </row>
    <row r="3096" spans="1:24" x14ac:dyDescent="0.3">
      <c r="A3096" s="1" t="str">
        <f t="shared" si="588"/>
        <v>59822</v>
      </c>
      <c r="B3096" s="1" t="s">
        <v>39</v>
      </c>
      <c r="C3096" s="1" t="s">
        <v>40</v>
      </c>
      <c r="D3096" s="1" t="str">
        <f t="shared" si="590"/>
        <v>9801</v>
      </c>
      <c r="E3096" s="1" t="s">
        <v>25</v>
      </c>
      <c r="F3096" s="1" t="str">
        <f>"1014787509"</f>
        <v>1014787509</v>
      </c>
      <c r="G3096" s="1" t="s">
        <v>33</v>
      </c>
      <c r="H3096" s="1" t="str">
        <f t="shared" si="586"/>
        <v>20220914</v>
      </c>
      <c r="I3096" s="1" t="str">
        <f>"123529"</f>
        <v>123529</v>
      </c>
      <c r="J3096" s="1" t="s">
        <v>27</v>
      </c>
      <c r="K3096" s="1" t="s">
        <v>28</v>
      </c>
      <c r="L3096" s="1" t="str">
        <f t="shared" si="587"/>
        <v>20220914</v>
      </c>
      <c r="M3096" s="1" t="str">
        <f>"125349"</f>
        <v>125349</v>
      </c>
      <c r="N3096" s="1" t="s">
        <v>91</v>
      </c>
      <c r="O3096" s="1" t="s">
        <v>45</v>
      </c>
      <c r="P3096" s="1" t="s">
        <v>55</v>
      </c>
      <c r="Q3096" s="1">
        <v>25</v>
      </c>
      <c r="R3096" s="1">
        <v>25</v>
      </c>
      <c r="S3096" s="1">
        <v>0</v>
      </c>
      <c r="T3096" s="1">
        <v>0</v>
      </c>
      <c r="U3096" s="1">
        <v>0</v>
      </c>
      <c r="V3096" s="1" t="str">
        <f t="shared" si="589"/>
        <v>里程去程</v>
      </c>
      <c r="W3096" s="1" t="str">
        <f>"0220"</f>
        <v>0220</v>
      </c>
      <c r="X3096" s="1" t="s">
        <v>35</v>
      </c>
    </row>
    <row r="3097" spans="1:24" x14ac:dyDescent="0.3">
      <c r="A3097" s="1" t="str">
        <f t="shared" si="588"/>
        <v>59822</v>
      </c>
      <c r="B3097" s="1" t="s">
        <v>39</v>
      </c>
      <c r="C3097" s="1" t="s">
        <v>40</v>
      </c>
      <c r="D3097" s="1" t="str">
        <f t="shared" si="590"/>
        <v>9801</v>
      </c>
      <c r="E3097" s="1" t="s">
        <v>25</v>
      </c>
      <c r="F3097" s="1" t="str">
        <f>"1049707637"</f>
        <v>1049707637</v>
      </c>
      <c r="G3097" s="1" t="s">
        <v>26</v>
      </c>
      <c r="H3097" s="1" t="str">
        <f t="shared" si="586"/>
        <v>20220914</v>
      </c>
      <c r="I3097" s="1" t="str">
        <f>"123534"</f>
        <v>123534</v>
      </c>
      <c r="J3097" s="1" t="s">
        <v>27</v>
      </c>
      <c r="K3097" s="1" t="s">
        <v>28</v>
      </c>
      <c r="L3097" s="1" t="str">
        <f t="shared" si="587"/>
        <v>20220914</v>
      </c>
      <c r="M3097" s="1" t="str">
        <f>"125133"</f>
        <v>125133</v>
      </c>
      <c r="N3097" s="1" t="s">
        <v>91</v>
      </c>
      <c r="O3097" s="1" t="s">
        <v>45</v>
      </c>
      <c r="P3097" s="1" t="s">
        <v>55</v>
      </c>
      <c r="Q3097" s="1">
        <v>13</v>
      </c>
      <c r="R3097" s="1">
        <v>13</v>
      </c>
      <c r="S3097" s="1">
        <v>0</v>
      </c>
      <c r="T3097" s="1">
        <v>0</v>
      </c>
      <c r="U3097" s="1">
        <v>0</v>
      </c>
      <c r="V3097" s="1" t="str">
        <f t="shared" si="589"/>
        <v>里程去程</v>
      </c>
      <c r="W3097" s="1" t="str">
        <f>"0e20"</f>
        <v>0e20</v>
      </c>
      <c r="X3097" s="1" t="s">
        <v>35</v>
      </c>
    </row>
    <row r="3098" spans="1:24" x14ac:dyDescent="0.3">
      <c r="A3098" s="1" t="str">
        <f t="shared" si="588"/>
        <v>59822</v>
      </c>
      <c r="B3098" s="1" t="s">
        <v>39</v>
      </c>
      <c r="C3098" s="1" t="s">
        <v>40</v>
      </c>
      <c r="D3098" s="1" t="str">
        <f t="shared" si="590"/>
        <v>9801</v>
      </c>
      <c r="E3098" s="1" t="s">
        <v>25</v>
      </c>
      <c r="F3098" s="1" t="str">
        <f>"1231344821"</f>
        <v>1231344821</v>
      </c>
      <c r="G3098" s="1" t="s">
        <v>74</v>
      </c>
      <c r="H3098" s="1" t="str">
        <f t="shared" si="586"/>
        <v>20220914</v>
      </c>
      <c r="I3098" s="1" t="str">
        <f>"123536"</f>
        <v>123536</v>
      </c>
      <c r="J3098" s="1" t="s">
        <v>27</v>
      </c>
      <c r="K3098" s="1" t="s">
        <v>28</v>
      </c>
      <c r="L3098" s="1" t="str">
        <f t="shared" si="587"/>
        <v>20220914</v>
      </c>
      <c r="M3098" s="1" t="str">
        <f>"125109"</f>
        <v>125109</v>
      </c>
      <c r="N3098" s="1" t="s">
        <v>91</v>
      </c>
      <c r="O3098" s="1" t="s">
        <v>45</v>
      </c>
      <c r="P3098" s="1" t="s">
        <v>55</v>
      </c>
      <c r="Q3098" s="1">
        <v>13</v>
      </c>
      <c r="R3098" s="1">
        <v>13</v>
      </c>
      <c r="S3098" s="1">
        <v>0</v>
      </c>
      <c r="T3098" s="1">
        <v>0</v>
      </c>
      <c r="U3098" s="1">
        <v>0</v>
      </c>
      <c r="V3098" s="1" t="str">
        <f t="shared" si="589"/>
        <v>里程去程</v>
      </c>
      <c r="W3098" s="1" t="str">
        <f>"0820"</f>
        <v>0820</v>
      </c>
      <c r="X3098" s="1" t="s">
        <v>35</v>
      </c>
    </row>
    <row r="3099" spans="1:24" x14ac:dyDescent="0.3">
      <c r="A3099" s="1" t="str">
        <f t="shared" si="588"/>
        <v>59822</v>
      </c>
      <c r="B3099" s="1" t="s">
        <v>39</v>
      </c>
      <c r="C3099" s="1" t="s">
        <v>40</v>
      </c>
      <c r="D3099" s="1" t="str">
        <f t="shared" si="590"/>
        <v>9801</v>
      </c>
      <c r="E3099" s="1" t="s">
        <v>25</v>
      </c>
      <c r="F3099" s="1" t="str">
        <f>"1176944773"</f>
        <v>1176944773</v>
      </c>
      <c r="G3099" s="1" t="s">
        <v>102</v>
      </c>
      <c r="H3099" s="1" t="str">
        <f t="shared" si="586"/>
        <v>20220914</v>
      </c>
      <c r="I3099" s="1" t="str">
        <f>"123542"</f>
        <v>123542</v>
      </c>
      <c r="J3099" s="1" t="s">
        <v>27</v>
      </c>
      <c r="K3099" s="1" t="s">
        <v>28</v>
      </c>
      <c r="L3099" s="1" t="str">
        <f t="shared" si="587"/>
        <v>20220914</v>
      </c>
      <c r="M3099" s="1" t="str">
        <f>"125254"</f>
        <v>125254</v>
      </c>
      <c r="N3099" s="1" t="s">
        <v>91</v>
      </c>
      <c r="O3099" s="1" t="s">
        <v>45</v>
      </c>
      <c r="P3099" s="1" t="s">
        <v>55</v>
      </c>
      <c r="Q3099" s="1">
        <v>25</v>
      </c>
      <c r="R3099" s="1">
        <v>25</v>
      </c>
      <c r="S3099" s="1">
        <v>0</v>
      </c>
      <c r="T3099" s="1">
        <v>0</v>
      </c>
      <c r="U3099" s="1">
        <v>0</v>
      </c>
      <c r="V3099" s="1" t="str">
        <f t="shared" si="589"/>
        <v>里程去程</v>
      </c>
      <c r="W3099" s="1" t="str">
        <f>"0820"</f>
        <v>0820</v>
      </c>
      <c r="X3099" s="1" t="s">
        <v>35</v>
      </c>
    </row>
    <row r="3100" spans="1:24" x14ac:dyDescent="0.3">
      <c r="A3100" s="1" t="str">
        <f t="shared" si="588"/>
        <v>59822</v>
      </c>
      <c r="B3100" s="1" t="s">
        <v>39</v>
      </c>
      <c r="C3100" s="1" t="s">
        <v>40</v>
      </c>
      <c r="D3100" s="1" t="str">
        <f t="shared" si="590"/>
        <v>9801</v>
      </c>
      <c r="E3100" s="1" t="s">
        <v>25</v>
      </c>
      <c r="F3100" s="1" t="str">
        <f>"1737814858"</f>
        <v>1737814858</v>
      </c>
      <c r="G3100" s="1" t="s">
        <v>33</v>
      </c>
      <c r="H3100" s="1" t="str">
        <f t="shared" si="586"/>
        <v>20220914</v>
      </c>
      <c r="I3100" s="1" t="str">
        <f>"123544"</f>
        <v>123544</v>
      </c>
      <c r="J3100" s="1" t="s">
        <v>27</v>
      </c>
      <c r="K3100" s="1" t="s">
        <v>28</v>
      </c>
      <c r="L3100" s="1" t="str">
        <f t="shared" si="587"/>
        <v>20220914</v>
      </c>
      <c r="M3100" s="1" t="str">
        <f>"125358"</f>
        <v>125358</v>
      </c>
      <c r="N3100" s="1" t="s">
        <v>91</v>
      </c>
      <c r="O3100" s="1" t="s">
        <v>45</v>
      </c>
      <c r="P3100" s="1" t="s">
        <v>55</v>
      </c>
      <c r="Q3100" s="1">
        <v>25</v>
      </c>
      <c r="R3100" s="1">
        <v>25</v>
      </c>
      <c r="S3100" s="1">
        <v>0</v>
      </c>
      <c r="T3100" s="1">
        <v>0</v>
      </c>
      <c r="U3100" s="1">
        <v>0</v>
      </c>
      <c r="V3100" s="1" t="str">
        <f t="shared" si="589"/>
        <v>里程去程</v>
      </c>
      <c r="W3100" s="1" t="str">
        <f>"0120"</f>
        <v>0120</v>
      </c>
      <c r="X3100" s="1" t="s">
        <v>35</v>
      </c>
    </row>
    <row r="3101" spans="1:24" x14ac:dyDescent="0.3">
      <c r="A3101" s="1" t="str">
        <f t="shared" si="588"/>
        <v>59822</v>
      </c>
      <c r="B3101" s="1" t="s">
        <v>39</v>
      </c>
      <c r="C3101" s="1" t="s">
        <v>40</v>
      </c>
      <c r="D3101" s="1" t="str">
        <f t="shared" si="590"/>
        <v>9801</v>
      </c>
      <c r="E3101" s="1" t="s">
        <v>25</v>
      </c>
      <c r="F3101" s="1" t="str">
        <f>"1263087829"</f>
        <v>1263087829</v>
      </c>
      <c r="G3101" s="1" t="s">
        <v>33</v>
      </c>
      <c r="H3101" s="1" t="str">
        <f t="shared" si="586"/>
        <v>20220914</v>
      </c>
      <c r="I3101" s="1" t="str">
        <f>"123552"</f>
        <v>123552</v>
      </c>
      <c r="J3101" s="1" t="s">
        <v>27</v>
      </c>
      <c r="K3101" s="1" t="s">
        <v>28</v>
      </c>
      <c r="L3101" s="1" t="str">
        <f t="shared" si="587"/>
        <v>20220914</v>
      </c>
      <c r="M3101" s="1" t="str">
        <f>"125242"</f>
        <v>125242</v>
      </c>
      <c r="N3101" s="1" t="s">
        <v>91</v>
      </c>
      <c r="O3101" s="1" t="s">
        <v>45</v>
      </c>
      <c r="P3101" s="1" t="s">
        <v>55</v>
      </c>
      <c r="Q3101" s="1">
        <v>25</v>
      </c>
      <c r="R3101" s="1">
        <v>0</v>
      </c>
      <c r="S3101" s="1">
        <v>25</v>
      </c>
      <c r="T3101" s="1">
        <v>0</v>
      </c>
      <c r="U3101" s="1">
        <v>0</v>
      </c>
      <c r="V3101" s="1" t="str">
        <f t="shared" si="589"/>
        <v>里程去程</v>
      </c>
      <c r="W3101" s="1" t="str">
        <f>"0820"</f>
        <v>0820</v>
      </c>
      <c r="X3101" s="1" t="s">
        <v>35</v>
      </c>
    </row>
    <row r="3102" spans="1:24" x14ac:dyDescent="0.3">
      <c r="A3102" s="1" t="str">
        <f t="shared" si="588"/>
        <v>59822</v>
      </c>
      <c r="B3102" s="1" t="s">
        <v>39</v>
      </c>
      <c r="C3102" s="1" t="s">
        <v>40</v>
      </c>
      <c r="D3102" s="1" t="str">
        <f t="shared" si="590"/>
        <v>9801</v>
      </c>
      <c r="E3102" s="1" t="s">
        <v>25</v>
      </c>
      <c r="F3102" s="1" t="str">
        <f>"1646286037"</f>
        <v>1646286037</v>
      </c>
      <c r="G3102" s="1" t="s">
        <v>26</v>
      </c>
      <c r="H3102" s="1" t="str">
        <f t="shared" si="586"/>
        <v>20220914</v>
      </c>
      <c r="I3102" s="1" t="str">
        <f>"123608"</f>
        <v>123608</v>
      </c>
      <c r="J3102" s="1" t="s">
        <v>27</v>
      </c>
      <c r="K3102" s="1" t="s">
        <v>28</v>
      </c>
      <c r="L3102" s="1" t="str">
        <f t="shared" si="587"/>
        <v>20220914</v>
      </c>
      <c r="M3102" s="1" t="str">
        <f>"125400"</f>
        <v>125400</v>
      </c>
      <c r="N3102" s="1" t="s">
        <v>91</v>
      </c>
      <c r="O3102" s="1" t="s">
        <v>45</v>
      </c>
      <c r="P3102" s="1" t="s">
        <v>55</v>
      </c>
      <c r="Q3102" s="1">
        <v>13</v>
      </c>
      <c r="R3102" s="1">
        <v>13</v>
      </c>
      <c r="S3102" s="1">
        <v>0</v>
      </c>
      <c r="T3102" s="1">
        <v>0</v>
      </c>
      <c r="U3102" s="1">
        <v>0</v>
      </c>
      <c r="V3102" s="1" t="str">
        <f t="shared" si="589"/>
        <v>里程去程</v>
      </c>
      <c r="W3102" s="1" t="str">
        <f>"0220"</f>
        <v>0220</v>
      </c>
      <c r="X3102" s="1" t="s">
        <v>35</v>
      </c>
    </row>
    <row r="3103" spans="1:24" x14ac:dyDescent="0.3">
      <c r="A3103" s="1" t="str">
        <f t="shared" si="588"/>
        <v>59822</v>
      </c>
      <c r="B3103" s="1" t="s">
        <v>39</v>
      </c>
      <c r="C3103" s="1" t="s">
        <v>40</v>
      </c>
      <c r="D3103" s="1" t="str">
        <f t="shared" si="590"/>
        <v>9801</v>
      </c>
      <c r="E3103" s="1" t="s">
        <v>25</v>
      </c>
      <c r="F3103" s="1" t="str">
        <f>"662576309"</f>
        <v>662576309</v>
      </c>
      <c r="G3103" s="1" t="s">
        <v>33</v>
      </c>
      <c r="H3103" s="1" t="str">
        <f t="shared" si="586"/>
        <v>20220914</v>
      </c>
      <c r="I3103" s="1" t="str">
        <f>"123613"</f>
        <v>123613</v>
      </c>
      <c r="J3103" s="1" t="s">
        <v>27</v>
      </c>
      <c r="K3103" s="1" t="s">
        <v>28</v>
      </c>
      <c r="L3103" s="1" t="str">
        <f t="shared" si="587"/>
        <v>20220914</v>
      </c>
      <c r="M3103" s="1" t="str">
        <f>"125331"</f>
        <v>125331</v>
      </c>
      <c r="N3103" s="1" t="s">
        <v>91</v>
      </c>
      <c r="O3103" s="1" t="s">
        <v>45</v>
      </c>
      <c r="P3103" s="1" t="s">
        <v>55</v>
      </c>
      <c r="Q3103" s="1">
        <v>25</v>
      </c>
      <c r="R3103" s="1">
        <v>25</v>
      </c>
      <c r="S3103" s="1">
        <v>0</v>
      </c>
      <c r="T3103" s="1">
        <v>0</v>
      </c>
      <c r="U3103" s="1">
        <v>0</v>
      </c>
      <c r="V3103" s="1" t="str">
        <f t="shared" si="589"/>
        <v>里程去程</v>
      </c>
      <c r="W3103" s="1" t="str">
        <f>"0220"</f>
        <v>0220</v>
      </c>
      <c r="X3103" s="1" t="s">
        <v>35</v>
      </c>
    </row>
    <row r="3104" spans="1:24" x14ac:dyDescent="0.3">
      <c r="A3104" s="1" t="str">
        <f t="shared" si="588"/>
        <v>59822</v>
      </c>
      <c r="B3104" s="1" t="s">
        <v>39</v>
      </c>
      <c r="C3104" s="1" t="s">
        <v>40</v>
      </c>
      <c r="D3104" s="1" t="str">
        <f t="shared" si="590"/>
        <v>9801</v>
      </c>
      <c r="E3104" s="1" t="s">
        <v>25</v>
      </c>
      <c r="F3104" s="1" t="str">
        <f>"2305384936"</f>
        <v>2305384936</v>
      </c>
      <c r="G3104" s="1" t="s">
        <v>33</v>
      </c>
      <c r="H3104" s="1" t="str">
        <f t="shared" si="586"/>
        <v>20220914</v>
      </c>
      <c r="I3104" s="1" t="str">
        <f>"123622"</f>
        <v>123622</v>
      </c>
      <c r="J3104" s="1" t="s">
        <v>27</v>
      </c>
      <c r="K3104" s="1" t="s">
        <v>28</v>
      </c>
      <c r="L3104" s="1" t="str">
        <f t="shared" si="587"/>
        <v>20220914</v>
      </c>
      <c r="M3104" s="1" t="str">
        <f>"125320"</f>
        <v>125320</v>
      </c>
      <c r="N3104" s="1" t="s">
        <v>91</v>
      </c>
      <c r="O3104" s="1" t="s">
        <v>45</v>
      </c>
      <c r="P3104" s="1" t="s">
        <v>55</v>
      </c>
      <c r="Q3104" s="1">
        <v>25</v>
      </c>
      <c r="R3104" s="1">
        <v>25</v>
      </c>
      <c r="S3104" s="1">
        <v>0</v>
      </c>
      <c r="T3104" s="1">
        <v>0</v>
      </c>
      <c r="U3104" s="1">
        <v>0</v>
      </c>
      <c r="V3104" s="1" t="str">
        <f t="shared" si="589"/>
        <v>里程去程</v>
      </c>
      <c r="W3104" s="1" t="str">
        <f>"0120"</f>
        <v>0120</v>
      </c>
      <c r="X3104" s="1" t="s">
        <v>35</v>
      </c>
    </row>
    <row r="3105" spans="1:24" x14ac:dyDescent="0.3">
      <c r="A3105" s="1" t="str">
        <f t="shared" si="588"/>
        <v>59822</v>
      </c>
      <c r="B3105" s="1" t="s">
        <v>39</v>
      </c>
      <c r="C3105" s="1" t="s">
        <v>40</v>
      </c>
      <c r="D3105" s="1" t="str">
        <f t="shared" si="590"/>
        <v>9801</v>
      </c>
      <c r="E3105" s="1" t="s">
        <v>25</v>
      </c>
      <c r="F3105" s="1" t="str">
        <f>"1020579813"</f>
        <v>1020579813</v>
      </c>
      <c r="G3105" s="1" t="s">
        <v>33</v>
      </c>
      <c r="H3105" s="1" t="str">
        <f t="shared" si="586"/>
        <v>20220914</v>
      </c>
      <c r="I3105" s="1" t="str">
        <f>"123629"</f>
        <v>123629</v>
      </c>
      <c r="J3105" s="1" t="s">
        <v>27</v>
      </c>
      <c r="K3105" s="1" t="s">
        <v>28</v>
      </c>
      <c r="L3105" s="1" t="str">
        <f t="shared" si="587"/>
        <v>20220914</v>
      </c>
      <c r="M3105" s="1" t="str">
        <f>"125311"</f>
        <v>125311</v>
      </c>
      <c r="N3105" s="1" t="s">
        <v>91</v>
      </c>
      <c r="O3105" s="1" t="s">
        <v>45</v>
      </c>
      <c r="P3105" s="1" t="s">
        <v>55</v>
      </c>
      <c r="Q3105" s="1">
        <v>25</v>
      </c>
      <c r="R3105" s="1">
        <v>25</v>
      </c>
      <c r="S3105" s="1">
        <v>0</v>
      </c>
      <c r="T3105" s="1">
        <v>0</v>
      </c>
      <c r="U3105" s="1">
        <v>0</v>
      </c>
      <c r="V3105" s="1" t="str">
        <f t="shared" si="589"/>
        <v>里程去程</v>
      </c>
      <c r="W3105" s="1" t="str">
        <f>"0120"</f>
        <v>0120</v>
      </c>
      <c r="X3105" s="1" t="s">
        <v>35</v>
      </c>
    </row>
    <row r="3106" spans="1:24" x14ac:dyDescent="0.3">
      <c r="A3106" s="1" t="str">
        <f t="shared" si="588"/>
        <v>59822</v>
      </c>
      <c r="B3106" s="1" t="s">
        <v>39</v>
      </c>
      <c r="C3106" s="1" t="s">
        <v>40</v>
      </c>
      <c r="D3106" s="1" t="str">
        <f t="shared" si="590"/>
        <v>9801</v>
      </c>
      <c r="E3106" s="1" t="s">
        <v>25</v>
      </c>
      <c r="F3106" s="1" t="str">
        <f>"1067718309"</f>
        <v>1067718309</v>
      </c>
      <c r="G3106" s="1" t="s">
        <v>33</v>
      </c>
      <c r="H3106" s="1" t="str">
        <f t="shared" si="586"/>
        <v>20220914</v>
      </c>
      <c r="I3106" s="1" t="str">
        <f>"123632"</f>
        <v>123632</v>
      </c>
      <c r="J3106" s="1" t="s">
        <v>27</v>
      </c>
      <c r="K3106" s="1" t="s">
        <v>28</v>
      </c>
      <c r="L3106" s="1" t="str">
        <f t="shared" si="587"/>
        <v>20220914</v>
      </c>
      <c r="M3106" s="1" t="str">
        <f>"125323"</f>
        <v>125323</v>
      </c>
      <c r="N3106" s="1" t="s">
        <v>91</v>
      </c>
      <c r="O3106" s="1" t="s">
        <v>45</v>
      </c>
      <c r="P3106" s="1" t="s">
        <v>55</v>
      </c>
      <c r="Q3106" s="1">
        <v>25</v>
      </c>
      <c r="R3106" s="1">
        <v>25</v>
      </c>
      <c r="S3106" s="1">
        <v>0</v>
      </c>
      <c r="T3106" s="1">
        <v>0</v>
      </c>
      <c r="U3106" s="1">
        <v>0</v>
      </c>
      <c r="V3106" s="1" t="str">
        <f t="shared" si="589"/>
        <v>里程去程</v>
      </c>
      <c r="W3106" s="1" t="str">
        <f>"0120"</f>
        <v>0120</v>
      </c>
      <c r="X3106" s="1" t="s">
        <v>35</v>
      </c>
    </row>
    <row r="3107" spans="1:24" x14ac:dyDescent="0.3">
      <c r="A3107" s="1" t="str">
        <f t="shared" ref="A3107:A3138" si="592">"59822"</f>
        <v>59822</v>
      </c>
      <c r="B3107" s="1" t="s">
        <v>39</v>
      </c>
      <c r="C3107" s="1" t="s">
        <v>40</v>
      </c>
      <c r="D3107" s="1" t="str">
        <f t="shared" si="590"/>
        <v>9801</v>
      </c>
      <c r="E3107" s="1" t="s">
        <v>25</v>
      </c>
      <c r="F3107" s="1" t="str">
        <f>"1390273585"</f>
        <v>1390273585</v>
      </c>
      <c r="G3107" s="1" t="s">
        <v>26</v>
      </c>
      <c r="H3107" s="1" t="str">
        <f t="shared" si="586"/>
        <v>20220914</v>
      </c>
      <c r="I3107" s="1" t="str">
        <f>"123636"</f>
        <v>123636</v>
      </c>
      <c r="J3107" s="1" t="s">
        <v>27</v>
      </c>
      <c r="K3107" s="1" t="s">
        <v>28</v>
      </c>
      <c r="L3107" s="1" t="str">
        <f t="shared" si="587"/>
        <v>20220914</v>
      </c>
      <c r="M3107" s="1" t="str">
        <f>"125329"</f>
        <v>125329</v>
      </c>
      <c r="N3107" s="1" t="s">
        <v>91</v>
      </c>
      <c r="O3107" s="1" t="s">
        <v>45</v>
      </c>
      <c r="P3107" s="1" t="s">
        <v>55</v>
      </c>
      <c r="Q3107" s="1">
        <v>13</v>
      </c>
      <c r="R3107" s="1">
        <v>13</v>
      </c>
      <c r="S3107" s="1">
        <v>0</v>
      </c>
      <c r="T3107" s="1">
        <v>0</v>
      </c>
      <c r="U3107" s="1">
        <v>0</v>
      </c>
      <c r="V3107" s="1" t="str">
        <f t="shared" ref="V3107:V3138" si="593">"里程去程"</f>
        <v>里程去程</v>
      </c>
      <c r="W3107" s="1" t="str">
        <f>"0220"</f>
        <v>0220</v>
      </c>
      <c r="X3107" s="1" t="s">
        <v>35</v>
      </c>
    </row>
    <row r="3108" spans="1:24" x14ac:dyDescent="0.3">
      <c r="A3108" s="1" t="str">
        <f t="shared" si="592"/>
        <v>59822</v>
      </c>
      <c r="B3108" s="1" t="s">
        <v>39</v>
      </c>
      <c r="C3108" s="1" t="s">
        <v>40</v>
      </c>
      <c r="D3108" s="1" t="str">
        <f t="shared" si="590"/>
        <v>9801</v>
      </c>
      <c r="E3108" s="1" t="s">
        <v>25</v>
      </c>
      <c r="F3108" s="1" t="str">
        <f>"1218531701"</f>
        <v>1218531701</v>
      </c>
      <c r="G3108" s="1" t="s">
        <v>33</v>
      </c>
      <c r="H3108" s="1" t="str">
        <f t="shared" si="586"/>
        <v>20220914</v>
      </c>
      <c r="I3108" s="1" t="str">
        <f>"123639"</f>
        <v>123639</v>
      </c>
      <c r="J3108" s="1" t="s">
        <v>27</v>
      </c>
      <c r="K3108" s="1" t="s">
        <v>28</v>
      </c>
      <c r="L3108" s="1" t="str">
        <f t="shared" si="587"/>
        <v>20220914</v>
      </c>
      <c r="M3108" s="1" t="str">
        <f>"125256"</f>
        <v>125256</v>
      </c>
      <c r="N3108" s="1" t="s">
        <v>91</v>
      </c>
      <c r="O3108" s="1" t="s">
        <v>45</v>
      </c>
      <c r="P3108" s="1" t="s">
        <v>55</v>
      </c>
      <c r="Q3108" s="1">
        <v>25</v>
      </c>
      <c r="R3108" s="1">
        <v>25</v>
      </c>
      <c r="S3108" s="1">
        <v>0</v>
      </c>
      <c r="T3108" s="1">
        <v>0</v>
      </c>
      <c r="U3108" s="1">
        <v>0</v>
      </c>
      <c r="V3108" s="1" t="str">
        <f t="shared" si="593"/>
        <v>里程去程</v>
      </c>
      <c r="W3108" s="1" t="str">
        <f>"0120"</f>
        <v>0120</v>
      </c>
      <c r="X3108" s="1" t="s">
        <v>35</v>
      </c>
    </row>
    <row r="3109" spans="1:24" x14ac:dyDescent="0.3">
      <c r="A3109" s="1" t="str">
        <f t="shared" si="592"/>
        <v>59822</v>
      </c>
      <c r="B3109" s="1" t="s">
        <v>39</v>
      </c>
      <c r="C3109" s="1" t="s">
        <v>40</v>
      </c>
      <c r="D3109" s="1" t="str">
        <f t="shared" ref="D3109:D3140" si="594">"9801"</f>
        <v>9801</v>
      </c>
      <c r="E3109" s="1" t="s">
        <v>25</v>
      </c>
      <c r="F3109" s="1" t="str">
        <f>"1108547297"</f>
        <v>1108547297</v>
      </c>
      <c r="G3109" s="1" t="s">
        <v>33</v>
      </c>
      <c r="H3109" s="1" t="str">
        <f t="shared" si="586"/>
        <v>20220914</v>
      </c>
      <c r="I3109" s="1" t="str">
        <f>"123643"</f>
        <v>123643</v>
      </c>
      <c r="J3109" s="1" t="s">
        <v>27</v>
      </c>
      <c r="K3109" s="1" t="s">
        <v>28</v>
      </c>
      <c r="L3109" s="1" t="str">
        <f t="shared" si="587"/>
        <v>20220914</v>
      </c>
      <c r="M3109" s="1" t="str">
        <f>"125300"</f>
        <v>125300</v>
      </c>
      <c r="N3109" s="1" t="s">
        <v>91</v>
      </c>
      <c r="O3109" s="1" t="s">
        <v>45</v>
      </c>
      <c r="P3109" s="1" t="s">
        <v>55</v>
      </c>
      <c r="Q3109" s="1">
        <v>25</v>
      </c>
      <c r="R3109" s="1">
        <v>25</v>
      </c>
      <c r="S3109" s="1">
        <v>0</v>
      </c>
      <c r="T3109" s="1">
        <v>0</v>
      </c>
      <c r="U3109" s="1">
        <v>0</v>
      </c>
      <c r="V3109" s="1" t="str">
        <f t="shared" si="593"/>
        <v>里程去程</v>
      </c>
      <c r="W3109" s="1" t="str">
        <f>"0120"</f>
        <v>0120</v>
      </c>
      <c r="X3109" s="1" t="s">
        <v>35</v>
      </c>
    </row>
    <row r="3110" spans="1:24" x14ac:dyDescent="0.3">
      <c r="A3110" s="1" t="str">
        <f t="shared" si="592"/>
        <v>59822</v>
      </c>
      <c r="B3110" s="1" t="s">
        <v>39</v>
      </c>
      <c r="C3110" s="1" t="s">
        <v>40</v>
      </c>
      <c r="D3110" s="1" t="str">
        <f t="shared" si="594"/>
        <v>9801</v>
      </c>
      <c r="E3110" s="1" t="s">
        <v>25</v>
      </c>
      <c r="F3110" s="1" t="str">
        <f>"1209895909"</f>
        <v>1209895909</v>
      </c>
      <c r="G3110" s="1" t="s">
        <v>26</v>
      </c>
      <c r="H3110" s="1" t="str">
        <f t="shared" si="586"/>
        <v>20220914</v>
      </c>
      <c r="I3110" s="1" t="str">
        <f>"123645"</f>
        <v>123645</v>
      </c>
      <c r="J3110" s="1" t="s">
        <v>27</v>
      </c>
      <c r="K3110" s="1" t="s">
        <v>28</v>
      </c>
      <c r="L3110" s="1" t="str">
        <f t="shared" si="587"/>
        <v>20220914</v>
      </c>
      <c r="M3110" s="1" t="str">
        <f>"125335"</f>
        <v>125335</v>
      </c>
      <c r="N3110" s="1" t="s">
        <v>91</v>
      </c>
      <c r="O3110" s="1" t="s">
        <v>45</v>
      </c>
      <c r="P3110" s="1" t="s">
        <v>55</v>
      </c>
      <c r="Q3110" s="1">
        <v>13</v>
      </c>
      <c r="R3110" s="1">
        <v>13</v>
      </c>
      <c r="S3110" s="1">
        <v>0</v>
      </c>
      <c r="T3110" s="1">
        <v>0</v>
      </c>
      <c r="U3110" s="1">
        <v>0</v>
      </c>
      <c r="V3110" s="1" t="str">
        <f t="shared" si="593"/>
        <v>里程去程</v>
      </c>
      <c r="W3110" s="1" t="str">
        <f>"0020"</f>
        <v>0020</v>
      </c>
      <c r="X3110" s="1" t="s">
        <v>35</v>
      </c>
    </row>
    <row r="3111" spans="1:24" x14ac:dyDescent="0.3">
      <c r="A3111" s="1" t="str">
        <f t="shared" si="592"/>
        <v>59822</v>
      </c>
      <c r="B3111" s="1" t="s">
        <v>39</v>
      </c>
      <c r="C3111" s="1" t="s">
        <v>40</v>
      </c>
      <c r="D3111" s="1" t="str">
        <f t="shared" si="594"/>
        <v>9801</v>
      </c>
      <c r="E3111" s="1" t="s">
        <v>25</v>
      </c>
      <c r="F3111" s="1" t="str">
        <f>"1406484497"</f>
        <v>1406484497</v>
      </c>
      <c r="G3111" s="1" t="s">
        <v>26</v>
      </c>
      <c r="H3111" s="1" t="str">
        <f t="shared" si="586"/>
        <v>20220914</v>
      </c>
      <c r="I3111" s="1" t="str">
        <f>"123651"</f>
        <v>123651</v>
      </c>
      <c r="J3111" s="1" t="s">
        <v>27</v>
      </c>
      <c r="K3111" s="1" t="s">
        <v>28</v>
      </c>
      <c r="L3111" s="1" t="str">
        <f t="shared" si="587"/>
        <v>20220914</v>
      </c>
      <c r="M3111" s="1" t="str">
        <f>"125250"</f>
        <v>125250</v>
      </c>
      <c r="N3111" s="1" t="s">
        <v>91</v>
      </c>
      <c r="O3111" s="1" t="s">
        <v>45</v>
      </c>
      <c r="P3111" s="1" t="s">
        <v>55</v>
      </c>
      <c r="Q3111" s="1">
        <v>13</v>
      </c>
      <c r="R3111" s="1">
        <v>13</v>
      </c>
      <c r="S3111" s="1">
        <v>0</v>
      </c>
      <c r="T3111" s="1">
        <v>0</v>
      </c>
      <c r="U3111" s="1">
        <v>0</v>
      </c>
      <c r="V3111" s="1" t="str">
        <f t="shared" si="593"/>
        <v>里程去程</v>
      </c>
      <c r="W3111" s="1" t="str">
        <f>"0120"</f>
        <v>0120</v>
      </c>
      <c r="X3111" s="1" t="s">
        <v>35</v>
      </c>
    </row>
    <row r="3112" spans="1:24" x14ac:dyDescent="0.3">
      <c r="A3112" s="1" t="str">
        <f t="shared" si="592"/>
        <v>59822</v>
      </c>
      <c r="B3112" s="1" t="s">
        <v>39</v>
      </c>
      <c r="C3112" s="1" t="s">
        <v>40</v>
      </c>
      <c r="D3112" s="1" t="str">
        <f t="shared" si="594"/>
        <v>9801</v>
      </c>
      <c r="E3112" s="1" t="s">
        <v>25</v>
      </c>
      <c r="F3112" s="1" t="str">
        <f>"1305529377"</f>
        <v>1305529377</v>
      </c>
      <c r="G3112" s="1" t="s">
        <v>26</v>
      </c>
      <c r="H3112" s="1" t="str">
        <f t="shared" si="586"/>
        <v>20220914</v>
      </c>
      <c r="I3112" s="1" t="str">
        <f>"123658"</f>
        <v>123658</v>
      </c>
      <c r="J3112" s="1" t="s">
        <v>27</v>
      </c>
      <c r="K3112" s="1" t="s">
        <v>28</v>
      </c>
      <c r="L3112" s="1" t="str">
        <f t="shared" si="587"/>
        <v>20220914</v>
      </c>
      <c r="M3112" s="1" t="str">
        <f>"125116"</f>
        <v>125116</v>
      </c>
      <c r="N3112" s="1" t="s">
        <v>91</v>
      </c>
      <c r="O3112" s="1" t="s">
        <v>45</v>
      </c>
      <c r="P3112" s="1" t="s">
        <v>55</v>
      </c>
      <c r="Q3112" s="1">
        <v>13</v>
      </c>
      <c r="R3112" s="1">
        <v>13</v>
      </c>
      <c r="S3112" s="1">
        <v>0</v>
      </c>
      <c r="T3112" s="1">
        <v>0</v>
      </c>
      <c r="U3112" s="1">
        <v>0</v>
      </c>
      <c r="V3112" s="1" t="str">
        <f t="shared" si="593"/>
        <v>里程去程</v>
      </c>
      <c r="W3112" s="1" t="str">
        <f>"0120"</f>
        <v>0120</v>
      </c>
      <c r="X3112" s="1" t="s">
        <v>35</v>
      </c>
    </row>
    <row r="3113" spans="1:24" x14ac:dyDescent="0.3">
      <c r="A3113" s="1" t="str">
        <f t="shared" si="592"/>
        <v>59822</v>
      </c>
      <c r="B3113" s="1" t="s">
        <v>39</v>
      </c>
      <c r="C3113" s="1" t="s">
        <v>40</v>
      </c>
      <c r="D3113" s="1" t="str">
        <f t="shared" si="594"/>
        <v>9801</v>
      </c>
      <c r="E3113" s="1" t="s">
        <v>25</v>
      </c>
      <c r="F3113" s="1" t="str">
        <f>"1196985669"</f>
        <v>1196985669</v>
      </c>
      <c r="G3113" s="1" t="s">
        <v>33</v>
      </c>
      <c r="H3113" s="1" t="str">
        <f t="shared" si="586"/>
        <v>20220914</v>
      </c>
      <c r="I3113" s="1" t="str">
        <f>"123705"</f>
        <v>123705</v>
      </c>
      <c r="J3113" s="1" t="s">
        <v>27</v>
      </c>
      <c r="K3113" s="1" t="s">
        <v>28</v>
      </c>
      <c r="L3113" s="1" t="str">
        <f t="shared" si="587"/>
        <v>20220914</v>
      </c>
      <c r="M3113" s="1" t="str">
        <f>"125221"</f>
        <v>125221</v>
      </c>
      <c r="N3113" s="1" t="s">
        <v>91</v>
      </c>
      <c r="O3113" s="1" t="s">
        <v>45</v>
      </c>
      <c r="P3113" s="1" t="s">
        <v>55</v>
      </c>
      <c r="Q3113" s="1">
        <v>25</v>
      </c>
      <c r="R3113" s="1">
        <v>25</v>
      </c>
      <c r="S3113" s="1">
        <v>0</v>
      </c>
      <c r="T3113" s="1">
        <v>0</v>
      </c>
      <c r="U3113" s="1">
        <v>0</v>
      </c>
      <c r="V3113" s="1" t="str">
        <f t="shared" si="593"/>
        <v>里程去程</v>
      </c>
      <c r="W3113" s="1" t="str">
        <f>"1c20"</f>
        <v>1c20</v>
      </c>
      <c r="X3113" s="1" t="s">
        <v>35</v>
      </c>
    </row>
    <row r="3114" spans="1:24" x14ac:dyDescent="0.3">
      <c r="A3114" s="1" t="str">
        <f t="shared" si="592"/>
        <v>59822</v>
      </c>
      <c r="B3114" s="1" t="s">
        <v>39</v>
      </c>
      <c r="C3114" s="1" t="s">
        <v>40</v>
      </c>
      <c r="D3114" s="1" t="str">
        <f t="shared" si="594"/>
        <v>9801</v>
      </c>
      <c r="E3114" s="1" t="s">
        <v>25</v>
      </c>
      <c r="F3114" s="1" t="str">
        <f>"994298805"</f>
        <v>994298805</v>
      </c>
      <c r="G3114" s="1" t="s">
        <v>26</v>
      </c>
      <c r="H3114" s="1" t="str">
        <f t="shared" si="586"/>
        <v>20220914</v>
      </c>
      <c r="I3114" s="1" t="str">
        <f>"123714"</f>
        <v>123714</v>
      </c>
      <c r="J3114" s="1" t="s">
        <v>27</v>
      </c>
      <c r="K3114" s="1" t="s">
        <v>28</v>
      </c>
      <c r="L3114" s="1" t="str">
        <f t="shared" si="587"/>
        <v>20220914</v>
      </c>
      <c r="M3114" s="1" t="str">
        <f>"125326"</f>
        <v>125326</v>
      </c>
      <c r="N3114" s="1" t="s">
        <v>91</v>
      </c>
      <c r="O3114" s="1" t="s">
        <v>45</v>
      </c>
      <c r="P3114" s="1" t="s">
        <v>55</v>
      </c>
      <c r="Q3114" s="1">
        <v>13</v>
      </c>
      <c r="R3114" s="1">
        <v>13</v>
      </c>
      <c r="S3114" s="1">
        <v>0</v>
      </c>
      <c r="T3114" s="1">
        <v>0</v>
      </c>
      <c r="U3114" s="1">
        <v>0</v>
      </c>
      <c r="V3114" s="1" t="str">
        <f t="shared" si="593"/>
        <v>里程去程</v>
      </c>
      <c r="W3114" s="1" t="str">
        <f>"0220"</f>
        <v>0220</v>
      </c>
      <c r="X3114" s="1" t="s">
        <v>35</v>
      </c>
    </row>
    <row r="3115" spans="1:24" x14ac:dyDescent="0.3">
      <c r="A3115" s="1" t="str">
        <f t="shared" si="592"/>
        <v>59822</v>
      </c>
      <c r="B3115" s="1" t="s">
        <v>39</v>
      </c>
      <c r="C3115" s="1" t="s">
        <v>40</v>
      </c>
      <c r="D3115" s="1" t="str">
        <f t="shared" si="594"/>
        <v>9801</v>
      </c>
      <c r="E3115" s="1" t="s">
        <v>25</v>
      </c>
      <c r="F3115" s="1" t="str">
        <f>"F27CE6026A880400C834002000000015"</f>
        <v>F27CE6026A880400C834002000000015</v>
      </c>
      <c r="G3115" s="1" t="s">
        <v>74</v>
      </c>
      <c r="H3115" s="1" t="str">
        <f t="shared" si="586"/>
        <v>20220914</v>
      </c>
      <c r="I3115" s="1" t="str">
        <f>"145606"</f>
        <v>145606</v>
      </c>
      <c r="J3115" s="1" t="s">
        <v>52</v>
      </c>
      <c r="K3115" s="1" t="s">
        <v>52</v>
      </c>
      <c r="L3115" s="1" t="str">
        <f t="shared" si="587"/>
        <v>20220914</v>
      </c>
      <c r="M3115" s="1" t="str">
        <f>"150611"</f>
        <v>150611</v>
      </c>
      <c r="N3115" s="1" t="s">
        <v>60</v>
      </c>
      <c r="O3115" s="1" t="s">
        <v>52</v>
      </c>
      <c r="P3115" s="1" t="s">
        <v>68</v>
      </c>
      <c r="Q3115" s="1">
        <v>13</v>
      </c>
      <c r="R3115" s="1">
        <v>0</v>
      </c>
      <c r="S3115" s="1">
        <v>0</v>
      </c>
      <c r="T3115" s="1">
        <v>13</v>
      </c>
      <c r="U3115" s="1">
        <v>0</v>
      </c>
      <c r="V3115" s="1" t="str">
        <f t="shared" si="593"/>
        <v>里程去程</v>
      </c>
      <c r="W3115" s="1" t="str">
        <f>"0020"</f>
        <v>0020</v>
      </c>
      <c r="X3115" s="1" t="s">
        <v>29</v>
      </c>
    </row>
    <row r="3116" spans="1:24" x14ac:dyDescent="0.3">
      <c r="A3116" s="1" t="str">
        <f t="shared" si="592"/>
        <v>59822</v>
      </c>
      <c r="B3116" s="1" t="s">
        <v>39</v>
      </c>
      <c r="C3116" s="1" t="s">
        <v>40</v>
      </c>
      <c r="D3116" s="1" t="str">
        <f t="shared" si="594"/>
        <v>9801</v>
      </c>
      <c r="E3116" s="1" t="s">
        <v>25</v>
      </c>
      <c r="F3116" s="1" t="str">
        <f>"F2C64D0E77880400C806002000000018"</f>
        <v>F2C64D0E77880400C806002000000018</v>
      </c>
      <c r="G3116" s="1" t="s">
        <v>58</v>
      </c>
      <c r="H3116" s="1" t="str">
        <f t="shared" si="586"/>
        <v>20220914</v>
      </c>
      <c r="I3116" s="1" t="str">
        <f>"150721"</f>
        <v>150721</v>
      </c>
      <c r="J3116" s="1" t="s">
        <v>60</v>
      </c>
      <c r="K3116" s="1" t="s">
        <v>52</v>
      </c>
      <c r="L3116" s="1" t="str">
        <f t="shared" si="587"/>
        <v>20220914</v>
      </c>
      <c r="M3116" s="1" t="str">
        <f>"151615"</f>
        <v>151615</v>
      </c>
      <c r="N3116" s="1" t="s">
        <v>80</v>
      </c>
      <c r="O3116" s="1" t="s">
        <v>52</v>
      </c>
      <c r="P3116" s="1" t="s">
        <v>55</v>
      </c>
      <c r="Q3116" s="1">
        <v>25</v>
      </c>
      <c r="R3116" s="1">
        <v>25</v>
      </c>
      <c r="S3116" s="1">
        <v>0</v>
      </c>
      <c r="T3116" s="1">
        <v>0</v>
      </c>
      <c r="U3116" s="1">
        <v>0</v>
      </c>
      <c r="V3116" s="1" t="str">
        <f t="shared" si="593"/>
        <v>里程去程</v>
      </c>
      <c r="W3116" s="1" t="str">
        <f>"0020"</f>
        <v>0020</v>
      </c>
      <c r="X3116" s="1" t="s">
        <v>29</v>
      </c>
    </row>
    <row r="3117" spans="1:24" x14ac:dyDescent="0.3">
      <c r="A3117" s="1" t="str">
        <f t="shared" si="592"/>
        <v>59822</v>
      </c>
      <c r="B3117" s="1" t="s">
        <v>39</v>
      </c>
      <c r="C3117" s="1" t="s">
        <v>40</v>
      </c>
      <c r="D3117" s="1" t="str">
        <f t="shared" si="594"/>
        <v>9801</v>
      </c>
      <c r="E3117" s="1" t="s">
        <v>25</v>
      </c>
      <c r="F3117" s="1" t="str">
        <f>"F2F7D002D7880400C834002000000015"</f>
        <v>F2F7D002D7880400C834002000000015</v>
      </c>
      <c r="G3117" s="1" t="s">
        <v>74</v>
      </c>
      <c r="H3117" s="1" t="str">
        <f t="shared" si="586"/>
        <v>20220914</v>
      </c>
      <c r="I3117" s="1" t="str">
        <f>"151642"</f>
        <v>151642</v>
      </c>
      <c r="J3117" s="1" t="s">
        <v>80</v>
      </c>
      <c r="K3117" s="1" t="s">
        <v>52</v>
      </c>
      <c r="L3117" s="1" t="str">
        <f t="shared" si="587"/>
        <v>20220914</v>
      </c>
      <c r="M3117" s="1" t="str">
        <f>"155605"</f>
        <v>155605</v>
      </c>
      <c r="N3117" s="1" t="s">
        <v>44</v>
      </c>
      <c r="O3117" s="1" t="s">
        <v>45</v>
      </c>
      <c r="P3117" s="1" t="s">
        <v>68</v>
      </c>
      <c r="Q3117" s="1">
        <v>25</v>
      </c>
      <c r="R3117" s="1">
        <v>0</v>
      </c>
      <c r="S3117" s="1">
        <v>0</v>
      </c>
      <c r="T3117" s="1">
        <v>25</v>
      </c>
      <c r="U3117" s="1">
        <v>0</v>
      </c>
      <c r="V3117" s="1" t="str">
        <f t="shared" si="593"/>
        <v>里程去程</v>
      </c>
      <c r="W3117" s="1" t="str">
        <f>"0020"</f>
        <v>0020</v>
      </c>
      <c r="X3117" s="1" t="s">
        <v>29</v>
      </c>
    </row>
    <row r="3118" spans="1:24" x14ac:dyDescent="0.3">
      <c r="A3118" s="1" t="str">
        <f t="shared" si="592"/>
        <v>59822</v>
      </c>
      <c r="B3118" s="1" t="s">
        <v>39</v>
      </c>
      <c r="C3118" s="1" t="s">
        <v>40</v>
      </c>
      <c r="D3118" s="1" t="str">
        <f t="shared" si="594"/>
        <v>9801</v>
      </c>
      <c r="E3118" s="1" t="s">
        <v>25</v>
      </c>
      <c r="F3118" s="1" t="str">
        <f>"244952257"</f>
        <v>244952257</v>
      </c>
      <c r="G3118" s="1" t="s">
        <v>33</v>
      </c>
      <c r="H3118" s="1" t="str">
        <f t="shared" si="586"/>
        <v>20220914</v>
      </c>
      <c r="I3118" s="1" t="str">
        <f>"153312"</f>
        <v>153312</v>
      </c>
      <c r="J3118" s="1" t="s">
        <v>27</v>
      </c>
      <c r="K3118" s="1" t="s">
        <v>28</v>
      </c>
      <c r="L3118" s="1" t="str">
        <f t="shared" si="587"/>
        <v>20220914</v>
      </c>
      <c r="M3118" s="1" t="str">
        <f>"155154"</f>
        <v>155154</v>
      </c>
      <c r="N3118" s="1" t="s">
        <v>100</v>
      </c>
      <c r="O3118" s="1" t="s">
        <v>45</v>
      </c>
      <c r="P3118" s="1" t="s">
        <v>55</v>
      </c>
      <c r="Q3118" s="1">
        <v>25</v>
      </c>
      <c r="R3118" s="1">
        <v>0</v>
      </c>
      <c r="S3118" s="1">
        <v>25</v>
      </c>
      <c r="T3118" s="1">
        <v>0</v>
      </c>
      <c r="U3118" s="1">
        <v>0</v>
      </c>
      <c r="V3118" s="1" t="str">
        <f t="shared" si="593"/>
        <v>里程去程</v>
      </c>
      <c r="W3118" s="1" t="str">
        <f>"0820"</f>
        <v>0820</v>
      </c>
      <c r="X3118" s="1" t="s">
        <v>35</v>
      </c>
    </row>
    <row r="3119" spans="1:24" x14ac:dyDescent="0.3">
      <c r="A3119" s="1" t="str">
        <f t="shared" si="592"/>
        <v>59822</v>
      </c>
      <c r="B3119" s="1" t="s">
        <v>39</v>
      </c>
      <c r="C3119" s="1" t="s">
        <v>40</v>
      </c>
      <c r="D3119" s="1" t="str">
        <f t="shared" si="594"/>
        <v>9801</v>
      </c>
      <c r="E3119" s="1" t="s">
        <v>25</v>
      </c>
      <c r="F3119" s="1" t="str">
        <f>"3040822515"</f>
        <v>3040822515</v>
      </c>
      <c r="G3119" s="1" t="s">
        <v>96</v>
      </c>
      <c r="H3119" s="1" t="str">
        <f t="shared" si="586"/>
        <v>20220914</v>
      </c>
      <c r="I3119" s="1" t="str">
        <f>"154306"</f>
        <v>154306</v>
      </c>
      <c r="J3119" s="1" t="s">
        <v>45</v>
      </c>
      <c r="K3119" s="1" t="s">
        <v>45</v>
      </c>
      <c r="L3119" s="1" t="str">
        <f t="shared" si="587"/>
        <v>20220914</v>
      </c>
      <c r="M3119" s="1" t="str">
        <f>"155616"</f>
        <v>155616</v>
      </c>
      <c r="N3119" s="1" t="s">
        <v>44</v>
      </c>
      <c r="O3119" s="1" t="s">
        <v>45</v>
      </c>
      <c r="P3119" s="1" t="s">
        <v>55</v>
      </c>
      <c r="Q3119" s="1">
        <v>13</v>
      </c>
      <c r="R3119" s="1">
        <v>13</v>
      </c>
      <c r="S3119" s="1">
        <v>0</v>
      </c>
      <c r="T3119" s="1">
        <v>0</v>
      </c>
      <c r="U3119" s="1">
        <v>0</v>
      </c>
      <c r="V3119" s="1" t="str">
        <f t="shared" si="593"/>
        <v>里程去程</v>
      </c>
      <c r="W3119" s="1" t="str">
        <f>"2020"</f>
        <v>2020</v>
      </c>
      <c r="X3119" s="1" t="s">
        <v>35</v>
      </c>
    </row>
    <row r="3120" spans="1:24" x14ac:dyDescent="0.3">
      <c r="A3120" s="1" t="str">
        <f t="shared" si="592"/>
        <v>59822</v>
      </c>
      <c r="B3120" s="1" t="s">
        <v>39</v>
      </c>
      <c r="C3120" s="1" t="s">
        <v>40</v>
      </c>
      <c r="D3120" s="1" t="str">
        <f t="shared" si="594"/>
        <v>9801</v>
      </c>
      <c r="E3120" s="1" t="s">
        <v>25</v>
      </c>
      <c r="F3120" s="1" t="str">
        <f>"251810511"</f>
        <v>251810511</v>
      </c>
      <c r="G3120" s="1" t="s">
        <v>26</v>
      </c>
      <c r="H3120" s="1" t="str">
        <f t="shared" si="586"/>
        <v>20220914</v>
      </c>
      <c r="I3120" s="1" t="str">
        <f>"154312"</f>
        <v>154312</v>
      </c>
      <c r="J3120" s="1" t="s">
        <v>45</v>
      </c>
      <c r="K3120" s="1" t="s">
        <v>45</v>
      </c>
      <c r="L3120" s="1" t="str">
        <f t="shared" si="587"/>
        <v>20220914</v>
      </c>
      <c r="M3120" s="1" t="str">
        <f>"155623"</f>
        <v>155623</v>
      </c>
      <c r="N3120" s="1" t="s">
        <v>44</v>
      </c>
      <c r="O3120" s="1" t="s">
        <v>45</v>
      </c>
      <c r="P3120" s="1" t="s">
        <v>55</v>
      </c>
      <c r="Q3120" s="1">
        <v>13</v>
      </c>
      <c r="R3120" s="1">
        <v>13</v>
      </c>
      <c r="S3120" s="1">
        <v>0</v>
      </c>
      <c r="T3120" s="1">
        <v>0</v>
      </c>
      <c r="U3120" s="1">
        <v>0</v>
      </c>
      <c r="V3120" s="1" t="str">
        <f t="shared" si="593"/>
        <v>里程去程</v>
      </c>
      <c r="W3120" s="1" t="str">
        <f>"2020"</f>
        <v>2020</v>
      </c>
      <c r="X3120" s="1" t="s">
        <v>35</v>
      </c>
    </row>
    <row r="3121" spans="1:24" x14ac:dyDescent="0.3">
      <c r="A3121" s="1" t="str">
        <f t="shared" si="592"/>
        <v>59822</v>
      </c>
      <c r="B3121" s="1" t="s">
        <v>39</v>
      </c>
      <c r="C3121" s="1" t="s">
        <v>40</v>
      </c>
      <c r="D3121" s="1" t="str">
        <f t="shared" si="594"/>
        <v>9801</v>
      </c>
      <c r="E3121" s="1" t="s">
        <v>25</v>
      </c>
      <c r="F3121" s="1" t="str">
        <f>"380782248"</f>
        <v>380782248</v>
      </c>
      <c r="G3121" s="1" t="s">
        <v>33</v>
      </c>
      <c r="H3121" s="1" t="str">
        <f t="shared" si="586"/>
        <v>20220914</v>
      </c>
      <c r="I3121" s="1" t="str">
        <f>"154315"</f>
        <v>154315</v>
      </c>
      <c r="J3121" s="1" t="s">
        <v>45</v>
      </c>
      <c r="K3121" s="1" t="s">
        <v>45</v>
      </c>
      <c r="L3121" s="1" t="str">
        <f t="shared" si="587"/>
        <v>20220914</v>
      </c>
      <c r="M3121" s="1" t="str">
        <f>"155618"</f>
        <v>155618</v>
      </c>
      <c r="N3121" s="1" t="s">
        <v>44</v>
      </c>
      <c r="O3121" s="1" t="s">
        <v>45</v>
      </c>
      <c r="P3121" s="1" t="s">
        <v>55</v>
      </c>
      <c r="Q3121" s="1">
        <v>25</v>
      </c>
      <c r="R3121" s="1">
        <v>25</v>
      </c>
      <c r="S3121" s="1">
        <v>0</v>
      </c>
      <c r="T3121" s="1">
        <v>0</v>
      </c>
      <c r="U3121" s="1">
        <v>0</v>
      </c>
      <c r="V3121" s="1" t="str">
        <f t="shared" si="593"/>
        <v>里程去程</v>
      </c>
      <c r="W3121" s="1" t="str">
        <f>"2020"</f>
        <v>2020</v>
      </c>
      <c r="X3121" s="1" t="s">
        <v>35</v>
      </c>
    </row>
    <row r="3122" spans="1:24" x14ac:dyDescent="0.3">
      <c r="A3122" s="1" t="str">
        <f t="shared" si="592"/>
        <v>59822</v>
      </c>
      <c r="B3122" s="1" t="s">
        <v>39</v>
      </c>
      <c r="C3122" s="1" t="s">
        <v>40</v>
      </c>
      <c r="D3122" s="1" t="str">
        <f t="shared" si="594"/>
        <v>9801</v>
      </c>
      <c r="E3122" s="1" t="s">
        <v>25</v>
      </c>
      <c r="F3122" s="1" t="str">
        <f>"752850785"</f>
        <v>752850785</v>
      </c>
      <c r="G3122" s="1" t="s">
        <v>26</v>
      </c>
      <c r="H3122" s="1" t="str">
        <f t="shared" si="586"/>
        <v>20220914</v>
      </c>
      <c r="I3122" s="1" t="str">
        <f>"154318"</f>
        <v>154318</v>
      </c>
      <c r="J3122" s="1" t="s">
        <v>45</v>
      </c>
      <c r="K3122" s="1" t="s">
        <v>45</v>
      </c>
      <c r="L3122" s="1" t="str">
        <f t="shared" si="587"/>
        <v>20220914</v>
      </c>
      <c r="M3122" s="1" t="str">
        <f>"155612"</f>
        <v>155612</v>
      </c>
      <c r="N3122" s="1" t="s">
        <v>44</v>
      </c>
      <c r="O3122" s="1" t="s">
        <v>45</v>
      </c>
      <c r="P3122" s="1" t="s">
        <v>55</v>
      </c>
      <c r="Q3122" s="1">
        <v>13</v>
      </c>
      <c r="R3122" s="1">
        <v>13</v>
      </c>
      <c r="S3122" s="1">
        <v>0</v>
      </c>
      <c r="T3122" s="1">
        <v>0</v>
      </c>
      <c r="U3122" s="1">
        <v>0</v>
      </c>
      <c r="V3122" s="1" t="str">
        <f t="shared" si="593"/>
        <v>里程去程</v>
      </c>
      <c r="W3122" s="1" t="str">
        <f>"2020"</f>
        <v>2020</v>
      </c>
      <c r="X3122" s="1" t="s">
        <v>35</v>
      </c>
    </row>
    <row r="3123" spans="1:24" x14ac:dyDescent="0.3">
      <c r="A3123" s="1" t="str">
        <f t="shared" si="592"/>
        <v>59822</v>
      </c>
      <c r="B3123" s="1" t="s">
        <v>39</v>
      </c>
      <c r="C3123" s="1" t="s">
        <v>40</v>
      </c>
      <c r="D3123" s="1" t="str">
        <f t="shared" si="594"/>
        <v>9801</v>
      </c>
      <c r="E3123" s="1" t="s">
        <v>25</v>
      </c>
      <c r="F3123" s="1" t="str">
        <f>"F2F7D002D7880400C834002000000015"</f>
        <v>F2F7D002D7880400C834002000000015</v>
      </c>
      <c r="G3123" s="1" t="s">
        <v>74</v>
      </c>
      <c r="H3123" s="1" t="str">
        <f t="shared" si="586"/>
        <v>20220914</v>
      </c>
      <c r="I3123" s="1" t="str">
        <f>"160959"</f>
        <v>160959</v>
      </c>
      <c r="J3123" s="1" t="s">
        <v>51</v>
      </c>
      <c r="K3123" s="1" t="s">
        <v>52</v>
      </c>
      <c r="L3123" s="1" t="str">
        <f t="shared" si="587"/>
        <v>20220914</v>
      </c>
      <c r="M3123" s="1" t="str">
        <f>"162340"</f>
        <v>162340</v>
      </c>
      <c r="N3123" s="1" t="s">
        <v>78</v>
      </c>
      <c r="O3123" s="1" t="s">
        <v>52</v>
      </c>
      <c r="P3123" s="1" t="s">
        <v>68</v>
      </c>
      <c r="Q3123" s="1">
        <v>13</v>
      </c>
      <c r="R3123" s="1">
        <v>0</v>
      </c>
      <c r="S3123" s="1">
        <v>0</v>
      </c>
      <c r="T3123" s="1">
        <v>13</v>
      </c>
      <c r="U3123" s="1">
        <v>0</v>
      </c>
      <c r="V3123" s="1" t="str">
        <f t="shared" si="593"/>
        <v>里程去程</v>
      </c>
      <c r="W3123" s="1" t="str">
        <f>"0020"</f>
        <v>0020</v>
      </c>
      <c r="X3123" s="1" t="s">
        <v>29</v>
      </c>
    </row>
    <row r="3124" spans="1:24" x14ac:dyDescent="0.3">
      <c r="A3124" s="1" t="str">
        <f t="shared" si="592"/>
        <v>59822</v>
      </c>
      <c r="B3124" s="1" t="s">
        <v>39</v>
      </c>
      <c r="C3124" s="1" t="s">
        <v>40</v>
      </c>
      <c r="D3124" s="1" t="str">
        <f t="shared" si="594"/>
        <v>9801</v>
      </c>
      <c r="E3124" s="1" t="s">
        <v>25</v>
      </c>
      <c r="F3124" s="1" t="str">
        <f>"894153189"</f>
        <v>894153189</v>
      </c>
      <c r="G3124" s="1" t="s">
        <v>33</v>
      </c>
      <c r="H3124" s="1" t="str">
        <f t="shared" si="586"/>
        <v>20220914</v>
      </c>
      <c r="I3124" s="1" t="str">
        <f>"161218"</f>
        <v>161218</v>
      </c>
      <c r="J3124" s="1" t="s">
        <v>72</v>
      </c>
      <c r="K3124" s="1" t="s">
        <v>52</v>
      </c>
      <c r="L3124" s="1" t="str">
        <f t="shared" si="587"/>
        <v>20220914</v>
      </c>
      <c r="M3124" s="1" t="str">
        <f>"163334"</f>
        <v>163334</v>
      </c>
      <c r="N3124" s="1" t="s">
        <v>70</v>
      </c>
      <c r="O3124" s="1" t="s">
        <v>28</v>
      </c>
      <c r="P3124" s="1" t="s">
        <v>55</v>
      </c>
      <c r="Q3124" s="1">
        <v>25</v>
      </c>
      <c r="R3124" s="1">
        <v>25</v>
      </c>
      <c r="S3124" s="1">
        <v>0</v>
      </c>
      <c r="T3124" s="1">
        <v>0</v>
      </c>
      <c r="U3124" s="1">
        <v>0</v>
      </c>
      <c r="V3124" s="1" t="str">
        <f t="shared" si="593"/>
        <v>里程去程</v>
      </c>
      <c r="W3124" s="1" t="str">
        <f>"2020"</f>
        <v>2020</v>
      </c>
      <c r="X3124" s="1" t="s">
        <v>35</v>
      </c>
    </row>
    <row r="3125" spans="1:24" x14ac:dyDescent="0.3">
      <c r="A3125" s="1" t="str">
        <f t="shared" si="592"/>
        <v>59822</v>
      </c>
      <c r="B3125" s="1" t="s">
        <v>39</v>
      </c>
      <c r="C3125" s="1" t="s">
        <v>40</v>
      </c>
      <c r="D3125" s="1" t="str">
        <f t="shared" si="594"/>
        <v>9801</v>
      </c>
      <c r="E3125" s="1" t="s">
        <v>25</v>
      </c>
      <c r="F3125" s="1" t="str">
        <f>"F2C64D0E77880400C806002000000018"</f>
        <v>F2C64D0E77880400C806002000000018</v>
      </c>
      <c r="G3125" s="1" t="s">
        <v>58</v>
      </c>
      <c r="H3125" s="1" t="str">
        <f t="shared" si="586"/>
        <v>20220914</v>
      </c>
      <c r="I3125" s="1" t="str">
        <f>"161619"</f>
        <v>161619</v>
      </c>
      <c r="J3125" s="1" t="s">
        <v>80</v>
      </c>
      <c r="K3125" s="1" t="s">
        <v>52</v>
      </c>
      <c r="L3125" s="1" t="str">
        <f t="shared" si="587"/>
        <v>20220914</v>
      </c>
      <c r="M3125" s="1" t="str">
        <f>"163341"</f>
        <v>163341</v>
      </c>
      <c r="N3125" s="1" t="s">
        <v>70</v>
      </c>
      <c r="O3125" s="1" t="s">
        <v>28</v>
      </c>
      <c r="P3125" s="1" t="s">
        <v>55</v>
      </c>
      <c r="Q3125" s="1">
        <v>25</v>
      </c>
      <c r="R3125" s="1">
        <v>25</v>
      </c>
      <c r="S3125" s="1">
        <v>0</v>
      </c>
      <c r="T3125" s="1">
        <v>0</v>
      </c>
      <c r="U3125" s="1">
        <v>0</v>
      </c>
      <c r="V3125" s="1" t="str">
        <f t="shared" si="593"/>
        <v>里程去程</v>
      </c>
      <c r="W3125" s="1" t="str">
        <f>"0020"</f>
        <v>0020</v>
      </c>
      <c r="X3125" s="1" t="s">
        <v>29</v>
      </c>
    </row>
    <row r="3126" spans="1:24" x14ac:dyDescent="0.3">
      <c r="A3126" s="1" t="str">
        <f t="shared" si="592"/>
        <v>59822</v>
      </c>
      <c r="B3126" s="1" t="s">
        <v>39</v>
      </c>
      <c r="C3126" s="1" t="s">
        <v>40</v>
      </c>
      <c r="D3126" s="1" t="str">
        <f t="shared" si="594"/>
        <v>9801</v>
      </c>
      <c r="E3126" s="1" t="s">
        <v>25</v>
      </c>
      <c r="F3126" s="1" t="str">
        <f>"662576309"</f>
        <v>662576309</v>
      </c>
      <c r="G3126" s="1" t="s">
        <v>33</v>
      </c>
      <c r="H3126" s="1" t="str">
        <f t="shared" si="586"/>
        <v>20220914</v>
      </c>
      <c r="I3126" s="1" t="str">
        <f>"164954"</f>
        <v>164954</v>
      </c>
      <c r="J3126" s="1" t="s">
        <v>91</v>
      </c>
      <c r="K3126" s="1" t="s">
        <v>45</v>
      </c>
      <c r="L3126" s="1" t="str">
        <f t="shared" si="587"/>
        <v>20220914</v>
      </c>
      <c r="M3126" s="1" t="str">
        <f>"165940"</f>
        <v>165940</v>
      </c>
      <c r="N3126" s="1" t="s">
        <v>44</v>
      </c>
      <c r="O3126" s="1" t="s">
        <v>45</v>
      </c>
      <c r="P3126" s="1" t="s">
        <v>55</v>
      </c>
      <c r="Q3126" s="1">
        <v>25</v>
      </c>
      <c r="R3126" s="1">
        <v>25</v>
      </c>
      <c r="S3126" s="1">
        <v>0</v>
      </c>
      <c r="T3126" s="1">
        <v>0</v>
      </c>
      <c r="U3126" s="1">
        <v>0</v>
      </c>
      <c r="V3126" s="1" t="str">
        <f t="shared" si="593"/>
        <v>里程去程</v>
      </c>
      <c r="W3126" s="1" t="str">
        <f t="shared" ref="W3126:W3144" si="595">"2020"</f>
        <v>2020</v>
      </c>
      <c r="X3126" s="1" t="s">
        <v>35</v>
      </c>
    </row>
    <row r="3127" spans="1:24" x14ac:dyDescent="0.3">
      <c r="A3127" s="1" t="str">
        <f t="shared" si="592"/>
        <v>59822</v>
      </c>
      <c r="B3127" s="1" t="s">
        <v>39</v>
      </c>
      <c r="C3127" s="1" t="s">
        <v>40</v>
      </c>
      <c r="D3127" s="1" t="str">
        <f t="shared" si="594"/>
        <v>9801</v>
      </c>
      <c r="E3127" s="1" t="s">
        <v>25</v>
      </c>
      <c r="F3127" s="1" t="str">
        <f>"1196985669"</f>
        <v>1196985669</v>
      </c>
      <c r="G3127" s="1" t="s">
        <v>33</v>
      </c>
      <c r="H3127" s="1" t="str">
        <f t="shared" si="586"/>
        <v>20220914</v>
      </c>
      <c r="I3127" s="1" t="str">
        <f>"164956"</f>
        <v>164956</v>
      </c>
      <c r="J3127" s="1" t="s">
        <v>91</v>
      </c>
      <c r="K3127" s="1" t="s">
        <v>45</v>
      </c>
      <c r="L3127" s="1" t="str">
        <f t="shared" si="587"/>
        <v>20220914</v>
      </c>
      <c r="M3127" s="1" t="str">
        <f>"165937"</f>
        <v>165937</v>
      </c>
      <c r="N3127" s="1" t="s">
        <v>44</v>
      </c>
      <c r="O3127" s="1" t="s">
        <v>45</v>
      </c>
      <c r="P3127" s="1" t="s">
        <v>55</v>
      </c>
      <c r="Q3127" s="1">
        <v>25</v>
      </c>
      <c r="R3127" s="1">
        <v>25</v>
      </c>
      <c r="S3127" s="1">
        <v>0</v>
      </c>
      <c r="T3127" s="1">
        <v>0</v>
      </c>
      <c r="U3127" s="1">
        <v>0</v>
      </c>
      <c r="V3127" s="1" t="str">
        <f t="shared" si="593"/>
        <v>里程去程</v>
      </c>
      <c r="W3127" s="1" t="str">
        <f t="shared" si="595"/>
        <v>2020</v>
      </c>
      <c r="X3127" s="1" t="s">
        <v>35</v>
      </c>
    </row>
    <row r="3128" spans="1:24" x14ac:dyDescent="0.3">
      <c r="A3128" s="1" t="str">
        <f t="shared" si="592"/>
        <v>59822</v>
      </c>
      <c r="B3128" s="1" t="s">
        <v>39</v>
      </c>
      <c r="C3128" s="1" t="s">
        <v>40</v>
      </c>
      <c r="D3128" s="1" t="str">
        <f t="shared" si="594"/>
        <v>9801</v>
      </c>
      <c r="E3128" s="1" t="s">
        <v>25</v>
      </c>
      <c r="F3128" s="1" t="str">
        <f>"807380965"</f>
        <v>807380965</v>
      </c>
      <c r="G3128" s="1" t="s">
        <v>26</v>
      </c>
      <c r="H3128" s="1" t="str">
        <f t="shared" si="586"/>
        <v>20220914</v>
      </c>
      <c r="I3128" s="1" t="str">
        <f>"165002"</f>
        <v>165002</v>
      </c>
      <c r="J3128" s="1" t="s">
        <v>91</v>
      </c>
      <c r="K3128" s="1" t="s">
        <v>45</v>
      </c>
      <c r="L3128" s="1" t="str">
        <f t="shared" si="587"/>
        <v>20220914</v>
      </c>
      <c r="M3128" s="1" t="str">
        <f>"165927"</f>
        <v>165927</v>
      </c>
      <c r="N3128" s="1" t="s">
        <v>44</v>
      </c>
      <c r="O3128" s="1" t="s">
        <v>45</v>
      </c>
      <c r="P3128" s="1" t="s">
        <v>55</v>
      </c>
      <c r="Q3128" s="1">
        <v>13</v>
      </c>
      <c r="R3128" s="1">
        <v>0</v>
      </c>
      <c r="S3128" s="1">
        <v>13</v>
      </c>
      <c r="T3128" s="1">
        <v>0</v>
      </c>
      <c r="U3128" s="1">
        <v>0</v>
      </c>
      <c r="V3128" s="1" t="str">
        <f t="shared" si="593"/>
        <v>里程去程</v>
      </c>
      <c r="W3128" s="1" t="str">
        <f t="shared" si="595"/>
        <v>2020</v>
      </c>
      <c r="X3128" s="1" t="s">
        <v>35</v>
      </c>
    </row>
    <row r="3129" spans="1:24" x14ac:dyDescent="0.3">
      <c r="A3129" s="1" t="str">
        <f t="shared" si="592"/>
        <v>59822</v>
      </c>
      <c r="B3129" s="1" t="s">
        <v>39</v>
      </c>
      <c r="C3129" s="1" t="s">
        <v>40</v>
      </c>
      <c r="D3129" s="1" t="str">
        <f t="shared" si="594"/>
        <v>9801</v>
      </c>
      <c r="E3129" s="1" t="s">
        <v>25</v>
      </c>
      <c r="F3129" s="1" t="str">
        <f>"620523025"</f>
        <v>620523025</v>
      </c>
      <c r="G3129" s="1" t="s">
        <v>33</v>
      </c>
      <c r="H3129" s="1" t="str">
        <f t="shared" si="586"/>
        <v>20220914</v>
      </c>
      <c r="I3129" s="1" t="str">
        <f>"165010"</f>
        <v>165010</v>
      </c>
      <c r="J3129" s="1" t="s">
        <v>91</v>
      </c>
      <c r="K3129" s="1" t="s">
        <v>45</v>
      </c>
      <c r="L3129" s="1" t="str">
        <f t="shared" si="587"/>
        <v>20220914</v>
      </c>
      <c r="M3129" s="1" t="str">
        <f>"165810"</f>
        <v>165810</v>
      </c>
      <c r="N3129" s="1" t="s">
        <v>44</v>
      </c>
      <c r="O3129" s="1" t="s">
        <v>45</v>
      </c>
      <c r="P3129" s="1" t="s">
        <v>55</v>
      </c>
      <c r="Q3129" s="1">
        <v>25</v>
      </c>
      <c r="R3129" s="1">
        <v>25</v>
      </c>
      <c r="S3129" s="1">
        <v>0</v>
      </c>
      <c r="T3129" s="1">
        <v>0</v>
      </c>
      <c r="U3129" s="1">
        <v>0</v>
      </c>
      <c r="V3129" s="1" t="str">
        <f t="shared" si="593"/>
        <v>里程去程</v>
      </c>
      <c r="W3129" s="1" t="str">
        <f t="shared" si="595"/>
        <v>2020</v>
      </c>
      <c r="X3129" s="1" t="s">
        <v>35</v>
      </c>
    </row>
    <row r="3130" spans="1:24" x14ac:dyDescent="0.3">
      <c r="A3130" s="1" t="str">
        <f t="shared" si="592"/>
        <v>59822</v>
      </c>
      <c r="B3130" s="1" t="s">
        <v>39</v>
      </c>
      <c r="C3130" s="1" t="s">
        <v>40</v>
      </c>
      <c r="D3130" s="1" t="str">
        <f t="shared" si="594"/>
        <v>9801</v>
      </c>
      <c r="E3130" s="1" t="s">
        <v>25</v>
      </c>
      <c r="F3130" s="1" t="str">
        <f>"1727339829"</f>
        <v>1727339829</v>
      </c>
      <c r="G3130" s="1" t="s">
        <v>33</v>
      </c>
      <c r="H3130" s="1" t="str">
        <f t="shared" si="586"/>
        <v>20220914</v>
      </c>
      <c r="I3130" s="1" t="str">
        <f>"165012"</f>
        <v>165012</v>
      </c>
      <c r="J3130" s="1" t="s">
        <v>91</v>
      </c>
      <c r="K3130" s="1" t="s">
        <v>45</v>
      </c>
      <c r="L3130" s="1" t="str">
        <f t="shared" si="587"/>
        <v>20220914</v>
      </c>
      <c r="M3130" s="1" t="str">
        <f>"165932"</f>
        <v>165932</v>
      </c>
      <c r="N3130" s="1" t="s">
        <v>44</v>
      </c>
      <c r="O3130" s="1" t="s">
        <v>45</v>
      </c>
      <c r="P3130" s="1" t="s">
        <v>55</v>
      </c>
      <c r="Q3130" s="1">
        <v>25</v>
      </c>
      <c r="R3130" s="1">
        <v>25</v>
      </c>
      <c r="S3130" s="1">
        <v>0</v>
      </c>
      <c r="T3130" s="1">
        <v>0</v>
      </c>
      <c r="U3130" s="1">
        <v>0</v>
      </c>
      <c r="V3130" s="1" t="str">
        <f t="shared" si="593"/>
        <v>里程去程</v>
      </c>
      <c r="W3130" s="1" t="str">
        <f t="shared" si="595"/>
        <v>2020</v>
      </c>
      <c r="X3130" s="1" t="s">
        <v>35</v>
      </c>
    </row>
    <row r="3131" spans="1:24" x14ac:dyDescent="0.3">
      <c r="A3131" s="1" t="str">
        <f t="shared" si="592"/>
        <v>59822</v>
      </c>
      <c r="B3131" s="1" t="s">
        <v>39</v>
      </c>
      <c r="C3131" s="1" t="s">
        <v>40</v>
      </c>
      <c r="D3131" s="1" t="str">
        <f t="shared" si="594"/>
        <v>9801</v>
      </c>
      <c r="E3131" s="1" t="s">
        <v>25</v>
      </c>
      <c r="F3131" s="1" t="str">
        <f>"1020579813"</f>
        <v>1020579813</v>
      </c>
      <c r="G3131" s="1" t="s">
        <v>33</v>
      </c>
      <c r="H3131" s="1" t="str">
        <f t="shared" si="586"/>
        <v>20220914</v>
      </c>
      <c r="I3131" s="1" t="str">
        <f>"165017"</f>
        <v>165017</v>
      </c>
      <c r="J3131" s="1" t="s">
        <v>91</v>
      </c>
      <c r="K3131" s="1" t="s">
        <v>45</v>
      </c>
      <c r="L3131" s="1" t="str">
        <f t="shared" si="587"/>
        <v>20220914</v>
      </c>
      <c r="M3131" s="1" t="str">
        <f>"165756"</f>
        <v>165756</v>
      </c>
      <c r="N3131" s="1" t="s">
        <v>44</v>
      </c>
      <c r="O3131" s="1" t="s">
        <v>45</v>
      </c>
      <c r="P3131" s="1" t="s">
        <v>55</v>
      </c>
      <c r="Q3131" s="1">
        <v>25</v>
      </c>
      <c r="R3131" s="1">
        <v>25</v>
      </c>
      <c r="S3131" s="1">
        <v>0</v>
      </c>
      <c r="T3131" s="1">
        <v>0</v>
      </c>
      <c r="U3131" s="1">
        <v>0</v>
      </c>
      <c r="V3131" s="1" t="str">
        <f t="shared" si="593"/>
        <v>里程去程</v>
      </c>
      <c r="W3131" s="1" t="str">
        <f t="shared" si="595"/>
        <v>2020</v>
      </c>
      <c r="X3131" s="1" t="s">
        <v>35</v>
      </c>
    </row>
    <row r="3132" spans="1:24" x14ac:dyDescent="0.3">
      <c r="A3132" s="1" t="str">
        <f t="shared" si="592"/>
        <v>59822</v>
      </c>
      <c r="B3132" s="1" t="s">
        <v>39</v>
      </c>
      <c r="C3132" s="1" t="s">
        <v>40</v>
      </c>
      <c r="D3132" s="1" t="str">
        <f t="shared" si="594"/>
        <v>9801</v>
      </c>
      <c r="E3132" s="1" t="s">
        <v>25</v>
      </c>
      <c r="F3132" s="1" t="str">
        <f>"1078532017"</f>
        <v>1078532017</v>
      </c>
      <c r="G3132" s="1" t="s">
        <v>33</v>
      </c>
      <c r="H3132" s="1" t="str">
        <f t="shared" si="586"/>
        <v>20220914</v>
      </c>
      <c r="I3132" s="1" t="str">
        <f>"165019"</f>
        <v>165019</v>
      </c>
      <c r="J3132" s="1" t="s">
        <v>91</v>
      </c>
      <c r="K3132" s="1" t="s">
        <v>45</v>
      </c>
      <c r="L3132" s="1" t="str">
        <f t="shared" si="587"/>
        <v>20220914</v>
      </c>
      <c r="M3132" s="1" t="str">
        <f>"165806"</f>
        <v>165806</v>
      </c>
      <c r="N3132" s="1" t="s">
        <v>44</v>
      </c>
      <c r="O3132" s="1" t="s">
        <v>45</v>
      </c>
      <c r="P3132" s="1" t="s">
        <v>55</v>
      </c>
      <c r="Q3132" s="1">
        <v>25</v>
      </c>
      <c r="R3132" s="1">
        <v>25</v>
      </c>
      <c r="S3132" s="1">
        <v>0</v>
      </c>
      <c r="T3132" s="1">
        <v>0</v>
      </c>
      <c r="U3132" s="1">
        <v>0</v>
      </c>
      <c r="V3132" s="1" t="str">
        <f t="shared" si="593"/>
        <v>里程去程</v>
      </c>
      <c r="W3132" s="1" t="str">
        <f t="shared" si="595"/>
        <v>2020</v>
      </c>
      <c r="X3132" s="1" t="s">
        <v>35</v>
      </c>
    </row>
    <row r="3133" spans="1:24" x14ac:dyDescent="0.3">
      <c r="A3133" s="1" t="str">
        <f t="shared" si="592"/>
        <v>59822</v>
      </c>
      <c r="B3133" s="1" t="s">
        <v>39</v>
      </c>
      <c r="C3133" s="1" t="s">
        <v>40</v>
      </c>
      <c r="D3133" s="1" t="str">
        <f t="shared" si="594"/>
        <v>9801</v>
      </c>
      <c r="E3133" s="1" t="s">
        <v>25</v>
      </c>
      <c r="F3133" s="1" t="str">
        <f>"1067718309"</f>
        <v>1067718309</v>
      </c>
      <c r="G3133" s="1" t="s">
        <v>33</v>
      </c>
      <c r="H3133" s="1" t="str">
        <f t="shared" ref="H3133:H3196" si="596">"20220914"</f>
        <v>20220914</v>
      </c>
      <c r="I3133" s="1" t="str">
        <f>"165023"</f>
        <v>165023</v>
      </c>
      <c r="J3133" s="1" t="s">
        <v>91</v>
      </c>
      <c r="K3133" s="1" t="s">
        <v>45</v>
      </c>
      <c r="L3133" s="1" t="str">
        <f t="shared" ref="L3133:L3196" si="597">"20220914"</f>
        <v>20220914</v>
      </c>
      <c r="M3133" s="1" t="str">
        <f>"165753"</f>
        <v>165753</v>
      </c>
      <c r="N3133" s="1" t="s">
        <v>44</v>
      </c>
      <c r="O3133" s="1" t="s">
        <v>45</v>
      </c>
      <c r="P3133" s="1" t="s">
        <v>55</v>
      </c>
      <c r="Q3133" s="1">
        <v>25</v>
      </c>
      <c r="R3133" s="1">
        <v>25</v>
      </c>
      <c r="S3133" s="1">
        <v>0</v>
      </c>
      <c r="T3133" s="1">
        <v>0</v>
      </c>
      <c r="U3133" s="1">
        <v>0</v>
      </c>
      <c r="V3133" s="1" t="str">
        <f t="shared" si="593"/>
        <v>里程去程</v>
      </c>
      <c r="W3133" s="1" t="str">
        <f t="shared" si="595"/>
        <v>2020</v>
      </c>
      <c r="X3133" s="1" t="s">
        <v>35</v>
      </c>
    </row>
    <row r="3134" spans="1:24" x14ac:dyDescent="0.3">
      <c r="A3134" s="1" t="str">
        <f t="shared" si="592"/>
        <v>59822</v>
      </c>
      <c r="B3134" s="1" t="s">
        <v>39</v>
      </c>
      <c r="C3134" s="1" t="s">
        <v>40</v>
      </c>
      <c r="D3134" s="1" t="str">
        <f t="shared" si="594"/>
        <v>9801</v>
      </c>
      <c r="E3134" s="1" t="s">
        <v>25</v>
      </c>
      <c r="F3134" s="1" t="str">
        <f>"1023323605"</f>
        <v>1023323605</v>
      </c>
      <c r="G3134" s="1" t="s">
        <v>33</v>
      </c>
      <c r="H3134" s="1" t="str">
        <f t="shared" si="596"/>
        <v>20220914</v>
      </c>
      <c r="I3134" s="1" t="str">
        <f>"165025"</f>
        <v>165025</v>
      </c>
      <c r="J3134" s="1" t="s">
        <v>91</v>
      </c>
      <c r="K3134" s="1" t="s">
        <v>45</v>
      </c>
      <c r="L3134" s="1" t="str">
        <f t="shared" si="597"/>
        <v>20220914</v>
      </c>
      <c r="M3134" s="1" t="str">
        <f>"165930"</f>
        <v>165930</v>
      </c>
      <c r="N3134" s="1" t="s">
        <v>44</v>
      </c>
      <c r="O3134" s="1" t="s">
        <v>45</v>
      </c>
      <c r="P3134" s="1" t="s">
        <v>55</v>
      </c>
      <c r="Q3134" s="1">
        <v>25</v>
      </c>
      <c r="R3134" s="1">
        <v>25</v>
      </c>
      <c r="S3134" s="1">
        <v>0</v>
      </c>
      <c r="T3134" s="1">
        <v>0</v>
      </c>
      <c r="U3134" s="1">
        <v>0</v>
      </c>
      <c r="V3134" s="1" t="str">
        <f t="shared" si="593"/>
        <v>里程去程</v>
      </c>
      <c r="W3134" s="1" t="str">
        <f t="shared" si="595"/>
        <v>2020</v>
      </c>
      <c r="X3134" s="1" t="s">
        <v>35</v>
      </c>
    </row>
    <row r="3135" spans="1:24" x14ac:dyDescent="0.3">
      <c r="A3135" s="1" t="str">
        <f t="shared" si="592"/>
        <v>59822</v>
      </c>
      <c r="B3135" s="1" t="s">
        <v>39</v>
      </c>
      <c r="C3135" s="1" t="s">
        <v>40</v>
      </c>
      <c r="D3135" s="1" t="str">
        <f t="shared" si="594"/>
        <v>9801</v>
      </c>
      <c r="E3135" s="1" t="s">
        <v>25</v>
      </c>
      <c r="F3135" s="1" t="str">
        <f>"1115744837"</f>
        <v>1115744837</v>
      </c>
      <c r="G3135" s="1" t="s">
        <v>26</v>
      </c>
      <c r="H3135" s="1" t="str">
        <f t="shared" si="596"/>
        <v>20220914</v>
      </c>
      <c r="I3135" s="1" t="str">
        <f>"165028"</f>
        <v>165028</v>
      </c>
      <c r="J3135" s="1" t="s">
        <v>91</v>
      </c>
      <c r="K3135" s="1" t="s">
        <v>45</v>
      </c>
      <c r="L3135" s="1" t="str">
        <f t="shared" si="597"/>
        <v>20220914</v>
      </c>
      <c r="M3135" s="1" t="str">
        <f>"165920"</f>
        <v>165920</v>
      </c>
      <c r="N3135" s="1" t="s">
        <v>44</v>
      </c>
      <c r="O3135" s="1" t="s">
        <v>45</v>
      </c>
      <c r="P3135" s="1" t="s">
        <v>55</v>
      </c>
      <c r="Q3135" s="1">
        <v>13</v>
      </c>
      <c r="R3135" s="1">
        <v>0</v>
      </c>
      <c r="S3135" s="1">
        <v>13</v>
      </c>
      <c r="T3135" s="1">
        <v>0</v>
      </c>
      <c r="U3135" s="1">
        <v>0</v>
      </c>
      <c r="V3135" s="1" t="str">
        <f t="shared" si="593"/>
        <v>里程去程</v>
      </c>
      <c r="W3135" s="1" t="str">
        <f t="shared" si="595"/>
        <v>2020</v>
      </c>
      <c r="X3135" s="1" t="s">
        <v>35</v>
      </c>
    </row>
    <row r="3136" spans="1:24" x14ac:dyDescent="0.3">
      <c r="A3136" s="1" t="str">
        <f t="shared" si="592"/>
        <v>59822</v>
      </c>
      <c r="B3136" s="1" t="s">
        <v>39</v>
      </c>
      <c r="C3136" s="1" t="s">
        <v>40</v>
      </c>
      <c r="D3136" s="1" t="str">
        <f t="shared" si="594"/>
        <v>9801</v>
      </c>
      <c r="E3136" s="1" t="s">
        <v>25</v>
      </c>
      <c r="F3136" s="1" t="str">
        <f>"668637157"</f>
        <v>668637157</v>
      </c>
      <c r="G3136" s="1" t="s">
        <v>33</v>
      </c>
      <c r="H3136" s="1" t="str">
        <f t="shared" si="596"/>
        <v>20220914</v>
      </c>
      <c r="I3136" s="1" t="str">
        <f>"165033"</f>
        <v>165033</v>
      </c>
      <c r="J3136" s="1" t="s">
        <v>91</v>
      </c>
      <c r="K3136" s="1" t="s">
        <v>45</v>
      </c>
      <c r="L3136" s="1" t="str">
        <f t="shared" si="597"/>
        <v>20220914</v>
      </c>
      <c r="M3136" s="1" t="str">
        <f>"165914"</f>
        <v>165914</v>
      </c>
      <c r="N3136" s="1" t="s">
        <v>44</v>
      </c>
      <c r="O3136" s="1" t="s">
        <v>45</v>
      </c>
      <c r="P3136" s="1" t="s">
        <v>55</v>
      </c>
      <c r="Q3136" s="1">
        <v>25</v>
      </c>
      <c r="R3136" s="1">
        <v>25</v>
      </c>
      <c r="S3136" s="1">
        <v>0</v>
      </c>
      <c r="T3136" s="1">
        <v>0</v>
      </c>
      <c r="U3136" s="1">
        <v>0</v>
      </c>
      <c r="V3136" s="1" t="str">
        <f t="shared" si="593"/>
        <v>里程去程</v>
      </c>
      <c r="W3136" s="1" t="str">
        <f t="shared" si="595"/>
        <v>2020</v>
      </c>
      <c r="X3136" s="1" t="s">
        <v>35</v>
      </c>
    </row>
    <row r="3137" spans="1:24" x14ac:dyDescent="0.3">
      <c r="A3137" s="1" t="str">
        <f t="shared" si="592"/>
        <v>59822</v>
      </c>
      <c r="B3137" s="1" t="s">
        <v>39</v>
      </c>
      <c r="C3137" s="1" t="s">
        <v>40</v>
      </c>
      <c r="D3137" s="1" t="str">
        <f t="shared" si="594"/>
        <v>9801</v>
      </c>
      <c r="E3137" s="1" t="s">
        <v>25</v>
      </c>
      <c r="F3137" s="1" t="str">
        <f>"1049707637"</f>
        <v>1049707637</v>
      </c>
      <c r="G3137" s="1" t="s">
        <v>26</v>
      </c>
      <c r="H3137" s="1" t="str">
        <f t="shared" si="596"/>
        <v>20220914</v>
      </c>
      <c r="I3137" s="1" t="str">
        <f>"165035"</f>
        <v>165035</v>
      </c>
      <c r="J3137" s="1" t="s">
        <v>91</v>
      </c>
      <c r="K3137" s="1" t="s">
        <v>45</v>
      </c>
      <c r="L3137" s="1" t="str">
        <f t="shared" si="597"/>
        <v>20220914</v>
      </c>
      <c r="M3137" s="1" t="str">
        <f>"165902"</f>
        <v>165902</v>
      </c>
      <c r="N3137" s="1" t="s">
        <v>44</v>
      </c>
      <c r="O3137" s="1" t="s">
        <v>45</v>
      </c>
      <c r="P3137" s="1" t="s">
        <v>55</v>
      </c>
      <c r="Q3137" s="1">
        <v>13</v>
      </c>
      <c r="R3137" s="1">
        <v>0</v>
      </c>
      <c r="S3137" s="1">
        <v>13</v>
      </c>
      <c r="T3137" s="1">
        <v>0</v>
      </c>
      <c r="U3137" s="1">
        <v>0</v>
      </c>
      <c r="V3137" s="1" t="str">
        <f t="shared" si="593"/>
        <v>里程去程</v>
      </c>
      <c r="W3137" s="1" t="str">
        <f t="shared" si="595"/>
        <v>2020</v>
      </c>
      <c r="X3137" s="1" t="s">
        <v>35</v>
      </c>
    </row>
    <row r="3138" spans="1:24" x14ac:dyDescent="0.3">
      <c r="A3138" s="1" t="str">
        <f t="shared" si="592"/>
        <v>59822</v>
      </c>
      <c r="B3138" s="1" t="s">
        <v>39</v>
      </c>
      <c r="C3138" s="1" t="s">
        <v>40</v>
      </c>
      <c r="D3138" s="1" t="str">
        <f t="shared" si="594"/>
        <v>9801</v>
      </c>
      <c r="E3138" s="1" t="s">
        <v>25</v>
      </c>
      <c r="F3138" s="1" t="str">
        <f>"1263087829"</f>
        <v>1263087829</v>
      </c>
      <c r="G3138" s="1" t="s">
        <v>33</v>
      </c>
      <c r="H3138" s="1" t="str">
        <f t="shared" si="596"/>
        <v>20220914</v>
      </c>
      <c r="I3138" s="1" t="str">
        <f>"165038"</f>
        <v>165038</v>
      </c>
      <c r="J3138" s="1" t="s">
        <v>91</v>
      </c>
      <c r="K3138" s="1" t="s">
        <v>45</v>
      </c>
      <c r="L3138" s="1" t="str">
        <f t="shared" si="597"/>
        <v>20220914</v>
      </c>
      <c r="M3138" s="1" t="str">
        <f>"165859"</f>
        <v>165859</v>
      </c>
      <c r="N3138" s="1" t="s">
        <v>44</v>
      </c>
      <c r="O3138" s="1" t="s">
        <v>45</v>
      </c>
      <c r="P3138" s="1" t="s">
        <v>55</v>
      </c>
      <c r="Q3138" s="1">
        <v>25</v>
      </c>
      <c r="R3138" s="1">
        <v>25</v>
      </c>
      <c r="S3138" s="1">
        <v>0</v>
      </c>
      <c r="T3138" s="1">
        <v>0</v>
      </c>
      <c r="U3138" s="1">
        <v>0</v>
      </c>
      <c r="V3138" s="1" t="str">
        <f t="shared" si="593"/>
        <v>里程去程</v>
      </c>
      <c r="W3138" s="1" t="str">
        <f t="shared" si="595"/>
        <v>2020</v>
      </c>
      <c r="X3138" s="1" t="s">
        <v>35</v>
      </c>
    </row>
    <row r="3139" spans="1:24" x14ac:dyDescent="0.3">
      <c r="A3139" s="1" t="str">
        <f t="shared" ref="A3139:A3170" si="598">"59822"</f>
        <v>59822</v>
      </c>
      <c r="B3139" s="1" t="s">
        <v>39</v>
      </c>
      <c r="C3139" s="1" t="s">
        <v>40</v>
      </c>
      <c r="D3139" s="1" t="str">
        <f t="shared" si="594"/>
        <v>9801</v>
      </c>
      <c r="E3139" s="1" t="s">
        <v>25</v>
      </c>
      <c r="F3139" s="1" t="str">
        <f>"1231344821"</f>
        <v>1231344821</v>
      </c>
      <c r="G3139" s="1" t="s">
        <v>74</v>
      </c>
      <c r="H3139" s="1" t="str">
        <f t="shared" si="596"/>
        <v>20220914</v>
      </c>
      <c r="I3139" s="1" t="str">
        <f>"165042"</f>
        <v>165042</v>
      </c>
      <c r="J3139" s="1" t="s">
        <v>91</v>
      </c>
      <c r="K3139" s="1" t="s">
        <v>45</v>
      </c>
      <c r="L3139" s="1" t="str">
        <f t="shared" si="597"/>
        <v>20220914</v>
      </c>
      <c r="M3139" s="1" t="str">
        <f>"165722"</f>
        <v>165722</v>
      </c>
      <c r="N3139" s="1" t="s">
        <v>44</v>
      </c>
      <c r="O3139" s="1" t="s">
        <v>45</v>
      </c>
      <c r="P3139" s="1" t="s">
        <v>55</v>
      </c>
      <c r="Q3139" s="1">
        <v>13</v>
      </c>
      <c r="R3139" s="1">
        <v>0</v>
      </c>
      <c r="S3139" s="1">
        <v>13</v>
      </c>
      <c r="T3139" s="1">
        <v>0</v>
      </c>
      <c r="U3139" s="1">
        <v>0</v>
      </c>
      <c r="V3139" s="1" t="str">
        <f t="shared" ref="V3139:V3157" si="599">"里程去程"</f>
        <v>里程去程</v>
      </c>
      <c r="W3139" s="1" t="str">
        <f t="shared" si="595"/>
        <v>2020</v>
      </c>
      <c r="X3139" s="1" t="s">
        <v>35</v>
      </c>
    </row>
    <row r="3140" spans="1:24" x14ac:dyDescent="0.3">
      <c r="A3140" s="1" t="str">
        <f t="shared" si="598"/>
        <v>59822</v>
      </c>
      <c r="B3140" s="1" t="s">
        <v>39</v>
      </c>
      <c r="C3140" s="1" t="s">
        <v>40</v>
      </c>
      <c r="D3140" s="1" t="str">
        <f t="shared" si="594"/>
        <v>9801</v>
      </c>
      <c r="E3140" s="1" t="s">
        <v>25</v>
      </c>
      <c r="F3140" s="1" t="str">
        <f>"1014787509"</f>
        <v>1014787509</v>
      </c>
      <c r="G3140" s="1" t="s">
        <v>33</v>
      </c>
      <c r="H3140" s="1" t="str">
        <f t="shared" si="596"/>
        <v>20220914</v>
      </c>
      <c r="I3140" s="1" t="str">
        <f>"165047"</f>
        <v>165047</v>
      </c>
      <c r="J3140" s="1" t="s">
        <v>91</v>
      </c>
      <c r="K3140" s="1" t="s">
        <v>45</v>
      </c>
      <c r="L3140" s="1" t="str">
        <f t="shared" si="597"/>
        <v>20220914</v>
      </c>
      <c r="M3140" s="1" t="str">
        <f>"165905"</f>
        <v>165905</v>
      </c>
      <c r="N3140" s="1" t="s">
        <v>44</v>
      </c>
      <c r="O3140" s="1" t="s">
        <v>45</v>
      </c>
      <c r="P3140" s="1" t="s">
        <v>55</v>
      </c>
      <c r="Q3140" s="1">
        <v>25</v>
      </c>
      <c r="R3140" s="1">
        <v>25</v>
      </c>
      <c r="S3140" s="1">
        <v>0</v>
      </c>
      <c r="T3140" s="1">
        <v>0</v>
      </c>
      <c r="U3140" s="1">
        <v>0</v>
      </c>
      <c r="V3140" s="1" t="str">
        <f t="shared" si="599"/>
        <v>里程去程</v>
      </c>
      <c r="W3140" s="1" t="str">
        <f t="shared" si="595"/>
        <v>2020</v>
      </c>
      <c r="X3140" s="1" t="s">
        <v>35</v>
      </c>
    </row>
    <row r="3141" spans="1:24" x14ac:dyDescent="0.3">
      <c r="A3141" s="1" t="str">
        <f t="shared" si="598"/>
        <v>59822</v>
      </c>
      <c r="B3141" s="1" t="s">
        <v>39</v>
      </c>
      <c r="C3141" s="1" t="s">
        <v>40</v>
      </c>
      <c r="D3141" s="1" t="str">
        <f t="shared" ref="D3141:D3168" si="600">"9801"</f>
        <v>9801</v>
      </c>
      <c r="E3141" s="1" t="s">
        <v>25</v>
      </c>
      <c r="F3141" s="1" t="str">
        <f>"1176944773"</f>
        <v>1176944773</v>
      </c>
      <c r="G3141" s="1" t="s">
        <v>33</v>
      </c>
      <c r="H3141" s="1" t="str">
        <f t="shared" si="596"/>
        <v>20220914</v>
      </c>
      <c r="I3141" s="1" t="str">
        <f>"165051"</f>
        <v>165051</v>
      </c>
      <c r="J3141" s="1" t="s">
        <v>91</v>
      </c>
      <c r="K3141" s="1" t="s">
        <v>45</v>
      </c>
      <c r="L3141" s="1" t="str">
        <f t="shared" si="597"/>
        <v>20220914</v>
      </c>
      <c r="M3141" s="1" t="str">
        <f>"165842"</f>
        <v>165842</v>
      </c>
      <c r="N3141" s="1" t="s">
        <v>44</v>
      </c>
      <c r="O3141" s="1" t="s">
        <v>45</v>
      </c>
      <c r="P3141" s="1" t="s">
        <v>55</v>
      </c>
      <c r="Q3141" s="1">
        <v>25</v>
      </c>
      <c r="R3141" s="1">
        <v>25</v>
      </c>
      <c r="S3141" s="1">
        <v>0</v>
      </c>
      <c r="T3141" s="1">
        <v>0</v>
      </c>
      <c r="U3141" s="1">
        <v>0</v>
      </c>
      <c r="V3141" s="1" t="str">
        <f t="shared" si="599"/>
        <v>里程去程</v>
      </c>
      <c r="W3141" s="1" t="str">
        <f t="shared" si="595"/>
        <v>2020</v>
      </c>
      <c r="X3141" s="1" t="s">
        <v>35</v>
      </c>
    </row>
    <row r="3142" spans="1:24" x14ac:dyDescent="0.3">
      <c r="A3142" s="1" t="str">
        <f t="shared" si="598"/>
        <v>59822</v>
      </c>
      <c r="B3142" s="1" t="s">
        <v>39</v>
      </c>
      <c r="C3142" s="1" t="s">
        <v>40</v>
      </c>
      <c r="D3142" s="1" t="str">
        <f t="shared" si="600"/>
        <v>9801</v>
      </c>
      <c r="E3142" s="1" t="s">
        <v>25</v>
      </c>
      <c r="F3142" s="1" t="str">
        <f>"3478009790"</f>
        <v>3478009790</v>
      </c>
      <c r="G3142" s="1" t="s">
        <v>33</v>
      </c>
      <c r="H3142" s="1" t="str">
        <f t="shared" si="596"/>
        <v>20220914</v>
      </c>
      <c r="I3142" s="1" t="str">
        <f>"165054"</f>
        <v>165054</v>
      </c>
      <c r="J3142" s="1" t="s">
        <v>91</v>
      </c>
      <c r="K3142" s="1" t="s">
        <v>45</v>
      </c>
      <c r="L3142" s="1" t="str">
        <f t="shared" si="597"/>
        <v>20220914</v>
      </c>
      <c r="M3142" s="1" t="str">
        <f>"165827"</f>
        <v>165827</v>
      </c>
      <c r="N3142" s="1" t="s">
        <v>44</v>
      </c>
      <c r="O3142" s="1" t="s">
        <v>45</v>
      </c>
      <c r="P3142" s="1" t="s">
        <v>55</v>
      </c>
      <c r="Q3142" s="1">
        <v>25</v>
      </c>
      <c r="R3142" s="1">
        <v>25</v>
      </c>
      <c r="S3142" s="1">
        <v>0</v>
      </c>
      <c r="T3142" s="1">
        <v>0</v>
      </c>
      <c r="U3142" s="1">
        <v>0</v>
      </c>
      <c r="V3142" s="1" t="str">
        <f t="shared" si="599"/>
        <v>里程去程</v>
      </c>
      <c r="W3142" s="1" t="str">
        <f t="shared" si="595"/>
        <v>2020</v>
      </c>
      <c r="X3142" s="1" t="s">
        <v>35</v>
      </c>
    </row>
    <row r="3143" spans="1:24" x14ac:dyDescent="0.3">
      <c r="A3143" s="1" t="str">
        <f t="shared" si="598"/>
        <v>59822</v>
      </c>
      <c r="B3143" s="1" t="s">
        <v>39</v>
      </c>
      <c r="C3143" s="1" t="s">
        <v>40</v>
      </c>
      <c r="D3143" s="1" t="str">
        <f t="shared" si="600"/>
        <v>9801</v>
      </c>
      <c r="E3143" s="1" t="s">
        <v>25</v>
      </c>
      <c r="F3143" s="1" t="str">
        <f>"2305384936"</f>
        <v>2305384936</v>
      </c>
      <c r="G3143" s="1" t="s">
        <v>33</v>
      </c>
      <c r="H3143" s="1" t="str">
        <f t="shared" si="596"/>
        <v>20220914</v>
      </c>
      <c r="I3143" s="1" t="str">
        <f>"165057"</f>
        <v>165057</v>
      </c>
      <c r="J3143" s="1" t="s">
        <v>91</v>
      </c>
      <c r="K3143" s="1" t="s">
        <v>45</v>
      </c>
      <c r="L3143" s="1" t="str">
        <f t="shared" si="597"/>
        <v>20220914</v>
      </c>
      <c r="M3143" s="1" t="str">
        <f>"165830"</f>
        <v>165830</v>
      </c>
      <c r="N3143" s="1" t="s">
        <v>44</v>
      </c>
      <c r="O3143" s="1" t="s">
        <v>45</v>
      </c>
      <c r="P3143" s="1" t="s">
        <v>55</v>
      </c>
      <c r="Q3143" s="1">
        <v>25</v>
      </c>
      <c r="R3143" s="1">
        <v>25</v>
      </c>
      <c r="S3143" s="1">
        <v>0</v>
      </c>
      <c r="T3143" s="1">
        <v>0</v>
      </c>
      <c r="U3143" s="1">
        <v>0</v>
      </c>
      <c r="V3143" s="1" t="str">
        <f t="shared" si="599"/>
        <v>里程去程</v>
      </c>
      <c r="W3143" s="1" t="str">
        <f t="shared" si="595"/>
        <v>2020</v>
      </c>
      <c r="X3143" s="1" t="s">
        <v>35</v>
      </c>
    </row>
    <row r="3144" spans="1:24" x14ac:dyDescent="0.3">
      <c r="A3144" s="1" t="str">
        <f t="shared" si="598"/>
        <v>59822</v>
      </c>
      <c r="B3144" s="1" t="s">
        <v>39</v>
      </c>
      <c r="C3144" s="1" t="s">
        <v>40</v>
      </c>
      <c r="D3144" s="1" t="str">
        <f t="shared" si="600"/>
        <v>9801</v>
      </c>
      <c r="E3144" s="1" t="s">
        <v>25</v>
      </c>
      <c r="F3144" s="1" t="str">
        <f>"1390273585"</f>
        <v>1390273585</v>
      </c>
      <c r="G3144" s="1" t="s">
        <v>26</v>
      </c>
      <c r="H3144" s="1" t="str">
        <f t="shared" si="596"/>
        <v>20220914</v>
      </c>
      <c r="I3144" s="1" t="str">
        <f>"165058"</f>
        <v>165058</v>
      </c>
      <c r="J3144" s="1" t="s">
        <v>91</v>
      </c>
      <c r="K3144" s="1" t="s">
        <v>45</v>
      </c>
      <c r="L3144" s="1" t="str">
        <f t="shared" si="597"/>
        <v>20220914</v>
      </c>
      <c r="M3144" s="1" t="str">
        <f>"165917"</f>
        <v>165917</v>
      </c>
      <c r="N3144" s="1" t="s">
        <v>44</v>
      </c>
      <c r="O3144" s="1" t="s">
        <v>45</v>
      </c>
      <c r="P3144" s="1" t="s">
        <v>55</v>
      </c>
      <c r="Q3144" s="1">
        <v>13</v>
      </c>
      <c r="R3144" s="1">
        <v>0</v>
      </c>
      <c r="S3144" s="1">
        <v>13</v>
      </c>
      <c r="T3144" s="1">
        <v>0</v>
      </c>
      <c r="U3144" s="1">
        <v>0</v>
      </c>
      <c r="V3144" s="1" t="str">
        <f t="shared" si="599"/>
        <v>里程去程</v>
      </c>
      <c r="W3144" s="1" t="str">
        <f t="shared" si="595"/>
        <v>2020</v>
      </c>
      <c r="X3144" s="1" t="s">
        <v>35</v>
      </c>
    </row>
    <row r="3145" spans="1:24" x14ac:dyDescent="0.3">
      <c r="A3145" s="1" t="str">
        <f t="shared" si="598"/>
        <v>59822</v>
      </c>
      <c r="B3145" s="1" t="s">
        <v>39</v>
      </c>
      <c r="C3145" s="1" t="s">
        <v>40</v>
      </c>
      <c r="D3145" s="1" t="str">
        <f t="shared" si="600"/>
        <v>9801</v>
      </c>
      <c r="E3145" s="1" t="s">
        <v>25</v>
      </c>
      <c r="F3145" s="1" t="str">
        <f>"278713281"</f>
        <v>278713281</v>
      </c>
      <c r="G3145" s="1" t="s">
        <v>33</v>
      </c>
      <c r="H3145" s="1" t="str">
        <f t="shared" si="596"/>
        <v>20220914</v>
      </c>
      <c r="I3145" s="1" t="str">
        <f>"165102"</f>
        <v>165102</v>
      </c>
      <c r="J3145" s="1" t="s">
        <v>91</v>
      </c>
      <c r="K3145" s="1" t="s">
        <v>45</v>
      </c>
      <c r="L3145" s="1" t="str">
        <f t="shared" si="597"/>
        <v>20220914</v>
      </c>
      <c r="M3145" s="1" t="str">
        <f>"165853"</f>
        <v>165853</v>
      </c>
      <c r="N3145" s="1" t="s">
        <v>44</v>
      </c>
      <c r="O3145" s="1" t="s">
        <v>45</v>
      </c>
      <c r="P3145" s="1" t="s">
        <v>55</v>
      </c>
      <c r="Q3145" s="1">
        <v>25</v>
      </c>
      <c r="R3145" s="1">
        <v>25</v>
      </c>
      <c r="S3145" s="1">
        <v>0</v>
      </c>
      <c r="T3145" s="1">
        <v>0</v>
      </c>
      <c r="U3145" s="1">
        <v>0</v>
      </c>
      <c r="V3145" s="1" t="str">
        <f t="shared" si="599"/>
        <v>里程去程</v>
      </c>
      <c r="W3145" s="1" t="str">
        <f>"1c20"</f>
        <v>1c20</v>
      </c>
      <c r="X3145" s="1" t="s">
        <v>35</v>
      </c>
    </row>
    <row r="3146" spans="1:24" x14ac:dyDescent="0.3">
      <c r="A3146" s="1" t="str">
        <f t="shared" si="598"/>
        <v>59822</v>
      </c>
      <c r="B3146" s="1" t="s">
        <v>39</v>
      </c>
      <c r="C3146" s="1" t="s">
        <v>40</v>
      </c>
      <c r="D3146" s="1" t="str">
        <f t="shared" si="600"/>
        <v>9801</v>
      </c>
      <c r="E3146" s="1" t="s">
        <v>25</v>
      </c>
      <c r="F3146" s="1" t="str">
        <f>"1305529377"</f>
        <v>1305529377</v>
      </c>
      <c r="G3146" s="1" t="s">
        <v>26</v>
      </c>
      <c r="H3146" s="1" t="str">
        <f t="shared" si="596"/>
        <v>20220914</v>
      </c>
      <c r="I3146" s="1" t="str">
        <f>"165106"</f>
        <v>165106</v>
      </c>
      <c r="J3146" s="1" t="s">
        <v>91</v>
      </c>
      <c r="K3146" s="1" t="s">
        <v>45</v>
      </c>
      <c r="L3146" s="1" t="str">
        <f t="shared" si="597"/>
        <v>20220914</v>
      </c>
      <c r="M3146" s="1" t="str">
        <f>"165846"</f>
        <v>165846</v>
      </c>
      <c r="N3146" s="1" t="s">
        <v>44</v>
      </c>
      <c r="O3146" s="1" t="s">
        <v>45</v>
      </c>
      <c r="P3146" s="1" t="s">
        <v>55</v>
      </c>
      <c r="Q3146" s="1">
        <v>13</v>
      </c>
      <c r="R3146" s="1">
        <v>0</v>
      </c>
      <c r="S3146" s="1">
        <v>13</v>
      </c>
      <c r="T3146" s="1">
        <v>0</v>
      </c>
      <c r="U3146" s="1">
        <v>0</v>
      </c>
      <c r="V3146" s="1" t="str">
        <f t="shared" si="599"/>
        <v>里程去程</v>
      </c>
      <c r="W3146" s="1" t="str">
        <f t="shared" ref="W3146:W3157" si="601">"2020"</f>
        <v>2020</v>
      </c>
      <c r="X3146" s="1" t="s">
        <v>35</v>
      </c>
    </row>
    <row r="3147" spans="1:24" x14ac:dyDescent="0.3">
      <c r="A3147" s="1" t="str">
        <f t="shared" si="598"/>
        <v>59822</v>
      </c>
      <c r="B3147" s="1" t="s">
        <v>39</v>
      </c>
      <c r="C3147" s="1" t="s">
        <v>40</v>
      </c>
      <c r="D3147" s="1" t="str">
        <f t="shared" si="600"/>
        <v>9801</v>
      </c>
      <c r="E3147" s="1" t="s">
        <v>25</v>
      </c>
      <c r="F3147" s="1" t="str">
        <f>"1646286037"</f>
        <v>1646286037</v>
      </c>
      <c r="G3147" s="1" t="s">
        <v>26</v>
      </c>
      <c r="H3147" s="1" t="str">
        <f t="shared" si="596"/>
        <v>20220914</v>
      </c>
      <c r="I3147" s="1" t="str">
        <f>"165111"</f>
        <v>165111</v>
      </c>
      <c r="J3147" s="1" t="s">
        <v>91</v>
      </c>
      <c r="K3147" s="1" t="s">
        <v>45</v>
      </c>
      <c r="L3147" s="1" t="str">
        <f t="shared" si="597"/>
        <v>20220914</v>
      </c>
      <c r="M3147" s="1" t="str">
        <f>"165924"</f>
        <v>165924</v>
      </c>
      <c r="N3147" s="1" t="s">
        <v>44</v>
      </c>
      <c r="O3147" s="1" t="s">
        <v>45</v>
      </c>
      <c r="P3147" s="1" t="s">
        <v>55</v>
      </c>
      <c r="Q3147" s="1">
        <v>13</v>
      </c>
      <c r="R3147" s="1">
        <v>0</v>
      </c>
      <c r="S3147" s="1">
        <v>13</v>
      </c>
      <c r="T3147" s="1">
        <v>0</v>
      </c>
      <c r="U3147" s="1">
        <v>0</v>
      </c>
      <c r="V3147" s="1" t="str">
        <f t="shared" si="599"/>
        <v>里程去程</v>
      </c>
      <c r="W3147" s="1" t="str">
        <f t="shared" si="601"/>
        <v>2020</v>
      </c>
      <c r="X3147" s="1" t="s">
        <v>35</v>
      </c>
    </row>
    <row r="3148" spans="1:24" x14ac:dyDescent="0.3">
      <c r="A3148" s="1" t="str">
        <f t="shared" si="598"/>
        <v>59822</v>
      </c>
      <c r="B3148" s="1" t="s">
        <v>39</v>
      </c>
      <c r="C3148" s="1" t="s">
        <v>40</v>
      </c>
      <c r="D3148" s="1" t="str">
        <f t="shared" si="600"/>
        <v>9801</v>
      </c>
      <c r="E3148" s="1" t="s">
        <v>25</v>
      </c>
      <c r="F3148" s="1" t="str">
        <f>"994298805"</f>
        <v>994298805</v>
      </c>
      <c r="G3148" s="1" t="s">
        <v>26</v>
      </c>
      <c r="H3148" s="1" t="str">
        <f t="shared" si="596"/>
        <v>20220914</v>
      </c>
      <c r="I3148" s="1" t="str">
        <f>"165115"</f>
        <v>165115</v>
      </c>
      <c r="J3148" s="1" t="s">
        <v>91</v>
      </c>
      <c r="K3148" s="1" t="s">
        <v>45</v>
      </c>
      <c r="L3148" s="1" t="str">
        <f t="shared" si="597"/>
        <v>20220914</v>
      </c>
      <c r="M3148" s="1" t="str">
        <f>"165911"</f>
        <v>165911</v>
      </c>
      <c r="N3148" s="1" t="s">
        <v>44</v>
      </c>
      <c r="O3148" s="1" t="s">
        <v>45</v>
      </c>
      <c r="P3148" s="1" t="s">
        <v>55</v>
      </c>
      <c r="Q3148" s="1">
        <v>13</v>
      </c>
      <c r="R3148" s="1">
        <v>0</v>
      </c>
      <c r="S3148" s="1">
        <v>13</v>
      </c>
      <c r="T3148" s="1">
        <v>0</v>
      </c>
      <c r="U3148" s="1">
        <v>0</v>
      </c>
      <c r="V3148" s="1" t="str">
        <f t="shared" si="599"/>
        <v>里程去程</v>
      </c>
      <c r="W3148" s="1" t="str">
        <f t="shared" si="601"/>
        <v>2020</v>
      </c>
      <c r="X3148" s="1" t="s">
        <v>35</v>
      </c>
    </row>
    <row r="3149" spans="1:24" x14ac:dyDescent="0.3">
      <c r="A3149" s="1" t="str">
        <f t="shared" si="598"/>
        <v>59822</v>
      </c>
      <c r="B3149" s="1" t="s">
        <v>39</v>
      </c>
      <c r="C3149" s="1" t="s">
        <v>40</v>
      </c>
      <c r="D3149" s="1" t="str">
        <f t="shared" si="600"/>
        <v>9801</v>
      </c>
      <c r="E3149" s="1" t="s">
        <v>25</v>
      </c>
      <c r="F3149" s="1" t="str">
        <f>"750279361"</f>
        <v>750279361</v>
      </c>
      <c r="G3149" s="1" t="s">
        <v>33</v>
      </c>
      <c r="H3149" s="1" t="str">
        <f t="shared" si="596"/>
        <v>20220914</v>
      </c>
      <c r="I3149" s="1" t="str">
        <f>"165120"</f>
        <v>165120</v>
      </c>
      <c r="J3149" s="1" t="s">
        <v>91</v>
      </c>
      <c r="K3149" s="1" t="s">
        <v>45</v>
      </c>
      <c r="L3149" s="1" t="str">
        <f t="shared" si="597"/>
        <v>20220914</v>
      </c>
      <c r="M3149" s="1" t="str">
        <f>"165849"</f>
        <v>165849</v>
      </c>
      <c r="N3149" s="1" t="s">
        <v>44</v>
      </c>
      <c r="O3149" s="1" t="s">
        <v>45</v>
      </c>
      <c r="P3149" s="1" t="s">
        <v>55</v>
      </c>
      <c r="Q3149" s="1">
        <v>25</v>
      </c>
      <c r="R3149" s="1">
        <v>25</v>
      </c>
      <c r="S3149" s="1">
        <v>0</v>
      </c>
      <c r="T3149" s="1">
        <v>0</v>
      </c>
      <c r="U3149" s="1">
        <v>0</v>
      </c>
      <c r="V3149" s="1" t="str">
        <f t="shared" si="599"/>
        <v>里程去程</v>
      </c>
      <c r="W3149" s="1" t="str">
        <f t="shared" si="601"/>
        <v>2020</v>
      </c>
      <c r="X3149" s="1" t="s">
        <v>35</v>
      </c>
    </row>
    <row r="3150" spans="1:24" x14ac:dyDescent="0.3">
      <c r="A3150" s="1" t="str">
        <f t="shared" si="598"/>
        <v>59822</v>
      </c>
      <c r="B3150" s="1" t="s">
        <v>39</v>
      </c>
      <c r="C3150" s="1" t="s">
        <v>40</v>
      </c>
      <c r="D3150" s="1" t="str">
        <f t="shared" si="600"/>
        <v>9801</v>
      </c>
      <c r="E3150" s="1" t="s">
        <v>25</v>
      </c>
      <c r="F3150" s="1" t="str">
        <f>"1108547297"</f>
        <v>1108547297</v>
      </c>
      <c r="G3150" s="1" t="s">
        <v>33</v>
      </c>
      <c r="H3150" s="1" t="str">
        <f t="shared" si="596"/>
        <v>20220914</v>
      </c>
      <c r="I3150" s="1" t="str">
        <f>"165122"</f>
        <v>165122</v>
      </c>
      <c r="J3150" s="1" t="s">
        <v>91</v>
      </c>
      <c r="K3150" s="1" t="s">
        <v>45</v>
      </c>
      <c r="L3150" s="1" t="str">
        <f t="shared" si="597"/>
        <v>20220914</v>
      </c>
      <c r="M3150" s="1" t="str">
        <f>"165835"</f>
        <v>165835</v>
      </c>
      <c r="N3150" s="1" t="s">
        <v>44</v>
      </c>
      <c r="O3150" s="1" t="s">
        <v>45</v>
      </c>
      <c r="P3150" s="1" t="s">
        <v>55</v>
      </c>
      <c r="Q3150" s="1">
        <v>25</v>
      </c>
      <c r="R3150" s="1">
        <v>25</v>
      </c>
      <c r="S3150" s="1">
        <v>0</v>
      </c>
      <c r="T3150" s="1">
        <v>0</v>
      </c>
      <c r="U3150" s="1">
        <v>0</v>
      </c>
      <c r="V3150" s="1" t="str">
        <f t="shared" si="599"/>
        <v>里程去程</v>
      </c>
      <c r="W3150" s="1" t="str">
        <f t="shared" si="601"/>
        <v>2020</v>
      </c>
      <c r="X3150" s="1" t="s">
        <v>35</v>
      </c>
    </row>
    <row r="3151" spans="1:24" x14ac:dyDescent="0.3">
      <c r="A3151" s="1" t="str">
        <f t="shared" si="598"/>
        <v>59822</v>
      </c>
      <c r="B3151" s="1" t="s">
        <v>39</v>
      </c>
      <c r="C3151" s="1" t="s">
        <v>40</v>
      </c>
      <c r="D3151" s="1" t="str">
        <f t="shared" si="600"/>
        <v>9801</v>
      </c>
      <c r="E3151" s="1" t="s">
        <v>25</v>
      </c>
      <c r="F3151" s="1" t="str">
        <f>"1218531701"</f>
        <v>1218531701</v>
      </c>
      <c r="G3151" s="1" t="s">
        <v>33</v>
      </c>
      <c r="H3151" s="1" t="str">
        <f t="shared" si="596"/>
        <v>20220914</v>
      </c>
      <c r="I3151" s="1" t="str">
        <f>"165126"</f>
        <v>165126</v>
      </c>
      <c r="J3151" s="1" t="s">
        <v>91</v>
      </c>
      <c r="K3151" s="1" t="s">
        <v>45</v>
      </c>
      <c r="L3151" s="1" t="str">
        <f t="shared" si="597"/>
        <v>20220914</v>
      </c>
      <c r="M3151" s="1" t="str">
        <f>"165838"</f>
        <v>165838</v>
      </c>
      <c r="N3151" s="1" t="s">
        <v>44</v>
      </c>
      <c r="O3151" s="1" t="s">
        <v>45</v>
      </c>
      <c r="P3151" s="1" t="s">
        <v>55</v>
      </c>
      <c r="Q3151" s="1">
        <v>25</v>
      </c>
      <c r="R3151" s="1">
        <v>25</v>
      </c>
      <c r="S3151" s="1">
        <v>0</v>
      </c>
      <c r="T3151" s="1">
        <v>0</v>
      </c>
      <c r="U3151" s="1">
        <v>0</v>
      </c>
      <c r="V3151" s="1" t="str">
        <f t="shared" si="599"/>
        <v>里程去程</v>
      </c>
      <c r="W3151" s="1" t="str">
        <f t="shared" si="601"/>
        <v>2020</v>
      </c>
      <c r="X3151" s="1" t="s">
        <v>35</v>
      </c>
    </row>
    <row r="3152" spans="1:24" x14ac:dyDescent="0.3">
      <c r="A3152" s="1" t="str">
        <f t="shared" si="598"/>
        <v>59822</v>
      </c>
      <c r="B3152" s="1" t="s">
        <v>39</v>
      </c>
      <c r="C3152" s="1" t="s">
        <v>40</v>
      </c>
      <c r="D3152" s="1" t="str">
        <f t="shared" si="600"/>
        <v>9801</v>
      </c>
      <c r="E3152" s="1" t="s">
        <v>25</v>
      </c>
      <c r="F3152" s="1" t="str">
        <f>"1737814858"</f>
        <v>1737814858</v>
      </c>
      <c r="G3152" s="1" t="s">
        <v>33</v>
      </c>
      <c r="H3152" s="1" t="str">
        <f t="shared" si="596"/>
        <v>20220914</v>
      </c>
      <c r="I3152" s="1" t="str">
        <f>"165133"</f>
        <v>165133</v>
      </c>
      <c r="J3152" s="1" t="s">
        <v>91</v>
      </c>
      <c r="K3152" s="1" t="s">
        <v>45</v>
      </c>
      <c r="L3152" s="1" t="str">
        <f t="shared" si="597"/>
        <v>20220914</v>
      </c>
      <c r="M3152" s="1" t="str">
        <f>"165814"</f>
        <v>165814</v>
      </c>
      <c r="N3152" s="1" t="s">
        <v>44</v>
      </c>
      <c r="O3152" s="1" t="s">
        <v>45</v>
      </c>
      <c r="P3152" s="1" t="s">
        <v>55</v>
      </c>
      <c r="Q3152" s="1">
        <v>25</v>
      </c>
      <c r="R3152" s="1">
        <v>25</v>
      </c>
      <c r="S3152" s="1">
        <v>0</v>
      </c>
      <c r="T3152" s="1">
        <v>0</v>
      </c>
      <c r="U3152" s="1">
        <v>0</v>
      </c>
      <c r="V3152" s="1" t="str">
        <f t="shared" si="599"/>
        <v>里程去程</v>
      </c>
      <c r="W3152" s="1" t="str">
        <f t="shared" si="601"/>
        <v>2020</v>
      </c>
      <c r="X3152" s="1" t="s">
        <v>35</v>
      </c>
    </row>
    <row r="3153" spans="1:24" x14ac:dyDescent="0.3">
      <c r="A3153" s="1" t="str">
        <f t="shared" si="598"/>
        <v>59822</v>
      </c>
      <c r="B3153" s="1" t="s">
        <v>39</v>
      </c>
      <c r="C3153" s="1" t="s">
        <v>40</v>
      </c>
      <c r="D3153" s="1" t="str">
        <f t="shared" si="600"/>
        <v>9801</v>
      </c>
      <c r="E3153" s="1" t="s">
        <v>25</v>
      </c>
      <c r="F3153" s="1" t="str">
        <f>"793634709"</f>
        <v>793634709</v>
      </c>
      <c r="G3153" s="1" t="s">
        <v>26</v>
      </c>
      <c r="H3153" s="1" t="str">
        <f t="shared" si="596"/>
        <v>20220914</v>
      </c>
      <c r="I3153" s="1" t="str">
        <f>"165136"</f>
        <v>165136</v>
      </c>
      <c r="J3153" s="1" t="s">
        <v>91</v>
      </c>
      <c r="K3153" s="1" t="s">
        <v>45</v>
      </c>
      <c r="L3153" s="1" t="str">
        <f t="shared" si="597"/>
        <v>20220914</v>
      </c>
      <c r="M3153" s="1" t="str">
        <f>"165803"</f>
        <v>165803</v>
      </c>
      <c r="N3153" s="1" t="s">
        <v>44</v>
      </c>
      <c r="O3153" s="1" t="s">
        <v>45</v>
      </c>
      <c r="P3153" s="1" t="s">
        <v>55</v>
      </c>
      <c r="Q3153" s="1">
        <v>13</v>
      </c>
      <c r="R3153" s="1">
        <v>0</v>
      </c>
      <c r="S3153" s="1">
        <v>13</v>
      </c>
      <c r="T3153" s="1">
        <v>0</v>
      </c>
      <c r="U3153" s="1">
        <v>0</v>
      </c>
      <c r="V3153" s="1" t="str">
        <f t="shared" si="599"/>
        <v>里程去程</v>
      </c>
      <c r="W3153" s="1" t="str">
        <f t="shared" si="601"/>
        <v>2020</v>
      </c>
      <c r="X3153" s="1" t="s">
        <v>35</v>
      </c>
    </row>
    <row r="3154" spans="1:24" x14ac:dyDescent="0.3">
      <c r="A3154" s="1" t="str">
        <f t="shared" si="598"/>
        <v>59822</v>
      </c>
      <c r="B3154" s="1" t="s">
        <v>39</v>
      </c>
      <c r="C3154" s="1" t="s">
        <v>40</v>
      </c>
      <c r="D3154" s="1" t="str">
        <f t="shared" si="600"/>
        <v>9801</v>
      </c>
      <c r="E3154" s="1" t="s">
        <v>25</v>
      </c>
      <c r="F3154" s="1" t="str">
        <f>"1075385649"</f>
        <v>1075385649</v>
      </c>
      <c r="G3154" s="1" t="s">
        <v>33</v>
      </c>
      <c r="H3154" s="1" t="str">
        <f t="shared" si="596"/>
        <v>20220914</v>
      </c>
      <c r="I3154" s="1" t="str">
        <f>"165140"</f>
        <v>165140</v>
      </c>
      <c r="J3154" s="1" t="s">
        <v>91</v>
      </c>
      <c r="K3154" s="1" t="s">
        <v>45</v>
      </c>
      <c r="L3154" s="1" t="str">
        <f t="shared" si="597"/>
        <v>20220914</v>
      </c>
      <c r="M3154" s="1" t="str">
        <f>"165759"</f>
        <v>165759</v>
      </c>
      <c r="N3154" s="1" t="s">
        <v>44</v>
      </c>
      <c r="O3154" s="1" t="s">
        <v>45</v>
      </c>
      <c r="P3154" s="1" t="s">
        <v>55</v>
      </c>
      <c r="Q3154" s="1">
        <v>25</v>
      </c>
      <c r="R3154" s="1">
        <v>25</v>
      </c>
      <c r="S3154" s="1">
        <v>0</v>
      </c>
      <c r="T3154" s="1">
        <v>0</v>
      </c>
      <c r="U3154" s="1">
        <v>0</v>
      </c>
      <c r="V3154" s="1" t="str">
        <f t="shared" si="599"/>
        <v>里程去程</v>
      </c>
      <c r="W3154" s="1" t="str">
        <f t="shared" si="601"/>
        <v>2020</v>
      </c>
      <c r="X3154" s="1" t="s">
        <v>35</v>
      </c>
    </row>
    <row r="3155" spans="1:24" x14ac:dyDescent="0.3">
      <c r="A3155" s="1" t="str">
        <f t="shared" si="598"/>
        <v>59822</v>
      </c>
      <c r="B3155" s="1" t="s">
        <v>39</v>
      </c>
      <c r="C3155" s="1" t="s">
        <v>40</v>
      </c>
      <c r="D3155" s="1" t="str">
        <f t="shared" si="600"/>
        <v>9801</v>
      </c>
      <c r="E3155" s="1" t="s">
        <v>25</v>
      </c>
      <c r="F3155" s="1" t="str">
        <f>"1406484497"</f>
        <v>1406484497</v>
      </c>
      <c r="G3155" s="1" t="s">
        <v>26</v>
      </c>
      <c r="H3155" s="1" t="str">
        <f t="shared" si="596"/>
        <v>20220914</v>
      </c>
      <c r="I3155" s="1" t="str">
        <f>"165144"</f>
        <v>165144</v>
      </c>
      <c r="J3155" s="1" t="s">
        <v>91</v>
      </c>
      <c r="K3155" s="1" t="s">
        <v>45</v>
      </c>
      <c r="L3155" s="1" t="str">
        <f t="shared" si="597"/>
        <v>20220914</v>
      </c>
      <c r="M3155" s="1" t="str">
        <f>"165725"</f>
        <v>165725</v>
      </c>
      <c r="N3155" s="1" t="s">
        <v>44</v>
      </c>
      <c r="O3155" s="1" t="s">
        <v>45</v>
      </c>
      <c r="P3155" s="1" t="s">
        <v>55</v>
      </c>
      <c r="Q3155" s="1">
        <v>13</v>
      </c>
      <c r="R3155" s="1">
        <v>0</v>
      </c>
      <c r="S3155" s="1">
        <v>13</v>
      </c>
      <c r="T3155" s="1">
        <v>0</v>
      </c>
      <c r="U3155" s="1">
        <v>0</v>
      </c>
      <c r="V3155" s="1" t="str">
        <f t="shared" si="599"/>
        <v>里程去程</v>
      </c>
      <c r="W3155" s="1" t="str">
        <f t="shared" si="601"/>
        <v>2020</v>
      </c>
      <c r="X3155" s="1" t="s">
        <v>35</v>
      </c>
    </row>
    <row r="3156" spans="1:24" x14ac:dyDescent="0.3">
      <c r="A3156" s="1" t="str">
        <f t="shared" si="598"/>
        <v>59822</v>
      </c>
      <c r="B3156" s="1" t="s">
        <v>39</v>
      </c>
      <c r="C3156" s="1" t="s">
        <v>40</v>
      </c>
      <c r="D3156" s="1" t="str">
        <f t="shared" si="600"/>
        <v>9801</v>
      </c>
      <c r="E3156" s="1" t="s">
        <v>25</v>
      </c>
      <c r="F3156" s="1" t="str">
        <f>"1209895909"</f>
        <v>1209895909</v>
      </c>
      <c r="G3156" s="1" t="s">
        <v>26</v>
      </c>
      <c r="H3156" s="1" t="str">
        <f t="shared" si="596"/>
        <v>20220914</v>
      </c>
      <c r="I3156" s="1" t="str">
        <f>"165146"</f>
        <v>165146</v>
      </c>
      <c r="J3156" s="1" t="s">
        <v>91</v>
      </c>
      <c r="K3156" s="1" t="s">
        <v>45</v>
      </c>
      <c r="L3156" s="1" t="str">
        <f t="shared" si="597"/>
        <v>20220914</v>
      </c>
      <c r="M3156" s="1" t="str">
        <f>"165831"</f>
        <v>165831</v>
      </c>
      <c r="N3156" s="1" t="s">
        <v>44</v>
      </c>
      <c r="O3156" s="1" t="s">
        <v>45</v>
      </c>
      <c r="P3156" s="1" t="s">
        <v>55</v>
      </c>
      <c r="Q3156" s="1">
        <v>13</v>
      </c>
      <c r="R3156" s="1">
        <v>0</v>
      </c>
      <c r="S3156" s="1">
        <v>13</v>
      </c>
      <c r="T3156" s="1">
        <v>0</v>
      </c>
      <c r="U3156" s="1">
        <v>0</v>
      </c>
      <c r="V3156" s="1" t="str">
        <f t="shared" si="599"/>
        <v>里程去程</v>
      </c>
      <c r="W3156" s="1" t="str">
        <f t="shared" si="601"/>
        <v>2020</v>
      </c>
      <c r="X3156" s="1" t="s">
        <v>35</v>
      </c>
    </row>
    <row r="3157" spans="1:24" x14ac:dyDescent="0.3">
      <c r="A3157" s="1" t="str">
        <f t="shared" si="598"/>
        <v>59822</v>
      </c>
      <c r="B3157" s="1" t="s">
        <v>39</v>
      </c>
      <c r="C3157" s="1" t="s">
        <v>40</v>
      </c>
      <c r="D3157" s="1" t="str">
        <f t="shared" si="600"/>
        <v>9801</v>
      </c>
      <c r="E3157" s="1" t="s">
        <v>25</v>
      </c>
      <c r="F3157" s="1" t="str">
        <f>"1196061205"</f>
        <v>1196061205</v>
      </c>
      <c r="G3157" s="1" t="s">
        <v>33</v>
      </c>
      <c r="H3157" s="1" t="str">
        <f t="shared" si="596"/>
        <v>20220914</v>
      </c>
      <c r="I3157" s="1" t="str">
        <f>"170004"</f>
        <v>170004</v>
      </c>
      <c r="J3157" s="1" t="s">
        <v>52</v>
      </c>
      <c r="K3157" s="1" t="s">
        <v>52</v>
      </c>
      <c r="L3157" s="1" t="str">
        <f t="shared" si="597"/>
        <v>20220914</v>
      </c>
      <c r="M3157" s="1" t="str">
        <f>"170007"</f>
        <v>170007</v>
      </c>
      <c r="N3157" s="1" t="s">
        <v>60</v>
      </c>
      <c r="O3157" s="1" t="s">
        <v>52</v>
      </c>
      <c r="P3157" s="1" t="s">
        <v>55</v>
      </c>
      <c r="Q3157" s="1">
        <v>25</v>
      </c>
      <c r="R3157" s="1">
        <v>25</v>
      </c>
      <c r="S3157" s="1">
        <v>0</v>
      </c>
      <c r="T3157" s="1">
        <v>0</v>
      </c>
      <c r="U3157" s="1">
        <v>0</v>
      </c>
      <c r="V3157" s="1" t="str">
        <f t="shared" si="599"/>
        <v>里程去程</v>
      </c>
      <c r="W3157" s="1" t="str">
        <f t="shared" si="601"/>
        <v>2020</v>
      </c>
      <c r="X3157" s="1" t="s">
        <v>35</v>
      </c>
    </row>
    <row r="3158" spans="1:24" x14ac:dyDescent="0.3">
      <c r="A3158" s="1" t="str">
        <f t="shared" si="598"/>
        <v>59822</v>
      </c>
      <c r="B3158" s="1" t="s">
        <v>39</v>
      </c>
      <c r="C3158" s="1" t="s">
        <v>40</v>
      </c>
      <c r="D3158" s="1" t="str">
        <f t="shared" si="600"/>
        <v>9801</v>
      </c>
      <c r="E3158" s="1" t="s">
        <v>25</v>
      </c>
      <c r="F3158" s="1" t="str">
        <f>"422AE7028D880400C834002000000015"</f>
        <v>422AE7028D880400C834002000000015</v>
      </c>
      <c r="G3158" s="1" t="s">
        <v>74</v>
      </c>
      <c r="H3158" s="1" t="str">
        <f t="shared" si="596"/>
        <v>20220914</v>
      </c>
      <c r="I3158" s="1" t="str">
        <f>"172743"</f>
        <v>172743</v>
      </c>
      <c r="J3158" s="1" t="s">
        <v>44</v>
      </c>
      <c r="K3158" s="1" t="s">
        <v>45</v>
      </c>
      <c r="L3158" s="1" t="str">
        <f t="shared" si="597"/>
        <v>20220914</v>
      </c>
      <c r="M3158" s="1" t="str">
        <f>"175217"</f>
        <v>175217</v>
      </c>
      <c r="N3158" s="1" t="s">
        <v>28</v>
      </c>
      <c r="O3158" s="1" t="s">
        <v>28</v>
      </c>
      <c r="P3158" s="1" t="s">
        <v>68</v>
      </c>
      <c r="Q3158" s="1">
        <v>13</v>
      </c>
      <c r="R3158" s="1">
        <v>0</v>
      </c>
      <c r="S3158" s="1">
        <v>0</v>
      </c>
      <c r="T3158" s="1">
        <v>13</v>
      </c>
      <c r="U3158" s="1">
        <v>0</v>
      </c>
      <c r="V3158" s="1" t="str">
        <f t="shared" ref="V3158:V3166" si="602">"里程返程"</f>
        <v>里程返程</v>
      </c>
      <c r="W3158" s="1" t="str">
        <f>"0020"</f>
        <v>0020</v>
      </c>
      <c r="X3158" s="1" t="s">
        <v>29</v>
      </c>
    </row>
    <row r="3159" spans="1:24" x14ac:dyDescent="0.3">
      <c r="A3159" s="1" t="str">
        <f t="shared" si="598"/>
        <v>59822</v>
      </c>
      <c r="B3159" s="1" t="s">
        <v>39</v>
      </c>
      <c r="C3159" s="1" t="s">
        <v>40</v>
      </c>
      <c r="D3159" s="1" t="str">
        <f t="shared" si="600"/>
        <v>9801</v>
      </c>
      <c r="E3159" s="1" t="s">
        <v>25</v>
      </c>
      <c r="F3159" s="1" t="str">
        <f>"31922F3AB62804001C00000000000000"</f>
        <v>31922F3AB62804001C00000000000000</v>
      </c>
      <c r="G3159" s="1" t="s">
        <v>58</v>
      </c>
      <c r="H3159" s="1" t="str">
        <f t="shared" si="596"/>
        <v>20220914</v>
      </c>
      <c r="I3159" s="1" t="str">
        <f>"174148"</f>
        <v>174148</v>
      </c>
      <c r="J3159" s="1" t="s">
        <v>56</v>
      </c>
      <c r="K3159" s="1" t="s">
        <v>45</v>
      </c>
      <c r="L3159" s="1" t="str">
        <f t="shared" si="597"/>
        <v>20220914</v>
      </c>
      <c r="M3159" s="1" t="str">
        <f>"175212"</f>
        <v>175212</v>
      </c>
      <c r="N3159" s="1" t="s">
        <v>28</v>
      </c>
      <c r="O3159" s="1" t="s">
        <v>28</v>
      </c>
      <c r="P3159" s="1" t="s">
        <v>55</v>
      </c>
      <c r="Q3159" s="1">
        <v>25</v>
      </c>
      <c r="R3159" s="1">
        <v>25</v>
      </c>
      <c r="S3159" s="1">
        <v>0</v>
      </c>
      <c r="T3159" s="1">
        <v>0</v>
      </c>
      <c r="U3159" s="1">
        <v>0</v>
      </c>
      <c r="V3159" s="1" t="str">
        <f t="shared" si="602"/>
        <v>里程返程</v>
      </c>
      <c r="W3159" s="1" t="str">
        <f>"0020"</f>
        <v>0020</v>
      </c>
      <c r="X3159" s="1" t="s">
        <v>29</v>
      </c>
    </row>
    <row r="3160" spans="1:24" x14ac:dyDescent="0.3">
      <c r="A3160" s="1" t="str">
        <f t="shared" si="598"/>
        <v>59822</v>
      </c>
      <c r="B3160" s="1" t="s">
        <v>39</v>
      </c>
      <c r="C3160" s="1" t="s">
        <v>40</v>
      </c>
      <c r="D3160" s="1" t="str">
        <f t="shared" si="600"/>
        <v>9801</v>
      </c>
      <c r="E3160" s="1" t="s">
        <v>25</v>
      </c>
      <c r="F3160" s="1" t="str">
        <f>"1408428113"</f>
        <v>1408428113</v>
      </c>
      <c r="G3160" s="1" t="s">
        <v>26</v>
      </c>
      <c r="H3160" s="1" t="str">
        <f t="shared" si="596"/>
        <v>20220914</v>
      </c>
      <c r="I3160" s="1" t="str">
        <f>"175224"</f>
        <v>175224</v>
      </c>
      <c r="J3160" s="1" t="s">
        <v>28</v>
      </c>
      <c r="K3160" s="1" t="s">
        <v>28</v>
      </c>
      <c r="L3160" s="1" t="str">
        <f t="shared" si="597"/>
        <v>20220914</v>
      </c>
      <c r="M3160" s="1" t="str">
        <f>"182402"</f>
        <v>182402</v>
      </c>
      <c r="N3160" s="1" t="s">
        <v>52</v>
      </c>
      <c r="O3160" s="1" t="s">
        <v>52</v>
      </c>
      <c r="P3160" s="1" t="s">
        <v>55</v>
      </c>
      <c r="Q3160" s="1">
        <v>13</v>
      </c>
      <c r="R3160" s="1">
        <v>13</v>
      </c>
      <c r="S3160" s="1">
        <v>0</v>
      </c>
      <c r="T3160" s="1">
        <v>0</v>
      </c>
      <c r="U3160" s="1">
        <v>0</v>
      </c>
      <c r="V3160" s="1" t="str">
        <f t="shared" si="602"/>
        <v>里程返程</v>
      </c>
      <c r="W3160" s="1" t="str">
        <f>"2020"</f>
        <v>2020</v>
      </c>
      <c r="X3160" s="1" t="s">
        <v>35</v>
      </c>
    </row>
    <row r="3161" spans="1:24" x14ac:dyDescent="0.3">
      <c r="A3161" s="1" t="str">
        <f t="shared" si="598"/>
        <v>59822</v>
      </c>
      <c r="B3161" s="1" t="s">
        <v>39</v>
      </c>
      <c r="C3161" s="1" t="s">
        <v>40</v>
      </c>
      <c r="D3161" s="1" t="str">
        <f t="shared" si="600"/>
        <v>9801</v>
      </c>
      <c r="E3161" s="1" t="s">
        <v>25</v>
      </c>
      <c r="F3161" s="1" t="str">
        <f>"1030356058"</f>
        <v>1030356058</v>
      </c>
      <c r="G3161" s="1" t="s">
        <v>33</v>
      </c>
      <c r="H3161" s="1" t="str">
        <f t="shared" si="596"/>
        <v>20220914</v>
      </c>
      <c r="I3161" s="1" t="str">
        <f>"175229"</f>
        <v>175229</v>
      </c>
      <c r="J3161" s="1" t="s">
        <v>28</v>
      </c>
      <c r="K3161" s="1" t="s">
        <v>28</v>
      </c>
      <c r="L3161" s="1" t="str">
        <f t="shared" si="597"/>
        <v>20220914</v>
      </c>
      <c r="M3161" s="1" t="str">
        <f>"182413"</f>
        <v>182413</v>
      </c>
      <c r="N3161" s="1" t="s">
        <v>52</v>
      </c>
      <c r="O3161" s="1" t="s">
        <v>52</v>
      </c>
      <c r="P3161" s="1" t="s">
        <v>55</v>
      </c>
      <c r="Q3161" s="1">
        <v>25</v>
      </c>
      <c r="R3161" s="1">
        <v>25</v>
      </c>
      <c r="S3161" s="1">
        <v>0</v>
      </c>
      <c r="T3161" s="1">
        <v>0</v>
      </c>
      <c r="U3161" s="1">
        <v>0</v>
      </c>
      <c r="V3161" s="1" t="str">
        <f t="shared" si="602"/>
        <v>里程返程</v>
      </c>
      <c r="W3161" s="1" t="str">
        <f>"2020"</f>
        <v>2020</v>
      </c>
      <c r="X3161" s="1" t="s">
        <v>35</v>
      </c>
    </row>
    <row r="3162" spans="1:24" x14ac:dyDescent="0.3">
      <c r="A3162" s="1" t="str">
        <f t="shared" si="598"/>
        <v>59822</v>
      </c>
      <c r="B3162" s="1" t="s">
        <v>39</v>
      </c>
      <c r="C3162" s="1" t="s">
        <v>40</v>
      </c>
      <c r="D3162" s="1" t="str">
        <f t="shared" si="600"/>
        <v>9801</v>
      </c>
      <c r="E3162" s="1" t="s">
        <v>25</v>
      </c>
      <c r="F3162" s="1" t="str">
        <f>"1390137313"</f>
        <v>1390137313</v>
      </c>
      <c r="G3162" s="1" t="s">
        <v>26</v>
      </c>
      <c r="H3162" s="1" t="str">
        <f t="shared" si="596"/>
        <v>20220914</v>
      </c>
      <c r="I3162" s="1" t="str">
        <f>"175554"</f>
        <v>175554</v>
      </c>
      <c r="J3162" s="1" t="s">
        <v>28</v>
      </c>
      <c r="K3162" s="1" t="s">
        <v>28</v>
      </c>
      <c r="L3162" s="1" t="str">
        <f t="shared" si="597"/>
        <v>20220914</v>
      </c>
      <c r="M3162" s="1" t="str">
        <f>"182409"</f>
        <v>182409</v>
      </c>
      <c r="N3162" s="1" t="s">
        <v>52</v>
      </c>
      <c r="O3162" s="1" t="s">
        <v>52</v>
      </c>
      <c r="P3162" s="1" t="s">
        <v>55</v>
      </c>
      <c r="Q3162" s="1">
        <v>13</v>
      </c>
      <c r="R3162" s="1">
        <v>13</v>
      </c>
      <c r="S3162" s="1">
        <v>0</v>
      </c>
      <c r="T3162" s="1">
        <v>0</v>
      </c>
      <c r="U3162" s="1">
        <v>0</v>
      </c>
      <c r="V3162" s="1" t="str">
        <f t="shared" si="602"/>
        <v>里程返程</v>
      </c>
      <c r="W3162" s="1" t="str">
        <f>"0220"</f>
        <v>0220</v>
      </c>
      <c r="X3162" s="1" t="s">
        <v>35</v>
      </c>
    </row>
    <row r="3163" spans="1:24" x14ac:dyDescent="0.3">
      <c r="A3163" s="1" t="str">
        <f t="shared" si="598"/>
        <v>59822</v>
      </c>
      <c r="B3163" s="1" t="s">
        <v>39</v>
      </c>
      <c r="C3163" s="1" t="s">
        <v>40</v>
      </c>
      <c r="D3163" s="1" t="str">
        <f t="shared" si="600"/>
        <v>9801</v>
      </c>
      <c r="E3163" s="1" t="s">
        <v>25</v>
      </c>
      <c r="F3163" s="1" t="str">
        <f>"1390290945"</f>
        <v>1390290945</v>
      </c>
      <c r="G3163" s="1" t="s">
        <v>26</v>
      </c>
      <c r="H3163" s="1" t="str">
        <f t="shared" si="596"/>
        <v>20220914</v>
      </c>
      <c r="I3163" s="1" t="str">
        <f>"175601"</f>
        <v>175601</v>
      </c>
      <c r="J3163" s="1" t="s">
        <v>28</v>
      </c>
      <c r="K3163" s="1" t="s">
        <v>28</v>
      </c>
      <c r="L3163" s="1" t="str">
        <f t="shared" si="597"/>
        <v>20220914</v>
      </c>
      <c r="M3163" s="1" t="str">
        <f>"182406"</f>
        <v>182406</v>
      </c>
      <c r="N3163" s="1" t="s">
        <v>52</v>
      </c>
      <c r="O3163" s="1" t="s">
        <v>52</v>
      </c>
      <c r="P3163" s="1" t="s">
        <v>55</v>
      </c>
      <c r="Q3163" s="1">
        <v>13</v>
      </c>
      <c r="R3163" s="1">
        <v>13</v>
      </c>
      <c r="S3163" s="1">
        <v>0</v>
      </c>
      <c r="T3163" s="1">
        <v>0</v>
      </c>
      <c r="U3163" s="1">
        <v>0</v>
      </c>
      <c r="V3163" s="1" t="str">
        <f t="shared" si="602"/>
        <v>里程返程</v>
      </c>
      <c r="W3163" s="1" t="str">
        <f>"0220"</f>
        <v>0220</v>
      </c>
      <c r="X3163" s="1" t="s">
        <v>35</v>
      </c>
    </row>
    <row r="3164" spans="1:24" x14ac:dyDescent="0.3">
      <c r="A3164" s="1" t="str">
        <f t="shared" si="598"/>
        <v>59822</v>
      </c>
      <c r="B3164" s="1" t="s">
        <v>39</v>
      </c>
      <c r="C3164" s="1" t="s">
        <v>40</v>
      </c>
      <c r="D3164" s="1" t="str">
        <f t="shared" si="600"/>
        <v>9801</v>
      </c>
      <c r="E3164" s="1" t="s">
        <v>25</v>
      </c>
      <c r="F3164" s="1" t="str">
        <f>"1687233477"</f>
        <v>1687233477</v>
      </c>
      <c r="G3164" s="1" t="s">
        <v>33</v>
      </c>
      <c r="H3164" s="1" t="str">
        <f t="shared" si="596"/>
        <v>20220914</v>
      </c>
      <c r="I3164" s="1" t="str">
        <f>"183606"</f>
        <v>183606</v>
      </c>
      <c r="J3164" s="1" t="s">
        <v>100</v>
      </c>
      <c r="K3164" s="1" t="s">
        <v>45</v>
      </c>
      <c r="L3164" s="1" t="str">
        <f t="shared" si="597"/>
        <v>20220914</v>
      </c>
      <c r="M3164" s="1" t="str">
        <f>"185441"</f>
        <v>185441</v>
      </c>
      <c r="N3164" s="1" t="s">
        <v>28</v>
      </c>
      <c r="O3164" s="1" t="s">
        <v>28</v>
      </c>
      <c r="P3164" s="1" t="s">
        <v>55</v>
      </c>
      <c r="Q3164" s="1">
        <v>25</v>
      </c>
      <c r="R3164" s="1">
        <v>0</v>
      </c>
      <c r="S3164" s="1">
        <v>25</v>
      </c>
      <c r="T3164" s="1">
        <v>0</v>
      </c>
      <c r="U3164" s="1">
        <v>0</v>
      </c>
      <c r="V3164" s="1" t="str">
        <f t="shared" si="602"/>
        <v>里程返程</v>
      </c>
      <c r="W3164" s="1" t="str">
        <f>"2020"</f>
        <v>2020</v>
      </c>
      <c r="X3164" s="1" t="s">
        <v>35</v>
      </c>
    </row>
    <row r="3165" spans="1:24" x14ac:dyDescent="0.3">
      <c r="A3165" s="1" t="str">
        <f t="shared" si="598"/>
        <v>59822</v>
      </c>
      <c r="B3165" s="1" t="s">
        <v>39</v>
      </c>
      <c r="C3165" s="1" t="s">
        <v>40</v>
      </c>
      <c r="D3165" s="1" t="str">
        <f t="shared" si="600"/>
        <v>9801</v>
      </c>
      <c r="E3165" s="1" t="s">
        <v>25</v>
      </c>
      <c r="F3165" s="1" t="str">
        <f>"1414822545"</f>
        <v>1414822545</v>
      </c>
      <c r="G3165" s="1" t="s">
        <v>33</v>
      </c>
      <c r="H3165" s="1" t="str">
        <f t="shared" si="596"/>
        <v>20220914</v>
      </c>
      <c r="I3165" s="1" t="str">
        <f>"184306"</f>
        <v>184306</v>
      </c>
      <c r="J3165" s="1" t="s">
        <v>56</v>
      </c>
      <c r="K3165" s="1" t="s">
        <v>45</v>
      </c>
      <c r="L3165" s="1" t="str">
        <f t="shared" si="597"/>
        <v>20220914</v>
      </c>
      <c r="M3165" s="1" t="str">
        <f>"184854"</f>
        <v>184854</v>
      </c>
      <c r="N3165" s="1" t="s">
        <v>79</v>
      </c>
      <c r="O3165" s="1" t="s">
        <v>45</v>
      </c>
      <c r="P3165" s="1" t="s">
        <v>55</v>
      </c>
      <c r="Q3165" s="1">
        <v>25</v>
      </c>
      <c r="R3165" s="1">
        <v>0</v>
      </c>
      <c r="S3165" s="1">
        <v>25</v>
      </c>
      <c r="T3165" s="1">
        <v>0</v>
      </c>
      <c r="U3165" s="1">
        <v>0</v>
      </c>
      <c r="V3165" s="1" t="str">
        <f t="shared" si="602"/>
        <v>里程返程</v>
      </c>
      <c r="W3165" s="1" t="str">
        <f>"2120"</f>
        <v>2120</v>
      </c>
      <c r="X3165" s="1" t="s">
        <v>35</v>
      </c>
    </row>
    <row r="3166" spans="1:24" x14ac:dyDescent="0.3">
      <c r="A3166" s="1" t="str">
        <f t="shared" si="598"/>
        <v>59822</v>
      </c>
      <c r="B3166" s="1" t="s">
        <v>39</v>
      </c>
      <c r="C3166" s="1" t="s">
        <v>40</v>
      </c>
      <c r="D3166" s="1" t="str">
        <f t="shared" si="600"/>
        <v>9801</v>
      </c>
      <c r="E3166" s="1" t="s">
        <v>25</v>
      </c>
      <c r="F3166" s="1" t="str">
        <f>"994970433"</f>
        <v>994970433</v>
      </c>
      <c r="G3166" s="1" t="s">
        <v>33</v>
      </c>
      <c r="H3166" s="1" t="str">
        <f t="shared" si="596"/>
        <v>20220914</v>
      </c>
      <c r="I3166" s="1" t="str">
        <f>"185512"</f>
        <v>185512</v>
      </c>
      <c r="J3166" s="1" t="s">
        <v>28</v>
      </c>
      <c r="K3166" s="1" t="s">
        <v>28</v>
      </c>
      <c r="L3166" s="1" t="str">
        <f t="shared" si="597"/>
        <v>20220914</v>
      </c>
      <c r="M3166" s="1" t="str">
        <f>"191247"</f>
        <v>191247</v>
      </c>
      <c r="N3166" s="1" t="s">
        <v>65</v>
      </c>
      <c r="O3166" s="1" t="s">
        <v>52</v>
      </c>
      <c r="P3166" s="1" t="s">
        <v>55</v>
      </c>
      <c r="Q3166" s="1">
        <v>25</v>
      </c>
      <c r="R3166" s="1">
        <v>25</v>
      </c>
      <c r="S3166" s="1">
        <v>0</v>
      </c>
      <c r="T3166" s="1">
        <v>0</v>
      </c>
      <c r="U3166" s="1">
        <v>0</v>
      </c>
      <c r="V3166" s="1" t="str">
        <f t="shared" si="602"/>
        <v>里程返程</v>
      </c>
      <c r="W3166" s="1" t="str">
        <f>"1420"</f>
        <v>1420</v>
      </c>
      <c r="X3166" s="1" t="s">
        <v>35</v>
      </c>
    </row>
    <row r="3167" spans="1:24" x14ac:dyDescent="0.3">
      <c r="A3167" s="1" t="str">
        <f t="shared" si="598"/>
        <v>59822</v>
      </c>
      <c r="B3167" s="1" t="s">
        <v>39</v>
      </c>
      <c r="C3167" s="1" t="s">
        <v>40</v>
      </c>
      <c r="D3167" s="1" t="str">
        <f t="shared" si="600"/>
        <v>9801</v>
      </c>
      <c r="E3167" s="1" t="s">
        <v>25</v>
      </c>
      <c r="F3167" s="1" t="str">
        <f>"1435527281"</f>
        <v>1435527281</v>
      </c>
      <c r="G3167" s="1" t="s">
        <v>33</v>
      </c>
      <c r="H3167" s="1" t="str">
        <f t="shared" si="596"/>
        <v>20220914</v>
      </c>
      <c r="I3167" s="1" t="str">
        <f>"203131"</f>
        <v>203131</v>
      </c>
      <c r="J3167" s="1" t="s">
        <v>27</v>
      </c>
      <c r="K3167" s="1" t="s">
        <v>28</v>
      </c>
      <c r="L3167" s="1" t="str">
        <f t="shared" si="597"/>
        <v>20220914</v>
      </c>
      <c r="M3167" s="1" t="str">
        <f>"205559"</f>
        <v>205559</v>
      </c>
      <c r="N3167" s="1" t="s">
        <v>44</v>
      </c>
      <c r="O3167" s="1" t="s">
        <v>45</v>
      </c>
      <c r="P3167" s="1" t="s">
        <v>55</v>
      </c>
      <c r="Q3167" s="1">
        <v>25</v>
      </c>
      <c r="R3167" s="1">
        <v>0</v>
      </c>
      <c r="S3167" s="1">
        <v>25</v>
      </c>
      <c r="T3167" s="1">
        <v>0</v>
      </c>
      <c r="U3167" s="1">
        <v>0</v>
      </c>
      <c r="V3167" s="1" t="str">
        <f>"里程去程"</f>
        <v>里程去程</v>
      </c>
      <c r="W3167" s="1" t="str">
        <f>"2020"</f>
        <v>2020</v>
      </c>
      <c r="X3167" s="1" t="s">
        <v>35</v>
      </c>
    </row>
    <row r="3168" spans="1:24" x14ac:dyDescent="0.3">
      <c r="A3168" s="1" t="str">
        <f t="shared" si="598"/>
        <v>59822</v>
      </c>
      <c r="B3168" s="1" t="s">
        <v>39</v>
      </c>
      <c r="C3168" s="1" t="s">
        <v>40</v>
      </c>
      <c r="D3168" s="1" t="str">
        <f t="shared" si="600"/>
        <v>9801</v>
      </c>
      <c r="E3168" s="1" t="s">
        <v>25</v>
      </c>
      <c r="F3168" s="1" t="str">
        <f>"1765800449"</f>
        <v>1765800449</v>
      </c>
      <c r="G3168" s="1" t="s">
        <v>33</v>
      </c>
      <c r="H3168" s="1" t="str">
        <f t="shared" si="596"/>
        <v>20220914</v>
      </c>
      <c r="I3168" s="1" t="str">
        <f>"203133"</f>
        <v>203133</v>
      </c>
      <c r="J3168" s="1" t="s">
        <v>27</v>
      </c>
      <c r="K3168" s="1" t="s">
        <v>28</v>
      </c>
      <c r="L3168" s="1" t="str">
        <f t="shared" si="597"/>
        <v>20220914</v>
      </c>
      <c r="M3168" s="1" t="str">
        <f>"205556"</f>
        <v>205556</v>
      </c>
      <c r="N3168" s="1" t="s">
        <v>44</v>
      </c>
      <c r="O3168" s="1" t="s">
        <v>45</v>
      </c>
      <c r="P3168" s="1" t="s">
        <v>55</v>
      </c>
      <c r="Q3168" s="1">
        <v>25</v>
      </c>
      <c r="R3168" s="1">
        <v>0</v>
      </c>
      <c r="S3168" s="1">
        <v>25</v>
      </c>
      <c r="T3168" s="1">
        <v>0</v>
      </c>
      <c r="U3168" s="1">
        <v>0</v>
      </c>
      <c r="V3168" s="1" t="str">
        <f>"里程去程"</f>
        <v>里程去程</v>
      </c>
      <c r="W3168" s="1" t="str">
        <f>"2020"</f>
        <v>2020</v>
      </c>
      <c r="X3168" s="1" t="s">
        <v>35</v>
      </c>
    </row>
    <row r="3169" spans="1:24" x14ac:dyDescent="0.3">
      <c r="A3169" s="1" t="str">
        <f t="shared" si="598"/>
        <v>59822</v>
      </c>
      <c r="B3169" s="1" t="s">
        <v>39</v>
      </c>
      <c r="C3169" s="1" t="s">
        <v>40</v>
      </c>
      <c r="D3169" s="1" t="str">
        <f>"9805"</f>
        <v>9805</v>
      </c>
      <c r="E3169" s="1" t="s">
        <v>57</v>
      </c>
      <c r="F3169" s="1" t="str">
        <f>"476626465"</f>
        <v>476626465</v>
      </c>
      <c r="G3169" s="1" t="s">
        <v>33</v>
      </c>
      <c r="H3169" s="1" t="str">
        <f t="shared" si="596"/>
        <v>20220914</v>
      </c>
      <c r="I3169" s="1" t="str">
        <f>"205637"</f>
        <v>205637</v>
      </c>
      <c r="J3169" s="1" t="s">
        <v>52</v>
      </c>
      <c r="K3169" s="1" t="s">
        <v>52</v>
      </c>
      <c r="L3169" s="1" t="str">
        <f t="shared" si="597"/>
        <v>20220914</v>
      </c>
      <c r="M3169" s="1" t="str">
        <f>"211738"</f>
        <v>211738</v>
      </c>
      <c r="N3169" s="1" t="s">
        <v>95</v>
      </c>
      <c r="O3169" s="1" t="s">
        <v>28</v>
      </c>
      <c r="P3169" s="1" t="s">
        <v>55</v>
      </c>
      <c r="Q3169" s="1">
        <v>25</v>
      </c>
      <c r="R3169" s="1">
        <v>25</v>
      </c>
      <c r="S3169" s="1">
        <v>0</v>
      </c>
      <c r="T3169" s="1">
        <v>0</v>
      </c>
      <c r="U3169" s="1">
        <v>0</v>
      </c>
      <c r="V3169" s="1" t="str">
        <f t="shared" ref="V3169:V3206" si="603">"里程返程"</f>
        <v>里程返程</v>
      </c>
      <c r="W3169" s="1" t="str">
        <f>"2520"</f>
        <v>2520</v>
      </c>
      <c r="X3169" s="1" t="s">
        <v>35</v>
      </c>
    </row>
    <row r="3170" spans="1:24" x14ac:dyDescent="0.3">
      <c r="A3170" s="1" t="str">
        <f t="shared" si="598"/>
        <v>59822</v>
      </c>
      <c r="B3170" s="1" t="s">
        <v>39</v>
      </c>
      <c r="C3170" s="1" t="s">
        <v>40</v>
      </c>
      <c r="D3170" s="1" t="str">
        <f>"9805"</f>
        <v>9805</v>
      </c>
      <c r="E3170" s="1" t="s">
        <v>57</v>
      </c>
      <c r="F3170" s="1" t="str">
        <f>"1411107025"</f>
        <v>1411107025</v>
      </c>
      <c r="G3170" s="1" t="s">
        <v>33</v>
      </c>
      <c r="H3170" s="1" t="str">
        <f t="shared" si="596"/>
        <v>20220914</v>
      </c>
      <c r="I3170" s="1" t="str">
        <f>"205639"</f>
        <v>205639</v>
      </c>
      <c r="J3170" s="1" t="s">
        <v>52</v>
      </c>
      <c r="K3170" s="1" t="s">
        <v>52</v>
      </c>
      <c r="L3170" s="1" t="str">
        <f t="shared" si="597"/>
        <v>20220914</v>
      </c>
      <c r="M3170" s="1" t="str">
        <f>"211734"</f>
        <v>211734</v>
      </c>
      <c r="N3170" s="1" t="s">
        <v>95</v>
      </c>
      <c r="O3170" s="1" t="s">
        <v>28</v>
      </c>
      <c r="P3170" s="1" t="s">
        <v>55</v>
      </c>
      <c r="Q3170" s="1">
        <v>25</v>
      </c>
      <c r="R3170" s="1">
        <v>25</v>
      </c>
      <c r="S3170" s="1">
        <v>0</v>
      </c>
      <c r="T3170" s="1">
        <v>0</v>
      </c>
      <c r="U3170" s="1">
        <v>0</v>
      </c>
      <c r="V3170" s="1" t="str">
        <f t="shared" si="603"/>
        <v>里程返程</v>
      </c>
      <c r="W3170" s="1" t="str">
        <f>"1920"</f>
        <v>1920</v>
      </c>
      <c r="X3170" s="1" t="s">
        <v>35</v>
      </c>
    </row>
    <row r="3171" spans="1:24" x14ac:dyDescent="0.3">
      <c r="A3171" s="1" t="str">
        <f t="shared" ref="A3171:A3202" si="604">"59825"</f>
        <v>59825</v>
      </c>
      <c r="B3171" s="1" t="s">
        <v>30</v>
      </c>
      <c r="C3171" s="1" t="s">
        <v>31</v>
      </c>
      <c r="D3171" s="1" t="str">
        <f t="shared" ref="D3171:D3203" si="605">"9801"</f>
        <v>9801</v>
      </c>
      <c r="E3171" s="1" t="s">
        <v>25</v>
      </c>
      <c r="F3171" s="1" t="str">
        <f>"163194245"</f>
        <v>163194245</v>
      </c>
      <c r="G3171" s="1" t="s">
        <v>33</v>
      </c>
      <c r="H3171" s="1" t="str">
        <f t="shared" si="596"/>
        <v>20220914</v>
      </c>
      <c r="I3171" s="1" t="str">
        <f>"082623"</f>
        <v>082623</v>
      </c>
      <c r="J3171" s="1" t="s">
        <v>44</v>
      </c>
      <c r="K3171" s="1" t="s">
        <v>45</v>
      </c>
      <c r="L3171" s="1" t="str">
        <f t="shared" si="597"/>
        <v>20220914</v>
      </c>
      <c r="M3171" s="1" t="str">
        <f>"085424"</f>
        <v>085424</v>
      </c>
      <c r="N3171" s="1" t="s">
        <v>28</v>
      </c>
      <c r="O3171" s="1" t="s">
        <v>28</v>
      </c>
      <c r="P3171" s="1" t="s">
        <v>55</v>
      </c>
      <c r="Q3171" s="1">
        <v>25</v>
      </c>
      <c r="R3171" s="1">
        <v>25</v>
      </c>
      <c r="S3171" s="1">
        <v>0</v>
      </c>
      <c r="T3171" s="1">
        <v>0</v>
      </c>
      <c r="U3171" s="1">
        <v>0</v>
      </c>
      <c r="V3171" s="1" t="str">
        <f t="shared" si="603"/>
        <v>里程返程</v>
      </c>
      <c r="W3171" s="1" t="str">
        <f>"0820"</f>
        <v>0820</v>
      </c>
      <c r="X3171" s="1" t="s">
        <v>35</v>
      </c>
    </row>
    <row r="3172" spans="1:24" x14ac:dyDescent="0.3">
      <c r="A3172" s="1" t="str">
        <f t="shared" si="604"/>
        <v>59825</v>
      </c>
      <c r="B3172" s="1" t="s">
        <v>30</v>
      </c>
      <c r="C3172" s="1" t="s">
        <v>31</v>
      </c>
      <c r="D3172" s="1" t="str">
        <f t="shared" si="605"/>
        <v>9801</v>
      </c>
      <c r="E3172" s="1" t="s">
        <v>25</v>
      </c>
      <c r="F3172" s="1" t="str">
        <f>"F29BD102BA880400C834002000000015"</f>
        <v>F29BD102BA880400C834002000000015</v>
      </c>
      <c r="G3172" s="1" t="s">
        <v>26</v>
      </c>
      <c r="H3172" s="1" t="str">
        <f t="shared" si="596"/>
        <v>20220914</v>
      </c>
      <c r="I3172" s="1" t="str">
        <f>"083213"</f>
        <v>083213</v>
      </c>
      <c r="J3172" s="1" t="s">
        <v>44</v>
      </c>
      <c r="K3172" s="1" t="s">
        <v>45</v>
      </c>
      <c r="L3172" s="1" t="str">
        <f t="shared" si="597"/>
        <v>20220914</v>
      </c>
      <c r="M3172" s="1" t="str">
        <f>"085421"</f>
        <v>085421</v>
      </c>
      <c r="N3172" s="1" t="s">
        <v>28</v>
      </c>
      <c r="O3172" s="1" t="s">
        <v>28</v>
      </c>
      <c r="P3172" s="1" t="s">
        <v>68</v>
      </c>
      <c r="Q3172" s="1">
        <v>13</v>
      </c>
      <c r="R3172" s="1">
        <v>0</v>
      </c>
      <c r="S3172" s="1">
        <v>0</v>
      </c>
      <c r="T3172" s="1">
        <v>13</v>
      </c>
      <c r="U3172" s="1">
        <v>0</v>
      </c>
      <c r="V3172" s="1" t="str">
        <f t="shared" si="603"/>
        <v>里程返程</v>
      </c>
      <c r="W3172" s="1" t="str">
        <f>"0020"</f>
        <v>0020</v>
      </c>
      <c r="X3172" s="1" t="s">
        <v>29</v>
      </c>
    </row>
    <row r="3173" spans="1:24" x14ac:dyDescent="0.3">
      <c r="A3173" s="1" t="str">
        <f t="shared" si="604"/>
        <v>59825</v>
      </c>
      <c r="B3173" s="1" t="s">
        <v>30</v>
      </c>
      <c r="C3173" s="1" t="s">
        <v>31</v>
      </c>
      <c r="D3173" s="1" t="str">
        <f t="shared" si="605"/>
        <v>9801</v>
      </c>
      <c r="E3173" s="1" t="s">
        <v>25</v>
      </c>
      <c r="F3173" s="1" t="str">
        <f>"1423105809"</f>
        <v>1423105809</v>
      </c>
      <c r="G3173" s="1" t="s">
        <v>33</v>
      </c>
      <c r="H3173" s="1" t="str">
        <f t="shared" si="596"/>
        <v>20220914</v>
      </c>
      <c r="I3173" s="1" t="str">
        <f>"085440"</f>
        <v>085440</v>
      </c>
      <c r="J3173" s="1" t="s">
        <v>28</v>
      </c>
      <c r="K3173" s="1" t="s">
        <v>28</v>
      </c>
      <c r="L3173" s="1" t="str">
        <f t="shared" si="597"/>
        <v>20220914</v>
      </c>
      <c r="M3173" s="1" t="str">
        <f>"092215"</f>
        <v>092215</v>
      </c>
      <c r="N3173" s="1" t="s">
        <v>60</v>
      </c>
      <c r="O3173" s="1" t="s">
        <v>52</v>
      </c>
      <c r="P3173" s="1" t="s">
        <v>55</v>
      </c>
      <c r="Q3173" s="1">
        <v>25</v>
      </c>
      <c r="R3173" s="1">
        <v>25</v>
      </c>
      <c r="S3173" s="1">
        <v>0</v>
      </c>
      <c r="T3173" s="1">
        <v>0</v>
      </c>
      <c r="U3173" s="1">
        <v>0</v>
      </c>
      <c r="V3173" s="1" t="str">
        <f t="shared" si="603"/>
        <v>里程返程</v>
      </c>
      <c r="W3173" s="1" t="str">
        <f>"2020"</f>
        <v>2020</v>
      </c>
      <c r="X3173" s="1" t="s">
        <v>35</v>
      </c>
    </row>
    <row r="3174" spans="1:24" x14ac:dyDescent="0.3">
      <c r="A3174" s="1" t="str">
        <f t="shared" si="604"/>
        <v>59825</v>
      </c>
      <c r="B3174" s="1" t="s">
        <v>30</v>
      </c>
      <c r="C3174" s="1" t="s">
        <v>31</v>
      </c>
      <c r="D3174" s="1" t="str">
        <f t="shared" si="605"/>
        <v>9801</v>
      </c>
      <c r="E3174" s="1" t="s">
        <v>25</v>
      </c>
      <c r="F3174" s="1" t="str">
        <f>"03A6A9454988040048B994D749703809"</f>
        <v>03A6A9454988040048B994D749703809</v>
      </c>
      <c r="G3174" s="1" t="s">
        <v>64</v>
      </c>
      <c r="H3174" s="1" t="str">
        <f t="shared" si="596"/>
        <v>20220914</v>
      </c>
      <c r="I3174" s="1" t="str">
        <f>"085445"</f>
        <v>085445</v>
      </c>
      <c r="J3174" s="1" t="s">
        <v>28</v>
      </c>
      <c r="K3174" s="1" t="s">
        <v>28</v>
      </c>
      <c r="L3174" s="1" t="str">
        <f t="shared" si="597"/>
        <v>20220914</v>
      </c>
      <c r="M3174" s="1" t="str">
        <f>"090623"</f>
        <v>090623</v>
      </c>
      <c r="N3174" s="1" t="s">
        <v>78</v>
      </c>
      <c r="O3174" s="1" t="s">
        <v>52</v>
      </c>
      <c r="P3174" s="1" t="s">
        <v>55</v>
      </c>
      <c r="Q3174" s="1">
        <v>13</v>
      </c>
      <c r="R3174" s="1">
        <v>13</v>
      </c>
      <c r="S3174" s="1">
        <v>0</v>
      </c>
      <c r="T3174" s="1">
        <v>0</v>
      </c>
      <c r="U3174" s="1">
        <v>0</v>
      </c>
      <c r="V3174" s="1" t="str">
        <f t="shared" si="603"/>
        <v>里程返程</v>
      </c>
      <c r="W3174" s="1" t="str">
        <f>"0020"</f>
        <v>0020</v>
      </c>
      <c r="X3174" s="1" t="s">
        <v>29</v>
      </c>
    </row>
    <row r="3175" spans="1:24" x14ac:dyDescent="0.3">
      <c r="A3175" s="1" t="str">
        <f t="shared" si="604"/>
        <v>59825</v>
      </c>
      <c r="B3175" s="1" t="s">
        <v>30</v>
      </c>
      <c r="C3175" s="1" t="s">
        <v>31</v>
      </c>
      <c r="D3175" s="1" t="str">
        <f t="shared" si="605"/>
        <v>9801</v>
      </c>
      <c r="E3175" s="1" t="s">
        <v>25</v>
      </c>
      <c r="F3175" s="1" t="str">
        <f>"929619031E880400C834002000000015"</f>
        <v>929619031E880400C834002000000015</v>
      </c>
      <c r="G3175" s="1" t="s">
        <v>26</v>
      </c>
      <c r="H3175" s="1" t="str">
        <f t="shared" si="596"/>
        <v>20220914</v>
      </c>
      <c r="I3175" s="1" t="str">
        <f>"085454"</f>
        <v>085454</v>
      </c>
      <c r="J3175" s="1" t="s">
        <v>28</v>
      </c>
      <c r="K3175" s="1" t="s">
        <v>28</v>
      </c>
      <c r="L3175" s="1" t="str">
        <f t="shared" si="597"/>
        <v>20220914</v>
      </c>
      <c r="M3175" s="1" t="str">
        <f>"092208"</f>
        <v>092208</v>
      </c>
      <c r="N3175" s="1" t="s">
        <v>60</v>
      </c>
      <c r="O3175" s="1" t="s">
        <v>52</v>
      </c>
      <c r="P3175" s="1" t="s">
        <v>68</v>
      </c>
      <c r="Q3175" s="1">
        <v>13</v>
      </c>
      <c r="R3175" s="1">
        <v>0</v>
      </c>
      <c r="S3175" s="1">
        <v>0</v>
      </c>
      <c r="T3175" s="1">
        <v>13</v>
      </c>
      <c r="U3175" s="1">
        <v>0</v>
      </c>
      <c r="V3175" s="1" t="str">
        <f t="shared" si="603"/>
        <v>里程返程</v>
      </c>
      <c r="W3175" s="1" t="str">
        <f>"0020"</f>
        <v>0020</v>
      </c>
      <c r="X3175" s="1" t="s">
        <v>29</v>
      </c>
    </row>
    <row r="3176" spans="1:24" x14ac:dyDescent="0.3">
      <c r="A3176" s="1" t="str">
        <f t="shared" si="604"/>
        <v>59825</v>
      </c>
      <c r="B3176" s="1" t="s">
        <v>30</v>
      </c>
      <c r="C3176" s="1" t="s">
        <v>31</v>
      </c>
      <c r="D3176" s="1" t="str">
        <f t="shared" si="605"/>
        <v>9801</v>
      </c>
      <c r="E3176" s="1" t="s">
        <v>25</v>
      </c>
      <c r="F3176" s="1" t="str">
        <f>"729C1903F4880400C834002000000015"</f>
        <v>729C1903F4880400C834002000000015</v>
      </c>
      <c r="G3176" s="1" t="s">
        <v>26</v>
      </c>
      <c r="H3176" s="1" t="str">
        <f t="shared" si="596"/>
        <v>20220914</v>
      </c>
      <c r="I3176" s="1" t="str">
        <f>"085459"</f>
        <v>085459</v>
      </c>
      <c r="J3176" s="1" t="s">
        <v>28</v>
      </c>
      <c r="K3176" s="1" t="s">
        <v>28</v>
      </c>
      <c r="L3176" s="1" t="str">
        <f t="shared" si="597"/>
        <v>20220914</v>
      </c>
      <c r="M3176" s="1" t="str">
        <f>"092204"</f>
        <v>092204</v>
      </c>
      <c r="N3176" s="1" t="s">
        <v>60</v>
      </c>
      <c r="O3176" s="1" t="s">
        <v>52</v>
      </c>
      <c r="P3176" s="1" t="s">
        <v>68</v>
      </c>
      <c r="Q3176" s="1">
        <v>13</v>
      </c>
      <c r="R3176" s="1">
        <v>0</v>
      </c>
      <c r="S3176" s="1">
        <v>0</v>
      </c>
      <c r="T3176" s="1">
        <v>13</v>
      </c>
      <c r="U3176" s="1">
        <v>0</v>
      </c>
      <c r="V3176" s="1" t="str">
        <f t="shared" si="603"/>
        <v>里程返程</v>
      </c>
      <c r="W3176" s="1" t="str">
        <f>"0020"</f>
        <v>0020</v>
      </c>
      <c r="X3176" s="1" t="s">
        <v>29</v>
      </c>
    </row>
    <row r="3177" spans="1:24" x14ac:dyDescent="0.3">
      <c r="A3177" s="1" t="str">
        <f t="shared" si="604"/>
        <v>59825</v>
      </c>
      <c r="B3177" s="1" t="s">
        <v>30</v>
      </c>
      <c r="C3177" s="1" t="s">
        <v>31</v>
      </c>
      <c r="D3177" s="1" t="str">
        <f t="shared" si="605"/>
        <v>9801</v>
      </c>
      <c r="E3177" s="1" t="s">
        <v>25</v>
      </c>
      <c r="F3177" s="1" t="str">
        <f>"403474049"</f>
        <v>403474049</v>
      </c>
      <c r="G3177" s="1" t="s">
        <v>33</v>
      </c>
      <c r="H3177" s="1" t="str">
        <f t="shared" si="596"/>
        <v>20220914</v>
      </c>
      <c r="I3177" s="1" t="str">
        <f>"085504"</f>
        <v>085504</v>
      </c>
      <c r="J3177" s="1" t="s">
        <v>28</v>
      </c>
      <c r="K3177" s="1" t="s">
        <v>28</v>
      </c>
      <c r="L3177" s="1" t="str">
        <f t="shared" si="597"/>
        <v>20220914</v>
      </c>
      <c r="M3177" s="1" t="str">
        <f>"090629"</f>
        <v>090629</v>
      </c>
      <c r="N3177" s="1" t="s">
        <v>78</v>
      </c>
      <c r="O3177" s="1" t="s">
        <v>52</v>
      </c>
      <c r="P3177" s="1" t="s">
        <v>55</v>
      </c>
      <c r="Q3177" s="1">
        <v>25</v>
      </c>
      <c r="R3177" s="1">
        <v>25</v>
      </c>
      <c r="S3177" s="1">
        <v>0</v>
      </c>
      <c r="T3177" s="1">
        <v>0</v>
      </c>
      <c r="U3177" s="1">
        <v>0</v>
      </c>
      <c r="V3177" s="1" t="str">
        <f t="shared" si="603"/>
        <v>里程返程</v>
      </c>
      <c r="W3177" s="1" t="str">
        <f>"2120"</f>
        <v>2120</v>
      </c>
      <c r="X3177" s="1" t="s">
        <v>35</v>
      </c>
    </row>
    <row r="3178" spans="1:24" x14ac:dyDescent="0.3">
      <c r="A3178" s="1" t="str">
        <f t="shared" si="604"/>
        <v>59825</v>
      </c>
      <c r="B3178" s="1" t="s">
        <v>30</v>
      </c>
      <c r="C3178" s="1" t="s">
        <v>31</v>
      </c>
      <c r="D3178" s="1" t="str">
        <f t="shared" si="605"/>
        <v>9801</v>
      </c>
      <c r="E3178" s="1" t="s">
        <v>25</v>
      </c>
      <c r="F3178" s="1" t="str">
        <f>"F2F7D002D7880400C834002000000015"</f>
        <v>F2F7D002D7880400C834002000000015</v>
      </c>
      <c r="G3178" s="1" t="s">
        <v>74</v>
      </c>
      <c r="H3178" s="1" t="str">
        <f t="shared" si="596"/>
        <v>20220914</v>
      </c>
      <c r="I3178" s="1" t="str">
        <f>"090506"</f>
        <v>090506</v>
      </c>
      <c r="J3178" s="1" t="s">
        <v>67</v>
      </c>
      <c r="K3178" s="1" t="s">
        <v>52</v>
      </c>
      <c r="L3178" s="1" t="str">
        <f t="shared" si="597"/>
        <v>20220914</v>
      </c>
      <c r="M3178" s="1" t="str">
        <f>"091341"</f>
        <v>091341</v>
      </c>
      <c r="N3178" s="1" t="s">
        <v>77</v>
      </c>
      <c r="O3178" s="1" t="s">
        <v>52</v>
      </c>
      <c r="P3178" s="1" t="s">
        <v>68</v>
      </c>
      <c r="Q3178" s="1">
        <v>13</v>
      </c>
      <c r="R3178" s="1">
        <v>0</v>
      </c>
      <c r="S3178" s="1">
        <v>0</v>
      </c>
      <c r="T3178" s="1">
        <v>13</v>
      </c>
      <c r="U3178" s="1">
        <v>0</v>
      </c>
      <c r="V3178" s="1" t="str">
        <f t="shared" si="603"/>
        <v>里程返程</v>
      </c>
      <c r="W3178" s="1" t="str">
        <f>"0020"</f>
        <v>0020</v>
      </c>
      <c r="X3178" s="1" t="s">
        <v>29</v>
      </c>
    </row>
    <row r="3179" spans="1:24" x14ac:dyDescent="0.3">
      <c r="A3179" s="1" t="str">
        <f t="shared" si="604"/>
        <v>59825</v>
      </c>
      <c r="B3179" s="1" t="s">
        <v>30</v>
      </c>
      <c r="C3179" s="1" t="s">
        <v>31</v>
      </c>
      <c r="D3179" s="1" t="str">
        <f t="shared" si="605"/>
        <v>9801</v>
      </c>
      <c r="E3179" s="1" t="s">
        <v>25</v>
      </c>
      <c r="F3179" s="1" t="str">
        <f>"A2D8190360880400C834002000000015"</f>
        <v>A2D8190360880400C834002000000015</v>
      </c>
      <c r="G3179" s="1" t="s">
        <v>26</v>
      </c>
      <c r="H3179" s="1" t="str">
        <f t="shared" si="596"/>
        <v>20220914</v>
      </c>
      <c r="I3179" s="1" t="str">
        <f>"092945"</f>
        <v>092945</v>
      </c>
      <c r="J3179" s="1" t="s">
        <v>44</v>
      </c>
      <c r="K3179" s="1" t="s">
        <v>45</v>
      </c>
      <c r="L3179" s="1" t="str">
        <f t="shared" si="597"/>
        <v>20220914</v>
      </c>
      <c r="M3179" s="1" t="str">
        <f>"093402"</f>
        <v>093402</v>
      </c>
      <c r="N3179" s="1" t="s">
        <v>100</v>
      </c>
      <c r="O3179" s="1" t="s">
        <v>45</v>
      </c>
      <c r="P3179" s="1" t="s">
        <v>68</v>
      </c>
      <c r="Q3179" s="1">
        <v>13</v>
      </c>
      <c r="R3179" s="1">
        <v>0</v>
      </c>
      <c r="S3179" s="1">
        <v>0</v>
      </c>
      <c r="T3179" s="1">
        <v>13</v>
      </c>
      <c r="U3179" s="1">
        <v>0</v>
      </c>
      <c r="V3179" s="1" t="str">
        <f t="shared" si="603"/>
        <v>里程返程</v>
      </c>
      <c r="W3179" s="1" t="str">
        <f>"0020"</f>
        <v>0020</v>
      </c>
      <c r="X3179" s="1" t="s">
        <v>29</v>
      </c>
    </row>
    <row r="3180" spans="1:24" x14ac:dyDescent="0.3">
      <c r="A3180" s="1" t="str">
        <f t="shared" si="604"/>
        <v>59825</v>
      </c>
      <c r="B3180" s="1" t="s">
        <v>30</v>
      </c>
      <c r="C3180" s="1" t="s">
        <v>31</v>
      </c>
      <c r="D3180" s="1" t="str">
        <f t="shared" si="605"/>
        <v>9801</v>
      </c>
      <c r="E3180" s="1" t="s">
        <v>25</v>
      </c>
      <c r="F3180" s="1" t="str">
        <f>"52DB190393880400C834002000000015"</f>
        <v>52DB190393880400C834002000000015</v>
      </c>
      <c r="G3180" s="1" t="s">
        <v>26</v>
      </c>
      <c r="H3180" s="1" t="str">
        <f t="shared" si="596"/>
        <v>20220914</v>
      </c>
      <c r="I3180" s="1" t="str">
        <f>"092953"</f>
        <v>092953</v>
      </c>
      <c r="J3180" s="1" t="s">
        <v>44</v>
      </c>
      <c r="K3180" s="1" t="s">
        <v>45</v>
      </c>
      <c r="L3180" s="1" t="str">
        <f t="shared" si="597"/>
        <v>20220914</v>
      </c>
      <c r="M3180" s="1" t="str">
        <f>"093408"</f>
        <v>093408</v>
      </c>
      <c r="N3180" s="1" t="s">
        <v>100</v>
      </c>
      <c r="O3180" s="1" t="s">
        <v>45</v>
      </c>
      <c r="P3180" s="1" t="s">
        <v>68</v>
      </c>
      <c r="Q3180" s="1">
        <v>13</v>
      </c>
      <c r="R3180" s="1">
        <v>0</v>
      </c>
      <c r="S3180" s="1">
        <v>0</v>
      </c>
      <c r="T3180" s="1">
        <v>13</v>
      </c>
      <c r="U3180" s="1">
        <v>0</v>
      </c>
      <c r="V3180" s="1" t="str">
        <f t="shared" si="603"/>
        <v>里程返程</v>
      </c>
      <c r="W3180" s="1" t="str">
        <f>"0020"</f>
        <v>0020</v>
      </c>
      <c r="X3180" s="1" t="s">
        <v>29</v>
      </c>
    </row>
    <row r="3181" spans="1:24" x14ac:dyDescent="0.3">
      <c r="A3181" s="1" t="str">
        <f t="shared" si="604"/>
        <v>59825</v>
      </c>
      <c r="B3181" s="1" t="s">
        <v>30</v>
      </c>
      <c r="C3181" s="1" t="s">
        <v>31</v>
      </c>
      <c r="D3181" s="1" t="str">
        <f t="shared" si="605"/>
        <v>9801</v>
      </c>
      <c r="E3181" s="1" t="s">
        <v>25</v>
      </c>
      <c r="F3181" s="1" t="str">
        <f>"894153189"</f>
        <v>894153189</v>
      </c>
      <c r="G3181" s="1" t="s">
        <v>33</v>
      </c>
      <c r="H3181" s="1" t="str">
        <f t="shared" si="596"/>
        <v>20220914</v>
      </c>
      <c r="I3181" s="1" t="str">
        <f>"095502"</f>
        <v>095502</v>
      </c>
      <c r="J3181" s="1" t="s">
        <v>28</v>
      </c>
      <c r="K3181" s="1" t="s">
        <v>28</v>
      </c>
      <c r="L3181" s="1" t="str">
        <f t="shared" si="597"/>
        <v>20220914</v>
      </c>
      <c r="M3181" s="1" t="str">
        <f>"101728"</f>
        <v>101728</v>
      </c>
      <c r="N3181" s="1" t="s">
        <v>72</v>
      </c>
      <c r="O3181" s="1" t="s">
        <v>52</v>
      </c>
      <c r="P3181" s="1" t="s">
        <v>55</v>
      </c>
      <c r="Q3181" s="1">
        <v>25</v>
      </c>
      <c r="R3181" s="1">
        <v>25</v>
      </c>
      <c r="S3181" s="1">
        <v>0</v>
      </c>
      <c r="T3181" s="1">
        <v>0</v>
      </c>
      <c r="U3181" s="1">
        <v>0</v>
      </c>
      <c r="V3181" s="1" t="str">
        <f t="shared" si="603"/>
        <v>里程返程</v>
      </c>
      <c r="W3181" s="1" t="str">
        <f>"0820"</f>
        <v>0820</v>
      </c>
      <c r="X3181" s="1" t="s">
        <v>35</v>
      </c>
    </row>
    <row r="3182" spans="1:24" x14ac:dyDescent="0.3">
      <c r="A3182" s="1" t="str">
        <f t="shared" si="604"/>
        <v>59825</v>
      </c>
      <c r="B3182" s="1" t="s">
        <v>30</v>
      </c>
      <c r="C3182" s="1" t="s">
        <v>31</v>
      </c>
      <c r="D3182" s="1" t="str">
        <f t="shared" si="605"/>
        <v>9801</v>
      </c>
      <c r="E3182" s="1" t="s">
        <v>25</v>
      </c>
      <c r="F3182" s="1" t="str">
        <f>"285817872"</f>
        <v>285817872</v>
      </c>
      <c r="G3182" s="1" t="s">
        <v>33</v>
      </c>
      <c r="H3182" s="1" t="str">
        <f t="shared" si="596"/>
        <v>20220914</v>
      </c>
      <c r="I3182" s="1" t="str">
        <f>"095511"</f>
        <v>095511</v>
      </c>
      <c r="J3182" s="1" t="s">
        <v>28</v>
      </c>
      <c r="K3182" s="1" t="s">
        <v>28</v>
      </c>
      <c r="L3182" s="1" t="str">
        <f t="shared" si="597"/>
        <v>20220914</v>
      </c>
      <c r="M3182" s="1" t="str">
        <f>"102202"</f>
        <v>102202</v>
      </c>
      <c r="N3182" s="1" t="s">
        <v>60</v>
      </c>
      <c r="O3182" s="1" t="s">
        <v>52</v>
      </c>
      <c r="P3182" s="1" t="s">
        <v>55</v>
      </c>
      <c r="Q3182" s="1">
        <v>25</v>
      </c>
      <c r="R3182" s="1">
        <v>0</v>
      </c>
      <c r="S3182" s="1">
        <v>25</v>
      </c>
      <c r="T3182" s="1">
        <v>0</v>
      </c>
      <c r="U3182" s="1">
        <v>0</v>
      </c>
      <c r="V3182" s="1" t="str">
        <f t="shared" si="603"/>
        <v>里程返程</v>
      </c>
      <c r="W3182" s="1" t="str">
        <f>"0820"</f>
        <v>0820</v>
      </c>
      <c r="X3182" s="1" t="s">
        <v>35</v>
      </c>
    </row>
    <row r="3183" spans="1:24" x14ac:dyDescent="0.3">
      <c r="A3183" s="1" t="str">
        <f t="shared" si="604"/>
        <v>59825</v>
      </c>
      <c r="B3183" s="1" t="s">
        <v>30</v>
      </c>
      <c r="C3183" s="1" t="s">
        <v>31</v>
      </c>
      <c r="D3183" s="1" t="str">
        <f t="shared" si="605"/>
        <v>9801</v>
      </c>
      <c r="E3183" s="1" t="s">
        <v>25</v>
      </c>
      <c r="F3183" s="1" t="str">
        <f>"F25B1B03B1880400C834002000000015"</f>
        <v>F25B1B03B1880400C834002000000015</v>
      </c>
      <c r="G3183" s="1" t="s">
        <v>26</v>
      </c>
      <c r="H3183" s="1" t="str">
        <f t="shared" si="596"/>
        <v>20220914</v>
      </c>
      <c r="I3183" s="1" t="str">
        <f>"095517"</f>
        <v>095517</v>
      </c>
      <c r="J3183" s="1" t="s">
        <v>28</v>
      </c>
      <c r="K3183" s="1" t="s">
        <v>28</v>
      </c>
      <c r="L3183" s="1" t="str">
        <f t="shared" si="597"/>
        <v>20220914</v>
      </c>
      <c r="M3183" s="1" t="str">
        <f>"102156"</f>
        <v>102156</v>
      </c>
      <c r="N3183" s="1" t="s">
        <v>60</v>
      </c>
      <c r="O3183" s="1" t="s">
        <v>52</v>
      </c>
      <c r="P3183" s="1" t="s">
        <v>68</v>
      </c>
      <c r="Q3183" s="1">
        <v>13</v>
      </c>
      <c r="R3183" s="1">
        <v>0</v>
      </c>
      <c r="S3183" s="1">
        <v>0</v>
      </c>
      <c r="T3183" s="1">
        <v>13</v>
      </c>
      <c r="U3183" s="1">
        <v>0</v>
      </c>
      <c r="V3183" s="1" t="str">
        <f t="shared" si="603"/>
        <v>里程返程</v>
      </c>
      <c r="W3183" s="1" t="str">
        <f>"0020"</f>
        <v>0020</v>
      </c>
      <c r="X3183" s="1" t="s">
        <v>29</v>
      </c>
    </row>
    <row r="3184" spans="1:24" x14ac:dyDescent="0.3">
      <c r="A3184" s="1" t="str">
        <f t="shared" si="604"/>
        <v>59825</v>
      </c>
      <c r="B3184" s="1" t="s">
        <v>30</v>
      </c>
      <c r="C3184" s="1" t="s">
        <v>31</v>
      </c>
      <c r="D3184" s="1" t="str">
        <f t="shared" si="605"/>
        <v>9801</v>
      </c>
      <c r="E3184" s="1" t="s">
        <v>25</v>
      </c>
      <c r="F3184" s="1" t="str">
        <f>"1203567557"</f>
        <v>1203567557</v>
      </c>
      <c r="G3184" s="1" t="s">
        <v>26</v>
      </c>
      <c r="H3184" s="1" t="str">
        <f t="shared" si="596"/>
        <v>20220914</v>
      </c>
      <c r="I3184" s="1" t="str">
        <f>"095520"</f>
        <v>095520</v>
      </c>
      <c r="J3184" s="1" t="s">
        <v>28</v>
      </c>
      <c r="K3184" s="1" t="s">
        <v>28</v>
      </c>
      <c r="L3184" s="1" t="str">
        <f t="shared" si="597"/>
        <v>20220914</v>
      </c>
      <c r="M3184" s="1" t="str">
        <f>"102541"</f>
        <v>102541</v>
      </c>
      <c r="N3184" s="1" t="s">
        <v>52</v>
      </c>
      <c r="O3184" s="1" t="s">
        <v>52</v>
      </c>
      <c r="P3184" s="1" t="s">
        <v>55</v>
      </c>
      <c r="Q3184" s="1">
        <v>13</v>
      </c>
      <c r="R3184" s="1">
        <v>13</v>
      </c>
      <c r="S3184" s="1">
        <v>0</v>
      </c>
      <c r="T3184" s="1">
        <v>0</v>
      </c>
      <c r="U3184" s="1">
        <v>0</v>
      </c>
      <c r="V3184" s="1" t="str">
        <f t="shared" si="603"/>
        <v>里程返程</v>
      </c>
      <c r="W3184" s="1" t="str">
        <f>"2120"</f>
        <v>2120</v>
      </c>
      <c r="X3184" s="1" t="s">
        <v>35</v>
      </c>
    </row>
    <row r="3185" spans="1:24" x14ac:dyDescent="0.3">
      <c r="A3185" s="1" t="str">
        <f t="shared" si="604"/>
        <v>59825</v>
      </c>
      <c r="B3185" s="1" t="s">
        <v>30</v>
      </c>
      <c r="C3185" s="1" t="s">
        <v>31</v>
      </c>
      <c r="D3185" s="1" t="str">
        <f t="shared" si="605"/>
        <v>9801</v>
      </c>
      <c r="E3185" s="1" t="s">
        <v>25</v>
      </c>
      <c r="F3185" s="1" t="str">
        <f>"029DE6027B880400C834002000000015"</f>
        <v>029DE6027B880400C834002000000015</v>
      </c>
      <c r="G3185" s="1" t="s">
        <v>74</v>
      </c>
      <c r="H3185" s="1" t="str">
        <f t="shared" si="596"/>
        <v>20220914</v>
      </c>
      <c r="I3185" s="1" t="str">
        <f>"102214"</f>
        <v>102214</v>
      </c>
      <c r="J3185" s="1" t="s">
        <v>60</v>
      </c>
      <c r="K3185" s="1" t="s">
        <v>52</v>
      </c>
      <c r="L3185" s="1" t="str">
        <f t="shared" si="597"/>
        <v>20220914</v>
      </c>
      <c r="M3185" s="1" t="str">
        <f>"102548"</f>
        <v>102548</v>
      </c>
      <c r="N3185" s="1" t="s">
        <v>52</v>
      </c>
      <c r="O3185" s="1" t="s">
        <v>52</v>
      </c>
      <c r="P3185" s="1" t="s">
        <v>68</v>
      </c>
      <c r="Q3185" s="1">
        <v>13</v>
      </c>
      <c r="R3185" s="1">
        <v>0</v>
      </c>
      <c r="S3185" s="1">
        <v>0</v>
      </c>
      <c r="T3185" s="1">
        <v>13</v>
      </c>
      <c r="U3185" s="1">
        <v>0</v>
      </c>
      <c r="V3185" s="1" t="str">
        <f t="shared" si="603"/>
        <v>里程返程</v>
      </c>
      <c r="W3185" s="1" t="str">
        <f>"0020"</f>
        <v>0020</v>
      </c>
      <c r="X3185" s="1" t="s">
        <v>29</v>
      </c>
    </row>
    <row r="3186" spans="1:24" x14ac:dyDescent="0.3">
      <c r="A3186" s="1" t="str">
        <f t="shared" si="604"/>
        <v>59825</v>
      </c>
      <c r="B3186" s="1" t="s">
        <v>30</v>
      </c>
      <c r="C3186" s="1" t="s">
        <v>31</v>
      </c>
      <c r="D3186" s="1" t="str">
        <f t="shared" si="605"/>
        <v>9801</v>
      </c>
      <c r="E3186" s="1" t="s">
        <v>25</v>
      </c>
      <c r="F3186" s="1" t="str">
        <f>"02BBF2054E880400C838002000000015"</f>
        <v>02BBF2054E880400C838002000000015</v>
      </c>
      <c r="G3186" s="1" t="s">
        <v>26</v>
      </c>
      <c r="H3186" s="1" t="str">
        <f t="shared" si="596"/>
        <v>20220914</v>
      </c>
      <c r="I3186" s="1" t="str">
        <f>"102627"</f>
        <v>102627</v>
      </c>
      <c r="J3186" s="1" t="s">
        <v>44</v>
      </c>
      <c r="K3186" s="1" t="s">
        <v>45</v>
      </c>
      <c r="L3186" s="1" t="str">
        <f t="shared" si="597"/>
        <v>20220914</v>
      </c>
      <c r="M3186" s="1" t="str">
        <f>"112218"</f>
        <v>112218</v>
      </c>
      <c r="N3186" s="1" t="s">
        <v>60</v>
      </c>
      <c r="O3186" s="1" t="s">
        <v>52</v>
      </c>
      <c r="P3186" s="1" t="s">
        <v>68</v>
      </c>
      <c r="Q3186" s="1">
        <v>25</v>
      </c>
      <c r="R3186" s="1">
        <v>0</v>
      </c>
      <c r="S3186" s="1">
        <v>0</v>
      </c>
      <c r="T3186" s="1">
        <v>25</v>
      </c>
      <c r="U3186" s="1">
        <v>0</v>
      </c>
      <c r="V3186" s="1" t="str">
        <f t="shared" si="603"/>
        <v>里程返程</v>
      </c>
      <c r="W3186" s="1" t="str">
        <f>"0020"</f>
        <v>0020</v>
      </c>
      <c r="X3186" s="1" t="s">
        <v>29</v>
      </c>
    </row>
    <row r="3187" spans="1:24" x14ac:dyDescent="0.3">
      <c r="A3187" s="1" t="str">
        <f t="shared" si="604"/>
        <v>59825</v>
      </c>
      <c r="B3187" s="1" t="s">
        <v>30</v>
      </c>
      <c r="C3187" s="1" t="s">
        <v>31</v>
      </c>
      <c r="D3187" s="1" t="str">
        <f t="shared" si="605"/>
        <v>9801</v>
      </c>
      <c r="E3187" s="1" t="s">
        <v>25</v>
      </c>
      <c r="F3187" s="1" t="str">
        <f>"E213BD024E880400C834002000000015"</f>
        <v>E213BD024E880400C834002000000015</v>
      </c>
      <c r="G3187" s="1" t="s">
        <v>74</v>
      </c>
      <c r="H3187" s="1" t="str">
        <f t="shared" si="596"/>
        <v>20220914</v>
      </c>
      <c r="I3187" s="1" t="str">
        <f>"105411"</f>
        <v>105411</v>
      </c>
      <c r="J3187" s="1" t="s">
        <v>28</v>
      </c>
      <c r="K3187" s="1" t="s">
        <v>28</v>
      </c>
      <c r="L3187" s="1" t="str">
        <f t="shared" si="597"/>
        <v>20220914</v>
      </c>
      <c r="M3187" s="1" t="str">
        <f>"111711"</f>
        <v>111711</v>
      </c>
      <c r="N3187" s="1" t="s">
        <v>65</v>
      </c>
      <c r="O3187" s="1" t="s">
        <v>52</v>
      </c>
      <c r="P3187" s="1" t="s">
        <v>68</v>
      </c>
      <c r="Q3187" s="1">
        <v>13</v>
      </c>
      <c r="R3187" s="1">
        <v>0</v>
      </c>
      <c r="S3187" s="1">
        <v>0</v>
      </c>
      <c r="T3187" s="1">
        <v>13</v>
      </c>
      <c r="U3187" s="1">
        <v>0</v>
      </c>
      <c r="V3187" s="1" t="str">
        <f t="shared" si="603"/>
        <v>里程返程</v>
      </c>
      <c r="W3187" s="1" t="str">
        <f>"0020"</f>
        <v>0020</v>
      </c>
      <c r="X3187" s="1" t="s">
        <v>29</v>
      </c>
    </row>
    <row r="3188" spans="1:24" x14ac:dyDescent="0.3">
      <c r="A3188" s="1" t="str">
        <f t="shared" si="604"/>
        <v>59825</v>
      </c>
      <c r="B3188" s="1" t="s">
        <v>30</v>
      </c>
      <c r="C3188" s="1" t="s">
        <v>31</v>
      </c>
      <c r="D3188" s="1" t="str">
        <f t="shared" si="605"/>
        <v>9801</v>
      </c>
      <c r="E3188" s="1" t="s">
        <v>25</v>
      </c>
      <c r="F3188" s="1" t="str">
        <f>"1645182069"</f>
        <v>1645182069</v>
      </c>
      <c r="G3188" s="1" t="s">
        <v>33</v>
      </c>
      <c r="H3188" s="1" t="str">
        <f t="shared" si="596"/>
        <v>20220914</v>
      </c>
      <c r="I3188" s="1" t="str">
        <f>"110346"</f>
        <v>110346</v>
      </c>
      <c r="J3188" s="1" t="s">
        <v>67</v>
      </c>
      <c r="K3188" s="1" t="s">
        <v>52</v>
      </c>
      <c r="L3188" s="1" t="str">
        <f t="shared" si="597"/>
        <v>20220914</v>
      </c>
      <c r="M3188" s="1" t="str">
        <f>"111307"</f>
        <v>111307</v>
      </c>
      <c r="N3188" s="1" t="s">
        <v>97</v>
      </c>
      <c r="O3188" s="1" t="s">
        <v>52</v>
      </c>
      <c r="P3188" s="1" t="s">
        <v>55</v>
      </c>
      <c r="Q3188" s="1">
        <v>25</v>
      </c>
      <c r="R3188" s="1">
        <v>25</v>
      </c>
      <c r="S3188" s="1">
        <v>0</v>
      </c>
      <c r="T3188" s="1">
        <v>0</v>
      </c>
      <c r="U3188" s="1">
        <v>0</v>
      </c>
      <c r="V3188" s="1" t="str">
        <f t="shared" si="603"/>
        <v>里程返程</v>
      </c>
      <c r="W3188" s="1" t="str">
        <f>"2020"</f>
        <v>2020</v>
      </c>
      <c r="X3188" s="1" t="s">
        <v>35</v>
      </c>
    </row>
    <row r="3189" spans="1:24" x14ac:dyDescent="0.3">
      <c r="A3189" s="1" t="str">
        <f t="shared" si="604"/>
        <v>59825</v>
      </c>
      <c r="B3189" s="1" t="s">
        <v>30</v>
      </c>
      <c r="C3189" s="1" t="s">
        <v>31</v>
      </c>
      <c r="D3189" s="1" t="str">
        <f t="shared" si="605"/>
        <v>9801</v>
      </c>
      <c r="E3189" s="1" t="s">
        <v>25</v>
      </c>
      <c r="F3189" s="1" t="str">
        <f>"A2B3E105F5880400C838002000000015"</f>
        <v>A2B3E105F5880400C838002000000015</v>
      </c>
      <c r="G3189" s="1" t="s">
        <v>38</v>
      </c>
      <c r="H3189" s="1" t="str">
        <f t="shared" si="596"/>
        <v>20220914</v>
      </c>
      <c r="I3189" s="1" t="str">
        <f>"110350"</f>
        <v>110350</v>
      </c>
      <c r="J3189" s="1" t="s">
        <v>67</v>
      </c>
      <c r="K3189" s="1" t="s">
        <v>52</v>
      </c>
      <c r="L3189" s="1" t="str">
        <f t="shared" si="597"/>
        <v>20220914</v>
      </c>
      <c r="M3189" s="1" t="str">
        <f>"111305"</f>
        <v>111305</v>
      </c>
      <c r="N3189" s="1" t="s">
        <v>97</v>
      </c>
      <c r="O3189" s="1" t="s">
        <v>52</v>
      </c>
      <c r="P3189" s="1" t="s">
        <v>55</v>
      </c>
      <c r="Q3189" s="1">
        <v>25</v>
      </c>
      <c r="R3189" s="1">
        <v>25</v>
      </c>
      <c r="S3189" s="1">
        <v>0</v>
      </c>
      <c r="T3189" s="1">
        <v>0</v>
      </c>
      <c r="U3189" s="1">
        <v>0</v>
      </c>
      <c r="V3189" s="1" t="str">
        <f t="shared" si="603"/>
        <v>里程返程</v>
      </c>
      <c r="W3189" s="1" t="str">
        <f>"0020"</f>
        <v>0020</v>
      </c>
      <c r="X3189" s="1" t="s">
        <v>29</v>
      </c>
    </row>
    <row r="3190" spans="1:24" x14ac:dyDescent="0.3">
      <c r="A3190" s="1" t="str">
        <f t="shared" si="604"/>
        <v>59825</v>
      </c>
      <c r="B3190" s="1" t="s">
        <v>30</v>
      </c>
      <c r="C3190" s="1" t="s">
        <v>31</v>
      </c>
      <c r="D3190" s="1" t="str">
        <f t="shared" si="605"/>
        <v>9801</v>
      </c>
      <c r="E3190" s="1" t="s">
        <v>25</v>
      </c>
      <c r="F3190" s="1" t="str">
        <f>"82D5FB02AE880400C834002000000015"</f>
        <v>82D5FB02AE880400C834002000000015</v>
      </c>
      <c r="G3190" s="1" t="s">
        <v>26</v>
      </c>
      <c r="H3190" s="1" t="str">
        <f t="shared" si="596"/>
        <v>20220914</v>
      </c>
      <c r="I3190" s="1" t="str">
        <f>"112039"</f>
        <v>112039</v>
      </c>
      <c r="J3190" s="1" t="s">
        <v>51</v>
      </c>
      <c r="K3190" s="1" t="s">
        <v>52</v>
      </c>
      <c r="L3190" s="1" t="str">
        <f t="shared" si="597"/>
        <v>20220914</v>
      </c>
      <c r="M3190" s="1" t="str">
        <f>"112722"</f>
        <v>112722</v>
      </c>
      <c r="N3190" s="1" t="s">
        <v>52</v>
      </c>
      <c r="O3190" s="1" t="s">
        <v>52</v>
      </c>
      <c r="P3190" s="1" t="s">
        <v>68</v>
      </c>
      <c r="Q3190" s="1">
        <v>13</v>
      </c>
      <c r="R3190" s="1">
        <v>0</v>
      </c>
      <c r="S3190" s="1">
        <v>0</v>
      </c>
      <c r="T3190" s="1">
        <v>13</v>
      </c>
      <c r="U3190" s="1">
        <v>0</v>
      </c>
      <c r="V3190" s="1" t="str">
        <f t="shared" si="603"/>
        <v>里程返程</v>
      </c>
      <c r="W3190" s="1" t="str">
        <f>"0020"</f>
        <v>0020</v>
      </c>
      <c r="X3190" s="1" t="s">
        <v>29</v>
      </c>
    </row>
    <row r="3191" spans="1:24" x14ac:dyDescent="0.3">
      <c r="A3191" s="1" t="str">
        <f t="shared" si="604"/>
        <v>59825</v>
      </c>
      <c r="B3191" s="1" t="s">
        <v>30</v>
      </c>
      <c r="C3191" s="1" t="s">
        <v>31</v>
      </c>
      <c r="D3191" s="1" t="str">
        <f t="shared" si="605"/>
        <v>9801</v>
      </c>
      <c r="E3191" s="1" t="s">
        <v>25</v>
      </c>
      <c r="F3191" s="1" t="str">
        <f>"520E1C0343880400C834002000000015"</f>
        <v>520E1C0343880400C834002000000015</v>
      </c>
      <c r="G3191" s="1" t="s">
        <v>26</v>
      </c>
      <c r="H3191" s="1" t="str">
        <f t="shared" si="596"/>
        <v>20220914</v>
      </c>
      <c r="I3191" s="1" t="str">
        <f>"112228"</f>
        <v>112228</v>
      </c>
      <c r="J3191" s="1" t="s">
        <v>60</v>
      </c>
      <c r="K3191" s="1" t="s">
        <v>52</v>
      </c>
      <c r="L3191" s="1" t="str">
        <f t="shared" si="597"/>
        <v>20220914</v>
      </c>
      <c r="M3191" s="1" t="str">
        <f>"112719"</f>
        <v>112719</v>
      </c>
      <c r="N3191" s="1" t="s">
        <v>52</v>
      </c>
      <c r="O3191" s="1" t="s">
        <v>52</v>
      </c>
      <c r="P3191" s="1" t="s">
        <v>68</v>
      </c>
      <c r="Q3191" s="1">
        <v>13</v>
      </c>
      <c r="R3191" s="1">
        <v>0</v>
      </c>
      <c r="S3191" s="1">
        <v>0</v>
      </c>
      <c r="T3191" s="1">
        <v>13</v>
      </c>
      <c r="U3191" s="1">
        <v>0</v>
      </c>
      <c r="V3191" s="1" t="str">
        <f t="shared" si="603"/>
        <v>里程返程</v>
      </c>
      <c r="W3191" s="1" t="str">
        <f>"0020"</f>
        <v>0020</v>
      </c>
      <c r="X3191" s="1" t="s">
        <v>29</v>
      </c>
    </row>
    <row r="3192" spans="1:24" x14ac:dyDescent="0.3">
      <c r="A3192" s="1" t="str">
        <f t="shared" si="604"/>
        <v>59825</v>
      </c>
      <c r="B3192" s="1" t="s">
        <v>30</v>
      </c>
      <c r="C3192" s="1" t="s">
        <v>31</v>
      </c>
      <c r="D3192" s="1" t="str">
        <f t="shared" si="605"/>
        <v>9801</v>
      </c>
      <c r="E3192" s="1" t="s">
        <v>25</v>
      </c>
      <c r="F3192" s="1" t="str">
        <f>"324E1D0362880400C834002000000015"</f>
        <v>324E1D0362880400C834002000000015</v>
      </c>
      <c r="G3192" s="1" t="s">
        <v>26</v>
      </c>
      <c r="H3192" s="1" t="str">
        <f t="shared" si="596"/>
        <v>20220914</v>
      </c>
      <c r="I3192" s="1" t="str">
        <f>"112233"</f>
        <v>112233</v>
      </c>
      <c r="J3192" s="1" t="s">
        <v>60</v>
      </c>
      <c r="K3192" s="1" t="s">
        <v>52</v>
      </c>
      <c r="L3192" s="1" t="str">
        <f t="shared" si="597"/>
        <v>20220914</v>
      </c>
      <c r="M3192" s="1" t="str">
        <f>"112705"</f>
        <v>112705</v>
      </c>
      <c r="N3192" s="1" t="s">
        <v>52</v>
      </c>
      <c r="O3192" s="1" t="s">
        <v>52</v>
      </c>
      <c r="P3192" s="1" t="s">
        <v>68</v>
      </c>
      <c r="Q3192" s="1">
        <v>13</v>
      </c>
      <c r="R3192" s="1">
        <v>0</v>
      </c>
      <c r="S3192" s="1">
        <v>0</v>
      </c>
      <c r="T3192" s="1">
        <v>13</v>
      </c>
      <c r="U3192" s="1">
        <v>0</v>
      </c>
      <c r="V3192" s="1" t="str">
        <f t="shared" si="603"/>
        <v>里程返程</v>
      </c>
      <c r="W3192" s="1" t="str">
        <f>"0020"</f>
        <v>0020</v>
      </c>
      <c r="X3192" s="1" t="s">
        <v>29</v>
      </c>
    </row>
    <row r="3193" spans="1:24" x14ac:dyDescent="0.3">
      <c r="A3193" s="1" t="str">
        <f t="shared" si="604"/>
        <v>59825</v>
      </c>
      <c r="B3193" s="1" t="s">
        <v>30</v>
      </c>
      <c r="C3193" s="1" t="s">
        <v>31</v>
      </c>
      <c r="D3193" s="1" t="str">
        <f t="shared" si="605"/>
        <v>9801</v>
      </c>
      <c r="E3193" s="1" t="s">
        <v>25</v>
      </c>
      <c r="F3193" s="1" t="str">
        <f>"82D5FB02AE880400C834002000000015"</f>
        <v>82D5FB02AE880400C834002000000015</v>
      </c>
      <c r="G3193" s="1" t="s">
        <v>26</v>
      </c>
      <c r="H3193" s="1" t="str">
        <f t="shared" si="596"/>
        <v>20220914</v>
      </c>
      <c r="I3193" s="1" t="str">
        <f>"112755"</f>
        <v>112755</v>
      </c>
      <c r="J3193" s="1" t="s">
        <v>44</v>
      </c>
      <c r="K3193" s="1" t="s">
        <v>45</v>
      </c>
      <c r="L3193" s="1" t="str">
        <f t="shared" si="597"/>
        <v>20220914</v>
      </c>
      <c r="M3193" s="1" t="str">
        <f>"114308"</f>
        <v>114308</v>
      </c>
      <c r="N3193" s="1" t="s">
        <v>56</v>
      </c>
      <c r="O3193" s="1" t="s">
        <v>45</v>
      </c>
      <c r="P3193" s="1" t="s">
        <v>68</v>
      </c>
      <c r="Q3193" s="1">
        <v>13</v>
      </c>
      <c r="R3193" s="1">
        <v>0</v>
      </c>
      <c r="S3193" s="1">
        <v>0</v>
      </c>
      <c r="T3193" s="1">
        <v>13</v>
      </c>
      <c r="U3193" s="1">
        <v>0</v>
      </c>
      <c r="V3193" s="1" t="str">
        <f t="shared" si="603"/>
        <v>里程返程</v>
      </c>
      <c r="W3193" s="1" t="str">
        <f>"0020"</f>
        <v>0020</v>
      </c>
      <c r="X3193" s="1" t="s">
        <v>29</v>
      </c>
    </row>
    <row r="3194" spans="1:24" x14ac:dyDescent="0.3">
      <c r="A3194" s="1" t="str">
        <f t="shared" si="604"/>
        <v>59825</v>
      </c>
      <c r="B3194" s="1" t="s">
        <v>30</v>
      </c>
      <c r="C3194" s="1" t="s">
        <v>31</v>
      </c>
      <c r="D3194" s="1" t="str">
        <f t="shared" si="605"/>
        <v>9801</v>
      </c>
      <c r="E3194" s="1" t="s">
        <v>25</v>
      </c>
      <c r="F3194" s="1" t="str">
        <f>"1233712885"</f>
        <v>1233712885</v>
      </c>
      <c r="G3194" s="1" t="s">
        <v>26</v>
      </c>
      <c r="H3194" s="1" t="str">
        <f t="shared" si="596"/>
        <v>20220914</v>
      </c>
      <c r="I3194" s="1" t="str">
        <f>"114617"</f>
        <v>114617</v>
      </c>
      <c r="J3194" s="1" t="s">
        <v>45</v>
      </c>
      <c r="K3194" s="1" t="s">
        <v>45</v>
      </c>
      <c r="L3194" s="1" t="str">
        <f t="shared" si="597"/>
        <v>20220914</v>
      </c>
      <c r="M3194" s="1" t="str">
        <f>"115329"</f>
        <v>115329</v>
      </c>
      <c r="N3194" s="1" t="s">
        <v>28</v>
      </c>
      <c r="O3194" s="1" t="s">
        <v>28</v>
      </c>
      <c r="P3194" s="1" t="s">
        <v>55</v>
      </c>
      <c r="Q3194" s="1">
        <v>13</v>
      </c>
      <c r="R3194" s="1">
        <v>0</v>
      </c>
      <c r="S3194" s="1">
        <v>13</v>
      </c>
      <c r="T3194" s="1">
        <v>0</v>
      </c>
      <c r="U3194" s="1">
        <v>0</v>
      </c>
      <c r="V3194" s="1" t="str">
        <f t="shared" si="603"/>
        <v>里程返程</v>
      </c>
      <c r="W3194" s="1" t="str">
        <f>"2020"</f>
        <v>2020</v>
      </c>
      <c r="X3194" s="1" t="s">
        <v>35</v>
      </c>
    </row>
    <row r="3195" spans="1:24" x14ac:dyDescent="0.3">
      <c r="A3195" s="1" t="str">
        <f t="shared" si="604"/>
        <v>59825</v>
      </c>
      <c r="B3195" s="1" t="s">
        <v>30</v>
      </c>
      <c r="C3195" s="1" t="s">
        <v>31</v>
      </c>
      <c r="D3195" s="1" t="str">
        <f t="shared" si="605"/>
        <v>9801</v>
      </c>
      <c r="E3195" s="1" t="s">
        <v>25</v>
      </c>
      <c r="F3195" s="1" t="str">
        <f>"1187072229"</f>
        <v>1187072229</v>
      </c>
      <c r="G3195" s="1" t="s">
        <v>26</v>
      </c>
      <c r="H3195" s="1" t="str">
        <f t="shared" si="596"/>
        <v>20220914</v>
      </c>
      <c r="I3195" s="1" t="str">
        <f>"115400"</f>
        <v>115400</v>
      </c>
      <c r="J3195" s="1" t="s">
        <v>28</v>
      </c>
      <c r="K3195" s="1" t="s">
        <v>28</v>
      </c>
      <c r="L3195" s="1" t="str">
        <f t="shared" si="597"/>
        <v>20220914</v>
      </c>
      <c r="M3195" s="1" t="str">
        <f>"122051"</f>
        <v>122051</v>
      </c>
      <c r="N3195" s="1" t="s">
        <v>86</v>
      </c>
      <c r="O3195" s="1" t="s">
        <v>52</v>
      </c>
      <c r="P3195" s="1" t="s">
        <v>55</v>
      </c>
      <c r="Q3195" s="1">
        <v>13</v>
      </c>
      <c r="R3195" s="1">
        <v>13</v>
      </c>
      <c r="S3195" s="1">
        <v>0</v>
      </c>
      <c r="T3195" s="1">
        <v>0</v>
      </c>
      <c r="U3195" s="1">
        <v>0</v>
      </c>
      <c r="V3195" s="1" t="str">
        <f t="shared" si="603"/>
        <v>里程返程</v>
      </c>
      <c r="W3195" s="1" t="str">
        <f>"0120"</f>
        <v>0120</v>
      </c>
      <c r="X3195" s="1" t="s">
        <v>35</v>
      </c>
    </row>
    <row r="3196" spans="1:24" x14ac:dyDescent="0.3">
      <c r="A3196" s="1" t="str">
        <f t="shared" si="604"/>
        <v>59825</v>
      </c>
      <c r="B3196" s="1" t="s">
        <v>30</v>
      </c>
      <c r="C3196" s="1" t="s">
        <v>31</v>
      </c>
      <c r="D3196" s="1" t="str">
        <f t="shared" si="605"/>
        <v>9801</v>
      </c>
      <c r="E3196" s="1" t="s">
        <v>25</v>
      </c>
      <c r="F3196" s="1" t="str">
        <f>"380782248"</f>
        <v>380782248</v>
      </c>
      <c r="G3196" s="1" t="s">
        <v>33</v>
      </c>
      <c r="H3196" s="1" t="str">
        <f t="shared" si="596"/>
        <v>20220914</v>
      </c>
      <c r="I3196" s="1" t="str">
        <f>"115410"</f>
        <v>115410</v>
      </c>
      <c r="J3196" s="1" t="s">
        <v>28</v>
      </c>
      <c r="K3196" s="1" t="s">
        <v>28</v>
      </c>
      <c r="L3196" s="1" t="str">
        <f t="shared" si="597"/>
        <v>20220914</v>
      </c>
      <c r="M3196" s="1" t="str">
        <f>"122252"</f>
        <v>122252</v>
      </c>
      <c r="N3196" s="1" t="s">
        <v>52</v>
      </c>
      <c r="O3196" s="1" t="s">
        <v>52</v>
      </c>
      <c r="P3196" s="1" t="s">
        <v>55</v>
      </c>
      <c r="Q3196" s="1">
        <v>25</v>
      </c>
      <c r="R3196" s="1">
        <v>25</v>
      </c>
      <c r="S3196" s="1">
        <v>0</v>
      </c>
      <c r="T3196" s="1">
        <v>0</v>
      </c>
      <c r="U3196" s="1">
        <v>0</v>
      </c>
      <c r="V3196" s="1" t="str">
        <f t="shared" si="603"/>
        <v>里程返程</v>
      </c>
      <c r="W3196" s="1" t="str">
        <f>"0820"</f>
        <v>0820</v>
      </c>
      <c r="X3196" s="1" t="s">
        <v>35</v>
      </c>
    </row>
    <row r="3197" spans="1:24" x14ac:dyDescent="0.3">
      <c r="A3197" s="1" t="str">
        <f t="shared" si="604"/>
        <v>59825</v>
      </c>
      <c r="B3197" s="1" t="s">
        <v>30</v>
      </c>
      <c r="C3197" s="1" t="s">
        <v>31</v>
      </c>
      <c r="D3197" s="1" t="str">
        <f t="shared" si="605"/>
        <v>9801</v>
      </c>
      <c r="E3197" s="1" t="s">
        <v>25</v>
      </c>
      <c r="F3197" s="1" t="str">
        <f>"752850785"</f>
        <v>752850785</v>
      </c>
      <c r="G3197" s="1" t="s">
        <v>26</v>
      </c>
      <c r="H3197" s="1" t="str">
        <f t="shared" ref="H3197:H3260" si="606">"20220914"</f>
        <v>20220914</v>
      </c>
      <c r="I3197" s="1" t="str">
        <f>"115430"</f>
        <v>115430</v>
      </c>
      <c r="J3197" s="1" t="s">
        <v>28</v>
      </c>
      <c r="K3197" s="1" t="s">
        <v>28</v>
      </c>
      <c r="L3197" s="1" t="str">
        <f t="shared" ref="L3197:L3260" si="607">"20220914"</f>
        <v>20220914</v>
      </c>
      <c r="M3197" s="1" t="str">
        <f>"122246"</f>
        <v>122246</v>
      </c>
      <c r="N3197" s="1" t="s">
        <v>52</v>
      </c>
      <c r="O3197" s="1" t="s">
        <v>52</v>
      </c>
      <c r="P3197" s="1" t="s">
        <v>55</v>
      </c>
      <c r="Q3197" s="1">
        <v>13</v>
      </c>
      <c r="R3197" s="1">
        <v>13</v>
      </c>
      <c r="S3197" s="1">
        <v>0</v>
      </c>
      <c r="T3197" s="1">
        <v>0</v>
      </c>
      <c r="U3197" s="1">
        <v>0</v>
      </c>
      <c r="V3197" s="1" t="str">
        <f t="shared" si="603"/>
        <v>里程返程</v>
      </c>
      <c r="W3197" s="1" t="str">
        <f>"0820"</f>
        <v>0820</v>
      </c>
      <c r="X3197" s="1" t="s">
        <v>35</v>
      </c>
    </row>
    <row r="3198" spans="1:24" x14ac:dyDescent="0.3">
      <c r="A3198" s="1" t="str">
        <f t="shared" si="604"/>
        <v>59825</v>
      </c>
      <c r="B3198" s="1" t="s">
        <v>30</v>
      </c>
      <c r="C3198" s="1" t="s">
        <v>31</v>
      </c>
      <c r="D3198" s="1" t="str">
        <f t="shared" si="605"/>
        <v>9801</v>
      </c>
      <c r="E3198" s="1" t="s">
        <v>25</v>
      </c>
      <c r="F3198" s="1" t="str">
        <f>"3040822515"</f>
        <v>3040822515</v>
      </c>
      <c r="G3198" s="1" t="s">
        <v>96</v>
      </c>
      <c r="H3198" s="1" t="str">
        <f t="shared" si="606"/>
        <v>20220914</v>
      </c>
      <c r="I3198" s="1" t="str">
        <f>"115438"</f>
        <v>115438</v>
      </c>
      <c r="J3198" s="1" t="s">
        <v>28</v>
      </c>
      <c r="K3198" s="1" t="s">
        <v>28</v>
      </c>
      <c r="L3198" s="1" t="str">
        <f t="shared" si="607"/>
        <v>20220914</v>
      </c>
      <c r="M3198" s="1" t="str">
        <f>"122249"</f>
        <v>122249</v>
      </c>
      <c r="N3198" s="1" t="s">
        <v>52</v>
      </c>
      <c r="O3198" s="1" t="s">
        <v>52</v>
      </c>
      <c r="P3198" s="1" t="s">
        <v>55</v>
      </c>
      <c r="Q3198" s="1">
        <v>13</v>
      </c>
      <c r="R3198" s="1">
        <v>13</v>
      </c>
      <c r="S3198" s="1">
        <v>0</v>
      </c>
      <c r="T3198" s="1">
        <v>0</v>
      </c>
      <c r="U3198" s="1">
        <v>0</v>
      </c>
      <c r="V3198" s="1" t="str">
        <f t="shared" si="603"/>
        <v>里程返程</v>
      </c>
      <c r="W3198" s="1" t="str">
        <f>"0820"</f>
        <v>0820</v>
      </c>
      <c r="X3198" s="1" t="s">
        <v>35</v>
      </c>
    </row>
    <row r="3199" spans="1:24" x14ac:dyDescent="0.3">
      <c r="A3199" s="1" t="str">
        <f t="shared" si="604"/>
        <v>59825</v>
      </c>
      <c r="B3199" s="1" t="s">
        <v>30</v>
      </c>
      <c r="C3199" s="1" t="s">
        <v>31</v>
      </c>
      <c r="D3199" s="1" t="str">
        <f t="shared" si="605"/>
        <v>9801</v>
      </c>
      <c r="E3199" s="1" t="s">
        <v>25</v>
      </c>
      <c r="F3199" s="1" t="str">
        <f>"251810511"</f>
        <v>251810511</v>
      </c>
      <c r="G3199" s="1" t="s">
        <v>26</v>
      </c>
      <c r="H3199" s="1" t="str">
        <f t="shared" si="606"/>
        <v>20220914</v>
      </c>
      <c r="I3199" s="1" t="str">
        <f>"115506"</f>
        <v>115506</v>
      </c>
      <c r="J3199" s="1" t="s">
        <v>28</v>
      </c>
      <c r="K3199" s="1" t="s">
        <v>28</v>
      </c>
      <c r="L3199" s="1" t="str">
        <f t="shared" si="607"/>
        <v>20220914</v>
      </c>
      <c r="M3199" s="1" t="str">
        <f>"122303"</f>
        <v>122303</v>
      </c>
      <c r="N3199" s="1" t="s">
        <v>52</v>
      </c>
      <c r="O3199" s="1" t="s">
        <v>52</v>
      </c>
      <c r="P3199" s="1" t="s">
        <v>55</v>
      </c>
      <c r="Q3199" s="1">
        <v>13</v>
      </c>
      <c r="R3199" s="1">
        <v>13</v>
      </c>
      <c r="S3199" s="1">
        <v>0</v>
      </c>
      <c r="T3199" s="1">
        <v>0</v>
      </c>
      <c r="U3199" s="1">
        <v>0</v>
      </c>
      <c r="V3199" s="1" t="str">
        <f t="shared" si="603"/>
        <v>里程返程</v>
      </c>
      <c r="W3199" s="1" t="str">
        <f>"0820"</f>
        <v>0820</v>
      </c>
      <c r="X3199" s="1" t="s">
        <v>35</v>
      </c>
    </row>
    <row r="3200" spans="1:24" x14ac:dyDescent="0.3">
      <c r="A3200" s="1" t="str">
        <f t="shared" si="604"/>
        <v>59825</v>
      </c>
      <c r="B3200" s="1" t="s">
        <v>30</v>
      </c>
      <c r="C3200" s="1" t="s">
        <v>31</v>
      </c>
      <c r="D3200" s="1" t="str">
        <f t="shared" si="605"/>
        <v>9801</v>
      </c>
      <c r="E3200" s="1" t="s">
        <v>25</v>
      </c>
      <c r="F3200" s="1" t="str">
        <f>"1075628161"</f>
        <v>1075628161</v>
      </c>
      <c r="G3200" s="1" t="s">
        <v>33</v>
      </c>
      <c r="H3200" s="1" t="str">
        <f t="shared" si="606"/>
        <v>20220914</v>
      </c>
      <c r="I3200" s="1" t="str">
        <f>"115520"</f>
        <v>115520</v>
      </c>
      <c r="J3200" s="1" t="s">
        <v>28</v>
      </c>
      <c r="K3200" s="1" t="s">
        <v>28</v>
      </c>
      <c r="L3200" s="1" t="str">
        <f t="shared" si="607"/>
        <v>20220914</v>
      </c>
      <c r="M3200" s="1" t="str">
        <f>"120322"</f>
        <v>120322</v>
      </c>
      <c r="N3200" s="1" t="s">
        <v>83</v>
      </c>
      <c r="O3200" s="1" t="s">
        <v>52</v>
      </c>
      <c r="P3200" s="1" t="s">
        <v>55</v>
      </c>
      <c r="Q3200" s="1">
        <v>25</v>
      </c>
      <c r="R3200" s="1">
        <v>0</v>
      </c>
      <c r="S3200" s="1">
        <v>25</v>
      </c>
      <c r="T3200" s="1">
        <v>0</v>
      </c>
      <c r="U3200" s="1">
        <v>0</v>
      </c>
      <c r="V3200" s="1" t="str">
        <f t="shared" si="603"/>
        <v>里程返程</v>
      </c>
      <c r="W3200" s="1" t="str">
        <f>"0820"</f>
        <v>0820</v>
      </c>
      <c r="X3200" s="1" t="s">
        <v>35</v>
      </c>
    </row>
    <row r="3201" spans="1:24" x14ac:dyDescent="0.3">
      <c r="A3201" s="1" t="str">
        <f t="shared" si="604"/>
        <v>59825</v>
      </c>
      <c r="B3201" s="1" t="s">
        <v>30</v>
      </c>
      <c r="C3201" s="1" t="s">
        <v>31</v>
      </c>
      <c r="D3201" s="1" t="str">
        <f t="shared" si="605"/>
        <v>9801</v>
      </c>
      <c r="E3201" s="1" t="s">
        <v>25</v>
      </c>
      <c r="F3201" s="1" t="str">
        <f>"5101DF028D88040043252B4B0004050F"</f>
        <v>5101DF028D88040043252B4B0004050F</v>
      </c>
      <c r="G3201" s="1" t="s">
        <v>58</v>
      </c>
      <c r="H3201" s="1" t="str">
        <f t="shared" si="606"/>
        <v>20220914</v>
      </c>
      <c r="I3201" s="1" t="str">
        <f>"115522"</f>
        <v>115522</v>
      </c>
      <c r="J3201" s="1" t="s">
        <v>28</v>
      </c>
      <c r="K3201" s="1" t="s">
        <v>28</v>
      </c>
      <c r="L3201" s="1" t="str">
        <f t="shared" si="607"/>
        <v>20220914</v>
      </c>
      <c r="M3201" s="1" t="str">
        <f>"120319"</f>
        <v>120319</v>
      </c>
      <c r="N3201" s="1" t="s">
        <v>83</v>
      </c>
      <c r="O3201" s="1" t="s">
        <v>52</v>
      </c>
      <c r="P3201" s="1" t="s">
        <v>55</v>
      </c>
      <c r="Q3201" s="1">
        <v>25</v>
      </c>
      <c r="R3201" s="1">
        <v>0</v>
      </c>
      <c r="S3201" s="1">
        <v>25</v>
      </c>
      <c r="T3201" s="1">
        <v>0</v>
      </c>
      <c r="U3201" s="1">
        <v>0</v>
      </c>
      <c r="V3201" s="1" t="str">
        <f t="shared" si="603"/>
        <v>里程返程</v>
      </c>
      <c r="W3201" s="1" t="str">
        <f>"0620"</f>
        <v>0620</v>
      </c>
      <c r="X3201" s="1" t="s">
        <v>29</v>
      </c>
    </row>
    <row r="3202" spans="1:24" x14ac:dyDescent="0.3">
      <c r="A3202" s="1" t="str">
        <f t="shared" si="604"/>
        <v>59825</v>
      </c>
      <c r="B3202" s="1" t="s">
        <v>30</v>
      </c>
      <c r="C3202" s="1" t="s">
        <v>31</v>
      </c>
      <c r="D3202" s="1" t="str">
        <f t="shared" si="605"/>
        <v>9801</v>
      </c>
      <c r="E3202" s="1" t="s">
        <v>25</v>
      </c>
      <c r="F3202" s="1" t="str">
        <f>"B7A79F6CE388040043250FDF000E0C0E"</f>
        <v>B7A79F6CE388040043250FDF000E0C0E</v>
      </c>
      <c r="G3202" s="1" t="s">
        <v>58</v>
      </c>
      <c r="H3202" s="1" t="str">
        <f t="shared" si="606"/>
        <v>20220914</v>
      </c>
      <c r="I3202" s="1" t="str">
        <f>"115542"</f>
        <v>115542</v>
      </c>
      <c r="J3202" s="1" t="s">
        <v>28</v>
      </c>
      <c r="K3202" s="1" t="s">
        <v>28</v>
      </c>
      <c r="L3202" s="1" t="str">
        <f t="shared" si="607"/>
        <v>20220914</v>
      </c>
      <c r="M3202" s="1" t="str">
        <f>"122255"</f>
        <v>122255</v>
      </c>
      <c r="N3202" s="1" t="s">
        <v>52</v>
      </c>
      <c r="O3202" s="1" t="s">
        <v>52</v>
      </c>
      <c r="P3202" s="1" t="s">
        <v>55</v>
      </c>
      <c r="Q3202" s="1">
        <v>25</v>
      </c>
      <c r="R3202" s="1">
        <v>0</v>
      </c>
      <c r="S3202" s="1">
        <v>25</v>
      </c>
      <c r="T3202" s="1">
        <v>0</v>
      </c>
      <c r="U3202" s="1">
        <v>0</v>
      </c>
      <c r="V3202" s="1" t="str">
        <f t="shared" si="603"/>
        <v>里程返程</v>
      </c>
      <c r="W3202" s="1" t="str">
        <f>"0620"</f>
        <v>0620</v>
      </c>
      <c r="X3202" s="1" t="s">
        <v>29</v>
      </c>
    </row>
    <row r="3203" spans="1:24" x14ac:dyDescent="0.3">
      <c r="A3203" s="1" t="str">
        <f t="shared" ref="A3203:A3231" si="608">"59825"</f>
        <v>59825</v>
      </c>
      <c r="B3203" s="1" t="s">
        <v>30</v>
      </c>
      <c r="C3203" s="1" t="s">
        <v>31</v>
      </c>
      <c r="D3203" s="1" t="str">
        <f t="shared" si="605"/>
        <v>9801</v>
      </c>
      <c r="E3203" s="1" t="s">
        <v>25</v>
      </c>
      <c r="F3203" s="1" t="str">
        <f>"F27CE6026A880400C834002000000015"</f>
        <v>F27CE6026A880400C834002000000015</v>
      </c>
      <c r="G3203" s="1" t="s">
        <v>74</v>
      </c>
      <c r="H3203" s="1" t="str">
        <f t="shared" si="606"/>
        <v>20220914</v>
      </c>
      <c r="I3203" s="1" t="str">
        <f>"121925"</f>
        <v>121925</v>
      </c>
      <c r="J3203" s="1" t="s">
        <v>60</v>
      </c>
      <c r="K3203" s="1" t="s">
        <v>52</v>
      </c>
      <c r="L3203" s="1" t="str">
        <f t="shared" si="607"/>
        <v>20220914</v>
      </c>
      <c r="M3203" s="1" t="str">
        <f>"122153"</f>
        <v>122153</v>
      </c>
      <c r="N3203" s="1" t="s">
        <v>52</v>
      </c>
      <c r="O3203" s="1" t="s">
        <v>52</v>
      </c>
      <c r="P3203" s="1" t="s">
        <v>68</v>
      </c>
      <c r="Q3203" s="1">
        <v>13</v>
      </c>
      <c r="R3203" s="1">
        <v>0</v>
      </c>
      <c r="S3203" s="1">
        <v>0</v>
      </c>
      <c r="T3203" s="1">
        <v>13</v>
      </c>
      <c r="U3203" s="1">
        <v>0</v>
      </c>
      <c r="V3203" s="1" t="str">
        <f t="shared" si="603"/>
        <v>里程返程</v>
      </c>
      <c r="W3203" s="1" t="str">
        <f>"0020"</f>
        <v>0020</v>
      </c>
      <c r="X3203" s="1" t="s">
        <v>29</v>
      </c>
    </row>
    <row r="3204" spans="1:24" x14ac:dyDescent="0.3">
      <c r="A3204" s="1" t="str">
        <f t="shared" si="608"/>
        <v>59825</v>
      </c>
      <c r="B3204" s="1" t="s">
        <v>30</v>
      </c>
      <c r="C3204" s="1" t="s">
        <v>31</v>
      </c>
      <c r="D3204" s="1" t="str">
        <f t="shared" ref="D3204:D3214" si="609">"9805"</f>
        <v>9805</v>
      </c>
      <c r="E3204" s="1" t="s">
        <v>57</v>
      </c>
      <c r="F3204" s="1" t="str">
        <f>"A14B2A33F38804004325B8B800130B0F"</f>
        <v>A14B2A33F38804004325B8B800130B0F</v>
      </c>
      <c r="G3204" s="1" t="s">
        <v>64</v>
      </c>
      <c r="H3204" s="1" t="str">
        <f t="shared" si="606"/>
        <v>20220914</v>
      </c>
      <c r="I3204" s="1" t="str">
        <f>"133515"</f>
        <v>133515</v>
      </c>
      <c r="J3204" s="1" t="s">
        <v>62</v>
      </c>
      <c r="K3204" s="1" t="s">
        <v>28</v>
      </c>
      <c r="L3204" s="1" t="str">
        <f t="shared" si="607"/>
        <v>20220914</v>
      </c>
      <c r="M3204" s="1" t="str">
        <f>"135037"</f>
        <v>135037</v>
      </c>
      <c r="N3204" s="1" t="s">
        <v>28</v>
      </c>
      <c r="O3204" s="1" t="s">
        <v>28</v>
      </c>
      <c r="P3204" s="1" t="s">
        <v>55</v>
      </c>
      <c r="Q3204" s="1">
        <v>13</v>
      </c>
      <c r="R3204" s="1">
        <v>0</v>
      </c>
      <c r="S3204" s="1">
        <v>13</v>
      </c>
      <c r="T3204" s="1">
        <v>0</v>
      </c>
      <c r="U3204" s="1">
        <v>0</v>
      </c>
      <c r="V3204" s="1" t="str">
        <f t="shared" si="603"/>
        <v>里程返程</v>
      </c>
      <c r="W3204" s="1" t="str">
        <f>"1120"</f>
        <v>1120</v>
      </c>
      <c r="X3204" s="1" t="s">
        <v>29</v>
      </c>
    </row>
    <row r="3205" spans="1:24" x14ac:dyDescent="0.3">
      <c r="A3205" s="1" t="str">
        <f t="shared" si="608"/>
        <v>59825</v>
      </c>
      <c r="B3205" s="1" t="s">
        <v>30</v>
      </c>
      <c r="C3205" s="1" t="s">
        <v>31</v>
      </c>
      <c r="D3205" s="1" t="str">
        <f t="shared" si="609"/>
        <v>9805</v>
      </c>
      <c r="E3205" s="1" t="s">
        <v>57</v>
      </c>
      <c r="F3205" s="1" t="str">
        <f>"883429797"</f>
        <v>883429797</v>
      </c>
      <c r="G3205" s="1" t="s">
        <v>26</v>
      </c>
      <c r="H3205" s="1" t="str">
        <f t="shared" si="606"/>
        <v>20220914</v>
      </c>
      <c r="I3205" s="1" t="str">
        <f>"134138"</f>
        <v>134138</v>
      </c>
      <c r="J3205" s="1" t="s">
        <v>46</v>
      </c>
      <c r="K3205" s="1" t="s">
        <v>28</v>
      </c>
      <c r="L3205" s="1" t="str">
        <f t="shared" si="607"/>
        <v>20220914</v>
      </c>
      <c r="M3205" s="1" t="str">
        <f>"135046"</f>
        <v>135046</v>
      </c>
      <c r="N3205" s="1" t="s">
        <v>28</v>
      </c>
      <c r="O3205" s="1" t="s">
        <v>28</v>
      </c>
      <c r="P3205" s="1" t="s">
        <v>55</v>
      </c>
      <c r="Q3205" s="1">
        <v>13</v>
      </c>
      <c r="R3205" s="1">
        <v>0</v>
      </c>
      <c r="S3205" s="1">
        <v>13</v>
      </c>
      <c r="T3205" s="1">
        <v>0</v>
      </c>
      <c r="U3205" s="1">
        <v>0</v>
      </c>
      <c r="V3205" s="1" t="str">
        <f t="shared" si="603"/>
        <v>里程返程</v>
      </c>
      <c r="W3205" s="1" t="str">
        <f>"2020"</f>
        <v>2020</v>
      </c>
      <c r="X3205" s="1" t="s">
        <v>35</v>
      </c>
    </row>
    <row r="3206" spans="1:24" x14ac:dyDescent="0.3">
      <c r="A3206" s="1" t="str">
        <f t="shared" si="608"/>
        <v>59825</v>
      </c>
      <c r="B3206" s="1" t="s">
        <v>30</v>
      </c>
      <c r="C3206" s="1" t="s">
        <v>31</v>
      </c>
      <c r="D3206" s="1" t="str">
        <f t="shared" si="609"/>
        <v>9805</v>
      </c>
      <c r="E3206" s="1" t="s">
        <v>57</v>
      </c>
      <c r="F3206" s="1" t="str">
        <f>"799699749"</f>
        <v>799699749</v>
      </c>
      <c r="G3206" s="1" t="s">
        <v>26</v>
      </c>
      <c r="H3206" s="1" t="str">
        <f t="shared" si="606"/>
        <v>20220914</v>
      </c>
      <c r="I3206" s="1" t="str">
        <f>"134141"</f>
        <v>134141</v>
      </c>
      <c r="J3206" s="1" t="s">
        <v>46</v>
      </c>
      <c r="K3206" s="1" t="s">
        <v>28</v>
      </c>
      <c r="L3206" s="1" t="str">
        <f t="shared" si="607"/>
        <v>20220914</v>
      </c>
      <c r="M3206" s="1" t="str">
        <f>"135042"</f>
        <v>135042</v>
      </c>
      <c r="N3206" s="1" t="s">
        <v>28</v>
      </c>
      <c r="O3206" s="1" t="s">
        <v>28</v>
      </c>
      <c r="P3206" s="1" t="s">
        <v>55</v>
      </c>
      <c r="Q3206" s="1">
        <v>13</v>
      </c>
      <c r="R3206" s="1">
        <v>0</v>
      </c>
      <c r="S3206" s="1">
        <v>13</v>
      </c>
      <c r="T3206" s="1">
        <v>0</v>
      </c>
      <c r="U3206" s="1">
        <v>0</v>
      </c>
      <c r="V3206" s="1" t="str">
        <f t="shared" si="603"/>
        <v>里程返程</v>
      </c>
      <c r="W3206" s="1" t="str">
        <f>"2020"</f>
        <v>2020</v>
      </c>
      <c r="X3206" s="1" t="s">
        <v>35</v>
      </c>
    </row>
    <row r="3207" spans="1:24" x14ac:dyDescent="0.3">
      <c r="A3207" s="1" t="str">
        <f t="shared" si="608"/>
        <v>59825</v>
      </c>
      <c r="B3207" s="1" t="s">
        <v>30</v>
      </c>
      <c r="C3207" s="1" t="s">
        <v>31</v>
      </c>
      <c r="D3207" s="1" t="str">
        <f t="shared" si="609"/>
        <v>9805</v>
      </c>
      <c r="E3207" s="1" t="s">
        <v>57</v>
      </c>
      <c r="F3207" s="1" t="str">
        <f>"1156333089"</f>
        <v>1156333089</v>
      </c>
      <c r="G3207" s="1" t="s">
        <v>33</v>
      </c>
      <c r="H3207" s="1" t="str">
        <f t="shared" si="606"/>
        <v>20220914</v>
      </c>
      <c r="I3207" s="1" t="str">
        <f>"142732"</f>
        <v>142732</v>
      </c>
      <c r="J3207" s="1" t="s">
        <v>28</v>
      </c>
      <c r="K3207" s="1" t="s">
        <v>28</v>
      </c>
      <c r="L3207" s="1" t="str">
        <f t="shared" si="607"/>
        <v>20220914</v>
      </c>
      <c r="M3207" s="1" t="str">
        <f>"144900"</f>
        <v>144900</v>
      </c>
      <c r="N3207" s="1" t="s">
        <v>52</v>
      </c>
      <c r="O3207" s="1" t="s">
        <v>52</v>
      </c>
      <c r="P3207" s="1" t="s">
        <v>55</v>
      </c>
      <c r="Q3207" s="1">
        <v>25</v>
      </c>
      <c r="R3207" s="1">
        <v>0</v>
      </c>
      <c r="S3207" s="1">
        <v>25</v>
      </c>
      <c r="T3207" s="1">
        <v>0</v>
      </c>
      <c r="U3207" s="1">
        <v>0</v>
      </c>
      <c r="V3207" s="1" t="str">
        <f t="shared" ref="V3207:V3213" si="610">"里程去程"</f>
        <v>里程去程</v>
      </c>
      <c r="W3207" s="1" t="str">
        <f>"0820"</f>
        <v>0820</v>
      </c>
      <c r="X3207" s="1" t="s">
        <v>35</v>
      </c>
    </row>
    <row r="3208" spans="1:24" x14ac:dyDescent="0.3">
      <c r="A3208" s="1" t="str">
        <f t="shared" si="608"/>
        <v>59825</v>
      </c>
      <c r="B3208" s="1" t="s">
        <v>30</v>
      </c>
      <c r="C3208" s="1" t="s">
        <v>31</v>
      </c>
      <c r="D3208" s="1" t="str">
        <f t="shared" si="609"/>
        <v>9805</v>
      </c>
      <c r="E3208" s="1" t="s">
        <v>57</v>
      </c>
      <c r="F3208" s="1" t="str">
        <f>"750179185"</f>
        <v>750179185</v>
      </c>
      <c r="G3208" s="1" t="s">
        <v>33</v>
      </c>
      <c r="H3208" s="1" t="str">
        <f t="shared" si="606"/>
        <v>20220914</v>
      </c>
      <c r="I3208" s="1" t="str">
        <f>"142733"</f>
        <v>142733</v>
      </c>
      <c r="J3208" s="1" t="s">
        <v>28</v>
      </c>
      <c r="K3208" s="1" t="s">
        <v>28</v>
      </c>
      <c r="L3208" s="1" t="str">
        <f t="shared" si="607"/>
        <v>20220914</v>
      </c>
      <c r="M3208" s="1" t="str">
        <f>"144616"</f>
        <v>144616</v>
      </c>
      <c r="N3208" s="1" t="s">
        <v>62</v>
      </c>
      <c r="O3208" s="1" t="s">
        <v>28</v>
      </c>
      <c r="P3208" s="1" t="s">
        <v>55</v>
      </c>
      <c r="Q3208" s="1">
        <v>25</v>
      </c>
      <c r="R3208" s="1">
        <v>0</v>
      </c>
      <c r="S3208" s="1">
        <v>25</v>
      </c>
      <c r="T3208" s="1">
        <v>0</v>
      </c>
      <c r="U3208" s="1">
        <v>0</v>
      </c>
      <c r="V3208" s="1" t="str">
        <f t="shared" si="610"/>
        <v>里程去程</v>
      </c>
      <c r="W3208" s="1" t="str">
        <f>"0820"</f>
        <v>0820</v>
      </c>
      <c r="X3208" s="1" t="s">
        <v>35</v>
      </c>
    </row>
    <row r="3209" spans="1:24" x14ac:dyDescent="0.3">
      <c r="A3209" s="1" t="str">
        <f t="shared" si="608"/>
        <v>59825</v>
      </c>
      <c r="B3209" s="1" t="s">
        <v>30</v>
      </c>
      <c r="C3209" s="1" t="s">
        <v>31</v>
      </c>
      <c r="D3209" s="1" t="str">
        <f t="shared" si="609"/>
        <v>9805</v>
      </c>
      <c r="E3209" s="1" t="s">
        <v>57</v>
      </c>
      <c r="F3209" s="1" t="str">
        <f>"FA564533DA88040047C12B9499001607"</f>
        <v>FA564533DA88040047C12B9499001607</v>
      </c>
      <c r="G3209" s="1" t="s">
        <v>58</v>
      </c>
      <c r="H3209" s="1" t="str">
        <f t="shared" si="606"/>
        <v>20220914</v>
      </c>
      <c r="I3209" s="1" t="str">
        <f>"142742"</f>
        <v>142742</v>
      </c>
      <c r="J3209" s="1" t="s">
        <v>28</v>
      </c>
      <c r="K3209" s="1" t="s">
        <v>28</v>
      </c>
      <c r="L3209" s="1" t="str">
        <f t="shared" si="607"/>
        <v>20220914</v>
      </c>
      <c r="M3209" s="1" t="str">
        <f>"144624"</f>
        <v>144624</v>
      </c>
      <c r="N3209" s="1" t="s">
        <v>62</v>
      </c>
      <c r="O3209" s="1" t="s">
        <v>28</v>
      </c>
      <c r="P3209" s="1" t="s">
        <v>55</v>
      </c>
      <c r="Q3209" s="1">
        <v>25</v>
      </c>
      <c r="R3209" s="1">
        <v>25</v>
      </c>
      <c r="S3209" s="1">
        <v>0</v>
      </c>
      <c r="T3209" s="1">
        <v>0</v>
      </c>
      <c r="U3209" s="1">
        <v>0</v>
      </c>
      <c r="V3209" s="1" t="str">
        <f t="shared" si="610"/>
        <v>里程去程</v>
      </c>
      <c r="W3209" s="1" t="str">
        <f>"0020"</f>
        <v>0020</v>
      </c>
      <c r="X3209" s="1" t="s">
        <v>29</v>
      </c>
    </row>
    <row r="3210" spans="1:24" x14ac:dyDescent="0.3">
      <c r="A3210" s="1" t="str">
        <f t="shared" si="608"/>
        <v>59825</v>
      </c>
      <c r="B3210" s="1" t="s">
        <v>30</v>
      </c>
      <c r="C3210" s="1" t="s">
        <v>31</v>
      </c>
      <c r="D3210" s="1" t="str">
        <f t="shared" si="609"/>
        <v>9805</v>
      </c>
      <c r="E3210" s="1" t="s">
        <v>57</v>
      </c>
      <c r="F3210" s="1" t="str">
        <f>"1142464677"</f>
        <v>1142464677</v>
      </c>
      <c r="G3210" s="1" t="s">
        <v>33</v>
      </c>
      <c r="H3210" s="1" t="str">
        <f t="shared" si="606"/>
        <v>20220914</v>
      </c>
      <c r="I3210" s="1" t="str">
        <f>"142747"</f>
        <v>142747</v>
      </c>
      <c r="J3210" s="1" t="s">
        <v>28</v>
      </c>
      <c r="K3210" s="1" t="s">
        <v>28</v>
      </c>
      <c r="L3210" s="1" t="str">
        <f t="shared" si="607"/>
        <v>20220914</v>
      </c>
      <c r="M3210" s="1" t="str">
        <f>"144629"</f>
        <v>144629</v>
      </c>
      <c r="N3210" s="1" t="s">
        <v>62</v>
      </c>
      <c r="O3210" s="1" t="s">
        <v>28</v>
      </c>
      <c r="P3210" s="1" t="s">
        <v>55</v>
      </c>
      <c r="Q3210" s="1">
        <v>25</v>
      </c>
      <c r="R3210" s="1">
        <v>0</v>
      </c>
      <c r="S3210" s="1">
        <v>25</v>
      </c>
      <c r="T3210" s="1">
        <v>0</v>
      </c>
      <c r="U3210" s="1">
        <v>0</v>
      </c>
      <c r="V3210" s="1" t="str">
        <f t="shared" si="610"/>
        <v>里程去程</v>
      </c>
      <c r="W3210" s="1" t="str">
        <f>"0820"</f>
        <v>0820</v>
      </c>
      <c r="X3210" s="1" t="s">
        <v>35</v>
      </c>
    </row>
    <row r="3211" spans="1:24" x14ac:dyDescent="0.3">
      <c r="A3211" s="1" t="str">
        <f t="shared" si="608"/>
        <v>59825</v>
      </c>
      <c r="B3211" s="1" t="s">
        <v>30</v>
      </c>
      <c r="C3211" s="1" t="s">
        <v>31</v>
      </c>
      <c r="D3211" s="1" t="str">
        <f t="shared" si="609"/>
        <v>9805</v>
      </c>
      <c r="E3211" s="1" t="s">
        <v>57</v>
      </c>
      <c r="F3211" s="1" t="str">
        <f>"5206E702B1880400C834002000000015"</f>
        <v>5206E702B1880400C834002000000015</v>
      </c>
      <c r="G3211" s="1" t="s">
        <v>74</v>
      </c>
      <c r="H3211" s="1" t="str">
        <f t="shared" si="606"/>
        <v>20220914</v>
      </c>
      <c r="I3211" s="1" t="str">
        <f>"142950"</f>
        <v>142950</v>
      </c>
      <c r="J3211" s="1" t="s">
        <v>28</v>
      </c>
      <c r="K3211" s="1" t="s">
        <v>28</v>
      </c>
      <c r="L3211" s="1" t="str">
        <f t="shared" si="607"/>
        <v>20220914</v>
      </c>
      <c r="M3211" s="1" t="str">
        <f>"143925"</f>
        <v>143925</v>
      </c>
      <c r="N3211" s="1" t="s">
        <v>79</v>
      </c>
      <c r="O3211" s="1" t="s">
        <v>28</v>
      </c>
      <c r="P3211" s="1" t="s">
        <v>68</v>
      </c>
      <c r="Q3211" s="1">
        <v>13</v>
      </c>
      <c r="R3211" s="1">
        <v>0</v>
      </c>
      <c r="S3211" s="1">
        <v>0</v>
      </c>
      <c r="T3211" s="1">
        <v>13</v>
      </c>
      <c r="U3211" s="1">
        <v>0</v>
      </c>
      <c r="V3211" s="1" t="str">
        <f t="shared" si="610"/>
        <v>里程去程</v>
      </c>
      <c r="W3211" s="1" t="str">
        <f>"0020"</f>
        <v>0020</v>
      </c>
      <c r="X3211" s="1" t="s">
        <v>29</v>
      </c>
    </row>
    <row r="3212" spans="1:24" x14ac:dyDescent="0.3">
      <c r="A3212" s="1" t="str">
        <f t="shared" si="608"/>
        <v>59825</v>
      </c>
      <c r="B3212" s="1" t="s">
        <v>30</v>
      </c>
      <c r="C3212" s="1" t="s">
        <v>31</v>
      </c>
      <c r="D3212" s="1" t="str">
        <f t="shared" si="609"/>
        <v>9805</v>
      </c>
      <c r="E3212" s="1" t="s">
        <v>57</v>
      </c>
      <c r="F3212" s="1" t="str">
        <f>"32780D0344880400C834002000000015"</f>
        <v>32780D0344880400C834002000000015</v>
      </c>
      <c r="G3212" s="1" t="s">
        <v>26</v>
      </c>
      <c r="H3212" s="1" t="str">
        <f t="shared" si="606"/>
        <v>20220914</v>
      </c>
      <c r="I3212" s="1" t="str">
        <f>"143459"</f>
        <v>143459</v>
      </c>
      <c r="J3212" s="1" t="s">
        <v>90</v>
      </c>
      <c r="K3212" s="1" t="s">
        <v>28</v>
      </c>
      <c r="L3212" s="1" t="str">
        <f t="shared" si="607"/>
        <v>20220914</v>
      </c>
      <c r="M3212" s="1" t="str">
        <f>"144458"</f>
        <v>144458</v>
      </c>
      <c r="N3212" s="1" t="s">
        <v>56</v>
      </c>
      <c r="O3212" s="1" t="s">
        <v>28</v>
      </c>
      <c r="P3212" s="1" t="s">
        <v>68</v>
      </c>
      <c r="Q3212" s="1">
        <v>13</v>
      </c>
      <c r="R3212" s="1">
        <v>0</v>
      </c>
      <c r="S3212" s="1">
        <v>0</v>
      </c>
      <c r="T3212" s="1">
        <v>13</v>
      </c>
      <c r="U3212" s="1">
        <v>0</v>
      </c>
      <c r="V3212" s="1" t="str">
        <f t="shared" si="610"/>
        <v>里程去程</v>
      </c>
      <c r="W3212" s="1" t="str">
        <f>"0020"</f>
        <v>0020</v>
      </c>
      <c r="X3212" s="1" t="s">
        <v>29</v>
      </c>
    </row>
    <row r="3213" spans="1:24" x14ac:dyDescent="0.3">
      <c r="A3213" s="1" t="str">
        <f t="shared" si="608"/>
        <v>59825</v>
      </c>
      <c r="B3213" s="1" t="s">
        <v>30</v>
      </c>
      <c r="C3213" s="1" t="s">
        <v>31</v>
      </c>
      <c r="D3213" s="1" t="str">
        <f t="shared" si="609"/>
        <v>9805</v>
      </c>
      <c r="E3213" s="1" t="s">
        <v>57</v>
      </c>
      <c r="F3213" s="1" t="str">
        <f>"42720D033E880400C834002000000015"</f>
        <v>42720D033E880400C834002000000015</v>
      </c>
      <c r="G3213" s="1" t="s">
        <v>26</v>
      </c>
      <c r="H3213" s="1" t="str">
        <f t="shared" si="606"/>
        <v>20220914</v>
      </c>
      <c r="I3213" s="1" t="str">
        <f>"143516"</f>
        <v>143516</v>
      </c>
      <c r="J3213" s="1" t="s">
        <v>90</v>
      </c>
      <c r="K3213" s="1" t="s">
        <v>28</v>
      </c>
      <c r="L3213" s="1" t="str">
        <f t="shared" si="607"/>
        <v>20220914</v>
      </c>
      <c r="M3213" s="1" t="str">
        <f>"144453"</f>
        <v>144453</v>
      </c>
      <c r="N3213" s="1" t="s">
        <v>56</v>
      </c>
      <c r="O3213" s="1" t="s">
        <v>28</v>
      </c>
      <c r="P3213" s="1" t="s">
        <v>68</v>
      </c>
      <c r="Q3213" s="1">
        <v>13</v>
      </c>
      <c r="R3213" s="1">
        <v>0</v>
      </c>
      <c r="S3213" s="1">
        <v>0</v>
      </c>
      <c r="T3213" s="1">
        <v>13</v>
      </c>
      <c r="U3213" s="1">
        <v>0</v>
      </c>
      <c r="V3213" s="1" t="str">
        <f t="shared" si="610"/>
        <v>里程去程</v>
      </c>
      <c r="W3213" s="1" t="str">
        <f>"0020"</f>
        <v>0020</v>
      </c>
      <c r="X3213" s="1" t="s">
        <v>29</v>
      </c>
    </row>
    <row r="3214" spans="1:24" x14ac:dyDescent="0.3">
      <c r="A3214" s="1" t="str">
        <f t="shared" si="608"/>
        <v>59825</v>
      </c>
      <c r="B3214" s="1" t="s">
        <v>30</v>
      </c>
      <c r="C3214" s="1" t="s">
        <v>31</v>
      </c>
      <c r="D3214" s="1" t="str">
        <f t="shared" si="609"/>
        <v>9805</v>
      </c>
      <c r="E3214" s="1" t="s">
        <v>57</v>
      </c>
      <c r="F3214" s="1" t="str">
        <f>"403474049"</f>
        <v>403474049</v>
      </c>
      <c r="G3214" s="1" t="s">
        <v>33</v>
      </c>
      <c r="H3214" s="1" t="str">
        <f t="shared" si="606"/>
        <v>20220914</v>
      </c>
      <c r="I3214" s="1" t="str">
        <f>"145505"</f>
        <v>145505</v>
      </c>
      <c r="J3214" s="1" t="s">
        <v>62</v>
      </c>
      <c r="K3214" s="1" t="s">
        <v>28</v>
      </c>
      <c r="L3214" s="1" t="str">
        <f t="shared" si="607"/>
        <v>20220914</v>
      </c>
      <c r="M3214" s="1" t="str">
        <f>"150934"</f>
        <v>150934</v>
      </c>
      <c r="N3214" s="1" t="s">
        <v>28</v>
      </c>
      <c r="O3214" s="1" t="s">
        <v>28</v>
      </c>
      <c r="P3214" s="1" t="s">
        <v>55</v>
      </c>
      <c r="Q3214" s="1">
        <v>25</v>
      </c>
      <c r="R3214" s="1">
        <v>0</v>
      </c>
      <c r="S3214" s="1">
        <v>25</v>
      </c>
      <c r="T3214" s="1">
        <v>0</v>
      </c>
      <c r="U3214" s="1">
        <v>0</v>
      </c>
      <c r="V3214" s="1" t="str">
        <f>"里程返程"</f>
        <v>里程返程</v>
      </c>
      <c r="W3214" s="1" t="str">
        <f>"2120"</f>
        <v>2120</v>
      </c>
      <c r="X3214" s="1" t="s">
        <v>35</v>
      </c>
    </row>
    <row r="3215" spans="1:24" x14ac:dyDescent="0.3">
      <c r="A3215" s="1" t="str">
        <f t="shared" si="608"/>
        <v>59825</v>
      </c>
      <c r="B3215" s="1" t="s">
        <v>30</v>
      </c>
      <c r="C3215" s="1" t="s">
        <v>31</v>
      </c>
      <c r="D3215" s="1" t="str">
        <f>"9803"</f>
        <v>9803</v>
      </c>
      <c r="E3215" s="1" t="s">
        <v>32</v>
      </c>
      <c r="F3215" s="1" t="str">
        <f>"857486677"</f>
        <v>857486677</v>
      </c>
      <c r="G3215" s="1" t="s">
        <v>33</v>
      </c>
      <c r="H3215" s="1" t="str">
        <f t="shared" si="606"/>
        <v>20220914</v>
      </c>
      <c r="I3215" s="1" t="str">
        <f>"153032"</f>
        <v>153032</v>
      </c>
      <c r="J3215" s="1" t="s">
        <v>34</v>
      </c>
      <c r="K3215" s="1" t="s">
        <v>34</v>
      </c>
      <c r="L3215" s="1" t="str">
        <f t="shared" si="607"/>
        <v>20220914</v>
      </c>
      <c r="M3215" s="1" t="str">
        <f>"161002"</f>
        <v>161002</v>
      </c>
      <c r="N3215" s="1" t="s">
        <v>28</v>
      </c>
      <c r="O3215" s="1" t="s">
        <v>28</v>
      </c>
      <c r="P3215" s="1" t="s">
        <v>55</v>
      </c>
      <c r="Q3215" s="1">
        <v>25</v>
      </c>
      <c r="R3215" s="1">
        <v>25</v>
      </c>
      <c r="S3215" s="1">
        <v>0</v>
      </c>
      <c r="T3215" s="1">
        <v>0</v>
      </c>
      <c r="U3215" s="1">
        <v>0</v>
      </c>
      <c r="V3215" s="1" t="str">
        <f>"里程返程"</f>
        <v>里程返程</v>
      </c>
      <c r="W3215" s="1" t="str">
        <f>"2020"</f>
        <v>2020</v>
      </c>
      <c r="X3215" s="1" t="s">
        <v>35</v>
      </c>
    </row>
    <row r="3216" spans="1:24" x14ac:dyDescent="0.3">
      <c r="A3216" s="1" t="str">
        <f t="shared" si="608"/>
        <v>59825</v>
      </c>
      <c r="B3216" s="1" t="s">
        <v>30</v>
      </c>
      <c r="C3216" s="1" t="s">
        <v>31</v>
      </c>
      <c r="D3216" s="1" t="str">
        <f>"9806"</f>
        <v>9806</v>
      </c>
      <c r="E3216" s="1" t="s">
        <v>49</v>
      </c>
      <c r="F3216" s="1" t="str">
        <f>"1202E702F5880400C834002000000015"</f>
        <v>1202E702F5880400C834002000000015</v>
      </c>
      <c r="G3216" s="1" t="s">
        <v>74</v>
      </c>
      <c r="H3216" s="1" t="str">
        <f t="shared" si="606"/>
        <v>20220914</v>
      </c>
      <c r="I3216" s="1" t="str">
        <f>"163734"</f>
        <v>163734</v>
      </c>
      <c r="J3216" s="1" t="s">
        <v>76</v>
      </c>
      <c r="K3216" s="1" t="s">
        <v>28</v>
      </c>
      <c r="L3216" s="1" t="str">
        <f t="shared" si="607"/>
        <v>20220914</v>
      </c>
      <c r="M3216" s="1" t="str">
        <f>"164951"</f>
        <v>164951</v>
      </c>
      <c r="N3216" s="1" t="s">
        <v>90</v>
      </c>
      <c r="O3216" s="1" t="s">
        <v>28</v>
      </c>
      <c r="P3216" s="1" t="s">
        <v>68</v>
      </c>
      <c r="Q3216" s="1">
        <v>13</v>
      </c>
      <c r="R3216" s="1">
        <v>0</v>
      </c>
      <c r="S3216" s="1">
        <v>0</v>
      </c>
      <c r="T3216" s="1">
        <v>13</v>
      </c>
      <c r="U3216" s="1">
        <v>0</v>
      </c>
      <c r="V3216" s="1" t="str">
        <f>"里程去程"</f>
        <v>里程去程</v>
      </c>
      <c r="W3216" s="1" t="str">
        <f>"0020"</f>
        <v>0020</v>
      </c>
      <c r="X3216" s="1" t="s">
        <v>29</v>
      </c>
    </row>
    <row r="3217" spans="1:24" x14ac:dyDescent="0.3">
      <c r="A3217" s="1" t="str">
        <f t="shared" si="608"/>
        <v>59825</v>
      </c>
      <c r="B3217" s="1" t="s">
        <v>30</v>
      </c>
      <c r="C3217" s="1" t="s">
        <v>31</v>
      </c>
      <c r="D3217" s="1" t="str">
        <f>"9806"</f>
        <v>9806</v>
      </c>
      <c r="E3217" s="1" t="s">
        <v>49</v>
      </c>
      <c r="F3217" s="1" t="str">
        <f>"B211E70246880400C834002000000015"</f>
        <v>B211E70246880400C834002000000015</v>
      </c>
      <c r="G3217" s="1" t="s">
        <v>74</v>
      </c>
      <c r="H3217" s="1" t="str">
        <f t="shared" si="606"/>
        <v>20220914</v>
      </c>
      <c r="I3217" s="1" t="str">
        <f>"163739"</f>
        <v>163739</v>
      </c>
      <c r="J3217" s="1" t="s">
        <v>76</v>
      </c>
      <c r="K3217" s="1" t="s">
        <v>28</v>
      </c>
      <c r="L3217" s="1" t="str">
        <f t="shared" si="607"/>
        <v>20220914</v>
      </c>
      <c r="M3217" s="1" t="str">
        <f>"164947"</f>
        <v>164947</v>
      </c>
      <c r="N3217" s="1" t="s">
        <v>90</v>
      </c>
      <c r="O3217" s="1" t="s">
        <v>28</v>
      </c>
      <c r="P3217" s="1" t="s">
        <v>68</v>
      </c>
      <c r="Q3217" s="1">
        <v>13</v>
      </c>
      <c r="R3217" s="1">
        <v>0</v>
      </c>
      <c r="S3217" s="1">
        <v>0</v>
      </c>
      <c r="T3217" s="1">
        <v>13</v>
      </c>
      <c r="U3217" s="1">
        <v>0</v>
      </c>
      <c r="V3217" s="1" t="str">
        <f>"里程去程"</f>
        <v>里程去程</v>
      </c>
      <c r="W3217" s="1" t="str">
        <f>"0020"</f>
        <v>0020</v>
      </c>
      <c r="X3217" s="1" t="s">
        <v>29</v>
      </c>
    </row>
    <row r="3218" spans="1:24" x14ac:dyDescent="0.3">
      <c r="A3218" s="1" t="str">
        <f t="shared" si="608"/>
        <v>59825</v>
      </c>
      <c r="B3218" s="1" t="s">
        <v>30</v>
      </c>
      <c r="C3218" s="1" t="s">
        <v>31</v>
      </c>
      <c r="D3218" s="1" t="str">
        <f>"9806"</f>
        <v>9806</v>
      </c>
      <c r="E3218" s="1" t="s">
        <v>49</v>
      </c>
      <c r="F3218" s="1" t="str">
        <f>"1695105317"</f>
        <v>1695105317</v>
      </c>
      <c r="G3218" s="1" t="s">
        <v>33</v>
      </c>
      <c r="H3218" s="1" t="str">
        <f t="shared" si="606"/>
        <v>20220914</v>
      </c>
      <c r="I3218" s="1" t="str">
        <f>"163749"</f>
        <v>163749</v>
      </c>
      <c r="J3218" s="1" t="s">
        <v>76</v>
      </c>
      <c r="K3218" s="1" t="s">
        <v>28</v>
      </c>
      <c r="L3218" s="1" t="str">
        <f t="shared" si="607"/>
        <v>20220914</v>
      </c>
      <c r="M3218" s="1" t="str">
        <f>"165418"</f>
        <v>165418</v>
      </c>
      <c r="N3218" s="1" t="s">
        <v>28</v>
      </c>
      <c r="O3218" s="1" t="s">
        <v>28</v>
      </c>
      <c r="P3218" s="1" t="s">
        <v>55</v>
      </c>
      <c r="Q3218" s="1">
        <v>25</v>
      </c>
      <c r="R3218" s="1">
        <v>25</v>
      </c>
      <c r="S3218" s="1">
        <v>0</v>
      </c>
      <c r="T3218" s="1">
        <v>0</v>
      </c>
      <c r="U3218" s="1">
        <v>0</v>
      </c>
      <c r="V3218" s="1" t="str">
        <f>"里程去程"</f>
        <v>里程去程</v>
      </c>
      <c r="W3218" s="1" t="str">
        <f>"2020"</f>
        <v>2020</v>
      </c>
      <c r="X3218" s="1" t="s">
        <v>35</v>
      </c>
    </row>
    <row r="3219" spans="1:24" x14ac:dyDescent="0.3">
      <c r="A3219" s="1" t="str">
        <f t="shared" si="608"/>
        <v>59825</v>
      </c>
      <c r="B3219" s="1" t="s">
        <v>30</v>
      </c>
      <c r="C3219" s="1" t="s">
        <v>31</v>
      </c>
      <c r="D3219" s="1" t="str">
        <f>"9806"</f>
        <v>9806</v>
      </c>
      <c r="E3219" s="1" t="s">
        <v>49</v>
      </c>
      <c r="F3219" s="1" t="str">
        <f>"22C8DE1B2F880400C822002000000021"</f>
        <v>22C8DE1B2F880400C822002000000021</v>
      </c>
      <c r="G3219" s="1" t="s">
        <v>58</v>
      </c>
      <c r="H3219" s="1" t="str">
        <f t="shared" si="606"/>
        <v>20220914</v>
      </c>
      <c r="I3219" s="1" t="str">
        <f>"163752"</f>
        <v>163752</v>
      </c>
      <c r="J3219" s="1" t="s">
        <v>76</v>
      </c>
      <c r="K3219" s="1" t="s">
        <v>28</v>
      </c>
      <c r="L3219" s="1" t="str">
        <f t="shared" si="607"/>
        <v>20220914</v>
      </c>
      <c r="M3219" s="1" t="str">
        <f>"165426"</f>
        <v>165426</v>
      </c>
      <c r="N3219" s="1" t="s">
        <v>28</v>
      </c>
      <c r="O3219" s="1" t="s">
        <v>28</v>
      </c>
      <c r="P3219" s="1" t="s">
        <v>55</v>
      </c>
      <c r="Q3219" s="1">
        <v>25</v>
      </c>
      <c r="R3219" s="1">
        <v>25</v>
      </c>
      <c r="S3219" s="1">
        <v>0</v>
      </c>
      <c r="T3219" s="1">
        <v>0</v>
      </c>
      <c r="U3219" s="1">
        <v>0</v>
      </c>
      <c r="V3219" s="1" t="str">
        <f>"里程去程"</f>
        <v>里程去程</v>
      </c>
      <c r="W3219" s="1" t="str">
        <f>"0020"</f>
        <v>0020</v>
      </c>
      <c r="X3219" s="1" t="s">
        <v>29</v>
      </c>
    </row>
    <row r="3220" spans="1:24" x14ac:dyDescent="0.3">
      <c r="A3220" s="1" t="str">
        <f t="shared" si="608"/>
        <v>59825</v>
      </c>
      <c r="B3220" s="1" t="s">
        <v>30</v>
      </c>
      <c r="C3220" s="1" t="s">
        <v>31</v>
      </c>
      <c r="D3220" s="1" t="str">
        <f>"9806"</f>
        <v>9806</v>
      </c>
      <c r="E3220" s="1" t="s">
        <v>49</v>
      </c>
      <c r="F3220" s="1" t="str">
        <f>"1055537829"</f>
        <v>1055537829</v>
      </c>
      <c r="G3220" s="1" t="s">
        <v>33</v>
      </c>
      <c r="H3220" s="1" t="str">
        <f t="shared" si="606"/>
        <v>20220914</v>
      </c>
      <c r="I3220" s="1" t="str">
        <f>"164420"</f>
        <v>164420</v>
      </c>
      <c r="J3220" s="1" t="s">
        <v>98</v>
      </c>
      <c r="K3220" s="1" t="s">
        <v>28</v>
      </c>
      <c r="L3220" s="1" t="str">
        <f t="shared" si="607"/>
        <v>20220914</v>
      </c>
      <c r="M3220" s="1" t="str">
        <f>"165422"</f>
        <v>165422</v>
      </c>
      <c r="N3220" s="1" t="s">
        <v>28</v>
      </c>
      <c r="O3220" s="1" t="s">
        <v>28</v>
      </c>
      <c r="P3220" s="1" t="s">
        <v>55</v>
      </c>
      <c r="Q3220" s="1">
        <v>25</v>
      </c>
      <c r="R3220" s="1">
        <v>25</v>
      </c>
      <c r="S3220" s="1">
        <v>0</v>
      </c>
      <c r="T3220" s="1">
        <v>0</v>
      </c>
      <c r="U3220" s="1">
        <v>0</v>
      </c>
      <c r="V3220" s="1" t="str">
        <f>"里程去程"</f>
        <v>里程去程</v>
      </c>
      <c r="W3220" s="1" t="str">
        <f>"0820"</f>
        <v>0820</v>
      </c>
      <c r="X3220" s="1" t="s">
        <v>35</v>
      </c>
    </row>
    <row r="3221" spans="1:24" x14ac:dyDescent="0.3">
      <c r="A3221" s="1" t="str">
        <f t="shared" si="608"/>
        <v>59825</v>
      </c>
      <c r="B3221" s="1" t="s">
        <v>30</v>
      </c>
      <c r="C3221" s="1" t="s">
        <v>31</v>
      </c>
      <c r="D3221" s="1" t="str">
        <f>"9801"</f>
        <v>9801</v>
      </c>
      <c r="E3221" s="1" t="s">
        <v>25</v>
      </c>
      <c r="F3221" s="1" t="str">
        <f>"1129190405"</f>
        <v>1129190405</v>
      </c>
      <c r="G3221" s="1" t="s">
        <v>33</v>
      </c>
      <c r="H3221" s="1" t="str">
        <f t="shared" si="606"/>
        <v>20220914</v>
      </c>
      <c r="I3221" s="1" t="str">
        <f>"190930"</f>
        <v>190930</v>
      </c>
      <c r="J3221" s="1" t="s">
        <v>75</v>
      </c>
      <c r="K3221" s="1" t="s">
        <v>45</v>
      </c>
      <c r="L3221" s="1" t="str">
        <f t="shared" si="607"/>
        <v>20220914</v>
      </c>
      <c r="M3221" s="1" t="str">
        <f>"193111"</f>
        <v>193111</v>
      </c>
      <c r="N3221" s="1" t="s">
        <v>84</v>
      </c>
      <c r="O3221" s="1" t="s">
        <v>28</v>
      </c>
      <c r="P3221" s="1" t="s">
        <v>55</v>
      </c>
      <c r="Q3221" s="1">
        <v>25</v>
      </c>
      <c r="R3221" s="1">
        <v>25</v>
      </c>
      <c r="S3221" s="1">
        <v>0</v>
      </c>
      <c r="T3221" s="1">
        <v>0</v>
      </c>
      <c r="U3221" s="1">
        <v>0</v>
      </c>
      <c r="V3221" s="1" t="str">
        <f t="shared" ref="V3221:V3241" si="611">"里程返程"</f>
        <v>里程返程</v>
      </c>
      <c r="W3221" s="1" t="str">
        <f>"2020"</f>
        <v>2020</v>
      </c>
      <c r="X3221" s="1" t="s">
        <v>35</v>
      </c>
    </row>
    <row r="3222" spans="1:24" x14ac:dyDescent="0.3">
      <c r="A3222" s="1" t="str">
        <f t="shared" si="608"/>
        <v>59825</v>
      </c>
      <c r="B3222" s="1" t="s">
        <v>30</v>
      </c>
      <c r="C3222" s="1" t="s">
        <v>31</v>
      </c>
      <c r="D3222" s="1" t="str">
        <f t="shared" ref="D3222:D3231" si="612">"9805"</f>
        <v>9805</v>
      </c>
      <c r="E3222" s="1" t="s">
        <v>57</v>
      </c>
      <c r="F3222" s="1" t="str">
        <f>"146336145"</f>
        <v>146336145</v>
      </c>
      <c r="G3222" s="1" t="s">
        <v>33</v>
      </c>
      <c r="H3222" s="1" t="str">
        <f t="shared" si="606"/>
        <v>20220914</v>
      </c>
      <c r="I3222" s="1" t="str">
        <f>"195750"</f>
        <v>195750</v>
      </c>
      <c r="J3222" s="1" t="s">
        <v>52</v>
      </c>
      <c r="K3222" s="1" t="s">
        <v>52</v>
      </c>
      <c r="L3222" s="1" t="str">
        <f t="shared" si="607"/>
        <v>20220914</v>
      </c>
      <c r="M3222" s="1" t="str">
        <f>"201627"</f>
        <v>201627</v>
      </c>
      <c r="N3222" s="1" t="s">
        <v>90</v>
      </c>
      <c r="O3222" s="1" t="s">
        <v>28</v>
      </c>
      <c r="P3222" s="1" t="s">
        <v>55</v>
      </c>
      <c r="Q3222" s="1">
        <v>25</v>
      </c>
      <c r="R3222" s="1">
        <v>25</v>
      </c>
      <c r="S3222" s="1">
        <v>0</v>
      </c>
      <c r="T3222" s="1">
        <v>0</v>
      </c>
      <c r="U3222" s="1">
        <v>0</v>
      </c>
      <c r="V3222" s="1" t="str">
        <f t="shared" si="611"/>
        <v>里程返程</v>
      </c>
      <c r="W3222" s="1" t="str">
        <f>"2020"</f>
        <v>2020</v>
      </c>
      <c r="X3222" s="1" t="s">
        <v>35</v>
      </c>
    </row>
    <row r="3223" spans="1:24" x14ac:dyDescent="0.3">
      <c r="A3223" s="1" t="str">
        <f t="shared" si="608"/>
        <v>59825</v>
      </c>
      <c r="B3223" s="1" t="s">
        <v>30</v>
      </c>
      <c r="C3223" s="1" t="s">
        <v>31</v>
      </c>
      <c r="D3223" s="1" t="str">
        <f t="shared" si="612"/>
        <v>9805</v>
      </c>
      <c r="E3223" s="1" t="s">
        <v>57</v>
      </c>
      <c r="F3223" s="1" t="str">
        <f>"1182175237"</f>
        <v>1182175237</v>
      </c>
      <c r="G3223" s="1" t="s">
        <v>26</v>
      </c>
      <c r="H3223" s="1" t="str">
        <f t="shared" si="606"/>
        <v>20220914</v>
      </c>
      <c r="I3223" s="1" t="str">
        <f>"195753"</f>
        <v>195753</v>
      </c>
      <c r="J3223" s="1" t="s">
        <v>52</v>
      </c>
      <c r="K3223" s="1" t="s">
        <v>52</v>
      </c>
      <c r="L3223" s="1" t="str">
        <f t="shared" si="607"/>
        <v>20220914</v>
      </c>
      <c r="M3223" s="1" t="str">
        <f>"201623"</f>
        <v>201623</v>
      </c>
      <c r="N3223" s="1" t="s">
        <v>90</v>
      </c>
      <c r="O3223" s="1" t="s">
        <v>28</v>
      </c>
      <c r="P3223" s="1" t="s">
        <v>55</v>
      </c>
      <c r="Q3223" s="1">
        <v>13</v>
      </c>
      <c r="R3223" s="1">
        <v>0</v>
      </c>
      <c r="S3223" s="1">
        <v>13</v>
      </c>
      <c r="T3223" s="1">
        <v>0</v>
      </c>
      <c r="U3223" s="1">
        <v>0</v>
      </c>
      <c r="V3223" s="1" t="str">
        <f t="shared" si="611"/>
        <v>里程返程</v>
      </c>
      <c r="W3223" s="1" t="str">
        <f>"2020"</f>
        <v>2020</v>
      </c>
      <c r="X3223" s="1" t="s">
        <v>35</v>
      </c>
    </row>
    <row r="3224" spans="1:24" x14ac:dyDescent="0.3">
      <c r="A3224" s="1" t="str">
        <f t="shared" si="608"/>
        <v>59825</v>
      </c>
      <c r="B3224" s="1" t="s">
        <v>30</v>
      </c>
      <c r="C3224" s="1" t="s">
        <v>31</v>
      </c>
      <c r="D3224" s="1" t="str">
        <f t="shared" si="612"/>
        <v>9805</v>
      </c>
      <c r="E3224" s="1" t="s">
        <v>57</v>
      </c>
      <c r="F3224" s="1" t="str">
        <f>"2700469359"</f>
        <v>2700469359</v>
      </c>
      <c r="G3224" s="1" t="s">
        <v>33</v>
      </c>
      <c r="H3224" s="1" t="str">
        <f t="shared" si="606"/>
        <v>20220914</v>
      </c>
      <c r="I3224" s="1" t="str">
        <f>"195755"</f>
        <v>195755</v>
      </c>
      <c r="J3224" s="1" t="s">
        <v>52</v>
      </c>
      <c r="K3224" s="1" t="s">
        <v>52</v>
      </c>
      <c r="L3224" s="1" t="str">
        <f t="shared" si="607"/>
        <v>20220914</v>
      </c>
      <c r="M3224" s="1" t="str">
        <f>"201629"</f>
        <v>201629</v>
      </c>
      <c r="N3224" s="1" t="s">
        <v>90</v>
      </c>
      <c r="O3224" s="1" t="s">
        <v>28</v>
      </c>
      <c r="P3224" s="1" t="s">
        <v>55</v>
      </c>
      <c r="Q3224" s="1">
        <v>25</v>
      </c>
      <c r="R3224" s="1">
        <v>25</v>
      </c>
      <c r="S3224" s="1">
        <v>0</v>
      </c>
      <c r="T3224" s="1">
        <v>0</v>
      </c>
      <c r="U3224" s="1">
        <v>0</v>
      </c>
      <c r="V3224" s="1" t="str">
        <f t="shared" si="611"/>
        <v>里程返程</v>
      </c>
      <c r="W3224" s="1" t="str">
        <f>"2020"</f>
        <v>2020</v>
      </c>
      <c r="X3224" s="1" t="s">
        <v>35</v>
      </c>
    </row>
    <row r="3225" spans="1:24" x14ac:dyDescent="0.3">
      <c r="A3225" s="1" t="str">
        <f t="shared" si="608"/>
        <v>59825</v>
      </c>
      <c r="B3225" s="1" t="s">
        <v>30</v>
      </c>
      <c r="C3225" s="1" t="s">
        <v>31</v>
      </c>
      <c r="D3225" s="1" t="str">
        <f t="shared" si="612"/>
        <v>9805</v>
      </c>
      <c r="E3225" s="1" t="s">
        <v>57</v>
      </c>
      <c r="F3225" s="1" t="str">
        <f>"108726929"</f>
        <v>108726929</v>
      </c>
      <c r="G3225" s="1" t="s">
        <v>26</v>
      </c>
      <c r="H3225" s="1" t="str">
        <f t="shared" si="606"/>
        <v>20220914</v>
      </c>
      <c r="I3225" s="1" t="str">
        <f>"195800"</f>
        <v>195800</v>
      </c>
      <c r="J3225" s="1" t="s">
        <v>52</v>
      </c>
      <c r="K3225" s="1" t="s">
        <v>52</v>
      </c>
      <c r="L3225" s="1" t="str">
        <f t="shared" si="607"/>
        <v>20220914</v>
      </c>
      <c r="M3225" s="1" t="str">
        <f>"201619"</f>
        <v>201619</v>
      </c>
      <c r="N3225" s="1" t="s">
        <v>90</v>
      </c>
      <c r="O3225" s="1" t="s">
        <v>28</v>
      </c>
      <c r="P3225" s="1" t="s">
        <v>55</v>
      </c>
      <c r="Q3225" s="1">
        <v>13</v>
      </c>
      <c r="R3225" s="1">
        <v>0</v>
      </c>
      <c r="S3225" s="1">
        <v>13</v>
      </c>
      <c r="T3225" s="1">
        <v>0</v>
      </c>
      <c r="U3225" s="1">
        <v>0</v>
      </c>
      <c r="V3225" s="1" t="str">
        <f t="shared" si="611"/>
        <v>里程返程</v>
      </c>
      <c r="W3225" s="1" t="str">
        <f>"2020"</f>
        <v>2020</v>
      </c>
      <c r="X3225" s="1" t="s">
        <v>35</v>
      </c>
    </row>
    <row r="3226" spans="1:24" x14ac:dyDescent="0.3">
      <c r="A3226" s="1" t="str">
        <f t="shared" si="608"/>
        <v>59825</v>
      </c>
      <c r="B3226" s="1" t="s">
        <v>30</v>
      </c>
      <c r="C3226" s="1" t="s">
        <v>31</v>
      </c>
      <c r="D3226" s="1" t="str">
        <f t="shared" si="612"/>
        <v>9805</v>
      </c>
      <c r="E3226" s="1" t="s">
        <v>57</v>
      </c>
      <c r="F3226" s="1" t="str">
        <f>"1406666913"</f>
        <v>1406666913</v>
      </c>
      <c r="G3226" s="1" t="s">
        <v>26</v>
      </c>
      <c r="H3226" s="1" t="str">
        <f t="shared" si="606"/>
        <v>20220914</v>
      </c>
      <c r="I3226" s="1" t="str">
        <f>"195808"</f>
        <v>195808</v>
      </c>
      <c r="J3226" s="1" t="s">
        <v>52</v>
      </c>
      <c r="K3226" s="1" t="s">
        <v>52</v>
      </c>
      <c r="L3226" s="1" t="str">
        <f t="shared" si="607"/>
        <v>20220914</v>
      </c>
      <c r="M3226" s="1" t="str">
        <f>"201905"</f>
        <v>201905</v>
      </c>
      <c r="N3226" s="1" t="s">
        <v>28</v>
      </c>
      <c r="O3226" s="1" t="s">
        <v>28</v>
      </c>
      <c r="P3226" s="1" t="s">
        <v>55</v>
      </c>
      <c r="Q3226" s="1">
        <v>13</v>
      </c>
      <c r="R3226" s="1">
        <v>0</v>
      </c>
      <c r="S3226" s="1">
        <v>13</v>
      </c>
      <c r="T3226" s="1">
        <v>0</v>
      </c>
      <c r="U3226" s="1">
        <v>0</v>
      </c>
      <c r="V3226" s="1" t="str">
        <f t="shared" si="611"/>
        <v>里程返程</v>
      </c>
      <c r="W3226" s="1" t="str">
        <f>"2120"</f>
        <v>2120</v>
      </c>
      <c r="X3226" s="1" t="s">
        <v>35</v>
      </c>
    </row>
    <row r="3227" spans="1:24" x14ac:dyDescent="0.3">
      <c r="A3227" s="1" t="str">
        <f t="shared" si="608"/>
        <v>59825</v>
      </c>
      <c r="B3227" s="1" t="s">
        <v>30</v>
      </c>
      <c r="C3227" s="1" t="s">
        <v>31</v>
      </c>
      <c r="D3227" s="1" t="str">
        <f t="shared" si="612"/>
        <v>9805</v>
      </c>
      <c r="E3227" s="1" t="s">
        <v>57</v>
      </c>
      <c r="F3227" s="1" t="str">
        <f>"1407663569"</f>
        <v>1407663569</v>
      </c>
      <c r="G3227" s="1" t="s">
        <v>26</v>
      </c>
      <c r="H3227" s="1" t="str">
        <f t="shared" si="606"/>
        <v>20220914</v>
      </c>
      <c r="I3227" s="1" t="str">
        <f>"195812"</f>
        <v>195812</v>
      </c>
      <c r="J3227" s="1" t="s">
        <v>52</v>
      </c>
      <c r="K3227" s="1" t="s">
        <v>52</v>
      </c>
      <c r="L3227" s="1" t="str">
        <f t="shared" si="607"/>
        <v>20220914</v>
      </c>
      <c r="M3227" s="1" t="str">
        <f>"201908"</f>
        <v>201908</v>
      </c>
      <c r="N3227" s="1" t="s">
        <v>28</v>
      </c>
      <c r="O3227" s="1" t="s">
        <v>28</v>
      </c>
      <c r="P3227" s="1" t="s">
        <v>55</v>
      </c>
      <c r="Q3227" s="1">
        <v>13</v>
      </c>
      <c r="R3227" s="1">
        <v>0</v>
      </c>
      <c r="S3227" s="1">
        <v>13</v>
      </c>
      <c r="T3227" s="1">
        <v>0</v>
      </c>
      <c r="U3227" s="1">
        <v>0</v>
      </c>
      <c r="V3227" s="1" t="str">
        <f t="shared" si="611"/>
        <v>里程返程</v>
      </c>
      <c r="W3227" s="1" t="str">
        <f>"2120"</f>
        <v>2120</v>
      </c>
      <c r="X3227" s="1" t="s">
        <v>35</v>
      </c>
    </row>
    <row r="3228" spans="1:24" x14ac:dyDescent="0.3">
      <c r="A3228" s="1" t="str">
        <f t="shared" si="608"/>
        <v>59825</v>
      </c>
      <c r="B3228" s="1" t="s">
        <v>30</v>
      </c>
      <c r="C3228" s="1" t="s">
        <v>31</v>
      </c>
      <c r="D3228" s="1" t="str">
        <f t="shared" si="612"/>
        <v>9805</v>
      </c>
      <c r="E3228" s="1" t="s">
        <v>57</v>
      </c>
      <c r="F3228" s="1" t="str">
        <f>"1408428113"</f>
        <v>1408428113</v>
      </c>
      <c r="G3228" s="1" t="s">
        <v>26</v>
      </c>
      <c r="H3228" s="1" t="str">
        <f t="shared" si="606"/>
        <v>20220914</v>
      </c>
      <c r="I3228" s="1" t="str">
        <f>"200338"</f>
        <v>200338</v>
      </c>
      <c r="J3228" s="1" t="s">
        <v>62</v>
      </c>
      <c r="K3228" s="1" t="s">
        <v>28</v>
      </c>
      <c r="L3228" s="1" t="str">
        <f t="shared" si="607"/>
        <v>20220914</v>
      </c>
      <c r="M3228" s="1" t="str">
        <f>"201857"</f>
        <v>201857</v>
      </c>
      <c r="N3228" s="1" t="s">
        <v>28</v>
      </c>
      <c r="O3228" s="1" t="s">
        <v>28</v>
      </c>
      <c r="P3228" s="1" t="s">
        <v>55</v>
      </c>
      <c r="Q3228" s="1">
        <v>13</v>
      </c>
      <c r="R3228" s="1">
        <v>0</v>
      </c>
      <c r="S3228" s="1">
        <v>13</v>
      </c>
      <c r="T3228" s="1">
        <v>0</v>
      </c>
      <c r="U3228" s="1">
        <v>0</v>
      </c>
      <c r="V3228" s="1" t="str">
        <f t="shared" si="611"/>
        <v>里程返程</v>
      </c>
      <c r="W3228" s="1" t="str">
        <f>"2020"</f>
        <v>2020</v>
      </c>
      <c r="X3228" s="1" t="s">
        <v>35</v>
      </c>
    </row>
    <row r="3229" spans="1:24" x14ac:dyDescent="0.3">
      <c r="A3229" s="1" t="str">
        <f t="shared" si="608"/>
        <v>59825</v>
      </c>
      <c r="B3229" s="1" t="s">
        <v>30</v>
      </c>
      <c r="C3229" s="1" t="s">
        <v>31</v>
      </c>
      <c r="D3229" s="1" t="str">
        <f t="shared" si="612"/>
        <v>9805</v>
      </c>
      <c r="E3229" s="1" t="s">
        <v>57</v>
      </c>
      <c r="F3229" s="1" t="str">
        <f>"1435527281"</f>
        <v>1435527281</v>
      </c>
      <c r="G3229" s="1" t="s">
        <v>33</v>
      </c>
      <c r="H3229" s="1" t="str">
        <f t="shared" si="606"/>
        <v>20220914</v>
      </c>
      <c r="I3229" s="1" t="str">
        <f>"200340"</f>
        <v>200340</v>
      </c>
      <c r="J3229" s="1" t="s">
        <v>62</v>
      </c>
      <c r="K3229" s="1" t="s">
        <v>28</v>
      </c>
      <c r="L3229" s="1" t="str">
        <f t="shared" si="607"/>
        <v>20220914</v>
      </c>
      <c r="M3229" s="1" t="str">
        <f>"201901"</f>
        <v>201901</v>
      </c>
      <c r="N3229" s="1" t="s">
        <v>28</v>
      </c>
      <c r="O3229" s="1" t="s">
        <v>28</v>
      </c>
      <c r="P3229" s="1" t="s">
        <v>55</v>
      </c>
      <c r="Q3229" s="1">
        <v>25</v>
      </c>
      <c r="R3229" s="1">
        <v>25</v>
      </c>
      <c r="S3229" s="1">
        <v>0</v>
      </c>
      <c r="T3229" s="1">
        <v>0</v>
      </c>
      <c r="U3229" s="1">
        <v>0</v>
      </c>
      <c r="V3229" s="1" t="str">
        <f t="shared" si="611"/>
        <v>里程返程</v>
      </c>
      <c r="W3229" s="1" t="str">
        <f>"0220"</f>
        <v>0220</v>
      </c>
      <c r="X3229" s="1" t="s">
        <v>35</v>
      </c>
    </row>
    <row r="3230" spans="1:24" x14ac:dyDescent="0.3">
      <c r="A3230" s="1" t="str">
        <f t="shared" si="608"/>
        <v>59825</v>
      </c>
      <c r="B3230" s="1" t="s">
        <v>30</v>
      </c>
      <c r="C3230" s="1" t="s">
        <v>31</v>
      </c>
      <c r="D3230" s="1" t="str">
        <f t="shared" si="612"/>
        <v>9805</v>
      </c>
      <c r="E3230" s="1" t="s">
        <v>57</v>
      </c>
      <c r="F3230" s="1" t="str">
        <f>"1765800449"</f>
        <v>1765800449</v>
      </c>
      <c r="G3230" s="1" t="s">
        <v>33</v>
      </c>
      <c r="H3230" s="1" t="str">
        <f t="shared" si="606"/>
        <v>20220914</v>
      </c>
      <c r="I3230" s="1" t="str">
        <f>"200342"</f>
        <v>200342</v>
      </c>
      <c r="J3230" s="1" t="s">
        <v>62</v>
      </c>
      <c r="K3230" s="1" t="s">
        <v>28</v>
      </c>
      <c r="L3230" s="1" t="str">
        <f t="shared" si="607"/>
        <v>20220914</v>
      </c>
      <c r="M3230" s="1" t="str">
        <f>"201903"</f>
        <v>201903</v>
      </c>
      <c r="N3230" s="1" t="s">
        <v>28</v>
      </c>
      <c r="O3230" s="1" t="s">
        <v>28</v>
      </c>
      <c r="P3230" s="1" t="s">
        <v>55</v>
      </c>
      <c r="Q3230" s="1">
        <v>25</v>
      </c>
      <c r="R3230" s="1">
        <v>25</v>
      </c>
      <c r="S3230" s="1">
        <v>0</v>
      </c>
      <c r="T3230" s="1">
        <v>0</v>
      </c>
      <c r="U3230" s="1">
        <v>0</v>
      </c>
      <c r="V3230" s="1" t="str">
        <f t="shared" si="611"/>
        <v>里程返程</v>
      </c>
      <c r="W3230" s="1" t="str">
        <f>"0220"</f>
        <v>0220</v>
      </c>
      <c r="X3230" s="1" t="s">
        <v>35</v>
      </c>
    </row>
    <row r="3231" spans="1:24" x14ac:dyDescent="0.3">
      <c r="A3231" s="1" t="str">
        <f t="shared" si="608"/>
        <v>59825</v>
      </c>
      <c r="B3231" s="1" t="s">
        <v>30</v>
      </c>
      <c r="C3231" s="1" t="s">
        <v>31</v>
      </c>
      <c r="D3231" s="1" t="str">
        <f t="shared" si="612"/>
        <v>9805</v>
      </c>
      <c r="E3231" s="1" t="s">
        <v>57</v>
      </c>
      <c r="F3231" s="1" t="str">
        <f>"1030356058"</f>
        <v>1030356058</v>
      </c>
      <c r="G3231" s="1" t="s">
        <v>33</v>
      </c>
      <c r="H3231" s="1" t="str">
        <f t="shared" si="606"/>
        <v>20220914</v>
      </c>
      <c r="I3231" s="1" t="str">
        <f>"200346"</f>
        <v>200346</v>
      </c>
      <c r="J3231" s="1" t="s">
        <v>62</v>
      </c>
      <c r="K3231" s="1" t="s">
        <v>28</v>
      </c>
      <c r="L3231" s="1" t="str">
        <f t="shared" si="607"/>
        <v>20220914</v>
      </c>
      <c r="M3231" s="1" t="str">
        <f>"201854"</f>
        <v>201854</v>
      </c>
      <c r="N3231" s="1" t="s">
        <v>28</v>
      </c>
      <c r="O3231" s="1" t="s">
        <v>28</v>
      </c>
      <c r="P3231" s="1" t="s">
        <v>55</v>
      </c>
      <c r="Q3231" s="1">
        <v>25</v>
      </c>
      <c r="R3231" s="1">
        <v>0</v>
      </c>
      <c r="S3231" s="1">
        <v>25</v>
      </c>
      <c r="T3231" s="1">
        <v>0</v>
      </c>
      <c r="U3231" s="1">
        <v>0</v>
      </c>
      <c r="V3231" s="1" t="str">
        <f t="shared" si="611"/>
        <v>里程返程</v>
      </c>
      <c r="W3231" s="1" t="str">
        <f>"2020"</f>
        <v>2020</v>
      </c>
      <c r="X3231" s="1" t="s">
        <v>35</v>
      </c>
    </row>
    <row r="3232" spans="1:24" x14ac:dyDescent="0.3">
      <c r="A3232" s="1" t="str">
        <f t="shared" ref="A3232:A3260" si="613">"59828"</f>
        <v>59828</v>
      </c>
      <c r="B3232" s="1" t="s">
        <v>23</v>
      </c>
      <c r="C3232" s="1" t="s">
        <v>24</v>
      </c>
      <c r="D3232" s="1" t="str">
        <f t="shared" ref="D3232:D3260" si="614">"9801"</f>
        <v>9801</v>
      </c>
      <c r="E3232" s="1" t="s">
        <v>25</v>
      </c>
      <c r="F3232" s="1" t="str">
        <f>"2329748187"</f>
        <v>2329748187</v>
      </c>
      <c r="G3232" s="1" t="s">
        <v>33</v>
      </c>
      <c r="H3232" s="1" t="str">
        <f t="shared" si="606"/>
        <v>20220914</v>
      </c>
      <c r="I3232" s="1" t="str">
        <f>"060325"</f>
        <v>060325</v>
      </c>
      <c r="J3232" s="1" t="s">
        <v>44</v>
      </c>
      <c r="K3232" s="1" t="s">
        <v>45</v>
      </c>
      <c r="L3232" s="1" t="str">
        <f t="shared" si="607"/>
        <v>20220914</v>
      </c>
      <c r="M3232" s="1" t="str">
        <f>"062056"</f>
        <v>062056</v>
      </c>
      <c r="N3232" s="1" t="s">
        <v>28</v>
      </c>
      <c r="O3232" s="1" t="s">
        <v>28</v>
      </c>
      <c r="P3232" s="1" t="s">
        <v>55</v>
      </c>
      <c r="Q3232" s="1">
        <v>25</v>
      </c>
      <c r="R3232" s="1">
        <v>25</v>
      </c>
      <c r="S3232" s="1">
        <v>0</v>
      </c>
      <c r="T3232" s="1">
        <v>0</v>
      </c>
      <c r="U3232" s="1">
        <v>0</v>
      </c>
      <c r="V3232" s="1" t="str">
        <f t="shared" si="611"/>
        <v>里程返程</v>
      </c>
      <c r="W3232" s="1" t="str">
        <f>"2120"</f>
        <v>2120</v>
      </c>
      <c r="X3232" s="1" t="s">
        <v>35</v>
      </c>
    </row>
    <row r="3233" spans="1:24" x14ac:dyDescent="0.3">
      <c r="A3233" s="1" t="str">
        <f t="shared" si="613"/>
        <v>59828</v>
      </c>
      <c r="B3233" s="1" t="s">
        <v>23</v>
      </c>
      <c r="C3233" s="1" t="s">
        <v>24</v>
      </c>
      <c r="D3233" s="1" t="str">
        <f t="shared" si="614"/>
        <v>9801</v>
      </c>
      <c r="E3233" s="1" t="s">
        <v>25</v>
      </c>
      <c r="F3233" s="1" t="str">
        <f>"E130C75F492804001C00000000000000"</f>
        <v>E130C75F492804001C00000000000000</v>
      </c>
      <c r="G3233" s="1" t="s">
        <v>58</v>
      </c>
      <c r="H3233" s="1" t="str">
        <f t="shared" si="606"/>
        <v>20220914</v>
      </c>
      <c r="I3233" s="1" t="str">
        <f>"061425"</f>
        <v>061425</v>
      </c>
      <c r="J3233" s="1" t="s">
        <v>79</v>
      </c>
      <c r="K3233" s="1" t="s">
        <v>45</v>
      </c>
      <c r="L3233" s="1" t="str">
        <f t="shared" si="607"/>
        <v>20220914</v>
      </c>
      <c r="M3233" s="1" t="str">
        <f>"062058"</f>
        <v>062058</v>
      </c>
      <c r="N3233" s="1" t="s">
        <v>28</v>
      </c>
      <c r="O3233" s="1" t="s">
        <v>28</v>
      </c>
      <c r="P3233" s="1" t="s">
        <v>55</v>
      </c>
      <c r="Q3233" s="1">
        <v>25</v>
      </c>
      <c r="R3233" s="1">
        <v>25</v>
      </c>
      <c r="S3233" s="1">
        <v>0</v>
      </c>
      <c r="T3233" s="1">
        <v>0</v>
      </c>
      <c r="U3233" s="1">
        <v>0</v>
      </c>
      <c r="V3233" s="1" t="str">
        <f t="shared" si="611"/>
        <v>里程返程</v>
      </c>
      <c r="W3233" s="1" t="str">
        <f>"0020"</f>
        <v>0020</v>
      </c>
      <c r="X3233" s="1" t="s">
        <v>29</v>
      </c>
    </row>
    <row r="3234" spans="1:24" x14ac:dyDescent="0.3">
      <c r="A3234" s="1" t="str">
        <f t="shared" si="613"/>
        <v>59828</v>
      </c>
      <c r="B3234" s="1" t="s">
        <v>23</v>
      </c>
      <c r="C3234" s="1" t="s">
        <v>24</v>
      </c>
      <c r="D3234" s="1" t="str">
        <f t="shared" si="614"/>
        <v>9801</v>
      </c>
      <c r="E3234" s="1" t="s">
        <v>25</v>
      </c>
      <c r="F3234" s="1" t="str">
        <f>"1752749445"</f>
        <v>1752749445</v>
      </c>
      <c r="G3234" s="1" t="s">
        <v>33</v>
      </c>
      <c r="H3234" s="1" t="str">
        <f t="shared" si="606"/>
        <v>20220914</v>
      </c>
      <c r="I3234" s="1" t="str">
        <f>"063314"</f>
        <v>063314</v>
      </c>
      <c r="J3234" s="1" t="s">
        <v>28</v>
      </c>
      <c r="K3234" s="1" t="s">
        <v>28</v>
      </c>
      <c r="L3234" s="1" t="str">
        <f t="shared" si="607"/>
        <v>20220914</v>
      </c>
      <c r="M3234" s="1" t="str">
        <f>"065245"</f>
        <v>065245</v>
      </c>
      <c r="N3234" s="1" t="s">
        <v>72</v>
      </c>
      <c r="O3234" s="1" t="s">
        <v>52</v>
      </c>
      <c r="P3234" s="1" t="s">
        <v>55</v>
      </c>
      <c r="Q3234" s="1">
        <v>25</v>
      </c>
      <c r="R3234" s="1">
        <v>0</v>
      </c>
      <c r="S3234" s="1">
        <v>25</v>
      </c>
      <c r="T3234" s="1">
        <v>0</v>
      </c>
      <c r="U3234" s="1">
        <v>0</v>
      </c>
      <c r="V3234" s="1" t="str">
        <f t="shared" si="611"/>
        <v>里程返程</v>
      </c>
      <c r="W3234" s="1" t="str">
        <f>"0820"</f>
        <v>0820</v>
      </c>
      <c r="X3234" s="1" t="s">
        <v>35</v>
      </c>
    </row>
    <row r="3235" spans="1:24" x14ac:dyDescent="0.3">
      <c r="A3235" s="1" t="str">
        <f t="shared" si="613"/>
        <v>59828</v>
      </c>
      <c r="B3235" s="1" t="s">
        <v>23</v>
      </c>
      <c r="C3235" s="1" t="s">
        <v>24</v>
      </c>
      <c r="D3235" s="1" t="str">
        <f t="shared" si="614"/>
        <v>9801</v>
      </c>
      <c r="E3235" s="1" t="s">
        <v>25</v>
      </c>
      <c r="F3235" s="1" t="str">
        <f>"619F1761882804001C00000000000000"</f>
        <v>619F1761882804001C00000000000000</v>
      </c>
      <c r="G3235" s="1" t="s">
        <v>58</v>
      </c>
      <c r="H3235" s="1" t="str">
        <f t="shared" si="606"/>
        <v>20220914</v>
      </c>
      <c r="I3235" s="1" t="str">
        <f>"063326"</f>
        <v>063326</v>
      </c>
      <c r="J3235" s="1" t="s">
        <v>28</v>
      </c>
      <c r="K3235" s="1" t="s">
        <v>28</v>
      </c>
      <c r="L3235" s="1" t="str">
        <f t="shared" si="607"/>
        <v>20220914</v>
      </c>
      <c r="M3235" s="1" t="str">
        <f>"065238"</f>
        <v>065238</v>
      </c>
      <c r="N3235" s="1" t="s">
        <v>72</v>
      </c>
      <c r="O3235" s="1" t="s">
        <v>52</v>
      </c>
      <c r="P3235" s="1" t="s">
        <v>55</v>
      </c>
      <c r="Q3235" s="1">
        <v>25</v>
      </c>
      <c r="R3235" s="1">
        <v>0</v>
      </c>
      <c r="S3235" s="1">
        <v>25</v>
      </c>
      <c r="T3235" s="1">
        <v>0</v>
      </c>
      <c r="U3235" s="1">
        <v>0</v>
      </c>
      <c r="V3235" s="1" t="str">
        <f t="shared" si="611"/>
        <v>里程返程</v>
      </c>
      <c r="W3235" s="1" t="str">
        <f>"0620"</f>
        <v>0620</v>
      </c>
      <c r="X3235" s="1" t="s">
        <v>29</v>
      </c>
    </row>
    <row r="3236" spans="1:24" x14ac:dyDescent="0.3">
      <c r="A3236" s="1" t="str">
        <f t="shared" si="613"/>
        <v>59828</v>
      </c>
      <c r="B3236" s="1" t="s">
        <v>23</v>
      </c>
      <c r="C3236" s="1" t="s">
        <v>24</v>
      </c>
      <c r="D3236" s="1" t="str">
        <f t="shared" si="614"/>
        <v>9801</v>
      </c>
      <c r="E3236" s="1" t="s">
        <v>25</v>
      </c>
      <c r="F3236" s="1" t="str">
        <f>"D2EDC500FA880400C801002000000015"</f>
        <v>D2EDC500FA880400C801002000000015</v>
      </c>
      <c r="G3236" s="1" t="s">
        <v>58</v>
      </c>
      <c r="H3236" s="1" t="str">
        <f t="shared" si="606"/>
        <v>20220914</v>
      </c>
      <c r="I3236" s="1" t="str">
        <f>"063353"</f>
        <v>063353</v>
      </c>
      <c r="J3236" s="1" t="s">
        <v>28</v>
      </c>
      <c r="K3236" s="1" t="s">
        <v>28</v>
      </c>
      <c r="L3236" s="1" t="str">
        <f t="shared" si="607"/>
        <v>20220914</v>
      </c>
      <c r="M3236" s="1" t="str">
        <f>"070021"</f>
        <v>070021</v>
      </c>
      <c r="N3236" s="1" t="s">
        <v>52</v>
      </c>
      <c r="O3236" s="1" t="s">
        <v>52</v>
      </c>
      <c r="P3236" s="1" t="s">
        <v>55</v>
      </c>
      <c r="Q3236" s="1">
        <v>25</v>
      </c>
      <c r="R3236" s="1">
        <v>25</v>
      </c>
      <c r="S3236" s="1">
        <v>0</v>
      </c>
      <c r="T3236" s="1">
        <v>0</v>
      </c>
      <c r="U3236" s="1">
        <v>0</v>
      </c>
      <c r="V3236" s="1" t="str">
        <f t="shared" si="611"/>
        <v>里程返程</v>
      </c>
      <c r="W3236" s="1" t="str">
        <f>"0020"</f>
        <v>0020</v>
      </c>
      <c r="X3236" s="1" t="s">
        <v>29</v>
      </c>
    </row>
    <row r="3237" spans="1:24" x14ac:dyDescent="0.3">
      <c r="A3237" s="1" t="str">
        <f t="shared" si="613"/>
        <v>59828</v>
      </c>
      <c r="B3237" s="1" t="s">
        <v>23</v>
      </c>
      <c r="C3237" s="1" t="s">
        <v>24</v>
      </c>
      <c r="D3237" s="1" t="str">
        <f t="shared" si="614"/>
        <v>9801</v>
      </c>
      <c r="E3237" s="1" t="s">
        <v>25</v>
      </c>
      <c r="F3237" s="1" t="str">
        <f>"82730F18E6880400C814002000000019"</f>
        <v>82730F18E6880400C814002000000019</v>
      </c>
      <c r="G3237" s="1" t="s">
        <v>59</v>
      </c>
      <c r="H3237" s="1" t="str">
        <f t="shared" si="606"/>
        <v>20220914</v>
      </c>
      <c r="I3237" s="1" t="str">
        <f>"072429"</f>
        <v>072429</v>
      </c>
      <c r="J3237" s="1" t="s">
        <v>28</v>
      </c>
      <c r="K3237" s="1" t="s">
        <v>28</v>
      </c>
      <c r="L3237" s="1" t="str">
        <f t="shared" si="607"/>
        <v>20220914</v>
      </c>
      <c r="M3237" s="1" t="str">
        <f>"074608"</f>
        <v>074608</v>
      </c>
      <c r="N3237" s="1" t="s">
        <v>72</v>
      </c>
      <c r="O3237" s="1" t="s">
        <v>52</v>
      </c>
      <c r="P3237" s="1" t="s">
        <v>55</v>
      </c>
      <c r="Q3237" s="1">
        <v>25</v>
      </c>
      <c r="R3237" s="1">
        <v>0</v>
      </c>
      <c r="S3237" s="1">
        <v>25</v>
      </c>
      <c r="T3237" s="1">
        <v>0</v>
      </c>
      <c r="U3237" s="1">
        <v>0</v>
      </c>
      <c r="V3237" s="1" t="str">
        <f t="shared" si="611"/>
        <v>里程返程</v>
      </c>
      <c r="W3237" s="1" t="str">
        <f>"0620"</f>
        <v>0620</v>
      </c>
      <c r="X3237" s="1" t="s">
        <v>29</v>
      </c>
    </row>
    <row r="3238" spans="1:24" x14ac:dyDescent="0.3">
      <c r="A3238" s="1" t="str">
        <f t="shared" si="613"/>
        <v>59828</v>
      </c>
      <c r="B3238" s="1" t="s">
        <v>23</v>
      </c>
      <c r="C3238" s="1" t="s">
        <v>24</v>
      </c>
      <c r="D3238" s="1" t="str">
        <f t="shared" si="614"/>
        <v>9801</v>
      </c>
      <c r="E3238" s="1" t="s">
        <v>25</v>
      </c>
      <c r="F3238" s="1" t="str">
        <f>"62F00B1881880400C814002000000019"</f>
        <v>62F00B1881880400C814002000000019</v>
      </c>
      <c r="G3238" s="1" t="s">
        <v>59</v>
      </c>
      <c r="H3238" s="1" t="str">
        <f t="shared" si="606"/>
        <v>20220914</v>
      </c>
      <c r="I3238" s="1" t="str">
        <f>"072432"</f>
        <v>072432</v>
      </c>
      <c r="J3238" s="1" t="s">
        <v>28</v>
      </c>
      <c r="K3238" s="1" t="s">
        <v>28</v>
      </c>
      <c r="L3238" s="1" t="str">
        <f t="shared" si="607"/>
        <v>20220914</v>
      </c>
      <c r="M3238" s="1" t="str">
        <f>"074610"</f>
        <v>074610</v>
      </c>
      <c r="N3238" s="1" t="s">
        <v>72</v>
      </c>
      <c r="O3238" s="1" t="s">
        <v>52</v>
      </c>
      <c r="P3238" s="1" t="s">
        <v>55</v>
      </c>
      <c r="Q3238" s="1">
        <v>25</v>
      </c>
      <c r="R3238" s="1">
        <v>0</v>
      </c>
      <c r="S3238" s="1">
        <v>25</v>
      </c>
      <c r="T3238" s="1">
        <v>0</v>
      </c>
      <c r="U3238" s="1">
        <v>0</v>
      </c>
      <c r="V3238" s="1" t="str">
        <f t="shared" si="611"/>
        <v>里程返程</v>
      </c>
      <c r="W3238" s="1" t="str">
        <f>"0620"</f>
        <v>0620</v>
      </c>
      <c r="X3238" s="1" t="s">
        <v>29</v>
      </c>
    </row>
    <row r="3239" spans="1:24" x14ac:dyDescent="0.3">
      <c r="A3239" s="1" t="str">
        <f t="shared" si="613"/>
        <v>59828</v>
      </c>
      <c r="B3239" s="1" t="s">
        <v>23</v>
      </c>
      <c r="C3239" s="1" t="s">
        <v>24</v>
      </c>
      <c r="D3239" s="1" t="str">
        <f t="shared" si="614"/>
        <v>9801</v>
      </c>
      <c r="E3239" s="1" t="s">
        <v>25</v>
      </c>
      <c r="F3239" s="1" t="str">
        <f>"825D0C18CB880400C814002000000019"</f>
        <v>825D0C18CB880400C814002000000019</v>
      </c>
      <c r="G3239" s="1" t="s">
        <v>59</v>
      </c>
      <c r="H3239" s="1" t="str">
        <f t="shared" si="606"/>
        <v>20220914</v>
      </c>
      <c r="I3239" s="1" t="str">
        <f>"072436"</f>
        <v>072436</v>
      </c>
      <c r="J3239" s="1" t="s">
        <v>28</v>
      </c>
      <c r="K3239" s="1" t="s">
        <v>28</v>
      </c>
      <c r="L3239" s="1" t="str">
        <f t="shared" si="607"/>
        <v>20220914</v>
      </c>
      <c r="M3239" s="1" t="str">
        <f>"075717"</f>
        <v>075717</v>
      </c>
      <c r="N3239" s="1" t="s">
        <v>52</v>
      </c>
      <c r="O3239" s="1" t="s">
        <v>52</v>
      </c>
      <c r="P3239" s="1" t="s">
        <v>55</v>
      </c>
      <c r="Q3239" s="1">
        <v>25</v>
      </c>
      <c r="R3239" s="1">
        <v>0</v>
      </c>
      <c r="S3239" s="1">
        <v>25</v>
      </c>
      <c r="T3239" s="1">
        <v>0</v>
      </c>
      <c r="U3239" s="1">
        <v>0</v>
      </c>
      <c r="V3239" s="1" t="str">
        <f t="shared" si="611"/>
        <v>里程返程</v>
      </c>
      <c r="W3239" s="1" t="str">
        <f>"0620"</f>
        <v>0620</v>
      </c>
      <c r="X3239" s="1" t="s">
        <v>29</v>
      </c>
    </row>
    <row r="3240" spans="1:24" x14ac:dyDescent="0.3">
      <c r="A3240" s="1" t="str">
        <f t="shared" si="613"/>
        <v>59828</v>
      </c>
      <c r="B3240" s="1" t="s">
        <v>23</v>
      </c>
      <c r="C3240" s="1" t="s">
        <v>24</v>
      </c>
      <c r="D3240" s="1" t="str">
        <f t="shared" si="614"/>
        <v>9801</v>
      </c>
      <c r="E3240" s="1" t="s">
        <v>25</v>
      </c>
      <c r="F3240" s="1" t="str">
        <f>"D257BD023A880400C834002000000015"</f>
        <v>D257BD023A880400C834002000000015</v>
      </c>
      <c r="G3240" s="1" t="s">
        <v>74</v>
      </c>
      <c r="H3240" s="1" t="str">
        <f t="shared" si="606"/>
        <v>20220914</v>
      </c>
      <c r="I3240" s="1" t="str">
        <f>"072441"</f>
        <v>072441</v>
      </c>
      <c r="J3240" s="1" t="s">
        <v>28</v>
      </c>
      <c r="K3240" s="1" t="s">
        <v>28</v>
      </c>
      <c r="L3240" s="1" t="str">
        <f t="shared" si="607"/>
        <v>20220914</v>
      </c>
      <c r="M3240" s="1" t="str">
        <f>"073203"</f>
        <v>073203</v>
      </c>
      <c r="N3240" s="1" t="s">
        <v>67</v>
      </c>
      <c r="O3240" s="1" t="s">
        <v>52</v>
      </c>
      <c r="P3240" s="1" t="s">
        <v>68</v>
      </c>
      <c r="Q3240" s="1">
        <v>13</v>
      </c>
      <c r="R3240" s="1">
        <v>0</v>
      </c>
      <c r="S3240" s="1">
        <v>0</v>
      </c>
      <c r="T3240" s="1">
        <v>13</v>
      </c>
      <c r="U3240" s="1">
        <v>0</v>
      </c>
      <c r="V3240" s="1" t="str">
        <f t="shared" si="611"/>
        <v>里程返程</v>
      </c>
      <c r="W3240" s="1" t="str">
        <f>"0020"</f>
        <v>0020</v>
      </c>
      <c r="X3240" s="1" t="s">
        <v>29</v>
      </c>
    </row>
    <row r="3241" spans="1:24" x14ac:dyDescent="0.3">
      <c r="A3241" s="1" t="str">
        <f t="shared" si="613"/>
        <v>59828</v>
      </c>
      <c r="B3241" s="1" t="s">
        <v>23</v>
      </c>
      <c r="C3241" s="1" t="s">
        <v>24</v>
      </c>
      <c r="D3241" s="1" t="str">
        <f t="shared" si="614"/>
        <v>9801</v>
      </c>
      <c r="E3241" s="1" t="s">
        <v>25</v>
      </c>
      <c r="F3241" s="1" t="str">
        <f>"1759959808"</f>
        <v>1759959808</v>
      </c>
      <c r="G3241" s="1" t="s">
        <v>33</v>
      </c>
      <c r="H3241" s="1" t="str">
        <f t="shared" si="606"/>
        <v>20220914</v>
      </c>
      <c r="I3241" s="1" t="str">
        <f>"074033"</f>
        <v>074033</v>
      </c>
      <c r="J3241" s="1" t="s">
        <v>80</v>
      </c>
      <c r="K3241" s="1" t="s">
        <v>52</v>
      </c>
      <c r="L3241" s="1" t="str">
        <f t="shared" si="607"/>
        <v>20220914</v>
      </c>
      <c r="M3241" s="1" t="str">
        <f>"075150"</f>
        <v>075150</v>
      </c>
      <c r="N3241" s="1" t="s">
        <v>60</v>
      </c>
      <c r="O3241" s="1" t="s">
        <v>52</v>
      </c>
      <c r="P3241" s="1" t="s">
        <v>55</v>
      </c>
      <c r="Q3241" s="1">
        <v>25</v>
      </c>
      <c r="R3241" s="1">
        <v>25</v>
      </c>
      <c r="S3241" s="1">
        <v>0</v>
      </c>
      <c r="T3241" s="1">
        <v>0</v>
      </c>
      <c r="U3241" s="1">
        <v>0</v>
      </c>
      <c r="V3241" s="1" t="str">
        <f t="shared" si="611"/>
        <v>里程返程</v>
      </c>
      <c r="W3241" s="1" t="str">
        <f>"2020"</f>
        <v>2020</v>
      </c>
      <c r="X3241" s="1" t="s">
        <v>35</v>
      </c>
    </row>
    <row r="3242" spans="1:24" x14ac:dyDescent="0.3">
      <c r="A3242" s="1" t="str">
        <f t="shared" si="613"/>
        <v>59828</v>
      </c>
      <c r="B3242" s="1" t="s">
        <v>23</v>
      </c>
      <c r="C3242" s="1" t="s">
        <v>24</v>
      </c>
      <c r="D3242" s="1" t="str">
        <f t="shared" si="614"/>
        <v>9801</v>
      </c>
      <c r="E3242" s="1" t="s">
        <v>25</v>
      </c>
      <c r="F3242" s="1" t="str">
        <f>"7227E702B0880400C834002000000015"</f>
        <v>7227E702B0880400C834002000000015</v>
      </c>
      <c r="G3242" s="1" t="s">
        <v>74</v>
      </c>
      <c r="H3242" s="1" t="str">
        <f t="shared" si="606"/>
        <v>20220914</v>
      </c>
      <c r="I3242" s="1" t="str">
        <f>"075753"</f>
        <v>075753</v>
      </c>
      <c r="J3242" s="1" t="s">
        <v>52</v>
      </c>
      <c r="K3242" s="1" t="s">
        <v>52</v>
      </c>
      <c r="L3242" s="1" t="str">
        <f t="shared" si="607"/>
        <v>20220914</v>
      </c>
      <c r="M3242" s="1" t="str">
        <f>"081626"</f>
        <v>081626</v>
      </c>
      <c r="N3242" s="1" t="s">
        <v>80</v>
      </c>
      <c r="O3242" s="1" t="s">
        <v>52</v>
      </c>
      <c r="P3242" s="1" t="s">
        <v>68</v>
      </c>
      <c r="Q3242" s="1">
        <v>13</v>
      </c>
      <c r="R3242" s="1">
        <v>0</v>
      </c>
      <c r="S3242" s="1">
        <v>0</v>
      </c>
      <c r="T3242" s="1">
        <v>13</v>
      </c>
      <c r="U3242" s="1">
        <v>0</v>
      </c>
      <c r="V3242" s="1" t="str">
        <f>"里程去程"</f>
        <v>里程去程</v>
      </c>
      <c r="W3242" s="1" t="str">
        <f>"0020"</f>
        <v>0020</v>
      </c>
      <c r="X3242" s="1" t="s">
        <v>29</v>
      </c>
    </row>
    <row r="3243" spans="1:24" x14ac:dyDescent="0.3">
      <c r="A3243" s="1" t="str">
        <f t="shared" si="613"/>
        <v>59828</v>
      </c>
      <c r="B3243" s="1" t="s">
        <v>23</v>
      </c>
      <c r="C3243" s="1" t="s">
        <v>24</v>
      </c>
      <c r="D3243" s="1" t="str">
        <f t="shared" si="614"/>
        <v>9801</v>
      </c>
      <c r="E3243" s="1" t="s">
        <v>25</v>
      </c>
      <c r="F3243" s="1" t="str">
        <f>"427BB21B90880400C822002000000021"</f>
        <v>427BB21B90880400C822002000000021</v>
      </c>
      <c r="G3243" s="1" t="s">
        <v>58</v>
      </c>
      <c r="H3243" s="1" t="str">
        <f t="shared" si="606"/>
        <v>20220914</v>
      </c>
      <c r="I3243" s="1" t="str">
        <f>"083525"</f>
        <v>083525</v>
      </c>
      <c r="J3243" s="1" t="s">
        <v>27</v>
      </c>
      <c r="K3243" s="1" t="s">
        <v>28</v>
      </c>
      <c r="L3243" s="1" t="str">
        <f t="shared" si="607"/>
        <v>20220914</v>
      </c>
      <c r="M3243" s="1" t="str">
        <f>"084817"</f>
        <v>084817</v>
      </c>
      <c r="N3243" s="1" t="s">
        <v>56</v>
      </c>
      <c r="O3243" s="1" t="s">
        <v>45</v>
      </c>
      <c r="P3243" s="1" t="s">
        <v>55</v>
      </c>
      <c r="Q3243" s="1">
        <v>25</v>
      </c>
      <c r="R3243" s="1">
        <v>25</v>
      </c>
      <c r="S3243" s="1">
        <v>0</v>
      </c>
      <c r="T3243" s="1">
        <v>0</v>
      </c>
      <c r="U3243" s="1">
        <v>0</v>
      </c>
      <c r="V3243" s="1" t="str">
        <f>"里程去程"</f>
        <v>里程去程</v>
      </c>
      <c r="W3243" s="1" t="str">
        <f>"0020"</f>
        <v>0020</v>
      </c>
      <c r="X3243" s="1" t="s">
        <v>29</v>
      </c>
    </row>
    <row r="3244" spans="1:24" x14ac:dyDescent="0.3">
      <c r="A3244" s="1" t="str">
        <f t="shared" si="613"/>
        <v>59828</v>
      </c>
      <c r="B3244" s="1" t="s">
        <v>23</v>
      </c>
      <c r="C3244" s="1" t="s">
        <v>24</v>
      </c>
      <c r="D3244" s="1" t="str">
        <f t="shared" si="614"/>
        <v>9801</v>
      </c>
      <c r="E3244" s="1" t="s">
        <v>25</v>
      </c>
      <c r="F3244" s="1" t="str">
        <f>"32780D0344880400C834002000000015"</f>
        <v>32780D0344880400C834002000000015</v>
      </c>
      <c r="G3244" s="1" t="s">
        <v>26</v>
      </c>
      <c r="H3244" s="1" t="str">
        <f t="shared" si="606"/>
        <v>20220914</v>
      </c>
      <c r="I3244" s="1" t="str">
        <f>"083636"</f>
        <v>083636</v>
      </c>
      <c r="J3244" s="1" t="s">
        <v>27</v>
      </c>
      <c r="K3244" s="1" t="s">
        <v>28</v>
      </c>
      <c r="L3244" s="1" t="str">
        <f t="shared" si="607"/>
        <v>20220914</v>
      </c>
      <c r="M3244" s="1" t="str">
        <f>"085523"</f>
        <v>085523</v>
      </c>
      <c r="N3244" s="1" t="s">
        <v>44</v>
      </c>
      <c r="O3244" s="1" t="s">
        <v>45</v>
      </c>
      <c r="P3244" s="1" t="s">
        <v>68</v>
      </c>
      <c r="Q3244" s="1">
        <v>13</v>
      </c>
      <c r="R3244" s="1">
        <v>0</v>
      </c>
      <c r="S3244" s="1">
        <v>0</v>
      </c>
      <c r="T3244" s="1">
        <v>13</v>
      </c>
      <c r="U3244" s="1">
        <v>0</v>
      </c>
      <c r="V3244" s="1" t="str">
        <f>"里程去程"</f>
        <v>里程去程</v>
      </c>
      <c r="W3244" s="1" t="str">
        <f>"0020"</f>
        <v>0020</v>
      </c>
      <c r="X3244" s="1" t="s">
        <v>29</v>
      </c>
    </row>
    <row r="3245" spans="1:24" x14ac:dyDescent="0.3">
      <c r="A3245" s="1" t="str">
        <f t="shared" si="613"/>
        <v>59828</v>
      </c>
      <c r="B3245" s="1" t="s">
        <v>23</v>
      </c>
      <c r="C3245" s="1" t="s">
        <v>24</v>
      </c>
      <c r="D3245" s="1" t="str">
        <f t="shared" si="614"/>
        <v>9801</v>
      </c>
      <c r="E3245" s="1" t="s">
        <v>25</v>
      </c>
      <c r="F3245" s="1" t="str">
        <f>"6280E61A1E880400C817002000000021"</f>
        <v>6280E61A1E880400C817002000000021</v>
      </c>
      <c r="G3245" s="1" t="s">
        <v>58</v>
      </c>
      <c r="H3245" s="1" t="str">
        <f t="shared" si="606"/>
        <v>20220914</v>
      </c>
      <c r="I3245" s="1" t="str">
        <f>"093220"</f>
        <v>093220</v>
      </c>
      <c r="J3245" s="1" t="s">
        <v>27</v>
      </c>
      <c r="K3245" s="1" t="s">
        <v>28</v>
      </c>
      <c r="L3245" s="1" t="str">
        <f t="shared" si="607"/>
        <v>20220914</v>
      </c>
      <c r="M3245" s="1" t="str">
        <f>"094855"</f>
        <v>094855</v>
      </c>
      <c r="N3245" s="1" t="s">
        <v>56</v>
      </c>
      <c r="O3245" s="1" t="s">
        <v>45</v>
      </c>
      <c r="P3245" s="1" t="s">
        <v>55</v>
      </c>
      <c r="Q3245" s="1">
        <v>25</v>
      </c>
      <c r="R3245" s="1">
        <v>0</v>
      </c>
      <c r="S3245" s="1">
        <v>25</v>
      </c>
      <c r="T3245" s="1">
        <v>0</v>
      </c>
      <c r="U3245" s="1">
        <v>0</v>
      </c>
      <c r="V3245" s="1" t="str">
        <f>"里程去程"</f>
        <v>里程去程</v>
      </c>
      <c r="W3245" s="1" t="str">
        <f>"0620"</f>
        <v>0620</v>
      </c>
      <c r="X3245" s="1" t="s">
        <v>29</v>
      </c>
    </row>
    <row r="3246" spans="1:24" x14ac:dyDescent="0.3">
      <c r="A3246" s="1" t="str">
        <f t="shared" si="613"/>
        <v>59828</v>
      </c>
      <c r="B3246" s="1" t="s">
        <v>23</v>
      </c>
      <c r="C3246" s="1" t="s">
        <v>24</v>
      </c>
      <c r="D3246" s="1" t="str">
        <f t="shared" si="614"/>
        <v>9801</v>
      </c>
      <c r="E3246" s="1" t="s">
        <v>25</v>
      </c>
      <c r="F3246" s="1" t="str">
        <f>"2075560860"</f>
        <v>2075560860</v>
      </c>
      <c r="G3246" s="1" t="s">
        <v>33</v>
      </c>
      <c r="H3246" s="1" t="str">
        <f t="shared" si="606"/>
        <v>20220914</v>
      </c>
      <c r="I3246" s="1" t="str">
        <f>"124054"</f>
        <v>124054</v>
      </c>
      <c r="J3246" s="1" t="s">
        <v>75</v>
      </c>
      <c r="K3246" s="1" t="s">
        <v>45</v>
      </c>
      <c r="L3246" s="1" t="str">
        <f t="shared" si="607"/>
        <v>20220914</v>
      </c>
      <c r="M3246" s="1" t="str">
        <f>"125404"</f>
        <v>125404</v>
      </c>
      <c r="N3246" s="1" t="s">
        <v>95</v>
      </c>
      <c r="O3246" s="1" t="s">
        <v>28</v>
      </c>
      <c r="P3246" s="1" t="s">
        <v>55</v>
      </c>
      <c r="Q3246" s="1">
        <v>25</v>
      </c>
      <c r="R3246" s="1">
        <v>25</v>
      </c>
      <c r="S3246" s="1">
        <v>0</v>
      </c>
      <c r="T3246" s="1">
        <v>0</v>
      </c>
      <c r="U3246" s="1">
        <v>0</v>
      </c>
      <c r="V3246" s="1" t="str">
        <f t="shared" ref="V3246:V3272" si="615">"里程返程"</f>
        <v>里程返程</v>
      </c>
      <c r="W3246" s="1" t="str">
        <f>"2020"</f>
        <v>2020</v>
      </c>
      <c r="X3246" s="1" t="s">
        <v>35</v>
      </c>
    </row>
    <row r="3247" spans="1:24" x14ac:dyDescent="0.3">
      <c r="A3247" s="1" t="str">
        <f t="shared" si="613"/>
        <v>59828</v>
      </c>
      <c r="B3247" s="1" t="s">
        <v>23</v>
      </c>
      <c r="C3247" s="1" t="s">
        <v>24</v>
      </c>
      <c r="D3247" s="1" t="str">
        <f t="shared" si="614"/>
        <v>9801</v>
      </c>
      <c r="E3247" s="1" t="s">
        <v>25</v>
      </c>
      <c r="F3247" s="1" t="str">
        <f>"1120954261"</f>
        <v>1120954261</v>
      </c>
      <c r="G3247" s="1" t="s">
        <v>33</v>
      </c>
      <c r="H3247" s="1" t="str">
        <f t="shared" si="606"/>
        <v>20220914</v>
      </c>
      <c r="I3247" s="1" t="str">
        <f>"125441"</f>
        <v>125441</v>
      </c>
      <c r="J3247" s="1" t="s">
        <v>28</v>
      </c>
      <c r="K3247" s="1" t="s">
        <v>28</v>
      </c>
      <c r="L3247" s="1" t="str">
        <f t="shared" si="607"/>
        <v>20220914</v>
      </c>
      <c r="M3247" s="1" t="str">
        <f>"132410"</f>
        <v>132410</v>
      </c>
      <c r="N3247" s="1" t="s">
        <v>86</v>
      </c>
      <c r="O3247" s="1" t="s">
        <v>52</v>
      </c>
      <c r="P3247" s="1" t="s">
        <v>55</v>
      </c>
      <c r="Q3247" s="1">
        <v>25</v>
      </c>
      <c r="R3247" s="1">
        <v>25</v>
      </c>
      <c r="S3247" s="1">
        <v>0</v>
      </c>
      <c r="T3247" s="1">
        <v>0</v>
      </c>
      <c r="U3247" s="1">
        <v>0</v>
      </c>
      <c r="V3247" s="1" t="str">
        <f t="shared" si="615"/>
        <v>里程返程</v>
      </c>
      <c r="W3247" s="1" t="str">
        <f>"0120"</f>
        <v>0120</v>
      </c>
      <c r="X3247" s="1" t="s">
        <v>35</v>
      </c>
    </row>
    <row r="3248" spans="1:24" x14ac:dyDescent="0.3">
      <c r="A3248" s="1" t="str">
        <f t="shared" si="613"/>
        <v>59828</v>
      </c>
      <c r="B3248" s="1" t="s">
        <v>23</v>
      </c>
      <c r="C3248" s="1" t="s">
        <v>24</v>
      </c>
      <c r="D3248" s="1" t="str">
        <f t="shared" si="614"/>
        <v>9801</v>
      </c>
      <c r="E3248" s="1" t="s">
        <v>25</v>
      </c>
      <c r="F3248" s="1" t="str">
        <f>"1320164288"</f>
        <v>1320164288</v>
      </c>
      <c r="G3248" s="1" t="s">
        <v>33</v>
      </c>
      <c r="H3248" s="1" t="str">
        <f t="shared" si="606"/>
        <v>20220914</v>
      </c>
      <c r="I3248" s="1" t="str">
        <f>"125453"</f>
        <v>125453</v>
      </c>
      <c r="J3248" s="1" t="s">
        <v>28</v>
      </c>
      <c r="K3248" s="1" t="s">
        <v>28</v>
      </c>
      <c r="L3248" s="1" t="str">
        <f t="shared" si="607"/>
        <v>20220914</v>
      </c>
      <c r="M3248" s="1" t="str">
        <f>"130637"</f>
        <v>130637</v>
      </c>
      <c r="N3248" s="1" t="s">
        <v>67</v>
      </c>
      <c r="O3248" s="1" t="s">
        <v>52</v>
      </c>
      <c r="P3248" s="1" t="s">
        <v>55</v>
      </c>
      <c r="Q3248" s="1">
        <v>25</v>
      </c>
      <c r="R3248" s="1">
        <v>25</v>
      </c>
      <c r="S3248" s="1">
        <v>0</v>
      </c>
      <c r="T3248" s="1">
        <v>0</v>
      </c>
      <c r="U3248" s="1">
        <v>0</v>
      </c>
      <c r="V3248" s="1" t="str">
        <f t="shared" si="615"/>
        <v>里程返程</v>
      </c>
      <c r="W3248" s="1" t="str">
        <f>"0320"</f>
        <v>0320</v>
      </c>
      <c r="X3248" s="1" t="s">
        <v>35</v>
      </c>
    </row>
    <row r="3249" spans="1:24" x14ac:dyDescent="0.3">
      <c r="A3249" s="1" t="str">
        <f t="shared" si="613"/>
        <v>59828</v>
      </c>
      <c r="B3249" s="1" t="s">
        <v>23</v>
      </c>
      <c r="C3249" s="1" t="s">
        <v>24</v>
      </c>
      <c r="D3249" s="1" t="str">
        <f t="shared" si="614"/>
        <v>9801</v>
      </c>
      <c r="E3249" s="1" t="s">
        <v>25</v>
      </c>
      <c r="F3249" s="1" t="str">
        <f>"608453297"</f>
        <v>608453297</v>
      </c>
      <c r="G3249" s="1" t="s">
        <v>33</v>
      </c>
      <c r="H3249" s="1" t="str">
        <f t="shared" si="606"/>
        <v>20220914</v>
      </c>
      <c r="I3249" s="1" t="str">
        <f>"125500"</f>
        <v>125500</v>
      </c>
      <c r="J3249" s="1" t="s">
        <v>28</v>
      </c>
      <c r="K3249" s="1" t="s">
        <v>28</v>
      </c>
      <c r="L3249" s="1" t="str">
        <f t="shared" si="607"/>
        <v>20220914</v>
      </c>
      <c r="M3249" s="1" t="str">
        <f>"130639"</f>
        <v>130639</v>
      </c>
      <c r="N3249" s="1" t="s">
        <v>67</v>
      </c>
      <c r="O3249" s="1" t="s">
        <v>52</v>
      </c>
      <c r="P3249" s="1" t="s">
        <v>55</v>
      </c>
      <c r="Q3249" s="1">
        <v>25</v>
      </c>
      <c r="R3249" s="1">
        <v>25</v>
      </c>
      <c r="S3249" s="1">
        <v>0</v>
      </c>
      <c r="T3249" s="1">
        <v>0</v>
      </c>
      <c r="U3249" s="1">
        <v>0</v>
      </c>
      <c r="V3249" s="1" t="str">
        <f t="shared" si="615"/>
        <v>里程返程</v>
      </c>
      <c r="W3249" s="1" t="str">
        <f>"0120"</f>
        <v>0120</v>
      </c>
      <c r="X3249" s="1" t="s">
        <v>35</v>
      </c>
    </row>
    <row r="3250" spans="1:24" x14ac:dyDescent="0.3">
      <c r="A3250" s="1" t="str">
        <f t="shared" si="613"/>
        <v>59828</v>
      </c>
      <c r="B3250" s="1" t="s">
        <v>23</v>
      </c>
      <c r="C3250" s="1" t="s">
        <v>24</v>
      </c>
      <c r="D3250" s="1" t="str">
        <f t="shared" si="614"/>
        <v>9801</v>
      </c>
      <c r="E3250" s="1" t="s">
        <v>25</v>
      </c>
      <c r="F3250" s="1" t="str">
        <f>"E220D10211880400C834002000000015"</f>
        <v>E220D10211880400C834002000000015</v>
      </c>
      <c r="G3250" s="1" t="s">
        <v>74</v>
      </c>
      <c r="H3250" s="1" t="str">
        <f t="shared" si="606"/>
        <v>20220914</v>
      </c>
      <c r="I3250" s="1" t="str">
        <f>"131334"</f>
        <v>131334</v>
      </c>
      <c r="J3250" s="1" t="s">
        <v>97</v>
      </c>
      <c r="K3250" s="1" t="s">
        <v>52</v>
      </c>
      <c r="L3250" s="1" t="str">
        <f t="shared" si="607"/>
        <v>20220914</v>
      </c>
      <c r="M3250" s="1" t="str">
        <f>"131539"</f>
        <v>131539</v>
      </c>
      <c r="N3250" s="1" t="s">
        <v>65</v>
      </c>
      <c r="O3250" s="1" t="s">
        <v>52</v>
      </c>
      <c r="P3250" s="1" t="s">
        <v>68</v>
      </c>
      <c r="Q3250" s="1">
        <v>13</v>
      </c>
      <c r="R3250" s="1">
        <v>0</v>
      </c>
      <c r="S3250" s="1">
        <v>0</v>
      </c>
      <c r="T3250" s="1">
        <v>13</v>
      </c>
      <c r="U3250" s="1">
        <v>0</v>
      </c>
      <c r="V3250" s="1" t="str">
        <f t="shared" si="615"/>
        <v>里程返程</v>
      </c>
      <c r="W3250" s="1" t="str">
        <f>"0020"</f>
        <v>0020</v>
      </c>
      <c r="X3250" s="1" t="s">
        <v>29</v>
      </c>
    </row>
    <row r="3251" spans="1:24" x14ac:dyDescent="0.3">
      <c r="A3251" s="1" t="str">
        <f t="shared" si="613"/>
        <v>59828</v>
      </c>
      <c r="B3251" s="1" t="s">
        <v>23</v>
      </c>
      <c r="C3251" s="1" t="s">
        <v>24</v>
      </c>
      <c r="D3251" s="1" t="str">
        <f t="shared" si="614"/>
        <v>9801</v>
      </c>
      <c r="E3251" s="1" t="s">
        <v>25</v>
      </c>
      <c r="F3251" s="1" t="str">
        <f>"F2C64D0E77880400C806002000000018"</f>
        <v>F2C64D0E77880400C806002000000018</v>
      </c>
      <c r="G3251" s="1" t="s">
        <v>58</v>
      </c>
      <c r="H3251" s="1" t="str">
        <f t="shared" si="606"/>
        <v>20220914</v>
      </c>
      <c r="I3251" s="1" t="str">
        <f>"131605"</f>
        <v>131605</v>
      </c>
      <c r="J3251" s="1" t="s">
        <v>65</v>
      </c>
      <c r="K3251" s="1" t="s">
        <v>52</v>
      </c>
      <c r="L3251" s="1" t="str">
        <f t="shared" si="607"/>
        <v>20220914</v>
      </c>
      <c r="M3251" s="1" t="str">
        <f>"132212"</f>
        <v>132212</v>
      </c>
      <c r="N3251" s="1" t="s">
        <v>60</v>
      </c>
      <c r="O3251" s="1" t="s">
        <v>52</v>
      </c>
      <c r="P3251" s="1" t="s">
        <v>55</v>
      </c>
      <c r="Q3251" s="1">
        <v>25</v>
      </c>
      <c r="R3251" s="1">
        <v>25</v>
      </c>
      <c r="S3251" s="1">
        <v>0</v>
      </c>
      <c r="T3251" s="1">
        <v>0</v>
      </c>
      <c r="U3251" s="1">
        <v>0</v>
      </c>
      <c r="V3251" s="1" t="str">
        <f t="shared" si="615"/>
        <v>里程返程</v>
      </c>
      <c r="W3251" s="1" t="str">
        <f>"0020"</f>
        <v>0020</v>
      </c>
      <c r="X3251" s="1" t="s">
        <v>29</v>
      </c>
    </row>
    <row r="3252" spans="1:24" x14ac:dyDescent="0.3">
      <c r="A3252" s="1" t="str">
        <f t="shared" si="613"/>
        <v>59828</v>
      </c>
      <c r="B3252" s="1" t="s">
        <v>23</v>
      </c>
      <c r="C3252" s="1" t="s">
        <v>24</v>
      </c>
      <c r="D3252" s="1" t="str">
        <f t="shared" si="614"/>
        <v>9801</v>
      </c>
      <c r="E3252" s="1" t="s">
        <v>25</v>
      </c>
      <c r="F3252" s="1" t="str">
        <f>"82D5FB02AE880400C834002000000015"</f>
        <v>82D5FB02AE880400C834002000000015</v>
      </c>
      <c r="G3252" s="1" t="s">
        <v>26</v>
      </c>
      <c r="H3252" s="1" t="str">
        <f t="shared" si="606"/>
        <v>20220914</v>
      </c>
      <c r="I3252" s="1" t="str">
        <f>"131817"</f>
        <v>131817</v>
      </c>
      <c r="J3252" s="1" t="s">
        <v>72</v>
      </c>
      <c r="K3252" s="1" t="s">
        <v>52</v>
      </c>
      <c r="L3252" s="1" t="str">
        <f t="shared" si="607"/>
        <v>20220914</v>
      </c>
      <c r="M3252" s="1" t="str">
        <f>"132208"</f>
        <v>132208</v>
      </c>
      <c r="N3252" s="1" t="s">
        <v>60</v>
      </c>
      <c r="O3252" s="1" t="s">
        <v>52</v>
      </c>
      <c r="P3252" s="1" t="s">
        <v>68</v>
      </c>
      <c r="Q3252" s="1">
        <v>13</v>
      </c>
      <c r="R3252" s="1">
        <v>0</v>
      </c>
      <c r="S3252" s="1">
        <v>0</v>
      </c>
      <c r="T3252" s="1">
        <v>13</v>
      </c>
      <c r="U3252" s="1">
        <v>0</v>
      </c>
      <c r="V3252" s="1" t="str">
        <f t="shared" si="615"/>
        <v>里程返程</v>
      </c>
      <c r="W3252" s="1" t="str">
        <f>"0020"</f>
        <v>0020</v>
      </c>
      <c r="X3252" s="1" t="s">
        <v>29</v>
      </c>
    </row>
    <row r="3253" spans="1:24" x14ac:dyDescent="0.3">
      <c r="A3253" s="1" t="str">
        <f t="shared" si="613"/>
        <v>59828</v>
      </c>
      <c r="B3253" s="1" t="s">
        <v>23</v>
      </c>
      <c r="C3253" s="1" t="s">
        <v>24</v>
      </c>
      <c r="D3253" s="1" t="str">
        <f t="shared" si="614"/>
        <v>9801</v>
      </c>
      <c r="E3253" s="1" t="s">
        <v>25</v>
      </c>
      <c r="F3253" s="1" t="str">
        <f>"3040822515"</f>
        <v>3040822515</v>
      </c>
      <c r="G3253" s="1" t="s">
        <v>96</v>
      </c>
      <c r="H3253" s="1" t="str">
        <f t="shared" si="606"/>
        <v>20220914</v>
      </c>
      <c r="I3253" s="1" t="str">
        <f>"142819"</f>
        <v>142819</v>
      </c>
      <c r="J3253" s="1" t="s">
        <v>44</v>
      </c>
      <c r="K3253" s="1" t="s">
        <v>45</v>
      </c>
      <c r="L3253" s="1" t="str">
        <f t="shared" si="607"/>
        <v>20220914</v>
      </c>
      <c r="M3253" s="1" t="str">
        <f>"144316"</f>
        <v>144316</v>
      </c>
      <c r="N3253" s="1" t="s">
        <v>45</v>
      </c>
      <c r="O3253" s="1" t="s">
        <v>45</v>
      </c>
      <c r="P3253" s="1" t="s">
        <v>55</v>
      </c>
      <c r="Q3253" s="1">
        <v>13</v>
      </c>
      <c r="R3253" s="1">
        <v>13</v>
      </c>
      <c r="S3253" s="1">
        <v>0</v>
      </c>
      <c r="T3253" s="1">
        <v>0</v>
      </c>
      <c r="U3253" s="1">
        <v>0</v>
      </c>
      <c r="V3253" s="1" t="str">
        <f t="shared" si="615"/>
        <v>里程返程</v>
      </c>
      <c r="W3253" s="1" t="str">
        <f>"2020"</f>
        <v>2020</v>
      </c>
      <c r="X3253" s="1" t="s">
        <v>35</v>
      </c>
    </row>
    <row r="3254" spans="1:24" x14ac:dyDescent="0.3">
      <c r="A3254" s="1" t="str">
        <f t="shared" si="613"/>
        <v>59828</v>
      </c>
      <c r="B3254" s="1" t="s">
        <v>23</v>
      </c>
      <c r="C3254" s="1" t="s">
        <v>24</v>
      </c>
      <c r="D3254" s="1" t="str">
        <f t="shared" si="614"/>
        <v>9801</v>
      </c>
      <c r="E3254" s="1" t="s">
        <v>25</v>
      </c>
      <c r="F3254" s="1" t="str">
        <f>"752850785"</f>
        <v>752850785</v>
      </c>
      <c r="G3254" s="1" t="s">
        <v>26</v>
      </c>
      <c r="H3254" s="1" t="str">
        <f t="shared" si="606"/>
        <v>20220914</v>
      </c>
      <c r="I3254" s="1" t="str">
        <f>"142843"</f>
        <v>142843</v>
      </c>
      <c r="J3254" s="1" t="s">
        <v>44</v>
      </c>
      <c r="K3254" s="1" t="s">
        <v>45</v>
      </c>
      <c r="L3254" s="1" t="str">
        <f t="shared" si="607"/>
        <v>20220914</v>
      </c>
      <c r="M3254" s="1" t="str">
        <f>"144308"</f>
        <v>144308</v>
      </c>
      <c r="N3254" s="1" t="s">
        <v>45</v>
      </c>
      <c r="O3254" s="1" t="s">
        <v>45</v>
      </c>
      <c r="P3254" s="1" t="s">
        <v>55</v>
      </c>
      <c r="Q3254" s="1">
        <v>13</v>
      </c>
      <c r="R3254" s="1">
        <v>13</v>
      </c>
      <c r="S3254" s="1">
        <v>0</v>
      </c>
      <c r="T3254" s="1">
        <v>0</v>
      </c>
      <c r="U3254" s="1">
        <v>0</v>
      </c>
      <c r="V3254" s="1" t="str">
        <f t="shared" si="615"/>
        <v>里程返程</v>
      </c>
      <c r="W3254" s="1" t="str">
        <f>"2020"</f>
        <v>2020</v>
      </c>
      <c r="X3254" s="1" t="s">
        <v>35</v>
      </c>
    </row>
    <row r="3255" spans="1:24" x14ac:dyDescent="0.3">
      <c r="A3255" s="1" t="str">
        <f t="shared" si="613"/>
        <v>59828</v>
      </c>
      <c r="B3255" s="1" t="s">
        <v>23</v>
      </c>
      <c r="C3255" s="1" t="s">
        <v>24</v>
      </c>
      <c r="D3255" s="1" t="str">
        <f t="shared" si="614"/>
        <v>9801</v>
      </c>
      <c r="E3255" s="1" t="s">
        <v>25</v>
      </c>
      <c r="F3255" s="1" t="str">
        <f>"251810511"</f>
        <v>251810511</v>
      </c>
      <c r="G3255" s="1" t="s">
        <v>26</v>
      </c>
      <c r="H3255" s="1" t="str">
        <f t="shared" si="606"/>
        <v>20220914</v>
      </c>
      <c r="I3255" s="1" t="str">
        <f>"142848"</f>
        <v>142848</v>
      </c>
      <c r="J3255" s="1" t="s">
        <v>44</v>
      </c>
      <c r="K3255" s="1" t="s">
        <v>45</v>
      </c>
      <c r="L3255" s="1" t="str">
        <f t="shared" si="607"/>
        <v>20220914</v>
      </c>
      <c r="M3255" s="1" t="str">
        <f>"144319"</f>
        <v>144319</v>
      </c>
      <c r="N3255" s="1" t="s">
        <v>45</v>
      </c>
      <c r="O3255" s="1" t="s">
        <v>45</v>
      </c>
      <c r="P3255" s="1" t="s">
        <v>55</v>
      </c>
      <c r="Q3255" s="1">
        <v>13</v>
      </c>
      <c r="R3255" s="1">
        <v>13</v>
      </c>
      <c r="S3255" s="1">
        <v>0</v>
      </c>
      <c r="T3255" s="1">
        <v>0</v>
      </c>
      <c r="U3255" s="1">
        <v>0</v>
      </c>
      <c r="V3255" s="1" t="str">
        <f t="shared" si="615"/>
        <v>里程返程</v>
      </c>
      <c r="W3255" s="1" t="str">
        <f>"2020"</f>
        <v>2020</v>
      </c>
      <c r="X3255" s="1" t="s">
        <v>35</v>
      </c>
    </row>
    <row r="3256" spans="1:24" x14ac:dyDescent="0.3">
      <c r="A3256" s="1" t="str">
        <f t="shared" si="613"/>
        <v>59828</v>
      </c>
      <c r="B3256" s="1" t="s">
        <v>23</v>
      </c>
      <c r="C3256" s="1" t="s">
        <v>24</v>
      </c>
      <c r="D3256" s="1" t="str">
        <f t="shared" si="614"/>
        <v>9801</v>
      </c>
      <c r="E3256" s="1" t="s">
        <v>25</v>
      </c>
      <c r="F3256" s="1" t="str">
        <f>"380782248"</f>
        <v>380782248</v>
      </c>
      <c r="G3256" s="1" t="s">
        <v>33</v>
      </c>
      <c r="H3256" s="1" t="str">
        <f t="shared" si="606"/>
        <v>20220914</v>
      </c>
      <c r="I3256" s="1" t="str">
        <f>"142853"</f>
        <v>142853</v>
      </c>
      <c r="J3256" s="1" t="s">
        <v>44</v>
      </c>
      <c r="K3256" s="1" t="s">
        <v>45</v>
      </c>
      <c r="L3256" s="1" t="str">
        <f t="shared" si="607"/>
        <v>20220914</v>
      </c>
      <c r="M3256" s="1" t="str">
        <f>"144321"</f>
        <v>144321</v>
      </c>
      <c r="N3256" s="1" t="s">
        <v>45</v>
      </c>
      <c r="O3256" s="1" t="s">
        <v>45</v>
      </c>
      <c r="P3256" s="1" t="s">
        <v>55</v>
      </c>
      <c r="Q3256" s="1">
        <v>25</v>
      </c>
      <c r="R3256" s="1">
        <v>25</v>
      </c>
      <c r="S3256" s="1">
        <v>0</v>
      </c>
      <c r="T3256" s="1">
        <v>0</v>
      </c>
      <c r="U3256" s="1">
        <v>0</v>
      </c>
      <c r="V3256" s="1" t="str">
        <f t="shared" si="615"/>
        <v>里程返程</v>
      </c>
      <c r="W3256" s="1" t="str">
        <f>"2020"</f>
        <v>2020</v>
      </c>
      <c r="X3256" s="1" t="s">
        <v>35</v>
      </c>
    </row>
    <row r="3257" spans="1:24" x14ac:dyDescent="0.3">
      <c r="A3257" s="1" t="str">
        <f t="shared" si="613"/>
        <v>59828</v>
      </c>
      <c r="B3257" s="1" t="s">
        <v>23</v>
      </c>
      <c r="C3257" s="1" t="s">
        <v>24</v>
      </c>
      <c r="D3257" s="1" t="str">
        <f t="shared" si="614"/>
        <v>9801</v>
      </c>
      <c r="E3257" s="1" t="s">
        <v>25</v>
      </c>
      <c r="F3257" s="1" t="str">
        <f>"465978004"</f>
        <v>465978004</v>
      </c>
      <c r="G3257" s="1" t="s">
        <v>33</v>
      </c>
      <c r="H3257" s="1" t="str">
        <f t="shared" si="606"/>
        <v>20220914</v>
      </c>
      <c r="I3257" s="1" t="str">
        <f>"145145"</f>
        <v>145145</v>
      </c>
      <c r="J3257" s="1" t="s">
        <v>28</v>
      </c>
      <c r="K3257" s="1" t="s">
        <v>28</v>
      </c>
      <c r="L3257" s="1" t="str">
        <f t="shared" si="607"/>
        <v>20220914</v>
      </c>
      <c r="M3257" s="1" t="str">
        <f>"151207"</f>
        <v>151207</v>
      </c>
      <c r="N3257" s="1" t="s">
        <v>97</v>
      </c>
      <c r="O3257" s="1" t="s">
        <v>52</v>
      </c>
      <c r="P3257" s="1" t="s">
        <v>55</v>
      </c>
      <c r="Q3257" s="1">
        <v>25</v>
      </c>
      <c r="R3257" s="1">
        <v>25</v>
      </c>
      <c r="S3257" s="1">
        <v>0</v>
      </c>
      <c r="T3257" s="1">
        <v>0</v>
      </c>
      <c r="U3257" s="1">
        <v>0</v>
      </c>
      <c r="V3257" s="1" t="str">
        <f t="shared" si="615"/>
        <v>里程返程</v>
      </c>
      <c r="W3257" s="1" t="str">
        <f>"0820"</f>
        <v>0820</v>
      </c>
      <c r="X3257" s="1" t="s">
        <v>35</v>
      </c>
    </row>
    <row r="3258" spans="1:24" x14ac:dyDescent="0.3">
      <c r="A3258" s="1" t="str">
        <f t="shared" si="613"/>
        <v>59828</v>
      </c>
      <c r="B3258" s="1" t="s">
        <v>23</v>
      </c>
      <c r="C3258" s="1" t="s">
        <v>24</v>
      </c>
      <c r="D3258" s="1" t="str">
        <f t="shared" si="614"/>
        <v>9801</v>
      </c>
      <c r="E3258" s="1" t="s">
        <v>25</v>
      </c>
      <c r="F3258" s="1" t="str">
        <f>"608812289"</f>
        <v>608812289</v>
      </c>
      <c r="G3258" s="1" t="s">
        <v>33</v>
      </c>
      <c r="H3258" s="1" t="str">
        <f t="shared" si="606"/>
        <v>20220914</v>
      </c>
      <c r="I3258" s="1" t="str">
        <f>"145149"</f>
        <v>145149</v>
      </c>
      <c r="J3258" s="1" t="s">
        <v>28</v>
      </c>
      <c r="K3258" s="1" t="s">
        <v>28</v>
      </c>
      <c r="L3258" s="1" t="str">
        <f t="shared" si="607"/>
        <v>20220914</v>
      </c>
      <c r="M3258" s="1" t="str">
        <f>"151212"</f>
        <v>151212</v>
      </c>
      <c r="N3258" s="1" t="s">
        <v>97</v>
      </c>
      <c r="O3258" s="1" t="s">
        <v>52</v>
      </c>
      <c r="P3258" s="1" t="s">
        <v>55</v>
      </c>
      <c r="Q3258" s="1">
        <v>25</v>
      </c>
      <c r="R3258" s="1">
        <v>25</v>
      </c>
      <c r="S3258" s="1">
        <v>0</v>
      </c>
      <c r="T3258" s="1">
        <v>0</v>
      </c>
      <c r="U3258" s="1">
        <v>0</v>
      </c>
      <c r="V3258" s="1" t="str">
        <f t="shared" si="615"/>
        <v>里程返程</v>
      </c>
      <c r="W3258" s="1" t="str">
        <f>"0820"</f>
        <v>0820</v>
      </c>
      <c r="X3258" s="1" t="s">
        <v>35</v>
      </c>
    </row>
    <row r="3259" spans="1:24" x14ac:dyDescent="0.3">
      <c r="A3259" s="1" t="str">
        <f t="shared" si="613"/>
        <v>59828</v>
      </c>
      <c r="B3259" s="1" t="s">
        <v>23</v>
      </c>
      <c r="C3259" s="1" t="s">
        <v>24</v>
      </c>
      <c r="D3259" s="1" t="str">
        <f t="shared" si="614"/>
        <v>9801</v>
      </c>
      <c r="E3259" s="1" t="s">
        <v>25</v>
      </c>
      <c r="F3259" s="1" t="str">
        <f>"4226FD0198880400C821002000000015"</f>
        <v>4226FD0198880400C821002000000015</v>
      </c>
      <c r="G3259" s="1" t="s">
        <v>64</v>
      </c>
      <c r="H3259" s="1" t="str">
        <f t="shared" si="606"/>
        <v>20220914</v>
      </c>
      <c r="I3259" s="1" t="str">
        <f>"155302"</f>
        <v>155302</v>
      </c>
      <c r="J3259" s="1" t="s">
        <v>28</v>
      </c>
      <c r="K3259" s="1" t="s">
        <v>28</v>
      </c>
      <c r="L3259" s="1" t="str">
        <f t="shared" si="607"/>
        <v>20220914</v>
      </c>
      <c r="M3259" s="1" t="str">
        <f>"162838"</f>
        <v>162838</v>
      </c>
      <c r="N3259" s="1" t="s">
        <v>52</v>
      </c>
      <c r="O3259" s="1" t="s">
        <v>52</v>
      </c>
      <c r="P3259" s="1" t="s">
        <v>55</v>
      </c>
      <c r="Q3259" s="1">
        <v>13</v>
      </c>
      <c r="R3259" s="1">
        <v>0</v>
      </c>
      <c r="S3259" s="1">
        <v>13</v>
      </c>
      <c r="T3259" s="1">
        <v>0</v>
      </c>
      <c r="U3259" s="1">
        <v>0</v>
      </c>
      <c r="V3259" s="1" t="str">
        <f t="shared" si="615"/>
        <v>里程返程</v>
      </c>
      <c r="W3259" s="1" t="str">
        <f>"0620"</f>
        <v>0620</v>
      </c>
      <c r="X3259" s="1" t="s">
        <v>29</v>
      </c>
    </row>
    <row r="3260" spans="1:24" x14ac:dyDescent="0.3">
      <c r="A3260" s="1" t="str">
        <f t="shared" si="613"/>
        <v>59828</v>
      </c>
      <c r="B3260" s="1" t="s">
        <v>23</v>
      </c>
      <c r="C3260" s="1" t="s">
        <v>24</v>
      </c>
      <c r="D3260" s="1" t="str">
        <f t="shared" si="614"/>
        <v>9801</v>
      </c>
      <c r="E3260" s="1" t="s">
        <v>25</v>
      </c>
      <c r="F3260" s="1" t="str">
        <f>"42AFE60209880400C834002000000015"</f>
        <v>42AFE60209880400C834002000000015</v>
      </c>
      <c r="G3260" s="1" t="s">
        <v>74</v>
      </c>
      <c r="H3260" s="1" t="str">
        <f t="shared" si="606"/>
        <v>20220914</v>
      </c>
      <c r="I3260" s="1" t="str">
        <f>"161456"</f>
        <v>161456</v>
      </c>
      <c r="J3260" s="1" t="s">
        <v>80</v>
      </c>
      <c r="K3260" s="1" t="s">
        <v>52</v>
      </c>
      <c r="L3260" s="1" t="str">
        <f t="shared" si="607"/>
        <v>20220914</v>
      </c>
      <c r="M3260" s="1" t="str">
        <f>"162834"</f>
        <v>162834</v>
      </c>
      <c r="N3260" s="1" t="s">
        <v>52</v>
      </c>
      <c r="O3260" s="1" t="s">
        <v>52</v>
      </c>
      <c r="P3260" s="1" t="s">
        <v>68</v>
      </c>
      <c r="Q3260" s="1">
        <v>13</v>
      </c>
      <c r="R3260" s="1">
        <v>0</v>
      </c>
      <c r="S3260" s="1">
        <v>0</v>
      </c>
      <c r="T3260" s="1">
        <v>13</v>
      </c>
      <c r="U3260" s="1">
        <v>0</v>
      </c>
      <c r="V3260" s="1" t="str">
        <f t="shared" si="615"/>
        <v>里程返程</v>
      </c>
      <c r="W3260" s="1" t="str">
        <f>"0020"</f>
        <v>0020</v>
      </c>
      <c r="X3260" s="1" t="s">
        <v>29</v>
      </c>
    </row>
    <row r="3261" spans="1:24" x14ac:dyDescent="0.3">
      <c r="A3261" s="1" t="str">
        <f t="shared" ref="A3261:A3292" si="616">"59829"</f>
        <v>59829</v>
      </c>
      <c r="B3261" s="1" t="s">
        <v>47</v>
      </c>
      <c r="C3261" s="1" t="s">
        <v>48</v>
      </c>
      <c r="D3261" s="1" t="str">
        <f t="shared" ref="D3261:D3272" si="617">"9806"</f>
        <v>9806</v>
      </c>
      <c r="E3261" s="1" t="s">
        <v>49</v>
      </c>
      <c r="F3261" s="1" t="str">
        <f>"927551509"</f>
        <v>927551509</v>
      </c>
      <c r="G3261" s="1" t="s">
        <v>38</v>
      </c>
      <c r="H3261" s="1" t="str">
        <f t="shared" ref="H3261:H3310" si="618">"20220914"</f>
        <v>20220914</v>
      </c>
      <c r="I3261" s="1" t="str">
        <f>"073019"</f>
        <v>073019</v>
      </c>
      <c r="J3261" s="1" t="s">
        <v>28</v>
      </c>
      <c r="K3261" s="1" t="s">
        <v>28</v>
      </c>
      <c r="L3261" s="1" t="str">
        <f t="shared" ref="L3261:L3310" si="619">"20220914"</f>
        <v>20220914</v>
      </c>
      <c r="M3261" s="1" t="str">
        <f>"073827"</f>
        <v>073827</v>
      </c>
      <c r="N3261" s="1" t="s">
        <v>63</v>
      </c>
      <c r="O3261" s="1" t="s">
        <v>28</v>
      </c>
      <c r="P3261" s="1" t="s">
        <v>55</v>
      </c>
      <c r="Q3261" s="1">
        <v>25</v>
      </c>
      <c r="R3261" s="1">
        <v>0</v>
      </c>
      <c r="S3261" s="1">
        <v>25</v>
      </c>
      <c r="T3261" s="1">
        <v>0</v>
      </c>
      <c r="U3261" s="1">
        <v>0</v>
      </c>
      <c r="V3261" s="1" t="str">
        <f t="shared" si="615"/>
        <v>里程返程</v>
      </c>
      <c r="W3261" s="1" t="str">
        <f>"0820"</f>
        <v>0820</v>
      </c>
      <c r="X3261" s="1" t="s">
        <v>35</v>
      </c>
    </row>
    <row r="3262" spans="1:24" x14ac:dyDescent="0.3">
      <c r="A3262" s="1" t="str">
        <f t="shared" si="616"/>
        <v>59829</v>
      </c>
      <c r="B3262" s="1" t="s">
        <v>47</v>
      </c>
      <c r="C3262" s="1" t="s">
        <v>48</v>
      </c>
      <c r="D3262" s="1" t="str">
        <f t="shared" si="617"/>
        <v>9806</v>
      </c>
      <c r="E3262" s="1" t="s">
        <v>49</v>
      </c>
      <c r="F3262" s="1" t="str">
        <f>"538267473"</f>
        <v>538267473</v>
      </c>
      <c r="G3262" s="1" t="s">
        <v>33</v>
      </c>
      <c r="H3262" s="1" t="str">
        <f t="shared" si="618"/>
        <v>20220914</v>
      </c>
      <c r="I3262" s="1" t="str">
        <f>"073026"</f>
        <v>073026</v>
      </c>
      <c r="J3262" s="1" t="s">
        <v>28</v>
      </c>
      <c r="K3262" s="1" t="s">
        <v>28</v>
      </c>
      <c r="L3262" s="1" t="str">
        <f t="shared" si="619"/>
        <v>20220914</v>
      </c>
      <c r="M3262" s="1" t="str">
        <f>"074548"</f>
        <v>074548</v>
      </c>
      <c r="N3262" s="1" t="s">
        <v>99</v>
      </c>
      <c r="O3262" s="1" t="s">
        <v>28</v>
      </c>
      <c r="P3262" s="1" t="s">
        <v>55</v>
      </c>
      <c r="Q3262" s="1">
        <v>25</v>
      </c>
      <c r="R3262" s="1">
        <v>0</v>
      </c>
      <c r="S3262" s="1">
        <v>25</v>
      </c>
      <c r="T3262" s="1">
        <v>0</v>
      </c>
      <c r="U3262" s="1">
        <v>0</v>
      </c>
      <c r="V3262" s="1" t="str">
        <f t="shared" si="615"/>
        <v>里程返程</v>
      </c>
      <c r="W3262" s="1" t="str">
        <f>"0820"</f>
        <v>0820</v>
      </c>
      <c r="X3262" s="1" t="s">
        <v>35</v>
      </c>
    </row>
    <row r="3263" spans="1:24" x14ac:dyDescent="0.3">
      <c r="A3263" s="1" t="str">
        <f t="shared" si="616"/>
        <v>59829</v>
      </c>
      <c r="B3263" s="1" t="s">
        <v>47</v>
      </c>
      <c r="C3263" s="1" t="s">
        <v>48</v>
      </c>
      <c r="D3263" s="1" t="str">
        <f t="shared" si="617"/>
        <v>9806</v>
      </c>
      <c r="E3263" s="1" t="s">
        <v>49</v>
      </c>
      <c r="F3263" s="1" t="str">
        <f>"0141330172880400432494C60018080E"</f>
        <v>0141330172880400432494C60018080E</v>
      </c>
      <c r="G3263" s="1" t="s">
        <v>59</v>
      </c>
      <c r="H3263" s="1" t="str">
        <f t="shared" si="618"/>
        <v>20220914</v>
      </c>
      <c r="I3263" s="1" t="str">
        <f>"073036"</f>
        <v>073036</v>
      </c>
      <c r="J3263" s="1" t="s">
        <v>28</v>
      </c>
      <c r="K3263" s="1" t="s">
        <v>28</v>
      </c>
      <c r="L3263" s="1" t="str">
        <f t="shared" si="619"/>
        <v>20220914</v>
      </c>
      <c r="M3263" s="1" t="str">
        <f>"073825"</f>
        <v>073825</v>
      </c>
      <c r="N3263" s="1" t="s">
        <v>63</v>
      </c>
      <c r="O3263" s="1" t="s">
        <v>28</v>
      </c>
      <c r="P3263" s="1" t="s">
        <v>55</v>
      </c>
      <c r="Q3263" s="1">
        <v>25</v>
      </c>
      <c r="R3263" s="1">
        <v>25</v>
      </c>
      <c r="S3263" s="1">
        <v>0</v>
      </c>
      <c r="T3263" s="1">
        <v>0</v>
      </c>
      <c r="U3263" s="1">
        <v>0</v>
      </c>
      <c r="V3263" s="1" t="str">
        <f t="shared" si="615"/>
        <v>里程返程</v>
      </c>
      <c r="W3263" s="1" t="str">
        <f>"0020"</f>
        <v>0020</v>
      </c>
      <c r="X3263" s="1" t="s">
        <v>29</v>
      </c>
    </row>
    <row r="3264" spans="1:24" x14ac:dyDescent="0.3">
      <c r="A3264" s="1" t="str">
        <f t="shared" si="616"/>
        <v>59829</v>
      </c>
      <c r="B3264" s="1" t="s">
        <v>47</v>
      </c>
      <c r="C3264" s="1" t="s">
        <v>48</v>
      </c>
      <c r="D3264" s="1" t="str">
        <f t="shared" si="617"/>
        <v>9806</v>
      </c>
      <c r="E3264" s="1" t="s">
        <v>49</v>
      </c>
      <c r="F3264" s="1" t="str">
        <f>"126D55163C880400C814002000000019"</f>
        <v>126D55163C880400C814002000000019</v>
      </c>
      <c r="G3264" s="1" t="s">
        <v>59</v>
      </c>
      <c r="H3264" s="1" t="str">
        <f t="shared" si="618"/>
        <v>20220914</v>
      </c>
      <c r="I3264" s="1" t="str">
        <f>"073038"</f>
        <v>073038</v>
      </c>
      <c r="J3264" s="1" t="s">
        <v>28</v>
      </c>
      <c r="K3264" s="1" t="s">
        <v>28</v>
      </c>
      <c r="L3264" s="1" t="str">
        <f t="shared" si="619"/>
        <v>20220914</v>
      </c>
      <c r="M3264" s="1" t="str">
        <f>"073823"</f>
        <v>073823</v>
      </c>
      <c r="N3264" s="1" t="s">
        <v>63</v>
      </c>
      <c r="O3264" s="1" t="s">
        <v>28</v>
      </c>
      <c r="P3264" s="1" t="s">
        <v>55</v>
      </c>
      <c r="Q3264" s="1">
        <v>25</v>
      </c>
      <c r="R3264" s="1">
        <v>0</v>
      </c>
      <c r="S3264" s="1">
        <v>25</v>
      </c>
      <c r="T3264" s="1">
        <v>0</v>
      </c>
      <c r="U3264" s="1">
        <v>0</v>
      </c>
      <c r="V3264" s="1" t="str">
        <f t="shared" si="615"/>
        <v>里程返程</v>
      </c>
      <c r="W3264" s="1" t="str">
        <f>"0620"</f>
        <v>0620</v>
      </c>
      <c r="X3264" s="1" t="s">
        <v>29</v>
      </c>
    </row>
    <row r="3265" spans="1:24" x14ac:dyDescent="0.3">
      <c r="A3265" s="1" t="str">
        <f t="shared" si="616"/>
        <v>59829</v>
      </c>
      <c r="B3265" s="1" t="s">
        <v>47</v>
      </c>
      <c r="C3265" s="1" t="s">
        <v>48</v>
      </c>
      <c r="D3265" s="1" t="str">
        <f t="shared" si="617"/>
        <v>9806</v>
      </c>
      <c r="E3265" s="1" t="s">
        <v>49</v>
      </c>
      <c r="F3265" s="1" t="str">
        <f>"62C93D1680880400C814002000000019"</f>
        <v>62C93D1680880400C814002000000019</v>
      </c>
      <c r="G3265" s="1" t="s">
        <v>59</v>
      </c>
      <c r="H3265" s="1" t="str">
        <f t="shared" si="618"/>
        <v>20220914</v>
      </c>
      <c r="I3265" s="1" t="str">
        <f>"073040"</f>
        <v>073040</v>
      </c>
      <c r="J3265" s="1" t="s">
        <v>28</v>
      </c>
      <c r="K3265" s="1" t="s">
        <v>28</v>
      </c>
      <c r="L3265" s="1" t="str">
        <f t="shared" si="619"/>
        <v>20220914</v>
      </c>
      <c r="M3265" s="1" t="str">
        <f>"073818"</f>
        <v>073818</v>
      </c>
      <c r="N3265" s="1" t="s">
        <v>63</v>
      </c>
      <c r="O3265" s="1" t="s">
        <v>28</v>
      </c>
      <c r="P3265" s="1" t="s">
        <v>55</v>
      </c>
      <c r="Q3265" s="1">
        <v>25</v>
      </c>
      <c r="R3265" s="1">
        <v>0</v>
      </c>
      <c r="S3265" s="1">
        <v>25</v>
      </c>
      <c r="T3265" s="1">
        <v>0</v>
      </c>
      <c r="U3265" s="1">
        <v>0</v>
      </c>
      <c r="V3265" s="1" t="str">
        <f t="shared" si="615"/>
        <v>里程返程</v>
      </c>
      <c r="W3265" s="1" t="str">
        <f>"0620"</f>
        <v>0620</v>
      </c>
      <c r="X3265" s="1" t="s">
        <v>29</v>
      </c>
    </row>
    <row r="3266" spans="1:24" x14ac:dyDescent="0.3">
      <c r="A3266" s="1" t="str">
        <f t="shared" si="616"/>
        <v>59829</v>
      </c>
      <c r="B3266" s="1" t="s">
        <v>47</v>
      </c>
      <c r="C3266" s="1" t="s">
        <v>48</v>
      </c>
      <c r="D3266" s="1" t="str">
        <f t="shared" si="617"/>
        <v>9806</v>
      </c>
      <c r="E3266" s="1" t="s">
        <v>49</v>
      </c>
      <c r="F3266" s="1" t="str">
        <f>"F238370AF7880400C810002000000016"</f>
        <v>F238370AF7880400C810002000000016</v>
      </c>
      <c r="G3266" s="1" t="s">
        <v>59</v>
      </c>
      <c r="H3266" s="1" t="str">
        <f t="shared" si="618"/>
        <v>20220914</v>
      </c>
      <c r="I3266" s="1" t="str">
        <f>"073047"</f>
        <v>073047</v>
      </c>
      <c r="J3266" s="1" t="s">
        <v>28</v>
      </c>
      <c r="K3266" s="1" t="s">
        <v>28</v>
      </c>
      <c r="L3266" s="1" t="str">
        <f t="shared" si="619"/>
        <v>20220914</v>
      </c>
      <c r="M3266" s="1" t="str">
        <f>"073829"</f>
        <v>073829</v>
      </c>
      <c r="N3266" s="1" t="s">
        <v>63</v>
      </c>
      <c r="O3266" s="1" t="s">
        <v>28</v>
      </c>
      <c r="P3266" s="1" t="s">
        <v>55</v>
      </c>
      <c r="Q3266" s="1">
        <v>25</v>
      </c>
      <c r="R3266" s="1">
        <v>0</v>
      </c>
      <c r="S3266" s="1">
        <v>25</v>
      </c>
      <c r="T3266" s="1">
        <v>0</v>
      </c>
      <c r="U3266" s="1">
        <v>0</v>
      </c>
      <c r="V3266" s="1" t="str">
        <f t="shared" si="615"/>
        <v>里程返程</v>
      </c>
      <c r="W3266" s="1" t="str">
        <f>"0620"</f>
        <v>0620</v>
      </c>
      <c r="X3266" s="1" t="s">
        <v>29</v>
      </c>
    </row>
    <row r="3267" spans="1:24" x14ac:dyDescent="0.3">
      <c r="A3267" s="1" t="str">
        <f t="shared" si="616"/>
        <v>59829</v>
      </c>
      <c r="B3267" s="1" t="s">
        <v>47</v>
      </c>
      <c r="C3267" s="1" t="s">
        <v>48</v>
      </c>
      <c r="D3267" s="1" t="str">
        <f t="shared" si="617"/>
        <v>9806</v>
      </c>
      <c r="E3267" s="1" t="s">
        <v>49</v>
      </c>
      <c r="F3267" s="1" t="str">
        <f>"652006485"</f>
        <v>652006485</v>
      </c>
      <c r="G3267" s="1" t="s">
        <v>33</v>
      </c>
      <c r="H3267" s="1" t="str">
        <f t="shared" si="618"/>
        <v>20220914</v>
      </c>
      <c r="I3267" s="1" t="str">
        <f>"073054"</f>
        <v>073054</v>
      </c>
      <c r="J3267" s="1" t="s">
        <v>28</v>
      </c>
      <c r="K3267" s="1" t="s">
        <v>28</v>
      </c>
      <c r="L3267" s="1" t="str">
        <f t="shared" si="619"/>
        <v>20220914</v>
      </c>
      <c r="M3267" s="1" t="str">
        <f>"073820"</f>
        <v>073820</v>
      </c>
      <c r="N3267" s="1" t="s">
        <v>63</v>
      </c>
      <c r="O3267" s="1" t="s">
        <v>28</v>
      </c>
      <c r="P3267" s="1" t="s">
        <v>55</v>
      </c>
      <c r="Q3267" s="1">
        <v>25</v>
      </c>
      <c r="R3267" s="1">
        <v>0</v>
      </c>
      <c r="S3267" s="1">
        <v>25</v>
      </c>
      <c r="T3267" s="1">
        <v>0</v>
      </c>
      <c r="U3267" s="1">
        <v>0</v>
      </c>
      <c r="V3267" s="1" t="str">
        <f t="shared" si="615"/>
        <v>里程返程</v>
      </c>
      <c r="W3267" s="1" t="str">
        <f>"0820"</f>
        <v>0820</v>
      </c>
      <c r="X3267" s="1" t="s">
        <v>35</v>
      </c>
    </row>
    <row r="3268" spans="1:24" x14ac:dyDescent="0.3">
      <c r="A3268" s="1" t="str">
        <f t="shared" si="616"/>
        <v>59829</v>
      </c>
      <c r="B3268" s="1" t="s">
        <v>47</v>
      </c>
      <c r="C3268" s="1" t="s">
        <v>48</v>
      </c>
      <c r="D3268" s="1" t="str">
        <f t="shared" si="617"/>
        <v>9806</v>
      </c>
      <c r="E3268" s="1" t="s">
        <v>49</v>
      </c>
      <c r="F3268" s="1" t="str">
        <f>"1697487813"</f>
        <v>1697487813</v>
      </c>
      <c r="G3268" s="1" t="s">
        <v>33</v>
      </c>
      <c r="H3268" s="1" t="str">
        <f t="shared" si="618"/>
        <v>20220914</v>
      </c>
      <c r="I3268" s="1" t="str">
        <f>"073057"</f>
        <v>073057</v>
      </c>
      <c r="J3268" s="1" t="s">
        <v>28</v>
      </c>
      <c r="K3268" s="1" t="s">
        <v>28</v>
      </c>
      <c r="L3268" s="1" t="str">
        <f t="shared" si="619"/>
        <v>20220914</v>
      </c>
      <c r="M3268" s="1" t="str">
        <f>"074551"</f>
        <v>074551</v>
      </c>
      <c r="N3268" s="1" t="s">
        <v>99</v>
      </c>
      <c r="O3268" s="1" t="s">
        <v>28</v>
      </c>
      <c r="P3268" s="1" t="s">
        <v>55</v>
      </c>
      <c r="Q3268" s="1">
        <v>25</v>
      </c>
      <c r="R3268" s="1">
        <v>0</v>
      </c>
      <c r="S3268" s="1">
        <v>25</v>
      </c>
      <c r="T3268" s="1">
        <v>0</v>
      </c>
      <c r="U3268" s="1">
        <v>0</v>
      </c>
      <c r="V3268" s="1" t="str">
        <f t="shared" si="615"/>
        <v>里程返程</v>
      </c>
      <c r="W3268" s="1" t="str">
        <f>"0820"</f>
        <v>0820</v>
      </c>
      <c r="X3268" s="1" t="s">
        <v>35</v>
      </c>
    </row>
    <row r="3269" spans="1:24" x14ac:dyDescent="0.3">
      <c r="A3269" s="1" t="str">
        <f t="shared" si="616"/>
        <v>59829</v>
      </c>
      <c r="B3269" s="1" t="s">
        <v>47</v>
      </c>
      <c r="C3269" s="1" t="s">
        <v>48</v>
      </c>
      <c r="D3269" s="1" t="str">
        <f t="shared" si="617"/>
        <v>9806</v>
      </c>
      <c r="E3269" s="1" t="s">
        <v>49</v>
      </c>
      <c r="F3269" s="1" t="str">
        <f>"7511161863006423"</f>
        <v>7511161863006423</v>
      </c>
      <c r="G3269" s="1" t="s">
        <v>33</v>
      </c>
      <c r="H3269" s="1" t="str">
        <f t="shared" si="618"/>
        <v>20220914</v>
      </c>
      <c r="I3269" s="1" t="str">
        <f>"073059"</f>
        <v>073059</v>
      </c>
      <c r="J3269" s="1" t="s">
        <v>28</v>
      </c>
      <c r="K3269" s="1" t="s">
        <v>28</v>
      </c>
      <c r="L3269" s="1" t="str">
        <f t="shared" si="619"/>
        <v>20220914</v>
      </c>
      <c r="M3269" s="1" t="str">
        <f>"074554"</f>
        <v>074554</v>
      </c>
      <c r="N3269" s="1" t="s">
        <v>99</v>
      </c>
      <c r="O3269" s="1" t="s">
        <v>28</v>
      </c>
      <c r="P3269" s="1" t="s">
        <v>55</v>
      </c>
      <c r="Q3269" s="1">
        <v>25</v>
      </c>
      <c r="R3269" s="1">
        <v>25</v>
      </c>
      <c r="S3269" s="1">
        <v>0</v>
      </c>
      <c r="T3269" s="1">
        <v>0</v>
      </c>
      <c r="U3269" s="1">
        <v>0</v>
      </c>
      <c r="V3269" s="1" t="str">
        <f t="shared" si="615"/>
        <v>里程返程</v>
      </c>
      <c r="W3269" s="1" t="str">
        <f>"088B"</f>
        <v>088B</v>
      </c>
      <c r="X3269" s="1" t="s">
        <v>109</v>
      </c>
    </row>
    <row r="3270" spans="1:24" x14ac:dyDescent="0.3">
      <c r="A3270" s="1" t="str">
        <f t="shared" si="616"/>
        <v>59829</v>
      </c>
      <c r="B3270" s="1" t="s">
        <v>47</v>
      </c>
      <c r="C3270" s="1" t="s">
        <v>48</v>
      </c>
      <c r="D3270" s="1" t="str">
        <f t="shared" si="617"/>
        <v>9806</v>
      </c>
      <c r="E3270" s="1" t="s">
        <v>49</v>
      </c>
      <c r="F3270" s="1" t="str">
        <f>"7111220514006728"</f>
        <v>7111220514006728</v>
      </c>
      <c r="G3270" s="1" t="s">
        <v>33</v>
      </c>
      <c r="H3270" s="1" t="str">
        <f t="shared" si="618"/>
        <v>20220914</v>
      </c>
      <c r="I3270" s="1" t="str">
        <f>"073102"</f>
        <v>073102</v>
      </c>
      <c r="J3270" s="1" t="s">
        <v>28</v>
      </c>
      <c r="K3270" s="1" t="s">
        <v>28</v>
      </c>
      <c r="L3270" s="1" t="str">
        <f t="shared" si="619"/>
        <v>20220914</v>
      </c>
      <c r="M3270" s="1" t="str">
        <f>"074557"</f>
        <v>074557</v>
      </c>
      <c r="N3270" s="1" t="s">
        <v>99</v>
      </c>
      <c r="O3270" s="1" t="s">
        <v>28</v>
      </c>
      <c r="P3270" s="1" t="s">
        <v>55</v>
      </c>
      <c r="Q3270" s="1">
        <v>25</v>
      </c>
      <c r="R3270" s="1">
        <v>25</v>
      </c>
      <c r="S3270" s="1">
        <v>0</v>
      </c>
      <c r="T3270" s="1">
        <v>0</v>
      </c>
      <c r="U3270" s="1">
        <v>0</v>
      </c>
      <c r="V3270" s="1" t="str">
        <f t="shared" si="615"/>
        <v>里程返程</v>
      </c>
      <c r="W3270" s="1" t="str">
        <f>"088B"</f>
        <v>088B</v>
      </c>
      <c r="X3270" s="1" t="s">
        <v>109</v>
      </c>
    </row>
    <row r="3271" spans="1:24" x14ac:dyDescent="0.3">
      <c r="A3271" s="1" t="str">
        <f t="shared" si="616"/>
        <v>59829</v>
      </c>
      <c r="B3271" s="1" t="s">
        <v>47</v>
      </c>
      <c r="C3271" s="1" t="s">
        <v>48</v>
      </c>
      <c r="D3271" s="1" t="str">
        <f t="shared" si="617"/>
        <v>9806</v>
      </c>
      <c r="E3271" s="1" t="s">
        <v>49</v>
      </c>
      <c r="F3271" s="1" t="str">
        <f>"22861B13AC28040080CED9985D913018"</f>
        <v>22861B13AC28040080CED9985D913018</v>
      </c>
      <c r="G3271" s="1" t="s">
        <v>58</v>
      </c>
      <c r="H3271" s="1" t="str">
        <f t="shared" si="618"/>
        <v>20220914</v>
      </c>
      <c r="I3271" s="1" t="str">
        <f>"073107"</f>
        <v>073107</v>
      </c>
      <c r="J3271" s="1" t="s">
        <v>28</v>
      </c>
      <c r="K3271" s="1" t="s">
        <v>28</v>
      </c>
      <c r="L3271" s="1" t="str">
        <f t="shared" si="619"/>
        <v>20220914</v>
      </c>
      <c r="M3271" s="1" t="str">
        <f>"073816"</f>
        <v>073816</v>
      </c>
      <c r="N3271" s="1" t="s">
        <v>63</v>
      </c>
      <c r="O3271" s="1" t="s">
        <v>28</v>
      </c>
      <c r="P3271" s="1" t="s">
        <v>55</v>
      </c>
      <c r="Q3271" s="1">
        <v>25</v>
      </c>
      <c r="R3271" s="1">
        <v>0</v>
      </c>
      <c r="S3271" s="1">
        <v>25</v>
      </c>
      <c r="T3271" s="1">
        <v>0</v>
      </c>
      <c r="U3271" s="1">
        <v>0</v>
      </c>
      <c r="V3271" s="1" t="str">
        <f t="shared" si="615"/>
        <v>里程返程</v>
      </c>
      <c r="W3271" s="1" t="str">
        <f>"0620"</f>
        <v>0620</v>
      </c>
      <c r="X3271" s="1" t="s">
        <v>29</v>
      </c>
    </row>
    <row r="3272" spans="1:24" x14ac:dyDescent="0.3">
      <c r="A3272" s="1" t="str">
        <f t="shared" si="616"/>
        <v>59829</v>
      </c>
      <c r="B3272" s="1" t="s">
        <v>47</v>
      </c>
      <c r="C3272" s="1" t="s">
        <v>48</v>
      </c>
      <c r="D3272" s="1" t="str">
        <f t="shared" si="617"/>
        <v>9806</v>
      </c>
      <c r="E3272" s="1" t="s">
        <v>49</v>
      </c>
      <c r="F3272" s="1" t="str">
        <f>"1172922261"</f>
        <v>1172922261</v>
      </c>
      <c r="G3272" s="1" t="s">
        <v>33</v>
      </c>
      <c r="H3272" s="1" t="str">
        <f t="shared" si="618"/>
        <v>20220914</v>
      </c>
      <c r="I3272" s="1" t="str">
        <f>"073111"</f>
        <v>073111</v>
      </c>
      <c r="J3272" s="1" t="s">
        <v>28</v>
      </c>
      <c r="K3272" s="1" t="s">
        <v>28</v>
      </c>
      <c r="L3272" s="1" t="str">
        <f t="shared" si="619"/>
        <v>20220914</v>
      </c>
      <c r="M3272" s="1" t="str">
        <f>"073814"</f>
        <v>073814</v>
      </c>
      <c r="N3272" s="1" t="s">
        <v>63</v>
      </c>
      <c r="O3272" s="1" t="s">
        <v>28</v>
      </c>
      <c r="P3272" s="1" t="s">
        <v>55</v>
      </c>
      <c r="Q3272" s="1">
        <v>25</v>
      </c>
      <c r="R3272" s="1">
        <v>25</v>
      </c>
      <c r="S3272" s="1">
        <v>0</v>
      </c>
      <c r="T3272" s="1">
        <v>0</v>
      </c>
      <c r="U3272" s="1">
        <v>0</v>
      </c>
      <c r="V3272" s="1" t="str">
        <f t="shared" si="615"/>
        <v>里程返程</v>
      </c>
      <c r="W3272" s="1" t="str">
        <f>"2120"</f>
        <v>2120</v>
      </c>
      <c r="X3272" s="1" t="s">
        <v>35</v>
      </c>
    </row>
    <row r="3273" spans="1:24" x14ac:dyDescent="0.3">
      <c r="A3273" s="1" t="str">
        <f t="shared" si="616"/>
        <v>59829</v>
      </c>
      <c r="B3273" s="1" t="s">
        <v>47</v>
      </c>
      <c r="C3273" s="1" t="s">
        <v>48</v>
      </c>
      <c r="D3273" s="1" t="str">
        <f t="shared" ref="D3273:D3288" si="620">"9803"</f>
        <v>9803</v>
      </c>
      <c r="E3273" s="1" t="s">
        <v>32</v>
      </c>
      <c r="F3273" s="1" t="str">
        <f>"126377461"</f>
        <v>126377461</v>
      </c>
      <c r="G3273" s="1" t="s">
        <v>33</v>
      </c>
      <c r="H3273" s="1" t="str">
        <f t="shared" si="618"/>
        <v>20220914</v>
      </c>
      <c r="I3273" s="1" t="str">
        <f>"081058"</f>
        <v>081058</v>
      </c>
      <c r="J3273" s="1" t="s">
        <v>28</v>
      </c>
      <c r="K3273" s="1" t="s">
        <v>28</v>
      </c>
      <c r="L3273" s="1" t="str">
        <f t="shared" si="619"/>
        <v>20220914</v>
      </c>
      <c r="M3273" s="1" t="str">
        <f>"082950"</f>
        <v>082950</v>
      </c>
      <c r="N3273" s="1" t="s">
        <v>34</v>
      </c>
      <c r="O3273" s="1" t="s">
        <v>34</v>
      </c>
      <c r="P3273" s="1" t="s">
        <v>55</v>
      </c>
      <c r="Q3273" s="1">
        <v>25</v>
      </c>
      <c r="R3273" s="1">
        <v>25</v>
      </c>
      <c r="S3273" s="1">
        <v>0</v>
      </c>
      <c r="T3273" s="1">
        <v>0</v>
      </c>
      <c r="U3273" s="1">
        <v>0</v>
      </c>
      <c r="V3273" s="1" t="str">
        <f t="shared" ref="V3273:V3295" si="621">"里程去程"</f>
        <v>里程去程</v>
      </c>
      <c r="W3273" s="1" t="str">
        <f>"0320"</f>
        <v>0320</v>
      </c>
      <c r="X3273" s="1" t="s">
        <v>35</v>
      </c>
    </row>
    <row r="3274" spans="1:24" x14ac:dyDescent="0.3">
      <c r="A3274" s="1" t="str">
        <f t="shared" si="616"/>
        <v>59829</v>
      </c>
      <c r="B3274" s="1" t="s">
        <v>47</v>
      </c>
      <c r="C3274" s="1" t="s">
        <v>48</v>
      </c>
      <c r="D3274" s="1" t="str">
        <f t="shared" si="620"/>
        <v>9803</v>
      </c>
      <c r="E3274" s="1" t="s">
        <v>32</v>
      </c>
      <c r="F3274" s="1" t="str">
        <f>"1655832465"</f>
        <v>1655832465</v>
      </c>
      <c r="G3274" s="1" t="s">
        <v>33</v>
      </c>
      <c r="H3274" s="1" t="str">
        <f t="shared" si="618"/>
        <v>20220914</v>
      </c>
      <c r="I3274" s="1" t="str">
        <f>"081101"</f>
        <v>081101</v>
      </c>
      <c r="J3274" s="1" t="s">
        <v>28</v>
      </c>
      <c r="K3274" s="1" t="s">
        <v>28</v>
      </c>
      <c r="L3274" s="1" t="str">
        <f t="shared" si="619"/>
        <v>20220914</v>
      </c>
      <c r="M3274" s="1" t="str">
        <f>"082943"</f>
        <v>082943</v>
      </c>
      <c r="N3274" s="1" t="s">
        <v>34</v>
      </c>
      <c r="O3274" s="1" t="s">
        <v>34</v>
      </c>
      <c r="P3274" s="1" t="s">
        <v>55</v>
      </c>
      <c r="Q3274" s="1">
        <v>25</v>
      </c>
      <c r="R3274" s="1">
        <v>25</v>
      </c>
      <c r="S3274" s="1">
        <v>0</v>
      </c>
      <c r="T3274" s="1">
        <v>0</v>
      </c>
      <c r="U3274" s="1">
        <v>0</v>
      </c>
      <c r="V3274" s="1" t="str">
        <f t="shared" si="621"/>
        <v>里程去程</v>
      </c>
      <c r="W3274" s="1" t="str">
        <f>"0120"</f>
        <v>0120</v>
      </c>
      <c r="X3274" s="1" t="s">
        <v>35</v>
      </c>
    </row>
    <row r="3275" spans="1:24" x14ac:dyDescent="0.3">
      <c r="A3275" s="1" t="str">
        <f t="shared" si="616"/>
        <v>59829</v>
      </c>
      <c r="B3275" s="1" t="s">
        <v>47</v>
      </c>
      <c r="C3275" s="1" t="s">
        <v>48</v>
      </c>
      <c r="D3275" s="1" t="str">
        <f t="shared" si="620"/>
        <v>9803</v>
      </c>
      <c r="E3275" s="1" t="s">
        <v>32</v>
      </c>
      <c r="F3275" s="1" t="str">
        <f>"728C0C18EA880400C814002000000019"</f>
        <v>728C0C18EA880400C814002000000019</v>
      </c>
      <c r="G3275" s="1" t="s">
        <v>59</v>
      </c>
      <c r="H3275" s="1" t="str">
        <f t="shared" si="618"/>
        <v>20220914</v>
      </c>
      <c r="I3275" s="1" t="str">
        <f>"081110"</f>
        <v>081110</v>
      </c>
      <c r="J3275" s="1" t="s">
        <v>28</v>
      </c>
      <c r="K3275" s="1" t="s">
        <v>28</v>
      </c>
      <c r="L3275" s="1" t="str">
        <f t="shared" si="619"/>
        <v>20220914</v>
      </c>
      <c r="M3275" s="1" t="str">
        <f>"083004"</f>
        <v>083004</v>
      </c>
      <c r="N3275" s="1" t="s">
        <v>34</v>
      </c>
      <c r="O3275" s="1" t="s">
        <v>34</v>
      </c>
      <c r="P3275" s="1" t="s">
        <v>55</v>
      </c>
      <c r="Q3275" s="1">
        <v>25</v>
      </c>
      <c r="R3275" s="1">
        <v>25</v>
      </c>
      <c r="S3275" s="1">
        <v>0</v>
      </c>
      <c r="T3275" s="1">
        <v>0</v>
      </c>
      <c r="U3275" s="1">
        <v>0</v>
      </c>
      <c r="V3275" s="1" t="str">
        <f t="shared" si="621"/>
        <v>里程去程</v>
      </c>
      <c r="W3275" s="1" t="str">
        <f>"0020"</f>
        <v>0020</v>
      </c>
      <c r="X3275" s="1" t="s">
        <v>29</v>
      </c>
    </row>
    <row r="3276" spans="1:24" x14ac:dyDescent="0.3">
      <c r="A3276" s="1" t="str">
        <f t="shared" si="616"/>
        <v>59829</v>
      </c>
      <c r="B3276" s="1" t="s">
        <v>47</v>
      </c>
      <c r="C3276" s="1" t="s">
        <v>48</v>
      </c>
      <c r="D3276" s="1" t="str">
        <f t="shared" si="620"/>
        <v>9803</v>
      </c>
      <c r="E3276" s="1" t="s">
        <v>32</v>
      </c>
      <c r="F3276" s="1" t="str">
        <f>"91ECE70993280400F700000000000000"</f>
        <v>91ECE70993280400F700000000000000</v>
      </c>
      <c r="G3276" s="1" t="s">
        <v>58</v>
      </c>
      <c r="H3276" s="1" t="str">
        <f t="shared" si="618"/>
        <v>20220914</v>
      </c>
      <c r="I3276" s="1" t="str">
        <f>"081112"</f>
        <v>081112</v>
      </c>
      <c r="J3276" s="1" t="s">
        <v>28</v>
      </c>
      <c r="K3276" s="1" t="s">
        <v>28</v>
      </c>
      <c r="L3276" s="1" t="str">
        <f t="shared" si="619"/>
        <v>20220914</v>
      </c>
      <c r="M3276" s="1" t="str">
        <f>"082948"</f>
        <v>082948</v>
      </c>
      <c r="N3276" s="1" t="s">
        <v>34</v>
      </c>
      <c r="O3276" s="1" t="s">
        <v>34</v>
      </c>
      <c r="P3276" s="1" t="s">
        <v>55</v>
      </c>
      <c r="Q3276" s="1">
        <v>25</v>
      </c>
      <c r="R3276" s="1">
        <v>25</v>
      </c>
      <c r="S3276" s="1">
        <v>0</v>
      </c>
      <c r="T3276" s="1">
        <v>0</v>
      </c>
      <c r="U3276" s="1">
        <v>0</v>
      </c>
      <c r="V3276" s="1" t="str">
        <f t="shared" si="621"/>
        <v>里程去程</v>
      </c>
      <c r="W3276" s="1" t="str">
        <f>"0020"</f>
        <v>0020</v>
      </c>
      <c r="X3276" s="1" t="s">
        <v>29</v>
      </c>
    </row>
    <row r="3277" spans="1:24" x14ac:dyDescent="0.3">
      <c r="A3277" s="1" t="str">
        <f t="shared" si="616"/>
        <v>59829</v>
      </c>
      <c r="B3277" s="1" t="s">
        <v>47</v>
      </c>
      <c r="C3277" s="1" t="s">
        <v>48</v>
      </c>
      <c r="D3277" s="1" t="str">
        <f t="shared" si="620"/>
        <v>9803</v>
      </c>
      <c r="E3277" s="1" t="s">
        <v>32</v>
      </c>
      <c r="F3277" s="1" t="str">
        <f>"52FE0718B3880400C814002000000019"</f>
        <v>52FE0718B3880400C814002000000019</v>
      </c>
      <c r="G3277" s="1" t="s">
        <v>59</v>
      </c>
      <c r="H3277" s="1" t="str">
        <f t="shared" si="618"/>
        <v>20220914</v>
      </c>
      <c r="I3277" s="1" t="str">
        <f>"081118"</f>
        <v>081118</v>
      </c>
      <c r="J3277" s="1" t="s">
        <v>28</v>
      </c>
      <c r="K3277" s="1" t="s">
        <v>28</v>
      </c>
      <c r="L3277" s="1" t="str">
        <f t="shared" si="619"/>
        <v>20220914</v>
      </c>
      <c r="M3277" s="1" t="str">
        <f>"082957"</f>
        <v>082957</v>
      </c>
      <c r="N3277" s="1" t="s">
        <v>34</v>
      </c>
      <c r="O3277" s="1" t="s">
        <v>34</v>
      </c>
      <c r="P3277" s="1" t="s">
        <v>55</v>
      </c>
      <c r="Q3277" s="1">
        <v>25</v>
      </c>
      <c r="R3277" s="1">
        <v>25</v>
      </c>
      <c r="S3277" s="1">
        <v>0</v>
      </c>
      <c r="T3277" s="1">
        <v>0</v>
      </c>
      <c r="U3277" s="1">
        <v>0</v>
      </c>
      <c r="V3277" s="1" t="str">
        <f t="shared" si="621"/>
        <v>里程去程</v>
      </c>
      <c r="W3277" s="1" t="str">
        <f>"0020"</f>
        <v>0020</v>
      </c>
      <c r="X3277" s="1" t="s">
        <v>29</v>
      </c>
    </row>
    <row r="3278" spans="1:24" x14ac:dyDescent="0.3">
      <c r="A3278" s="1" t="str">
        <f t="shared" si="616"/>
        <v>59829</v>
      </c>
      <c r="B3278" s="1" t="s">
        <v>47</v>
      </c>
      <c r="C3278" s="1" t="s">
        <v>48</v>
      </c>
      <c r="D3278" s="1" t="str">
        <f t="shared" si="620"/>
        <v>9803</v>
      </c>
      <c r="E3278" s="1" t="s">
        <v>32</v>
      </c>
      <c r="F3278" s="1" t="str">
        <f>"5481BF6C06880400C837002000000020"</f>
        <v>5481BF6C06880400C837002000000020</v>
      </c>
      <c r="G3278" s="1" t="s">
        <v>58</v>
      </c>
      <c r="H3278" s="1" t="str">
        <f t="shared" si="618"/>
        <v>20220914</v>
      </c>
      <c r="I3278" s="1" t="str">
        <f>"081125"</f>
        <v>081125</v>
      </c>
      <c r="J3278" s="1" t="s">
        <v>28</v>
      </c>
      <c r="K3278" s="1" t="s">
        <v>28</v>
      </c>
      <c r="L3278" s="1" t="str">
        <f t="shared" si="619"/>
        <v>20220914</v>
      </c>
      <c r="M3278" s="1" t="str">
        <f>"083009"</f>
        <v>083009</v>
      </c>
      <c r="N3278" s="1" t="s">
        <v>34</v>
      </c>
      <c r="O3278" s="1" t="s">
        <v>34</v>
      </c>
      <c r="P3278" s="1" t="s">
        <v>55</v>
      </c>
      <c r="Q3278" s="1">
        <v>25</v>
      </c>
      <c r="R3278" s="1">
        <v>25</v>
      </c>
      <c r="S3278" s="1">
        <v>0</v>
      </c>
      <c r="T3278" s="1">
        <v>0</v>
      </c>
      <c r="U3278" s="1">
        <v>0</v>
      </c>
      <c r="V3278" s="1" t="str">
        <f t="shared" si="621"/>
        <v>里程去程</v>
      </c>
      <c r="W3278" s="1" t="str">
        <f>"0020"</f>
        <v>0020</v>
      </c>
      <c r="X3278" s="1" t="s">
        <v>29</v>
      </c>
    </row>
    <row r="3279" spans="1:24" x14ac:dyDescent="0.3">
      <c r="A3279" s="1" t="str">
        <f t="shared" si="616"/>
        <v>59829</v>
      </c>
      <c r="B3279" s="1" t="s">
        <v>47</v>
      </c>
      <c r="C3279" s="1" t="s">
        <v>48</v>
      </c>
      <c r="D3279" s="1" t="str">
        <f t="shared" si="620"/>
        <v>9803</v>
      </c>
      <c r="E3279" s="1" t="s">
        <v>32</v>
      </c>
      <c r="F3279" s="1" t="str">
        <f>"1263512021"</f>
        <v>1263512021</v>
      </c>
      <c r="G3279" s="1" t="s">
        <v>33</v>
      </c>
      <c r="H3279" s="1" t="str">
        <f t="shared" si="618"/>
        <v>20220914</v>
      </c>
      <c r="I3279" s="1" t="str">
        <f>"081130"</f>
        <v>081130</v>
      </c>
      <c r="J3279" s="1" t="s">
        <v>28</v>
      </c>
      <c r="K3279" s="1" t="s">
        <v>28</v>
      </c>
      <c r="L3279" s="1" t="str">
        <f t="shared" si="619"/>
        <v>20220914</v>
      </c>
      <c r="M3279" s="1" t="str">
        <f>"082953"</f>
        <v>082953</v>
      </c>
      <c r="N3279" s="1" t="s">
        <v>34</v>
      </c>
      <c r="O3279" s="1" t="s">
        <v>34</v>
      </c>
      <c r="P3279" s="1" t="s">
        <v>55</v>
      </c>
      <c r="Q3279" s="1">
        <v>25</v>
      </c>
      <c r="R3279" s="1">
        <v>0</v>
      </c>
      <c r="S3279" s="1">
        <v>25</v>
      </c>
      <c r="T3279" s="1">
        <v>0</v>
      </c>
      <c r="U3279" s="1">
        <v>0</v>
      </c>
      <c r="V3279" s="1" t="str">
        <f t="shared" si="621"/>
        <v>里程去程</v>
      </c>
      <c r="W3279" s="1" t="str">
        <f>"0820"</f>
        <v>0820</v>
      </c>
      <c r="X3279" s="1" t="s">
        <v>35</v>
      </c>
    </row>
    <row r="3280" spans="1:24" x14ac:dyDescent="0.3">
      <c r="A3280" s="1" t="str">
        <f t="shared" si="616"/>
        <v>59829</v>
      </c>
      <c r="B3280" s="1" t="s">
        <v>47</v>
      </c>
      <c r="C3280" s="1" t="s">
        <v>48</v>
      </c>
      <c r="D3280" s="1" t="str">
        <f t="shared" si="620"/>
        <v>9803</v>
      </c>
      <c r="E3280" s="1" t="s">
        <v>32</v>
      </c>
      <c r="F3280" s="1" t="str">
        <f>"92E30C1865880400C814002000000019"</f>
        <v>92E30C1865880400C814002000000019</v>
      </c>
      <c r="G3280" s="1" t="s">
        <v>59</v>
      </c>
      <c r="H3280" s="1" t="str">
        <f t="shared" si="618"/>
        <v>20220914</v>
      </c>
      <c r="I3280" s="1" t="str">
        <f>"081134"</f>
        <v>081134</v>
      </c>
      <c r="J3280" s="1" t="s">
        <v>28</v>
      </c>
      <c r="K3280" s="1" t="s">
        <v>28</v>
      </c>
      <c r="L3280" s="1" t="str">
        <f t="shared" si="619"/>
        <v>20220914</v>
      </c>
      <c r="M3280" s="1" t="str">
        <f>"083001"</f>
        <v>083001</v>
      </c>
      <c r="N3280" s="1" t="s">
        <v>34</v>
      </c>
      <c r="O3280" s="1" t="s">
        <v>34</v>
      </c>
      <c r="P3280" s="1" t="s">
        <v>55</v>
      </c>
      <c r="Q3280" s="1">
        <v>25</v>
      </c>
      <c r="R3280" s="1">
        <v>25</v>
      </c>
      <c r="S3280" s="1">
        <v>0</v>
      </c>
      <c r="T3280" s="1">
        <v>0</v>
      </c>
      <c r="U3280" s="1">
        <v>0</v>
      </c>
      <c r="V3280" s="1" t="str">
        <f t="shared" si="621"/>
        <v>里程去程</v>
      </c>
      <c r="W3280" s="1" t="str">
        <f>"0020"</f>
        <v>0020</v>
      </c>
      <c r="X3280" s="1" t="s">
        <v>29</v>
      </c>
    </row>
    <row r="3281" spans="1:24" x14ac:dyDescent="0.3">
      <c r="A3281" s="1" t="str">
        <f t="shared" si="616"/>
        <v>59829</v>
      </c>
      <c r="B3281" s="1" t="s">
        <v>47</v>
      </c>
      <c r="C3281" s="1" t="s">
        <v>48</v>
      </c>
      <c r="D3281" s="1" t="str">
        <f t="shared" si="620"/>
        <v>9803</v>
      </c>
      <c r="E3281" s="1" t="s">
        <v>32</v>
      </c>
      <c r="F3281" s="1" t="str">
        <f>"7214DB12AF28040080CEBCD765212818"</f>
        <v>7214DB12AF28040080CEBCD765212818</v>
      </c>
      <c r="G3281" s="1" t="s">
        <v>58</v>
      </c>
      <c r="H3281" s="1" t="str">
        <f t="shared" si="618"/>
        <v>20220914</v>
      </c>
      <c r="I3281" s="1" t="str">
        <f>"094635"</f>
        <v>094635</v>
      </c>
      <c r="J3281" s="1" t="s">
        <v>28</v>
      </c>
      <c r="K3281" s="1" t="s">
        <v>28</v>
      </c>
      <c r="L3281" s="1" t="str">
        <f t="shared" si="619"/>
        <v>20220914</v>
      </c>
      <c r="M3281" s="1" t="str">
        <f>"100753"</f>
        <v>100753</v>
      </c>
      <c r="N3281" s="1" t="s">
        <v>34</v>
      </c>
      <c r="O3281" s="1" t="s">
        <v>34</v>
      </c>
      <c r="P3281" s="1" t="s">
        <v>55</v>
      </c>
      <c r="Q3281" s="1">
        <v>25</v>
      </c>
      <c r="R3281" s="1">
        <v>0</v>
      </c>
      <c r="S3281" s="1">
        <v>25</v>
      </c>
      <c r="T3281" s="1">
        <v>0</v>
      </c>
      <c r="U3281" s="1">
        <v>0</v>
      </c>
      <c r="V3281" s="1" t="str">
        <f t="shared" si="621"/>
        <v>里程去程</v>
      </c>
      <c r="W3281" s="1" t="str">
        <f>"1120"</f>
        <v>1120</v>
      </c>
      <c r="X3281" s="1" t="s">
        <v>29</v>
      </c>
    </row>
    <row r="3282" spans="1:24" x14ac:dyDescent="0.3">
      <c r="A3282" s="1" t="str">
        <f t="shared" si="616"/>
        <v>59829</v>
      </c>
      <c r="B3282" s="1" t="s">
        <v>47</v>
      </c>
      <c r="C3282" s="1" t="s">
        <v>48</v>
      </c>
      <c r="D3282" s="1" t="str">
        <f t="shared" si="620"/>
        <v>9803</v>
      </c>
      <c r="E3282" s="1" t="s">
        <v>32</v>
      </c>
      <c r="F3282" s="1" t="str">
        <f>"802165089"</f>
        <v>802165089</v>
      </c>
      <c r="G3282" s="1" t="s">
        <v>33</v>
      </c>
      <c r="H3282" s="1" t="str">
        <f t="shared" si="618"/>
        <v>20220914</v>
      </c>
      <c r="I3282" s="1" t="str">
        <f>"094644"</f>
        <v>094644</v>
      </c>
      <c r="J3282" s="1" t="s">
        <v>28</v>
      </c>
      <c r="K3282" s="1" t="s">
        <v>28</v>
      </c>
      <c r="L3282" s="1" t="str">
        <f t="shared" si="619"/>
        <v>20220914</v>
      </c>
      <c r="M3282" s="1" t="str">
        <f>"100708"</f>
        <v>100708</v>
      </c>
      <c r="N3282" s="1" t="s">
        <v>89</v>
      </c>
      <c r="O3282" s="1" t="s">
        <v>28</v>
      </c>
      <c r="P3282" s="1" t="s">
        <v>55</v>
      </c>
      <c r="Q3282" s="1">
        <v>25</v>
      </c>
      <c r="R3282" s="1">
        <v>25</v>
      </c>
      <c r="S3282" s="1">
        <v>0</v>
      </c>
      <c r="T3282" s="1">
        <v>0</v>
      </c>
      <c r="U3282" s="1">
        <v>0</v>
      </c>
      <c r="V3282" s="1" t="str">
        <f t="shared" si="621"/>
        <v>里程去程</v>
      </c>
      <c r="W3282" s="1" t="str">
        <f>"0120"</f>
        <v>0120</v>
      </c>
      <c r="X3282" s="1" t="s">
        <v>35</v>
      </c>
    </row>
    <row r="3283" spans="1:24" x14ac:dyDescent="0.3">
      <c r="A3283" s="1" t="str">
        <f t="shared" si="616"/>
        <v>59829</v>
      </c>
      <c r="B3283" s="1" t="s">
        <v>47</v>
      </c>
      <c r="C3283" s="1" t="s">
        <v>48</v>
      </c>
      <c r="D3283" s="1" t="str">
        <f t="shared" si="620"/>
        <v>9803</v>
      </c>
      <c r="E3283" s="1" t="s">
        <v>32</v>
      </c>
      <c r="F3283" s="1" t="str">
        <f>"1228630469"</f>
        <v>1228630469</v>
      </c>
      <c r="G3283" s="1" t="s">
        <v>33</v>
      </c>
      <c r="H3283" s="1" t="str">
        <f t="shared" si="618"/>
        <v>20220914</v>
      </c>
      <c r="I3283" s="1" t="str">
        <f>"094652"</f>
        <v>094652</v>
      </c>
      <c r="J3283" s="1" t="s">
        <v>28</v>
      </c>
      <c r="K3283" s="1" t="s">
        <v>28</v>
      </c>
      <c r="L3283" s="1" t="str">
        <f t="shared" si="619"/>
        <v>20220914</v>
      </c>
      <c r="M3283" s="1" t="str">
        <f>"100751"</f>
        <v>100751</v>
      </c>
      <c r="N3283" s="1" t="s">
        <v>34</v>
      </c>
      <c r="O3283" s="1" t="s">
        <v>34</v>
      </c>
      <c r="P3283" s="1" t="s">
        <v>55</v>
      </c>
      <c r="Q3283" s="1">
        <v>25</v>
      </c>
      <c r="R3283" s="1">
        <v>25</v>
      </c>
      <c r="S3283" s="1">
        <v>0</v>
      </c>
      <c r="T3283" s="1">
        <v>0</v>
      </c>
      <c r="U3283" s="1">
        <v>0</v>
      </c>
      <c r="V3283" s="1" t="str">
        <f t="shared" si="621"/>
        <v>里程去程</v>
      </c>
      <c r="W3283" s="1" t="str">
        <f>"1420"</f>
        <v>1420</v>
      </c>
      <c r="X3283" s="1" t="s">
        <v>35</v>
      </c>
    </row>
    <row r="3284" spans="1:24" x14ac:dyDescent="0.3">
      <c r="A3284" s="1" t="str">
        <f t="shared" si="616"/>
        <v>59829</v>
      </c>
      <c r="B3284" s="1" t="s">
        <v>47</v>
      </c>
      <c r="C3284" s="1" t="s">
        <v>48</v>
      </c>
      <c r="D3284" s="1" t="str">
        <f t="shared" si="620"/>
        <v>9803</v>
      </c>
      <c r="E3284" s="1" t="s">
        <v>32</v>
      </c>
      <c r="F3284" s="1" t="str">
        <f>"60BD0A7BAC880400468F755961003011"</f>
        <v>60BD0A7BAC880400468F755961003011</v>
      </c>
      <c r="G3284" s="1" t="s">
        <v>58</v>
      </c>
      <c r="H3284" s="1" t="str">
        <f t="shared" si="618"/>
        <v>20220914</v>
      </c>
      <c r="I3284" s="1" t="str">
        <f>"094700"</f>
        <v>094700</v>
      </c>
      <c r="J3284" s="1" t="s">
        <v>28</v>
      </c>
      <c r="K3284" s="1" t="s">
        <v>28</v>
      </c>
      <c r="L3284" s="1" t="str">
        <f t="shared" si="619"/>
        <v>20220914</v>
      </c>
      <c r="M3284" s="1" t="str">
        <f>"100746"</f>
        <v>100746</v>
      </c>
      <c r="N3284" s="1" t="s">
        <v>34</v>
      </c>
      <c r="O3284" s="1" t="s">
        <v>34</v>
      </c>
      <c r="P3284" s="1" t="s">
        <v>55</v>
      </c>
      <c r="Q3284" s="1">
        <v>25</v>
      </c>
      <c r="R3284" s="1">
        <v>25</v>
      </c>
      <c r="S3284" s="1">
        <v>0</v>
      </c>
      <c r="T3284" s="1">
        <v>0</v>
      </c>
      <c r="U3284" s="1">
        <v>0</v>
      </c>
      <c r="V3284" s="1" t="str">
        <f t="shared" si="621"/>
        <v>里程去程</v>
      </c>
      <c r="W3284" s="1" t="str">
        <f>"0020"</f>
        <v>0020</v>
      </c>
      <c r="X3284" s="1" t="s">
        <v>29</v>
      </c>
    </row>
    <row r="3285" spans="1:24" x14ac:dyDescent="0.3">
      <c r="A3285" s="1" t="str">
        <f t="shared" si="616"/>
        <v>59829</v>
      </c>
      <c r="B3285" s="1" t="s">
        <v>47</v>
      </c>
      <c r="C3285" s="1" t="s">
        <v>48</v>
      </c>
      <c r="D3285" s="1" t="str">
        <f t="shared" si="620"/>
        <v>9803</v>
      </c>
      <c r="E3285" s="1" t="s">
        <v>32</v>
      </c>
      <c r="F3285" s="1" t="str">
        <f>"121D3F0232880400C821002000000015"</f>
        <v>121D3F0232880400C821002000000015</v>
      </c>
      <c r="G3285" s="1" t="s">
        <v>58</v>
      </c>
      <c r="H3285" s="1" t="str">
        <f t="shared" si="618"/>
        <v>20220914</v>
      </c>
      <c r="I3285" s="1" t="str">
        <f>"094706"</f>
        <v>094706</v>
      </c>
      <c r="J3285" s="1" t="s">
        <v>28</v>
      </c>
      <c r="K3285" s="1" t="s">
        <v>28</v>
      </c>
      <c r="L3285" s="1" t="str">
        <f t="shared" si="619"/>
        <v>20220914</v>
      </c>
      <c r="M3285" s="1" t="str">
        <f>"100742"</f>
        <v>100742</v>
      </c>
      <c r="N3285" s="1" t="s">
        <v>34</v>
      </c>
      <c r="O3285" s="1" t="s">
        <v>34</v>
      </c>
      <c r="P3285" s="1" t="s">
        <v>55</v>
      </c>
      <c r="Q3285" s="1">
        <v>25</v>
      </c>
      <c r="R3285" s="1">
        <v>25</v>
      </c>
      <c r="S3285" s="1">
        <v>0</v>
      </c>
      <c r="T3285" s="1">
        <v>0</v>
      </c>
      <c r="U3285" s="1">
        <v>0</v>
      </c>
      <c r="V3285" s="1" t="str">
        <f t="shared" si="621"/>
        <v>里程去程</v>
      </c>
      <c r="W3285" s="1" t="str">
        <f>"0020"</f>
        <v>0020</v>
      </c>
      <c r="X3285" s="1" t="s">
        <v>29</v>
      </c>
    </row>
    <row r="3286" spans="1:24" x14ac:dyDescent="0.3">
      <c r="A3286" s="1" t="str">
        <f t="shared" si="616"/>
        <v>59829</v>
      </c>
      <c r="B3286" s="1" t="s">
        <v>47</v>
      </c>
      <c r="C3286" s="1" t="s">
        <v>48</v>
      </c>
      <c r="D3286" s="1" t="str">
        <f t="shared" si="620"/>
        <v>9803</v>
      </c>
      <c r="E3286" s="1" t="s">
        <v>32</v>
      </c>
      <c r="F3286" s="1" t="str">
        <f>"1616940757"</f>
        <v>1616940757</v>
      </c>
      <c r="G3286" s="1" t="s">
        <v>33</v>
      </c>
      <c r="H3286" s="1" t="str">
        <f t="shared" si="618"/>
        <v>20220914</v>
      </c>
      <c r="I3286" s="1" t="str">
        <f>"094712"</f>
        <v>094712</v>
      </c>
      <c r="J3286" s="1" t="s">
        <v>28</v>
      </c>
      <c r="K3286" s="1" t="s">
        <v>28</v>
      </c>
      <c r="L3286" s="1" t="str">
        <f t="shared" si="619"/>
        <v>20220914</v>
      </c>
      <c r="M3286" s="1" t="str">
        <f>"100737"</f>
        <v>100737</v>
      </c>
      <c r="N3286" s="1" t="s">
        <v>34</v>
      </c>
      <c r="O3286" s="1" t="s">
        <v>34</v>
      </c>
      <c r="P3286" s="1" t="s">
        <v>55</v>
      </c>
      <c r="Q3286" s="1">
        <v>25</v>
      </c>
      <c r="R3286" s="1">
        <v>25</v>
      </c>
      <c r="S3286" s="1">
        <v>0</v>
      </c>
      <c r="T3286" s="1">
        <v>0</v>
      </c>
      <c r="U3286" s="1">
        <v>0</v>
      </c>
      <c r="V3286" s="1" t="str">
        <f t="shared" si="621"/>
        <v>里程去程</v>
      </c>
      <c r="W3286" s="1" t="str">
        <f>"2220"</f>
        <v>2220</v>
      </c>
      <c r="X3286" s="1" t="s">
        <v>35</v>
      </c>
    </row>
    <row r="3287" spans="1:24" x14ac:dyDescent="0.3">
      <c r="A3287" s="1" t="str">
        <f t="shared" si="616"/>
        <v>59829</v>
      </c>
      <c r="B3287" s="1" t="s">
        <v>47</v>
      </c>
      <c r="C3287" s="1" t="s">
        <v>48</v>
      </c>
      <c r="D3287" s="1" t="str">
        <f t="shared" si="620"/>
        <v>9803</v>
      </c>
      <c r="E3287" s="1" t="s">
        <v>32</v>
      </c>
      <c r="F3287" s="1" t="str">
        <f>"2662351919"</f>
        <v>2662351919</v>
      </c>
      <c r="G3287" s="1" t="s">
        <v>33</v>
      </c>
      <c r="H3287" s="1" t="str">
        <f t="shared" si="618"/>
        <v>20220914</v>
      </c>
      <c r="I3287" s="1" t="str">
        <f>"094725"</f>
        <v>094725</v>
      </c>
      <c r="J3287" s="1" t="s">
        <v>28</v>
      </c>
      <c r="K3287" s="1" t="s">
        <v>28</v>
      </c>
      <c r="L3287" s="1" t="str">
        <f t="shared" si="619"/>
        <v>20220914</v>
      </c>
      <c r="M3287" s="1" t="str">
        <f>"100710"</f>
        <v>100710</v>
      </c>
      <c r="N3287" s="1" t="s">
        <v>89</v>
      </c>
      <c r="O3287" s="1" t="s">
        <v>28</v>
      </c>
      <c r="P3287" s="1" t="s">
        <v>55</v>
      </c>
      <c r="Q3287" s="1">
        <v>25</v>
      </c>
      <c r="R3287" s="1">
        <v>25</v>
      </c>
      <c r="S3287" s="1">
        <v>0</v>
      </c>
      <c r="T3287" s="1">
        <v>0</v>
      </c>
      <c r="U3287" s="1">
        <v>0</v>
      </c>
      <c r="V3287" s="1" t="str">
        <f t="shared" si="621"/>
        <v>里程去程</v>
      </c>
      <c r="W3287" s="1" t="str">
        <f>"0e20"</f>
        <v>0e20</v>
      </c>
      <c r="X3287" s="1" t="s">
        <v>35</v>
      </c>
    </row>
    <row r="3288" spans="1:24" x14ac:dyDescent="0.3">
      <c r="A3288" s="1" t="str">
        <f t="shared" si="616"/>
        <v>59829</v>
      </c>
      <c r="B3288" s="1" t="s">
        <v>47</v>
      </c>
      <c r="C3288" s="1" t="s">
        <v>48</v>
      </c>
      <c r="D3288" s="1" t="str">
        <f t="shared" si="620"/>
        <v>9803</v>
      </c>
      <c r="E3288" s="1" t="s">
        <v>32</v>
      </c>
      <c r="F3288" s="1" t="str">
        <f>"1937458736"</f>
        <v>1937458736</v>
      </c>
      <c r="G3288" s="1" t="s">
        <v>33</v>
      </c>
      <c r="H3288" s="1" t="str">
        <f t="shared" si="618"/>
        <v>20220914</v>
      </c>
      <c r="I3288" s="1" t="str">
        <f>"095006"</f>
        <v>095006</v>
      </c>
      <c r="J3288" s="1" t="s">
        <v>28</v>
      </c>
      <c r="K3288" s="1" t="s">
        <v>28</v>
      </c>
      <c r="L3288" s="1" t="str">
        <f t="shared" si="619"/>
        <v>20220914</v>
      </c>
      <c r="M3288" s="1" t="str">
        <f>"095820"</f>
        <v>095820</v>
      </c>
      <c r="N3288" s="1" t="s">
        <v>46</v>
      </c>
      <c r="O3288" s="1" t="s">
        <v>28</v>
      </c>
      <c r="P3288" s="1" t="s">
        <v>55</v>
      </c>
      <c r="Q3288" s="1">
        <v>25</v>
      </c>
      <c r="R3288" s="1">
        <v>25</v>
      </c>
      <c r="S3288" s="1">
        <v>0</v>
      </c>
      <c r="T3288" s="1">
        <v>0</v>
      </c>
      <c r="U3288" s="1">
        <v>0</v>
      </c>
      <c r="V3288" s="1" t="str">
        <f t="shared" si="621"/>
        <v>里程去程</v>
      </c>
      <c r="W3288" s="1" t="str">
        <f>"1420"</f>
        <v>1420</v>
      </c>
      <c r="X3288" s="1" t="s">
        <v>35</v>
      </c>
    </row>
    <row r="3289" spans="1:24" x14ac:dyDescent="0.3">
      <c r="A3289" s="1" t="str">
        <f t="shared" si="616"/>
        <v>59829</v>
      </c>
      <c r="B3289" s="1" t="s">
        <v>47</v>
      </c>
      <c r="C3289" s="1" t="s">
        <v>48</v>
      </c>
      <c r="D3289" s="1" t="str">
        <f t="shared" ref="D3289:D3296" si="622">"9805"</f>
        <v>9805</v>
      </c>
      <c r="E3289" s="1" t="s">
        <v>57</v>
      </c>
      <c r="F3289" s="1" t="str">
        <f>"814324357"</f>
        <v>814324357</v>
      </c>
      <c r="G3289" s="1" t="s">
        <v>33</v>
      </c>
      <c r="H3289" s="1" t="str">
        <f t="shared" si="618"/>
        <v>20220914</v>
      </c>
      <c r="I3289" s="1" t="str">
        <f>"120907"</f>
        <v>120907</v>
      </c>
      <c r="J3289" s="1" t="s">
        <v>28</v>
      </c>
      <c r="K3289" s="1" t="s">
        <v>28</v>
      </c>
      <c r="L3289" s="1" t="str">
        <f t="shared" si="619"/>
        <v>20220914</v>
      </c>
      <c r="M3289" s="1" t="str">
        <f>"122458"</f>
        <v>122458</v>
      </c>
      <c r="N3289" s="1" t="s">
        <v>62</v>
      </c>
      <c r="O3289" s="1" t="s">
        <v>28</v>
      </c>
      <c r="P3289" s="1" t="s">
        <v>55</v>
      </c>
      <c r="Q3289" s="1">
        <v>25</v>
      </c>
      <c r="R3289" s="1">
        <v>0</v>
      </c>
      <c r="S3289" s="1">
        <v>25</v>
      </c>
      <c r="T3289" s="1">
        <v>0</v>
      </c>
      <c r="U3289" s="1">
        <v>0</v>
      </c>
      <c r="V3289" s="1" t="str">
        <f t="shared" si="621"/>
        <v>里程去程</v>
      </c>
      <c r="W3289" s="1" t="str">
        <f>"0820"</f>
        <v>0820</v>
      </c>
      <c r="X3289" s="1" t="s">
        <v>35</v>
      </c>
    </row>
    <row r="3290" spans="1:24" x14ac:dyDescent="0.3">
      <c r="A3290" s="1" t="str">
        <f t="shared" si="616"/>
        <v>59829</v>
      </c>
      <c r="B3290" s="1" t="s">
        <v>47</v>
      </c>
      <c r="C3290" s="1" t="s">
        <v>48</v>
      </c>
      <c r="D3290" s="1" t="str">
        <f t="shared" si="622"/>
        <v>9805</v>
      </c>
      <c r="E3290" s="1" t="s">
        <v>57</v>
      </c>
      <c r="F3290" s="1" t="str">
        <f>"595008273"</f>
        <v>595008273</v>
      </c>
      <c r="G3290" s="1" t="s">
        <v>33</v>
      </c>
      <c r="H3290" s="1" t="str">
        <f t="shared" si="618"/>
        <v>20220914</v>
      </c>
      <c r="I3290" s="1" t="str">
        <f>"120931"</f>
        <v>120931</v>
      </c>
      <c r="J3290" s="1" t="s">
        <v>28</v>
      </c>
      <c r="K3290" s="1" t="s">
        <v>28</v>
      </c>
      <c r="L3290" s="1" t="str">
        <f t="shared" si="619"/>
        <v>20220914</v>
      </c>
      <c r="M3290" s="1" t="str">
        <f>"122748"</f>
        <v>122748</v>
      </c>
      <c r="N3290" s="1" t="s">
        <v>52</v>
      </c>
      <c r="O3290" s="1" t="s">
        <v>52</v>
      </c>
      <c r="P3290" s="1" t="s">
        <v>55</v>
      </c>
      <c r="Q3290" s="1">
        <v>25</v>
      </c>
      <c r="R3290" s="1">
        <v>25</v>
      </c>
      <c r="S3290" s="1">
        <v>0</v>
      </c>
      <c r="T3290" s="1">
        <v>0</v>
      </c>
      <c r="U3290" s="1">
        <v>0</v>
      </c>
      <c r="V3290" s="1" t="str">
        <f t="shared" si="621"/>
        <v>里程去程</v>
      </c>
      <c r="W3290" s="1" t="str">
        <f>"0820"</f>
        <v>0820</v>
      </c>
      <c r="X3290" s="1" t="s">
        <v>35</v>
      </c>
    </row>
    <row r="3291" spans="1:24" x14ac:dyDescent="0.3">
      <c r="A3291" s="1" t="str">
        <f t="shared" si="616"/>
        <v>59829</v>
      </c>
      <c r="B3291" s="1" t="s">
        <v>47</v>
      </c>
      <c r="C3291" s="1" t="s">
        <v>48</v>
      </c>
      <c r="D3291" s="1" t="str">
        <f t="shared" si="622"/>
        <v>9805</v>
      </c>
      <c r="E3291" s="1" t="s">
        <v>57</v>
      </c>
      <c r="F3291" s="1" t="str">
        <f>"2598447887"</f>
        <v>2598447887</v>
      </c>
      <c r="G3291" s="1" t="s">
        <v>33</v>
      </c>
      <c r="H3291" s="1" t="str">
        <f t="shared" si="618"/>
        <v>20220914</v>
      </c>
      <c r="I3291" s="1" t="str">
        <f>"120934"</f>
        <v>120934</v>
      </c>
      <c r="J3291" s="1" t="s">
        <v>28</v>
      </c>
      <c r="K3291" s="1" t="s">
        <v>28</v>
      </c>
      <c r="L3291" s="1" t="str">
        <f t="shared" si="619"/>
        <v>20220914</v>
      </c>
      <c r="M3291" s="1" t="str">
        <f>"122750"</f>
        <v>122750</v>
      </c>
      <c r="N3291" s="1" t="s">
        <v>52</v>
      </c>
      <c r="O3291" s="1" t="s">
        <v>52</v>
      </c>
      <c r="P3291" s="1" t="s">
        <v>55</v>
      </c>
      <c r="Q3291" s="1">
        <v>25</v>
      </c>
      <c r="R3291" s="1">
        <v>25</v>
      </c>
      <c r="S3291" s="1">
        <v>0</v>
      </c>
      <c r="T3291" s="1">
        <v>0</v>
      </c>
      <c r="U3291" s="1">
        <v>0</v>
      </c>
      <c r="V3291" s="1" t="str">
        <f t="shared" si="621"/>
        <v>里程去程</v>
      </c>
      <c r="W3291" s="1" t="str">
        <f>"0820"</f>
        <v>0820</v>
      </c>
      <c r="X3291" s="1" t="s">
        <v>35</v>
      </c>
    </row>
    <row r="3292" spans="1:24" x14ac:dyDescent="0.3">
      <c r="A3292" s="1" t="str">
        <f t="shared" si="616"/>
        <v>59829</v>
      </c>
      <c r="B3292" s="1" t="s">
        <v>47</v>
      </c>
      <c r="C3292" s="1" t="s">
        <v>48</v>
      </c>
      <c r="D3292" s="1" t="str">
        <f t="shared" si="622"/>
        <v>9805</v>
      </c>
      <c r="E3292" s="1" t="s">
        <v>57</v>
      </c>
      <c r="F3292" s="1" t="str">
        <f>"1618871973"</f>
        <v>1618871973</v>
      </c>
      <c r="G3292" s="1" t="s">
        <v>33</v>
      </c>
      <c r="H3292" s="1" t="str">
        <f t="shared" si="618"/>
        <v>20220914</v>
      </c>
      <c r="I3292" s="1" t="str">
        <f>"120938"</f>
        <v>120938</v>
      </c>
      <c r="J3292" s="1" t="s">
        <v>28</v>
      </c>
      <c r="K3292" s="1" t="s">
        <v>28</v>
      </c>
      <c r="L3292" s="1" t="str">
        <f t="shared" si="619"/>
        <v>20220914</v>
      </c>
      <c r="M3292" s="1" t="str">
        <f>"122638"</f>
        <v>122638</v>
      </c>
      <c r="N3292" s="1" t="s">
        <v>52</v>
      </c>
      <c r="O3292" s="1" t="s">
        <v>52</v>
      </c>
      <c r="P3292" s="1" t="s">
        <v>55</v>
      </c>
      <c r="Q3292" s="1">
        <v>25</v>
      </c>
      <c r="R3292" s="1">
        <v>25</v>
      </c>
      <c r="S3292" s="1">
        <v>0</v>
      </c>
      <c r="T3292" s="1">
        <v>0</v>
      </c>
      <c r="U3292" s="1">
        <v>0</v>
      </c>
      <c r="V3292" s="1" t="str">
        <f t="shared" si="621"/>
        <v>里程去程</v>
      </c>
      <c r="W3292" s="1" t="str">
        <f>"0820"</f>
        <v>0820</v>
      </c>
      <c r="X3292" s="1" t="s">
        <v>35</v>
      </c>
    </row>
    <row r="3293" spans="1:24" x14ac:dyDescent="0.3">
      <c r="A3293" s="1" t="str">
        <f t="shared" ref="A3293:A3310" si="623">"59829"</f>
        <v>59829</v>
      </c>
      <c r="B3293" s="1" t="s">
        <v>47</v>
      </c>
      <c r="C3293" s="1" t="s">
        <v>48</v>
      </c>
      <c r="D3293" s="1" t="str">
        <f t="shared" si="622"/>
        <v>9805</v>
      </c>
      <c r="E3293" s="1" t="s">
        <v>57</v>
      </c>
      <c r="F3293" s="1" t="str">
        <f>"1719529416"</f>
        <v>1719529416</v>
      </c>
      <c r="G3293" s="1" t="s">
        <v>33</v>
      </c>
      <c r="H3293" s="1" t="str">
        <f t="shared" si="618"/>
        <v>20220914</v>
      </c>
      <c r="I3293" s="1" t="str">
        <f>"120941"</f>
        <v>120941</v>
      </c>
      <c r="J3293" s="1" t="s">
        <v>28</v>
      </c>
      <c r="K3293" s="1" t="s">
        <v>28</v>
      </c>
      <c r="L3293" s="1" t="str">
        <f t="shared" si="619"/>
        <v>20220914</v>
      </c>
      <c r="M3293" s="1" t="str">
        <f>"121115"</f>
        <v>121115</v>
      </c>
      <c r="N3293" s="1" t="s">
        <v>41</v>
      </c>
      <c r="O3293" s="1" t="s">
        <v>28</v>
      </c>
      <c r="P3293" s="1" t="s">
        <v>55</v>
      </c>
      <c r="Q3293" s="1">
        <v>25</v>
      </c>
      <c r="R3293" s="1">
        <v>25</v>
      </c>
      <c r="S3293" s="1">
        <v>0</v>
      </c>
      <c r="T3293" s="1">
        <v>0</v>
      </c>
      <c r="U3293" s="1">
        <v>0</v>
      </c>
      <c r="V3293" s="1" t="str">
        <f t="shared" si="621"/>
        <v>里程去程</v>
      </c>
      <c r="W3293" s="1" t="str">
        <f>"0820"</f>
        <v>0820</v>
      </c>
      <c r="X3293" s="1" t="s">
        <v>35</v>
      </c>
    </row>
    <row r="3294" spans="1:24" x14ac:dyDescent="0.3">
      <c r="A3294" s="1" t="str">
        <f t="shared" si="623"/>
        <v>59829</v>
      </c>
      <c r="B3294" s="1" t="s">
        <v>47</v>
      </c>
      <c r="C3294" s="1" t="s">
        <v>48</v>
      </c>
      <c r="D3294" s="1" t="str">
        <f t="shared" si="622"/>
        <v>9805</v>
      </c>
      <c r="E3294" s="1" t="s">
        <v>57</v>
      </c>
      <c r="F3294" s="1" t="str">
        <f>"1917761776"</f>
        <v>1917761776</v>
      </c>
      <c r="G3294" s="1" t="s">
        <v>33</v>
      </c>
      <c r="H3294" s="1" t="str">
        <f t="shared" si="618"/>
        <v>20220914</v>
      </c>
      <c r="I3294" s="1" t="str">
        <f>"120952"</f>
        <v>120952</v>
      </c>
      <c r="J3294" s="1" t="s">
        <v>28</v>
      </c>
      <c r="K3294" s="1" t="s">
        <v>28</v>
      </c>
      <c r="L3294" s="1" t="str">
        <f t="shared" si="619"/>
        <v>20220914</v>
      </c>
      <c r="M3294" s="1" t="str">
        <f>"122738"</f>
        <v>122738</v>
      </c>
      <c r="N3294" s="1" t="s">
        <v>52</v>
      </c>
      <c r="O3294" s="1" t="s">
        <v>52</v>
      </c>
      <c r="P3294" s="1" t="s">
        <v>55</v>
      </c>
      <c r="Q3294" s="1">
        <v>25</v>
      </c>
      <c r="R3294" s="1">
        <v>25</v>
      </c>
      <c r="S3294" s="1">
        <v>0</v>
      </c>
      <c r="T3294" s="1">
        <v>0</v>
      </c>
      <c r="U3294" s="1">
        <v>0</v>
      </c>
      <c r="V3294" s="1" t="str">
        <f t="shared" si="621"/>
        <v>里程去程</v>
      </c>
      <c r="W3294" s="1" t="str">
        <f>"0320"</f>
        <v>0320</v>
      </c>
      <c r="X3294" s="1" t="s">
        <v>35</v>
      </c>
    </row>
    <row r="3295" spans="1:24" x14ac:dyDescent="0.3">
      <c r="A3295" s="1" t="str">
        <f t="shared" si="623"/>
        <v>59829</v>
      </c>
      <c r="B3295" s="1" t="s">
        <v>47</v>
      </c>
      <c r="C3295" s="1" t="s">
        <v>48</v>
      </c>
      <c r="D3295" s="1" t="str">
        <f t="shared" si="622"/>
        <v>9805</v>
      </c>
      <c r="E3295" s="1" t="s">
        <v>57</v>
      </c>
      <c r="F3295" s="1" t="str">
        <f>"766705333"</f>
        <v>766705333</v>
      </c>
      <c r="G3295" s="1" t="s">
        <v>33</v>
      </c>
      <c r="H3295" s="1" t="str">
        <f t="shared" si="618"/>
        <v>20220914</v>
      </c>
      <c r="I3295" s="1" t="str">
        <f>"121001"</f>
        <v>121001</v>
      </c>
      <c r="J3295" s="1" t="s">
        <v>28</v>
      </c>
      <c r="K3295" s="1" t="s">
        <v>28</v>
      </c>
      <c r="L3295" s="1" t="str">
        <f t="shared" si="619"/>
        <v>20220914</v>
      </c>
      <c r="M3295" s="1" t="str">
        <f>"122453"</f>
        <v>122453</v>
      </c>
      <c r="N3295" s="1" t="s">
        <v>62</v>
      </c>
      <c r="O3295" s="1" t="s">
        <v>28</v>
      </c>
      <c r="P3295" s="1" t="s">
        <v>55</v>
      </c>
      <c r="Q3295" s="1">
        <v>25</v>
      </c>
      <c r="R3295" s="1">
        <v>0</v>
      </c>
      <c r="S3295" s="1">
        <v>25</v>
      </c>
      <c r="T3295" s="1">
        <v>0</v>
      </c>
      <c r="U3295" s="1">
        <v>0</v>
      </c>
      <c r="V3295" s="1" t="str">
        <f t="shared" si="621"/>
        <v>里程去程</v>
      </c>
      <c r="W3295" s="1" t="str">
        <f>"0820"</f>
        <v>0820</v>
      </c>
      <c r="X3295" s="1" t="s">
        <v>35</v>
      </c>
    </row>
    <row r="3296" spans="1:24" x14ac:dyDescent="0.3">
      <c r="A3296" s="1" t="str">
        <f t="shared" si="623"/>
        <v>59829</v>
      </c>
      <c r="B3296" s="1" t="s">
        <v>47</v>
      </c>
      <c r="C3296" s="1" t="s">
        <v>48</v>
      </c>
      <c r="D3296" s="1" t="str">
        <f t="shared" si="622"/>
        <v>9805</v>
      </c>
      <c r="E3296" s="1" t="s">
        <v>57</v>
      </c>
      <c r="F3296" s="1" t="str">
        <f>"1203567557"</f>
        <v>1203567557</v>
      </c>
      <c r="G3296" s="1" t="s">
        <v>26</v>
      </c>
      <c r="H3296" s="1" t="str">
        <f t="shared" si="618"/>
        <v>20220914</v>
      </c>
      <c r="I3296" s="1" t="str">
        <f>"131027"</f>
        <v>131027</v>
      </c>
      <c r="J3296" s="1" t="s">
        <v>52</v>
      </c>
      <c r="K3296" s="1" t="s">
        <v>52</v>
      </c>
      <c r="L3296" s="1" t="str">
        <f t="shared" si="619"/>
        <v>20220914</v>
      </c>
      <c r="M3296" s="1" t="str">
        <f>"132541"</f>
        <v>132541</v>
      </c>
      <c r="N3296" s="1" t="s">
        <v>28</v>
      </c>
      <c r="O3296" s="1" t="s">
        <v>28</v>
      </c>
      <c r="P3296" s="1" t="s">
        <v>55</v>
      </c>
      <c r="Q3296" s="1">
        <v>13</v>
      </c>
      <c r="R3296" s="1">
        <v>0</v>
      </c>
      <c r="S3296" s="1">
        <v>13</v>
      </c>
      <c r="T3296" s="1">
        <v>0</v>
      </c>
      <c r="U3296" s="1">
        <v>0</v>
      </c>
      <c r="V3296" s="1" t="str">
        <f>"里程返程"</f>
        <v>里程返程</v>
      </c>
      <c r="W3296" s="1" t="str">
        <f>"2020"</f>
        <v>2020</v>
      </c>
      <c r="X3296" s="1" t="s">
        <v>35</v>
      </c>
    </row>
    <row r="3297" spans="1:24" x14ac:dyDescent="0.3">
      <c r="A3297" s="1" t="str">
        <f t="shared" si="623"/>
        <v>59829</v>
      </c>
      <c r="B3297" s="1" t="s">
        <v>47</v>
      </c>
      <c r="C3297" s="1" t="s">
        <v>48</v>
      </c>
      <c r="D3297" s="1" t="str">
        <f>"9803"</f>
        <v>9803</v>
      </c>
      <c r="E3297" s="1" t="s">
        <v>32</v>
      </c>
      <c r="F3297" s="1" t="str">
        <f>"7311201068014515"</f>
        <v>7311201068014515</v>
      </c>
      <c r="G3297" s="1" t="s">
        <v>33</v>
      </c>
      <c r="H3297" s="1" t="str">
        <f t="shared" si="618"/>
        <v>20220914</v>
      </c>
      <c r="I3297" s="1" t="str">
        <f>"132717"</f>
        <v>132717</v>
      </c>
      <c r="J3297" s="1" t="s">
        <v>28</v>
      </c>
      <c r="K3297" s="1" t="s">
        <v>28</v>
      </c>
      <c r="L3297" s="1" t="str">
        <f t="shared" si="619"/>
        <v>20220914</v>
      </c>
      <c r="M3297" s="1" t="str">
        <f>"133732"</f>
        <v>133732</v>
      </c>
      <c r="N3297" s="1" t="s">
        <v>70</v>
      </c>
      <c r="O3297" s="1" t="s">
        <v>28</v>
      </c>
      <c r="P3297" s="1" t="s">
        <v>55</v>
      </c>
      <c r="Q3297" s="1">
        <v>25</v>
      </c>
      <c r="R3297" s="1">
        <v>25</v>
      </c>
      <c r="S3297" s="1">
        <v>0</v>
      </c>
      <c r="T3297" s="1">
        <v>0</v>
      </c>
      <c r="U3297" s="1">
        <v>0</v>
      </c>
      <c r="V3297" s="1" t="str">
        <f t="shared" ref="V3297:V3309" si="624">"里程去程"</f>
        <v>里程去程</v>
      </c>
      <c r="W3297" s="1" t="str">
        <f>"343B"</f>
        <v>343B</v>
      </c>
      <c r="X3297" s="1" t="s">
        <v>109</v>
      </c>
    </row>
    <row r="3298" spans="1:24" x14ac:dyDescent="0.3">
      <c r="A3298" s="1" t="str">
        <f t="shared" si="623"/>
        <v>59829</v>
      </c>
      <c r="B3298" s="1" t="s">
        <v>47</v>
      </c>
      <c r="C3298" s="1" t="s">
        <v>48</v>
      </c>
      <c r="D3298" s="1" t="str">
        <f>"9803"</f>
        <v>9803</v>
      </c>
      <c r="E3298" s="1" t="s">
        <v>32</v>
      </c>
      <c r="F3298" s="1" t="str">
        <f>"241372655"</f>
        <v>241372655</v>
      </c>
      <c r="G3298" s="1" t="s">
        <v>33</v>
      </c>
      <c r="H3298" s="1" t="str">
        <f t="shared" si="618"/>
        <v>20220914</v>
      </c>
      <c r="I3298" s="1" t="str">
        <f>"132724"</f>
        <v>132724</v>
      </c>
      <c r="J3298" s="1" t="s">
        <v>28</v>
      </c>
      <c r="K3298" s="1" t="s">
        <v>28</v>
      </c>
      <c r="L3298" s="1" t="str">
        <f t="shared" si="619"/>
        <v>20220914</v>
      </c>
      <c r="M3298" s="1" t="str">
        <f>"133726"</f>
        <v>133726</v>
      </c>
      <c r="N3298" s="1" t="s">
        <v>70</v>
      </c>
      <c r="O3298" s="1" t="s">
        <v>28</v>
      </c>
      <c r="P3298" s="1" t="s">
        <v>55</v>
      </c>
      <c r="Q3298" s="1">
        <v>25</v>
      </c>
      <c r="R3298" s="1">
        <v>25</v>
      </c>
      <c r="S3298" s="1">
        <v>0</v>
      </c>
      <c r="T3298" s="1">
        <v>0</v>
      </c>
      <c r="U3298" s="1">
        <v>0</v>
      </c>
      <c r="V3298" s="1" t="str">
        <f t="shared" si="624"/>
        <v>里程去程</v>
      </c>
      <c r="W3298" s="1" t="str">
        <f>"0920"</f>
        <v>0920</v>
      </c>
      <c r="X3298" s="1" t="s">
        <v>35</v>
      </c>
    </row>
    <row r="3299" spans="1:24" x14ac:dyDescent="0.3">
      <c r="A3299" s="1" t="str">
        <f t="shared" si="623"/>
        <v>59829</v>
      </c>
      <c r="B3299" s="1" t="s">
        <v>47</v>
      </c>
      <c r="C3299" s="1" t="s">
        <v>48</v>
      </c>
      <c r="D3299" s="1" t="str">
        <f>"9803"</f>
        <v>9803</v>
      </c>
      <c r="E3299" s="1" t="s">
        <v>32</v>
      </c>
      <c r="F3299" s="1" t="str">
        <f>"1709069061"</f>
        <v>1709069061</v>
      </c>
      <c r="G3299" s="1" t="s">
        <v>33</v>
      </c>
      <c r="H3299" s="1" t="str">
        <f t="shared" si="618"/>
        <v>20220914</v>
      </c>
      <c r="I3299" s="1" t="str">
        <f>"134106"</f>
        <v>134106</v>
      </c>
      <c r="J3299" s="1" t="s">
        <v>46</v>
      </c>
      <c r="K3299" s="1" t="s">
        <v>28</v>
      </c>
      <c r="L3299" s="1" t="str">
        <f t="shared" si="619"/>
        <v>20220914</v>
      </c>
      <c r="M3299" s="1" t="str">
        <f>"134919"</f>
        <v>134919</v>
      </c>
      <c r="N3299" s="1" t="s">
        <v>34</v>
      </c>
      <c r="O3299" s="1" t="s">
        <v>34</v>
      </c>
      <c r="P3299" s="1" t="s">
        <v>55</v>
      </c>
      <c r="Q3299" s="1">
        <v>25</v>
      </c>
      <c r="R3299" s="1">
        <v>25</v>
      </c>
      <c r="S3299" s="1">
        <v>0</v>
      </c>
      <c r="T3299" s="1">
        <v>0</v>
      </c>
      <c r="U3299" s="1">
        <v>0</v>
      </c>
      <c r="V3299" s="1" t="str">
        <f t="shared" si="624"/>
        <v>里程去程</v>
      </c>
      <c r="W3299" s="1" t="str">
        <f>"2020"</f>
        <v>2020</v>
      </c>
      <c r="X3299" s="1" t="s">
        <v>35</v>
      </c>
    </row>
    <row r="3300" spans="1:24" x14ac:dyDescent="0.3">
      <c r="A3300" s="1" t="str">
        <f t="shared" si="623"/>
        <v>59829</v>
      </c>
      <c r="B3300" s="1" t="s">
        <v>47</v>
      </c>
      <c r="C3300" s="1" t="s">
        <v>48</v>
      </c>
      <c r="D3300" s="1" t="str">
        <f t="shared" ref="D3300:D3309" si="625">"9805"</f>
        <v>9805</v>
      </c>
      <c r="E3300" s="1" t="s">
        <v>57</v>
      </c>
      <c r="F3300" s="1" t="str">
        <f>"813811281"</f>
        <v>813811281</v>
      </c>
      <c r="G3300" s="1" t="s">
        <v>33</v>
      </c>
      <c r="H3300" s="1" t="str">
        <f t="shared" si="618"/>
        <v>20220914</v>
      </c>
      <c r="I3300" s="1" t="str">
        <f>"151821"</f>
        <v>151821</v>
      </c>
      <c r="J3300" s="1" t="s">
        <v>28</v>
      </c>
      <c r="K3300" s="1" t="s">
        <v>28</v>
      </c>
      <c r="L3300" s="1" t="str">
        <f t="shared" si="619"/>
        <v>20220914</v>
      </c>
      <c r="M3300" s="1" t="str">
        <f>"153928"</f>
        <v>153928</v>
      </c>
      <c r="N3300" s="1" t="s">
        <v>52</v>
      </c>
      <c r="O3300" s="1" t="s">
        <v>52</v>
      </c>
      <c r="P3300" s="1" t="s">
        <v>55</v>
      </c>
      <c r="Q3300" s="1">
        <v>25</v>
      </c>
      <c r="R3300" s="1">
        <v>25</v>
      </c>
      <c r="S3300" s="1">
        <v>0</v>
      </c>
      <c r="T3300" s="1">
        <v>0</v>
      </c>
      <c r="U3300" s="1">
        <v>0</v>
      </c>
      <c r="V3300" s="1" t="str">
        <f t="shared" si="624"/>
        <v>里程去程</v>
      </c>
      <c r="W3300" s="1" t="str">
        <f>"2520"</f>
        <v>2520</v>
      </c>
      <c r="X3300" s="1" t="s">
        <v>35</v>
      </c>
    </row>
    <row r="3301" spans="1:24" x14ac:dyDescent="0.3">
      <c r="A3301" s="1" t="str">
        <f t="shared" si="623"/>
        <v>59829</v>
      </c>
      <c r="B3301" s="1" t="s">
        <v>47</v>
      </c>
      <c r="C3301" s="1" t="s">
        <v>48</v>
      </c>
      <c r="D3301" s="1" t="str">
        <f t="shared" si="625"/>
        <v>9805</v>
      </c>
      <c r="E3301" s="1" t="s">
        <v>57</v>
      </c>
      <c r="F3301" s="1" t="str">
        <f>"399519777"</f>
        <v>399519777</v>
      </c>
      <c r="G3301" s="1" t="s">
        <v>33</v>
      </c>
      <c r="H3301" s="1" t="str">
        <f t="shared" si="618"/>
        <v>20220914</v>
      </c>
      <c r="I3301" s="1" t="str">
        <f>"151849"</f>
        <v>151849</v>
      </c>
      <c r="J3301" s="1" t="s">
        <v>28</v>
      </c>
      <c r="K3301" s="1" t="s">
        <v>28</v>
      </c>
      <c r="L3301" s="1" t="str">
        <f t="shared" si="619"/>
        <v>20220914</v>
      </c>
      <c r="M3301" s="1" t="str">
        <f>"153922"</f>
        <v>153922</v>
      </c>
      <c r="N3301" s="1" t="s">
        <v>52</v>
      </c>
      <c r="O3301" s="1" t="s">
        <v>52</v>
      </c>
      <c r="P3301" s="1" t="s">
        <v>55</v>
      </c>
      <c r="Q3301" s="1">
        <v>25</v>
      </c>
      <c r="R3301" s="1">
        <v>25</v>
      </c>
      <c r="S3301" s="1">
        <v>0</v>
      </c>
      <c r="T3301" s="1">
        <v>0</v>
      </c>
      <c r="U3301" s="1">
        <v>0</v>
      </c>
      <c r="V3301" s="1" t="str">
        <f t="shared" si="624"/>
        <v>里程去程</v>
      </c>
      <c r="W3301" s="1" t="str">
        <f>"0120"</f>
        <v>0120</v>
      </c>
      <c r="X3301" s="1" t="s">
        <v>35</v>
      </c>
    </row>
    <row r="3302" spans="1:24" x14ac:dyDescent="0.3">
      <c r="A3302" s="1" t="str">
        <f t="shared" si="623"/>
        <v>59829</v>
      </c>
      <c r="B3302" s="1" t="s">
        <v>47</v>
      </c>
      <c r="C3302" s="1" t="s">
        <v>48</v>
      </c>
      <c r="D3302" s="1" t="str">
        <f t="shared" si="625"/>
        <v>9805</v>
      </c>
      <c r="E3302" s="1" t="s">
        <v>57</v>
      </c>
      <c r="F3302" s="1" t="str">
        <f>"2894917571"</f>
        <v>2894917571</v>
      </c>
      <c r="G3302" s="1" t="s">
        <v>26</v>
      </c>
      <c r="H3302" s="1" t="str">
        <f t="shared" si="618"/>
        <v>20220914</v>
      </c>
      <c r="I3302" s="1" t="str">
        <f>"151902"</f>
        <v>151902</v>
      </c>
      <c r="J3302" s="1" t="s">
        <v>28</v>
      </c>
      <c r="K3302" s="1" t="s">
        <v>28</v>
      </c>
      <c r="L3302" s="1" t="str">
        <f t="shared" si="619"/>
        <v>20220914</v>
      </c>
      <c r="M3302" s="1" t="str">
        <f>"153536"</f>
        <v>153536</v>
      </c>
      <c r="N3302" s="1" t="s">
        <v>62</v>
      </c>
      <c r="O3302" s="1" t="s">
        <v>28</v>
      </c>
      <c r="P3302" s="1" t="s">
        <v>55</v>
      </c>
      <c r="Q3302" s="1">
        <v>13</v>
      </c>
      <c r="R3302" s="1">
        <v>13</v>
      </c>
      <c r="S3302" s="1">
        <v>0</v>
      </c>
      <c r="T3302" s="1">
        <v>0</v>
      </c>
      <c r="U3302" s="1">
        <v>0</v>
      </c>
      <c r="V3302" s="1" t="str">
        <f t="shared" si="624"/>
        <v>里程去程</v>
      </c>
      <c r="W3302" s="1" t="str">
        <f>"2120"</f>
        <v>2120</v>
      </c>
      <c r="X3302" s="1" t="s">
        <v>35</v>
      </c>
    </row>
    <row r="3303" spans="1:24" x14ac:dyDescent="0.3">
      <c r="A3303" s="1" t="str">
        <f t="shared" si="623"/>
        <v>59829</v>
      </c>
      <c r="B3303" s="1" t="s">
        <v>47</v>
      </c>
      <c r="C3303" s="1" t="s">
        <v>48</v>
      </c>
      <c r="D3303" s="1" t="str">
        <f t="shared" si="625"/>
        <v>9805</v>
      </c>
      <c r="E3303" s="1" t="s">
        <v>57</v>
      </c>
      <c r="F3303" s="1" t="str">
        <f>"1626880037"</f>
        <v>1626880037</v>
      </c>
      <c r="G3303" s="1" t="s">
        <v>26</v>
      </c>
      <c r="H3303" s="1" t="str">
        <f t="shared" si="618"/>
        <v>20220914</v>
      </c>
      <c r="I3303" s="1" t="str">
        <f>"151906"</f>
        <v>151906</v>
      </c>
      <c r="J3303" s="1" t="s">
        <v>28</v>
      </c>
      <c r="K3303" s="1" t="s">
        <v>28</v>
      </c>
      <c r="L3303" s="1" t="str">
        <f t="shared" si="619"/>
        <v>20220914</v>
      </c>
      <c r="M3303" s="1" t="str">
        <f>"153533"</f>
        <v>153533</v>
      </c>
      <c r="N3303" s="1" t="s">
        <v>62</v>
      </c>
      <c r="O3303" s="1" t="s">
        <v>28</v>
      </c>
      <c r="P3303" s="1" t="s">
        <v>55</v>
      </c>
      <c r="Q3303" s="1">
        <v>13</v>
      </c>
      <c r="R3303" s="1">
        <v>13</v>
      </c>
      <c r="S3303" s="1">
        <v>0</v>
      </c>
      <c r="T3303" s="1">
        <v>0</v>
      </c>
      <c r="U3303" s="1">
        <v>0</v>
      </c>
      <c r="V3303" s="1" t="str">
        <f t="shared" si="624"/>
        <v>里程去程</v>
      </c>
      <c r="W3303" s="1" t="str">
        <f>"2120"</f>
        <v>2120</v>
      </c>
      <c r="X3303" s="1" t="s">
        <v>35</v>
      </c>
    </row>
    <row r="3304" spans="1:24" x14ac:dyDescent="0.3">
      <c r="A3304" s="1" t="str">
        <f t="shared" si="623"/>
        <v>59829</v>
      </c>
      <c r="B3304" s="1" t="s">
        <v>47</v>
      </c>
      <c r="C3304" s="1" t="s">
        <v>48</v>
      </c>
      <c r="D3304" s="1" t="str">
        <f t="shared" si="625"/>
        <v>9805</v>
      </c>
      <c r="E3304" s="1" t="s">
        <v>57</v>
      </c>
      <c r="F3304" s="1" t="str">
        <f>"1687233477"</f>
        <v>1687233477</v>
      </c>
      <c r="G3304" s="1" t="s">
        <v>33</v>
      </c>
      <c r="H3304" s="1" t="str">
        <f t="shared" si="618"/>
        <v>20220914</v>
      </c>
      <c r="I3304" s="1" t="str">
        <f>"151910"</f>
        <v>151910</v>
      </c>
      <c r="J3304" s="1" t="s">
        <v>28</v>
      </c>
      <c r="K3304" s="1" t="s">
        <v>28</v>
      </c>
      <c r="L3304" s="1" t="str">
        <f t="shared" si="619"/>
        <v>20220914</v>
      </c>
      <c r="M3304" s="1" t="str">
        <f>"153541"</f>
        <v>153541</v>
      </c>
      <c r="N3304" s="1" t="s">
        <v>62</v>
      </c>
      <c r="O3304" s="1" t="s">
        <v>28</v>
      </c>
      <c r="P3304" s="1" t="s">
        <v>55</v>
      </c>
      <c r="Q3304" s="1">
        <v>25</v>
      </c>
      <c r="R3304" s="1">
        <v>25</v>
      </c>
      <c r="S3304" s="1">
        <v>0</v>
      </c>
      <c r="T3304" s="1">
        <v>0</v>
      </c>
      <c r="U3304" s="1">
        <v>0</v>
      </c>
      <c r="V3304" s="1" t="str">
        <f t="shared" si="624"/>
        <v>里程去程</v>
      </c>
      <c r="W3304" s="1" t="str">
        <f>"0920"</f>
        <v>0920</v>
      </c>
      <c r="X3304" s="1" t="s">
        <v>35</v>
      </c>
    </row>
    <row r="3305" spans="1:24" x14ac:dyDescent="0.3">
      <c r="A3305" s="1" t="str">
        <f t="shared" si="623"/>
        <v>59829</v>
      </c>
      <c r="B3305" s="1" t="s">
        <v>47</v>
      </c>
      <c r="C3305" s="1" t="s">
        <v>48</v>
      </c>
      <c r="D3305" s="1" t="str">
        <f t="shared" si="625"/>
        <v>9805</v>
      </c>
      <c r="E3305" s="1" t="s">
        <v>57</v>
      </c>
      <c r="F3305" s="1" t="str">
        <f>"1406577105"</f>
        <v>1406577105</v>
      </c>
      <c r="G3305" s="1" t="s">
        <v>26</v>
      </c>
      <c r="H3305" s="1" t="str">
        <f t="shared" si="618"/>
        <v>20220914</v>
      </c>
      <c r="I3305" s="1" t="str">
        <f>"151921"</f>
        <v>151921</v>
      </c>
      <c r="J3305" s="1" t="s">
        <v>28</v>
      </c>
      <c r="K3305" s="1" t="s">
        <v>28</v>
      </c>
      <c r="L3305" s="1" t="str">
        <f t="shared" si="619"/>
        <v>20220914</v>
      </c>
      <c r="M3305" s="1" t="str">
        <f>"153903"</f>
        <v>153903</v>
      </c>
      <c r="N3305" s="1" t="s">
        <v>52</v>
      </c>
      <c r="O3305" s="1" t="s">
        <v>52</v>
      </c>
      <c r="P3305" s="1" t="s">
        <v>55</v>
      </c>
      <c r="Q3305" s="1">
        <v>13</v>
      </c>
      <c r="R3305" s="1">
        <v>0</v>
      </c>
      <c r="S3305" s="1">
        <v>13</v>
      </c>
      <c r="T3305" s="1">
        <v>0</v>
      </c>
      <c r="U3305" s="1">
        <v>0</v>
      </c>
      <c r="V3305" s="1" t="str">
        <f t="shared" si="624"/>
        <v>里程去程</v>
      </c>
      <c r="W3305" s="1" t="str">
        <f>"0820"</f>
        <v>0820</v>
      </c>
      <c r="X3305" s="1" t="s">
        <v>35</v>
      </c>
    </row>
    <row r="3306" spans="1:24" x14ac:dyDescent="0.3">
      <c r="A3306" s="1" t="str">
        <f t="shared" si="623"/>
        <v>59829</v>
      </c>
      <c r="B3306" s="1" t="s">
        <v>47</v>
      </c>
      <c r="C3306" s="1" t="s">
        <v>48</v>
      </c>
      <c r="D3306" s="1" t="str">
        <f t="shared" si="625"/>
        <v>9805</v>
      </c>
      <c r="E3306" s="1" t="s">
        <v>57</v>
      </c>
      <c r="F3306" s="1" t="str">
        <f>"2700469359"</f>
        <v>2700469359</v>
      </c>
      <c r="G3306" s="1" t="s">
        <v>33</v>
      </c>
      <c r="H3306" s="1" t="str">
        <f t="shared" si="618"/>
        <v>20220914</v>
      </c>
      <c r="I3306" s="1" t="str">
        <f>"152501"</f>
        <v>152501</v>
      </c>
      <c r="J3306" s="1" t="s">
        <v>90</v>
      </c>
      <c r="K3306" s="1" t="s">
        <v>28</v>
      </c>
      <c r="L3306" s="1" t="str">
        <f t="shared" si="619"/>
        <v>20220914</v>
      </c>
      <c r="M3306" s="1" t="str">
        <f>"153918"</f>
        <v>153918</v>
      </c>
      <c r="N3306" s="1" t="s">
        <v>52</v>
      </c>
      <c r="O3306" s="1" t="s">
        <v>52</v>
      </c>
      <c r="P3306" s="1" t="s">
        <v>55</v>
      </c>
      <c r="Q3306" s="1">
        <v>25</v>
      </c>
      <c r="R3306" s="1">
        <v>25</v>
      </c>
      <c r="S3306" s="1">
        <v>0</v>
      </c>
      <c r="T3306" s="1">
        <v>0</v>
      </c>
      <c r="U3306" s="1">
        <v>0</v>
      </c>
      <c r="V3306" s="1" t="str">
        <f t="shared" si="624"/>
        <v>里程去程</v>
      </c>
      <c r="W3306" s="1" t="str">
        <f>"0e20"</f>
        <v>0e20</v>
      </c>
      <c r="X3306" s="1" t="s">
        <v>35</v>
      </c>
    </row>
    <row r="3307" spans="1:24" x14ac:dyDescent="0.3">
      <c r="A3307" s="1" t="str">
        <f t="shared" si="623"/>
        <v>59829</v>
      </c>
      <c r="B3307" s="1" t="s">
        <v>47</v>
      </c>
      <c r="C3307" s="1" t="s">
        <v>48</v>
      </c>
      <c r="D3307" s="1" t="str">
        <f t="shared" si="625"/>
        <v>9805</v>
      </c>
      <c r="E3307" s="1" t="s">
        <v>57</v>
      </c>
      <c r="F3307" s="1" t="str">
        <f>"146336145"</f>
        <v>146336145</v>
      </c>
      <c r="G3307" s="1" t="s">
        <v>33</v>
      </c>
      <c r="H3307" s="1" t="str">
        <f t="shared" si="618"/>
        <v>20220914</v>
      </c>
      <c r="I3307" s="1" t="str">
        <f>"152504"</f>
        <v>152504</v>
      </c>
      <c r="J3307" s="1" t="s">
        <v>90</v>
      </c>
      <c r="K3307" s="1" t="s">
        <v>28</v>
      </c>
      <c r="L3307" s="1" t="str">
        <f t="shared" si="619"/>
        <v>20220914</v>
      </c>
      <c r="M3307" s="1" t="str">
        <f>"153913"</f>
        <v>153913</v>
      </c>
      <c r="N3307" s="1" t="s">
        <v>52</v>
      </c>
      <c r="O3307" s="1" t="s">
        <v>52</v>
      </c>
      <c r="P3307" s="1" t="s">
        <v>55</v>
      </c>
      <c r="Q3307" s="1">
        <v>25</v>
      </c>
      <c r="R3307" s="1">
        <v>25</v>
      </c>
      <c r="S3307" s="1">
        <v>0</v>
      </c>
      <c r="T3307" s="1">
        <v>0</v>
      </c>
      <c r="U3307" s="1">
        <v>0</v>
      </c>
      <c r="V3307" s="1" t="str">
        <f t="shared" si="624"/>
        <v>里程去程</v>
      </c>
      <c r="W3307" s="1" t="str">
        <f>"0120"</f>
        <v>0120</v>
      </c>
      <c r="X3307" s="1" t="s">
        <v>35</v>
      </c>
    </row>
    <row r="3308" spans="1:24" x14ac:dyDescent="0.3">
      <c r="A3308" s="1" t="str">
        <f t="shared" si="623"/>
        <v>59829</v>
      </c>
      <c r="B3308" s="1" t="s">
        <v>47</v>
      </c>
      <c r="C3308" s="1" t="s">
        <v>48</v>
      </c>
      <c r="D3308" s="1" t="str">
        <f t="shared" si="625"/>
        <v>9805</v>
      </c>
      <c r="E3308" s="1" t="s">
        <v>57</v>
      </c>
      <c r="F3308" s="1" t="str">
        <f>"1182175237"</f>
        <v>1182175237</v>
      </c>
      <c r="G3308" s="1" t="s">
        <v>26</v>
      </c>
      <c r="H3308" s="1" t="str">
        <f t="shared" si="618"/>
        <v>20220914</v>
      </c>
      <c r="I3308" s="1" t="str">
        <f>"152509"</f>
        <v>152509</v>
      </c>
      <c r="J3308" s="1" t="s">
        <v>90</v>
      </c>
      <c r="K3308" s="1" t="s">
        <v>28</v>
      </c>
      <c r="L3308" s="1" t="str">
        <f t="shared" si="619"/>
        <v>20220914</v>
      </c>
      <c r="M3308" s="1" t="str">
        <f>"153906"</f>
        <v>153906</v>
      </c>
      <c r="N3308" s="1" t="s">
        <v>52</v>
      </c>
      <c r="O3308" s="1" t="s">
        <v>52</v>
      </c>
      <c r="P3308" s="1" t="s">
        <v>55</v>
      </c>
      <c r="Q3308" s="1">
        <v>13</v>
      </c>
      <c r="R3308" s="1">
        <v>13</v>
      </c>
      <c r="S3308" s="1">
        <v>0</v>
      </c>
      <c r="T3308" s="1">
        <v>0</v>
      </c>
      <c r="U3308" s="1">
        <v>0</v>
      </c>
      <c r="V3308" s="1" t="str">
        <f t="shared" si="624"/>
        <v>里程去程</v>
      </c>
      <c r="W3308" s="1" t="str">
        <f>"0220"</f>
        <v>0220</v>
      </c>
      <c r="X3308" s="1" t="s">
        <v>35</v>
      </c>
    </row>
    <row r="3309" spans="1:24" x14ac:dyDescent="0.3">
      <c r="A3309" s="1" t="str">
        <f t="shared" si="623"/>
        <v>59829</v>
      </c>
      <c r="B3309" s="1" t="s">
        <v>47</v>
      </c>
      <c r="C3309" s="1" t="s">
        <v>48</v>
      </c>
      <c r="D3309" s="1" t="str">
        <f t="shared" si="625"/>
        <v>9805</v>
      </c>
      <c r="E3309" s="1" t="s">
        <v>57</v>
      </c>
      <c r="F3309" s="1" t="str">
        <f>"108726929"</f>
        <v>108726929</v>
      </c>
      <c r="G3309" s="1" t="s">
        <v>26</v>
      </c>
      <c r="H3309" s="1" t="str">
        <f t="shared" si="618"/>
        <v>20220914</v>
      </c>
      <c r="I3309" s="1" t="str">
        <f>"152514"</f>
        <v>152514</v>
      </c>
      <c r="J3309" s="1" t="s">
        <v>90</v>
      </c>
      <c r="K3309" s="1" t="s">
        <v>28</v>
      </c>
      <c r="L3309" s="1" t="str">
        <f t="shared" si="619"/>
        <v>20220914</v>
      </c>
      <c r="M3309" s="1" t="str">
        <f>"153910"</f>
        <v>153910</v>
      </c>
      <c r="N3309" s="1" t="s">
        <v>52</v>
      </c>
      <c r="O3309" s="1" t="s">
        <v>52</v>
      </c>
      <c r="P3309" s="1" t="s">
        <v>55</v>
      </c>
      <c r="Q3309" s="1">
        <v>13</v>
      </c>
      <c r="R3309" s="1">
        <v>13</v>
      </c>
      <c r="S3309" s="1">
        <v>0</v>
      </c>
      <c r="T3309" s="1">
        <v>0</v>
      </c>
      <c r="U3309" s="1">
        <v>0</v>
      </c>
      <c r="V3309" s="1" t="str">
        <f t="shared" si="624"/>
        <v>里程去程</v>
      </c>
      <c r="W3309" s="1" t="str">
        <f>"0120"</f>
        <v>0120</v>
      </c>
      <c r="X3309" s="1" t="s">
        <v>35</v>
      </c>
    </row>
    <row r="3310" spans="1:24" x14ac:dyDescent="0.3">
      <c r="A3310" s="1" t="str">
        <f t="shared" si="623"/>
        <v>59829</v>
      </c>
      <c r="B3310" s="1" t="s">
        <v>47</v>
      </c>
      <c r="C3310" s="1" t="s">
        <v>48</v>
      </c>
      <c r="D3310" s="1" t="str">
        <f>"9806"</f>
        <v>9806</v>
      </c>
      <c r="E3310" s="1" t="s">
        <v>49</v>
      </c>
      <c r="F3310" s="1" t="str">
        <f>"422060913"</f>
        <v>422060913</v>
      </c>
      <c r="G3310" s="1" t="s">
        <v>96</v>
      </c>
      <c r="H3310" s="1" t="str">
        <f t="shared" si="618"/>
        <v>20220914</v>
      </c>
      <c r="I3310" s="1" t="str">
        <f>"165940"</f>
        <v>165940</v>
      </c>
      <c r="J3310" s="1" t="s">
        <v>28</v>
      </c>
      <c r="K3310" s="1" t="s">
        <v>28</v>
      </c>
      <c r="L3310" s="1" t="str">
        <f t="shared" si="619"/>
        <v>20220914</v>
      </c>
      <c r="M3310" s="1" t="str">
        <f>"171044"</f>
        <v>171044</v>
      </c>
      <c r="N3310" s="1" t="s">
        <v>108</v>
      </c>
      <c r="O3310" s="1" t="s">
        <v>28</v>
      </c>
      <c r="P3310" s="1" t="s">
        <v>55</v>
      </c>
      <c r="Q3310" s="1">
        <v>13</v>
      </c>
      <c r="R3310" s="1">
        <v>13</v>
      </c>
      <c r="S3310" s="1">
        <v>0</v>
      </c>
      <c r="T3310" s="1">
        <v>0</v>
      </c>
      <c r="U3310" s="1">
        <v>0</v>
      </c>
      <c r="V3310" s="1" t="str">
        <f t="shared" ref="V3310:V3321" si="626">"里程返程"</f>
        <v>里程返程</v>
      </c>
      <c r="W3310" s="1" t="str">
        <f>"0120"</f>
        <v>0120</v>
      </c>
      <c r="X3310" s="1" t="s">
        <v>35</v>
      </c>
    </row>
    <row r="3311" spans="1:24" x14ac:dyDescent="0.3">
      <c r="A3311" s="1" t="str">
        <f t="shared" ref="A3311:A3344" si="627">"59809"</f>
        <v>59809</v>
      </c>
      <c r="B3311" s="1" t="s">
        <v>42</v>
      </c>
      <c r="C3311" s="1" t="s">
        <v>43</v>
      </c>
      <c r="D3311" s="1" t="str">
        <f t="shared" ref="D3311:D3344" si="628">"9801"</f>
        <v>9801</v>
      </c>
      <c r="E3311" s="1" t="s">
        <v>25</v>
      </c>
      <c r="F3311" s="1" t="str">
        <f>"1752749445"</f>
        <v>1752749445</v>
      </c>
      <c r="G3311" s="1" t="s">
        <v>33</v>
      </c>
      <c r="H3311" s="1" t="str">
        <f t="shared" ref="H3311:H3374" si="629">"20220915"</f>
        <v>20220915</v>
      </c>
      <c r="I3311" s="1" t="str">
        <f>"062835"</f>
        <v>062835</v>
      </c>
      <c r="J3311" s="1" t="s">
        <v>28</v>
      </c>
      <c r="K3311" s="1" t="s">
        <v>28</v>
      </c>
      <c r="L3311" s="1" t="str">
        <f t="shared" ref="L3311:L3346" si="630">"20220915"</f>
        <v>20220915</v>
      </c>
      <c r="M3311" s="1" t="str">
        <f>"065250"</f>
        <v>065250</v>
      </c>
      <c r="N3311" s="1" t="s">
        <v>72</v>
      </c>
      <c r="O3311" s="1" t="s">
        <v>52</v>
      </c>
      <c r="P3311" s="1" t="s">
        <v>55</v>
      </c>
      <c r="Q3311" s="1">
        <v>25</v>
      </c>
      <c r="R3311" s="1">
        <v>0</v>
      </c>
      <c r="S3311" s="1">
        <v>25</v>
      </c>
      <c r="T3311" s="1">
        <v>0</v>
      </c>
      <c r="U3311" s="1">
        <v>0</v>
      </c>
      <c r="V3311" s="1" t="str">
        <f t="shared" si="626"/>
        <v>里程返程</v>
      </c>
      <c r="W3311" s="1" t="str">
        <f>"0820"</f>
        <v>0820</v>
      </c>
      <c r="X3311" s="1" t="s">
        <v>35</v>
      </c>
    </row>
    <row r="3312" spans="1:24" x14ac:dyDescent="0.3">
      <c r="A3312" s="1" t="str">
        <f t="shared" si="627"/>
        <v>59809</v>
      </c>
      <c r="B3312" s="1" t="s">
        <v>42</v>
      </c>
      <c r="C3312" s="1" t="s">
        <v>43</v>
      </c>
      <c r="D3312" s="1" t="str">
        <f t="shared" si="628"/>
        <v>9801</v>
      </c>
      <c r="E3312" s="1" t="s">
        <v>25</v>
      </c>
      <c r="F3312" s="1" t="str">
        <f>"619F1761882804001C00000000000000"</f>
        <v>619F1761882804001C00000000000000</v>
      </c>
      <c r="G3312" s="1" t="s">
        <v>58</v>
      </c>
      <c r="H3312" s="1" t="str">
        <f t="shared" si="629"/>
        <v>20220915</v>
      </c>
      <c r="I3312" s="1" t="str">
        <f>"062923"</f>
        <v>062923</v>
      </c>
      <c r="J3312" s="1" t="s">
        <v>28</v>
      </c>
      <c r="K3312" s="1" t="s">
        <v>28</v>
      </c>
      <c r="L3312" s="1" t="str">
        <f t="shared" si="630"/>
        <v>20220915</v>
      </c>
      <c r="M3312" s="1" t="str">
        <f>"065243"</f>
        <v>065243</v>
      </c>
      <c r="N3312" s="1" t="s">
        <v>72</v>
      </c>
      <c r="O3312" s="1" t="s">
        <v>52</v>
      </c>
      <c r="P3312" s="1" t="s">
        <v>55</v>
      </c>
      <c r="Q3312" s="1">
        <v>25</v>
      </c>
      <c r="R3312" s="1">
        <v>0</v>
      </c>
      <c r="S3312" s="1">
        <v>25</v>
      </c>
      <c r="T3312" s="1">
        <v>0</v>
      </c>
      <c r="U3312" s="1">
        <v>0</v>
      </c>
      <c r="V3312" s="1" t="str">
        <f t="shared" si="626"/>
        <v>里程返程</v>
      </c>
      <c r="W3312" s="1" t="str">
        <f>"0620"</f>
        <v>0620</v>
      </c>
      <c r="X3312" s="1" t="s">
        <v>29</v>
      </c>
    </row>
    <row r="3313" spans="1:24" x14ac:dyDescent="0.3">
      <c r="A3313" s="1" t="str">
        <f t="shared" si="627"/>
        <v>59809</v>
      </c>
      <c r="B3313" s="1" t="s">
        <v>42</v>
      </c>
      <c r="C3313" s="1" t="s">
        <v>43</v>
      </c>
      <c r="D3313" s="1" t="str">
        <f t="shared" si="628"/>
        <v>9801</v>
      </c>
      <c r="E3313" s="1" t="s">
        <v>25</v>
      </c>
      <c r="F3313" s="1" t="str">
        <f>"D2EDC500FA880400C801002000000015"</f>
        <v>D2EDC500FA880400C801002000000015</v>
      </c>
      <c r="G3313" s="1" t="s">
        <v>58</v>
      </c>
      <c r="H3313" s="1" t="str">
        <f t="shared" si="629"/>
        <v>20220915</v>
      </c>
      <c r="I3313" s="1" t="str">
        <f>"063104"</f>
        <v>063104</v>
      </c>
      <c r="J3313" s="1" t="s">
        <v>28</v>
      </c>
      <c r="K3313" s="1" t="s">
        <v>28</v>
      </c>
      <c r="L3313" s="1" t="str">
        <f t="shared" si="630"/>
        <v>20220915</v>
      </c>
      <c r="M3313" s="1" t="str">
        <f>"070024"</f>
        <v>070024</v>
      </c>
      <c r="N3313" s="1" t="s">
        <v>52</v>
      </c>
      <c r="O3313" s="1" t="s">
        <v>52</v>
      </c>
      <c r="P3313" s="1" t="s">
        <v>55</v>
      </c>
      <c r="Q3313" s="1">
        <v>25</v>
      </c>
      <c r="R3313" s="1">
        <v>25</v>
      </c>
      <c r="S3313" s="1">
        <v>0</v>
      </c>
      <c r="T3313" s="1">
        <v>0</v>
      </c>
      <c r="U3313" s="1">
        <v>0</v>
      </c>
      <c r="V3313" s="1" t="str">
        <f t="shared" si="626"/>
        <v>里程返程</v>
      </c>
      <c r="W3313" s="1" t="str">
        <f>"0020"</f>
        <v>0020</v>
      </c>
      <c r="X3313" s="1" t="s">
        <v>29</v>
      </c>
    </row>
    <row r="3314" spans="1:24" x14ac:dyDescent="0.3">
      <c r="A3314" s="1" t="str">
        <f t="shared" si="627"/>
        <v>59809</v>
      </c>
      <c r="B3314" s="1" t="s">
        <v>42</v>
      </c>
      <c r="C3314" s="1" t="s">
        <v>43</v>
      </c>
      <c r="D3314" s="1" t="str">
        <f t="shared" si="628"/>
        <v>9801</v>
      </c>
      <c r="E3314" s="1" t="s">
        <v>25</v>
      </c>
      <c r="F3314" s="1" t="str">
        <f>"623A1B0340880400C834002000000015"</f>
        <v>623A1B0340880400C834002000000015</v>
      </c>
      <c r="G3314" s="1" t="s">
        <v>26</v>
      </c>
      <c r="H3314" s="1" t="str">
        <f t="shared" si="629"/>
        <v>20220915</v>
      </c>
      <c r="I3314" s="1" t="str">
        <f>"072105"</f>
        <v>072105</v>
      </c>
      <c r="J3314" s="1" t="s">
        <v>28</v>
      </c>
      <c r="K3314" s="1" t="s">
        <v>28</v>
      </c>
      <c r="L3314" s="1" t="str">
        <f t="shared" si="630"/>
        <v>20220915</v>
      </c>
      <c r="M3314" s="1" t="str">
        <f>"075046"</f>
        <v>075046</v>
      </c>
      <c r="N3314" s="1" t="s">
        <v>60</v>
      </c>
      <c r="O3314" s="1" t="s">
        <v>52</v>
      </c>
      <c r="P3314" s="1" t="s">
        <v>68</v>
      </c>
      <c r="Q3314" s="1">
        <v>13</v>
      </c>
      <c r="R3314" s="1">
        <v>0</v>
      </c>
      <c r="S3314" s="1">
        <v>0</v>
      </c>
      <c r="T3314" s="1">
        <v>13</v>
      </c>
      <c r="U3314" s="1">
        <v>0</v>
      </c>
      <c r="V3314" s="1" t="str">
        <f t="shared" si="626"/>
        <v>里程返程</v>
      </c>
      <c r="W3314" s="1" t="str">
        <f>"0020"</f>
        <v>0020</v>
      </c>
      <c r="X3314" s="1" t="s">
        <v>29</v>
      </c>
    </row>
    <row r="3315" spans="1:24" x14ac:dyDescent="0.3">
      <c r="A3315" s="1" t="str">
        <f t="shared" si="627"/>
        <v>59809</v>
      </c>
      <c r="B3315" s="1" t="s">
        <v>42</v>
      </c>
      <c r="C3315" s="1" t="s">
        <v>43</v>
      </c>
      <c r="D3315" s="1" t="str">
        <f t="shared" si="628"/>
        <v>9801</v>
      </c>
      <c r="E3315" s="1" t="s">
        <v>25</v>
      </c>
      <c r="F3315" s="1" t="str">
        <f>"D257BD023A880400C834002000000015"</f>
        <v>D257BD023A880400C834002000000015</v>
      </c>
      <c r="G3315" s="1" t="s">
        <v>74</v>
      </c>
      <c r="H3315" s="1" t="str">
        <f t="shared" si="629"/>
        <v>20220915</v>
      </c>
      <c r="I3315" s="1" t="str">
        <f>"072111"</f>
        <v>072111</v>
      </c>
      <c r="J3315" s="1" t="s">
        <v>28</v>
      </c>
      <c r="K3315" s="1" t="s">
        <v>28</v>
      </c>
      <c r="L3315" s="1" t="str">
        <f t="shared" si="630"/>
        <v>20220915</v>
      </c>
      <c r="M3315" s="1" t="str">
        <f>"073155"</f>
        <v>073155</v>
      </c>
      <c r="N3315" s="1" t="s">
        <v>67</v>
      </c>
      <c r="O3315" s="1" t="s">
        <v>52</v>
      </c>
      <c r="P3315" s="1" t="s">
        <v>68</v>
      </c>
      <c r="Q3315" s="1">
        <v>13</v>
      </c>
      <c r="R3315" s="1">
        <v>0</v>
      </c>
      <c r="S3315" s="1">
        <v>0</v>
      </c>
      <c r="T3315" s="1">
        <v>13</v>
      </c>
      <c r="U3315" s="1">
        <v>0</v>
      </c>
      <c r="V3315" s="1" t="str">
        <f t="shared" si="626"/>
        <v>里程返程</v>
      </c>
      <c r="W3315" s="1" t="str">
        <f>"0020"</f>
        <v>0020</v>
      </c>
      <c r="X3315" s="1" t="s">
        <v>29</v>
      </c>
    </row>
    <row r="3316" spans="1:24" x14ac:dyDescent="0.3">
      <c r="A3316" s="1" t="str">
        <f t="shared" si="627"/>
        <v>59809</v>
      </c>
      <c r="B3316" s="1" t="s">
        <v>42</v>
      </c>
      <c r="C3316" s="1" t="s">
        <v>43</v>
      </c>
      <c r="D3316" s="1" t="str">
        <f t="shared" si="628"/>
        <v>9801</v>
      </c>
      <c r="E3316" s="1" t="s">
        <v>25</v>
      </c>
      <c r="F3316" s="1" t="str">
        <f>"82730F18E6880400C814002000000019"</f>
        <v>82730F18E6880400C814002000000019</v>
      </c>
      <c r="G3316" s="1" t="s">
        <v>59</v>
      </c>
      <c r="H3316" s="1" t="str">
        <f t="shared" si="629"/>
        <v>20220915</v>
      </c>
      <c r="I3316" s="1" t="str">
        <f>"072114"</f>
        <v>072114</v>
      </c>
      <c r="J3316" s="1" t="s">
        <v>28</v>
      </c>
      <c r="K3316" s="1" t="s">
        <v>28</v>
      </c>
      <c r="L3316" s="1" t="str">
        <f t="shared" si="630"/>
        <v>20220915</v>
      </c>
      <c r="M3316" s="1" t="str">
        <f>"074450"</f>
        <v>074450</v>
      </c>
      <c r="N3316" s="1" t="s">
        <v>72</v>
      </c>
      <c r="O3316" s="1" t="s">
        <v>52</v>
      </c>
      <c r="P3316" s="1" t="s">
        <v>55</v>
      </c>
      <c r="Q3316" s="1">
        <v>25</v>
      </c>
      <c r="R3316" s="1">
        <v>0</v>
      </c>
      <c r="S3316" s="1">
        <v>25</v>
      </c>
      <c r="T3316" s="1">
        <v>0</v>
      </c>
      <c r="U3316" s="1">
        <v>0</v>
      </c>
      <c r="V3316" s="1" t="str">
        <f t="shared" si="626"/>
        <v>里程返程</v>
      </c>
      <c r="W3316" s="1" t="str">
        <f>"0620"</f>
        <v>0620</v>
      </c>
      <c r="X3316" s="1" t="s">
        <v>29</v>
      </c>
    </row>
    <row r="3317" spans="1:24" x14ac:dyDescent="0.3">
      <c r="A3317" s="1" t="str">
        <f t="shared" si="627"/>
        <v>59809</v>
      </c>
      <c r="B3317" s="1" t="s">
        <v>42</v>
      </c>
      <c r="C3317" s="1" t="s">
        <v>43</v>
      </c>
      <c r="D3317" s="1" t="str">
        <f t="shared" si="628"/>
        <v>9801</v>
      </c>
      <c r="E3317" s="1" t="s">
        <v>25</v>
      </c>
      <c r="F3317" s="1" t="str">
        <f>"62F00B1881880400C814002000000019"</f>
        <v>62F00B1881880400C814002000000019</v>
      </c>
      <c r="G3317" s="1" t="s">
        <v>59</v>
      </c>
      <c r="H3317" s="1" t="str">
        <f t="shared" si="629"/>
        <v>20220915</v>
      </c>
      <c r="I3317" s="1" t="str">
        <f>"072116"</f>
        <v>072116</v>
      </c>
      <c r="J3317" s="1" t="s">
        <v>28</v>
      </c>
      <c r="K3317" s="1" t="s">
        <v>28</v>
      </c>
      <c r="L3317" s="1" t="str">
        <f t="shared" si="630"/>
        <v>20220915</v>
      </c>
      <c r="M3317" s="1" t="str">
        <f>"074453"</f>
        <v>074453</v>
      </c>
      <c r="N3317" s="1" t="s">
        <v>72</v>
      </c>
      <c r="O3317" s="1" t="s">
        <v>52</v>
      </c>
      <c r="P3317" s="1" t="s">
        <v>55</v>
      </c>
      <c r="Q3317" s="1">
        <v>25</v>
      </c>
      <c r="R3317" s="1">
        <v>0</v>
      </c>
      <c r="S3317" s="1">
        <v>25</v>
      </c>
      <c r="T3317" s="1">
        <v>0</v>
      </c>
      <c r="U3317" s="1">
        <v>0</v>
      </c>
      <c r="V3317" s="1" t="str">
        <f t="shared" si="626"/>
        <v>里程返程</v>
      </c>
      <c r="W3317" s="1" t="str">
        <f>"0620"</f>
        <v>0620</v>
      </c>
      <c r="X3317" s="1" t="s">
        <v>29</v>
      </c>
    </row>
    <row r="3318" spans="1:24" x14ac:dyDescent="0.3">
      <c r="A3318" s="1" t="str">
        <f t="shared" si="627"/>
        <v>59809</v>
      </c>
      <c r="B3318" s="1" t="s">
        <v>42</v>
      </c>
      <c r="C3318" s="1" t="s">
        <v>43</v>
      </c>
      <c r="D3318" s="1" t="str">
        <f t="shared" si="628"/>
        <v>9801</v>
      </c>
      <c r="E3318" s="1" t="s">
        <v>25</v>
      </c>
      <c r="F3318" s="1" t="str">
        <f>"1076975349"</f>
        <v>1076975349</v>
      </c>
      <c r="G3318" s="1" t="s">
        <v>33</v>
      </c>
      <c r="H3318" s="1" t="str">
        <f t="shared" si="629"/>
        <v>20220915</v>
      </c>
      <c r="I3318" s="1" t="str">
        <f>"072124"</f>
        <v>072124</v>
      </c>
      <c r="J3318" s="1" t="s">
        <v>28</v>
      </c>
      <c r="K3318" s="1" t="s">
        <v>28</v>
      </c>
      <c r="L3318" s="1" t="str">
        <f t="shared" si="630"/>
        <v>20220915</v>
      </c>
      <c r="M3318" s="1" t="str">
        <f>"073454"</f>
        <v>073454</v>
      </c>
      <c r="N3318" s="1" t="s">
        <v>69</v>
      </c>
      <c r="O3318" s="1" t="s">
        <v>52</v>
      </c>
      <c r="P3318" s="1" t="s">
        <v>55</v>
      </c>
      <c r="Q3318" s="1">
        <v>25</v>
      </c>
      <c r="R3318" s="1">
        <v>0</v>
      </c>
      <c r="S3318" s="1">
        <v>25</v>
      </c>
      <c r="T3318" s="1">
        <v>0</v>
      </c>
      <c r="U3318" s="1">
        <v>0</v>
      </c>
      <c r="V3318" s="1" t="str">
        <f t="shared" si="626"/>
        <v>里程返程</v>
      </c>
      <c r="W3318" s="1" t="str">
        <f>"0820"</f>
        <v>0820</v>
      </c>
      <c r="X3318" s="1" t="s">
        <v>35</v>
      </c>
    </row>
    <row r="3319" spans="1:24" x14ac:dyDescent="0.3">
      <c r="A3319" s="1" t="str">
        <f t="shared" si="627"/>
        <v>59809</v>
      </c>
      <c r="B3319" s="1" t="s">
        <v>42</v>
      </c>
      <c r="C3319" s="1" t="s">
        <v>43</v>
      </c>
      <c r="D3319" s="1" t="str">
        <f t="shared" si="628"/>
        <v>9801</v>
      </c>
      <c r="E3319" s="1" t="s">
        <v>25</v>
      </c>
      <c r="F3319" s="1" t="str">
        <f>"821C1A0387880400C834002000000015"</f>
        <v>821C1A0387880400C834002000000015</v>
      </c>
      <c r="G3319" s="1" t="s">
        <v>26</v>
      </c>
      <c r="H3319" s="1" t="str">
        <f t="shared" si="629"/>
        <v>20220915</v>
      </c>
      <c r="I3319" s="1" t="str">
        <f>"074038"</f>
        <v>074038</v>
      </c>
      <c r="J3319" s="1" t="s">
        <v>80</v>
      </c>
      <c r="K3319" s="1" t="s">
        <v>52</v>
      </c>
      <c r="L3319" s="1" t="str">
        <f t="shared" si="630"/>
        <v>20220915</v>
      </c>
      <c r="M3319" s="1" t="str">
        <f>"075054"</f>
        <v>075054</v>
      </c>
      <c r="N3319" s="1" t="s">
        <v>60</v>
      </c>
      <c r="O3319" s="1" t="s">
        <v>52</v>
      </c>
      <c r="P3319" s="1" t="s">
        <v>68</v>
      </c>
      <c r="Q3319" s="1">
        <v>13</v>
      </c>
      <c r="R3319" s="1">
        <v>0</v>
      </c>
      <c r="S3319" s="1">
        <v>0</v>
      </c>
      <c r="T3319" s="1">
        <v>13</v>
      </c>
      <c r="U3319" s="1">
        <v>0</v>
      </c>
      <c r="V3319" s="1" t="str">
        <f t="shared" si="626"/>
        <v>里程返程</v>
      </c>
      <c r="W3319" s="1" t="str">
        <f>"0020"</f>
        <v>0020</v>
      </c>
      <c r="X3319" s="1" t="s">
        <v>29</v>
      </c>
    </row>
    <row r="3320" spans="1:24" x14ac:dyDescent="0.3">
      <c r="A3320" s="1" t="str">
        <f t="shared" si="627"/>
        <v>59809</v>
      </c>
      <c r="B3320" s="1" t="s">
        <v>42</v>
      </c>
      <c r="C3320" s="1" t="s">
        <v>43</v>
      </c>
      <c r="D3320" s="1" t="str">
        <f t="shared" si="628"/>
        <v>9801</v>
      </c>
      <c r="E3320" s="1" t="s">
        <v>25</v>
      </c>
      <c r="F3320" s="1" t="str">
        <f>"1759959808"</f>
        <v>1759959808</v>
      </c>
      <c r="G3320" s="1" t="s">
        <v>33</v>
      </c>
      <c r="H3320" s="1" t="str">
        <f t="shared" si="629"/>
        <v>20220915</v>
      </c>
      <c r="I3320" s="1" t="str">
        <f>"074042"</f>
        <v>074042</v>
      </c>
      <c r="J3320" s="1" t="s">
        <v>80</v>
      </c>
      <c r="K3320" s="1" t="s">
        <v>52</v>
      </c>
      <c r="L3320" s="1" t="str">
        <f t="shared" si="630"/>
        <v>20220915</v>
      </c>
      <c r="M3320" s="1" t="str">
        <f>"075057"</f>
        <v>075057</v>
      </c>
      <c r="N3320" s="1" t="s">
        <v>60</v>
      </c>
      <c r="O3320" s="1" t="s">
        <v>52</v>
      </c>
      <c r="P3320" s="1" t="s">
        <v>55</v>
      </c>
      <c r="Q3320" s="1">
        <v>25</v>
      </c>
      <c r="R3320" s="1">
        <v>25</v>
      </c>
      <c r="S3320" s="1">
        <v>0</v>
      </c>
      <c r="T3320" s="1">
        <v>0</v>
      </c>
      <c r="U3320" s="1">
        <v>0</v>
      </c>
      <c r="V3320" s="1" t="str">
        <f t="shared" si="626"/>
        <v>里程返程</v>
      </c>
      <c r="W3320" s="1" t="str">
        <f>"2020"</f>
        <v>2020</v>
      </c>
      <c r="X3320" s="1" t="s">
        <v>35</v>
      </c>
    </row>
    <row r="3321" spans="1:24" x14ac:dyDescent="0.3">
      <c r="A3321" s="1" t="str">
        <f t="shared" si="627"/>
        <v>59809</v>
      </c>
      <c r="B3321" s="1" t="s">
        <v>42</v>
      </c>
      <c r="C3321" s="1" t="s">
        <v>43</v>
      </c>
      <c r="D3321" s="1" t="str">
        <f t="shared" si="628"/>
        <v>9801</v>
      </c>
      <c r="E3321" s="1" t="s">
        <v>25</v>
      </c>
      <c r="F3321" s="1" t="str">
        <f>"82D5FB02AE880400C834002000000015"</f>
        <v>82D5FB02AE880400C834002000000015</v>
      </c>
      <c r="G3321" s="1" t="s">
        <v>26</v>
      </c>
      <c r="H3321" s="1" t="str">
        <f t="shared" si="629"/>
        <v>20220915</v>
      </c>
      <c r="I3321" s="1" t="str">
        <f>"074832"</f>
        <v>074832</v>
      </c>
      <c r="J3321" s="1" t="s">
        <v>51</v>
      </c>
      <c r="K3321" s="1" t="s">
        <v>52</v>
      </c>
      <c r="L3321" s="1" t="str">
        <f t="shared" si="630"/>
        <v>20220915</v>
      </c>
      <c r="M3321" s="1" t="str">
        <f>"075255"</f>
        <v>075255</v>
      </c>
      <c r="N3321" s="1" t="s">
        <v>86</v>
      </c>
      <c r="O3321" s="1" t="s">
        <v>52</v>
      </c>
      <c r="P3321" s="1" t="s">
        <v>68</v>
      </c>
      <c r="Q3321" s="1">
        <v>13</v>
      </c>
      <c r="R3321" s="1">
        <v>0</v>
      </c>
      <c r="S3321" s="1">
        <v>0</v>
      </c>
      <c r="T3321" s="1">
        <v>13</v>
      </c>
      <c r="U3321" s="1">
        <v>0</v>
      </c>
      <c r="V3321" s="1" t="str">
        <f t="shared" si="626"/>
        <v>里程返程</v>
      </c>
      <c r="W3321" s="1" t="str">
        <f>"0020"</f>
        <v>0020</v>
      </c>
      <c r="X3321" s="1" t="s">
        <v>29</v>
      </c>
    </row>
    <row r="3322" spans="1:24" x14ac:dyDescent="0.3">
      <c r="A3322" s="1" t="str">
        <f t="shared" si="627"/>
        <v>59809</v>
      </c>
      <c r="B3322" s="1" t="s">
        <v>42</v>
      </c>
      <c r="C3322" s="1" t="s">
        <v>43</v>
      </c>
      <c r="D3322" s="1" t="str">
        <f t="shared" si="628"/>
        <v>9801</v>
      </c>
      <c r="E3322" s="1" t="s">
        <v>25</v>
      </c>
      <c r="F3322" s="1" t="str">
        <f>"1406666913"</f>
        <v>1406666913</v>
      </c>
      <c r="G3322" s="1" t="s">
        <v>26</v>
      </c>
      <c r="H3322" s="1" t="str">
        <f t="shared" si="629"/>
        <v>20220915</v>
      </c>
      <c r="I3322" s="1" t="str">
        <f>"083006"</f>
        <v>083006</v>
      </c>
      <c r="J3322" s="1" t="s">
        <v>27</v>
      </c>
      <c r="K3322" s="1" t="s">
        <v>28</v>
      </c>
      <c r="L3322" s="1" t="str">
        <f t="shared" si="630"/>
        <v>20220915</v>
      </c>
      <c r="M3322" s="1" t="str">
        <f>"085548"</f>
        <v>085548</v>
      </c>
      <c r="N3322" s="1" t="s">
        <v>44</v>
      </c>
      <c r="O3322" s="1" t="s">
        <v>45</v>
      </c>
      <c r="P3322" s="1" t="s">
        <v>55</v>
      </c>
      <c r="Q3322" s="1">
        <v>13</v>
      </c>
      <c r="R3322" s="1">
        <v>13</v>
      </c>
      <c r="S3322" s="1">
        <v>0</v>
      </c>
      <c r="T3322" s="1">
        <v>0</v>
      </c>
      <c r="U3322" s="1">
        <v>0</v>
      </c>
      <c r="V3322" s="1" t="str">
        <f t="shared" ref="V3322:V3333" si="631">"里程去程"</f>
        <v>里程去程</v>
      </c>
      <c r="W3322" s="1" t="str">
        <f>"2020"</f>
        <v>2020</v>
      </c>
      <c r="X3322" s="1" t="s">
        <v>35</v>
      </c>
    </row>
    <row r="3323" spans="1:24" x14ac:dyDescent="0.3">
      <c r="A3323" s="1" t="str">
        <f t="shared" si="627"/>
        <v>59809</v>
      </c>
      <c r="B3323" s="1" t="s">
        <v>42</v>
      </c>
      <c r="C3323" s="1" t="s">
        <v>43</v>
      </c>
      <c r="D3323" s="1" t="str">
        <f t="shared" si="628"/>
        <v>9801</v>
      </c>
      <c r="E3323" s="1" t="s">
        <v>25</v>
      </c>
      <c r="F3323" s="1" t="str">
        <f>"1407663569"</f>
        <v>1407663569</v>
      </c>
      <c r="G3323" s="1" t="s">
        <v>26</v>
      </c>
      <c r="H3323" s="1" t="str">
        <f t="shared" si="629"/>
        <v>20220915</v>
      </c>
      <c r="I3323" s="1" t="str">
        <f>"083016"</f>
        <v>083016</v>
      </c>
      <c r="J3323" s="1" t="s">
        <v>27</v>
      </c>
      <c r="K3323" s="1" t="s">
        <v>28</v>
      </c>
      <c r="L3323" s="1" t="str">
        <f t="shared" si="630"/>
        <v>20220915</v>
      </c>
      <c r="M3323" s="1" t="str">
        <f>"085541"</f>
        <v>085541</v>
      </c>
      <c r="N3323" s="1" t="s">
        <v>44</v>
      </c>
      <c r="O3323" s="1" t="s">
        <v>45</v>
      </c>
      <c r="P3323" s="1" t="s">
        <v>55</v>
      </c>
      <c r="Q3323" s="1">
        <v>13</v>
      </c>
      <c r="R3323" s="1">
        <v>13</v>
      </c>
      <c r="S3323" s="1">
        <v>0</v>
      </c>
      <c r="T3323" s="1">
        <v>0</v>
      </c>
      <c r="U3323" s="1">
        <v>0</v>
      </c>
      <c r="V3323" s="1" t="str">
        <f t="shared" si="631"/>
        <v>里程去程</v>
      </c>
      <c r="W3323" s="1" t="str">
        <f>"2020"</f>
        <v>2020</v>
      </c>
      <c r="X3323" s="1" t="s">
        <v>35</v>
      </c>
    </row>
    <row r="3324" spans="1:24" x14ac:dyDescent="0.3">
      <c r="A3324" s="1" t="str">
        <f t="shared" si="627"/>
        <v>59809</v>
      </c>
      <c r="B3324" s="1" t="s">
        <v>42</v>
      </c>
      <c r="C3324" s="1" t="s">
        <v>43</v>
      </c>
      <c r="D3324" s="1" t="str">
        <f t="shared" si="628"/>
        <v>9801</v>
      </c>
      <c r="E3324" s="1" t="s">
        <v>25</v>
      </c>
      <c r="F3324" s="1" t="str">
        <f>"72D4CB066B880400C838002000000015"</f>
        <v>72D4CB066B880400C838002000000015</v>
      </c>
      <c r="G3324" s="1" t="s">
        <v>26</v>
      </c>
      <c r="H3324" s="1" t="str">
        <f t="shared" si="629"/>
        <v>20220915</v>
      </c>
      <c r="I3324" s="1" t="str">
        <f>"083019"</f>
        <v>083019</v>
      </c>
      <c r="J3324" s="1" t="s">
        <v>27</v>
      </c>
      <c r="K3324" s="1" t="s">
        <v>28</v>
      </c>
      <c r="L3324" s="1" t="str">
        <f t="shared" si="630"/>
        <v>20220915</v>
      </c>
      <c r="M3324" s="1" t="str">
        <f>"084407"</f>
        <v>084407</v>
      </c>
      <c r="N3324" s="1" t="s">
        <v>45</v>
      </c>
      <c r="O3324" s="1" t="s">
        <v>45</v>
      </c>
      <c r="P3324" s="1" t="s">
        <v>68</v>
      </c>
      <c r="Q3324" s="1">
        <v>13</v>
      </c>
      <c r="R3324" s="1">
        <v>0</v>
      </c>
      <c r="S3324" s="1">
        <v>0</v>
      </c>
      <c r="T3324" s="1">
        <v>13</v>
      </c>
      <c r="U3324" s="1">
        <v>0</v>
      </c>
      <c r="V3324" s="1" t="str">
        <f t="shared" si="631"/>
        <v>里程去程</v>
      </c>
      <c r="W3324" s="1" t="str">
        <f>"0020"</f>
        <v>0020</v>
      </c>
      <c r="X3324" s="1" t="s">
        <v>29</v>
      </c>
    </row>
    <row r="3325" spans="1:24" x14ac:dyDescent="0.3">
      <c r="A3325" s="1" t="str">
        <f t="shared" si="627"/>
        <v>59809</v>
      </c>
      <c r="B3325" s="1" t="s">
        <v>42</v>
      </c>
      <c r="C3325" s="1" t="s">
        <v>43</v>
      </c>
      <c r="D3325" s="1" t="str">
        <f t="shared" si="628"/>
        <v>9801</v>
      </c>
      <c r="E3325" s="1" t="s">
        <v>25</v>
      </c>
      <c r="F3325" s="1" t="str">
        <f>"2030765248"</f>
        <v>2030765248</v>
      </c>
      <c r="G3325" s="1" t="s">
        <v>33</v>
      </c>
      <c r="H3325" s="1" t="str">
        <f t="shared" si="629"/>
        <v>20220915</v>
      </c>
      <c r="I3325" s="1" t="str">
        <f>"085616"</f>
        <v>085616</v>
      </c>
      <c r="J3325" s="1" t="s">
        <v>52</v>
      </c>
      <c r="K3325" s="1" t="s">
        <v>52</v>
      </c>
      <c r="L3325" s="1" t="str">
        <f t="shared" si="630"/>
        <v>20220915</v>
      </c>
      <c r="M3325" s="1" t="str">
        <f>"090705"</f>
        <v>090705</v>
      </c>
      <c r="N3325" s="1" t="s">
        <v>60</v>
      </c>
      <c r="O3325" s="1" t="s">
        <v>52</v>
      </c>
      <c r="P3325" s="1" t="s">
        <v>55</v>
      </c>
      <c r="Q3325" s="1">
        <v>25</v>
      </c>
      <c r="R3325" s="1">
        <v>0</v>
      </c>
      <c r="S3325" s="1">
        <v>25</v>
      </c>
      <c r="T3325" s="1">
        <v>0</v>
      </c>
      <c r="U3325" s="1">
        <v>0</v>
      </c>
      <c r="V3325" s="1" t="str">
        <f t="shared" si="631"/>
        <v>里程去程</v>
      </c>
      <c r="W3325" s="1" t="str">
        <f>"2120"</f>
        <v>2120</v>
      </c>
      <c r="X3325" s="1" t="s">
        <v>35</v>
      </c>
    </row>
    <row r="3326" spans="1:24" x14ac:dyDescent="0.3">
      <c r="A3326" s="1" t="str">
        <f t="shared" si="627"/>
        <v>59809</v>
      </c>
      <c r="B3326" s="1" t="s">
        <v>42</v>
      </c>
      <c r="C3326" s="1" t="s">
        <v>43</v>
      </c>
      <c r="D3326" s="1" t="str">
        <f t="shared" si="628"/>
        <v>9801</v>
      </c>
      <c r="E3326" s="1" t="s">
        <v>25</v>
      </c>
      <c r="F3326" s="1" t="str">
        <f>"82D5FB02AE880400C834002000000015"</f>
        <v>82D5FB02AE880400C834002000000015</v>
      </c>
      <c r="G3326" s="1" t="s">
        <v>26</v>
      </c>
      <c r="H3326" s="1" t="str">
        <f t="shared" si="629"/>
        <v>20220915</v>
      </c>
      <c r="I3326" s="1" t="str">
        <f>"090457"</f>
        <v>090457</v>
      </c>
      <c r="J3326" s="1" t="s">
        <v>86</v>
      </c>
      <c r="K3326" s="1" t="s">
        <v>52</v>
      </c>
      <c r="L3326" s="1" t="str">
        <f t="shared" si="630"/>
        <v>20220915</v>
      </c>
      <c r="M3326" s="1" t="str">
        <f>"090939"</f>
        <v>090939</v>
      </c>
      <c r="N3326" s="1" t="s">
        <v>51</v>
      </c>
      <c r="O3326" s="1" t="s">
        <v>52</v>
      </c>
      <c r="P3326" s="1" t="s">
        <v>68</v>
      </c>
      <c r="Q3326" s="1">
        <v>13</v>
      </c>
      <c r="R3326" s="1">
        <v>0</v>
      </c>
      <c r="S3326" s="1">
        <v>0</v>
      </c>
      <c r="T3326" s="1">
        <v>13</v>
      </c>
      <c r="U3326" s="1">
        <v>0</v>
      </c>
      <c r="V3326" s="1" t="str">
        <f t="shared" si="631"/>
        <v>里程去程</v>
      </c>
      <c r="W3326" s="1" t="str">
        <f t="shared" ref="W3326:W3331" si="632">"0020"</f>
        <v>0020</v>
      </c>
      <c r="X3326" s="1" t="s">
        <v>29</v>
      </c>
    </row>
    <row r="3327" spans="1:24" x14ac:dyDescent="0.3">
      <c r="A3327" s="1" t="str">
        <f t="shared" si="627"/>
        <v>59809</v>
      </c>
      <c r="B3327" s="1" t="s">
        <v>42</v>
      </c>
      <c r="C3327" s="1" t="s">
        <v>43</v>
      </c>
      <c r="D3327" s="1" t="str">
        <f t="shared" si="628"/>
        <v>9801</v>
      </c>
      <c r="E3327" s="1" t="s">
        <v>25</v>
      </c>
      <c r="F3327" s="1" t="str">
        <f>"821C1A0387880400C834002000000015"</f>
        <v>821C1A0387880400C834002000000015</v>
      </c>
      <c r="G3327" s="1" t="s">
        <v>26</v>
      </c>
      <c r="H3327" s="1" t="str">
        <f t="shared" si="629"/>
        <v>20220915</v>
      </c>
      <c r="I3327" s="1" t="str">
        <f>"090717"</f>
        <v>090717</v>
      </c>
      <c r="J3327" s="1" t="s">
        <v>60</v>
      </c>
      <c r="K3327" s="1" t="s">
        <v>52</v>
      </c>
      <c r="L3327" s="1" t="str">
        <f t="shared" si="630"/>
        <v>20220915</v>
      </c>
      <c r="M3327" s="1" t="str">
        <f>"091510"</f>
        <v>091510</v>
      </c>
      <c r="N3327" s="1" t="s">
        <v>80</v>
      </c>
      <c r="O3327" s="1" t="s">
        <v>52</v>
      </c>
      <c r="P3327" s="1" t="s">
        <v>68</v>
      </c>
      <c r="Q3327" s="1">
        <v>13</v>
      </c>
      <c r="R3327" s="1">
        <v>0</v>
      </c>
      <c r="S3327" s="1">
        <v>0</v>
      </c>
      <c r="T3327" s="1">
        <v>13</v>
      </c>
      <c r="U3327" s="1">
        <v>0</v>
      </c>
      <c r="V3327" s="1" t="str">
        <f t="shared" si="631"/>
        <v>里程去程</v>
      </c>
      <c r="W3327" s="1" t="str">
        <f t="shared" si="632"/>
        <v>0020</v>
      </c>
      <c r="X3327" s="1" t="s">
        <v>29</v>
      </c>
    </row>
    <row r="3328" spans="1:24" x14ac:dyDescent="0.3">
      <c r="A3328" s="1" t="str">
        <f t="shared" si="627"/>
        <v>59809</v>
      </c>
      <c r="B3328" s="1" t="s">
        <v>42</v>
      </c>
      <c r="C3328" s="1" t="s">
        <v>43</v>
      </c>
      <c r="D3328" s="1" t="str">
        <f t="shared" si="628"/>
        <v>9801</v>
      </c>
      <c r="E3328" s="1" t="s">
        <v>25</v>
      </c>
      <c r="F3328" s="1" t="str">
        <f>"170D28DCEE880400432537E50019030F"</f>
        <v>170D28DCEE880400432537E50019030F</v>
      </c>
      <c r="G3328" s="1" t="s">
        <v>58</v>
      </c>
      <c r="H3328" s="1" t="str">
        <f t="shared" si="629"/>
        <v>20220915</v>
      </c>
      <c r="I3328" s="1" t="str">
        <f>"090727"</f>
        <v>090727</v>
      </c>
      <c r="J3328" s="1" t="s">
        <v>60</v>
      </c>
      <c r="K3328" s="1" t="s">
        <v>52</v>
      </c>
      <c r="L3328" s="1" t="str">
        <f t="shared" si="630"/>
        <v>20220915</v>
      </c>
      <c r="M3328" s="1" t="str">
        <f>"093106"</f>
        <v>093106</v>
      </c>
      <c r="N3328" s="1" t="s">
        <v>70</v>
      </c>
      <c r="O3328" s="1" t="s">
        <v>28</v>
      </c>
      <c r="P3328" s="1" t="s">
        <v>55</v>
      </c>
      <c r="Q3328" s="1">
        <v>25</v>
      </c>
      <c r="R3328" s="1">
        <v>25</v>
      </c>
      <c r="S3328" s="1">
        <v>0</v>
      </c>
      <c r="T3328" s="1">
        <v>0</v>
      </c>
      <c r="U3328" s="1">
        <v>0</v>
      </c>
      <c r="V3328" s="1" t="str">
        <f t="shared" si="631"/>
        <v>里程去程</v>
      </c>
      <c r="W3328" s="1" t="str">
        <f t="shared" si="632"/>
        <v>0020</v>
      </c>
      <c r="X3328" s="1" t="s">
        <v>29</v>
      </c>
    </row>
    <row r="3329" spans="1:24" x14ac:dyDescent="0.3">
      <c r="A3329" s="1" t="str">
        <f t="shared" si="627"/>
        <v>59809</v>
      </c>
      <c r="B3329" s="1" t="s">
        <v>42</v>
      </c>
      <c r="C3329" s="1" t="s">
        <v>43</v>
      </c>
      <c r="D3329" s="1" t="str">
        <f t="shared" si="628"/>
        <v>9801</v>
      </c>
      <c r="E3329" s="1" t="s">
        <v>25</v>
      </c>
      <c r="F3329" s="1" t="str">
        <f>"E293E60295880400C834002000000015"</f>
        <v>E293E60295880400C834002000000015</v>
      </c>
      <c r="G3329" s="1" t="s">
        <v>74</v>
      </c>
      <c r="H3329" s="1" t="str">
        <f t="shared" si="629"/>
        <v>20220915</v>
      </c>
      <c r="I3329" s="1" t="str">
        <f>"091520"</f>
        <v>091520</v>
      </c>
      <c r="J3329" s="1" t="s">
        <v>80</v>
      </c>
      <c r="K3329" s="1" t="s">
        <v>52</v>
      </c>
      <c r="L3329" s="1" t="str">
        <f t="shared" si="630"/>
        <v>20220915</v>
      </c>
      <c r="M3329" s="1" t="str">
        <f>"093049"</f>
        <v>093049</v>
      </c>
      <c r="N3329" s="1" t="s">
        <v>70</v>
      </c>
      <c r="O3329" s="1" t="s">
        <v>28</v>
      </c>
      <c r="P3329" s="1" t="s">
        <v>68</v>
      </c>
      <c r="Q3329" s="1">
        <v>13</v>
      </c>
      <c r="R3329" s="1">
        <v>0</v>
      </c>
      <c r="S3329" s="1">
        <v>0</v>
      </c>
      <c r="T3329" s="1">
        <v>13</v>
      </c>
      <c r="U3329" s="1">
        <v>0</v>
      </c>
      <c r="V3329" s="1" t="str">
        <f t="shared" si="631"/>
        <v>里程去程</v>
      </c>
      <c r="W3329" s="1" t="str">
        <f t="shared" si="632"/>
        <v>0020</v>
      </c>
      <c r="X3329" s="1" t="s">
        <v>29</v>
      </c>
    </row>
    <row r="3330" spans="1:24" x14ac:dyDescent="0.3">
      <c r="A3330" s="1" t="str">
        <f t="shared" si="627"/>
        <v>59809</v>
      </c>
      <c r="B3330" s="1" t="s">
        <v>42</v>
      </c>
      <c r="C3330" s="1" t="s">
        <v>43</v>
      </c>
      <c r="D3330" s="1" t="str">
        <f t="shared" si="628"/>
        <v>9801</v>
      </c>
      <c r="E3330" s="1" t="s">
        <v>25</v>
      </c>
      <c r="F3330" s="1" t="str">
        <f>"C2C219031A880400C834002000000015"</f>
        <v>C2C219031A880400C834002000000015</v>
      </c>
      <c r="G3330" s="1" t="s">
        <v>74</v>
      </c>
      <c r="H3330" s="1" t="str">
        <f t="shared" si="629"/>
        <v>20220915</v>
      </c>
      <c r="I3330" s="1" t="str">
        <f>"091526"</f>
        <v>091526</v>
      </c>
      <c r="J3330" s="1" t="s">
        <v>80</v>
      </c>
      <c r="K3330" s="1" t="s">
        <v>52</v>
      </c>
      <c r="L3330" s="1" t="str">
        <f t="shared" si="630"/>
        <v>20220915</v>
      </c>
      <c r="M3330" s="1" t="str">
        <f>"093054"</f>
        <v>093054</v>
      </c>
      <c r="N3330" s="1" t="s">
        <v>70</v>
      </c>
      <c r="O3330" s="1" t="s">
        <v>28</v>
      </c>
      <c r="P3330" s="1" t="s">
        <v>68</v>
      </c>
      <c r="Q3330" s="1">
        <v>13</v>
      </c>
      <c r="R3330" s="1">
        <v>0</v>
      </c>
      <c r="S3330" s="1">
        <v>0</v>
      </c>
      <c r="T3330" s="1">
        <v>13</v>
      </c>
      <c r="U3330" s="1">
        <v>0</v>
      </c>
      <c r="V3330" s="1" t="str">
        <f t="shared" si="631"/>
        <v>里程去程</v>
      </c>
      <c r="W3330" s="1" t="str">
        <f t="shared" si="632"/>
        <v>0020</v>
      </c>
      <c r="X3330" s="1" t="s">
        <v>29</v>
      </c>
    </row>
    <row r="3331" spans="1:24" x14ac:dyDescent="0.3">
      <c r="A3331" s="1" t="str">
        <f t="shared" si="627"/>
        <v>59809</v>
      </c>
      <c r="B3331" s="1" t="s">
        <v>42</v>
      </c>
      <c r="C3331" s="1" t="s">
        <v>43</v>
      </c>
      <c r="D3331" s="1" t="str">
        <f t="shared" si="628"/>
        <v>9801</v>
      </c>
      <c r="E3331" s="1" t="s">
        <v>25</v>
      </c>
      <c r="F3331" s="1" t="str">
        <f>"4229480221880400C821002000000015"</f>
        <v>4229480221880400C821002000000015</v>
      </c>
      <c r="G3331" s="1" t="s">
        <v>26</v>
      </c>
      <c r="H3331" s="1" t="str">
        <f t="shared" si="629"/>
        <v>20220915</v>
      </c>
      <c r="I3331" s="1" t="str">
        <f>"092008"</f>
        <v>092008</v>
      </c>
      <c r="J3331" s="1" t="s">
        <v>69</v>
      </c>
      <c r="K3331" s="1" t="s">
        <v>52</v>
      </c>
      <c r="L3331" s="1" t="str">
        <f t="shared" si="630"/>
        <v>20220915</v>
      </c>
      <c r="M3331" s="1" t="str">
        <f>"093103"</f>
        <v>093103</v>
      </c>
      <c r="N3331" s="1" t="s">
        <v>70</v>
      </c>
      <c r="O3331" s="1" t="s">
        <v>28</v>
      </c>
      <c r="P3331" s="1" t="s">
        <v>68</v>
      </c>
      <c r="Q3331" s="1">
        <v>13</v>
      </c>
      <c r="R3331" s="1">
        <v>0</v>
      </c>
      <c r="S3331" s="1">
        <v>0</v>
      </c>
      <c r="T3331" s="1">
        <v>13</v>
      </c>
      <c r="U3331" s="1">
        <v>0</v>
      </c>
      <c r="V3331" s="1" t="str">
        <f t="shared" si="631"/>
        <v>里程去程</v>
      </c>
      <c r="W3331" s="1" t="str">
        <f t="shared" si="632"/>
        <v>0020</v>
      </c>
      <c r="X3331" s="1" t="s">
        <v>29</v>
      </c>
    </row>
    <row r="3332" spans="1:24" x14ac:dyDescent="0.3">
      <c r="A3332" s="1" t="str">
        <f t="shared" si="627"/>
        <v>59809</v>
      </c>
      <c r="B3332" s="1" t="s">
        <v>42</v>
      </c>
      <c r="C3332" s="1" t="s">
        <v>43</v>
      </c>
      <c r="D3332" s="1" t="str">
        <f t="shared" si="628"/>
        <v>9801</v>
      </c>
      <c r="E3332" s="1" t="s">
        <v>25</v>
      </c>
      <c r="F3332" s="1" t="str">
        <f>"554627147"</f>
        <v>554627147</v>
      </c>
      <c r="G3332" s="1" t="s">
        <v>33</v>
      </c>
      <c r="H3332" s="1" t="str">
        <f t="shared" si="629"/>
        <v>20220915</v>
      </c>
      <c r="I3332" s="1" t="str">
        <f>"093125"</f>
        <v>093125</v>
      </c>
      <c r="J3332" s="1" t="s">
        <v>27</v>
      </c>
      <c r="K3332" s="1" t="s">
        <v>28</v>
      </c>
      <c r="L3332" s="1" t="str">
        <f t="shared" si="630"/>
        <v>20220915</v>
      </c>
      <c r="M3332" s="1" t="str">
        <f>"094302"</f>
        <v>094302</v>
      </c>
      <c r="N3332" s="1" t="s">
        <v>45</v>
      </c>
      <c r="O3332" s="1" t="s">
        <v>45</v>
      </c>
      <c r="P3332" s="1" t="s">
        <v>55</v>
      </c>
      <c r="Q3332" s="1">
        <v>25</v>
      </c>
      <c r="R3332" s="1">
        <v>25</v>
      </c>
      <c r="S3332" s="1">
        <v>0</v>
      </c>
      <c r="T3332" s="1">
        <v>0</v>
      </c>
      <c r="U3332" s="1">
        <v>0</v>
      </c>
      <c r="V3332" s="1" t="str">
        <f t="shared" si="631"/>
        <v>里程去程</v>
      </c>
      <c r="W3332" s="1" t="str">
        <f>"0820"</f>
        <v>0820</v>
      </c>
      <c r="X3332" s="1" t="s">
        <v>35</v>
      </c>
    </row>
    <row r="3333" spans="1:24" x14ac:dyDescent="0.3">
      <c r="A3333" s="1" t="str">
        <f t="shared" si="627"/>
        <v>59809</v>
      </c>
      <c r="B3333" s="1" t="s">
        <v>42</v>
      </c>
      <c r="C3333" s="1" t="s">
        <v>43</v>
      </c>
      <c r="D3333" s="1" t="str">
        <f t="shared" si="628"/>
        <v>9801</v>
      </c>
      <c r="E3333" s="1" t="s">
        <v>25</v>
      </c>
      <c r="F3333" s="1" t="str">
        <f>"3583387812"</f>
        <v>3583387812</v>
      </c>
      <c r="G3333" s="1" t="s">
        <v>33</v>
      </c>
      <c r="H3333" s="1" t="str">
        <f t="shared" si="629"/>
        <v>20220915</v>
      </c>
      <c r="I3333" s="1" t="str">
        <f>"093128"</f>
        <v>093128</v>
      </c>
      <c r="J3333" s="1" t="s">
        <v>27</v>
      </c>
      <c r="K3333" s="1" t="s">
        <v>28</v>
      </c>
      <c r="L3333" s="1" t="str">
        <f t="shared" si="630"/>
        <v>20220915</v>
      </c>
      <c r="M3333" s="1" t="str">
        <f>"094304"</f>
        <v>094304</v>
      </c>
      <c r="N3333" s="1" t="s">
        <v>45</v>
      </c>
      <c r="O3333" s="1" t="s">
        <v>45</v>
      </c>
      <c r="P3333" s="1" t="s">
        <v>55</v>
      </c>
      <c r="Q3333" s="1">
        <v>25</v>
      </c>
      <c r="R3333" s="1">
        <v>25</v>
      </c>
      <c r="S3333" s="1">
        <v>0</v>
      </c>
      <c r="T3333" s="1">
        <v>0</v>
      </c>
      <c r="U3333" s="1">
        <v>0</v>
      </c>
      <c r="V3333" s="1" t="str">
        <f t="shared" si="631"/>
        <v>里程去程</v>
      </c>
      <c r="W3333" s="1" t="str">
        <f>"0820"</f>
        <v>0820</v>
      </c>
      <c r="X3333" s="1" t="s">
        <v>35</v>
      </c>
    </row>
    <row r="3334" spans="1:24" x14ac:dyDescent="0.3">
      <c r="A3334" s="1" t="str">
        <f t="shared" si="627"/>
        <v>59809</v>
      </c>
      <c r="B3334" s="1" t="s">
        <v>42</v>
      </c>
      <c r="C3334" s="1" t="s">
        <v>43</v>
      </c>
      <c r="D3334" s="1" t="str">
        <f t="shared" si="628"/>
        <v>9801</v>
      </c>
      <c r="E3334" s="1" t="s">
        <v>25</v>
      </c>
      <c r="F3334" s="1" t="str">
        <f>"1734483201"</f>
        <v>1734483201</v>
      </c>
      <c r="G3334" s="1" t="s">
        <v>26</v>
      </c>
      <c r="H3334" s="1" t="str">
        <f t="shared" si="629"/>
        <v>20220915</v>
      </c>
      <c r="I3334" s="1" t="str">
        <f>"123826"</f>
        <v>123826</v>
      </c>
      <c r="J3334" s="1" t="s">
        <v>56</v>
      </c>
      <c r="K3334" s="1" t="s">
        <v>45</v>
      </c>
      <c r="L3334" s="1" t="str">
        <f t="shared" si="630"/>
        <v>20220915</v>
      </c>
      <c r="M3334" s="1" t="str">
        <f>"124953"</f>
        <v>124953</v>
      </c>
      <c r="N3334" s="1" t="s">
        <v>28</v>
      </c>
      <c r="O3334" s="1" t="s">
        <v>28</v>
      </c>
      <c r="P3334" s="1" t="s">
        <v>55</v>
      </c>
      <c r="Q3334" s="1">
        <v>13</v>
      </c>
      <c r="R3334" s="1">
        <v>0</v>
      </c>
      <c r="S3334" s="1">
        <v>13</v>
      </c>
      <c r="T3334" s="1">
        <v>0</v>
      </c>
      <c r="U3334" s="1">
        <v>0</v>
      </c>
      <c r="V3334" s="1" t="str">
        <f t="shared" ref="V3334:V3351" si="633">"里程返程"</f>
        <v>里程返程</v>
      </c>
      <c r="W3334" s="1" t="str">
        <f>"2020"</f>
        <v>2020</v>
      </c>
      <c r="X3334" s="1" t="s">
        <v>35</v>
      </c>
    </row>
    <row r="3335" spans="1:24" x14ac:dyDescent="0.3">
      <c r="A3335" s="1" t="str">
        <f t="shared" si="627"/>
        <v>59809</v>
      </c>
      <c r="B3335" s="1" t="s">
        <v>42</v>
      </c>
      <c r="C3335" s="1" t="s">
        <v>43</v>
      </c>
      <c r="D3335" s="1" t="str">
        <f t="shared" si="628"/>
        <v>9801</v>
      </c>
      <c r="E3335" s="1" t="s">
        <v>25</v>
      </c>
      <c r="F3335" s="1" t="str">
        <f>"1248239201"</f>
        <v>1248239201</v>
      </c>
      <c r="G3335" s="1" t="s">
        <v>33</v>
      </c>
      <c r="H3335" s="1" t="str">
        <f t="shared" si="629"/>
        <v>20220915</v>
      </c>
      <c r="I3335" s="1" t="str">
        <f>"125010"</f>
        <v>125010</v>
      </c>
      <c r="J3335" s="1" t="s">
        <v>28</v>
      </c>
      <c r="K3335" s="1" t="s">
        <v>28</v>
      </c>
      <c r="L3335" s="1" t="str">
        <f t="shared" si="630"/>
        <v>20220915</v>
      </c>
      <c r="M3335" s="1" t="str">
        <f>"132100"</f>
        <v>132100</v>
      </c>
      <c r="N3335" s="1" t="s">
        <v>52</v>
      </c>
      <c r="O3335" s="1" t="s">
        <v>52</v>
      </c>
      <c r="P3335" s="1" t="s">
        <v>55</v>
      </c>
      <c r="Q3335" s="1">
        <v>25</v>
      </c>
      <c r="R3335" s="1">
        <v>25</v>
      </c>
      <c r="S3335" s="1">
        <v>0</v>
      </c>
      <c r="T3335" s="1">
        <v>0</v>
      </c>
      <c r="U3335" s="1">
        <v>0</v>
      </c>
      <c r="V3335" s="1" t="str">
        <f t="shared" si="633"/>
        <v>里程返程</v>
      </c>
      <c r="W3335" s="1" t="str">
        <f>"0120"</f>
        <v>0120</v>
      </c>
      <c r="X3335" s="1" t="s">
        <v>35</v>
      </c>
    </row>
    <row r="3336" spans="1:24" x14ac:dyDescent="0.3">
      <c r="A3336" s="1" t="str">
        <f t="shared" si="627"/>
        <v>59809</v>
      </c>
      <c r="B3336" s="1" t="s">
        <v>42</v>
      </c>
      <c r="C3336" s="1" t="s">
        <v>43</v>
      </c>
      <c r="D3336" s="1" t="str">
        <f t="shared" si="628"/>
        <v>9801</v>
      </c>
      <c r="E3336" s="1" t="s">
        <v>25</v>
      </c>
      <c r="F3336" s="1" t="str">
        <f>"1167112705"</f>
        <v>1167112705</v>
      </c>
      <c r="G3336" s="1" t="s">
        <v>33</v>
      </c>
      <c r="H3336" s="1" t="str">
        <f t="shared" si="629"/>
        <v>20220915</v>
      </c>
      <c r="I3336" s="1" t="str">
        <f>"125011"</f>
        <v>125011</v>
      </c>
      <c r="J3336" s="1" t="s">
        <v>28</v>
      </c>
      <c r="K3336" s="1" t="s">
        <v>28</v>
      </c>
      <c r="L3336" s="1" t="str">
        <f t="shared" si="630"/>
        <v>20220915</v>
      </c>
      <c r="M3336" s="1" t="str">
        <f>"132059"</f>
        <v>132059</v>
      </c>
      <c r="N3336" s="1" t="s">
        <v>52</v>
      </c>
      <c r="O3336" s="1" t="s">
        <v>52</v>
      </c>
      <c r="P3336" s="1" t="s">
        <v>55</v>
      </c>
      <c r="Q3336" s="1">
        <v>25</v>
      </c>
      <c r="R3336" s="1">
        <v>25</v>
      </c>
      <c r="S3336" s="1">
        <v>0</v>
      </c>
      <c r="T3336" s="1">
        <v>0</v>
      </c>
      <c r="U3336" s="1">
        <v>0</v>
      </c>
      <c r="V3336" s="1" t="str">
        <f t="shared" si="633"/>
        <v>里程返程</v>
      </c>
      <c r="W3336" s="1" t="str">
        <f>"0120"</f>
        <v>0120</v>
      </c>
      <c r="X3336" s="1" t="s">
        <v>35</v>
      </c>
    </row>
    <row r="3337" spans="1:24" x14ac:dyDescent="0.3">
      <c r="A3337" s="1" t="str">
        <f t="shared" si="627"/>
        <v>59809</v>
      </c>
      <c r="B3337" s="1" t="s">
        <v>42</v>
      </c>
      <c r="C3337" s="1" t="s">
        <v>43</v>
      </c>
      <c r="D3337" s="1" t="str">
        <f t="shared" si="628"/>
        <v>9801</v>
      </c>
      <c r="E3337" s="1" t="s">
        <v>25</v>
      </c>
      <c r="F3337" s="1" t="str">
        <f>"42214D1B35880400C822002000000021"</f>
        <v>42214D1B35880400C822002000000021</v>
      </c>
      <c r="G3337" s="1" t="s">
        <v>64</v>
      </c>
      <c r="H3337" s="1" t="str">
        <f t="shared" si="629"/>
        <v>20220915</v>
      </c>
      <c r="I3337" s="1" t="str">
        <f>"125017"</f>
        <v>125017</v>
      </c>
      <c r="J3337" s="1" t="s">
        <v>28</v>
      </c>
      <c r="K3337" s="1" t="s">
        <v>28</v>
      </c>
      <c r="L3337" s="1" t="str">
        <f t="shared" si="630"/>
        <v>20220915</v>
      </c>
      <c r="M3337" s="1" t="str">
        <f>"132106"</f>
        <v>132106</v>
      </c>
      <c r="N3337" s="1" t="s">
        <v>52</v>
      </c>
      <c r="O3337" s="1" t="s">
        <v>52</v>
      </c>
      <c r="P3337" s="1" t="s">
        <v>55</v>
      </c>
      <c r="Q3337" s="1">
        <v>13</v>
      </c>
      <c r="R3337" s="1">
        <v>13</v>
      </c>
      <c r="S3337" s="1">
        <v>0</v>
      </c>
      <c r="T3337" s="1">
        <v>0</v>
      </c>
      <c r="U3337" s="1">
        <v>0</v>
      </c>
      <c r="V3337" s="1" t="str">
        <f t="shared" si="633"/>
        <v>里程返程</v>
      </c>
      <c r="W3337" s="1" t="str">
        <f>"0020"</f>
        <v>0020</v>
      </c>
      <c r="X3337" s="1" t="s">
        <v>29</v>
      </c>
    </row>
    <row r="3338" spans="1:24" x14ac:dyDescent="0.3">
      <c r="A3338" s="1" t="str">
        <f t="shared" si="627"/>
        <v>59809</v>
      </c>
      <c r="B3338" s="1" t="s">
        <v>42</v>
      </c>
      <c r="C3338" s="1" t="s">
        <v>43</v>
      </c>
      <c r="D3338" s="1" t="str">
        <f t="shared" si="628"/>
        <v>9801</v>
      </c>
      <c r="E3338" s="1" t="s">
        <v>25</v>
      </c>
      <c r="F3338" s="1" t="str">
        <f>"E220D10211880400C834002000000015"</f>
        <v>E220D10211880400C834002000000015</v>
      </c>
      <c r="G3338" s="1" t="s">
        <v>74</v>
      </c>
      <c r="H3338" s="1" t="str">
        <f t="shared" si="629"/>
        <v>20220915</v>
      </c>
      <c r="I3338" s="1" t="str">
        <f>"130938"</f>
        <v>130938</v>
      </c>
      <c r="J3338" s="1" t="s">
        <v>97</v>
      </c>
      <c r="K3338" s="1" t="s">
        <v>52</v>
      </c>
      <c r="L3338" s="1" t="str">
        <f t="shared" si="630"/>
        <v>20220915</v>
      </c>
      <c r="M3338" s="1" t="str">
        <f>"131111"</f>
        <v>131111</v>
      </c>
      <c r="N3338" s="1" t="s">
        <v>65</v>
      </c>
      <c r="O3338" s="1" t="s">
        <v>52</v>
      </c>
      <c r="P3338" s="1" t="s">
        <v>68</v>
      </c>
      <c r="Q3338" s="1">
        <v>13</v>
      </c>
      <c r="R3338" s="1">
        <v>0</v>
      </c>
      <c r="S3338" s="1">
        <v>0</v>
      </c>
      <c r="T3338" s="1">
        <v>13</v>
      </c>
      <c r="U3338" s="1">
        <v>0</v>
      </c>
      <c r="V3338" s="1" t="str">
        <f t="shared" si="633"/>
        <v>里程返程</v>
      </c>
      <c r="W3338" s="1" t="str">
        <f>"0020"</f>
        <v>0020</v>
      </c>
      <c r="X3338" s="1" t="s">
        <v>29</v>
      </c>
    </row>
    <row r="3339" spans="1:24" x14ac:dyDescent="0.3">
      <c r="A3339" s="1" t="str">
        <f t="shared" si="627"/>
        <v>59809</v>
      </c>
      <c r="B3339" s="1" t="s">
        <v>42</v>
      </c>
      <c r="C3339" s="1" t="s">
        <v>43</v>
      </c>
      <c r="D3339" s="1" t="str">
        <f t="shared" si="628"/>
        <v>9801</v>
      </c>
      <c r="E3339" s="1" t="s">
        <v>25</v>
      </c>
      <c r="F3339" s="1" t="str">
        <f>"554627147"</f>
        <v>554627147</v>
      </c>
      <c r="G3339" s="1" t="s">
        <v>33</v>
      </c>
      <c r="H3339" s="1" t="str">
        <f t="shared" si="629"/>
        <v>20220915</v>
      </c>
      <c r="I3339" s="1" t="str">
        <f>"143646"</f>
        <v>143646</v>
      </c>
      <c r="J3339" s="1" t="s">
        <v>91</v>
      </c>
      <c r="K3339" s="1" t="s">
        <v>45</v>
      </c>
      <c r="L3339" s="1" t="str">
        <f t="shared" si="630"/>
        <v>20220915</v>
      </c>
      <c r="M3339" s="1" t="str">
        <f>"145114"</f>
        <v>145114</v>
      </c>
      <c r="N3339" s="1" t="s">
        <v>28</v>
      </c>
      <c r="O3339" s="1" t="s">
        <v>28</v>
      </c>
      <c r="P3339" s="1" t="s">
        <v>55</v>
      </c>
      <c r="Q3339" s="1">
        <v>25</v>
      </c>
      <c r="R3339" s="1">
        <v>25</v>
      </c>
      <c r="S3339" s="1">
        <v>0</v>
      </c>
      <c r="T3339" s="1">
        <v>0</v>
      </c>
      <c r="U3339" s="1">
        <v>0</v>
      </c>
      <c r="V3339" s="1" t="str">
        <f t="shared" si="633"/>
        <v>里程返程</v>
      </c>
      <c r="W3339" s="1" t="str">
        <f>"2020"</f>
        <v>2020</v>
      </c>
      <c r="X3339" s="1" t="s">
        <v>35</v>
      </c>
    </row>
    <row r="3340" spans="1:24" x14ac:dyDescent="0.3">
      <c r="A3340" s="1" t="str">
        <f t="shared" si="627"/>
        <v>59809</v>
      </c>
      <c r="B3340" s="1" t="s">
        <v>42</v>
      </c>
      <c r="C3340" s="1" t="s">
        <v>43</v>
      </c>
      <c r="D3340" s="1" t="str">
        <f t="shared" si="628"/>
        <v>9801</v>
      </c>
      <c r="E3340" s="1" t="s">
        <v>25</v>
      </c>
      <c r="F3340" s="1" t="str">
        <f>"3583387812"</f>
        <v>3583387812</v>
      </c>
      <c r="G3340" s="1" t="s">
        <v>33</v>
      </c>
      <c r="H3340" s="1" t="str">
        <f t="shared" si="629"/>
        <v>20220915</v>
      </c>
      <c r="I3340" s="1" t="str">
        <f>"143648"</f>
        <v>143648</v>
      </c>
      <c r="J3340" s="1" t="s">
        <v>91</v>
      </c>
      <c r="K3340" s="1" t="s">
        <v>45</v>
      </c>
      <c r="L3340" s="1" t="str">
        <f t="shared" si="630"/>
        <v>20220915</v>
      </c>
      <c r="M3340" s="1" t="str">
        <f>"145111"</f>
        <v>145111</v>
      </c>
      <c r="N3340" s="1" t="s">
        <v>28</v>
      </c>
      <c r="O3340" s="1" t="s">
        <v>28</v>
      </c>
      <c r="P3340" s="1" t="s">
        <v>55</v>
      </c>
      <c r="Q3340" s="1">
        <v>25</v>
      </c>
      <c r="R3340" s="1">
        <v>25</v>
      </c>
      <c r="S3340" s="1">
        <v>0</v>
      </c>
      <c r="T3340" s="1">
        <v>0</v>
      </c>
      <c r="U3340" s="1">
        <v>0</v>
      </c>
      <c r="V3340" s="1" t="str">
        <f t="shared" si="633"/>
        <v>里程返程</v>
      </c>
      <c r="W3340" s="1" t="str">
        <f>"2020"</f>
        <v>2020</v>
      </c>
      <c r="X3340" s="1" t="s">
        <v>35</v>
      </c>
    </row>
    <row r="3341" spans="1:24" x14ac:dyDescent="0.3">
      <c r="A3341" s="1" t="str">
        <f t="shared" si="627"/>
        <v>59809</v>
      </c>
      <c r="B3341" s="1" t="s">
        <v>42</v>
      </c>
      <c r="C3341" s="1" t="s">
        <v>43</v>
      </c>
      <c r="D3341" s="1" t="str">
        <f t="shared" si="628"/>
        <v>9801</v>
      </c>
      <c r="E3341" s="1" t="s">
        <v>25</v>
      </c>
      <c r="F3341" s="1" t="str">
        <f>"A239F5056B880400C838002000000015"</f>
        <v>A239F5056B880400C838002000000015</v>
      </c>
      <c r="G3341" s="1" t="s">
        <v>26</v>
      </c>
      <c r="H3341" s="1" t="str">
        <f t="shared" si="629"/>
        <v>20220915</v>
      </c>
      <c r="I3341" s="1" t="str">
        <f>"150159"</f>
        <v>150159</v>
      </c>
      <c r="J3341" s="1" t="s">
        <v>67</v>
      </c>
      <c r="K3341" s="1" t="s">
        <v>52</v>
      </c>
      <c r="L3341" s="1" t="str">
        <f t="shared" si="630"/>
        <v>20220915</v>
      </c>
      <c r="M3341" s="1" t="str">
        <f>"151248"</f>
        <v>151248</v>
      </c>
      <c r="N3341" s="1" t="s">
        <v>72</v>
      </c>
      <c r="O3341" s="1" t="s">
        <v>52</v>
      </c>
      <c r="P3341" s="1" t="s">
        <v>68</v>
      </c>
      <c r="Q3341" s="1">
        <v>13</v>
      </c>
      <c r="R3341" s="1">
        <v>0</v>
      </c>
      <c r="S3341" s="1">
        <v>0</v>
      </c>
      <c r="T3341" s="1">
        <v>13</v>
      </c>
      <c r="U3341" s="1">
        <v>0</v>
      </c>
      <c r="V3341" s="1" t="str">
        <f t="shared" si="633"/>
        <v>里程返程</v>
      </c>
      <c r="W3341" s="1" t="str">
        <f>"0020"</f>
        <v>0020</v>
      </c>
      <c r="X3341" s="1" t="s">
        <v>29</v>
      </c>
    </row>
    <row r="3342" spans="1:24" x14ac:dyDescent="0.3">
      <c r="A3342" s="1" t="str">
        <f t="shared" si="627"/>
        <v>59809</v>
      </c>
      <c r="B3342" s="1" t="s">
        <v>42</v>
      </c>
      <c r="C3342" s="1" t="s">
        <v>43</v>
      </c>
      <c r="D3342" s="1" t="str">
        <f t="shared" si="628"/>
        <v>9801</v>
      </c>
      <c r="E3342" s="1" t="s">
        <v>25</v>
      </c>
      <c r="F3342" s="1" t="str">
        <f>"821C1A0387880400C834002000000015"</f>
        <v>821C1A0387880400C834002000000015</v>
      </c>
      <c r="G3342" s="1" t="s">
        <v>26</v>
      </c>
      <c r="H3342" s="1" t="str">
        <f t="shared" si="629"/>
        <v>20220915</v>
      </c>
      <c r="I3342" s="1" t="str">
        <f>"154946"</f>
        <v>154946</v>
      </c>
      <c r="J3342" s="1" t="s">
        <v>28</v>
      </c>
      <c r="K3342" s="1" t="s">
        <v>28</v>
      </c>
      <c r="L3342" s="1" t="str">
        <f t="shared" si="630"/>
        <v>20220915</v>
      </c>
      <c r="M3342" s="1" t="str">
        <f>"161313"</f>
        <v>161313</v>
      </c>
      <c r="N3342" s="1" t="s">
        <v>80</v>
      </c>
      <c r="O3342" s="1" t="s">
        <v>52</v>
      </c>
      <c r="P3342" s="1" t="s">
        <v>68</v>
      </c>
      <c r="Q3342" s="1">
        <v>13</v>
      </c>
      <c r="R3342" s="1">
        <v>0</v>
      </c>
      <c r="S3342" s="1">
        <v>0</v>
      </c>
      <c r="T3342" s="1">
        <v>13</v>
      </c>
      <c r="U3342" s="1">
        <v>0</v>
      </c>
      <c r="V3342" s="1" t="str">
        <f t="shared" si="633"/>
        <v>里程返程</v>
      </c>
      <c r="W3342" s="1" t="str">
        <f>"0020"</f>
        <v>0020</v>
      </c>
      <c r="X3342" s="1" t="s">
        <v>29</v>
      </c>
    </row>
    <row r="3343" spans="1:24" x14ac:dyDescent="0.3">
      <c r="A3343" s="1" t="str">
        <f t="shared" si="627"/>
        <v>59809</v>
      </c>
      <c r="B3343" s="1" t="s">
        <v>42</v>
      </c>
      <c r="C3343" s="1" t="s">
        <v>43</v>
      </c>
      <c r="D3343" s="1" t="str">
        <f t="shared" si="628"/>
        <v>9801</v>
      </c>
      <c r="E3343" s="1" t="s">
        <v>25</v>
      </c>
      <c r="F3343" s="1" t="str">
        <f>"D2E945027C880400C821002000000015"</f>
        <v>D2E945027C880400C821002000000015</v>
      </c>
      <c r="G3343" s="1" t="s">
        <v>26</v>
      </c>
      <c r="H3343" s="1" t="str">
        <f t="shared" si="629"/>
        <v>20220915</v>
      </c>
      <c r="I3343" s="1" t="str">
        <f>"162220"</f>
        <v>162220</v>
      </c>
      <c r="J3343" s="1" t="s">
        <v>60</v>
      </c>
      <c r="K3343" s="1" t="s">
        <v>52</v>
      </c>
      <c r="L3343" s="1" t="str">
        <f t="shared" si="630"/>
        <v>20220915</v>
      </c>
      <c r="M3343" s="1" t="str">
        <f>"162700"</f>
        <v>162700</v>
      </c>
      <c r="N3343" s="1" t="s">
        <v>52</v>
      </c>
      <c r="O3343" s="1" t="s">
        <v>52</v>
      </c>
      <c r="P3343" s="1" t="s">
        <v>68</v>
      </c>
      <c r="Q3343" s="1">
        <v>13</v>
      </c>
      <c r="R3343" s="1">
        <v>0</v>
      </c>
      <c r="S3343" s="1">
        <v>0</v>
      </c>
      <c r="T3343" s="1">
        <v>13</v>
      </c>
      <c r="U3343" s="1">
        <v>0</v>
      </c>
      <c r="V3343" s="1" t="str">
        <f t="shared" si="633"/>
        <v>里程返程</v>
      </c>
      <c r="W3343" s="1" t="str">
        <f>"0020"</f>
        <v>0020</v>
      </c>
      <c r="X3343" s="1" t="s">
        <v>29</v>
      </c>
    </row>
    <row r="3344" spans="1:24" x14ac:dyDescent="0.3">
      <c r="A3344" s="1" t="str">
        <f t="shared" si="627"/>
        <v>59809</v>
      </c>
      <c r="B3344" s="1" t="s">
        <v>42</v>
      </c>
      <c r="C3344" s="1" t="s">
        <v>43</v>
      </c>
      <c r="D3344" s="1" t="str">
        <f t="shared" si="628"/>
        <v>9801</v>
      </c>
      <c r="E3344" s="1" t="s">
        <v>25</v>
      </c>
      <c r="F3344" s="1" t="str">
        <f>"1570275105"</f>
        <v>1570275105</v>
      </c>
      <c r="G3344" s="1" t="s">
        <v>33</v>
      </c>
      <c r="H3344" s="1" t="str">
        <f t="shared" si="629"/>
        <v>20220915</v>
      </c>
      <c r="I3344" s="1" t="str">
        <f>"162727"</f>
        <v>162727</v>
      </c>
      <c r="J3344" s="1" t="s">
        <v>44</v>
      </c>
      <c r="K3344" s="1" t="s">
        <v>45</v>
      </c>
      <c r="L3344" s="1" t="str">
        <f t="shared" si="630"/>
        <v>20220915</v>
      </c>
      <c r="M3344" s="1" t="str">
        <f>"165034"</f>
        <v>165034</v>
      </c>
      <c r="N3344" s="1" t="s">
        <v>28</v>
      </c>
      <c r="O3344" s="1" t="s">
        <v>28</v>
      </c>
      <c r="P3344" s="1" t="s">
        <v>55</v>
      </c>
      <c r="Q3344" s="1">
        <v>25</v>
      </c>
      <c r="R3344" s="1">
        <v>25</v>
      </c>
      <c r="S3344" s="1">
        <v>0</v>
      </c>
      <c r="T3344" s="1">
        <v>0</v>
      </c>
      <c r="U3344" s="1">
        <v>0</v>
      </c>
      <c r="V3344" s="1" t="str">
        <f t="shared" si="633"/>
        <v>里程返程</v>
      </c>
      <c r="W3344" s="1" t="str">
        <f>"2020"</f>
        <v>2020</v>
      </c>
      <c r="X3344" s="1" t="s">
        <v>35</v>
      </c>
    </row>
    <row r="3345" spans="1:24" x14ac:dyDescent="0.3">
      <c r="A3345" s="1" t="str">
        <f t="shared" ref="A3345:A3392" si="634">"59820"</f>
        <v>59820</v>
      </c>
      <c r="B3345" s="1" t="s">
        <v>53</v>
      </c>
      <c r="C3345" s="1" t="s">
        <v>54</v>
      </c>
      <c r="D3345" s="1" t="str">
        <f t="shared" ref="D3345:D3352" si="635">"9806"</f>
        <v>9806</v>
      </c>
      <c r="E3345" s="1" t="s">
        <v>49</v>
      </c>
      <c r="F3345" s="1" t="str">
        <f>"5294A50063880400C801002000000015"</f>
        <v>5294A50063880400C801002000000015</v>
      </c>
      <c r="G3345" s="1" t="s">
        <v>58</v>
      </c>
      <c r="H3345" s="1" t="str">
        <f t="shared" si="629"/>
        <v>20220915</v>
      </c>
      <c r="I3345" s="1" t="str">
        <f>"064747"</f>
        <v>064747</v>
      </c>
      <c r="J3345" s="1" t="s">
        <v>28</v>
      </c>
      <c r="K3345" s="1" t="s">
        <v>28</v>
      </c>
      <c r="L3345" s="1" t="str">
        <f t="shared" si="630"/>
        <v>20220915</v>
      </c>
      <c r="M3345" s="1" t="str">
        <f>"070511"</f>
        <v>070511</v>
      </c>
      <c r="N3345" s="1" t="s">
        <v>99</v>
      </c>
      <c r="O3345" s="1" t="s">
        <v>28</v>
      </c>
      <c r="P3345" s="1" t="s">
        <v>55</v>
      </c>
      <c r="Q3345" s="1">
        <v>25</v>
      </c>
      <c r="R3345" s="1">
        <v>0</v>
      </c>
      <c r="S3345" s="1">
        <v>25</v>
      </c>
      <c r="T3345" s="1">
        <v>0</v>
      </c>
      <c r="U3345" s="1">
        <v>0</v>
      </c>
      <c r="V3345" s="1" t="str">
        <f t="shared" si="633"/>
        <v>里程返程</v>
      </c>
      <c r="W3345" s="1" t="str">
        <f>"0620"</f>
        <v>0620</v>
      </c>
      <c r="X3345" s="1" t="s">
        <v>29</v>
      </c>
    </row>
    <row r="3346" spans="1:24" x14ac:dyDescent="0.3">
      <c r="A3346" s="1" t="str">
        <f t="shared" si="634"/>
        <v>59820</v>
      </c>
      <c r="B3346" s="1" t="s">
        <v>53</v>
      </c>
      <c r="C3346" s="1" t="s">
        <v>54</v>
      </c>
      <c r="D3346" s="1" t="str">
        <f t="shared" si="635"/>
        <v>9806</v>
      </c>
      <c r="E3346" s="1" t="s">
        <v>49</v>
      </c>
      <c r="F3346" s="1" t="str">
        <f>"1695105317"</f>
        <v>1695105317</v>
      </c>
      <c r="G3346" s="1" t="s">
        <v>33</v>
      </c>
      <c r="H3346" s="1" t="str">
        <f t="shared" si="629"/>
        <v>20220915</v>
      </c>
      <c r="I3346" s="1" t="str">
        <f>"064802"</f>
        <v>064802</v>
      </c>
      <c r="J3346" s="1" t="s">
        <v>28</v>
      </c>
      <c r="K3346" s="1" t="s">
        <v>28</v>
      </c>
      <c r="L3346" s="1" t="str">
        <f t="shared" si="630"/>
        <v>20220915</v>
      </c>
      <c r="M3346" s="1" t="str">
        <f>"070516"</f>
        <v>070516</v>
      </c>
      <c r="N3346" s="1" t="s">
        <v>99</v>
      </c>
      <c r="O3346" s="1" t="s">
        <v>28</v>
      </c>
      <c r="P3346" s="1" t="s">
        <v>55</v>
      </c>
      <c r="Q3346" s="1">
        <v>25</v>
      </c>
      <c r="R3346" s="1">
        <v>0</v>
      </c>
      <c r="S3346" s="1">
        <v>25</v>
      </c>
      <c r="T3346" s="1">
        <v>0</v>
      </c>
      <c r="U3346" s="1">
        <v>0</v>
      </c>
      <c r="V3346" s="1" t="str">
        <f t="shared" si="633"/>
        <v>里程返程</v>
      </c>
      <c r="W3346" s="1" t="str">
        <f>"0820"</f>
        <v>0820</v>
      </c>
      <c r="X3346" s="1" t="s">
        <v>35</v>
      </c>
    </row>
    <row r="3347" spans="1:24" x14ac:dyDescent="0.3">
      <c r="A3347" s="1" t="str">
        <f t="shared" si="634"/>
        <v>59820</v>
      </c>
      <c r="B3347" s="1" t="s">
        <v>53</v>
      </c>
      <c r="C3347" s="1" t="s">
        <v>54</v>
      </c>
      <c r="D3347" s="1" t="str">
        <f t="shared" si="635"/>
        <v>9806</v>
      </c>
      <c r="E3347" s="1" t="s">
        <v>49</v>
      </c>
      <c r="F3347" s="1" t="str">
        <f>"636054129"</f>
        <v>636054129</v>
      </c>
      <c r="G3347" s="1" t="s">
        <v>33</v>
      </c>
      <c r="H3347" s="1" t="str">
        <f t="shared" si="629"/>
        <v>20220915</v>
      </c>
      <c r="I3347" s="1" t="str">
        <f>"064813"</f>
        <v>064813</v>
      </c>
      <c r="J3347" s="1" t="s">
        <v>28</v>
      </c>
      <c r="K3347" s="1" t="s">
        <v>28</v>
      </c>
      <c r="L3347" s="1" t="str">
        <f>""</f>
        <v/>
      </c>
      <c r="M3347" s="1" t="str">
        <f>""</f>
        <v/>
      </c>
      <c r="P3347" s="1" t="s">
        <v>88</v>
      </c>
      <c r="Q3347" s="1">
        <v>25</v>
      </c>
      <c r="R3347" s="1">
        <v>25</v>
      </c>
      <c r="S3347" s="1">
        <v>0</v>
      </c>
      <c r="T3347" s="1">
        <v>0</v>
      </c>
      <c r="U3347" s="1">
        <v>0</v>
      </c>
      <c r="V3347" s="1" t="str">
        <f t="shared" si="633"/>
        <v>里程返程</v>
      </c>
      <c r="W3347" s="1" t="str">
        <f>"0320"</f>
        <v>0320</v>
      </c>
      <c r="X3347" s="1" t="s">
        <v>35</v>
      </c>
    </row>
    <row r="3348" spans="1:24" x14ac:dyDescent="0.3">
      <c r="A3348" s="1" t="str">
        <f t="shared" si="634"/>
        <v>59820</v>
      </c>
      <c r="B3348" s="1" t="s">
        <v>53</v>
      </c>
      <c r="C3348" s="1" t="s">
        <v>54</v>
      </c>
      <c r="D3348" s="1" t="str">
        <f t="shared" si="635"/>
        <v>9806</v>
      </c>
      <c r="E3348" s="1" t="s">
        <v>49</v>
      </c>
      <c r="F3348" s="1" t="str">
        <f>"0141330172880400432494C60018080E"</f>
        <v>0141330172880400432494C60018080E</v>
      </c>
      <c r="G3348" s="1" t="s">
        <v>59</v>
      </c>
      <c r="H3348" s="1" t="str">
        <f t="shared" si="629"/>
        <v>20220915</v>
      </c>
      <c r="I3348" s="1" t="str">
        <f>"064826"</f>
        <v>064826</v>
      </c>
      <c r="J3348" s="1" t="s">
        <v>28</v>
      </c>
      <c r="K3348" s="1" t="s">
        <v>28</v>
      </c>
      <c r="L3348" s="1" t="str">
        <f t="shared" ref="L3348:L3411" si="636">"20220915"</f>
        <v>20220915</v>
      </c>
      <c r="M3348" s="1" t="str">
        <f>"065923"</f>
        <v>065923</v>
      </c>
      <c r="N3348" s="1" t="s">
        <v>63</v>
      </c>
      <c r="O3348" s="1" t="s">
        <v>28</v>
      </c>
      <c r="P3348" s="1" t="s">
        <v>55</v>
      </c>
      <c r="Q3348" s="1">
        <v>25</v>
      </c>
      <c r="R3348" s="1">
        <v>25</v>
      </c>
      <c r="S3348" s="1">
        <v>0</v>
      </c>
      <c r="T3348" s="1">
        <v>0</v>
      </c>
      <c r="U3348" s="1">
        <v>0</v>
      </c>
      <c r="V3348" s="1" t="str">
        <f t="shared" si="633"/>
        <v>里程返程</v>
      </c>
      <c r="W3348" s="1" t="str">
        <f>"0020"</f>
        <v>0020</v>
      </c>
      <c r="X3348" s="1" t="s">
        <v>29</v>
      </c>
    </row>
    <row r="3349" spans="1:24" x14ac:dyDescent="0.3">
      <c r="A3349" s="1" t="str">
        <f t="shared" si="634"/>
        <v>59820</v>
      </c>
      <c r="B3349" s="1" t="s">
        <v>53</v>
      </c>
      <c r="C3349" s="1" t="s">
        <v>54</v>
      </c>
      <c r="D3349" s="1" t="str">
        <f t="shared" si="635"/>
        <v>9806</v>
      </c>
      <c r="E3349" s="1" t="s">
        <v>49</v>
      </c>
      <c r="F3349" s="1" t="str">
        <f>"B211E70246880400C834002000000015"</f>
        <v>B211E70246880400C834002000000015</v>
      </c>
      <c r="G3349" s="1" t="s">
        <v>74</v>
      </c>
      <c r="H3349" s="1" t="str">
        <f t="shared" si="629"/>
        <v>20220915</v>
      </c>
      <c r="I3349" s="1" t="str">
        <f>"065459"</f>
        <v>065459</v>
      </c>
      <c r="J3349" s="1" t="s">
        <v>101</v>
      </c>
      <c r="K3349" s="1" t="s">
        <v>28</v>
      </c>
      <c r="L3349" s="1" t="str">
        <f t="shared" si="636"/>
        <v>20220915</v>
      </c>
      <c r="M3349" s="1" t="str">
        <f>"070514"</f>
        <v>070514</v>
      </c>
      <c r="N3349" s="1" t="s">
        <v>99</v>
      </c>
      <c r="O3349" s="1" t="s">
        <v>28</v>
      </c>
      <c r="P3349" s="1" t="s">
        <v>68</v>
      </c>
      <c r="Q3349" s="1">
        <v>13</v>
      </c>
      <c r="R3349" s="1">
        <v>0</v>
      </c>
      <c r="S3349" s="1">
        <v>0</v>
      </c>
      <c r="T3349" s="1">
        <v>13</v>
      </c>
      <c r="U3349" s="1">
        <v>0</v>
      </c>
      <c r="V3349" s="1" t="str">
        <f t="shared" si="633"/>
        <v>里程返程</v>
      </c>
      <c r="W3349" s="1" t="str">
        <f>"0020"</f>
        <v>0020</v>
      </c>
      <c r="X3349" s="1" t="s">
        <v>29</v>
      </c>
    </row>
    <row r="3350" spans="1:24" x14ac:dyDescent="0.3">
      <c r="A3350" s="1" t="str">
        <f t="shared" si="634"/>
        <v>59820</v>
      </c>
      <c r="B3350" s="1" t="s">
        <v>53</v>
      </c>
      <c r="C3350" s="1" t="s">
        <v>54</v>
      </c>
      <c r="D3350" s="1" t="str">
        <f t="shared" si="635"/>
        <v>9806</v>
      </c>
      <c r="E3350" s="1" t="s">
        <v>49</v>
      </c>
      <c r="F3350" s="1" t="str">
        <f>"1202E702F5880400C834002000000015"</f>
        <v>1202E702F5880400C834002000000015</v>
      </c>
      <c r="G3350" s="1" t="s">
        <v>74</v>
      </c>
      <c r="H3350" s="1" t="str">
        <f t="shared" si="629"/>
        <v>20220915</v>
      </c>
      <c r="I3350" s="1" t="str">
        <f>"065502"</f>
        <v>065502</v>
      </c>
      <c r="J3350" s="1" t="s">
        <v>101</v>
      </c>
      <c r="K3350" s="1" t="s">
        <v>28</v>
      </c>
      <c r="L3350" s="1" t="str">
        <f t="shared" si="636"/>
        <v>20220915</v>
      </c>
      <c r="M3350" s="1" t="str">
        <f>"070521"</f>
        <v>070521</v>
      </c>
      <c r="N3350" s="1" t="s">
        <v>99</v>
      </c>
      <c r="O3350" s="1" t="s">
        <v>28</v>
      </c>
      <c r="P3350" s="1" t="s">
        <v>68</v>
      </c>
      <c r="Q3350" s="1">
        <v>13</v>
      </c>
      <c r="R3350" s="1">
        <v>0</v>
      </c>
      <c r="S3350" s="1">
        <v>0</v>
      </c>
      <c r="T3350" s="1">
        <v>13</v>
      </c>
      <c r="U3350" s="1">
        <v>0</v>
      </c>
      <c r="V3350" s="1" t="str">
        <f t="shared" si="633"/>
        <v>里程返程</v>
      </c>
      <c r="W3350" s="1" t="str">
        <f>"0020"</f>
        <v>0020</v>
      </c>
      <c r="X3350" s="1" t="s">
        <v>29</v>
      </c>
    </row>
    <row r="3351" spans="1:24" x14ac:dyDescent="0.3">
      <c r="A3351" s="1" t="str">
        <f t="shared" si="634"/>
        <v>59820</v>
      </c>
      <c r="B3351" s="1" t="s">
        <v>53</v>
      </c>
      <c r="C3351" s="1" t="s">
        <v>54</v>
      </c>
      <c r="D3351" s="1" t="str">
        <f t="shared" si="635"/>
        <v>9806</v>
      </c>
      <c r="E3351" s="1" t="s">
        <v>49</v>
      </c>
      <c r="F3351" s="1" t="str">
        <f>"B205E70252880400C834002000000015"</f>
        <v>B205E70252880400C834002000000015</v>
      </c>
      <c r="G3351" s="1" t="s">
        <v>74</v>
      </c>
      <c r="H3351" s="1" t="str">
        <f t="shared" si="629"/>
        <v>20220915</v>
      </c>
      <c r="I3351" s="1" t="str">
        <f>"065505"</f>
        <v>065505</v>
      </c>
      <c r="J3351" s="1" t="s">
        <v>101</v>
      </c>
      <c r="K3351" s="1" t="s">
        <v>28</v>
      </c>
      <c r="L3351" s="1" t="str">
        <f t="shared" si="636"/>
        <v>20220915</v>
      </c>
      <c r="M3351" s="1" t="str">
        <f>"070523"</f>
        <v>070523</v>
      </c>
      <c r="N3351" s="1" t="s">
        <v>99</v>
      </c>
      <c r="O3351" s="1" t="s">
        <v>28</v>
      </c>
      <c r="P3351" s="1" t="s">
        <v>68</v>
      </c>
      <c r="Q3351" s="1">
        <v>13</v>
      </c>
      <c r="R3351" s="1">
        <v>0</v>
      </c>
      <c r="S3351" s="1">
        <v>0</v>
      </c>
      <c r="T3351" s="1">
        <v>13</v>
      </c>
      <c r="U3351" s="1">
        <v>0</v>
      </c>
      <c r="V3351" s="1" t="str">
        <f t="shared" si="633"/>
        <v>里程返程</v>
      </c>
      <c r="W3351" s="1" t="str">
        <f>"0020"</f>
        <v>0020</v>
      </c>
      <c r="X3351" s="1" t="s">
        <v>29</v>
      </c>
    </row>
    <row r="3352" spans="1:24" x14ac:dyDescent="0.3">
      <c r="A3352" s="1" t="str">
        <f t="shared" si="634"/>
        <v>59820</v>
      </c>
      <c r="B3352" s="1" t="s">
        <v>53</v>
      </c>
      <c r="C3352" s="1" t="s">
        <v>54</v>
      </c>
      <c r="D3352" s="1" t="str">
        <f t="shared" si="635"/>
        <v>9806</v>
      </c>
      <c r="E3352" s="1" t="s">
        <v>49</v>
      </c>
      <c r="F3352" s="1" t="str">
        <f>"92771C03FA880400C834002000000015"</f>
        <v>92771C03FA880400C834002000000015</v>
      </c>
      <c r="G3352" s="1" t="s">
        <v>74</v>
      </c>
      <c r="H3352" s="1" t="str">
        <f t="shared" si="629"/>
        <v>20220915</v>
      </c>
      <c r="I3352" s="1" t="str">
        <f>"071145"</f>
        <v>071145</v>
      </c>
      <c r="J3352" s="1" t="s">
        <v>107</v>
      </c>
      <c r="K3352" s="1" t="s">
        <v>50</v>
      </c>
      <c r="L3352" s="1" t="str">
        <f t="shared" si="636"/>
        <v>20220915</v>
      </c>
      <c r="M3352" s="1" t="str">
        <f>"072740"</f>
        <v>072740</v>
      </c>
      <c r="N3352" s="1" t="s">
        <v>28</v>
      </c>
      <c r="O3352" s="1" t="s">
        <v>28</v>
      </c>
      <c r="P3352" s="1" t="s">
        <v>68</v>
      </c>
      <c r="Q3352" s="1">
        <v>13</v>
      </c>
      <c r="R3352" s="1">
        <v>0</v>
      </c>
      <c r="S3352" s="1">
        <v>0</v>
      </c>
      <c r="T3352" s="1">
        <v>13</v>
      </c>
      <c r="U3352" s="1">
        <v>0</v>
      </c>
      <c r="V3352" s="1" t="str">
        <f>"里程去程"</f>
        <v>里程去程</v>
      </c>
      <c r="W3352" s="1" t="str">
        <f>"0020"</f>
        <v>0020</v>
      </c>
      <c r="X3352" s="1" t="s">
        <v>29</v>
      </c>
    </row>
    <row r="3353" spans="1:24" x14ac:dyDescent="0.3">
      <c r="A3353" s="1" t="str">
        <f t="shared" si="634"/>
        <v>59820</v>
      </c>
      <c r="B3353" s="1" t="s">
        <v>53</v>
      </c>
      <c r="C3353" s="1" t="s">
        <v>54</v>
      </c>
      <c r="D3353" s="1" t="str">
        <f t="shared" ref="D3353:D3389" si="637">"9803"</f>
        <v>9803</v>
      </c>
      <c r="E3353" s="1" t="s">
        <v>32</v>
      </c>
      <c r="F3353" s="1" t="str">
        <f>"1156333089"</f>
        <v>1156333089</v>
      </c>
      <c r="G3353" s="1" t="s">
        <v>33</v>
      </c>
      <c r="H3353" s="1" t="str">
        <f t="shared" si="629"/>
        <v>20220915</v>
      </c>
      <c r="I3353" s="1" t="str">
        <f>"082157"</f>
        <v>082157</v>
      </c>
      <c r="J3353" s="1" t="s">
        <v>92</v>
      </c>
      <c r="K3353" s="1" t="s">
        <v>28</v>
      </c>
      <c r="L3353" s="1" t="str">
        <f t="shared" si="636"/>
        <v>20220915</v>
      </c>
      <c r="M3353" s="1" t="str">
        <f>"082957"</f>
        <v>082957</v>
      </c>
      <c r="N3353" s="1" t="s">
        <v>28</v>
      </c>
      <c r="O3353" s="1" t="s">
        <v>28</v>
      </c>
      <c r="P3353" s="1" t="s">
        <v>55</v>
      </c>
      <c r="Q3353" s="1">
        <v>25</v>
      </c>
      <c r="R3353" s="1">
        <v>25</v>
      </c>
      <c r="S3353" s="1">
        <v>0</v>
      </c>
      <c r="T3353" s="1">
        <v>0</v>
      </c>
      <c r="U3353" s="1">
        <v>0</v>
      </c>
      <c r="V3353" s="1" t="str">
        <f>"里程返程"</f>
        <v>里程返程</v>
      </c>
      <c r="W3353" s="1" t="str">
        <f>"2020"</f>
        <v>2020</v>
      </c>
      <c r="X3353" s="1" t="s">
        <v>35</v>
      </c>
    </row>
    <row r="3354" spans="1:24" x14ac:dyDescent="0.3">
      <c r="A3354" s="1" t="str">
        <f t="shared" si="634"/>
        <v>59820</v>
      </c>
      <c r="B3354" s="1" t="s">
        <v>53</v>
      </c>
      <c r="C3354" s="1" t="s">
        <v>54</v>
      </c>
      <c r="D3354" s="1" t="str">
        <f t="shared" si="637"/>
        <v>9803</v>
      </c>
      <c r="E3354" s="1" t="s">
        <v>32</v>
      </c>
      <c r="F3354" s="1" t="str">
        <f>"1104247445"</f>
        <v>1104247445</v>
      </c>
      <c r="G3354" s="1" t="s">
        <v>33</v>
      </c>
      <c r="H3354" s="1" t="str">
        <f t="shared" si="629"/>
        <v>20220915</v>
      </c>
      <c r="I3354" s="1" t="str">
        <f>"083023"</f>
        <v>083023</v>
      </c>
      <c r="J3354" s="1" t="s">
        <v>28</v>
      </c>
      <c r="K3354" s="1" t="s">
        <v>28</v>
      </c>
      <c r="L3354" s="1" t="str">
        <f t="shared" si="636"/>
        <v>20220915</v>
      </c>
      <c r="M3354" s="1" t="str">
        <f>"084643"</f>
        <v>084643</v>
      </c>
      <c r="N3354" s="1" t="s">
        <v>34</v>
      </c>
      <c r="O3354" s="1" t="s">
        <v>34</v>
      </c>
      <c r="P3354" s="1" t="s">
        <v>55</v>
      </c>
      <c r="Q3354" s="1">
        <v>25</v>
      </c>
      <c r="R3354" s="1">
        <v>25</v>
      </c>
      <c r="S3354" s="1">
        <v>0</v>
      </c>
      <c r="T3354" s="1">
        <v>0</v>
      </c>
      <c r="U3354" s="1">
        <v>0</v>
      </c>
      <c r="V3354" s="1" t="str">
        <f t="shared" ref="V3354:V3374" si="638">"里程去程"</f>
        <v>里程去程</v>
      </c>
      <c r="W3354" s="1" t="str">
        <f>"0120"</f>
        <v>0120</v>
      </c>
      <c r="X3354" s="1" t="s">
        <v>35</v>
      </c>
    </row>
    <row r="3355" spans="1:24" x14ac:dyDescent="0.3">
      <c r="A3355" s="1" t="str">
        <f t="shared" si="634"/>
        <v>59820</v>
      </c>
      <c r="B3355" s="1" t="s">
        <v>53</v>
      </c>
      <c r="C3355" s="1" t="s">
        <v>54</v>
      </c>
      <c r="D3355" s="1" t="str">
        <f t="shared" si="637"/>
        <v>9803</v>
      </c>
      <c r="E3355" s="1" t="s">
        <v>32</v>
      </c>
      <c r="F3355" s="1" t="str">
        <f>"750931649"</f>
        <v>750931649</v>
      </c>
      <c r="G3355" s="1" t="s">
        <v>33</v>
      </c>
      <c r="H3355" s="1" t="str">
        <f t="shared" si="629"/>
        <v>20220915</v>
      </c>
      <c r="I3355" s="1" t="str">
        <f>"083029"</f>
        <v>083029</v>
      </c>
      <c r="J3355" s="1" t="s">
        <v>28</v>
      </c>
      <c r="K3355" s="1" t="s">
        <v>28</v>
      </c>
      <c r="L3355" s="1" t="str">
        <f t="shared" si="636"/>
        <v>20220915</v>
      </c>
      <c r="M3355" s="1" t="str">
        <f>"084640"</f>
        <v>084640</v>
      </c>
      <c r="N3355" s="1" t="s">
        <v>34</v>
      </c>
      <c r="O3355" s="1" t="s">
        <v>34</v>
      </c>
      <c r="P3355" s="1" t="s">
        <v>55</v>
      </c>
      <c r="Q3355" s="1">
        <v>25</v>
      </c>
      <c r="R3355" s="1">
        <v>25</v>
      </c>
      <c r="S3355" s="1">
        <v>0</v>
      </c>
      <c r="T3355" s="1">
        <v>0</v>
      </c>
      <c r="U3355" s="1">
        <v>0</v>
      </c>
      <c r="V3355" s="1" t="str">
        <f t="shared" si="638"/>
        <v>里程去程</v>
      </c>
      <c r="W3355" s="1" t="str">
        <f>"0120"</f>
        <v>0120</v>
      </c>
      <c r="X3355" s="1" t="s">
        <v>35</v>
      </c>
    </row>
    <row r="3356" spans="1:24" x14ac:dyDescent="0.3">
      <c r="A3356" s="1" t="str">
        <f t="shared" si="634"/>
        <v>59820</v>
      </c>
      <c r="B3356" s="1" t="s">
        <v>53</v>
      </c>
      <c r="C3356" s="1" t="s">
        <v>54</v>
      </c>
      <c r="D3356" s="1" t="str">
        <f t="shared" si="637"/>
        <v>9803</v>
      </c>
      <c r="E3356" s="1" t="s">
        <v>32</v>
      </c>
      <c r="F3356" s="1" t="str">
        <f>"812E1049F62804001C00000000000000"</f>
        <v>812E1049F62804001C00000000000000</v>
      </c>
      <c r="G3356" s="1" t="s">
        <v>58</v>
      </c>
      <c r="H3356" s="1" t="str">
        <f t="shared" si="629"/>
        <v>20220915</v>
      </c>
      <c r="I3356" s="1" t="str">
        <f>"102718"</f>
        <v>102718</v>
      </c>
      <c r="J3356" s="1" t="s">
        <v>28</v>
      </c>
      <c r="K3356" s="1" t="s">
        <v>28</v>
      </c>
      <c r="L3356" s="1" t="str">
        <f t="shared" si="636"/>
        <v>20220915</v>
      </c>
      <c r="M3356" s="1" t="str">
        <f>"104956"</f>
        <v>104956</v>
      </c>
      <c r="N3356" s="1" t="s">
        <v>34</v>
      </c>
      <c r="O3356" s="1" t="s">
        <v>34</v>
      </c>
      <c r="P3356" s="1" t="s">
        <v>55</v>
      </c>
      <c r="Q3356" s="1">
        <v>25</v>
      </c>
      <c r="R3356" s="1">
        <v>0</v>
      </c>
      <c r="S3356" s="1">
        <v>25</v>
      </c>
      <c r="T3356" s="1">
        <v>0</v>
      </c>
      <c r="U3356" s="1">
        <v>0</v>
      </c>
      <c r="V3356" s="1" t="str">
        <f t="shared" si="638"/>
        <v>里程去程</v>
      </c>
      <c r="W3356" s="1" t="str">
        <f>"0620"</f>
        <v>0620</v>
      </c>
      <c r="X3356" s="1" t="s">
        <v>29</v>
      </c>
    </row>
    <row r="3357" spans="1:24" x14ac:dyDescent="0.3">
      <c r="A3357" s="1" t="str">
        <f t="shared" si="634"/>
        <v>59820</v>
      </c>
      <c r="B3357" s="1" t="s">
        <v>53</v>
      </c>
      <c r="C3357" s="1" t="s">
        <v>54</v>
      </c>
      <c r="D3357" s="1" t="str">
        <f t="shared" si="637"/>
        <v>9803</v>
      </c>
      <c r="E3357" s="1" t="s">
        <v>32</v>
      </c>
      <c r="F3357" s="1" t="str">
        <f>"A41201A215280400D200000100000000"</f>
        <v>A41201A215280400D200000100000000</v>
      </c>
      <c r="G3357" s="1" t="s">
        <v>58</v>
      </c>
      <c r="H3357" s="1" t="str">
        <f t="shared" si="629"/>
        <v>20220915</v>
      </c>
      <c r="I3357" s="1" t="str">
        <f>"102725"</f>
        <v>102725</v>
      </c>
      <c r="J3357" s="1" t="s">
        <v>28</v>
      </c>
      <c r="K3357" s="1" t="s">
        <v>28</v>
      </c>
      <c r="L3357" s="1" t="str">
        <f t="shared" si="636"/>
        <v>20220915</v>
      </c>
      <c r="M3357" s="1" t="str">
        <f>"104931"</f>
        <v>104931</v>
      </c>
      <c r="N3357" s="1" t="s">
        <v>34</v>
      </c>
      <c r="O3357" s="1" t="s">
        <v>34</v>
      </c>
      <c r="P3357" s="1" t="s">
        <v>55</v>
      </c>
      <c r="Q3357" s="1">
        <v>25</v>
      </c>
      <c r="R3357" s="1">
        <v>25</v>
      </c>
      <c r="S3357" s="1">
        <v>0</v>
      </c>
      <c r="T3357" s="1">
        <v>0</v>
      </c>
      <c r="U3357" s="1">
        <v>0</v>
      </c>
      <c r="V3357" s="1" t="str">
        <f t="shared" si="638"/>
        <v>里程去程</v>
      </c>
      <c r="W3357" s="1" t="str">
        <f>"0020"</f>
        <v>0020</v>
      </c>
      <c r="X3357" s="1" t="s">
        <v>29</v>
      </c>
    </row>
    <row r="3358" spans="1:24" x14ac:dyDescent="0.3">
      <c r="A3358" s="1" t="str">
        <f t="shared" si="634"/>
        <v>59820</v>
      </c>
      <c r="B3358" s="1" t="s">
        <v>53</v>
      </c>
      <c r="C3358" s="1" t="s">
        <v>54</v>
      </c>
      <c r="D3358" s="1" t="str">
        <f t="shared" si="637"/>
        <v>9803</v>
      </c>
      <c r="E3358" s="1" t="s">
        <v>32</v>
      </c>
      <c r="F3358" s="1" t="str">
        <f>"100706725"</f>
        <v>100706725</v>
      </c>
      <c r="G3358" s="1" t="s">
        <v>33</v>
      </c>
      <c r="H3358" s="1" t="str">
        <f t="shared" si="629"/>
        <v>20220915</v>
      </c>
      <c r="I3358" s="1" t="str">
        <f>"102734"</f>
        <v>102734</v>
      </c>
      <c r="J3358" s="1" t="s">
        <v>28</v>
      </c>
      <c r="K3358" s="1" t="s">
        <v>28</v>
      </c>
      <c r="L3358" s="1" t="str">
        <f t="shared" si="636"/>
        <v>20220915</v>
      </c>
      <c r="M3358" s="1" t="str">
        <f>"104920"</f>
        <v>104920</v>
      </c>
      <c r="N3358" s="1" t="s">
        <v>34</v>
      </c>
      <c r="O3358" s="1" t="s">
        <v>34</v>
      </c>
      <c r="P3358" s="1" t="s">
        <v>55</v>
      </c>
      <c r="Q3358" s="1">
        <v>25</v>
      </c>
      <c r="R3358" s="1">
        <v>25</v>
      </c>
      <c r="S3358" s="1">
        <v>0</v>
      </c>
      <c r="T3358" s="1">
        <v>0</v>
      </c>
      <c r="U3358" s="1">
        <v>0</v>
      </c>
      <c r="V3358" s="1" t="str">
        <f t="shared" si="638"/>
        <v>里程去程</v>
      </c>
      <c r="W3358" s="1" t="str">
        <f>"0620"</f>
        <v>0620</v>
      </c>
      <c r="X3358" s="1" t="s">
        <v>35</v>
      </c>
    </row>
    <row r="3359" spans="1:24" x14ac:dyDescent="0.3">
      <c r="A3359" s="1" t="str">
        <f t="shared" si="634"/>
        <v>59820</v>
      </c>
      <c r="B3359" s="1" t="s">
        <v>53</v>
      </c>
      <c r="C3359" s="1" t="s">
        <v>54</v>
      </c>
      <c r="D3359" s="1" t="str">
        <f t="shared" si="637"/>
        <v>9803</v>
      </c>
      <c r="E3359" s="1" t="s">
        <v>32</v>
      </c>
      <c r="F3359" s="1" t="str">
        <f>"1727287349"</f>
        <v>1727287349</v>
      </c>
      <c r="G3359" s="1" t="s">
        <v>33</v>
      </c>
      <c r="H3359" s="1" t="str">
        <f t="shared" si="629"/>
        <v>20220915</v>
      </c>
      <c r="I3359" s="1" t="str">
        <f>"102757"</f>
        <v>102757</v>
      </c>
      <c r="J3359" s="1" t="s">
        <v>28</v>
      </c>
      <c r="K3359" s="1" t="s">
        <v>28</v>
      </c>
      <c r="L3359" s="1" t="str">
        <f t="shared" si="636"/>
        <v>20220915</v>
      </c>
      <c r="M3359" s="1" t="str">
        <f>"104951"</f>
        <v>104951</v>
      </c>
      <c r="N3359" s="1" t="s">
        <v>34</v>
      </c>
      <c r="O3359" s="1" t="s">
        <v>34</v>
      </c>
      <c r="P3359" s="1" t="s">
        <v>55</v>
      </c>
      <c r="Q3359" s="1">
        <v>25</v>
      </c>
      <c r="R3359" s="1">
        <v>25</v>
      </c>
      <c r="S3359" s="1">
        <v>0</v>
      </c>
      <c r="T3359" s="1">
        <v>0</v>
      </c>
      <c r="U3359" s="1">
        <v>0</v>
      </c>
      <c r="V3359" s="1" t="str">
        <f t="shared" si="638"/>
        <v>里程去程</v>
      </c>
      <c r="W3359" s="1" t="str">
        <f>"0820"</f>
        <v>0820</v>
      </c>
      <c r="X3359" s="1" t="s">
        <v>35</v>
      </c>
    </row>
    <row r="3360" spans="1:24" x14ac:dyDescent="0.3">
      <c r="A3360" s="1" t="str">
        <f t="shared" si="634"/>
        <v>59820</v>
      </c>
      <c r="B3360" s="1" t="s">
        <v>53</v>
      </c>
      <c r="C3360" s="1" t="s">
        <v>54</v>
      </c>
      <c r="D3360" s="1" t="str">
        <f t="shared" si="637"/>
        <v>9803</v>
      </c>
      <c r="E3360" s="1" t="s">
        <v>32</v>
      </c>
      <c r="F3360" s="1" t="str">
        <f>"82651608F9880400C847002000000015"</f>
        <v>82651608F9880400C847002000000015</v>
      </c>
      <c r="G3360" s="1" t="s">
        <v>59</v>
      </c>
      <c r="H3360" s="1" t="str">
        <f t="shared" si="629"/>
        <v>20220915</v>
      </c>
      <c r="I3360" s="1" t="str">
        <f>"102805"</f>
        <v>102805</v>
      </c>
      <c r="J3360" s="1" t="s">
        <v>28</v>
      </c>
      <c r="K3360" s="1" t="s">
        <v>28</v>
      </c>
      <c r="L3360" s="1" t="str">
        <f t="shared" si="636"/>
        <v>20220915</v>
      </c>
      <c r="M3360" s="1" t="str">
        <f>"104906"</f>
        <v>104906</v>
      </c>
      <c r="N3360" s="1" t="s">
        <v>34</v>
      </c>
      <c r="O3360" s="1" t="s">
        <v>34</v>
      </c>
      <c r="P3360" s="1" t="s">
        <v>55</v>
      </c>
      <c r="Q3360" s="1">
        <v>25</v>
      </c>
      <c r="R3360" s="1">
        <v>25</v>
      </c>
      <c r="S3360" s="1">
        <v>0</v>
      </c>
      <c r="T3360" s="1">
        <v>0</v>
      </c>
      <c r="U3360" s="1">
        <v>0</v>
      </c>
      <c r="V3360" s="1" t="str">
        <f t="shared" si="638"/>
        <v>里程去程</v>
      </c>
      <c r="W3360" s="1" t="str">
        <f>"0020"</f>
        <v>0020</v>
      </c>
      <c r="X3360" s="1" t="s">
        <v>29</v>
      </c>
    </row>
    <row r="3361" spans="1:24" x14ac:dyDescent="0.3">
      <c r="A3361" s="1" t="str">
        <f t="shared" si="634"/>
        <v>59820</v>
      </c>
      <c r="B3361" s="1" t="s">
        <v>53</v>
      </c>
      <c r="C3361" s="1" t="s">
        <v>54</v>
      </c>
      <c r="D3361" s="1" t="str">
        <f t="shared" si="637"/>
        <v>9803</v>
      </c>
      <c r="E3361" s="1" t="s">
        <v>32</v>
      </c>
      <c r="F3361" s="1" t="str">
        <f>"3563378131"</f>
        <v>3563378131</v>
      </c>
      <c r="G3361" s="1" t="s">
        <v>33</v>
      </c>
      <c r="H3361" s="1" t="str">
        <f t="shared" si="629"/>
        <v>20220915</v>
      </c>
      <c r="I3361" s="1" t="str">
        <f>"102817"</f>
        <v>102817</v>
      </c>
      <c r="J3361" s="1" t="s">
        <v>28</v>
      </c>
      <c r="K3361" s="1" t="s">
        <v>28</v>
      </c>
      <c r="L3361" s="1" t="str">
        <f t="shared" si="636"/>
        <v>20220915</v>
      </c>
      <c r="M3361" s="1" t="str">
        <f>"104939"</f>
        <v>104939</v>
      </c>
      <c r="N3361" s="1" t="s">
        <v>34</v>
      </c>
      <c r="O3361" s="1" t="s">
        <v>34</v>
      </c>
      <c r="P3361" s="1" t="s">
        <v>55</v>
      </c>
      <c r="Q3361" s="1">
        <v>25</v>
      </c>
      <c r="R3361" s="1">
        <v>25</v>
      </c>
      <c r="S3361" s="1">
        <v>0</v>
      </c>
      <c r="T3361" s="1">
        <v>0</v>
      </c>
      <c r="U3361" s="1">
        <v>0</v>
      </c>
      <c r="V3361" s="1" t="str">
        <f t="shared" si="638"/>
        <v>里程去程</v>
      </c>
      <c r="W3361" s="1" t="str">
        <f>"0120"</f>
        <v>0120</v>
      </c>
      <c r="X3361" s="1" t="s">
        <v>35</v>
      </c>
    </row>
    <row r="3362" spans="1:24" x14ac:dyDescent="0.3">
      <c r="A3362" s="1" t="str">
        <f t="shared" si="634"/>
        <v>59820</v>
      </c>
      <c r="B3362" s="1" t="s">
        <v>53</v>
      </c>
      <c r="C3362" s="1" t="s">
        <v>54</v>
      </c>
      <c r="D3362" s="1" t="str">
        <f t="shared" si="637"/>
        <v>9803</v>
      </c>
      <c r="E3362" s="1" t="s">
        <v>32</v>
      </c>
      <c r="F3362" s="1" t="str">
        <f>"1614870309"</f>
        <v>1614870309</v>
      </c>
      <c r="G3362" s="1" t="s">
        <v>33</v>
      </c>
      <c r="H3362" s="1" t="str">
        <f t="shared" si="629"/>
        <v>20220915</v>
      </c>
      <c r="I3362" s="1" t="str">
        <f>"102820"</f>
        <v>102820</v>
      </c>
      <c r="J3362" s="1" t="s">
        <v>28</v>
      </c>
      <c r="K3362" s="1" t="s">
        <v>28</v>
      </c>
      <c r="L3362" s="1" t="str">
        <f t="shared" si="636"/>
        <v>20220915</v>
      </c>
      <c r="M3362" s="1" t="str">
        <f>"104936"</f>
        <v>104936</v>
      </c>
      <c r="N3362" s="1" t="s">
        <v>34</v>
      </c>
      <c r="O3362" s="1" t="s">
        <v>34</v>
      </c>
      <c r="P3362" s="1" t="s">
        <v>55</v>
      </c>
      <c r="Q3362" s="1">
        <v>25</v>
      </c>
      <c r="R3362" s="1">
        <v>25</v>
      </c>
      <c r="S3362" s="1">
        <v>0</v>
      </c>
      <c r="T3362" s="1">
        <v>0</v>
      </c>
      <c r="U3362" s="1">
        <v>0</v>
      </c>
      <c r="V3362" s="1" t="str">
        <f t="shared" si="638"/>
        <v>里程去程</v>
      </c>
      <c r="W3362" s="1" t="str">
        <f>"0820"</f>
        <v>0820</v>
      </c>
      <c r="X3362" s="1" t="s">
        <v>35</v>
      </c>
    </row>
    <row r="3363" spans="1:24" x14ac:dyDescent="0.3">
      <c r="A3363" s="1" t="str">
        <f t="shared" si="634"/>
        <v>59820</v>
      </c>
      <c r="B3363" s="1" t="s">
        <v>53</v>
      </c>
      <c r="C3363" s="1" t="s">
        <v>54</v>
      </c>
      <c r="D3363" s="1" t="str">
        <f t="shared" si="637"/>
        <v>9803</v>
      </c>
      <c r="E3363" s="1" t="s">
        <v>32</v>
      </c>
      <c r="F3363" s="1" t="str">
        <f>"958547857"</f>
        <v>958547857</v>
      </c>
      <c r="G3363" s="1" t="s">
        <v>33</v>
      </c>
      <c r="H3363" s="1" t="str">
        <f t="shared" si="629"/>
        <v>20220915</v>
      </c>
      <c r="I3363" s="1" t="str">
        <f>"102825"</f>
        <v>102825</v>
      </c>
      <c r="J3363" s="1" t="s">
        <v>28</v>
      </c>
      <c r="K3363" s="1" t="s">
        <v>28</v>
      </c>
      <c r="L3363" s="1" t="str">
        <f t="shared" si="636"/>
        <v>20220915</v>
      </c>
      <c r="M3363" s="1" t="str">
        <f>"103948"</f>
        <v>103948</v>
      </c>
      <c r="N3363" s="1" t="s">
        <v>46</v>
      </c>
      <c r="O3363" s="1" t="s">
        <v>28</v>
      </c>
      <c r="P3363" s="1" t="s">
        <v>55</v>
      </c>
      <c r="Q3363" s="1">
        <v>25</v>
      </c>
      <c r="R3363" s="1">
        <v>25</v>
      </c>
      <c r="S3363" s="1">
        <v>0</v>
      </c>
      <c r="T3363" s="1">
        <v>0</v>
      </c>
      <c r="U3363" s="1">
        <v>0</v>
      </c>
      <c r="V3363" s="1" t="str">
        <f t="shared" si="638"/>
        <v>里程去程</v>
      </c>
      <c r="W3363" s="1" t="str">
        <f>"0120"</f>
        <v>0120</v>
      </c>
      <c r="X3363" s="1" t="s">
        <v>35</v>
      </c>
    </row>
    <row r="3364" spans="1:24" x14ac:dyDescent="0.3">
      <c r="A3364" s="1" t="str">
        <f t="shared" si="634"/>
        <v>59820</v>
      </c>
      <c r="B3364" s="1" t="s">
        <v>53</v>
      </c>
      <c r="C3364" s="1" t="s">
        <v>54</v>
      </c>
      <c r="D3364" s="1" t="str">
        <f t="shared" si="637"/>
        <v>9803</v>
      </c>
      <c r="E3364" s="1" t="s">
        <v>32</v>
      </c>
      <c r="F3364" s="1" t="str">
        <f>"831226469"</f>
        <v>831226469</v>
      </c>
      <c r="G3364" s="1" t="s">
        <v>33</v>
      </c>
      <c r="H3364" s="1" t="str">
        <f t="shared" si="629"/>
        <v>20220915</v>
      </c>
      <c r="I3364" s="1" t="str">
        <f>"102829"</f>
        <v>102829</v>
      </c>
      <c r="J3364" s="1" t="s">
        <v>28</v>
      </c>
      <c r="K3364" s="1" t="s">
        <v>28</v>
      </c>
      <c r="L3364" s="1" t="str">
        <f t="shared" si="636"/>
        <v>20220915</v>
      </c>
      <c r="M3364" s="1" t="str">
        <f>"103941"</f>
        <v>103941</v>
      </c>
      <c r="N3364" s="1" t="s">
        <v>46</v>
      </c>
      <c r="O3364" s="1" t="s">
        <v>28</v>
      </c>
      <c r="P3364" s="1" t="s">
        <v>55</v>
      </c>
      <c r="Q3364" s="1">
        <v>25</v>
      </c>
      <c r="R3364" s="1">
        <v>25</v>
      </c>
      <c r="S3364" s="1">
        <v>0</v>
      </c>
      <c r="T3364" s="1">
        <v>0</v>
      </c>
      <c r="U3364" s="1">
        <v>0</v>
      </c>
      <c r="V3364" s="1" t="str">
        <f t="shared" si="638"/>
        <v>里程去程</v>
      </c>
      <c r="W3364" s="1" t="str">
        <f>"0120"</f>
        <v>0120</v>
      </c>
      <c r="X3364" s="1" t="s">
        <v>35</v>
      </c>
    </row>
    <row r="3365" spans="1:24" x14ac:dyDescent="0.3">
      <c r="A3365" s="1" t="str">
        <f t="shared" si="634"/>
        <v>59820</v>
      </c>
      <c r="B3365" s="1" t="s">
        <v>53</v>
      </c>
      <c r="C3365" s="1" t="s">
        <v>54</v>
      </c>
      <c r="D3365" s="1" t="str">
        <f t="shared" si="637"/>
        <v>9803</v>
      </c>
      <c r="E3365" s="1" t="s">
        <v>32</v>
      </c>
      <c r="F3365" s="1" t="str">
        <f>"1930454803"</f>
        <v>1930454803</v>
      </c>
      <c r="G3365" s="1" t="s">
        <v>33</v>
      </c>
      <c r="H3365" s="1" t="str">
        <f t="shared" si="629"/>
        <v>20220915</v>
      </c>
      <c r="I3365" s="1" t="str">
        <f>"102846"</f>
        <v>102846</v>
      </c>
      <c r="J3365" s="1" t="s">
        <v>28</v>
      </c>
      <c r="K3365" s="1" t="s">
        <v>28</v>
      </c>
      <c r="L3365" s="1" t="str">
        <f t="shared" si="636"/>
        <v>20220915</v>
      </c>
      <c r="M3365" s="1" t="str">
        <f>"104837"</f>
        <v>104837</v>
      </c>
      <c r="N3365" s="1" t="s">
        <v>34</v>
      </c>
      <c r="O3365" s="1" t="s">
        <v>34</v>
      </c>
      <c r="P3365" s="1" t="s">
        <v>55</v>
      </c>
      <c r="Q3365" s="1">
        <v>25</v>
      </c>
      <c r="R3365" s="1">
        <v>25</v>
      </c>
      <c r="S3365" s="1">
        <v>0</v>
      </c>
      <c r="T3365" s="1">
        <v>0</v>
      </c>
      <c r="U3365" s="1">
        <v>0</v>
      </c>
      <c r="V3365" s="1" t="str">
        <f t="shared" si="638"/>
        <v>里程去程</v>
      </c>
      <c r="W3365" s="1" t="str">
        <f>"0c20"</f>
        <v>0c20</v>
      </c>
      <c r="X3365" s="1" t="s">
        <v>35</v>
      </c>
    </row>
    <row r="3366" spans="1:24" x14ac:dyDescent="0.3">
      <c r="A3366" s="1" t="str">
        <f t="shared" si="634"/>
        <v>59820</v>
      </c>
      <c r="B3366" s="1" t="s">
        <v>53</v>
      </c>
      <c r="C3366" s="1" t="s">
        <v>54</v>
      </c>
      <c r="D3366" s="1" t="str">
        <f t="shared" si="637"/>
        <v>9803</v>
      </c>
      <c r="E3366" s="1" t="s">
        <v>32</v>
      </c>
      <c r="F3366" s="1" t="str">
        <f>"770709957"</f>
        <v>770709957</v>
      </c>
      <c r="G3366" s="1" t="s">
        <v>33</v>
      </c>
      <c r="H3366" s="1" t="str">
        <f t="shared" si="629"/>
        <v>20220915</v>
      </c>
      <c r="I3366" s="1" t="str">
        <f>"102852"</f>
        <v>102852</v>
      </c>
      <c r="J3366" s="1" t="s">
        <v>28</v>
      </c>
      <c r="K3366" s="1" t="s">
        <v>28</v>
      </c>
      <c r="L3366" s="1" t="str">
        <f t="shared" si="636"/>
        <v>20220915</v>
      </c>
      <c r="M3366" s="1" t="str">
        <f>"104912"</f>
        <v>104912</v>
      </c>
      <c r="N3366" s="1" t="s">
        <v>34</v>
      </c>
      <c r="O3366" s="1" t="s">
        <v>34</v>
      </c>
      <c r="P3366" s="1" t="s">
        <v>55</v>
      </c>
      <c r="Q3366" s="1">
        <v>25</v>
      </c>
      <c r="R3366" s="1">
        <v>25</v>
      </c>
      <c r="S3366" s="1">
        <v>0</v>
      </c>
      <c r="T3366" s="1">
        <v>0</v>
      </c>
      <c r="U3366" s="1">
        <v>0</v>
      </c>
      <c r="V3366" s="1" t="str">
        <f t="shared" si="638"/>
        <v>里程去程</v>
      </c>
      <c r="W3366" s="1" t="str">
        <f>"0c20"</f>
        <v>0c20</v>
      </c>
      <c r="X3366" s="1" t="s">
        <v>35</v>
      </c>
    </row>
    <row r="3367" spans="1:24" x14ac:dyDescent="0.3">
      <c r="A3367" s="1" t="str">
        <f t="shared" si="634"/>
        <v>59820</v>
      </c>
      <c r="B3367" s="1" t="s">
        <v>53</v>
      </c>
      <c r="C3367" s="1" t="s">
        <v>54</v>
      </c>
      <c r="D3367" s="1" t="str">
        <f t="shared" si="637"/>
        <v>9803</v>
      </c>
      <c r="E3367" s="1" t="s">
        <v>32</v>
      </c>
      <c r="F3367" s="1" t="str">
        <f>"1065647893"</f>
        <v>1065647893</v>
      </c>
      <c r="G3367" s="1" t="s">
        <v>33</v>
      </c>
      <c r="H3367" s="1" t="str">
        <f t="shared" si="629"/>
        <v>20220915</v>
      </c>
      <c r="I3367" s="1" t="str">
        <f>"102901"</f>
        <v>102901</v>
      </c>
      <c r="J3367" s="1" t="s">
        <v>28</v>
      </c>
      <c r="K3367" s="1" t="s">
        <v>28</v>
      </c>
      <c r="L3367" s="1" t="str">
        <f t="shared" si="636"/>
        <v>20220915</v>
      </c>
      <c r="M3367" s="1" t="str">
        <f>"104856"</f>
        <v>104856</v>
      </c>
      <c r="N3367" s="1" t="s">
        <v>34</v>
      </c>
      <c r="O3367" s="1" t="s">
        <v>34</v>
      </c>
      <c r="P3367" s="1" t="s">
        <v>55</v>
      </c>
      <c r="Q3367" s="1">
        <v>25</v>
      </c>
      <c r="R3367" s="1">
        <v>25</v>
      </c>
      <c r="S3367" s="1">
        <v>0</v>
      </c>
      <c r="T3367" s="1">
        <v>0</v>
      </c>
      <c r="U3367" s="1">
        <v>0</v>
      </c>
      <c r="V3367" s="1" t="str">
        <f t="shared" si="638"/>
        <v>里程去程</v>
      </c>
      <c r="W3367" s="1" t="str">
        <f>"0e20"</f>
        <v>0e20</v>
      </c>
      <c r="X3367" s="1" t="s">
        <v>35</v>
      </c>
    </row>
    <row r="3368" spans="1:24" x14ac:dyDescent="0.3">
      <c r="A3368" s="1" t="str">
        <f t="shared" si="634"/>
        <v>59820</v>
      </c>
      <c r="B3368" s="1" t="s">
        <v>53</v>
      </c>
      <c r="C3368" s="1" t="s">
        <v>54</v>
      </c>
      <c r="D3368" s="1" t="str">
        <f t="shared" si="637"/>
        <v>9803</v>
      </c>
      <c r="E3368" s="1" t="s">
        <v>32</v>
      </c>
      <c r="F3368" s="1" t="str">
        <f>"993393557"</f>
        <v>993393557</v>
      </c>
      <c r="G3368" s="1" t="s">
        <v>38</v>
      </c>
      <c r="H3368" s="1" t="str">
        <f t="shared" si="629"/>
        <v>20220915</v>
      </c>
      <c r="I3368" s="1" t="str">
        <f>"102906"</f>
        <v>102906</v>
      </c>
      <c r="J3368" s="1" t="s">
        <v>28</v>
      </c>
      <c r="K3368" s="1" t="s">
        <v>28</v>
      </c>
      <c r="L3368" s="1" t="str">
        <f t="shared" si="636"/>
        <v>20220915</v>
      </c>
      <c r="M3368" s="1" t="str">
        <f>"104942"</f>
        <v>104942</v>
      </c>
      <c r="N3368" s="1" t="s">
        <v>34</v>
      </c>
      <c r="O3368" s="1" t="s">
        <v>34</v>
      </c>
      <c r="P3368" s="1" t="s">
        <v>55</v>
      </c>
      <c r="Q3368" s="1">
        <v>25</v>
      </c>
      <c r="R3368" s="1">
        <v>25</v>
      </c>
      <c r="S3368" s="1">
        <v>0</v>
      </c>
      <c r="T3368" s="1">
        <v>0</v>
      </c>
      <c r="U3368" s="1">
        <v>0</v>
      </c>
      <c r="V3368" s="1" t="str">
        <f t="shared" si="638"/>
        <v>里程去程</v>
      </c>
      <c r="W3368" s="1" t="str">
        <f>"0220"</f>
        <v>0220</v>
      </c>
      <c r="X3368" s="1" t="s">
        <v>35</v>
      </c>
    </row>
    <row r="3369" spans="1:24" x14ac:dyDescent="0.3">
      <c r="A3369" s="1" t="str">
        <f t="shared" si="634"/>
        <v>59820</v>
      </c>
      <c r="B3369" s="1" t="s">
        <v>53</v>
      </c>
      <c r="C3369" s="1" t="s">
        <v>54</v>
      </c>
      <c r="D3369" s="1" t="str">
        <f t="shared" si="637"/>
        <v>9803</v>
      </c>
      <c r="E3369" s="1" t="s">
        <v>32</v>
      </c>
      <c r="F3369" s="1" t="str">
        <f>"3105B440C0280400F700000000000000"</f>
        <v>3105B440C0280400F700000000000000</v>
      </c>
      <c r="G3369" s="1" t="s">
        <v>58</v>
      </c>
      <c r="H3369" s="1" t="str">
        <f t="shared" si="629"/>
        <v>20220915</v>
      </c>
      <c r="I3369" s="1" t="str">
        <f>"102919"</f>
        <v>102919</v>
      </c>
      <c r="J3369" s="1" t="s">
        <v>28</v>
      </c>
      <c r="K3369" s="1" t="s">
        <v>28</v>
      </c>
      <c r="L3369" s="1" t="str">
        <f t="shared" si="636"/>
        <v>20220915</v>
      </c>
      <c r="M3369" s="1" t="str">
        <f>"104843"</f>
        <v>104843</v>
      </c>
      <c r="N3369" s="1" t="s">
        <v>34</v>
      </c>
      <c r="O3369" s="1" t="s">
        <v>34</v>
      </c>
      <c r="P3369" s="1" t="s">
        <v>55</v>
      </c>
      <c r="Q3369" s="1">
        <v>25</v>
      </c>
      <c r="R3369" s="1">
        <v>0</v>
      </c>
      <c r="S3369" s="1">
        <v>25</v>
      </c>
      <c r="T3369" s="1">
        <v>0</v>
      </c>
      <c r="U3369" s="1">
        <v>0</v>
      </c>
      <c r="V3369" s="1" t="str">
        <f t="shared" si="638"/>
        <v>里程去程</v>
      </c>
      <c r="W3369" s="1" t="str">
        <f>"0620"</f>
        <v>0620</v>
      </c>
      <c r="X3369" s="1" t="s">
        <v>29</v>
      </c>
    </row>
    <row r="3370" spans="1:24" x14ac:dyDescent="0.3">
      <c r="A3370" s="1" t="str">
        <f t="shared" si="634"/>
        <v>59820</v>
      </c>
      <c r="B3370" s="1" t="s">
        <v>53</v>
      </c>
      <c r="C3370" s="1" t="s">
        <v>54</v>
      </c>
      <c r="D3370" s="1" t="str">
        <f t="shared" si="637"/>
        <v>9803</v>
      </c>
      <c r="E3370" s="1" t="s">
        <v>32</v>
      </c>
      <c r="F3370" s="1" t="str">
        <f>"1607714817"</f>
        <v>1607714817</v>
      </c>
      <c r="G3370" s="1" t="s">
        <v>33</v>
      </c>
      <c r="H3370" s="1" t="str">
        <f t="shared" si="629"/>
        <v>20220915</v>
      </c>
      <c r="I3370" s="1" t="str">
        <f>"102929"</f>
        <v>102929</v>
      </c>
      <c r="J3370" s="1" t="s">
        <v>28</v>
      </c>
      <c r="K3370" s="1" t="s">
        <v>28</v>
      </c>
      <c r="L3370" s="1" t="str">
        <f t="shared" si="636"/>
        <v>20220915</v>
      </c>
      <c r="M3370" s="1" t="str">
        <f>"104826"</f>
        <v>104826</v>
      </c>
      <c r="N3370" s="1" t="s">
        <v>34</v>
      </c>
      <c r="O3370" s="1" t="s">
        <v>34</v>
      </c>
      <c r="P3370" s="1" t="s">
        <v>55</v>
      </c>
      <c r="Q3370" s="1">
        <v>25</v>
      </c>
      <c r="R3370" s="1">
        <v>0</v>
      </c>
      <c r="S3370" s="1">
        <v>25</v>
      </c>
      <c r="T3370" s="1">
        <v>0</v>
      </c>
      <c r="U3370" s="1">
        <v>0</v>
      </c>
      <c r="V3370" s="1" t="str">
        <f t="shared" si="638"/>
        <v>里程去程</v>
      </c>
      <c r="W3370" s="1" t="str">
        <f>"0820"</f>
        <v>0820</v>
      </c>
      <c r="X3370" s="1" t="s">
        <v>35</v>
      </c>
    </row>
    <row r="3371" spans="1:24" x14ac:dyDescent="0.3">
      <c r="A3371" s="1" t="str">
        <f t="shared" si="634"/>
        <v>59820</v>
      </c>
      <c r="B3371" s="1" t="s">
        <v>53</v>
      </c>
      <c r="C3371" s="1" t="s">
        <v>54</v>
      </c>
      <c r="D3371" s="1" t="str">
        <f t="shared" si="637"/>
        <v>9803</v>
      </c>
      <c r="E3371" s="1" t="s">
        <v>32</v>
      </c>
      <c r="F3371" s="1" t="str">
        <f>"3759150759"</f>
        <v>3759150759</v>
      </c>
      <c r="G3371" s="1" t="s">
        <v>33</v>
      </c>
      <c r="H3371" s="1" t="str">
        <f t="shared" si="629"/>
        <v>20220915</v>
      </c>
      <c r="I3371" s="1" t="str">
        <f>"112946"</f>
        <v>112946</v>
      </c>
      <c r="J3371" s="1" t="s">
        <v>28</v>
      </c>
      <c r="K3371" s="1" t="s">
        <v>28</v>
      </c>
      <c r="L3371" s="1" t="str">
        <f t="shared" si="636"/>
        <v>20220915</v>
      </c>
      <c r="M3371" s="1" t="str">
        <f>"114915"</f>
        <v>114915</v>
      </c>
      <c r="N3371" s="1" t="s">
        <v>34</v>
      </c>
      <c r="O3371" s="1" t="s">
        <v>34</v>
      </c>
      <c r="P3371" s="1" t="s">
        <v>55</v>
      </c>
      <c r="Q3371" s="1">
        <v>25</v>
      </c>
      <c r="R3371" s="1">
        <v>25</v>
      </c>
      <c r="S3371" s="1">
        <v>0</v>
      </c>
      <c r="T3371" s="1">
        <v>0</v>
      </c>
      <c r="U3371" s="1">
        <v>0</v>
      </c>
      <c r="V3371" s="1" t="str">
        <f t="shared" si="638"/>
        <v>里程去程</v>
      </c>
      <c r="W3371" s="1" t="str">
        <f>"0120"</f>
        <v>0120</v>
      </c>
      <c r="X3371" s="1" t="s">
        <v>35</v>
      </c>
    </row>
    <row r="3372" spans="1:24" x14ac:dyDescent="0.3">
      <c r="A3372" s="1" t="str">
        <f t="shared" si="634"/>
        <v>59820</v>
      </c>
      <c r="B3372" s="1" t="s">
        <v>53</v>
      </c>
      <c r="C3372" s="1" t="s">
        <v>54</v>
      </c>
      <c r="D3372" s="1" t="str">
        <f t="shared" si="637"/>
        <v>9803</v>
      </c>
      <c r="E3372" s="1" t="s">
        <v>32</v>
      </c>
      <c r="F3372" s="1" t="str">
        <f>"964494641"</f>
        <v>964494641</v>
      </c>
      <c r="G3372" s="1" t="s">
        <v>33</v>
      </c>
      <c r="H3372" s="1" t="str">
        <f t="shared" si="629"/>
        <v>20220915</v>
      </c>
      <c r="I3372" s="1" t="str">
        <f>"113010"</f>
        <v>113010</v>
      </c>
      <c r="J3372" s="1" t="s">
        <v>28</v>
      </c>
      <c r="K3372" s="1" t="s">
        <v>28</v>
      </c>
      <c r="L3372" s="1" t="str">
        <f t="shared" si="636"/>
        <v>20220915</v>
      </c>
      <c r="M3372" s="1" t="str">
        <f>"114857"</f>
        <v>114857</v>
      </c>
      <c r="N3372" s="1" t="s">
        <v>34</v>
      </c>
      <c r="O3372" s="1" t="s">
        <v>34</v>
      </c>
      <c r="P3372" s="1" t="s">
        <v>55</v>
      </c>
      <c r="Q3372" s="1">
        <v>25</v>
      </c>
      <c r="R3372" s="1">
        <v>25</v>
      </c>
      <c r="S3372" s="1">
        <v>0</v>
      </c>
      <c r="T3372" s="1">
        <v>0</v>
      </c>
      <c r="U3372" s="1">
        <v>0</v>
      </c>
      <c r="V3372" s="1" t="str">
        <f t="shared" si="638"/>
        <v>里程去程</v>
      </c>
      <c r="W3372" s="1" t="str">
        <f>"0820"</f>
        <v>0820</v>
      </c>
      <c r="X3372" s="1" t="s">
        <v>35</v>
      </c>
    </row>
    <row r="3373" spans="1:24" x14ac:dyDescent="0.3">
      <c r="A3373" s="1" t="str">
        <f t="shared" si="634"/>
        <v>59820</v>
      </c>
      <c r="B3373" s="1" t="s">
        <v>53</v>
      </c>
      <c r="C3373" s="1" t="s">
        <v>54</v>
      </c>
      <c r="D3373" s="1" t="str">
        <f t="shared" si="637"/>
        <v>9803</v>
      </c>
      <c r="E3373" s="1" t="s">
        <v>32</v>
      </c>
      <c r="F3373" s="1" t="str">
        <f>"465978004"</f>
        <v>465978004</v>
      </c>
      <c r="G3373" s="1" t="s">
        <v>33</v>
      </c>
      <c r="H3373" s="1" t="str">
        <f t="shared" si="629"/>
        <v>20220915</v>
      </c>
      <c r="I3373" s="1" t="str">
        <f>"113818"</f>
        <v>113818</v>
      </c>
      <c r="J3373" s="1" t="s">
        <v>79</v>
      </c>
      <c r="K3373" s="1" t="s">
        <v>28</v>
      </c>
      <c r="L3373" s="1" t="str">
        <f t="shared" si="636"/>
        <v>20220915</v>
      </c>
      <c r="M3373" s="1" t="str">
        <f>"114911"</f>
        <v>114911</v>
      </c>
      <c r="N3373" s="1" t="s">
        <v>34</v>
      </c>
      <c r="O3373" s="1" t="s">
        <v>34</v>
      </c>
      <c r="P3373" s="1" t="s">
        <v>55</v>
      </c>
      <c r="Q3373" s="1">
        <v>25</v>
      </c>
      <c r="R3373" s="1">
        <v>25</v>
      </c>
      <c r="S3373" s="1">
        <v>0</v>
      </c>
      <c r="T3373" s="1">
        <v>0</v>
      </c>
      <c r="U3373" s="1">
        <v>0</v>
      </c>
      <c r="V3373" s="1" t="str">
        <f t="shared" si="638"/>
        <v>里程去程</v>
      </c>
      <c r="W3373" s="1" t="str">
        <f>"2020"</f>
        <v>2020</v>
      </c>
      <c r="X3373" s="1" t="s">
        <v>35</v>
      </c>
    </row>
    <row r="3374" spans="1:24" x14ac:dyDescent="0.3">
      <c r="A3374" s="1" t="str">
        <f t="shared" si="634"/>
        <v>59820</v>
      </c>
      <c r="B3374" s="1" t="s">
        <v>53</v>
      </c>
      <c r="C3374" s="1" t="s">
        <v>54</v>
      </c>
      <c r="D3374" s="1" t="str">
        <f t="shared" si="637"/>
        <v>9803</v>
      </c>
      <c r="E3374" s="1" t="s">
        <v>32</v>
      </c>
      <c r="F3374" s="1" t="str">
        <f>"608812289"</f>
        <v>608812289</v>
      </c>
      <c r="G3374" s="1" t="s">
        <v>33</v>
      </c>
      <c r="H3374" s="1" t="str">
        <f t="shared" si="629"/>
        <v>20220915</v>
      </c>
      <c r="I3374" s="1" t="str">
        <f>"113828"</f>
        <v>113828</v>
      </c>
      <c r="J3374" s="1" t="s">
        <v>79</v>
      </c>
      <c r="K3374" s="1" t="s">
        <v>28</v>
      </c>
      <c r="L3374" s="1" t="str">
        <f t="shared" si="636"/>
        <v>20220915</v>
      </c>
      <c r="M3374" s="1" t="str">
        <f>"114907"</f>
        <v>114907</v>
      </c>
      <c r="N3374" s="1" t="s">
        <v>34</v>
      </c>
      <c r="O3374" s="1" t="s">
        <v>34</v>
      </c>
      <c r="P3374" s="1" t="s">
        <v>55</v>
      </c>
      <c r="Q3374" s="1">
        <v>25</v>
      </c>
      <c r="R3374" s="1">
        <v>25</v>
      </c>
      <c r="S3374" s="1">
        <v>0</v>
      </c>
      <c r="T3374" s="1">
        <v>0</v>
      </c>
      <c r="U3374" s="1">
        <v>0</v>
      </c>
      <c r="V3374" s="1" t="str">
        <f t="shared" si="638"/>
        <v>里程去程</v>
      </c>
      <c r="W3374" s="1" t="str">
        <f>"2020"</f>
        <v>2020</v>
      </c>
      <c r="X3374" s="1" t="s">
        <v>35</v>
      </c>
    </row>
    <row r="3375" spans="1:24" x14ac:dyDescent="0.3">
      <c r="A3375" s="1" t="str">
        <f t="shared" si="634"/>
        <v>59820</v>
      </c>
      <c r="B3375" s="1" t="s">
        <v>53</v>
      </c>
      <c r="C3375" s="1" t="s">
        <v>54</v>
      </c>
      <c r="D3375" s="1" t="str">
        <f t="shared" si="637"/>
        <v>9803</v>
      </c>
      <c r="E3375" s="1" t="s">
        <v>32</v>
      </c>
      <c r="F3375" s="1" t="str">
        <f>"3483310792"</f>
        <v>3483310792</v>
      </c>
      <c r="G3375" s="1" t="s">
        <v>33</v>
      </c>
      <c r="H3375" s="1" t="str">
        <f t="shared" ref="H3375:H3438" si="639">"20220915"</f>
        <v>20220915</v>
      </c>
      <c r="I3375" s="1" t="str">
        <f>"114949"</f>
        <v>114949</v>
      </c>
      <c r="J3375" s="1" t="s">
        <v>34</v>
      </c>
      <c r="K3375" s="1" t="s">
        <v>34</v>
      </c>
      <c r="L3375" s="1" t="str">
        <f t="shared" si="636"/>
        <v>20220915</v>
      </c>
      <c r="M3375" s="1" t="str">
        <f>"122754"</f>
        <v>122754</v>
      </c>
      <c r="N3375" s="1" t="s">
        <v>28</v>
      </c>
      <c r="O3375" s="1" t="s">
        <v>28</v>
      </c>
      <c r="P3375" s="1" t="s">
        <v>55</v>
      </c>
      <c r="Q3375" s="1">
        <v>25</v>
      </c>
      <c r="R3375" s="1">
        <v>25</v>
      </c>
      <c r="S3375" s="1">
        <v>0</v>
      </c>
      <c r="T3375" s="1">
        <v>0</v>
      </c>
      <c r="U3375" s="1">
        <v>0</v>
      </c>
      <c r="V3375" s="1" t="str">
        <f>"里程返程"</f>
        <v>里程返程</v>
      </c>
      <c r="W3375" s="1" t="str">
        <f>"2020"</f>
        <v>2020</v>
      </c>
      <c r="X3375" s="1" t="s">
        <v>35</v>
      </c>
    </row>
    <row r="3376" spans="1:24" x14ac:dyDescent="0.3">
      <c r="A3376" s="1" t="str">
        <f t="shared" si="634"/>
        <v>59820</v>
      </c>
      <c r="B3376" s="1" t="s">
        <v>53</v>
      </c>
      <c r="C3376" s="1" t="s">
        <v>54</v>
      </c>
      <c r="D3376" s="1" t="str">
        <f t="shared" si="637"/>
        <v>9803</v>
      </c>
      <c r="E3376" s="1" t="s">
        <v>32</v>
      </c>
      <c r="F3376" s="1" t="str">
        <f>"1278372977"</f>
        <v>1278372977</v>
      </c>
      <c r="G3376" s="1" t="s">
        <v>33</v>
      </c>
      <c r="H3376" s="1" t="str">
        <f t="shared" si="639"/>
        <v>20220915</v>
      </c>
      <c r="I3376" s="1" t="str">
        <f>"120230"</f>
        <v>120230</v>
      </c>
      <c r="J3376" s="1" t="s">
        <v>73</v>
      </c>
      <c r="K3376" s="1" t="s">
        <v>28</v>
      </c>
      <c r="L3376" s="1" t="str">
        <f t="shared" si="636"/>
        <v>20220915</v>
      </c>
      <c r="M3376" s="1" t="str">
        <f>"122736"</f>
        <v>122736</v>
      </c>
      <c r="N3376" s="1" t="s">
        <v>28</v>
      </c>
      <c r="O3376" s="1" t="s">
        <v>28</v>
      </c>
      <c r="P3376" s="1" t="s">
        <v>55</v>
      </c>
      <c r="Q3376" s="1">
        <v>25</v>
      </c>
      <c r="R3376" s="1">
        <v>25</v>
      </c>
      <c r="S3376" s="1">
        <v>0</v>
      </c>
      <c r="T3376" s="1">
        <v>0</v>
      </c>
      <c r="U3376" s="1">
        <v>0</v>
      </c>
      <c r="V3376" s="1" t="str">
        <f>"里程返程"</f>
        <v>里程返程</v>
      </c>
      <c r="W3376" s="1" t="str">
        <f>"2020"</f>
        <v>2020</v>
      </c>
      <c r="X3376" s="1" t="s">
        <v>35</v>
      </c>
    </row>
    <row r="3377" spans="1:24" x14ac:dyDescent="0.3">
      <c r="A3377" s="1" t="str">
        <f t="shared" si="634"/>
        <v>59820</v>
      </c>
      <c r="B3377" s="1" t="s">
        <v>53</v>
      </c>
      <c r="C3377" s="1" t="s">
        <v>54</v>
      </c>
      <c r="D3377" s="1" t="str">
        <f t="shared" si="637"/>
        <v>9803</v>
      </c>
      <c r="E3377" s="1" t="s">
        <v>32</v>
      </c>
      <c r="F3377" s="1" t="str">
        <f>"1127626993"</f>
        <v>1127626993</v>
      </c>
      <c r="G3377" s="1" t="s">
        <v>33</v>
      </c>
      <c r="H3377" s="1" t="str">
        <f t="shared" si="639"/>
        <v>20220915</v>
      </c>
      <c r="I3377" s="1" t="str">
        <f>"122815"</f>
        <v>122815</v>
      </c>
      <c r="J3377" s="1" t="s">
        <v>28</v>
      </c>
      <c r="K3377" s="1" t="s">
        <v>28</v>
      </c>
      <c r="L3377" s="1" t="str">
        <f t="shared" si="636"/>
        <v>20220915</v>
      </c>
      <c r="M3377" s="1" t="str">
        <f>"124746"</f>
        <v>124746</v>
      </c>
      <c r="N3377" s="1" t="s">
        <v>34</v>
      </c>
      <c r="O3377" s="1" t="s">
        <v>34</v>
      </c>
      <c r="P3377" s="1" t="s">
        <v>55</v>
      </c>
      <c r="Q3377" s="1">
        <v>25</v>
      </c>
      <c r="R3377" s="1">
        <v>25</v>
      </c>
      <c r="S3377" s="1">
        <v>0</v>
      </c>
      <c r="T3377" s="1">
        <v>0</v>
      </c>
      <c r="U3377" s="1">
        <v>0</v>
      </c>
      <c r="V3377" s="1" t="str">
        <f t="shared" ref="V3377:V3385" si="640">"里程去程"</f>
        <v>里程去程</v>
      </c>
      <c r="W3377" s="1" t="str">
        <f>"0820"</f>
        <v>0820</v>
      </c>
      <c r="X3377" s="1" t="s">
        <v>35</v>
      </c>
    </row>
    <row r="3378" spans="1:24" x14ac:dyDescent="0.3">
      <c r="A3378" s="1" t="str">
        <f t="shared" si="634"/>
        <v>59820</v>
      </c>
      <c r="B3378" s="1" t="s">
        <v>53</v>
      </c>
      <c r="C3378" s="1" t="s">
        <v>54</v>
      </c>
      <c r="D3378" s="1" t="str">
        <f t="shared" si="637"/>
        <v>9803</v>
      </c>
      <c r="E3378" s="1" t="s">
        <v>32</v>
      </c>
      <c r="F3378" s="1" t="str">
        <f>"1738741717"</f>
        <v>1738741717</v>
      </c>
      <c r="G3378" s="1" t="s">
        <v>33</v>
      </c>
      <c r="H3378" s="1" t="str">
        <f t="shared" si="639"/>
        <v>20220915</v>
      </c>
      <c r="I3378" s="1" t="str">
        <f>"122822"</f>
        <v>122822</v>
      </c>
      <c r="J3378" s="1" t="s">
        <v>28</v>
      </c>
      <c r="K3378" s="1" t="s">
        <v>28</v>
      </c>
      <c r="L3378" s="1" t="str">
        <f t="shared" si="636"/>
        <v>20220915</v>
      </c>
      <c r="M3378" s="1" t="str">
        <f>"124750"</f>
        <v>124750</v>
      </c>
      <c r="N3378" s="1" t="s">
        <v>34</v>
      </c>
      <c r="O3378" s="1" t="s">
        <v>34</v>
      </c>
      <c r="P3378" s="1" t="s">
        <v>55</v>
      </c>
      <c r="Q3378" s="1">
        <v>25</v>
      </c>
      <c r="R3378" s="1">
        <v>25</v>
      </c>
      <c r="S3378" s="1">
        <v>0</v>
      </c>
      <c r="T3378" s="1">
        <v>0</v>
      </c>
      <c r="U3378" s="1">
        <v>0</v>
      </c>
      <c r="V3378" s="1" t="str">
        <f t="shared" si="640"/>
        <v>里程去程</v>
      </c>
      <c r="W3378" s="1" t="str">
        <f>"0120"</f>
        <v>0120</v>
      </c>
      <c r="X3378" s="1" t="s">
        <v>35</v>
      </c>
    </row>
    <row r="3379" spans="1:24" x14ac:dyDescent="0.3">
      <c r="A3379" s="1" t="str">
        <f t="shared" si="634"/>
        <v>59820</v>
      </c>
      <c r="B3379" s="1" t="s">
        <v>53</v>
      </c>
      <c r="C3379" s="1" t="s">
        <v>54</v>
      </c>
      <c r="D3379" s="1" t="str">
        <f t="shared" si="637"/>
        <v>9803</v>
      </c>
      <c r="E3379" s="1" t="s">
        <v>32</v>
      </c>
      <c r="F3379" s="1" t="str">
        <f>"2CCD8F69078804004741355145104307"</f>
        <v>2CCD8F69078804004741355145104307</v>
      </c>
      <c r="G3379" s="1" t="s">
        <v>59</v>
      </c>
      <c r="H3379" s="1" t="str">
        <f t="shared" si="639"/>
        <v>20220915</v>
      </c>
      <c r="I3379" s="1" t="str">
        <f>"122826"</f>
        <v>122826</v>
      </c>
      <c r="J3379" s="1" t="s">
        <v>28</v>
      </c>
      <c r="K3379" s="1" t="s">
        <v>28</v>
      </c>
      <c r="L3379" s="1" t="str">
        <f t="shared" si="636"/>
        <v>20220915</v>
      </c>
      <c r="M3379" s="1" t="str">
        <f>"124740"</f>
        <v>124740</v>
      </c>
      <c r="N3379" s="1" t="s">
        <v>34</v>
      </c>
      <c r="O3379" s="1" t="s">
        <v>34</v>
      </c>
      <c r="P3379" s="1" t="s">
        <v>55</v>
      </c>
      <c r="Q3379" s="1">
        <v>25</v>
      </c>
      <c r="R3379" s="1">
        <v>25</v>
      </c>
      <c r="S3379" s="1">
        <v>0</v>
      </c>
      <c r="T3379" s="1">
        <v>0</v>
      </c>
      <c r="U3379" s="1">
        <v>0</v>
      </c>
      <c r="V3379" s="1" t="str">
        <f t="shared" si="640"/>
        <v>里程去程</v>
      </c>
      <c r="W3379" s="1" t="str">
        <f>"0020"</f>
        <v>0020</v>
      </c>
      <c r="X3379" s="1" t="s">
        <v>29</v>
      </c>
    </row>
    <row r="3380" spans="1:24" x14ac:dyDescent="0.3">
      <c r="A3380" s="1" t="str">
        <f t="shared" si="634"/>
        <v>59820</v>
      </c>
      <c r="B3380" s="1" t="s">
        <v>53</v>
      </c>
      <c r="C3380" s="1" t="s">
        <v>54</v>
      </c>
      <c r="D3380" s="1" t="str">
        <f t="shared" si="637"/>
        <v>9803</v>
      </c>
      <c r="E3380" s="1" t="s">
        <v>32</v>
      </c>
      <c r="F3380" s="1" t="str">
        <f>"4025D956EA880400468F74D065402311"</f>
        <v>4025D956EA880400468F74D065402311</v>
      </c>
      <c r="G3380" s="1" t="s">
        <v>59</v>
      </c>
      <c r="H3380" s="1" t="str">
        <f t="shared" si="639"/>
        <v>20220915</v>
      </c>
      <c r="I3380" s="1" t="str">
        <f>"122829"</f>
        <v>122829</v>
      </c>
      <c r="J3380" s="1" t="s">
        <v>28</v>
      </c>
      <c r="K3380" s="1" t="s">
        <v>28</v>
      </c>
      <c r="L3380" s="1" t="str">
        <f t="shared" si="636"/>
        <v>20220915</v>
      </c>
      <c r="M3380" s="1" t="str">
        <f>"124743"</f>
        <v>124743</v>
      </c>
      <c r="N3380" s="1" t="s">
        <v>34</v>
      </c>
      <c r="O3380" s="1" t="s">
        <v>34</v>
      </c>
      <c r="P3380" s="1" t="s">
        <v>55</v>
      </c>
      <c r="Q3380" s="1">
        <v>25</v>
      </c>
      <c r="R3380" s="1">
        <v>25</v>
      </c>
      <c r="S3380" s="1">
        <v>0</v>
      </c>
      <c r="T3380" s="1">
        <v>0</v>
      </c>
      <c r="U3380" s="1">
        <v>0</v>
      </c>
      <c r="V3380" s="1" t="str">
        <f t="shared" si="640"/>
        <v>里程去程</v>
      </c>
      <c r="W3380" s="1" t="str">
        <f>"0020"</f>
        <v>0020</v>
      </c>
      <c r="X3380" s="1" t="s">
        <v>29</v>
      </c>
    </row>
    <row r="3381" spans="1:24" x14ac:dyDescent="0.3">
      <c r="A3381" s="1" t="str">
        <f t="shared" si="634"/>
        <v>59820</v>
      </c>
      <c r="B3381" s="1" t="s">
        <v>53</v>
      </c>
      <c r="C3381" s="1" t="s">
        <v>54</v>
      </c>
      <c r="D3381" s="1" t="str">
        <f t="shared" si="637"/>
        <v>9803</v>
      </c>
      <c r="E3381" s="1" t="s">
        <v>32</v>
      </c>
      <c r="F3381" s="1" t="str">
        <f>"833323249"</f>
        <v>833323249</v>
      </c>
      <c r="G3381" s="1" t="s">
        <v>33</v>
      </c>
      <c r="H3381" s="1" t="str">
        <f t="shared" si="639"/>
        <v>20220915</v>
      </c>
      <c r="I3381" s="1" t="str">
        <f>"122833"</f>
        <v>122833</v>
      </c>
      <c r="J3381" s="1" t="s">
        <v>28</v>
      </c>
      <c r="K3381" s="1" t="s">
        <v>28</v>
      </c>
      <c r="L3381" s="1" t="str">
        <f t="shared" si="636"/>
        <v>20220915</v>
      </c>
      <c r="M3381" s="1" t="str">
        <f>"124717"</f>
        <v>124717</v>
      </c>
      <c r="N3381" s="1" t="s">
        <v>34</v>
      </c>
      <c r="O3381" s="1" t="s">
        <v>34</v>
      </c>
      <c r="P3381" s="1" t="s">
        <v>55</v>
      </c>
      <c r="Q3381" s="1">
        <v>25</v>
      </c>
      <c r="R3381" s="1">
        <v>25</v>
      </c>
      <c r="S3381" s="1">
        <v>0</v>
      </c>
      <c r="T3381" s="1">
        <v>0</v>
      </c>
      <c r="U3381" s="1">
        <v>0</v>
      </c>
      <c r="V3381" s="1" t="str">
        <f t="shared" si="640"/>
        <v>里程去程</v>
      </c>
      <c r="W3381" s="1" t="str">
        <f>"0120"</f>
        <v>0120</v>
      </c>
      <c r="X3381" s="1" t="s">
        <v>35</v>
      </c>
    </row>
    <row r="3382" spans="1:24" x14ac:dyDescent="0.3">
      <c r="A3382" s="1" t="str">
        <f t="shared" si="634"/>
        <v>59820</v>
      </c>
      <c r="B3382" s="1" t="s">
        <v>53</v>
      </c>
      <c r="C3382" s="1" t="s">
        <v>54</v>
      </c>
      <c r="D3382" s="1" t="str">
        <f t="shared" si="637"/>
        <v>9803</v>
      </c>
      <c r="E3382" s="1" t="s">
        <v>32</v>
      </c>
      <c r="F3382" s="1" t="str">
        <f>"1172616069"</f>
        <v>1172616069</v>
      </c>
      <c r="G3382" s="1" t="s">
        <v>33</v>
      </c>
      <c r="H3382" s="1" t="str">
        <f t="shared" si="639"/>
        <v>20220915</v>
      </c>
      <c r="I3382" s="1" t="str">
        <f>"122837"</f>
        <v>122837</v>
      </c>
      <c r="J3382" s="1" t="s">
        <v>28</v>
      </c>
      <c r="K3382" s="1" t="s">
        <v>28</v>
      </c>
      <c r="L3382" s="1" t="str">
        <f t="shared" si="636"/>
        <v>20220915</v>
      </c>
      <c r="M3382" s="1" t="str">
        <f>"124711"</f>
        <v>124711</v>
      </c>
      <c r="N3382" s="1" t="s">
        <v>34</v>
      </c>
      <c r="O3382" s="1" t="s">
        <v>34</v>
      </c>
      <c r="P3382" s="1" t="s">
        <v>55</v>
      </c>
      <c r="Q3382" s="1">
        <v>25</v>
      </c>
      <c r="R3382" s="1">
        <v>25</v>
      </c>
      <c r="S3382" s="1">
        <v>0</v>
      </c>
      <c r="T3382" s="1">
        <v>0</v>
      </c>
      <c r="U3382" s="1">
        <v>0</v>
      </c>
      <c r="V3382" s="1" t="str">
        <f t="shared" si="640"/>
        <v>里程去程</v>
      </c>
      <c r="W3382" s="1" t="str">
        <f>"0820"</f>
        <v>0820</v>
      </c>
      <c r="X3382" s="1" t="s">
        <v>35</v>
      </c>
    </row>
    <row r="3383" spans="1:24" x14ac:dyDescent="0.3">
      <c r="A3383" s="1" t="str">
        <f t="shared" si="634"/>
        <v>59820</v>
      </c>
      <c r="B3383" s="1" t="s">
        <v>53</v>
      </c>
      <c r="C3383" s="1" t="s">
        <v>54</v>
      </c>
      <c r="D3383" s="1" t="str">
        <f t="shared" si="637"/>
        <v>9803</v>
      </c>
      <c r="E3383" s="1" t="s">
        <v>32</v>
      </c>
      <c r="F3383" s="1" t="str">
        <f>"1050818181"</f>
        <v>1050818181</v>
      </c>
      <c r="G3383" s="1" t="s">
        <v>38</v>
      </c>
      <c r="H3383" s="1" t="str">
        <f t="shared" si="639"/>
        <v>20220915</v>
      </c>
      <c r="I3383" s="1" t="str">
        <f>"122842"</f>
        <v>122842</v>
      </c>
      <c r="J3383" s="1" t="s">
        <v>28</v>
      </c>
      <c r="K3383" s="1" t="s">
        <v>28</v>
      </c>
      <c r="L3383" s="1" t="str">
        <f t="shared" si="636"/>
        <v>20220915</v>
      </c>
      <c r="M3383" s="1" t="str">
        <f>"124721"</f>
        <v>124721</v>
      </c>
      <c r="N3383" s="1" t="s">
        <v>34</v>
      </c>
      <c r="O3383" s="1" t="s">
        <v>34</v>
      </c>
      <c r="P3383" s="1" t="s">
        <v>55</v>
      </c>
      <c r="Q3383" s="1">
        <v>25</v>
      </c>
      <c r="R3383" s="1">
        <v>25</v>
      </c>
      <c r="S3383" s="1">
        <v>0</v>
      </c>
      <c r="T3383" s="1">
        <v>0</v>
      </c>
      <c r="U3383" s="1">
        <v>0</v>
      </c>
      <c r="V3383" s="1" t="str">
        <f t="shared" si="640"/>
        <v>里程去程</v>
      </c>
      <c r="W3383" s="1" t="str">
        <f>"0120"</f>
        <v>0120</v>
      </c>
      <c r="X3383" s="1" t="s">
        <v>35</v>
      </c>
    </row>
    <row r="3384" spans="1:24" x14ac:dyDescent="0.3">
      <c r="A3384" s="1" t="str">
        <f t="shared" si="634"/>
        <v>59820</v>
      </c>
      <c r="B3384" s="1" t="s">
        <v>53</v>
      </c>
      <c r="C3384" s="1" t="s">
        <v>54</v>
      </c>
      <c r="D3384" s="1" t="str">
        <f t="shared" si="637"/>
        <v>9803</v>
      </c>
      <c r="E3384" s="1" t="s">
        <v>32</v>
      </c>
      <c r="F3384" s="1" t="str">
        <f>"58776181"</f>
        <v>58776181</v>
      </c>
      <c r="G3384" s="1" t="s">
        <v>33</v>
      </c>
      <c r="H3384" s="1" t="str">
        <f t="shared" si="639"/>
        <v>20220915</v>
      </c>
      <c r="I3384" s="1" t="str">
        <f>"122848"</f>
        <v>122848</v>
      </c>
      <c r="J3384" s="1" t="s">
        <v>28</v>
      </c>
      <c r="K3384" s="1" t="s">
        <v>28</v>
      </c>
      <c r="L3384" s="1" t="str">
        <f t="shared" si="636"/>
        <v>20220915</v>
      </c>
      <c r="M3384" s="1" t="str">
        <f>"124732"</f>
        <v>124732</v>
      </c>
      <c r="N3384" s="1" t="s">
        <v>34</v>
      </c>
      <c r="O3384" s="1" t="s">
        <v>34</v>
      </c>
      <c r="P3384" s="1" t="s">
        <v>55</v>
      </c>
      <c r="Q3384" s="1">
        <v>25</v>
      </c>
      <c r="R3384" s="1">
        <v>25</v>
      </c>
      <c r="S3384" s="1">
        <v>0</v>
      </c>
      <c r="T3384" s="1">
        <v>0</v>
      </c>
      <c r="U3384" s="1">
        <v>0</v>
      </c>
      <c r="V3384" s="1" t="str">
        <f t="shared" si="640"/>
        <v>里程去程</v>
      </c>
      <c r="W3384" s="1" t="str">
        <f>"0120"</f>
        <v>0120</v>
      </c>
      <c r="X3384" s="1" t="s">
        <v>35</v>
      </c>
    </row>
    <row r="3385" spans="1:24" x14ac:dyDescent="0.3">
      <c r="A3385" s="1" t="str">
        <f t="shared" si="634"/>
        <v>59820</v>
      </c>
      <c r="B3385" s="1" t="s">
        <v>53</v>
      </c>
      <c r="C3385" s="1" t="s">
        <v>54</v>
      </c>
      <c r="D3385" s="1" t="str">
        <f t="shared" si="637"/>
        <v>9803</v>
      </c>
      <c r="E3385" s="1" t="s">
        <v>32</v>
      </c>
      <c r="F3385" s="1" t="str">
        <f>"1077380485"</f>
        <v>1077380485</v>
      </c>
      <c r="G3385" s="1" t="s">
        <v>33</v>
      </c>
      <c r="H3385" s="1" t="str">
        <f t="shared" si="639"/>
        <v>20220915</v>
      </c>
      <c r="I3385" s="1" t="str">
        <f>"122853"</f>
        <v>122853</v>
      </c>
      <c r="J3385" s="1" t="s">
        <v>28</v>
      </c>
      <c r="K3385" s="1" t="s">
        <v>28</v>
      </c>
      <c r="L3385" s="1" t="str">
        <f t="shared" si="636"/>
        <v>20220915</v>
      </c>
      <c r="M3385" s="1" t="str">
        <f>"124736"</f>
        <v>124736</v>
      </c>
      <c r="N3385" s="1" t="s">
        <v>34</v>
      </c>
      <c r="O3385" s="1" t="s">
        <v>34</v>
      </c>
      <c r="P3385" s="1" t="s">
        <v>55</v>
      </c>
      <c r="Q3385" s="1">
        <v>25</v>
      </c>
      <c r="R3385" s="1">
        <v>25</v>
      </c>
      <c r="S3385" s="1">
        <v>0</v>
      </c>
      <c r="T3385" s="1">
        <v>0</v>
      </c>
      <c r="U3385" s="1">
        <v>0</v>
      </c>
      <c r="V3385" s="1" t="str">
        <f t="shared" si="640"/>
        <v>里程去程</v>
      </c>
      <c r="W3385" s="1" t="str">
        <f>"0120"</f>
        <v>0120</v>
      </c>
      <c r="X3385" s="1" t="s">
        <v>35</v>
      </c>
    </row>
    <row r="3386" spans="1:24" x14ac:dyDescent="0.3">
      <c r="A3386" s="1" t="str">
        <f t="shared" si="634"/>
        <v>59820</v>
      </c>
      <c r="B3386" s="1" t="s">
        <v>53</v>
      </c>
      <c r="C3386" s="1" t="s">
        <v>54</v>
      </c>
      <c r="D3386" s="1" t="str">
        <f t="shared" si="637"/>
        <v>9803</v>
      </c>
      <c r="E3386" s="1" t="s">
        <v>32</v>
      </c>
      <c r="F3386" s="1" t="str">
        <f>"91DB12267E8804004328091300160212"</f>
        <v>91DB12267E8804004328091300160212</v>
      </c>
      <c r="G3386" s="1" t="s">
        <v>58</v>
      </c>
      <c r="H3386" s="1" t="str">
        <f t="shared" si="639"/>
        <v>20220915</v>
      </c>
      <c r="I3386" s="1" t="str">
        <f>"125257"</f>
        <v>125257</v>
      </c>
      <c r="J3386" s="1" t="s">
        <v>34</v>
      </c>
      <c r="K3386" s="1" t="s">
        <v>34</v>
      </c>
      <c r="L3386" s="1" t="str">
        <f t="shared" si="636"/>
        <v>20220915</v>
      </c>
      <c r="M3386" s="1" t="str">
        <f>"132824"</f>
        <v>132824</v>
      </c>
      <c r="N3386" s="1" t="s">
        <v>28</v>
      </c>
      <c r="O3386" s="1" t="s">
        <v>28</v>
      </c>
      <c r="P3386" s="1" t="s">
        <v>55</v>
      </c>
      <c r="Q3386" s="1">
        <v>25</v>
      </c>
      <c r="R3386" s="1">
        <v>25</v>
      </c>
      <c r="S3386" s="1">
        <v>0</v>
      </c>
      <c r="T3386" s="1">
        <v>0</v>
      </c>
      <c r="U3386" s="1">
        <v>0</v>
      </c>
      <c r="V3386" s="1" t="str">
        <f>"里程返程"</f>
        <v>里程返程</v>
      </c>
      <c r="W3386" s="1" t="str">
        <f>"0020"</f>
        <v>0020</v>
      </c>
      <c r="X3386" s="1" t="s">
        <v>29</v>
      </c>
    </row>
    <row r="3387" spans="1:24" x14ac:dyDescent="0.3">
      <c r="A3387" s="1" t="str">
        <f t="shared" si="634"/>
        <v>59820</v>
      </c>
      <c r="B3387" s="1" t="s">
        <v>53</v>
      </c>
      <c r="C3387" s="1" t="s">
        <v>54</v>
      </c>
      <c r="D3387" s="1" t="str">
        <f t="shared" si="637"/>
        <v>9803</v>
      </c>
      <c r="E3387" s="1" t="s">
        <v>32</v>
      </c>
      <c r="F3387" s="1" t="str">
        <f>"1065611077"</f>
        <v>1065611077</v>
      </c>
      <c r="G3387" s="1" t="s">
        <v>33</v>
      </c>
      <c r="H3387" s="1" t="str">
        <f t="shared" si="639"/>
        <v>20220915</v>
      </c>
      <c r="I3387" s="1" t="str">
        <f>"125506"</f>
        <v>125506</v>
      </c>
      <c r="J3387" s="1" t="s">
        <v>34</v>
      </c>
      <c r="K3387" s="1" t="s">
        <v>34</v>
      </c>
      <c r="L3387" s="1" t="str">
        <f t="shared" si="636"/>
        <v>20220915</v>
      </c>
      <c r="M3387" s="1" t="str">
        <f>"132846"</f>
        <v>132846</v>
      </c>
      <c r="N3387" s="1" t="s">
        <v>28</v>
      </c>
      <c r="O3387" s="1" t="s">
        <v>28</v>
      </c>
      <c r="P3387" s="1" t="s">
        <v>55</v>
      </c>
      <c r="Q3387" s="1">
        <v>25</v>
      </c>
      <c r="R3387" s="1">
        <v>25</v>
      </c>
      <c r="S3387" s="1">
        <v>0</v>
      </c>
      <c r="T3387" s="1">
        <v>0</v>
      </c>
      <c r="U3387" s="1">
        <v>0</v>
      </c>
      <c r="V3387" s="1" t="str">
        <f>"里程返程"</f>
        <v>里程返程</v>
      </c>
      <c r="W3387" s="1" t="str">
        <f>"2020"</f>
        <v>2020</v>
      </c>
      <c r="X3387" s="1" t="s">
        <v>35</v>
      </c>
    </row>
    <row r="3388" spans="1:24" x14ac:dyDescent="0.3">
      <c r="A3388" s="1" t="str">
        <f t="shared" si="634"/>
        <v>59820</v>
      </c>
      <c r="B3388" s="1" t="s">
        <v>53</v>
      </c>
      <c r="C3388" s="1" t="s">
        <v>54</v>
      </c>
      <c r="D3388" s="1" t="str">
        <f t="shared" si="637"/>
        <v>9803</v>
      </c>
      <c r="E3388" s="1" t="s">
        <v>32</v>
      </c>
      <c r="F3388" s="1" t="str">
        <f>"796971701"</f>
        <v>796971701</v>
      </c>
      <c r="G3388" s="1" t="s">
        <v>33</v>
      </c>
      <c r="H3388" s="1" t="str">
        <f t="shared" si="639"/>
        <v>20220915</v>
      </c>
      <c r="I3388" s="1" t="str">
        <f>"125519"</f>
        <v>125519</v>
      </c>
      <c r="J3388" s="1" t="s">
        <v>34</v>
      </c>
      <c r="K3388" s="1" t="s">
        <v>34</v>
      </c>
      <c r="L3388" s="1" t="str">
        <f t="shared" si="636"/>
        <v>20220915</v>
      </c>
      <c r="M3388" s="1" t="str">
        <f>"132842"</f>
        <v>132842</v>
      </c>
      <c r="N3388" s="1" t="s">
        <v>28</v>
      </c>
      <c r="O3388" s="1" t="s">
        <v>28</v>
      </c>
      <c r="P3388" s="1" t="s">
        <v>55</v>
      </c>
      <c r="Q3388" s="1">
        <v>25</v>
      </c>
      <c r="R3388" s="1">
        <v>25</v>
      </c>
      <c r="S3388" s="1">
        <v>0</v>
      </c>
      <c r="T3388" s="1">
        <v>0</v>
      </c>
      <c r="U3388" s="1">
        <v>0</v>
      </c>
      <c r="V3388" s="1" t="str">
        <f>"里程返程"</f>
        <v>里程返程</v>
      </c>
      <c r="W3388" s="1" t="str">
        <f>"2020"</f>
        <v>2020</v>
      </c>
      <c r="X3388" s="1" t="s">
        <v>35</v>
      </c>
    </row>
    <row r="3389" spans="1:24" x14ac:dyDescent="0.3">
      <c r="A3389" s="1" t="str">
        <f t="shared" si="634"/>
        <v>59820</v>
      </c>
      <c r="B3389" s="1" t="s">
        <v>53</v>
      </c>
      <c r="C3389" s="1" t="s">
        <v>54</v>
      </c>
      <c r="D3389" s="1" t="str">
        <f t="shared" si="637"/>
        <v>9803</v>
      </c>
      <c r="E3389" s="1" t="s">
        <v>32</v>
      </c>
      <c r="F3389" s="1" t="str">
        <f>"02BF1218B7880400C814002000000019"</f>
        <v>02BF1218B7880400C814002000000019</v>
      </c>
      <c r="G3389" s="1" t="s">
        <v>66</v>
      </c>
      <c r="H3389" s="1" t="str">
        <f t="shared" si="639"/>
        <v>20220915</v>
      </c>
      <c r="I3389" s="1" t="str">
        <f>"125530"</f>
        <v>125530</v>
      </c>
      <c r="J3389" s="1" t="s">
        <v>34</v>
      </c>
      <c r="K3389" s="1" t="s">
        <v>34</v>
      </c>
      <c r="L3389" s="1" t="str">
        <f t="shared" si="636"/>
        <v>20220915</v>
      </c>
      <c r="M3389" s="1" t="str">
        <f>"132839"</f>
        <v>132839</v>
      </c>
      <c r="N3389" s="1" t="s">
        <v>28</v>
      </c>
      <c r="O3389" s="1" t="s">
        <v>28</v>
      </c>
      <c r="P3389" s="1" t="s">
        <v>55</v>
      </c>
      <c r="Q3389" s="1">
        <v>25</v>
      </c>
      <c r="R3389" s="1">
        <v>25</v>
      </c>
      <c r="S3389" s="1">
        <v>0</v>
      </c>
      <c r="T3389" s="1">
        <v>0</v>
      </c>
      <c r="U3389" s="1">
        <v>0</v>
      </c>
      <c r="V3389" s="1" t="str">
        <f>"里程返程"</f>
        <v>里程返程</v>
      </c>
      <c r="W3389" s="1" t="str">
        <f>"0020"</f>
        <v>0020</v>
      </c>
      <c r="X3389" s="1" t="s">
        <v>29</v>
      </c>
    </row>
    <row r="3390" spans="1:24" x14ac:dyDescent="0.3">
      <c r="A3390" s="1" t="str">
        <f t="shared" si="634"/>
        <v>59820</v>
      </c>
      <c r="B3390" s="1" t="s">
        <v>53</v>
      </c>
      <c r="C3390" s="1" t="s">
        <v>54</v>
      </c>
      <c r="D3390" s="1" t="str">
        <f>"9805"</f>
        <v>9805</v>
      </c>
      <c r="E3390" s="1" t="s">
        <v>57</v>
      </c>
      <c r="F3390" s="1" t="str">
        <f>"3822937454"</f>
        <v>3822937454</v>
      </c>
      <c r="G3390" s="1" t="s">
        <v>33</v>
      </c>
      <c r="H3390" s="1" t="str">
        <f t="shared" si="639"/>
        <v>20220915</v>
      </c>
      <c r="I3390" s="1" t="str">
        <f>"175950"</f>
        <v>175950</v>
      </c>
      <c r="J3390" s="1" t="s">
        <v>28</v>
      </c>
      <c r="K3390" s="1" t="s">
        <v>28</v>
      </c>
      <c r="L3390" s="1" t="str">
        <f t="shared" si="636"/>
        <v>20220915</v>
      </c>
      <c r="M3390" s="1" t="str">
        <f>"181253"</f>
        <v>181253</v>
      </c>
      <c r="N3390" s="1" t="s">
        <v>56</v>
      </c>
      <c r="O3390" s="1" t="s">
        <v>28</v>
      </c>
      <c r="P3390" s="1" t="s">
        <v>55</v>
      </c>
      <c r="Q3390" s="1">
        <v>25</v>
      </c>
      <c r="R3390" s="1">
        <v>25</v>
      </c>
      <c r="S3390" s="1">
        <v>0</v>
      </c>
      <c r="T3390" s="1">
        <v>0</v>
      </c>
      <c r="U3390" s="1">
        <v>0</v>
      </c>
      <c r="V3390" s="1" t="str">
        <f t="shared" ref="V3390:V3421" si="641">"里程去程"</f>
        <v>里程去程</v>
      </c>
      <c r="W3390" s="1" t="str">
        <f>"2120"</f>
        <v>2120</v>
      </c>
      <c r="X3390" s="1" t="s">
        <v>35</v>
      </c>
    </row>
    <row r="3391" spans="1:24" x14ac:dyDescent="0.3">
      <c r="A3391" s="1" t="str">
        <f t="shared" si="634"/>
        <v>59820</v>
      </c>
      <c r="B3391" s="1" t="s">
        <v>53</v>
      </c>
      <c r="C3391" s="1" t="s">
        <v>54</v>
      </c>
      <c r="D3391" s="1" t="str">
        <f>"9805"</f>
        <v>9805</v>
      </c>
      <c r="E3391" s="1" t="s">
        <v>57</v>
      </c>
      <c r="F3391" s="1" t="str">
        <f>"0282A31A39880400C816002000000021"</f>
        <v>0282A31A39880400C816002000000021</v>
      </c>
      <c r="G3391" s="1" t="s">
        <v>26</v>
      </c>
      <c r="H3391" s="1" t="str">
        <f t="shared" si="639"/>
        <v>20220915</v>
      </c>
      <c r="I3391" s="1" t="str">
        <f>"180934"</f>
        <v>180934</v>
      </c>
      <c r="J3391" s="1" t="s">
        <v>46</v>
      </c>
      <c r="K3391" s="1" t="s">
        <v>28</v>
      </c>
      <c r="L3391" s="1" t="str">
        <f t="shared" si="636"/>
        <v>20220915</v>
      </c>
      <c r="M3391" s="1" t="str">
        <f>"181540"</f>
        <v>181540</v>
      </c>
      <c r="N3391" s="1" t="s">
        <v>52</v>
      </c>
      <c r="O3391" s="1" t="s">
        <v>52</v>
      </c>
      <c r="P3391" s="1" t="s">
        <v>55</v>
      </c>
      <c r="Q3391" s="1">
        <v>13</v>
      </c>
      <c r="R3391" s="1">
        <v>0</v>
      </c>
      <c r="S3391" s="1">
        <v>13</v>
      </c>
      <c r="T3391" s="1">
        <v>0</v>
      </c>
      <c r="U3391" s="1">
        <v>0</v>
      </c>
      <c r="V3391" s="1" t="str">
        <f t="shared" si="641"/>
        <v>里程去程</v>
      </c>
      <c r="W3391" s="1" t="str">
        <f>"2020"</f>
        <v>2020</v>
      </c>
      <c r="X3391" s="1" t="s">
        <v>29</v>
      </c>
    </row>
    <row r="3392" spans="1:24" x14ac:dyDescent="0.3">
      <c r="A3392" s="1" t="str">
        <f t="shared" si="634"/>
        <v>59820</v>
      </c>
      <c r="B3392" s="1" t="s">
        <v>53</v>
      </c>
      <c r="C3392" s="1" t="s">
        <v>54</v>
      </c>
      <c r="D3392" s="1" t="str">
        <f>"9805"</f>
        <v>9805</v>
      </c>
      <c r="E3392" s="1" t="s">
        <v>57</v>
      </c>
      <c r="F3392" s="1" t="str">
        <f>"C2A2E11B9A880400C822002000000021"</f>
        <v>C2A2E11B9A880400C822002000000021</v>
      </c>
      <c r="G3392" s="1" t="s">
        <v>58</v>
      </c>
      <c r="H3392" s="1" t="str">
        <f t="shared" si="639"/>
        <v>20220915</v>
      </c>
      <c r="I3392" s="1" t="str">
        <f>"180936"</f>
        <v>180936</v>
      </c>
      <c r="J3392" s="1" t="s">
        <v>46</v>
      </c>
      <c r="K3392" s="1" t="s">
        <v>28</v>
      </c>
      <c r="L3392" s="1" t="str">
        <f t="shared" si="636"/>
        <v>20220915</v>
      </c>
      <c r="M3392" s="1" t="str">
        <f>"181537"</f>
        <v>181537</v>
      </c>
      <c r="N3392" s="1" t="s">
        <v>52</v>
      </c>
      <c r="O3392" s="1" t="s">
        <v>52</v>
      </c>
      <c r="P3392" s="1" t="s">
        <v>55</v>
      </c>
      <c r="Q3392" s="1">
        <v>25</v>
      </c>
      <c r="R3392" s="1">
        <v>0</v>
      </c>
      <c r="S3392" s="1">
        <v>25</v>
      </c>
      <c r="T3392" s="1">
        <v>0</v>
      </c>
      <c r="U3392" s="1">
        <v>0</v>
      </c>
      <c r="V3392" s="1" t="str">
        <f t="shared" si="641"/>
        <v>里程去程</v>
      </c>
      <c r="W3392" s="1" t="str">
        <f>"2020"</f>
        <v>2020</v>
      </c>
      <c r="X3392" s="1" t="s">
        <v>29</v>
      </c>
    </row>
    <row r="3393" spans="1:24" x14ac:dyDescent="0.3">
      <c r="A3393" s="1" t="str">
        <f t="shared" ref="A3393:A3424" si="642">"59822"</f>
        <v>59822</v>
      </c>
      <c r="B3393" s="1" t="s">
        <v>39</v>
      </c>
      <c r="C3393" s="1" t="s">
        <v>40</v>
      </c>
      <c r="D3393" s="1" t="str">
        <f t="shared" ref="D3393:D3424" si="643">"9801"</f>
        <v>9801</v>
      </c>
      <c r="E3393" s="1" t="s">
        <v>25</v>
      </c>
      <c r="F3393" s="1" t="str">
        <f>"725BF502DE880400C834002000000015"</f>
        <v>725BF502DE880400C834002000000015</v>
      </c>
      <c r="G3393" s="1" t="s">
        <v>58</v>
      </c>
      <c r="H3393" s="1" t="str">
        <f t="shared" si="639"/>
        <v>20220915</v>
      </c>
      <c r="I3393" s="1" t="str">
        <f>"110610"</f>
        <v>110610</v>
      </c>
      <c r="J3393" s="1" t="s">
        <v>60</v>
      </c>
      <c r="K3393" s="1" t="s">
        <v>52</v>
      </c>
      <c r="L3393" s="1" t="str">
        <f t="shared" si="636"/>
        <v>20220915</v>
      </c>
      <c r="M3393" s="1" t="str">
        <f>"113301"</f>
        <v>113301</v>
      </c>
      <c r="N3393" s="1" t="s">
        <v>70</v>
      </c>
      <c r="O3393" s="1" t="s">
        <v>28</v>
      </c>
      <c r="P3393" s="1" t="s">
        <v>55</v>
      </c>
      <c r="Q3393" s="1">
        <v>25</v>
      </c>
      <c r="R3393" s="1">
        <v>25</v>
      </c>
      <c r="S3393" s="1">
        <v>0</v>
      </c>
      <c r="T3393" s="1">
        <v>0</v>
      </c>
      <c r="U3393" s="1">
        <v>0</v>
      </c>
      <c r="V3393" s="1" t="str">
        <f t="shared" si="641"/>
        <v>里程去程</v>
      </c>
      <c r="W3393" s="1" t="str">
        <f>"0020"</f>
        <v>0020</v>
      </c>
      <c r="X3393" s="1" t="s">
        <v>29</v>
      </c>
    </row>
    <row r="3394" spans="1:24" x14ac:dyDescent="0.3">
      <c r="A3394" s="1" t="str">
        <f t="shared" si="642"/>
        <v>59822</v>
      </c>
      <c r="B3394" s="1" t="s">
        <v>39</v>
      </c>
      <c r="C3394" s="1" t="s">
        <v>40</v>
      </c>
      <c r="D3394" s="1" t="str">
        <f t="shared" si="643"/>
        <v>9801</v>
      </c>
      <c r="E3394" s="1" t="s">
        <v>25</v>
      </c>
      <c r="F3394" s="1" t="str">
        <f>"4229480221880400C821002000000015"</f>
        <v>4229480221880400C821002000000015</v>
      </c>
      <c r="G3394" s="1" t="s">
        <v>26</v>
      </c>
      <c r="H3394" s="1" t="str">
        <f t="shared" si="639"/>
        <v>20220915</v>
      </c>
      <c r="I3394" s="1" t="str">
        <f>"110625"</f>
        <v>110625</v>
      </c>
      <c r="J3394" s="1" t="s">
        <v>60</v>
      </c>
      <c r="K3394" s="1" t="s">
        <v>52</v>
      </c>
      <c r="L3394" s="1" t="str">
        <f t="shared" si="636"/>
        <v>20220915</v>
      </c>
      <c r="M3394" s="1" t="str">
        <f>"111110"</f>
        <v>111110</v>
      </c>
      <c r="N3394" s="1" t="s">
        <v>72</v>
      </c>
      <c r="O3394" s="1" t="s">
        <v>52</v>
      </c>
      <c r="P3394" s="1" t="s">
        <v>68</v>
      </c>
      <c r="Q3394" s="1">
        <v>13</v>
      </c>
      <c r="R3394" s="1">
        <v>0</v>
      </c>
      <c r="S3394" s="1">
        <v>0</v>
      </c>
      <c r="T3394" s="1">
        <v>13</v>
      </c>
      <c r="U3394" s="1">
        <v>0</v>
      </c>
      <c r="V3394" s="1" t="str">
        <f t="shared" si="641"/>
        <v>里程去程</v>
      </c>
      <c r="W3394" s="1" t="str">
        <f>"0020"</f>
        <v>0020</v>
      </c>
      <c r="X3394" s="1" t="s">
        <v>29</v>
      </c>
    </row>
    <row r="3395" spans="1:24" x14ac:dyDescent="0.3">
      <c r="A3395" s="1" t="str">
        <f t="shared" si="642"/>
        <v>59822</v>
      </c>
      <c r="B3395" s="1" t="s">
        <v>39</v>
      </c>
      <c r="C3395" s="1" t="s">
        <v>40</v>
      </c>
      <c r="D3395" s="1" t="str">
        <f t="shared" si="643"/>
        <v>9801</v>
      </c>
      <c r="E3395" s="1" t="s">
        <v>25</v>
      </c>
      <c r="F3395" s="1" t="str">
        <f>"A256660290880400C821002000000015"</f>
        <v>A256660290880400C821002000000015</v>
      </c>
      <c r="G3395" s="1" t="s">
        <v>26</v>
      </c>
      <c r="H3395" s="1" t="str">
        <f t="shared" si="639"/>
        <v>20220915</v>
      </c>
      <c r="I3395" s="1" t="str">
        <f>"110628"</f>
        <v>110628</v>
      </c>
      <c r="J3395" s="1" t="s">
        <v>60</v>
      </c>
      <c r="K3395" s="1" t="s">
        <v>52</v>
      </c>
      <c r="L3395" s="1" t="str">
        <f t="shared" si="636"/>
        <v>20220915</v>
      </c>
      <c r="M3395" s="1" t="str">
        <f>"111107"</f>
        <v>111107</v>
      </c>
      <c r="N3395" s="1" t="s">
        <v>72</v>
      </c>
      <c r="O3395" s="1" t="s">
        <v>52</v>
      </c>
      <c r="P3395" s="1" t="s">
        <v>68</v>
      </c>
      <c r="Q3395" s="1">
        <v>13</v>
      </c>
      <c r="R3395" s="1">
        <v>0</v>
      </c>
      <c r="S3395" s="1">
        <v>0</v>
      </c>
      <c r="T3395" s="1">
        <v>13</v>
      </c>
      <c r="U3395" s="1">
        <v>0</v>
      </c>
      <c r="V3395" s="1" t="str">
        <f t="shared" si="641"/>
        <v>里程去程</v>
      </c>
      <c r="W3395" s="1" t="str">
        <f>"0020"</f>
        <v>0020</v>
      </c>
      <c r="X3395" s="1" t="s">
        <v>29</v>
      </c>
    </row>
    <row r="3396" spans="1:24" x14ac:dyDescent="0.3">
      <c r="A3396" s="1" t="str">
        <f t="shared" si="642"/>
        <v>59822</v>
      </c>
      <c r="B3396" s="1" t="s">
        <v>39</v>
      </c>
      <c r="C3396" s="1" t="s">
        <v>40</v>
      </c>
      <c r="D3396" s="1" t="str">
        <f t="shared" si="643"/>
        <v>9801</v>
      </c>
      <c r="E3396" s="1" t="s">
        <v>25</v>
      </c>
      <c r="F3396" s="1" t="str">
        <f>"59B2B61F428804004326A82E00010211"</f>
        <v>59B2B61F428804004326A82E00010211</v>
      </c>
      <c r="G3396" s="1" t="s">
        <v>26</v>
      </c>
      <c r="H3396" s="1" t="str">
        <f t="shared" si="639"/>
        <v>20220915</v>
      </c>
      <c r="I3396" s="1" t="str">
        <f>"110630"</f>
        <v>110630</v>
      </c>
      <c r="J3396" s="1" t="s">
        <v>60</v>
      </c>
      <c r="K3396" s="1" t="s">
        <v>52</v>
      </c>
      <c r="L3396" s="1" t="str">
        <f t="shared" si="636"/>
        <v>20220915</v>
      </c>
      <c r="M3396" s="1" t="str">
        <f>"111103"</f>
        <v>111103</v>
      </c>
      <c r="N3396" s="1" t="s">
        <v>72</v>
      </c>
      <c r="O3396" s="1" t="s">
        <v>52</v>
      </c>
      <c r="P3396" s="1" t="s">
        <v>55</v>
      </c>
      <c r="Q3396" s="1">
        <v>13</v>
      </c>
      <c r="R3396" s="1">
        <v>13</v>
      </c>
      <c r="S3396" s="1">
        <v>0</v>
      </c>
      <c r="T3396" s="1">
        <v>0</v>
      </c>
      <c r="U3396" s="1">
        <v>0</v>
      </c>
      <c r="V3396" s="1" t="str">
        <f t="shared" si="641"/>
        <v>里程去程</v>
      </c>
      <c r="W3396" s="1" t="str">
        <f>"0020"</f>
        <v>0020</v>
      </c>
      <c r="X3396" s="1" t="s">
        <v>29</v>
      </c>
    </row>
    <row r="3397" spans="1:24" x14ac:dyDescent="0.3">
      <c r="A3397" s="1" t="str">
        <f t="shared" si="642"/>
        <v>59822</v>
      </c>
      <c r="B3397" s="1" t="s">
        <v>39</v>
      </c>
      <c r="C3397" s="1" t="s">
        <v>40</v>
      </c>
      <c r="D3397" s="1" t="str">
        <f t="shared" si="643"/>
        <v>9801</v>
      </c>
      <c r="E3397" s="1" t="s">
        <v>25</v>
      </c>
      <c r="F3397" s="1" t="str">
        <f>"930452901"</f>
        <v>930452901</v>
      </c>
      <c r="G3397" s="1" t="s">
        <v>33</v>
      </c>
      <c r="H3397" s="1" t="str">
        <f t="shared" si="639"/>
        <v>20220915</v>
      </c>
      <c r="I3397" s="1" t="str">
        <f>"110811"</f>
        <v>110811</v>
      </c>
      <c r="J3397" s="1" t="s">
        <v>51</v>
      </c>
      <c r="K3397" s="1" t="s">
        <v>52</v>
      </c>
      <c r="L3397" s="1" t="str">
        <f t="shared" si="636"/>
        <v>20220915</v>
      </c>
      <c r="M3397" s="1" t="str">
        <f>"111113"</f>
        <v>111113</v>
      </c>
      <c r="N3397" s="1" t="s">
        <v>72</v>
      </c>
      <c r="O3397" s="1" t="s">
        <v>52</v>
      </c>
      <c r="P3397" s="1" t="s">
        <v>55</v>
      </c>
      <c r="Q3397" s="1">
        <v>25</v>
      </c>
      <c r="R3397" s="1">
        <v>25</v>
      </c>
      <c r="S3397" s="1">
        <v>0</v>
      </c>
      <c r="T3397" s="1">
        <v>0</v>
      </c>
      <c r="U3397" s="1">
        <v>0</v>
      </c>
      <c r="V3397" s="1" t="str">
        <f t="shared" si="641"/>
        <v>里程去程</v>
      </c>
      <c r="W3397" s="1" t="str">
        <f>"0320"</f>
        <v>0320</v>
      </c>
      <c r="X3397" s="1" t="s">
        <v>35</v>
      </c>
    </row>
    <row r="3398" spans="1:24" x14ac:dyDescent="0.3">
      <c r="A3398" s="1" t="str">
        <f t="shared" si="642"/>
        <v>59822</v>
      </c>
      <c r="B3398" s="1" t="s">
        <v>39</v>
      </c>
      <c r="C3398" s="1" t="s">
        <v>40</v>
      </c>
      <c r="D3398" s="1" t="str">
        <f t="shared" si="643"/>
        <v>9801</v>
      </c>
      <c r="E3398" s="1" t="s">
        <v>25</v>
      </c>
      <c r="F3398" s="1" t="str">
        <f>"1713615269"</f>
        <v>1713615269</v>
      </c>
      <c r="G3398" s="1" t="s">
        <v>33</v>
      </c>
      <c r="H3398" s="1" t="str">
        <f t="shared" si="639"/>
        <v>20220915</v>
      </c>
      <c r="I3398" s="1" t="str">
        <f>"111245"</f>
        <v>111245</v>
      </c>
      <c r="J3398" s="1" t="s">
        <v>65</v>
      </c>
      <c r="K3398" s="1" t="s">
        <v>52</v>
      </c>
      <c r="L3398" s="1" t="str">
        <f t="shared" si="636"/>
        <v>20220915</v>
      </c>
      <c r="M3398" s="1" t="str">
        <f>"113242"</f>
        <v>113242</v>
      </c>
      <c r="N3398" s="1" t="s">
        <v>70</v>
      </c>
      <c r="O3398" s="1" t="s">
        <v>28</v>
      </c>
      <c r="P3398" s="1" t="s">
        <v>55</v>
      </c>
      <c r="Q3398" s="1">
        <v>25</v>
      </c>
      <c r="R3398" s="1">
        <v>0</v>
      </c>
      <c r="S3398" s="1">
        <v>25</v>
      </c>
      <c r="T3398" s="1">
        <v>0</v>
      </c>
      <c r="U3398" s="1">
        <v>0</v>
      </c>
      <c r="V3398" s="1" t="str">
        <f t="shared" si="641"/>
        <v>里程去程</v>
      </c>
      <c r="W3398" s="1" t="str">
        <f>"2120"</f>
        <v>2120</v>
      </c>
      <c r="X3398" s="1" t="s">
        <v>35</v>
      </c>
    </row>
    <row r="3399" spans="1:24" x14ac:dyDescent="0.3">
      <c r="A3399" s="1" t="str">
        <f t="shared" si="642"/>
        <v>59822</v>
      </c>
      <c r="B3399" s="1" t="s">
        <v>39</v>
      </c>
      <c r="C3399" s="1" t="s">
        <v>40</v>
      </c>
      <c r="D3399" s="1" t="str">
        <f t="shared" si="643"/>
        <v>9801</v>
      </c>
      <c r="E3399" s="1" t="s">
        <v>25</v>
      </c>
      <c r="F3399" s="1" t="str">
        <f>"2015905008"</f>
        <v>2015905008</v>
      </c>
      <c r="G3399" s="1" t="s">
        <v>33</v>
      </c>
      <c r="H3399" s="1" t="str">
        <f t="shared" si="639"/>
        <v>20220915</v>
      </c>
      <c r="I3399" s="1" t="str">
        <f>"113329"</f>
        <v>113329</v>
      </c>
      <c r="J3399" s="1" t="s">
        <v>27</v>
      </c>
      <c r="K3399" s="1" t="s">
        <v>28</v>
      </c>
      <c r="L3399" s="1" t="str">
        <f t="shared" si="636"/>
        <v>20220915</v>
      </c>
      <c r="M3399" s="1" t="str">
        <f>"114759"</f>
        <v>114759</v>
      </c>
      <c r="N3399" s="1" t="s">
        <v>61</v>
      </c>
      <c r="O3399" s="1" t="s">
        <v>45</v>
      </c>
      <c r="P3399" s="1" t="s">
        <v>55</v>
      </c>
      <c r="Q3399" s="1">
        <v>25</v>
      </c>
      <c r="R3399" s="1">
        <v>25</v>
      </c>
      <c r="S3399" s="1">
        <v>0</v>
      </c>
      <c r="T3399" s="1">
        <v>0</v>
      </c>
      <c r="U3399" s="1">
        <v>0</v>
      </c>
      <c r="V3399" s="1" t="str">
        <f t="shared" si="641"/>
        <v>里程去程</v>
      </c>
      <c r="W3399" s="1" t="str">
        <f>"0220"</f>
        <v>0220</v>
      </c>
      <c r="X3399" s="1" t="s">
        <v>35</v>
      </c>
    </row>
    <row r="3400" spans="1:24" x14ac:dyDescent="0.3">
      <c r="A3400" s="1" t="str">
        <f t="shared" si="642"/>
        <v>59822</v>
      </c>
      <c r="B3400" s="1" t="s">
        <v>39</v>
      </c>
      <c r="C3400" s="1" t="s">
        <v>40</v>
      </c>
      <c r="D3400" s="1" t="str">
        <f t="shared" si="643"/>
        <v>9801</v>
      </c>
      <c r="E3400" s="1" t="s">
        <v>25</v>
      </c>
      <c r="F3400" s="1" t="str">
        <f>"1734483201"</f>
        <v>1734483201</v>
      </c>
      <c r="G3400" s="1" t="s">
        <v>26</v>
      </c>
      <c r="H3400" s="1" t="str">
        <f t="shared" si="639"/>
        <v>20220915</v>
      </c>
      <c r="I3400" s="1" t="str">
        <f>"113356"</f>
        <v>113356</v>
      </c>
      <c r="J3400" s="1" t="s">
        <v>27</v>
      </c>
      <c r="K3400" s="1" t="s">
        <v>28</v>
      </c>
      <c r="L3400" s="1" t="str">
        <f t="shared" si="636"/>
        <v>20220915</v>
      </c>
      <c r="M3400" s="1" t="str">
        <f>"114728"</f>
        <v>114728</v>
      </c>
      <c r="N3400" s="1" t="s">
        <v>61</v>
      </c>
      <c r="O3400" s="1" t="s">
        <v>45</v>
      </c>
      <c r="P3400" s="1" t="s">
        <v>55</v>
      </c>
      <c r="Q3400" s="1">
        <v>13</v>
      </c>
      <c r="R3400" s="1">
        <v>0</v>
      </c>
      <c r="S3400" s="1">
        <v>13</v>
      </c>
      <c r="T3400" s="1">
        <v>0</v>
      </c>
      <c r="U3400" s="1">
        <v>0</v>
      </c>
      <c r="V3400" s="1" t="str">
        <f t="shared" si="641"/>
        <v>里程去程</v>
      </c>
      <c r="W3400" s="1" t="str">
        <f>"0820"</f>
        <v>0820</v>
      </c>
      <c r="X3400" s="1" t="s">
        <v>35</v>
      </c>
    </row>
    <row r="3401" spans="1:24" x14ac:dyDescent="0.3">
      <c r="A3401" s="1" t="str">
        <f t="shared" si="642"/>
        <v>59822</v>
      </c>
      <c r="B3401" s="1" t="s">
        <v>39</v>
      </c>
      <c r="C3401" s="1" t="s">
        <v>40</v>
      </c>
      <c r="D3401" s="1" t="str">
        <f t="shared" si="643"/>
        <v>9801</v>
      </c>
      <c r="E3401" s="1" t="s">
        <v>25</v>
      </c>
      <c r="F3401" s="1" t="str">
        <f>"3638280790"</f>
        <v>3638280790</v>
      </c>
      <c r="G3401" s="1" t="s">
        <v>33</v>
      </c>
      <c r="H3401" s="1" t="str">
        <f t="shared" si="639"/>
        <v>20220915</v>
      </c>
      <c r="I3401" s="1" t="str">
        <f>"113507"</f>
        <v>113507</v>
      </c>
      <c r="J3401" s="1" t="s">
        <v>27</v>
      </c>
      <c r="K3401" s="1" t="s">
        <v>28</v>
      </c>
      <c r="L3401" s="1" t="str">
        <f t="shared" si="636"/>
        <v>20220915</v>
      </c>
      <c r="M3401" s="1" t="str">
        <f>"115734"</f>
        <v>115734</v>
      </c>
      <c r="N3401" s="1" t="s">
        <v>44</v>
      </c>
      <c r="O3401" s="1" t="s">
        <v>45</v>
      </c>
      <c r="P3401" s="1" t="s">
        <v>55</v>
      </c>
      <c r="Q3401" s="1">
        <v>25</v>
      </c>
      <c r="R3401" s="1">
        <v>25</v>
      </c>
      <c r="S3401" s="1">
        <v>0</v>
      </c>
      <c r="T3401" s="1">
        <v>0</v>
      </c>
      <c r="U3401" s="1">
        <v>0</v>
      </c>
      <c r="V3401" s="1" t="str">
        <f t="shared" si="641"/>
        <v>里程去程</v>
      </c>
      <c r="W3401" s="1" t="str">
        <f>"0820"</f>
        <v>0820</v>
      </c>
      <c r="X3401" s="1" t="s">
        <v>35</v>
      </c>
    </row>
    <row r="3402" spans="1:24" x14ac:dyDescent="0.3">
      <c r="A3402" s="1" t="str">
        <f t="shared" si="642"/>
        <v>59822</v>
      </c>
      <c r="B3402" s="1" t="s">
        <v>39</v>
      </c>
      <c r="C3402" s="1" t="s">
        <v>40</v>
      </c>
      <c r="D3402" s="1" t="str">
        <f t="shared" si="643"/>
        <v>9801</v>
      </c>
      <c r="E3402" s="1" t="s">
        <v>25</v>
      </c>
      <c r="F3402" s="1" t="str">
        <f>"4251460257880400C821002000000015"</f>
        <v>4251460257880400C821002000000015</v>
      </c>
      <c r="G3402" s="1" t="s">
        <v>26</v>
      </c>
      <c r="H3402" s="1" t="str">
        <f t="shared" si="639"/>
        <v>20220915</v>
      </c>
      <c r="I3402" s="1" t="str">
        <f>"122139"</f>
        <v>122139</v>
      </c>
      <c r="J3402" s="1" t="s">
        <v>69</v>
      </c>
      <c r="K3402" s="1" t="s">
        <v>52</v>
      </c>
      <c r="L3402" s="1" t="str">
        <f t="shared" si="636"/>
        <v>20220915</v>
      </c>
      <c r="M3402" s="1" t="str">
        <f>"122617"</f>
        <v>122617</v>
      </c>
      <c r="N3402" s="1" t="s">
        <v>83</v>
      </c>
      <c r="O3402" s="1" t="s">
        <v>52</v>
      </c>
      <c r="P3402" s="1" t="s">
        <v>68</v>
      </c>
      <c r="Q3402" s="1">
        <v>13</v>
      </c>
      <c r="R3402" s="1">
        <v>0</v>
      </c>
      <c r="S3402" s="1">
        <v>0</v>
      </c>
      <c r="T3402" s="1">
        <v>13</v>
      </c>
      <c r="U3402" s="1">
        <v>0</v>
      </c>
      <c r="V3402" s="1" t="str">
        <f t="shared" si="641"/>
        <v>里程去程</v>
      </c>
      <c r="W3402" s="1" t="str">
        <f>"0020"</f>
        <v>0020</v>
      </c>
      <c r="X3402" s="1" t="s">
        <v>29</v>
      </c>
    </row>
    <row r="3403" spans="1:24" x14ac:dyDescent="0.3">
      <c r="A3403" s="1" t="str">
        <f t="shared" si="642"/>
        <v>59822</v>
      </c>
      <c r="B3403" s="1" t="s">
        <v>39</v>
      </c>
      <c r="C3403" s="1" t="s">
        <v>40</v>
      </c>
      <c r="D3403" s="1" t="str">
        <f t="shared" si="643"/>
        <v>9801</v>
      </c>
      <c r="E3403" s="1" t="s">
        <v>25</v>
      </c>
      <c r="F3403" s="1" t="str">
        <f>"8227D00277880400C834002000000015"</f>
        <v>8227D00277880400C834002000000015</v>
      </c>
      <c r="G3403" s="1" t="s">
        <v>26</v>
      </c>
      <c r="H3403" s="1" t="str">
        <f t="shared" si="639"/>
        <v>20220915</v>
      </c>
      <c r="I3403" s="1" t="str">
        <f>"122340"</f>
        <v>122340</v>
      </c>
      <c r="J3403" s="1" t="s">
        <v>78</v>
      </c>
      <c r="K3403" s="1" t="s">
        <v>52</v>
      </c>
      <c r="L3403" s="1" t="str">
        <f t="shared" si="636"/>
        <v>20220915</v>
      </c>
      <c r="M3403" s="1" t="str">
        <f>"123314"</f>
        <v>123314</v>
      </c>
      <c r="N3403" s="1" t="s">
        <v>70</v>
      </c>
      <c r="O3403" s="1" t="s">
        <v>28</v>
      </c>
      <c r="P3403" s="1" t="s">
        <v>68</v>
      </c>
      <c r="Q3403" s="1">
        <v>13</v>
      </c>
      <c r="R3403" s="1">
        <v>0</v>
      </c>
      <c r="S3403" s="1">
        <v>0</v>
      </c>
      <c r="T3403" s="1">
        <v>13</v>
      </c>
      <c r="U3403" s="1">
        <v>0</v>
      </c>
      <c r="V3403" s="1" t="str">
        <f t="shared" si="641"/>
        <v>里程去程</v>
      </c>
      <c r="W3403" s="1" t="str">
        <f>"0020"</f>
        <v>0020</v>
      </c>
      <c r="X3403" s="1" t="s">
        <v>29</v>
      </c>
    </row>
    <row r="3404" spans="1:24" x14ac:dyDescent="0.3">
      <c r="A3404" s="1" t="str">
        <f t="shared" si="642"/>
        <v>59822</v>
      </c>
      <c r="B3404" s="1" t="s">
        <v>39</v>
      </c>
      <c r="C3404" s="1" t="s">
        <v>40</v>
      </c>
      <c r="D3404" s="1" t="str">
        <f t="shared" si="643"/>
        <v>9801</v>
      </c>
      <c r="E3404" s="1" t="s">
        <v>25</v>
      </c>
      <c r="F3404" s="1" t="str">
        <f>"780625985"</f>
        <v>780625985</v>
      </c>
      <c r="G3404" s="1" t="s">
        <v>26</v>
      </c>
      <c r="H3404" s="1" t="str">
        <f t="shared" si="639"/>
        <v>20220915</v>
      </c>
      <c r="I3404" s="1" t="str">
        <f>"122501"</f>
        <v>122501</v>
      </c>
      <c r="J3404" s="1" t="s">
        <v>67</v>
      </c>
      <c r="K3404" s="1" t="s">
        <v>52</v>
      </c>
      <c r="L3404" s="1" t="str">
        <f t="shared" si="636"/>
        <v>20220915</v>
      </c>
      <c r="M3404" s="1" t="str">
        <f>"123252"</f>
        <v>123252</v>
      </c>
      <c r="N3404" s="1" t="s">
        <v>70</v>
      </c>
      <c r="O3404" s="1" t="s">
        <v>28</v>
      </c>
      <c r="P3404" s="1" t="s">
        <v>55</v>
      </c>
      <c r="Q3404" s="1">
        <v>13</v>
      </c>
      <c r="R3404" s="1">
        <v>13</v>
      </c>
      <c r="S3404" s="1">
        <v>0</v>
      </c>
      <c r="T3404" s="1">
        <v>0</v>
      </c>
      <c r="U3404" s="1">
        <v>0</v>
      </c>
      <c r="V3404" s="1" t="str">
        <f t="shared" si="641"/>
        <v>里程去程</v>
      </c>
      <c r="W3404" s="1" t="str">
        <f>"2120"</f>
        <v>2120</v>
      </c>
      <c r="X3404" s="1" t="s">
        <v>35</v>
      </c>
    </row>
    <row r="3405" spans="1:24" x14ac:dyDescent="0.3">
      <c r="A3405" s="1" t="str">
        <f t="shared" si="642"/>
        <v>59822</v>
      </c>
      <c r="B3405" s="1" t="s">
        <v>39</v>
      </c>
      <c r="C3405" s="1" t="s">
        <v>40</v>
      </c>
      <c r="D3405" s="1" t="str">
        <f t="shared" si="643"/>
        <v>9801</v>
      </c>
      <c r="E3405" s="1" t="s">
        <v>25</v>
      </c>
      <c r="F3405" s="1" t="str">
        <f>"2048091840"</f>
        <v>2048091840</v>
      </c>
      <c r="G3405" s="1" t="s">
        <v>33</v>
      </c>
      <c r="H3405" s="1" t="str">
        <f t="shared" si="639"/>
        <v>20220915</v>
      </c>
      <c r="I3405" s="1" t="str">
        <f>"122646"</f>
        <v>122646</v>
      </c>
      <c r="J3405" s="1" t="s">
        <v>83</v>
      </c>
      <c r="K3405" s="1" t="s">
        <v>52</v>
      </c>
      <c r="L3405" s="1" t="str">
        <f t="shared" si="636"/>
        <v>20220915</v>
      </c>
      <c r="M3405" s="1" t="str">
        <f>"123319"</f>
        <v>123319</v>
      </c>
      <c r="N3405" s="1" t="s">
        <v>70</v>
      </c>
      <c r="O3405" s="1" t="s">
        <v>28</v>
      </c>
      <c r="P3405" s="1" t="s">
        <v>55</v>
      </c>
      <c r="Q3405" s="1">
        <v>25</v>
      </c>
      <c r="R3405" s="1">
        <v>25</v>
      </c>
      <c r="S3405" s="1">
        <v>0</v>
      </c>
      <c r="T3405" s="1">
        <v>0</v>
      </c>
      <c r="U3405" s="1">
        <v>0</v>
      </c>
      <c r="V3405" s="1" t="str">
        <f t="shared" si="641"/>
        <v>里程去程</v>
      </c>
      <c r="W3405" s="1" t="str">
        <f>"1420"</f>
        <v>1420</v>
      </c>
      <c r="X3405" s="1" t="s">
        <v>35</v>
      </c>
    </row>
    <row r="3406" spans="1:24" x14ac:dyDescent="0.3">
      <c r="A3406" s="1" t="str">
        <f t="shared" si="642"/>
        <v>59822</v>
      </c>
      <c r="B3406" s="1" t="s">
        <v>39</v>
      </c>
      <c r="C3406" s="1" t="s">
        <v>40</v>
      </c>
      <c r="D3406" s="1" t="str">
        <f t="shared" si="643"/>
        <v>9801</v>
      </c>
      <c r="E3406" s="1" t="s">
        <v>25</v>
      </c>
      <c r="F3406" s="1" t="str">
        <f>"274258800"</f>
        <v>274258800</v>
      </c>
      <c r="G3406" s="1" t="s">
        <v>33</v>
      </c>
      <c r="H3406" s="1" t="str">
        <f t="shared" si="639"/>
        <v>20220915</v>
      </c>
      <c r="I3406" s="1" t="str">
        <f>"125641"</f>
        <v>125641</v>
      </c>
      <c r="J3406" s="1" t="s">
        <v>52</v>
      </c>
      <c r="K3406" s="1" t="s">
        <v>52</v>
      </c>
      <c r="L3406" s="1" t="str">
        <f t="shared" si="636"/>
        <v>20220915</v>
      </c>
      <c r="M3406" s="1" t="str">
        <f>"132939"</f>
        <v>132939</v>
      </c>
      <c r="N3406" s="1" t="s">
        <v>70</v>
      </c>
      <c r="O3406" s="1" t="s">
        <v>28</v>
      </c>
      <c r="P3406" s="1" t="s">
        <v>55</v>
      </c>
      <c r="Q3406" s="1">
        <v>25</v>
      </c>
      <c r="R3406" s="1">
        <v>25</v>
      </c>
      <c r="S3406" s="1">
        <v>0</v>
      </c>
      <c r="T3406" s="1">
        <v>0</v>
      </c>
      <c r="U3406" s="1">
        <v>0</v>
      </c>
      <c r="V3406" s="1" t="str">
        <f t="shared" si="641"/>
        <v>里程去程</v>
      </c>
      <c r="W3406" s="1" t="str">
        <f>"2020"</f>
        <v>2020</v>
      </c>
      <c r="X3406" s="1" t="s">
        <v>35</v>
      </c>
    </row>
    <row r="3407" spans="1:24" x14ac:dyDescent="0.3">
      <c r="A3407" s="1" t="str">
        <f t="shared" si="642"/>
        <v>59822</v>
      </c>
      <c r="B3407" s="1" t="s">
        <v>39</v>
      </c>
      <c r="C3407" s="1" t="s">
        <v>40</v>
      </c>
      <c r="D3407" s="1" t="str">
        <f t="shared" si="643"/>
        <v>9801</v>
      </c>
      <c r="E3407" s="1" t="s">
        <v>25</v>
      </c>
      <c r="F3407" s="1" t="str">
        <f>"1076221589"</f>
        <v>1076221589</v>
      </c>
      <c r="G3407" s="1" t="s">
        <v>33</v>
      </c>
      <c r="H3407" s="1" t="str">
        <f t="shared" si="639"/>
        <v>20220915</v>
      </c>
      <c r="I3407" s="1" t="str">
        <f>"125645"</f>
        <v>125645</v>
      </c>
      <c r="J3407" s="1" t="s">
        <v>52</v>
      </c>
      <c r="K3407" s="1" t="s">
        <v>52</v>
      </c>
      <c r="L3407" s="1" t="str">
        <f t="shared" si="636"/>
        <v>20220915</v>
      </c>
      <c r="M3407" s="1" t="str">
        <f>"132946"</f>
        <v>132946</v>
      </c>
      <c r="N3407" s="1" t="s">
        <v>70</v>
      </c>
      <c r="O3407" s="1" t="s">
        <v>28</v>
      </c>
      <c r="P3407" s="1" t="s">
        <v>55</v>
      </c>
      <c r="Q3407" s="1">
        <v>25</v>
      </c>
      <c r="R3407" s="1">
        <v>25</v>
      </c>
      <c r="S3407" s="1">
        <v>0</v>
      </c>
      <c r="T3407" s="1">
        <v>0</v>
      </c>
      <c r="U3407" s="1">
        <v>0</v>
      </c>
      <c r="V3407" s="1" t="str">
        <f t="shared" si="641"/>
        <v>里程去程</v>
      </c>
      <c r="W3407" s="1" t="str">
        <f>"2020"</f>
        <v>2020</v>
      </c>
      <c r="X3407" s="1" t="s">
        <v>35</v>
      </c>
    </row>
    <row r="3408" spans="1:24" x14ac:dyDescent="0.3">
      <c r="A3408" s="1" t="str">
        <f t="shared" si="642"/>
        <v>59822</v>
      </c>
      <c r="B3408" s="1" t="s">
        <v>39</v>
      </c>
      <c r="C3408" s="1" t="s">
        <v>40</v>
      </c>
      <c r="D3408" s="1" t="str">
        <f t="shared" si="643"/>
        <v>9801</v>
      </c>
      <c r="E3408" s="1" t="s">
        <v>25</v>
      </c>
      <c r="F3408" s="1" t="str">
        <f>"F25B1B03B1880400C834002000000015"</f>
        <v>F25B1B03B1880400C834002000000015</v>
      </c>
      <c r="G3408" s="1" t="s">
        <v>26</v>
      </c>
      <c r="H3408" s="1" t="str">
        <f t="shared" si="639"/>
        <v>20220915</v>
      </c>
      <c r="I3408" s="1" t="str">
        <f>"130552"</f>
        <v>130552</v>
      </c>
      <c r="J3408" s="1" t="s">
        <v>60</v>
      </c>
      <c r="K3408" s="1" t="s">
        <v>52</v>
      </c>
      <c r="L3408" s="1" t="str">
        <f t="shared" si="636"/>
        <v>20220915</v>
      </c>
      <c r="M3408" s="1" t="str">
        <f>"132933"</f>
        <v>132933</v>
      </c>
      <c r="N3408" s="1" t="s">
        <v>70</v>
      </c>
      <c r="O3408" s="1" t="s">
        <v>28</v>
      </c>
      <c r="P3408" s="1" t="s">
        <v>68</v>
      </c>
      <c r="Q3408" s="1">
        <v>13</v>
      </c>
      <c r="R3408" s="1">
        <v>0</v>
      </c>
      <c r="S3408" s="1">
        <v>0</v>
      </c>
      <c r="T3408" s="1">
        <v>13</v>
      </c>
      <c r="U3408" s="1">
        <v>0</v>
      </c>
      <c r="V3408" s="1" t="str">
        <f t="shared" si="641"/>
        <v>里程去程</v>
      </c>
      <c r="W3408" s="1" t="str">
        <f t="shared" ref="W3408:W3414" si="644">"0020"</f>
        <v>0020</v>
      </c>
      <c r="X3408" s="1" t="s">
        <v>29</v>
      </c>
    </row>
    <row r="3409" spans="1:24" x14ac:dyDescent="0.3">
      <c r="A3409" s="1" t="str">
        <f t="shared" si="642"/>
        <v>59822</v>
      </c>
      <c r="B3409" s="1" t="s">
        <v>39</v>
      </c>
      <c r="C3409" s="1" t="s">
        <v>40</v>
      </c>
      <c r="D3409" s="1" t="str">
        <f t="shared" si="643"/>
        <v>9801</v>
      </c>
      <c r="E3409" s="1" t="s">
        <v>25</v>
      </c>
      <c r="F3409" s="1" t="str">
        <f>"F27CE6026A880400C834002000000015"</f>
        <v>F27CE6026A880400C834002000000015</v>
      </c>
      <c r="G3409" s="1" t="s">
        <v>74</v>
      </c>
      <c r="H3409" s="1" t="str">
        <f t="shared" si="639"/>
        <v>20220915</v>
      </c>
      <c r="I3409" s="1" t="str">
        <f>"150102"</f>
        <v>150102</v>
      </c>
      <c r="J3409" s="1" t="s">
        <v>52</v>
      </c>
      <c r="K3409" s="1" t="s">
        <v>52</v>
      </c>
      <c r="L3409" s="1" t="str">
        <f t="shared" si="636"/>
        <v>20220915</v>
      </c>
      <c r="M3409" s="1" t="str">
        <f>"150727"</f>
        <v>150727</v>
      </c>
      <c r="N3409" s="1" t="s">
        <v>60</v>
      </c>
      <c r="O3409" s="1" t="s">
        <v>52</v>
      </c>
      <c r="P3409" s="1" t="s">
        <v>68</v>
      </c>
      <c r="Q3409" s="1">
        <v>13</v>
      </c>
      <c r="R3409" s="1">
        <v>0</v>
      </c>
      <c r="S3409" s="1">
        <v>0</v>
      </c>
      <c r="T3409" s="1">
        <v>13</v>
      </c>
      <c r="U3409" s="1">
        <v>0</v>
      </c>
      <c r="V3409" s="1" t="str">
        <f t="shared" si="641"/>
        <v>里程去程</v>
      </c>
      <c r="W3409" s="1" t="str">
        <f t="shared" si="644"/>
        <v>0020</v>
      </c>
      <c r="X3409" s="1" t="s">
        <v>29</v>
      </c>
    </row>
    <row r="3410" spans="1:24" x14ac:dyDescent="0.3">
      <c r="A3410" s="1" t="str">
        <f t="shared" si="642"/>
        <v>59822</v>
      </c>
      <c r="B3410" s="1" t="s">
        <v>39</v>
      </c>
      <c r="C3410" s="1" t="s">
        <v>40</v>
      </c>
      <c r="D3410" s="1" t="str">
        <f t="shared" si="643"/>
        <v>9801</v>
      </c>
      <c r="E3410" s="1" t="s">
        <v>25</v>
      </c>
      <c r="F3410" s="1" t="str">
        <f>"A256660290880400C821002000000015"</f>
        <v>A256660290880400C821002000000015</v>
      </c>
      <c r="G3410" s="1" t="s">
        <v>26</v>
      </c>
      <c r="H3410" s="1" t="str">
        <f t="shared" si="639"/>
        <v>20220915</v>
      </c>
      <c r="I3410" s="1" t="str">
        <f>"150810"</f>
        <v>150810</v>
      </c>
      <c r="J3410" s="1" t="s">
        <v>60</v>
      </c>
      <c r="K3410" s="1" t="s">
        <v>52</v>
      </c>
      <c r="L3410" s="1" t="str">
        <f t="shared" si="636"/>
        <v>20220915</v>
      </c>
      <c r="M3410" s="1" t="str">
        <f>"153111"</f>
        <v>153111</v>
      </c>
      <c r="N3410" s="1" t="s">
        <v>70</v>
      </c>
      <c r="O3410" s="1" t="s">
        <v>28</v>
      </c>
      <c r="P3410" s="1" t="s">
        <v>68</v>
      </c>
      <c r="Q3410" s="1">
        <v>13</v>
      </c>
      <c r="R3410" s="1">
        <v>0</v>
      </c>
      <c r="S3410" s="1">
        <v>0</v>
      </c>
      <c r="T3410" s="1">
        <v>13</v>
      </c>
      <c r="U3410" s="1">
        <v>0</v>
      </c>
      <c r="V3410" s="1" t="str">
        <f t="shared" si="641"/>
        <v>里程去程</v>
      </c>
      <c r="W3410" s="1" t="str">
        <f t="shared" si="644"/>
        <v>0020</v>
      </c>
      <c r="X3410" s="1" t="s">
        <v>29</v>
      </c>
    </row>
    <row r="3411" spans="1:24" x14ac:dyDescent="0.3">
      <c r="A3411" s="1" t="str">
        <f t="shared" si="642"/>
        <v>59822</v>
      </c>
      <c r="B3411" s="1" t="s">
        <v>39</v>
      </c>
      <c r="C3411" s="1" t="s">
        <v>40</v>
      </c>
      <c r="D3411" s="1" t="str">
        <f t="shared" si="643"/>
        <v>9801</v>
      </c>
      <c r="E3411" s="1" t="s">
        <v>25</v>
      </c>
      <c r="F3411" s="1" t="str">
        <f>"59B2B61F428804004326A82E00010211"</f>
        <v>59B2B61F428804004326A82E00010211</v>
      </c>
      <c r="G3411" s="1" t="s">
        <v>26</v>
      </c>
      <c r="H3411" s="1" t="str">
        <f t="shared" si="639"/>
        <v>20220915</v>
      </c>
      <c r="I3411" s="1" t="str">
        <f>"150813"</f>
        <v>150813</v>
      </c>
      <c r="J3411" s="1" t="s">
        <v>60</v>
      </c>
      <c r="K3411" s="1" t="s">
        <v>52</v>
      </c>
      <c r="L3411" s="1" t="str">
        <f t="shared" si="636"/>
        <v>20220915</v>
      </c>
      <c r="M3411" s="1" t="str">
        <f>"153114"</f>
        <v>153114</v>
      </c>
      <c r="N3411" s="1" t="s">
        <v>70</v>
      </c>
      <c r="O3411" s="1" t="s">
        <v>28</v>
      </c>
      <c r="P3411" s="1" t="s">
        <v>55</v>
      </c>
      <c r="Q3411" s="1">
        <v>13</v>
      </c>
      <c r="R3411" s="1">
        <v>13</v>
      </c>
      <c r="S3411" s="1">
        <v>0</v>
      </c>
      <c r="T3411" s="1">
        <v>0</v>
      </c>
      <c r="U3411" s="1">
        <v>0</v>
      </c>
      <c r="V3411" s="1" t="str">
        <f t="shared" si="641"/>
        <v>里程去程</v>
      </c>
      <c r="W3411" s="1" t="str">
        <f t="shared" si="644"/>
        <v>0020</v>
      </c>
      <c r="X3411" s="1" t="s">
        <v>29</v>
      </c>
    </row>
    <row r="3412" spans="1:24" x14ac:dyDescent="0.3">
      <c r="A3412" s="1" t="str">
        <f t="shared" si="642"/>
        <v>59822</v>
      </c>
      <c r="B3412" s="1" t="s">
        <v>39</v>
      </c>
      <c r="C3412" s="1" t="s">
        <v>40</v>
      </c>
      <c r="D3412" s="1" t="str">
        <f t="shared" si="643"/>
        <v>9801</v>
      </c>
      <c r="E3412" s="1" t="s">
        <v>25</v>
      </c>
      <c r="F3412" s="1" t="str">
        <f>"4229480221880400C821002000000015"</f>
        <v>4229480221880400C821002000000015</v>
      </c>
      <c r="G3412" s="1" t="s">
        <v>26</v>
      </c>
      <c r="H3412" s="1" t="str">
        <f t="shared" si="639"/>
        <v>20220915</v>
      </c>
      <c r="I3412" s="1" t="str">
        <f>"150820"</f>
        <v>150820</v>
      </c>
      <c r="J3412" s="1" t="s">
        <v>60</v>
      </c>
      <c r="K3412" s="1" t="s">
        <v>52</v>
      </c>
      <c r="L3412" s="1" t="str">
        <f t="shared" ref="L3412:L3475" si="645">"20220915"</f>
        <v>20220915</v>
      </c>
      <c r="M3412" s="1" t="str">
        <f>"152015"</f>
        <v>152015</v>
      </c>
      <c r="N3412" s="1" t="s">
        <v>69</v>
      </c>
      <c r="O3412" s="1" t="s">
        <v>52</v>
      </c>
      <c r="P3412" s="1" t="s">
        <v>68</v>
      </c>
      <c r="Q3412" s="1">
        <v>13</v>
      </c>
      <c r="R3412" s="1">
        <v>0</v>
      </c>
      <c r="S3412" s="1">
        <v>0</v>
      </c>
      <c r="T3412" s="1">
        <v>13</v>
      </c>
      <c r="U3412" s="1">
        <v>0</v>
      </c>
      <c r="V3412" s="1" t="str">
        <f t="shared" si="641"/>
        <v>里程去程</v>
      </c>
      <c r="W3412" s="1" t="str">
        <f t="shared" si="644"/>
        <v>0020</v>
      </c>
      <c r="X3412" s="1" t="s">
        <v>29</v>
      </c>
    </row>
    <row r="3413" spans="1:24" x14ac:dyDescent="0.3">
      <c r="A3413" s="1" t="str">
        <f t="shared" si="642"/>
        <v>59822</v>
      </c>
      <c r="B3413" s="1" t="s">
        <v>39</v>
      </c>
      <c r="C3413" s="1" t="s">
        <v>40</v>
      </c>
      <c r="D3413" s="1" t="str">
        <f t="shared" si="643"/>
        <v>9801</v>
      </c>
      <c r="E3413" s="1" t="s">
        <v>25</v>
      </c>
      <c r="F3413" s="1" t="str">
        <f>"029E1A0385880400C834002000000015"</f>
        <v>029E1A0385880400C834002000000015</v>
      </c>
      <c r="G3413" s="1" t="s">
        <v>26</v>
      </c>
      <c r="H3413" s="1" t="str">
        <f t="shared" si="639"/>
        <v>20220915</v>
      </c>
      <c r="I3413" s="1" t="str">
        <f>"151245"</f>
        <v>151245</v>
      </c>
      <c r="J3413" s="1" t="s">
        <v>72</v>
      </c>
      <c r="K3413" s="1" t="s">
        <v>52</v>
      </c>
      <c r="L3413" s="1" t="str">
        <f t="shared" si="645"/>
        <v>20220915</v>
      </c>
      <c r="M3413" s="1" t="str">
        <f>"153118"</f>
        <v>153118</v>
      </c>
      <c r="N3413" s="1" t="s">
        <v>70</v>
      </c>
      <c r="O3413" s="1" t="s">
        <v>28</v>
      </c>
      <c r="P3413" s="1" t="s">
        <v>68</v>
      </c>
      <c r="Q3413" s="1">
        <v>13</v>
      </c>
      <c r="R3413" s="1">
        <v>0</v>
      </c>
      <c r="S3413" s="1">
        <v>0</v>
      </c>
      <c r="T3413" s="1">
        <v>13</v>
      </c>
      <c r="U3413" s="1">
        <v>0</v>
      </c>
      <c r="V3413" s="1" t="str">
        <f t="shared" si="641"/>
        <v>里程去程</v>
      </c>
      <c r="W3413" s="1" t="str">
        <f t="shared" si="644"/>
        <v>0020</v>
      </c>
      <c r="X3413" s="1" t="s">
        <v>29</v>
      </c>
    </row>
    <row r="3414" spans="1:24" x14ac:dyDescent="0.3">
      <c r="A3414" s="1" t="str">
        <f t="shared" si="642"/>
        <v>59822</v>
      </c>
      <c r="B3414" s="1" t="s">
        <v>39</v>
      </c>
      <c r="C3414" s="1" t="s">
        <v>40</v>
      </c>
      <c r="D3414" s="1" t="str">
        <f t="shared" si="643"/>
        <v>9801</v>
      </c>
      <c r="E3414" s="1" t="s">
        <v>25</v>
      </c>
      <c r="F3414" s="1" t="str">
        <f>"821C1A0387880400C834002000000015"</f>
        <v>821C1A0387880400C834002000000015</v>
      </c>
      <c r="G3414" s="1" t="s">
        <v>26</v>
      </c>
      <c r="H3414" s="1" t="str">
        <f t="shared" si="639"/>
        <v>20220915</v>
      </c>
      <c r="I3414" s="1" t="str">
        <f>"151613"</f>
        <v>151613</v>
      </c>
      <c r="J3414" s="1" t="s">
        <v>80</v>
      </c>
      <c r="K3414" s="1" t="s">
        <v>52</v>
      </c>
      <c r="L3414" s="1" t="str">
        <f t="shared" si="645"/>
        <v>20220915</v>
      </c>
      <c r="M3414" s="1" t="str">
        <f>"153108"</f>
        <v>153108</v>
      </c>
      <c r="N3414" s="1" t="s">
        <v>70</v>
      </c>
      <c r="O3414" s="1" t="s">
        <v>28</v>
      </c>
      <c r="P3414" s="1" t="s">
        <v>68</v>
      </c>
      <c r="Q3414" s="1">
        <v>13</v>
      </c>
      <c r="R3414" s="1">
        <v>0</v>
      </c>
      <c r="S3414" s="1">
        <v>0</v>
      </c>
      <c r="T3414" s="1">
        <v>13</v>
      </c>
      <c r="U3414" s="1">
        <v>0</v>
      </c>
      <c r="V3414" s="1" t="str">
        <f t="shared" si="641"/>
        <v>里程去程</v>
      </c>
      <c r="W3414" s="1" t="str">
        <f t="shared" si="644"/>
        <v>0020</v>
      </c>
      <c r="X3414" s="1" t="s">
        <v>29</v>
      </c>
    </row>
    <row r="3415" spans="1:24" x14ac:dyDescent="0.3">
      <c r="A3415" s="1" t="str">
        <f t="shared" si="642"/>
        <v>59822</v>
      </c>
      <c r="B3415" s="1" t="s">
        <v>39</v>
      </c>
      <c r="C3415" s="1" t="s">
        <v>40</v>
      </c>
      <c r="D3415" s="1" t="str">
        <f t="shared" si="643"/>
        <v>9801</v>
      </c>
      <c r="E3415" s="1" t="s">
        <v>25</v>
      </c>
      <c r="F3415" s="1" t="str">
        <f>"3756075971"</f>
        <v>3756075971</v>
      </c>
      <c r="G3415" s="1" t="s">
        <v>33</v>
      </c>
      <c r="H3415" s="1" t="str">
        <f t="shared" si="639"/>
        <v>20220915</v>
      </c>
      <c r="I3415" s="1" t="str">
        <f>"153201"</f>
        <v>153201</v>
      </c>
      <c r="J3415" s="1" t="s">
        <v>27</v>
      </c>
      <c r="K3415" s="1" t="s">
        <v>28</v>
      </c>
      <c r="L3415" s="1" t="str">
        <f t="shared" si="645"/>
        <v>20220915</v>
      </c>
      <c r="M3415" s="1" t="str">
        <f>"154951"</f>
        <v>154951</v>
      </c>
      <c r="N3415" s="1" t="s">
        <v>75</v>
      </c>
      <c r="O3415" s="1" t="s">
        <v>45</v>
      </c>
      <c r="P3415" s="1" t="s">
        <v>55</v>
      </c>
      <c r="Q3415" s="1">
        <v>25</v>
      </c>
      <c r="R3415" s="1">
        <v>25</v>
      </c>
      <c r="S3415" s="1">
        <v>0</v>
      </c>
      <c r="T3415" s="1">
        <v>0</v>
      </c>
      <c r="U3415" s="1">
        <v>0</v>
      </c>
      <c r="V3415" s="1" t="str">
        <f t="shared" si="641"/>
        <v>里程去程</v>
      </c>
      <c r="W3415" s="1" t="str">
        <f>"0120"</f>
        <v>0120</v>
      </c>
      <c r="X3415" s="1" t="s">
        <v>35</v>
      </c>
    </row>
    <row r="3416" spans="1:24" x14ac:dyDescent="0.3">
      <c r="A3416" s="1" t="str">
        <f t="shared" si="642"/>
        <v>59822</v>
      </c>
      <c r="B3416" s="1" t="s">
        <v>39</v>
      </c>
      <c r="C3416" s="1" t="s">
        <v>40</v>
      </c>
      <c r="D3416" s="1" t="str">
        <f t="shared" si="643"/>
        <v>9801</v>
      </c>
      <c r="E3416" s="1" t="s">
        <v>25</v>
      </c>
      <c r="F3416" s="1" t="str">
        <f>"728589185"</f>
        <v>728589185</v>
      </c>
      <c r="G3416" s="1" t="s">
        <v>33</v>
      </c>
      <c r="H3416" s="1" t="str">
        <f t="shared" si="639"/>
        <v>20220915</v>
      </c>
      <c r="I3416" s="1" t="str">
        <f>"153313"</f>
        <v>153313</v>
      </c>
      <c r="J3416" s="1" t="s">
        <v>27</v>
      </c>
      <c r="K3416" s="1" t="s">
        <v>28</v>
      </c>
      <c r="L3416" s="1" t="str">
        <f t="shared" si="645"/>
        <v>20220915</v>
      </c>
      <c r="M3416" s="1" t="str">
        <f>"155746"</f>
        <v>155746</v>
      </c>
      <c r="N3416" s="1" t="s">
        <v>44</v>
      </c>
      <c r="O3416" s="1" t="s">
        <v>45</v>
      </c>
      <c r="P3416" s="1" t="s">
        <v>55</v>
      </c>
      <c r="Q3416" s="1">
        <v>25</v>
      </c>
      <c r="R3416" s="1">
        <v>25</v>
      </c>
      <c r="S3416" s="1">
        <v>0</v>
      </c>
      <c r="T3416" s="1">
        <v>0</v>
      </c>
      <c r="U3416" s="1">
        <v>0</v>
      </c>
      <c r="V3416" s="1" t="str">
        <f t="shared" si="641"/>
        <v>里程去程</v>
      </c>
      <c r="W3416" s="1" t="str">
        <f>"0120"</f>
        <v>0120</v>
      </c>
      <c r="X3416" s="1" t="s">
        <v>35</v>
      </c>
    </row>
    <row r="3417" spans="1:24" x14ac:dyDescent="0.3">
      <c r="A3417" s="1" t="str">
        <f t="shared" si="642"/>
        <v>59822</v>
      </c>
      <c r="B3417" s="1" t="s">
        <v>39</v>
      </c>
      <c r="C3417" s="1" t="s">
        <v>40</v>
      </c>
      <c r="D3417" s="1" t="str">
        <f t="shared" si="643"/>
        <v>9801</v>
      </c>
      <c r="E3417" s="1" t="s">
        <v>25</v>
      </c>
      <c r="F3417" s="1" t="str">
        <f>"1030501089"</f>
        <v>1030501089</v>
      </c>
      <c r="G3417" s="1" t="s">
        <v>33</v>
      </c>
      <c r="H3417" s="1" t="str">
        <f t="shared" si="639"/>
        <v>20220915</v>
      </c>
      <c r="I3417" s="1" t="str">
        <f>"153330"</f>
        <v>153330</v>
      </c>
      <c r="J3417" s="1" t="s">
        <v>27</v>
      </c>
      <c r="K3417" s="1" t="s">
        <v>28</v>
      </c>
      <c r="L3417" s="1" t="str">
        <f t="shared" si="645"/>
        <v>20220915</v>
      </c>
      <c r="M3417" s="1" t="str">
        <f>"155647"</f>
        <v>155647</v>
      </c>
      <c r="N3417" s="1" t="s">
        <v>44</v>
      </c>
      <c r="O3417" s="1" t="s">
        <v>45</v>
      </c>
      <c r="P3417" s="1" t="s">
        <v>55</v>
      </c>
      <c r="Q3417" s="1">
        <v>25</v>
      </c>
      <c r="R3417" s="1">
        <v>25</v>
      </c>
      <c r="S3417" s="1">
        <v>0</v>
      </c>
      <c r="T3417" s="1">
        <v>0</v>
      </c>
      <c r="U3417" s="1">
        <v>0</v>
      </c>
      <c r="V3417" s="1" t="str">
        <f t="shared" si="641"/>
        <v>里程去程</v>
      </c>
      <c r="W3417" s="1" t="str">
        <f>"0320"</f>
        <v>0320</v>
      </c>
      <c r="X3417" s="1" t="s">
        <v>35</v>
      </c>
    </row>
    <row r="3418" spans="1:24" x14ac:dyDescent="0.3">
      <c r="A3418" s="1" t="str">
        <f t="shared" si="642"/>
        <v>59822</v>
      </c>
      <c r="B3418" s="1" t="s">
        <v>39</v>
      </c>
      <c r="C3418" s="1" t="s">
        <v>40</v>
      </c>
      <c r="D3418" s="1" t="str">
        <f t="shared" si="643"/>
        <v>9801</v>
      </c>
      <c r="E3418" s="1" t="s">
        <v>25</v>
      </c>
      <c r="F3418" s="1" t="str">
        <f>"029E1A0385880400C834002000000015"</f>
        <v>029E1A0385880400C834002000000015</v>
      </c>
      <c r="G3418" s="1" t="s">
        <v>26</v>
      </c>
      <c r="H3418" s="1" t="str">
        <f t="shared" si="639"/>
        <v>20220915</v>
      </c>
      <c r="I3418" s="1" t="str">
        <f>"153551"</f>
        <v>153551</v>
      </c>
      <c r="J3418" s="1" t="s">
        <v>27</v>
      </c>
      <c r="K3418" s="1" t="s">
        <v>28</v>
      </c>
      <c r="L3418" s="1" t="str">
        <f t="shared" si="645"/>
        <v>20220915</v>
      </c>
      <c r="M3418" s="1" t="str">
        <f>"154943"</f>
        <v>154943</v>
      </c>
      <c r="N3418" s="1" t="s">
        <v>75</v>
      </c>
      <c r="O3418" s="1" t="s">
        <v>45</v>
      </c>
      <c r="P3418" s="1" t="s">
        <v>68</v>
      </c>
      <c r="Q3418" s="1">
        <v>13</v>
      </c>
      <c r="R3418" s="1">
        <v>0</v>
      </c>
      <c r="S3418" s="1">
        <v>0</v>
      </c>
      <c r="T3418" s="1">
        <v>13</v>
      </c>
      <c r="U3418" s="1">
        <v>0</v>
      </c>
      <c r="V3418" s="1" t="str">
        <f t="shared" si="641"/>
        <v>里程去程</v>
      </c>
      <c r="W3418" s="1" t="str">
        <f>"0020"</f>
        <v>0020</v>
      </c>
      <c r="X3418" s="1" t="s">
        <v>29</v>
      </c>
    </row>
    <row r="3419" spans="1:24" x14ac:dyDescent="0.3">
      <c r="A3419" s="1" t="str">
        <f t="shared" si="642"/>
        <v>59822</v>
      </c>
      <c r="B3419" s="1" t="s">
        <v>39</v>
      </c>
      <c r="C3419" s="1" t="s">
        <v>40</v>
      </c>
      <c r="D3419" s="1" t="str">
        <f t="shared" si="643"/>
        <v>9801</v>
      </c>
      <c r="E3419" s="1" t="s">
        <v>25</v>
      </c>
      <c r="F3419" s="1" t="str">
        <f>"0107F800FE880400432494C6000E080E"</f>
        <v>0107F800FE880400432494C6000E080E</v>
      </c>
      <c r="G3419" s="1" t="s">
        <v>59</v>
      </c>
      <c r="H3419" s="1" t="str">
        <f t="shared" si="639"/>
        <v>20220915</v>
      </c>
      <c r="I3419" s="1" t="str">
        <f>"155809"</f>
        <v>155809</v>
      </c>
      <c r="J3419" s="1" t="s">
        <v>52</v>
      </c>
      <c r="K3419" s="1" t="s">
        <v>52</v>
      </c>
      <c r="L3419" s="1" t="str">
        <f t="shared" si="645"/>
        <v>20220915</v>
      </c>
      <c r="M3419" s="1" t="str">
        <f>"160704"</f>
        <v>160704</v>
      </c>
      <c r="N3419" s="1" t="s">
        <v>60</v>
      </c>
      <c r="O3419" s="1" t="s">
        <v>52</v>
      </c>
      <c r="P3419" s="1" t="s">
        <v>55</v>
      </c>
      <c r="Q3419" s="1">
        <v>25</v>
      </c>
      <c r="R3419" s="1">
        <v>25</v>
      </c>
      <c r="S3419" s="1">
        <v>0</v>
      </c>
      <c r="T3419" s="1">
        <v>0</v>
      </c>
      <c r="U3419" s="1">
        <v>0</v>
      </c>
      <c r="V3419" s="1" t="str">
        <f t="shared" si="641"/>
        <v>里程去程</v>
      </c>
      <c r="W3419" s="1" t="str">
        <f>"0020"</f>
        <v>0020</v>
      </c>
      <c r="X3419" s="1" t="s">
        <v>29</v>
      </c>
    </row>
    <row r="3420" spans="1:24" x14ac:dyDescent="0.3">
      <c r="A3420" s="1" t="str">
        <f t="shared" si="642"/>
        <v>59822</v>
      </c>
      <c r="B3420" s="1" t="s">
        <v>39</v>
      </c>
      <c r="C3420" s="1" t="s">
        <v>40</v>
      </c>
      <c r="D3420" s="1" t="str">
        <f t="shared" si="643"/>
        <v>9801</v>
      </c>
      <c r="E3420" s="1" t="s">
        <v>25</v>
      </c>
      <c r="F3420" s="1" t="str">
        <f>"A239F5056B880400C838002000000015"</f>
        <v>A239F5056B880400C838002000000015</v>
      </c>
      <c r="G3420" s="1" t="s">
        <v>26</v>
      </c>
      <c r="H3420" s="1" t="str">
        <f t="shared" si="639"/>
        <v>20220915</v>
      </c>
      <c r="I3420" s="1" t="str">
        <f>"161135"</f>
        <v>161135</v>
      </c>
      <c r="J3420" s="1" t="s">
        <v>51</v>
      </c>
      <c r="K3420" s="1" t="s">
        <v>52</v>
      </c>
      <c r="L3420" s="1" t="str">
        <f t="shared" si="645"/>
        <v>20220915</v>
      </c>
      <c r="M3420" s="1" t="str">
        <f>"162620"</f>
        <v>162620</v>
      </c>
      <c r="N3420" s="1" t="s">
        <v>67</v>
      </c>
      <c r="O3420" s="1" t="s">
        <v>52</v>
      </c>
      <c r="P3420" s="1" t="s">
        <v>68</v>
      </c>
      <c r="Q3420" s="1">
        <v>13</v>
      </c>
      <c r="R3420" s="1">
        <v>0</v>
      </c>
      <c r="S3420" s="1">
        <v>0</v>
      </c>
      <c r="T3420" s="1">
        <v>13</v>
      </c>
      <c r="U3420" s="1">
        <v>0</v>
      </c>
      <c r="V3420" s="1" t="str">
        <f t="shared" si="641"/>
        <v>里程去程</v>
      </c>
      <c r="W3420" s="1" t="str">
        <f>"0020"</f>
        <v>0020</v>
      </c>
      <c r="X3420" s="1" t="s">
        <v>29</v>
      </c>
    </row>
    <row r="3421" spans="1:24" x14ac:dyDescent="0.3">
      <c r="A3421" s="1" t="str">
        <f t="shared" si="642"/>
        <v>59822</v>
      </c>
      <c r="B3421" s="1" t="s">
        <v>39</v>
      </c>
      <c r="C3421" s="1" t="s">
        <v>40</v>
      </c>
      <c r="D3421" s="1" t="str">
        <f t="shared" si="643"/>
        <v>9801</v>
      </c>
      <c r="E3421" s="1" t="s">
        <v>25</v>
      </c>
      <c r="F3421" s="1" t="str">
        <f>"1147356277"</f>
        <v>1147356277</v>
      </c>
      <c r="G3421" s="1" t="s">
        <v>26</v>
      </c>
      <c r="H3421" s="1" t="str">
        <f t="shared" si="639"/>
        <v>20220915</v>
      </c>
      <c r="I3421" s="1" t="str">
        <f>"163727"</f>
        <v>163727</v>
      </c>
      <c r="J3421" s="1" t="s">
        <v>27</v>
      </c>
      <c r="K3421" s="1" t="s">
        <v>28</v>
      </c>
      <c r="L3421" s="1" t="str">
        <f t="shared" si="645"/>
        <v>20220915</v>
      </c>
      <c r="M3421" s="1" t="str">
        <f>"165008"</f>
        <v>165008</v>
      </c>
      <c r="N3421" s="1" t="s">
        <v>61</v>
      </c>
      <c r="O3421" s="1" t="s">
        <v>45</v>
      </c>
      <c r="P3421" s="1" t="s">
        <v>55</v>
      </c>
      <c r="Q3421" s="1">
        <v>13</v>
      </c>
      <c r="R3421" s="1">
        <v>0</v>
      </c>
      <c r="S3421" s="1">
        <v>13</v>
      </c>
      <c r="T3421" s="1">
        <v>0</v>
      </c>
      <c r="U3421" s="1">
        <v>0</v>
      </c>
      <c r="V3421" s="1" t="str">
        <f t="shared" si="641"/>
        <v>里程去程</v>
      </c>
      <c r="W3421" s="1" t="str">
        <f>"0820"</f>
        <v>0820</v>
      </c>
      <c r="X3421" s="1" t="s">
        <v>35</v>
      </c>
    </row>
    <row r="3422" spans="1:24" x14ac:dyDescent="0.3">
      <c r="A3422" s="1" t="str">
        <f t="shared" si="642"/>
        <v>59822</v>
      </c>
      <c r="B3422" s="1" t="s">
        <v>39</v>
      </c>
      <c r="C3422" s="1" t="s">
        <v>40</v>
      </c>
      <c r="D3422" s="1" t="str">
        <f t="shared" si="643"/>
        <v>9801</v>
      </c>
      <c r="E3422" s="1" t="s">
        <v>25</v>
      </c>
      <c r="F3422" s="1" t="str">
        <f>"422AE7028D880400C834002000000015"</f>
        <v>422AE7028D880400C834002000000015</v>
      </c>
      <c r="G3422" s="1" t="s">
        <v>74</v>
      </c>
      <c r="H3422" s="1" t="str">
        <f t="shared" si="639"/>
        <v>20220915</v>
      </c>
      <c r="I3422" s="1" t="str">
        <f>"172741"</f>
        <v>172741</v>
      </c>
      <c r="J3422" s="1" t="s">
        <v>44</v>
      </c>
      <c r="K3422" s="1" t="s">
        <v>45</v>
      </c>
      <c r="L3422" s="1" t="str">
        <f t="shared" si="645"/>
        <v>20220915</v>
      </c>
      <c r="M3422" s="1" t="str">
        <f>"175352"</f>
        <v>175352</v>
      </c>
      <c r="N3422" s="1" t="s">
        <v>28</v>
      </c>
      <c r="O3422" s="1" t="s">
        <v>28</v>
      </c>
      <c r="P3422" s="1" t="s">
        <v>68</v>
      </c>
      <c r="Q3422" s="1">
        <v>13</v>
      </c>
      <c r="R3422" s="1">
        <v>0</v>
      </c>
      <c r="S3422" s="1">
        <v>0</v>
      </c>
      <c r="T3422" s="1">
        <v>13</v>
      </c>
      <c r="U3422" s="1">
        <v>0</v>
      </c>
      <c r="V3422" s="1" t="str">
        <f t="shared" ref="V3422:V3447" si="646">"里程返程"</f>
        <v>里程返程</v>
      </c>
      <c r="W3422" s="1" t="str">
        <f>"0020"</f>
        <v>0020</v>
      </c>
      <c r="X3422" s="1" t="s">
        <v>29</v>
      </c>
    </row>
    <row r="3423" spans="1:24" x14ac:dyDescent="0.3">
      <c r="A3423" s="1" t="str">
        <f t="shared" si="642"/>
        <v>59822</v>
      </c>
      <c r="B3423" s="1" t="s">
        <v>39</v>
      </c>
      <c r="C3423" s="1" t="s">
        <v>40</v>
      </c>
      <c r="D3423" s="1" t="str">
        <f t="shared" si="643"/>
        <v>9801</v>
      </c>
      <c r="E3423" s="1" t="s">
        <v>25</v>
      </c>
      <c r="F3423" s="1" t="str">
        <f>"994970433"</f>
        <v>994970433</v>
      </c>
      <c r="G3423" s="1" t="s">
        <v>33</v>
      </c>
      <c r="H3423" s="1" t="str">
        <f t="shared" si="639"/>
        <v>20220915</v>
      </c>
      <c r="I3423" s="1" t="str">
        <f>"173402"</f>
        <v>173402</v>
      </c>
      <c r="J3423" s="1" t="s">
        <v>100</v>
      </c>
      <c r="K3423" s="1" t="s">
        <v>45</v>
      </c>
      <c r="L3423" s="1" t="str">
        <f t="shared" si="645"/>
        <v>20220915</v>
      </c>
      <c r="M3423" s="1" t="str">
        <f>"175348"</f>
        <v>175348</v>
      </c>
      <c r="N3423" s="1" t="s">
        <v>28</v>
      </c>
      <c r="O3423" s="1" t="s">
        <v>28</v>
      </c>
      <c r="P3423" s="1" t="s">
        <v>55</v>
      </c>
      <c r="Q3423" s="1">
        <v>25</v>
      </c>
      <c r="R3423" s="1">
        <v>25</v>
      </c>
      <c r="S3423" s="1">
        <v>0</v>
      </c>
      <c r="T3423" s="1">
        <v>0</v>
      </c>
      <c r="U3423" s="1">
        <v>0</v>
      </c>
      <c r="V3423" s="1" t="str">
        <f t="shared" si="646"/>
        <v>里程返程</v>
      </c>
      <c r="W3423" s="1" t="str">
        <f>"2020"</f>
        <v>2020</v>
      </c>
      <c r="X3423" s="1" t="s">
        <v>35</v>
      </c>
    </row>
    <row r="3424" spans="1:24" x14ac:dyDescent="0.3">
      <c r="A3424" s="1" t="str">
        <f t="shared" si="642"/>
        <v>59822</v>
      </c>
      <c r="B3424" s="1" t="s">
        <v>39</v>
      </c>
      <c r="C3424" s="1" t="s">
        <v>40</v>
      </c>
      <c r="D3424" s="1" t="str">
        <f t="shared" si="643"/>
        <v>9801</v>
      </c>
      <c r="E3424" s="1" t="s">
        <v>25</v>
      </c>
      <c r="F3424" s="1" t="str">
        <f>"C224481BB5880400C822002000000021"</f>
        <v>C224481BB5880400C822002000000021</v>
      </c>
      <c r="G3424" s="1" t="s">
        <v>64</v>
      </c>
      <c r="H3424" s="1" t="str">
        <f t="shared" si="639"/>
        <v>20220915</v>
      </c>
      <c r="I3424" s="1" t="str">
        <f>"175407"</f>
        <v>175407</v>
      </c>
      <c r="J3424" s="1" t="s">
        <v>28</v>
      </c>
      <c r="K3424" s="1" t="s">
        <v>28</v>
      </c>
      <c r="L3424" s="1" t="str">
        <f t="shared" si="645"/>
        <v>20220915</v>
      </c>
      <c r="M3424" s="1" t="str">
        <f>"182624"</f>
        <v>182624</v>
      </c>
      <c r="N3424" s="1" t="s">
        <v>52</v>
      </c>
      <c r="O3424" s="1" t="s">
        <v>52</v>
      </c>
      <c r="P3424" s="1" t="s">
        <v>55</v>
      </c>
      <c r="Q3424" s="1">
        <v>13</v>
      </c>
      <c r="R3424" s="1">
        <v>0</v>
      </c>
      <c r="S3424" s="1">
        <v>13</v>
      </c>
      <c r="T3424" s="1">
        <v>0</v>
      </c>
      <c r="U3424" s="1">
        <v>0</v>
      </c>
      <c r="V3424" s="1" t="str">
        <f t="shared" si="646"/>
        <v>里程返程</v>
      </c>
      <c r="W3424" s="1" t="str">
        <f>"0620"</f>
        <v>0620</v>
      </c>
      <c r="X3424" s="1" t="s">
        <v>29</v>
      </c>
    </row>
    <row r="3425" spans="1:24" x14ac:dyDescent="0.3">
      <c r="A3425" s="1" t="str">
        <f t="shared" ref="A3425:A3456" si="647">"59822"</f>
        <v>59822</v>
      </c>
      <c r="B3425" s="1" t="s">
        <v>39</v>
      </c>
      <c r="C3425" s="1" t="s">
        <v>40</v>
      </c>
      <c r="D3425" s="1" t="str">
        <f t="shared" ref="D3425:D3445" si="648">"9801"</f>
        <v>9801</v>
      </c>
      <c r="E3425" s="1" t="s">
        <v>25</v>
      </c>
      <c r="F3425" s="1" t="str">
        <f>"1434711025"</f>
        <v>1434711025</v>
      </c>
      <c r="G3425" s="1" t="s">
        <v>33</v>
      </c>
      <c r="H3425" s="1" t="str">
        <f t="shared" si="639"/>
        <v>20220915</v>
      </c>
      <c r="I3425" s="1" t="str">
        <f>"175651"</f>
        <v>175651</v>
      </c>
      <c r="J3425" s="1" t="s">
        <v>41</v>
      </c>
      <c r="K3425" s="1" t="s">
        <v>28</v>
      </c>
      <c r="L3425" s="1" t="str">
        <f t="shared" si="645"/>
        <v>20220915</v>
      </c>
      <c r="M3425" s="1" t="str">
        <f>"181726"</f>
        <v>181726</v>
      </c>
      <c r="N3425" s="1" t="s">
        <v>72</v>
      </c>
      <c r="O3425" s="1" t="s">
        <v>52</v>
      </c>
      <c r="P3425" s="1" t="s">
        <v>55</v>
      </c>
      <c r="Q3425" s="1">
        <v>25</v>
      </c>
      <c r="R3425" s="1">
        <v>0</v>
      </c>
      <c r="S3425" s="1">
        <v>25</v>
      </c>
      <c r="T3425" s="1">
        <v>0</v>
      </c>
      <c r="U3425" s="1">
        <v>0</v>
      </c>
      <c r="V3425" s="1" t="str">
        <f t="shared" si="646"/>
        <v>里程返程</v>
      </c>
      <c r="W3425" s="1" t="str">
        <f>"2120"</f>
        <v>2120</v>
      </c>
      <c r="X3425" s="1" t="s">
        <v>35</v>
      </c>
    </row>
    <row r="3426" spans="1:24" x14ac:dyDescent="0.3">
      <c r="A3426" s="1" t="str">
        <f t="shared" si="647"/>
        <v>59822</v>
      </c>
      <c r="B3426" s="1" t="s">
        <v>39</v>
      </c>
      <c r="C3426" s="1" t="s">
        <v>40</v>
      </c>
      <c r="D3426" s="1" t="str">
        <f t="shared" si="648"/>
        <v>9801</v>
      </c>
      <c r="E3426" s="1" t="s">
        <v>25</v>
      </c>
      <c r="F3426" s="1" t="str">
        <f>"281055311"</f>
        <v>281055311</v>
      </c>
      <c r="G3426" s="1" t="s">
        <v>33</v>
      </c>
      <c r="H3426" s="1" t="str">
        <f t="shared" si="639"/>
        <v>20220915</v>
      </c>
      <c r="I3426" s="1" t="str">
        <f>"175653"</f>
        <v>175653</v>
      </c>
      <c r="J3426" s="1" t="s">
        <v>41</v>
      </c>
      <c r="K3426" s="1" t="s">
        <v>28</v>
      </c>
      <c r="L3426" s="1" t="str">
        <f t="shared" si="645"/>
        <v>20220915</v>
      </c>
      <c r="M3426" s="1" t="str">
        <f>"181723"</f>
        <v>181723</v>
      </c>
      <c r="N3426" s="1" t="s">
        <v>72</v>
      </c>
      <c r="O3426" s="1" t="s">
        <v>52</v>
      </c>
      <c r="P3426" s="1" t="s">
        <v>55</v>
      </c>
      <c r="Q3426" s="1">
        <v>25</v>
      </c>
      <c r="R3426" s="1">
        <v>0</v>
      </c>
      <c r="S3426" s="1">
        <v>25</v>
      </c>
      <c r="T3426" s="1">
        <v>0</v>
      </c>
      <c r="U3426" s="1">
        <v>0</v>
      </c>
      <c r="V3426" s="1" t="str">
        <f t="shared" si="646"/>
        <v>里程返程</v>
      </c>
      <c r="W3426" s="1" t="str">
        <f>"2120"</f>
        <v>2120</v>
      </c>
      <c r="X3426" s="1" t="s">
        <v>35</v>
      </c>
    </row>
    <row r="3427" spans="1:24" x14ac:dyDescent="0.3">
      <c r="A3427" s="1" t="str">
        <f t="shared" si="647"/>
        <v>59822</v>
      </c>
      <c r="B3427" s="1" t="s">
        <v>39</v>
      </c>
      <c r="C3427" s="1" t="s">
        <v>40</v>
      </c>
      <c r="D3427" s="1" t="str">
        <f t="shared" si="648"/>
        <v>9801</v>
      </c>
      <c r="E3427" s="1" t="s">
        <v>25</v>
      </c>
      <c r="F3427" s="1" t="str">
        <f>"715407157"</f>
        <v>715407157</v>
      </c>
      <c r="G3427" s="1" t="s">
        <v>33</v>
      </c>
      <c r="H3427" s="1" t="str">
        <f t="shared" si="639"/>
        <v>20220915</v>
      </c>
      <c r="I3427" s="1" t="str">
        <f>"182800"</f>
        <v>182800</v>
      </c>
      <c r="J3427" s="1" t="s">
        <v>44</v>
      </c>
      <c r="K3427" s="1" t="s">
        <v>45</v>
      </c>
      <c r="L3427" s="1" t="str">
        <f t="shared" si="645"/>
        <v>20220915</v>
      </c>
      <c r="M3427" s="1" t="str">
        <f>"185030"</f>
        <v>185030</v>
      </c>
      <c r="N3427" s="1" t="s">
        <v>28</v>
      </c>
      <c r="O3427" s="1" t="s">
        <v>28</v>
      </c>
      <c r="P3427" s="1" t="s">
        <v>55</v>
      </c>
      <c r="Q3427" s="1">
        <v>25</v>
      </c>
      <c r="R3427" s="1">
        <v>0</v>
      </c>
      <c r="S3427" s="1">
        <v>25</v>
      </c>
      <c r="T3427" s="1">
        <v>0</v>
      </c>
      <c r="U3427" s="1">
        <v>0</v>
      </c>
      <c r="V3427" s="1" t="str">
        <f t="shared" si="646"/>
        <v>里程返程</v>
      </c>
      <c r="W3427" s="1" t="str">
        <f>"2120"</f>
        <v>2120</v>
      </c>
      <c r="X3427" s="1" t="s">
        <v>35</v>
      </c>
    </row>
    <row r="3428" spans="1:24" x14ac:dyDescent="0.3">
      <c r="A3428" s="1" t="str">
        <f t="shared" si="647"/>
        <v>59822</v>
      </c>
      <c r="B3428" s="1" t="s">
        <v>39</v>
      </c>
      <c r="C3428" s="1" t="s">
        <v>40</v>
      </c>
      <c r="D3428" s="1" t="str">
        <f t="shared" si="648"/>
        <v>9801</v>
      </c>
      <c r="E3428" s="1" t="s">
        <v>25</v>
      </c>
      <c r="F3428" s="1" t="str">
        <f>"4077305364"</f>
        <v>4077305364</v>
      </c>
      <c r="G3428" s="1" t="s">
        <v>33</v>
      </c>
      <c r="H3428" s="1" t="str">
        <f t="shared" si="639"/>
        <v>20220915</v>
      </c>
      <c r="I3428" s="1" t="str">
        <f>"182827"</f>
        <v>182827</v>
      </c>
      <c r="J3428" s="1" t="s">
        <v>44</v>
      </c>
      <c r="K3428" s="1" t="s">
        <v>45</v>
      </c>
      <c r="L3428" s="1" t="str">
        <f t="shared" si="645"/>
        <v>20220915</v>
      </c>
      <c r="M3428" s="1" t="str">
        <f>"185034"</f>
        <v>185034</v>
      </c>
      <c r="N3428" s="1" t="s">
        <v>28</v>
      </c>
      <c r="O3428" s="1" t="s">
        <v>28</v>
      </c>
      <c r="P3428" s="1" t="s">
        <v>55</v>
      </c>
      <c r="Q3428" s="1">
        <v>25</v>
      </c>
      <c r="R3428" s="1">
        <v>0</v>
      </c>
      <c r="S3428" s="1">
        <v>25</v>
      </c>
      <c r="T3428" s="1">
        <v>0</v>
      </c>
      <c r="U3428" s="1">
        <v>0</v>
      </c>
      <c r="V3428" s="1" t="str">
        <f t="shared" si="646"/>
        <v>里程返程</v>
      </c>
      <c r="W3428" s="1" t="str">
        <f>"2120"</f>
        <v>2120</v>
      </c>
      <c r="X3428" s="1" t="s">
        <v>35</v>
      </c>
    </row>
    <row r="3429" spans="1:24" x14ac:dyDescent="0.3">
      <c r="A3429" s="1" t="str">
        <f t="shared" si="647"/>
        <v>59822</v>
      </c>
      <c r="B3429" s="1" t="s">
        <v>39</v>
      </c>
      <c r="C3429" s="1" t="s">
        <v>40</v>
      </c>
      <c r="D3429" s="1" t="str">
        <f t="shared" si="648"/>
        <v>9801</v>
      </c>
      <c r="E3429" s="1" t="s">
        <v>25</v>
      </c>
      <c r="F3429" s="1" t="str">
        <f>"206554501"</f>
        <v>206554501</v>
      </c>
      <c r="G3429" s="1" t="s">
        <v>33</v>
      </c>
      <c r="H3429" s="1" t="str">
        <f t="shared" si="639"/>
        <v>20220915</v>
      </c>
      <c r="I3429" s="1" t="str">
        <f>"182938"</f>
        <v>182938</v>
      </c>
      <c r="J3429" s="1" t="s">
        <v>44</v>
      </c>
      <c r="K3429" s="1" t="s">
        <v>45</v>
      </c>
      <c r="L3429" s="1" t="str">
        <f t="shared" si="645"/>
        <v>20220915</v>
      </c>
      <c r="M3429" s="1" t="str">
        <f>"185037"</f>
        <v>185037</v>
      </c>
      <c r="N3429" s="1" t="s">
        <v>28</v>
      </c>
      <c r="O3429" s="1" t="s">
        <v>28</v>
      </c>
      <c r="P3429" s="1" t="s">
        <v>55</v>
      </c>
      <c r="Q3429" s="1">
        <v>25</v>
      </c>
      <c r="R3429" s="1">
        <v>25</v>
      </c>
      <c r="S3429" s="1">
        <v>0</v>
      </c>
      <c r="T3429" s="1">
        <v>0</v>
      </c>
      <c r="U3429" s="1">
        <v>0</v>
      </c>
      <c r="V3429" s="1" t="str">
        <f t="shared" si="646"/>
        <v>里程返程</v>
      </c>
      <c r="W3429" s="1" t="str">
        <f>"0120"</f>
        <v>0120</v>
      </c>
      <c r="X3429" s="1" t="s">
        <v>35</v>
      </c>
    </row>
    <row r="3430" spans="1:24" x14ac:dyDescent="0.3">
      <c r="A3430" s="1" t="str">
        <f t="shared" si="647"/>
        <v>59822</v>
      </c>
      <c r="B3430" s="1" t="s">
        <v>39</v>
      </c>
      <c r="C3430" s="1" t="s">
        <v>40</v>
      </c>
      <c r="D3430" s="1" t="str">
        <f t="shared" si="648"/>
        <v>9801</v>
      </c>
      <c r="E3430" s="1" t="s">
        <v>25</v>
      </c>
      <c r="F3430" s="1" t="str">
        <f>"9517171004325742"</f>
        <v>9517171004325742</v>
      </c>
      <c r="G3430" s="1" t="s">
        <v>33</v>
      </c>
      <c r="H3430" s="1" t="str">
        <f t="shared" si="639"/>
        <v>20220915</v>
      </c>
      <c r="I3430" s="1" t="str">
        <f>"185051"</f>
        <v>185051</v>
      </c>
      <c r="J3430" s="1" t="s">
        <v>28</v>
      </c>
      <c r="K3430" s="1" t="s">
        <v>28</v>
      </c>
      <c r="L3430" s="1" t="str">
        <f t="shared" si="645"/>
        <v>20220915</v>
      </c>
      <c r="M3430" s="1" t="str">
        <f>"191719"</f>
        <v>191719</v>
      </c>
      <c r="N3430" s="1" t="s">
        <v>71</v>
      </c>
      <c r="O3430" s="1" t="s">
        <v>52</v>
      </c>
      <c r="P3430" s="1" t="s">
        <v>55</v>
      </c>
      <c r="Q3430" s="1">
        <v>25</v>
      </c>
      <c r="R3430" s="1">
        <v>25</v>
      </c>
      <c r="S3430" s="1">
        <v>0</v>
      </c>
      <c r="T3430" s="1">
        <v>0</v>
      </c>
      <c r="U3430" s="1">
        <v>0</v>
      </c>
      <c r="V3430" s="1" t="str">
        <f t="shared" si="646"/>
        <v>里程返程</v>
      </c>
      <c r="W3430" s="1" t="str">
        <f>"003B"</f>
        <v>003B</v>
      </c>
      <c r="X3430" s="1" t="s">
        <v>109</v>
      </c>
    </row>
    <row r="3431" spans="1:24" x14ac:dyDescent="0.3">
      <c r="A3431" s="1" t="str">
        <f t="shared" si="647"/>
        <v>59822</v>
      </c>
      <c r="B3431" s="1" t="s">
        <v>39</v>
      </c>
      <c r="C3431" s="1" t="s">
        <v>40</v>
      </c>
      <c r="D3431" s="1" t="str">
        <f t="shared" si="648"/>
        <v>9801</v>
      </c>
      <c r="E3431" s="1" t="s">
        <v>25</v>
      </c>
      <c r="F3431" s="1" t="str">
        <f>"1478557231"</f>
        <v>1478557231</v>
      </c>
      <c r="G3431" s="1" t="s">
        <v>33</v>
      </c>
      <c r="H3431" s="1" t="str">
        <f t="shared" si="639"/>
        <v>20220915</v>
      </c>
      <c r="I3431" s="1" t="str">
        <f>"185055"</f>
        <v>185055</v>
      </c>
      <c r="J3431" s="1" t="s">
        <v>28</v>
      </c>
      <c r="K3431" s="1" t="s">
        <v>28</v>
      </c>
      <c r="L3431" s="1" t="str">
        <f t="shared" si="645"/>
        <v>20220915</v>
      </c>
      <c r="M3431" s="1" t="str">
        <f>"191716"</f>
        <v>191716</v>
      </c>
      <c r="N3431" s="1" t="s">
        <v>71</v>
      </c>
      <c r="O3431" s="1" t="s">
        <v>52</v>
      </c>
      <c r="P3431" s="1" t="s">
        <v>55</v>
      </c>
      <c r="Q3431" s="1">
        <v>25</v>
      </c>
      <c r="R3431" s="1">
        <v>25</v>
      </c>
      <c r="S3431" s="1">
        <v>0</v>
      </c>
      <c r="T3431" s="1">
        <v>0</v>
      </c>
      <c r="U3431" s="1">
        <v>0</v>
      </c>
      <c r="V3431" s="1" t="str">
        <f t="shared" si="646"/>
        <v>里程返程</v>
      </c>
      <c r="W3431" s="1" t="str">
        <f>"0620"</f>
        <v>0620</v>
      </c>
      <c r="X3431" s="1" t="s">
        <v>35</v>
      </c>
    </row>
    <row r="3432" spans="1:24" x14ac:dyDescent="0.3">
      <c r="A3432" s="1" t="str">
        <f t="shared" si="647"/>
        <v>59822</v>
      </c>
      <c r="B3432" s="1" t="s">
        <v>39</v>
      </c>
      <c r="C3432" s="1" t="s">
        <v>40</v>
      </c>
      <c r="D3432" s="1" t="str">
        <f t="shared" si="648"/>
        <v>9801</v>
      </c>
      <c r="E3432" s="1" t="s">
        <v>25</v>
      </c>
      <c r="F3432" s="1" t="str">
        <f>"3238479539"</f>
        <v>3238479539</v>
      </c>
      <c r="G3432" s="1" t="s">
        <v>33</v>
      </c>
      <c r="H3432" s="1" t="str">
        <f t="shared" si="639"/>
        <v>20220915</v>
      </c>
      <c r="I3432" s="1" t="str">
        <f>"185057"</f>
        <v>185057</v>
      </c>
      <c r="J3432" s="1" t="s">
        <v>28</v>
      </c>
      <c r="K3432" s="1" t="s">
        <v>28</v>
      </c>
      <c r="L3432" s="1" t="str">
        <f t="shared" si="645"/>
        <v>20220915</v>
      </c>
      <c r="M3432" s="1" t="str">
        <f>"191714"</f>
        <v>191714</v>
      </c>
      <c r="N3432" s="1" t="s">
        <v>71</v>
      </c>
      <c r="O3432" s="1" t="s">
        <v>52</v>
      </c>
      <c r="P3432" s="1" t="s">
        <v>55</v>
      </c>
      <c r="Q3432" s="1">
        <v>25</v>
      </c>
      <c r="R3432" s="1">
        <v>25</v>
      </c>
      <c r="S3432" s="1">
        <v>0</v>
      </c>
      <c r="T3432" s="1">
        <v>0</v>
      </c>
      <c r="U3432" s="1">
        <v>0</v>
      </c>
      <c r="V3432" s="1" t="str">
        <f t="shared" si="646"/>
        <v>里程返程</v>
      </c>
      <c r="W3432" s="1" t="str">
        <f>"0e20"</f>
        <v>0e20</v>
      </c>
      <c r="X3432" s="1" t="s">
        <v>35</v>
      </c>
    </row>
    <row r="3433" spans="1:24" x14ac:dyDescent="0.3">
      <c r="A3433" s="1" t="str">
        <f t="shared" si="647"/>
        <v>59822</v>
      </c>
      <c r="B3433" s="1" t="s">
        <v>39</v>
      </c>
      <c r="C3433" s="1" t="s">
        <v>40</v>
      </c>
      <c r="D3433" s="1" t="str">
        <f t="shared" si="648"/>
        <v>9801</v>
      </c>
      <c r="E3433" s="1" t="s">
        <v>25</v>
      </c>
      <c r="F3433" s="1" t="str">
        <f>"918822033888040043252B4B000F050F"</f>
        <v>918822033888040043252B4B000F050F</v>
      </c>
      <c r="G3433" s="1" t="s">
        <v>58</v>
      </c>
      <c r="H3433" s="1" t="str">
        <f t="shared" si="639"/>
        <v>20220915</v>
      </c>
      <c r="I3433" s="1" t="str">
        <f>"185100"</f>
        <v>185100</v>
      </c>
      <c r="J3433" s="1" t="s">
        <v>28</v>
      </c>
      <c r="K3433" s="1" t="s">
        <v>28</v>
      </c>
      <c r="L3433" s="1" t="str">
        <f t="shared" si="645"/>
        <v>20220915</v>
      </c>
      <c r="M3433" s="1" t="str">
        <f>"191706"</f>
        <v>191706</v>
      </c>
      <c r="N3433" s="1" t="s">
        <v>71</v>
      </c>
      <c r="O3433" s="1" t="s">
        <v>52</v>
      </c>
      <c r="P3433" s="1" t="s">
        <v>55</v>
      </c>
      <c r="Q3433" s="1">
        <v>25</v>
      </c>
      <c r="R3433" s="1">
        <v>25</v>
      </c>
      <c r="S3433" s="1">
        <v>0</v>
      </c>
      <c r="T3433" s="1">
        <v>0</v>
      </c>
      <c r="U3433" s="1">
        <v>0</v>
      </c>
      <c r="V3433" s="1" t="str">
        <f t="shared" si="646"/>
        <v>里程返程</v>
      </c>
      <c r="W3433" s="1" t="str">
        <f>"0020"</f>
        <v>0020</v>
      </c>
      <c r="X3433" s="1" t="s">
        <v>29</v>
      </c>
    </row>
    <row r="3434" spans="1:24" x14ac:dyDescent="0.3">
      <c r="A3434" s="1" t="str">
        <f t="shared" si="647"/>
        <v>59822</v>
      </c>
      <c r="B3434" s="1" t="s">
        <v>39</v>
      </c>
      <c r="C3434" s="1" t="s">
        <v>40</v>
      </c>
      <c r="D3434" s="1" t="str">
        <f t="shared" si="648"/>
        <v>9801</v>
      </c>
      <c r="E3434" s="1" t="s">
        <v>25</v>
      </c>
      <c r="F3434" s="1" t="str">
        <f>"660993845"</f>
        <v>660993845</v>
      </c>
      <c r="G3434" s="1" t="s">
        <v>33</v>
      </c>
      <c r="H3434" s="1" t="str">
        <f t="shared" si="639"/>
        <v>20220915</v>
      </c>
      <c r="I3434" s="1" t="str">
        <f>"185103"</f>
        <v>185103</v>
      </c>
      <c r="J3434" s="1" t="s">
        <v>28</v>
      </c>
      <c r="K3434" s="1" t="s">
        <v>28</v>
      </c>
      <c r="L3434" s="1" t="str">
        <f t="shared" si="645"/>
        <v>20220915</v>
      </c>
      <c r="M3434" s="1" t="str">
        <f>"191709"</f>
        <v>191709</v>
      </c>
      <c r="N3434" s="1" t="s">
        <v>71</v>
      </c>
      <c r="O3434" s="1" t="s">
        <v>52</v>
      </c>
      <c r="P3434" s="1" t="s">
        <v>55</v>
      </c>
      <c r="Q3434" s="1">
        <v>25</v>
      </c>
      <c r="R3434" s="1">
        <v>25</v>
      </c>
      <c r="S3434" s="1">
        <v>0</v>
      </c>
      <c r="T3434" s="1">
        <v>0</v>
      </c>
      <c r="U3434" s="1">
        <v>0</v>
      </c>
      <c r="V3434" s="1" t="str">
        <f t="shared" si="646"/>
        <v>里程返程</v>
      </c>
      <c r="W3434" s="1" t="str">
        <f>"0320"</f>
        <v>0320</v>
      </c>
      <c r="X3434" s="1" t="s">
        <v>35</v>
      </c>
    </row>
    <row r="3435" spans="1:24" x14ac:dyDescent="0.3">
      <c r="A3435" s="1" t="str">
        <f t="shared" si="647"/>
        <v>59822</v>
      </c>
      <c r="B3435" s="1" t="s">
        <v>39</v>
      </c>
      <c r="C3435" s="1" t="s">
        <v>40</v>
      </c>
      <c r="D3435" s="1" t="str">
        <f t="shared" si="648"/>
        <v>9801</v>
      </c>
      <c r="E3435" s="1" t="s">
        <v>25</v>
      </c>
      <c r="F3435" s="1" t="str">
        <f>"1260698869"</f>
        <v>1260698869</v>
      </c>
      <c r="G3435" s="1" t="s">
        <v>26</v>
      </c>
      <c r="H3435" s="1" t="str">
        <f t="shared" si="639"/>
        <v>20220915</v>
      </c>
      <c r="I3435" s="1" t="str">
        <f>"185106"</f>
        <v>185106</v>
      </c>
      <c r="J3435" s="1" t="s">
        <v>28</v>
      </c>
      <c r="K3435" s="1" t="s">
        <v>28</v>
      </c>
      <c r="L3435" s="1" t="str">
        <f t="shared" si="645"/>
        <v>20220915</v>
      </c>
      <c r="M3435" s="1" t="str">
        <f>"191701"</f>
        <v>191701</v>
      </c>
      <c r="N3435" s="1" t="s">
        <v>71</v>
      </c>
      <c r="O3435" s="1" t="s">
        <v>52</v>
      </c>
      <c r="P3435" s="1" t="s">
        <v>55</v>
      </c>
      <c r="Q3435" s="1">
        <v>13</v>
      </c>
      <c r="R3435" s="1">
        <v>13</v>
      </c>
      <c r="S3435" s="1">
        <v>0</v>
      </c>
      <c r="T3435" s="1">
        <v>0</v>
      </c>
      <c r="U3435" s="1">
        <v>0</v>
      </c>
      <c r="V3435" s="1" t="str">
        <f t="shared" si="646"/>
        <v>里程返程</v>
      </c>
      <c r="W3435" s="1" t="str">
        <f>"1920"</f>
        <v>1920</v>
      </c>
      <c r="X3435" s="1" t="s">
        <v>35</v>
      </c>
    </row>
    <row r="3436" spans="1:24" x14ac:dyDescent="0.3">
      <c r="A3436" s="1" t="str">
        <f t="shared" si="647"/>
        <v>59822</v>
      </c>
      <c r="B3436" s="1" t="s">
        <v>39</v>
      </c>
      <c r="C3436" s="1" t="s">
        <v>40</v>
      </c>
      <c r="D3436" s="1" t="str">
        <f t="shared" si="648"/>
        <v>9801</v>
      </c>
      <c r="E3436" s="1" t="s">
        <v>25</v>
      </c>
      <c r="F3436" s="1" t="str">
        <f>"994369333"</f>
        <v>994369333</v>
      </c>
      <c r="G3436" s="1" t="s">
        <v>26</v>
      </c>
      <c r="H3436" s="1" t="str">
        <f t="shared" si="639"/>
        <v>20220915</v>
      </c>
      <c r="I3436" s="1" t="str">
        <f>"185108"</f>
        <v>185108</v>
      </c>
      <c r="J3436" s="1" t="s">
        <v>28</v>
      </c>
      <c r="K3436" s="1" t="s">
        <v>28</v>
      </c>
      <c r="L3436" s="1" t="str">
        <f t="shared" si="645"/>
        <v>20220915</v>
      </c>
      <c r="M3436" s="1" t="str">
        <f>"191712"</f>
        <v>191712</v>
      </c>
      <c r="N3436" s="1" t="s">
        <v>71</v>
      </c>
      <c r="O3436" s="1" t="s">
        <v>52</v>
      </c>
      <c r="P3436" s="1" t="s">
        <v>55</v>
      </c>
      <c r="Q3436" s="1">
        <v>13</v>
      </c>
      <c r="R3436" s="1">
        <v>13</v>
      </c>
      <c r="S3436" s="1">
        <v>0</v>
      </c>
      <c r="T3436" s="1">
        <v>0</v>
      </c>
      <c r="U3436" s="1">
        <v>0</v>
      </c>
      <c r="V3436" s="1" t="str">
        <f t="shared" si="646"/>
        <v>里程返程</v>
      </c>
      <c r="W3436" s="1" t="str">
        <f>"0e20"</f>
        <v>0e20</v>
      </c>
      <c r="X3436" s="1" t="s">
        <v>35</v>
      </c>
    </row>
    <row r="3437" spans="1:24" x14ac:dyDescent="0.3">
      <c r="A3437" s="1" t="str">
        <f t="shared" si="647"/>
        <v>59822</v>
      </c>
      <c r="B3437" s="1" t="s">
        <v>39</v>
      </c>
      <c r="C3437" s="1" t="s">
        <v>40</v>
      </c>
      <c r="D3437" s="1" t="str">
        <f t="shared" si="648"/>
        <v>9801</v>
      </c>
      <c r="E3437" s="1" t="s">
        <v>25</v>
      </c>
      <c r="F3437" s="1" t="str">
        <f>"57704897"</f>
        <v>57704897</v>
      </c>
      <c r="G3437" s="1" t="s">
        <v>33</v>
      </c>
      <c r="H3437" s="1" t="str">
        <f t="shared" si="639"/>
        <v>20220915</v>
      </c>
      <c r="I3437" s="1" t="str">
        <f>"185112"</f>
        <v>185112</v>
      </c>
      <c r="J3437" s="1" t="s">
        <v>28</v>
      </c>
      <c r="K3437" s="1" t="s">
        <v>28</v>
      </c>
      <c r="L3437" s="1" t="str">
        <f t="shared" si="645"/>
        <v>20220915</v>
      </c>
      <c r="M3437" s="1" t="str">
        <f>"191704"</f>
        <v>191704</v>
      </c>
      <c r="N3437" s="1" t="s">
        <v>71</v>
      </c>
      <c r="O3437" s="1" t="s">
        <v>52</v>
      </c>
      <c r="P3437" s="1" t="s">
        <v>55</v>
      </c>
      <c r="Q3437" s="1">
        <v>25</v>
      </c>
      <c r="R3437" s="1">
        <v>25</v>
      </c>
      <c r="S3437" s="1">
        <v>0</v>
      </c>
      <c r="T3437" s="1">
        <v>0</v>
      </c>
      <c r="U3437" s="1">
        <v>0</v>
      </c>
      <c r="V3437" s="1" t="str">
        <f t="shared" si="646"/>
        <v>里程返程</v>
      </c>
      <c r="W3437" s="1" t="str">
        <f>"0820"</f>
        <v>0820</v>
      </c>
      <c r="X3437" s="1" t="s">
        <v>35</v>
      </c>
    </row>
    <row r="3438" spans="1:24" x14ac:dyDescent="0.3">
      <c r="A3438" s="1" t="str">
        <f t="shared" si="647"/>
        <v>59822</v>
      </c>
      <c r="B3438" s="1" t="s">
        <v>39</v>
      </c>
      <c r="C3438" s="1" t="s">
        <v>40</v>
      </c>
      <c r="D3438" s="1" t="str">
        <f t="shared" si="648"/>
        <v>9801</v>
      </c>
      <c r="E3438" s="1" t="s">
        <v>25</v>
      </c>
      <c r="F3438" s="1" t="str">
        <f>"1171763685"</f>
        <v>1171763685</v>
      </c>
      <c r="G3438" s="1" t="s">
        <v>38</v>
      </c>
      <c r="H3438" s="1" t="str">
        <f t="shared" si="639"/>
        <v>20220915</v>
      </c>
      <c r="I3438" s="1" t="str">
        <f>"185115"</f>
        <v>185115</v>
      </c>
      <c r="J3438" s="1" t="s">
        <v>28</v>
      </c>
      <c r="K3438" s="1" t="s">
        <v>28</v>
      </c>
      <c r="L3438" s="1" t="str">
        <f t="shared" si="645"/>
        <v>20220915</v>
      </c>
      <c r="M3438" s="1" t="str">
        <f>"191601"</f>
        <v>191601</v>
      </c>
      <c r="N3438" s="1" t="s">
        <v>72</v>
      </c>
      <c r="O3438" s="1" t="s">
        <v>52</v>
      </c>
      <c r="P3438" s="1" t="s">
        <v>55</v>
      </c>
      <c r="Q3438" s="1">
        <v>25</v>
      </c>
      <c r="R3438" s="1">
        <v>25</v>
      </c>
      <c r="S3438" s="1">
        <v>0</v>
      </c>
      <c r="T3438" s="1">
        <v>0</v>
      </c>
      <c r="U3438" s="1">
        <v>0</v>
      </c>
      <c r="V3438" s="1" t="str">
        <f t="shared" si="646"/>
        <v>里程返程</v>
      </c>
      <c r="W3438" s="1" t="str">
        <f>"0220"</f>
        <v>0220</v>
      </c>
      <c r="X3438" s="1" t="s">
        <v>35</v>
      </c>
    </row>
    <row r="3439" spans="1:24" x14ac:dyDescent="0.3">
      <c r="A3439" s="1" t="str">
        <f t="shared" si="647"/>
        <v>59822</v>
      </c>
      <c r="B3439" s="1" t="s">
        <v>39</v>
      </c>
      <c r="C3439" s="1" t="s">
        <v>40</v>
      </c>
      <c r="D3439" s="1" t="str">
        <f t="shared" si="648"/>
        <v>9801</v>
      </c>
      <c r="E3439" s="1" t="s">
        <v>25</v>
      </c>
      <c r="F3439" s="1" t="str">
        <f>"900329825"</f>
        <v>900329825</v>
      </c>
      <c r="G3439" s="1" t="s">
        <v>33</v>
      </c>
      <c r="H3439" s="1" t="str">
        <f t="shared" ref="H3439:H3502" si="649">"20220915"</f>
        <v>20220915</v>
      </c>
      <c r="I3439" s="1" t="str">
        <f>"185118"</f>
        <v>185118</v>
      </c>
      <c r="J3439" s="1" t="s">
        <v>28</v>
      </c>
      <c r="K3439" s="1" t="s">
        <v>28</v>
      </c>
      <c r="L3439" s="1" t="str">
        <f t="shared" si="645"/>
        <v>20220915</v>
      </c>
      <c r="M3439" s="1" t="str">
        <f>"192531"</f>
        <v>192531</v>
      </c>
      <c r="N3439" s="1" t="s">
        <v>52</v>
      </c>
      <c r="O3439" s="1" t="s">
        <v>52</v>
      </c>
      <c r="P3439" s="1" t="s">
        <v>55</v>
      </c>
      <c r="Q3439" s="1">
        <v>25</v>
      </c>
      <c r="R3439" s="1">
        <v>25</v>
      </c>
      <c r="S3439" s="1">
        <v>0</v>
      </c>
      <c r="T3439" s="1">
        <v>0</v>
      </c>
      <c r="U3439" s="1">
        <v>0</v>
      </c>
      <c r="V3439" s="1" t="str">
        <f t="shared" si="646"/>
        <v>里程返程</v>
      </c>
      <c r="W3439" s="1" t="str">
        <f>"1d20"</f>
        <v>1d20</v>
      </c>
      <c r="X3439" s="1" t="s">
        <v>35</v>
      </c>
    </row>
    <row r="3440" spans="1:24" x14ac:dyDescent="0.3">
      <c r="A3440" s="1" t="str">
        <f t="shared" si="647"/>
        <v>59822</v>
      </c>
      <c r="B3440" s="1" t="s">
        <v>39</v>
      </c>
      <c r="C3440" s="1" t="s">
        <v>40</v>
      </c>
      <c r="D3440" s="1" t="str">
        <f t="shared" si="648"/>
        <v>9801</v>
      </c>
      <c r="E3440" s="1" t="s">
        <v>25</v>
      </c>
      <c r="F3440" s="1" t="str">
        <f>"278233073"</f>
        <v>278233073</v>
      </c>
      <c r="G3440" s="1" t="s">
        <v>33</v>
      </c>
      <c r="H3440" s="1" t="str">
        <f t="shared" si="649"/>
        <v>20220915</v>
      </c>
      <c r="I3440" s="1" t="str">
        <f>"185125"</f>
        <v>185125</v>
      </c>
      <c r="J3440" s="1" t="s">
        <v>28</v>
      </c>
      <c r="K3440" s="1" t="s">
        <v>28</v>
      </c>
      <c r="L3440" s="1" t="str">
        <f t="shared" si="645"/>
        <v>20220915</v>
      </c>
      <c r="M3440" s="1" t="str">
        <f>"191231"</f>
        <v>191231</v>
      </c>
      <c r="N3440" s="1" t="s">
        <v>65</v>
      </c>
      <c r="O3440" s="1" t="s">
        <v>52</v>
      </c>
      <c r="P3440" s="1" t="s">
        <v>55</v>
      </c>
      <c r="Q3440" s="1">
        <v>25</v>
      </c>
      <c r="R3440" s="1">
        <v>25</v>
      </c>
      <c r="S3440" s="1">
        <v>0</v>
      </c>
      <c r="T3440" s="1">
        <v>0</v>
      </c>
      <c r="U3440" s="1">
        <v>0</v>
      </c>
      <c r="V3440" s="1" t="str">
        <f t="shared" si="646"/>
        <v>里程返程</v>
      </c>
      <c r="W3440" s="1" t="str">
        <f>"0820"</f>
        <v>0820</v>
      </c>
      <c r="X3440" s="1" t="s">
        <v>35</v>
      </c>
    </row>
    <row r="3441" spans="1:24" x14ac:dyDescent="0.3">
      <c r="A3441" s="1" t="str">
        <f t="shared" si="647"/>
        <v>59822</v>
      </c>
      <c r="B3441" s="1" t="s">
        <v>39</v>
      </c>
      <c r="C3441" s="1" t="s">
        <v>40</v>
      </c>
      <c r="D3441" s="1" t="str">
        <f t="shared" si="648"/>
        <v>9801</v>
      </c>
      <c r="E3441" s="1" t="s">
        <v>25</v>
      </c>
      <c r="F3441" s="1" t="str">
        <f>"81DCC741DB280400F700000000000000"</f>
        <v>81DCC741DB280400F700000000000000</v>
      </c>
      <c r="G3441" s="1" t="s">
        <v>58</v>
      </c>
      <c r="H3441" s="1" t="str">
        <f t="shared" si="649"/>
        <v>20220915</v>
      </c>
      <c r="I3441" s="1" t="str">
        <f>"185138"</f>
        <v>185138</v>
      </c>
      <c r="J3441" s="1" t="s">
        <v>28</v>
      </c>
      <c r="K3441" s="1" t="s">
        <v>28</v>
      </c>
      <c r="L3441" s="1" t="str">
        <f t="shared" si="645"/>
        <v>20220915</v>
      </c>
      <c r="M3441" s="1" t="str">
        <f>"191216"</f>
        <v>191216</v>
      </c>
      <c r="N3441" s="1" t="s">
        <v>65</v>
      </c>
      <c r="O3441" s="1" t="s">
        <v>52</v>
      </c>
      <c r="P3441" s="1" t="s">
        <v>55</v>
      </c>
      <c r="Q3441" s="1">
        <v>25</v>
      </c>
      <c r="R3441" s="1">
        <v>25</v>
      </c>
      <c r="S3441" s="1">
        <v>0</v>
      </c>
      <c r="T3441" s="1">
        <v>0</v>
      </c>
      <c r="U3441" s="1">
        <v>0</v>
      </c>
      <c r="V3441" s="1" t="str">
        <f t="shared" si="646"/>
        <v>里程返程</v>
      </c>
      <c r="W3441" s="1" t="str">
        <f>"0020"</f>
        <v>0020</v>
      </c>
      <c r="X3441" s="1" t="s">
        <v>29</v>
      </c>
    </row>
    <row r="3442" spans="1:24" x14ac:dyDescent="0.3">
      <c r="A3442" s="1" t="str">
        <f t="shared" si="647"/>
        <v>59822</v>
      </c>
      <c r="B3442" s="1" t="s">
        <v>39</v>
      </c>
      <c r="C3442" s="1" t="s">
        <v>40</v>
      </c>
      <c r="D3442" s="1" t="str">
        <f t="shared" si="648"/>
        <v>9801</v>
      </c>
      <c r="E3442" s="1" t="s">
        <v>25</v>
      </c>
      <c r="F3442" s="1" t="str">
        <f>"161813205"</f>
        <v>161813205</v>
      </c>
      <c r="G3442" s="1" t="s">
        <v>33</v>
      </c>
      <c r="H3442" s="1" t="str">
        <f t="shared" si="649"/>
        <v>20220915</v>
      </c>
      <c r="I3442" s="1" t="str">
        <f>"185145"</f>
        <v>185145</v>
      </c>
      <c r="J3442" s="1" t="s">
        <v>28</v>
      </c>
      <c r="K3442" s="1" t="s">
        <v>28</v>
      </c>
      <c r="L3442" s="1" t="str">
        <f t="shared" si="645"/>
        <v>20220915</v>
      </c>
      <c r="M3442" s="1" t="str">
        <f>"192536"</f>
        <v>192536</v>
      </c>
      <c r="N3442" s="1" t="s">
        <v>52</v>
      </c>
      <c r="O3442" s="1" t="s">
        <v>52</v>
      </c>
      <c r="P3442" s="1" t="s">
        <v>55</v>
      </c>
      <c r="Q3442" s="1">
        <v>25</v>
      </c>
      <c r="R3442" s="1">
        <v>25</v>
      </c>
      <c r="S3442" s="1">
        <v>0</v>
      </c>
      <c r="T3442" s="1">
        <v>0</v>
      </c>
      <c r="U3442" s="1">
        <v>0</v>
      </c>
      <c r="V3442" s="1" t="str">
        <f t="shared" si="646"/>
        <v>里程返程</v>
      </c>
      <c r="W3442" s="1" t="str">
        <f>"0820"</f>
        <v>0820</v>
      </c>
      <c r="X3442" s="1" t="s">
        <v>35</v>
      </c>
    </row>
    <row r="3443" spans="1:24" x14ac:dyDescent="0.3">
      <c r="A3443" s="1" t="str">
        <f t="shared" si="647"/>
        <v>59822</v>
      </c>
      <c r="B3443" s="1" t="s">
        <v>39</v>
      </c>
      <c r="C3443" s="1" t="s">
        <v>40</v>
      </c>
      <c r="D3443" s="1" t="str">
        <f t="shared" si="648"/>
        <v>9801</v>
      </c>
      <c r="E3443" s="1" t="s">
        <v>25</v>
      </c>
      <c r="F3443" s="1" t="str">
        <f>"F14FDC54362804001C00000000000000"</f>
        <v>F14FDC54362804001C00000000000000</v>
      </c>
      <c r="G3443" s="1" t="s">
        <v>58</v>
      </c>
      <c r="H3443" s="1" t="str">
        <f t="shared" si="649"/>
        <v>20220915</v>
      </c>
      <c r="I3443" s="1" t="str">
        <f>"185148"</f>
        <v>185148</v>
      </c>
      <c r="J3443" s="1" t="s">
        <v>28</v>
      </c>
      <c r="K3443" s="1" t="s">
        <v>28</v>
      </c>
      <c r="L3443" s="1" t="str">
        <f t="shared" si="645"/>
        <v>20220915</v>
      </c>
      <c r="M3443" s="1" t="str">
        <f>"192541"</f>
        <v>192541</v>
      </c>
      <c r="N3443" s="1" t="s">
        <v>52</v>
      </c>
      <c r="O3443" s="1" t="s">
        <v>52</v>
      </c>
      <c r="P3443" s="1" t="s">
        <v>55</v>
      </c>
      <c r="Q3443" s="1">
        <v>25</v>
      </c>
      <c r="R3443" s="1">
        <v>25</v>
      </c>
      <c r="S3443" s="1">
        <v>0</v>
      </c>
      <c r="T3443" s="1">
        <v>0</v>
      </c>
      <c r="U3443" s="1">
        <v>0</v>
      </c>
      <c r="V3443" s="1" t="str">
        <f t="shared" si="646"/>
        <v>里程返程</v>
      </c>
      <c r="W3443" s="1" t="str">
        <f>"0020"</f>
        <v>0020</v>
      </c>
      <c r="X3443" s="1" t="s">
        <v>29</v>
      </c>
    </row>
    <row r="3444" spans="1:24" x14ac:dyDescent="0.3">
      <c r="A3444" s="1" t="str">
        <f t="shared" si="647"/>
        <v>59822</v>
      </c>
      <c r="B3444" s="1" t="s">
        <v>39</v>
      </c>
      <c r="C3444" s="1" t="s">
        <v>40</v>
      </c>
      <c r="D3444" s="1" t="str">
        <f t="shared" si="648"/>
        <v>9801</v>
      </c>
      <c r="E3444" s="1" t="s">
        <v>25</v>
      </c>
      <c r="F3444" s="1" t="str">
        <f>"1434711025"</f>
        <v>1434711025</v>
      </c>
      <c r="G3444" s="1" t="s">
        <v>33</v>
      </c>
      <c r="H3444" s="1" t="str">
        <f t="shared" si="649"/>
        <v>20220915</v>
      </c>
      <c r="I3444" s="1" t="str">
        <f>"191610"</f>
        <v>191610</v>
      </c>
      <c r="J3444" s="1" t="s">
        <v>72</v>
      </c>
      <c r="K3444" s="1" t="s">
        <v>52</v>
      </c>
      <c r="L3444" s="1" t="str">
        <f t="shared" si="645"/>
        <v>20220915</v>
      </c>
      <c r="M3444" s="1" t="str">
        <f>"192545"</f>
        <v>192545</v>
      </c>
      <c r="N3444" s="1" t="s">
        <v>52</v>
      </c>
      <c r="O3444" s="1" t="s">
        <v>52</v>
      </c>
      <c r="P3444" s="1" t="s">
        <v>55</v>
      </c>
      <c r="Q3444" s="1">
        <v>25</v>
      </c>
      <c r="R3444" s="1">
        <v>25</v>
      </c>
      <c r="S3444" s="1">
        <v>0</v>
      </c>
      <c r="T3444" s="1">
        <v>0</v>
      </c>
      <c r="U3444" s="1">
        <v>0</v>
      </c>
      <c r="V3444" s="1" t="str">
        <f t="shared" si="646"/>
        <v>里程返程</v>
      </c>
      <c r="W3444" s="1" t="str">
        <f>"2020"</f>
        <v>2020</v>
      </c>
      <c r="X3444" s="1" t="s">
        <v>35</v>
      </c>
    </row>
    <row r="3445" spans="1:24" x14ac:dyDescent="0.3">
      <c r="A3445" s="1" t="str">
        <f t="shared" si="647"/>
        <v>59822</v>
      </c>
      <c r="B3445" s="1" t="s">
        <v>39</v>
      </c>
      <c r="C3445" s="1" t="s">
        <v>40</v>
      </c>
      <c r="D3445" s="1" t="str">
        <f t="shared" si="648"/>
        <v>9801</v>
      </c>
      <c r="E3445" s="1" t="s">
        <v>25</v>
      </c>
      <c r="F3445" s="1" t="str">
        <f>"281055311"</f>
        <v>281055311</v>
      </c>
      <c r="G3445" s="1" t="s">
        <v>33</v>
      </c>
      <c r="H3445" s="1" t="str">
        <f t="shared" si="649"/>
        <v>20220915</v>
      </c>
      <c r="I3445" s="1" t="str">
        <f>"191612"</f>
        <v>191612</v>
      </c>
      <c r="J3445" s="1" t="s">
        <v>72</v>
      </c>
      <c r="K3445" s="1" t="s">
        <v>52</v>
      </c>
      <c r="L3445" s="1" t="str">
        <f t="shared" si="645"/>
        <v>20220915</v>
      </c>
      <c r="M3445" s="1" t="str">
        <f>"192547"</f>
        <v>192547</v>
      </c>
      <c r="N3445" s="1" t="s">
        <v>52</v>
      </c>
      <c r="O3445" s="1" t="s">
        <v>52</v>
      </c>
      <c r="P3445" s="1" t="s">
        <v>55</v>
      </c>
      <c r="Q3445" s="1">
        <v>25</v>
      </c>
      <c r="R3445" s="1">
        <v>25</v>
      </c>
      <c r="S3445" s="1">
        <v>0</v>
      </c>
      <c r="T3445" s="1">
        <v>0</v>
      </c>
      <c r="U3445" s="1">
        <v>0</v>
      </c>
      <c r="V3445" s="1" t="str">
        <f t="shared" si="646"/>
        <v>里程返程</v>
      </c>
      <c r="W3445" s="1" t="str">
        <f>"2020"</f>
        <v>2020</v>
      </c>
      <c r="X3445" s="1" t="s">
        <v>35</v>
      </c>
    </row>
    <row r="3446" spans="1:24" x14ac:dyDescent="0.3">
      <c r="A3446" s="1" t="str">
        <f t="shared" si="647"/>
        <v>59822</v>
      </c>
      <c r="B3446" s="1" t="s">
        <v>39</v>
      </c>
      <c r="C3446" s="1" t="s">
        <v>40</v>
      </c>
      <c r="D3446" s="1" t="str">
        <f t="shared" ref="D3446:D3456" si="650">"9805"</f>
        <v>9805</v>
      </c>
      <c r="E3446" s="1" t="s">
        <v>57</v>
      </c>
      <c r="F3446" s="1" t="str">
        <f>"1434711025"</f>
        <v>1434711025</v>
      </c>
      <c r="G3446" s="1" t="s">
        <v>33</v>
      </c>
      <c r="H3446" s="1" t="str">
        <f t="shared" si="649"/>
        <v>20220915</v>
      </c>
      <c r="I3446" s="1" t="str">
        <f>"205814"</f>
        <v>205814</v>
      </c>
      <c r="J3446" s="1" t="s">
        <v>52</v>
      </c>
      <c r="K3446" s="1" t="s">
        <v>52</v>
      </c>
      <c r="L3446" s="1" t="str">
        <f t="shared" si="645"/>
        <v>20220915</v>
      </c>
      <c r="M3446" s="1" t="str">
        <f>"211826"</f>
        <v>211826</v>
      </c>
      <c r="N3446" s="1" t="s">
        <v>28</v>
      </c>
      <c r="O3446" s="1" t="s">
        <v>28</v>
      </c>
      <c r="P3446" s="1" t="s">
        <v>55</v>
      </c>
      <c r="Q3446" s="1">
        <v>25</v>
      </c>
      <c r="R3446" s="1">
        <v>0</v>
      </c>
      <c r="S3446" s="1">
        <v>25</v>
      </c>
      <c r="T3446" s="1">
        <v>0</v>
      </c>
      <c r="U3446" s="1">
        <v>0</v>
      </c>
      <c r="V3446" s="1" t="str">
        <f t="shared" si="646"/>
        <v>里程返程</v>
      </c>
      <c r="W3446" s="1" t="str">
        <f>"2020"</f>
        <v>2020</v>
      </c>
      <c r="X3446" s="1" t="s">
        <v>35</v>
      </c>
    </row>
    <row r="3447" spans="1:24" x14ac:dyDescent="0.3">
      <c r="A3447" s="1" t="str">
        <f t="shared" si="647"/>
        <v>59822</v>
      </c>
      <c r="B3447" s="1" t="s">
        <v>39</v>
      </c>
      <c r="C3447" s="1" t="s">
        <v>40</v>
      </c>
      <c r="D3447" s="1" t="str">
        <f t="shared" si="650"/>
        <v>9805</v>
      </c>
      <c r="E3447" s="1" t="s">
        <v>57</v>
      </c>
      <c r="F3447" s="1" t="str">
        <f>"281055311"</f>
        <v>281055311</v>
      </c>
      <c r="G3447" s="1" t="s">
        <v>33</v>
      </c>
      <c r="H3447" s="1" t="str">
        <f t="shared" si="649"/>
        <v>20220915</v>
      </c>
      <c r="I3447" s="1" t="str">
        <f>"205816"</f>
        <v>205816</v>
      </c>
      <c r="J3447" s="1" t="s">
        <v>52</v>
      </c>
      <c r="K3447" s="1" t="s">
        <v>52</v>
      </c>
      <c r="L3447" s="1" t="str">
        <f t="shared" si="645"/>
        <v>20220915</v>
      </c>
      <c r="M3447" s="1" t="str">
        <f>"211832"</f>
        <v>211832</v>
      </c>
      <c r="N3447" s="1" t="s">
        <v>28</v>
      </c>
      <c r="O3447" s="1" t="s">
        <v>28</v>
      </c>
      <c r="P3447" s="1" t="s">
        <v>55</v>
      </c>
      <c r="Q3447" s="1">
        <v>25</v>
      </c>
      <c r="R3447" s="1">
        <v>0</v>
      </c>
      <c r="S3447" s="1">
        <v>25</v>
      </c>
      <c r="T3447" s="1">
        <v>0</v>
      </c>
      <c r="U3447" s="1">
        <v>0</v>
      </c>
      <c r="V3447" s="1" t="str">
        <f t="shared" si="646"/>
        <v>里程返程</v>
      </c>
      <c r="W3447" s="1" t="str">
        <f>"2020"</f>
        <v>2020</v>
      </c>
      <c r="X3447" s="1" t="s">
        <v>35</v>
      </c>
    </row>
    <row r="3448" spans="1:24" x14ac:dyDescent="0.3">
      <c r="A3448" s="1" t="str">
        <f t="shared" si="647"/>
        <v>59822</v>
      </c>
      <c r="B3448" s="1" t="s">
        <v>39</v>
      </c>
      <c r="C3448" s="1" t="s">
        <v>40</v>
      </c>
      <c r="D3448" s="1" t="str">
        <f t="shared" si="650"/>
        <v>9805</v>
      </c>
      <c r="E3448" s="1" t="s">
        <v>57</v>
      </c>
      <c r="F3448" s="1" t="str">
        <f>"C7EB943A82280400F700000000000000"</f>
        <v>C7EB943A82280400F700000000000000</v>
      </c>
      <c r="G3448" s="1" t="s">
        <v>58</v>
      </c>
      <c r="H3448" s="1" t="str">
        <f t="shared" si="649"/>
        <v>20220915</v>
      </c>
      <c r="I3448" s="1" t="str">
        <f>"211853"</f>
        <v>211853</v>
      </c>
      <c r="J3448" s="1" t="s">
        <v>28</v>
      </c>
      <c r="K3448" s="1" t="s">
        <v>28</v>
      </c>
      <c r="L3448" s="1" t="str">
        <f t="shared" si="645"/>
        <v>20220915</v>
      </c>
      <c r="M3448" s="1" t="str">
        <f>"213518"</f>
        <v>213518</v>
      </c>
      <c r="N3448" s="1" t="s">
        <v>52</v>
      </c>
      <c r="O3448" s="1" t="s">
        <v>52</v>
      </c>
      <c r="P3448" s="1" t="s">
        <v>55</v>
      </c>
      <c r="Q3448" s="1">
        <v>25</v>
      </c>
      <c r="R3448" s="1">
        <v>0</v>
      </c>
      <c r="S3448" s="1">
        <v>25</v>
      </c>
      <c r="T3448" s="1">
        <v>0</v>
      </c>
      <c r="U3448" s="1">
        <v>0</v>
      </c>
      <c r="V3448" s="1" t="str">
        <f>"里程去程"</f>
        <v>里程去程</v>
      </c>
      <c r="W3448" s="1" t="str">
        <f>"0620"</f>
        <v>0620</v>
      </c>
      <c r="X3448" s="1" t="s">
        <v>29</v>
      </c>
    </row>
    <row r="3449" spans="1:24" x14ac:dyDescent="0.3">
      <c r="A3449" s="1" t="str">
        <f t="shared" si="647"/>
        <v>59822</v>
      </c>
      <c r="B3449" s="1" t="s">
        <v>39</v>
      </c>
      <c r="C3449" s="1" t="s">
        <v>40</v>
      </c>
      <c r="D3449" s="1" t="str">
        <f t="shared" si="650"/>
        <v>9805</v>
      </c>
      <c r="E3449" s="1" t="s">
        <v>57</v>
      </c>
      <c r="F3449" s="1" t="str">
        <f>"1478557231"</f>
        <v>1478557231</v>
      </c>
      <c r="G3449" s="1" t="s">
        <v>33</v>
      </c>
      <c r="H3449" s="1" t="str">
        <f t="shared" si="649"/>
        <v>20220915</v>
      </c>
      <c r="I3449" s="1" t="str">
        <f>"213549"</f>
        <v>213549</v>
      </c>
      <c r="J3449" s="1" t="s">
        <v>52</v>
      </c>
      <c r="K3449" s="1" t="s">
        <v>52</v>
      </c>
      <c r="L3449" s="1" t="str">
        <f t="shared" si="645"/>
        <v>20220915</v>
      </c>
      <c r="M3449" s="1" t="str">
        <f>"215659"</f>
        <v>215659</v>
      </c>
      <c r="N3449" s="1" t="s">
        <v>28</v>
      </c>
      <c r="O3449" s="1" t="s">
        <v>28</v>
      </c>
      <c r="P3449" s="1" t="s">
        <v>55</v>
      </c>
      <c r="Q3449" s="1">
        <v>25</v>
      </c>
      <c r="R3449" s="1">
        <v>0</v>
      </c>
      <c r="S3449" s="1">
        <v>25</v>
      </c>
      <c r="T3449" s="1">
        <v>0</v>
      </c>
      <c r="U3449" s="1">
        <v>0</v>
      </c>
      <c r="V3449" s="1" t="str">
        <f t="shared" ref="V3449:V3455" si="651">"里程返程"</f>
        <v>里程返程</v>
      </c>
      <c r="W3449" s="1" t="str">
        <f>"2020"</f>
        <v>2020</v>
      </c>
      <c r="X3449" s="1" t="s">
        <v>35</v>
      </c>
    </row>
    <row r="3450" spans="1:24" x14ac:dyDescent="0.3">
      <c r="A3450" s="1" t="str">
        <f t="shared" si="647"/>
        <v>59822</v>
      </c>
      <c r="B3450" s="1" t="s">
        <v>39</v>
      </c>
      <c r="C3450" s="1" t="s">
        <v>40</v>
      </c>
      <c r="D3450" s="1" t="str">
        <f t="shared" si="650"/>
        <v>9805</v>
      </c>
      <c r="E3450" s="1" t="s">
        <v>57</v>
      </c>
      <c r="F3450" s="1" t="str">
        <f>"918822033888040043252B4B000F050F"</f>
        <v>918822033888040043252B4B000F050F</v>
      </c>
      <c r="G3450" s="1" t="s">
        <v>58</v>
      </c>
      <c r="H3450" s="1" t="str">
        <f t="shared" si="649"/>
        <v>20220915</v>
      </c>
      <c r="I3450" s="1" t="str">
        <f>"213551"</f>
        <v>213551</v>
      </c>
      <c r="J3450" s="1" t="s">
        <v>52</v>
      </c>
      <c r="K3450" s="1" t="s">
        <v>52</v>
      </c>
      <c r="L3450" s="1" t="str">
        <f t="shared" si="645"/>
        <v>20220915</v>
      </c>
      <c r="M3450" s="1" t="str">
        <f>"215652"</f>
        <v>215652</v>
      </c>
      <c r="N3450" s="1" t="s">
        <v>28</v>
      </c>
      <c r="O3450" s="1" t="s">
        <v>28</v>
      </c>
      <c r="P3450" s="1" t="s">
        <v>55</v>
      </c>
      <c r="Q3450" s="1">
        <v>25</v>
      </c>
      <c r="R3450" s="1">
        <v>0</v>
      </c>
      <c r="S3450" s="1">
        <v>25</v>
      </c>
      <c r="T3450" s="1">
        <v>0</v>
      </c>
      <c r="U3450" s="1">
        <v>0</v>
      </c>
      <c r="V3450" s="1" t="str">
        <f t="shared" si="651"/>
        <v>里程返程</v>
      </c>
      <c r="W3450" s="1" t="str">
        <f>"2020"</f>
        <v>2020</v>
      </c>
      <c r="X3450" s="1" t="s">
        <v>29</v>
      </c>
    </row>
    <row r="3451" spans="1:24" x14ac:dyDescent="0.3">
      <c r="A3451" s="1" t="str">
        <f t="shared" si="647"/>
        <v>59822</v>
      </c>
      <c r="B3451" s="1" t="s">
        <v>39</v>
      </c>
      <c r="C3451" s="1" t="s">
        <v>40</v>
      </c>
      <c r="D3451" s="1" t="str">
        <f t="shared" si="650"/>
        <v>9805</v>
      </c>
      <c r="E3451" s="1" t="s">
        <v>57</v>
      </c>
      <c r="F3451" s="1" t="str">
        <f>"994369333"</f>
        <v>994369333</v>
      </c>
      <c r="G3451" s="1" t="s">
        <v>26</v>
      </c>
      <c r="H3451" s="1" t="str">
        <f t="shared" si="649"/>
        <v>20220915</v>
      </c>
      <c r="I3451" s="1" t="str">
        <f>"213555"</f>
        <v>213555</v>
      </c>
      <c r="J3451" s="1" t="s">
        <v>52</v>
      </c>
      <c r="K3451" s="1" t="s">
        <v>52</v>
      </c>
      <c r="L3451" s="1" t="str">
        <f t="shared" si="645"/>
        <v>20220915</v>
      </c>
      <c r="M3451" s="1" t="str">
        <f>"215713"</f>
        <v>215713</v>
      </c>
      <c r="N3451" s="1" t="s">
        <v>28</v>
      </c>
      <c r="O3451" s="1" t="s">
        <v>28</v>
      </c>
      <c r="P3451" s="1" t="s">
        <v>55</v>
      </c>
      <c r="Q3451" s="1">
        <v>13</v>
      </c>
      <c r="R3451" s="1">
        <v>0</v>
      </c>
      <c r="S3451" s="1">
        <v>13</v>
      </c>
      <c r="T3451" s="1">
        <v>0</v>
      </c>
      <c r="U3451" s="1">
        <v>0</v>
      </c>
      <c r="V3451" s="1" t="str">
        <f t="shared" si="651"/>
        <v>里程返程</v>
      </c>
      <c r="W3451" s="1" t="str">
        <f>"2020"</f>
        <v>2020</v>
      </c>
      <c r="X3451" s="1" t="s">
        <v>35</v>
      </c>
    </row>
    <row r="3452" spans="1:24" x14ac:dyDescent="0.3">
      <c r="A3452" s="1" t="str">
        <f t="shared" si="647"/>
        <v>59822</v>
      </c>
      <c r="B3452" s="1" t="s">
        <v>39</v>
      </c>
      <c r="C3452" s="1" t="s">
        <v>40</v>
      </c>
      <c r="D3452" s="1" t="str">
        <f t="shared" si="650"/>
        <v>9805</v>
      </c>
      <c r="E3452" s="1" t="s">
        <v>57</v>
      </c>
      <c r="F3452" s="1" t="str">
        <f>"660993845"</f>
        <v>660993845</v>
      </c>
      <c r="G3452" s="1" t="s">
        <v>33</v>
      </c>
      <c r="H3452" s="1" t="str">
        <f t="shared" si="649"/>
        <v>20220915</v>
      </c>
      <c r="I3452" s="1" t="str">
        <f>"213600"</f>
        <v>213600</v>
      </c>
      <c r="J3452" s="1" t="s">
        <v>52</v>
      </c>
      <c r="K3452" s="1" t="s">
        <v>52</v>
      </c>
      <c r="L3452" s="1" t="str">
        <f t="shared" si="645"/>
        <v>20220915</v>
      </c>
      <c r="M3452" s="1" t="str">
        <f>"215717"</f>
        <v>215717</v>
      </c>
      <c r="N3452" s="1" t="s">
        <v>28</v>
      </c>
      <c r="O3452" s="1" t="s">
        <v>28</v>
      </c>
      <c r="P3452" s="1" t="s">
        <v>55</v>
      </c>
      <c r="Q3452" s="1">
        <v>25</v>
      </c>
      <c r="R3452" s="1">
        <v>0</v>
      </c>
      <c r="S3452" s="1">
        <v>25</v>
      </c>
      <c r="T3452" s="1">
        <v>0</v>
      </c>
      <c r="U3452" s="1">
        <v>0</v>
      </c>
      <c r="V3452" s="1" t="str">
        <f t="shared" si="651"/>
        <v>里程返程</v>
      </c>
      <c r="W3452" s="1" t="str">
        <f>"2020"</f>
        <v>2020</v>
      </c>
      <c r="X3452" s="1" t="s">
        <v>35</v>
      </c>
    </row>
    <row r="3453" spans="1:24" x14ac:dyDescent="0.3">
      <c r="A3453" s="1" t="str">
        <f t="shared" si="647"/>
        <v>59822</v>
      </c>
      <c r="B3453" s="1" t="s">
        <v>39</v>
      </c>
      <c r="C3453" s="1" t="s">
        <v>40</v>
      </c>
      <c r="D3453" s="1" t="str">
        <f t="shared" si="650"/>
        <v>9805</v>
      </c>
      <c r="E3453" s="1" t="s">
        <v>57</v>
      </c>
      <c r="F3453" s="1" t="str">
        <f>"3238479539"</f>
        <v>3238479539</v>
      </c>
      <c r="G3453" s="1" t="s">
        <v>33</v>
      </c>
      <c r="H3453" s="1" t="str">
        <f t="shared" si="649"/>
        <v>20220915</v>
      </c>
      <c r="I3453" s="1" t="str">
        <f>"213601"</f>
        <v>213601</v>
      </c>
      <c r="J3453" s="1" t="s">
        <v>52</v>
      </c>
      <c r="K3453" s="1" t="s">
        <v>52</v>
      </c>
      <c r="L3453" s="1" t="str">
        <f t="shared" si="645"/>
        <v>20220915</v>
      </c>
      <c r="M3453" s="1" t="str">
        <f>"215720"</f>
        <v>215720</v>
      </c>
      <c r="N3453" s="1" t="s">
        <v>28</v>
      </c>
      <c r="O3453" s="1" t="s">
        <v>28</v>
      </c>
      <c r="P3453" s="1" t="s">
        <v>55</v>
      </c>
      <c r="Q3453" s="1">
        <v>25</v>
      </c>
      <c r="R3453" s="1">
        <v>0</v>
      </c>
      <c r="S3453" s="1">
        <v>25</v>
      </c>
      <c r="T3453" s="1">
        <v>0</v>
      </c>
      <c r="U3453" s="1">
        <v>0</v>
      </c>
      <c r="V3453" s="1" t="str">
        <f t="shared" si="651"/>
        <v>里程返程</v>
      </c>
      <c r="W3453" s="1" t="str">
        <f>"2020"</f>
        <v>2020</v>
      </c>
      <c r="X3453" s="1" t="s">
        <v>35</v>
      </c>
    </row>
    <row r="3454" spans="1:24" x14ac:dyDescent="0.3">
      <c r="A3454" s="1" t="str">
        <f t="shared" si="647"/>
        <v>59822</v>
      </c>
      <c r="B3454" s="1" t="s">
        <v>39</v>
      </c>
      <c r="C3454" s="1" t="s">
        <v>40</v>
      </c>
      <c r="D3454" s="1" t="str">
        <f t="shared" si="650"/>
        <v>9805</v>
      </c>
      <c r="E3454" s="1" t="s">
        <v>57</v>
      </c>
      <c r="F3454" s="1" t="str">
        <f>"9517171004325742"</f>
        <v>9517171004325742</v>
      </c>
      <c r="G3454" s="1" t="s">
        <v>33</v>
      </c>
      <c r="H3454" s="1" t="str">
        <f t="shared" si="649"/>
        <v>20220915</v>
      </c>
      <c r="I3454" s="1" t="str">
        <f>"213606"</f>
        <v>213606</v>
      </c>
      <c r="J3454" s="1" t="s">
        <v>52</v>
      </c>
      <c r="K3454" s="1" t="s">
        <v>52</v>
      </c>
      <c r="L3454" s="1" t="str">
        <f t="shared" si="645"/>
        <v>20220915</v>
      </c>
      <c r="M3454" s="1" t="str">
        <f>"215655"</f>
        <v>215655</v>
      </c>
      <c r="N3454" s="1" t="s">
        <v>28</v>
      </c>
      <c r="O3454" s="1" t="s">
        <v>28</v>
      </c>
      <c r="P3454" s="1" t="s">
        <v>55</v>
      </c>
      <c r="Q3454" s="1">
        <v>25</v>
      </c>
      <c r="R3454" s="1">
        <v>0</v>
      </c>
      <c r="S3454" s="1">
        <v>25</v>
      </c>
      <c r="T3454" s="1">
        <v>0</v>
      </c>
      <c r="U3454" s="1">
        <v>0</v>
      </c>
      <c r="V3454" s="1" t="str">
        <f t="shared" si="651"/>
        <v>里程返程</v>
      </c>
      <c r="W3454" s="1" t="str">
        <f>"3B3B"</f>
        <v>3B3B</v>
      </c>
      <c r="X3454" s="1" t="s">
        <v>109</v>
      </c>
    </row>
    <row r="3455" spans="1:24" x14ac:dyDescent="0.3">
      <c r="A3455" s="1" t="str">
        <f t="shared" si="647"/>
        <v>59822</v>
      </c>
      <c r="B3455" s="1" t="s">
        <v>39</v>
      </c>
      <c r="C3455" s="1" t="s">
        <v>40</v>
      </c>
      <c r="D3455" s="1" t="str">
        <f t="shared" si="650"/>
        <v>9805</v>
      </c>
      <c r="E3455" s="1" t="s">
        <v>57</v>
      </c>
      <c r="F3455" s="1" t="str">
        <f>"57704897"</f>
        <v>57704897</v>
      </c>
      <c r="G3455" s="1" t="s">
        <v>33</v>
      </c>
      <c r="H3455" s="1" t="str">
        <f t="shared" si="649"/>
        <v>20220915</v>
      </c>
      <c r="I3455" s="1" t="str">
        <f>"213613"</f>
        <v>213613</v>
      </c>
      <c r="J3455" s="1" t="s">
        <v>52</v>
      </c>
      <c r="K3455" s="1" t="s">
        <v>52</v>
      </c>
      <c r="L3455" s="1" t="str">
        <f t="shared" si="645"/>
        <v>20220915</v>
      </c>
      <c r="M3455" s="1" t="str">
        <f>"215640"</f>
        <v>215640</v>
      </c>
      <c r="N3455" s="1" t="s">
        <v>28</v>
      </c>
      <c r="O3455" s="1" t="s">
        <v>28</v>
      </c>
      <c r="P3455" s="1" t="s">
        <v>55</v>
      </c>
      <c r="Q3455" s="1">
        <v>25</v>
      </c>
      <c r="R3455" s="1">
        <v>0</v>
      </c>
      <c r="S3455" s="1">
        <v>25</v>
      </c>
      <c r="T3455" s="1">
        <v>0</v>
      </c>
      <c r="U3455" s="1">
        <v>0</v>
      </c>
      <c r="V3455" s="1" t="str">
        <f t="shared" si="651"/>
        <v>里程返程</v>
      </c>
      <c r="W3455" s="1" t="str">
        <f>"2020"</f>
        <v>2020</v>
      </c>
      <c r="X3455" s="1" t="s">
        <v>35</v>
      </c>
    </row>
    <row r="3456" spans="1:24" x14ac:dyDescent="0.3">
      <c r="A3456" s="1" t="str">
        <f t="shared" si="647"/>
        <v>59822</v>
      </c>
      <c r="B3456" s="1" t="s">
        <v>39</v>
      </c>
      <c r="C3456" s="1" t="s">
        <v>40</v>
      </c>
      <c r="D3456" s="1" t="str">
        <f t="shared" si="650"/>
        <v>9805</v>
      </c>
      <c r="E3456" s="1" t="s">
        <v>57</v>
      </c>
      <c r="F3456" s="1" t="str">
        <f>"1260698869"</f>
        <v>1260698869</v>
      </c>
      <c r="G3456" s="1" t="s">
        <v>26</v>
      </c>
      <c r="H3456" s="1" t="str">
        <f t="shared" si="649"/>
        <v>20220915</v>
      </c>
      <c r="I3456" s="1" t="str">
        <f>"215743"</f>
        <v>215743</v>
      </c>
      <c r="J3456" s="1" t="s">
        <v>28</v>
      </c>
      <c r="K3456" s="1" t="s">
        <v>28</v>
      </c>
      <c r="L3456" s="1" t="str">
        <f t="shared" si="645"/>
        <v>20220915</v>
      </c>
      <c r="M3456" s="1" t="str">
        <f>"215749"</f>
        <v>215749</v>
      </c>
      <c r="N3456" s="1" t="s">
        <v>90</v>
      </c>
      <c r="O3456" s="1" t="s">
        <v>28</v>
      </c>
      <c r="P3456" s="1" t="s">
        <v>55</v>
      </c>
      <c r="Q3456" s="1">
        <v>13</v>
      </c>
      <c r="R3456" s="1">
        <v>0</v>
      </c>
      <c r="S3456" s="1">
        <v>13</v>
      </c>
      <c r="T3456" s="1">
        <v>0</v>
      </c>
      <c r="U3456" s="1">
        <v>0</v>
      </c>
      <c r="V3456" s="1" t="str">
        <f>"里程去程"</f>
        <v>里程去程</v>
      </c>
      <c r="W3456" s="1" t="str">
        <f>"2020"</f>
        <v>2020</v>
      </c>
      <c r="X3456" s="1" t="s">
        <v>35</v>
      </c>
    </row>
    <row r="3457" spans="1:24" x14ac:dyDescent="0.3">
      <c r="A3457" s="1" t="str">
        <f t="shared" ref="A3457:A3488" si="652">"59825"</f>
        <v>59825</v>
      </c>
      <c r="B3457" s="1" t="s">
        <v>30</v>
      </c>
      <c r="C3457" s="1" t="s">
        <v>31</v>
      </c>
      <c r="D3457" s="1" t="str">
        <f t="shared" ref="D3457:D3499" si="653">"9801"</f>
        <v>9801</v>
      </c>
      <c r="E3457" s="1" t="s">
        <v>25</v>
      </c>
      <c r="F3457" s="1" t="str">
        <f>"F29BD102BA880400C834002000000015"</f>
        <v>F29BD102BA880400C834002000000015</v>
      </c>
      <c r="G3457" s="1" t="s">
        <v>26</v>
      </c>
      <c r="H3457" s="1" t="str">
        <f t="shared" si="649"/>
        <v>20220915</v>
      </c>
      <c r="I3457" s="1" t="str">
        <f>"083355"</f>
        <v>083355</v>
      </c>
      <c r="J3457" s="1" t="s">
        <v>44</v>
      </c>
      <c r="K3457" s="1" t="s">
        <v>45</v>
      </c>
      <c r="L3457" s="1" t="str">
        <f t="shared" si="645"/>
        <v>20220915</v>
      </c>
      <c r="M3457" s="1" t="str">
        <f>"085636"</f>
        <v>085636</v>
      </c>
      <c r="N3457" s="1" t="s">
        <v>28</v>
      </c>
      <c r="O3457" s="1" t="s">
        <v>28</v>
      </c>
      <c r="P3457" s="1" t="s">
        <v>68</v>
      </c>
      <c r="Q3457" s="1">
        <v>13</v>
      </c>
      <c r="R3457" s="1">
        <v>0</v>
      </c>
      <c r="S3457" s="1">
        <v>0</v>
      </c>
      <c r="T3457" s="1">
        <v>13</v>
      </c>
      <c r="U3457" s="1">
        <v>0</v>
      </c>
      <c r="V3457" s="1" t="str">
        <f t="shared" ref="V3457:V3501" si="654">"里程返程"</f>
        <v>里程返程</v>
      </c>
      <c r="W3457" s="1" t="str">
        <f>"0020"</f>
        <v>0020</v>
      </c>
      <c r="X3457" s="1" t="s">
        <v>29</v>
      </c>
    </row>
    <row r="3458" spans="1:24" x14ac:dyDescent="0.3">
      <c r="A3458" s="1" t="str">
        <f t="shared" si="652"/>
        <v>59825</v>
      </c>
      <c r="B3458" s="1" t="s">
        <v>30</v>
      </c>
      <c r="C3458" s="1" t="s">
        <v>31</v>
      </c>
      <c r="D3458" s="1" t="str">
        <f t="shared" si="653"/>
        <v>9801</v>
      </c>
      <c r="E3458" s="1" t="s">
        <v>25</v>
      </c>
      <c r="F3458" s="1" t="str">
        <f>"03A6A9454988040048B994D749703809"</f>
        <v>03A6A9454988040048B994D749703809</v>
      </c>
      <c r="G3458" s="1" t="s">
        <v>64</v>
      </c>
      <c r="H3458" s="1" t="str">
        <f t="shared" si="649"/>
        <v>20220915</v>
      </c>
      <c r="I3458" s="1" t="str">
        <f>"085655"</f>
        <v>085655</v>
      </c>
      <c r="J3458" s="1" t="s">
        <v>28</v>
      </c>
      <c r="K3458" s="1" t="s">
        <v>28</v>
      </c>
      <c r="L3458" s="1" t="str">
        <f t="shared" si="645"/>
        <v>20220915</v>
      </c>
      <c r="M3458" s="1" t="str">
        <f>"090626"</f>
        <v>090626</v>
      </c>
      <c r="N3458" s="1" t="s">
        <v>78</v>
      </c>
      <c r="O3458" s="1" t="s">
        <v>52</v>
      </c>
      <c r="P3458" s="1" t="s">
        <v>55</v>
      </c>
      <c r="Q3458" s="1">
        <v>13</v>
      </c>
      <c r="R3458" s="1">
        <v>13</v>
      </c>
      <c r="S3458" s="1">
        <v>0</v>
      </c>
      <c r="T3458" s="1">
        <v>0</v>
      </c>
      <c r="U3458" s="1">
        <v>0</v>
      </c>
      <c r="V3458" s="1" t="str">
        <f t="shared" si="654"/>
        <v>里程返程</v>
      </c>
      <c r="W3458" s="1" t="str">
        <f>"0020"</f>
        <v>0020</v>
      </c>
      <c r="X3458" s="1" t="s">
        <v>29</v>
      </c>
    </row>
    <row r="3459" spans="1:24" x14ac:dyDescent="0.3">
      <c r="A3459" s="1" t="str">
        <f t="shared" si="652"/>
        <v>59825</v>
      </c>
      <c r="B3459" s="1" t="s">
        <v>30</v>
      </c>
      <c r="C3459" s="1" t="s">
        <v>31</v>
      </c>
      <c r="D3459" s="1" t="str">
        <f t="shared" si="653"/>
        <v>9801</v>
      </c>
      <c r="E3459" s="1" t="s">
        <v>25</v>
      </c>
      <c r="F3459" s="1" t="str">
        <f>"F2A9251967880400C821002000000019"</f>
        <v>F2A9251967880400C821002000000019</v>
      </c>
      <c r="G3459" s="1" t="s">
        <v>64</v>
      </c>
      <c r="H3459" s="1" t="str">
        <f t="shared" si="649"/>
        <v>20220915</v>
      </c>
      <c r="I3459" s="1" t="str">
        <f>"095521"</f>
        <v>095521</v>
      </c>
      <c r="J3459" s="1" t="s">
        <v>28</v>
      </c>
      <c r="K3459" s="1" t="s">
        <v>28</v>
      </c>
      <c r="L3459" s="1" t="str">
        <f t="shared" si="645"/>
        <v>20220915</v>
      </c>
      <c r="M3459" s="1" t="str">
        <f>"101401"</f>
        <v>101401</v>
      </c>
      <c r="N3459" s="1" t="s">
        <v>80</v>
      </c>
      <c r="O3459" s="1" t="s">
        <v>52</v>
      </c>
      <c r="P3459" s="1" t="s">
        <v>55</v>
      </c>
      <c r="Q3459" s="1">
        <v>13</v>
      </c>
      <c r="R3459" s="1">
        <v>0</v>
      </c>
      <c r="S3459" s="1">
        <v>13</v>
      </c>
      <c r="T3459" s="1">
        <v>0</v>
      </c>
      <c r="U3459" s="1">
        <v>0</v>
      </c>
      <c r="V3459" s="1" t="str">
        <f t="shared" si="654"/>
        <v>里程返程</v>
      </c>
      <c r="W3459" s="1" t="str">
        <f>"0620"</f>
        <v>0620</v>
      </c>
      <c r="X3459" s="1" t="s">
        <v>29</v>
      </c>
    </row>
    <row r="3460" spans="1:24" x14ac:dyDescent="0.3">
      <c r="A3460" s="1" t="str">
        <f t="shared" si="652"/>
        <v>59825</v>
      </c>
      <c r="B3460" s="1" t="s">
        <v>30</v>
      </c>
      <c r="C3460" s="1" t="s">
        <v>31</v>
      </c>
      <c r="D3460" s="1" t="str">
        <f t="shared" si="653"/>
        <v>9801</v>
      </c>
      <c r="E3460" s="1" t="s">
        <v>25</v>
      </c>
      <c r="F3460" s="1" t="str">
        <f>"59B2B61F428804004326A82E00010211"</f>
        <v>59B2B61F428804004326A82E00010211</v>
      </c>
      <c r="G3460" s="1" t="s">
        <v>26</v>
      </c>
      <c r="H3460" s="1" t="str">
        <f t="shared" si="649"/>
        <v>20220915</v>
      </c>
      <c r="I3460" s="1" t="str">
        <f>"095523"</f>
        <v>095523</v>
      </c>
      <c r="J3460" s="1" t="s">
        <v>28</v>
      </c>
      <c r="K3460" s="1" t="s">
        <v>28</v>
      </c>
      <c r="L3460" s="1" t="str">
        <f t="shared" si="645"/>
        <v>20220915</v>
      </c>
      <c r="M3460" s="1" t="str">
        <f>"102201"</f>
        <v>102201</v>
      </c>
      <c r="N3460" s="1" t="s">
        <v>60</v>
      </c>
      <c r="O3460" s="1" t="s">
        <v>52</v>
      </c>
      <c r="P3460" s="1" t="s">
        <v>55</v>
      </c>
      <c r="Q3460" s="1">
        <v>13</v>
      </c>
      <c r="R3460" s="1">
        <v>13</v>
      </c>
      <c r="S3460" s="1">
        <v>0</v>
      </c>
      <c r="T3460" s="1">
        <v>0</v>
      </c>
      <c r="U3460" s="1">
        <v>0</v>
      </c>
      <c r="V3460" s="1" t="str">
        <f t="shared" si="654"/>
        <v>里程返程</v>
      </c>
      <c r="W3460" s="1" t="str">
        <f>"0020"</f>
        <v>0020</v>
      </c>
      <c r="X3460" s="1" t="s">
        <v>29</v>
      </c>
    </row>
    <row r="3461" spans="1:24" x14ac:dyDescent="0.3">
      <c r="A3461" s="1" t="str">
        <f t="shared" si="652"/>
        <v>59825</v>
      </c>
      <c r="B3461" s="1" t="s">
        <v>30</v>
      </c>
      <c r="C3461" s="1" t="s">
        <v>31</v>
      </c>
      <c r="D3461" s="1" t="str">
        <f t="shared" si="653"/>
        <v>9801</v>
      </c>
      <c r="E3461" s="1" t="s">
        <v>25</v>
      </c>
      <c r="F3461" s="1" t="str">
        <f>"4229480221880400C821002000000015"</f>
        <v>4229480221880400C821002000000015</v>
      </c>
      <c r="G3461" s="1" t="s">
        <v>26</v>
      </c>
      <c r="H3461" s="1" t="str">
        <f t="shared" si="649"/>
        <v>20220915</v>
      </c>
      <c r="I3461" s="1" t="str">
        <f>"095530"</f>
        <v>095530</v>
      </c>
      <c r="J3461" s="1" t="s">
        <v>28</v>
      </c>
      <c r="K3461" s="1" t="s">
        <v>28</v>
      </c>
      <c r="L3461" s="1" t="str">
        <f t="shared" si="645"/>
        <v>20220915</v>
      </c>
      <c r="M3461" s="1" t="str">
        <f>"102159"</f>
        <v>102159</v>
      </c>
      <c r="N3461" s="1" t="s">
        <v>60</v>
      </c>
      <c r="O3461" s="1" t="s">
        <v>52</v>
      </c>
      <c r="P3461" s="1" t="s">
        <v>68</v>
      </c>
      <c r="Q3461" s="1">
        <v>13</v>
      </c>
      <c r="R3461" s="1">
        <v>0</v>
      </c>
      <c r="S3461" s="1">
        <v>0</v>
      </c>
      <c r="T3461" s="1">
        <v>13</v>
      </c>
      <c r="U3461" s="1">
        <v>0</v>
      </c>
      <c r="V3461" s="1" t="str">
        <f t="shared" si="654"/>
        <v>里程返程</v>
      </c>
      <c r="W3461" s="1" t="str">
        <f>"0020"</f>
        <v>0020</v>
      </c>
      <c r="X3461" s="1" t="s">
        <v>29</v>
      </c>
    </row>
    <row r="3462" spans="1:24" x14ac:dyDescent="0.3">
      <c r="A3462" s="1" t="str">
        <f t="shared" si="652"/>
        <v>59825</v>
      </c>
      <c r="B3462" s="1" t="s">
        <v>30</v>
      </c>
      <c r="C3462" s="1" t="s">
        <v>31</v>
      </c>
      <c r="D3462" s="1" t="str">
        <f t="shared" si="653"/>
        <v>9801</v>
      </c>
      <c r="E3462" s="1" t="s">
        <v>25</v>
      </c>
      <c r="F3462" s="1" t="str">
        <f>"285817872"</f>
        <v>285817872</v>
      </c>
      <c r="G3462" s="1" t="s">
        <v>33</v>
      </c>
      <c r="H3462" s="1" t="str">
        <f t="shared" si="649"/>
        <v>20220915</v>
      </c>
      <c r="I3462" s="1" t="str">
        <f>"095533"</f>
        <v>095533</v>
      </c>
      <c r="J3462" s="1" t="s">
        <v>28</v>
      </c>
      <c r="K3462" s="1" t="s">
        <v>28</v>
      </c>
      <c r="L3462" s="1" t="str">
        <f t="shared" si="645"/>
        <v>20220915</v>
      </c>
      <c r="M3462" s="1" t="str">
        <f>"102207"</f>
        <v>102207</v>
      </c>
      <c r="N3462" s="1" t="s">
        <v>60</v>
      </c>
      <c r="O3462" s="1" t="s">
        <v>52</v>
      </c>
      <c r="P3462" s="1" t="s">
        <v>55</v>
      </c>
      <c r="Q3462" s="1">
        <v>25</v>
      </c>
      <c r="R3462" s="1">
        <v>0</v>
      </c>
      <c r="S3462" s="1">
        <v>25</v>
      </c>
      <c r="T3462" s="1">
        <v>0</v>
      </c>
      <c r="U3462" s="1">
        <v>0</v>
      </c>
      <c r="V3462" s="1" t="str">
        <f t="shared" si="654"/>
        <v>里程返程</v>
      </c>
      <c r="W3462" s="1" t="str">
        <f>"0820"</f>
        <v>0820</v>
      </c>
      <c r="X3462" s="1" t="s">
        <v>35</v>
      </c>
    </row>
    <row r="3463" spans="1:24" x14ac:dyDescent="0.3">
      <c r="A3463" s="1" t="str">
        <f t="shared" si="652"/>
        <v>59825</v>
      </c>
      <c r="B3463" s="1" t="s">
        <v>30</v>
      </c>
      <c r="C3463" s="1" t="s">
        <v>31</v>
      </c>
      <c r="D3463" s="1" t="str">
        <f t="shared" si="653"/>
        <v>9801</v>
      </c>
      <c r="E3463" s="1" t="s">
        <v>25</v>
      </c>
      <c r="F3463" s="1" t="str">
        <f>"F25B1B03B1880400C834002000000015"</f>
        <v>F25B1B03B1880400C834002000000015</v>
      </c>
      <c r="G3463" s="1" t="s">
        <v>26</v>
      </c>
      <c r="H3463" s="1" t="str">
        <f t="shared" si="649"/>
        <v>20220915</v>
      </c>
      <c r="I3463" s="1" t="str">
        <f>"095537"</f>
        <v>095537</v>
      </c>
      <c r="J3463" s="1" t="s">
        <v>28</v>
      </c>
      <c r="K3463" s="1" t="s">
        <v>28</v>
      </c>
      <c r="L3463" s="1" t="str">
        <f t="shared" si="645"/>
        <v>20220915</v>
      </c>
      <c r="M3463" s="1" t="str">
        <f>"102204"</f>
        <v>102204</v>
      </c>
      <c r="N3463" s="1" t="s">
        <v>60</v>
      </c>
      <c r="O3463" s="1" t="s">
        <v>52</v>
      </c>
      <c r="P3463" s="1" t="s">
        <v>68</v>
      </c>
      <c r="Q3463" s="1">
        <v>13</v>
      </c>
      <c r="R3463" s="1">
        <v>0</v>
      </c>
      <c r="S3463" s="1">
        <v>0</v>
      </c>
      <c r="T3463" s="1">
        <v>13</v>
      </c>
      <c r="U3463" s="1">
        <v>0</v>
      </c>
      <c r="V3463" s="1" t="str">
        <f t="shared" si="654"/>
        <v>里程返程</v>
      </c>
      <c r="W3463" s="1" t="str">
        <f>"0020"</f>
        <v>0020</v>
      </c>
      <c r="X3463" s="1" t="s">
        <v>29</v>
      </c>
    </row>
    <row r="3464" spans="1:24" x14ac:dyDescent="0.3">
      <c r="A3464" s="1" t="str">
        <f t="shared" si="652"/>
        <v>59825</v>
      </c>
      <c r="B3464" s="1" t="s">
        <v>30</v>
      </c>
      <c r="C3464" s="1" t="s">
        <v>31</v>
      </c>
      <c r="D3464" s="1" t="str">
        <f t="shared" si="653"/>
        <v>9801</v>
      </c>
      <c r="E3464" s="1" t="s">
        <v>25</v>
      </c>
      <c r="F3464" s="1" t="str">
        <f>"3583368644"</f>
        <v>3583368644</v>
      </c>
      <c r="G3464" s="1" t="s">
        <v>33</v>
      </c>
      <c r="H3464" s="1" t="str">
        <f t="shared" si="649"/>
        <v>20220915</v>
      </c>
      <c r="I3464" s="1" t="str">
        <f>"100627"</f>
        <v>100627</v>
      </c>
      <c r="J3464" s="1" t="s">
        <v>67</v>
      </c>
      <c r="K3464" s="1" t="s">
        <v>52</v>
      </c>
      <c r="L3464" s="1" t="str">
        <f t="shared" si="645"/>
        <v>20220915</v>
      </c>
      <c r="M3464" s="1" t="str">
        <f>"101743"</f>
        <v>101743</v>
      </c>
      <c r="N3464" s="1" t="s">
        <v>65</v>
      </c>
      <c r="O3464" s="1" t="s">
        <v>52</v>
      </c>
      <c r="P3464" s="1" t="s">
        <v>55</v>
      </c>
      <c r="Q3464" s="1">
        <v>25</v>
      </c>
      <c r="R3464" s="1">
        <v>25</v>
      </c>
      <c r="S3464" s="1">
        <v>0</v>
      </c>
      <c r="T3464" s="1">
        <v>0</v>
      </c>
      <c r="U3464" s="1">
        <v>0</v>
      </c>
      <c r="V3464" s="1" t="str">
        <f t="shared" si="654"/>
        <v>里程返程</v>
      </c>
      <c r="W3464" s="1" t="str">
        <f>"0120"</f>
        <v>0120</v>
      </c>
      <c r="X3464" s="1" t="s">
        <v>35</v>
      </c>
    </row>
    <row r="3465" spans="1:24" x14ac:dyDescent="0.3">
      <c r="A3465" s="1" t="str">
        <f t="shared" si="652"/>
        <v>59825</v>
      </c>
      <c r="B3465" s="1" t="s">
        <v>30</v>
      </c>
      <c r="C3465" s="1" t="s">
        <v>31</v>
      </c>
      <c r="D3465" s="1" t="str">
        <f t="shared" si="653"/>
        <v>9801</v>
      </c>
      <c r="E3465" s="1" t="s">
        <v>25</v>
      </c>
      <c r="F3465" s="1" t="str">
        <f>"61B69A68252804001C00000000000000"</f>
        <v>61B69A68252804001C00000000000000</v>
      </c>
      <c r="G3465" s="1" t="s">
        <v>58</v>
      </c>
      <c r="H3465" s="1" t="str">
        <f t="shared" si="649"/>
        <v>20220915</v>
      </c>
      <c r="I3465" s="1" t="str">
        <f>"103713"</f>
        <v>103713</v>
      </c>
      <c r="J3465" s="1" t="s">
        <v>91</v>
      </c>
      <c r="K3465" s="1" t="s">
        <v>45</v>
      </c>
      <c r="L3465" s="1" t="str">
        <f t="shared" si="645"/>
        <v>20220915</v>
      </c>
      <c r="M3465" s="1" t="str">
        <f>"105412"</f>
        <v>105412</v>
      </c>
      <c r="N3465" s="1" t="s">
        <v>28</v>
      </c>
      <c r="O3465" s="1" t="s">
        <v>28</v>
      </c>
      <c r="P3465" s="1" t="s">
        <v>55</v>
      </c>
      <c r="Q3465" s="1">
        <v>25</v>
      </c>
      <c r="R3465" s="1">
        <v>25</v>
      </c>
      <c r="S3465" s="1">
        <v>0</v>
      </c>
      <c r="T3465" s="1">
        <v>0</v>
      </c>
      <c r="U3465" s="1">
        <v>0</v>
      </c>
      <c r="V3465" s="1" t="str">
        <f t="shared" si="654"/>
        <v>里程返程</v>
      </c>
      <c r="W3465" s="1" t="str">
        <f>"0020"</f>
        <v>0020</v>
      </c>
      <c r="X3465" s="1" t="s">
        <v>29</v>
      </c>
    </row>
    <row r="3466" spans="1:24" x14ac:dyDescent="0.3">
      <c r="A3466" s="1" t="str">
        <f t="shared" si="652"/>
        <v>59825</v>
      </c>
      <c r="B3466" s="1" t="s">
        <v>30</v>
      </c>
      <c r="C3466" s="1" t="s">
        <v>31</v>
      </c>
      <c r="D3466" s="1" t="str">
        <f t="shared" si="653"/>
        <v>9801</v>
      </c>
      <c r="E3466" s="1" t="s">
        <v>25</v>
      </c>
      <c r="F3466" s="1" t="str">
        <f>"1299757825"</f>
        <v>1299757825</v>
      </c>
      <c r="G3466" s="1" t="s">
        <v>26</v>
      </c>
      <c r="H3466" s="1" t="str">
        <f t="shared" si="649"/>
        <v>20220915</v>
      </c>
      <c r="I3466" s="1" t="str">
        <f>"104329"</f>
        <v>104329</v>
      </c>
      <c r="J3466" s="1" t="s">
        <v>45</v>
      </c>
      <c r="K3466" s="1" t="s">
        <v>45</v>
      </c>
      <c r="L3466" s="1" t="str">
        <f t="shared" si="645"/>
        <v>20220915</v>
      </c>
      <c r="M3466" s="1" t="str">
        <f>"105404"</f>
        <v>105404</v>
      </c>
      <c r="N3466" s="1" t="s">
        <v>28</v>
      </c>
      <c r="O3466" s="1" t="s">
        <v>28</v>
      </c>
      <c r="P3466" s="1" t="s">
        <v>55</v>
      </c>
      <c r="Q3466" s="1">
        <v>13</v>
      </c>
      <c r="R3466" s="1">
        <v>0</v>
      </c>
      <c r="S3466" s="1">
        <v>13</v>
      </c>
      <c r="T3466" s="1">
        <v>0</v>
      </c>
      <c r="U3466" s="1">
        <v>0</v>
      </c>
      <c r="V3466" s="1" t="str">
        <f t="shared" si="654"/>
        <v>里程返程</v>
      </c>
      <c r="W3466" s="1" t="str">
        <f t="shared" ref="W3466:W3476" si="655">"2020"</f>
        <v>2020</v>
      </c>
      <c r="X3466" s="1" t="s">
        <v>35</v>
      </c>
    </row>
    <row r="3467" spans="1:24" x14ac:dyDescent="0.3">
      <c r="A3467" s="1" t="str">
        <f t="shared" si="652"/>
        <v>59825</v>
      </c>
      <c r="B3467" s="1" t="s">
        <v>30</v>
      </c>
      <c r="C3467" s="1" t="s">
        <v>31</v>
      </c>
      <c r="D3467" s="1" t="str">
        <f t="shared" si="653"/>
        <v>9801</v>
      </c>
      <c r="E3467" s="1" t="s">
        <v>25</v>
      </c>
      <c r="F3467" s="1" t="str">
        <f>"752712385"</f>
        <v>752712385</v>
      </c>
      <c r="G3467" s="1" t="s">
        <v>26</v>
      </c>
      <c r="H3467" s="1" t="str">
        <f t="shared" si="649"/>
        <v>20220915</v>
      </c>
      <c r="I3467" s="1" t="str">
        <f>"104334"</f>
        <v>104334</v>
      </c>
      <c r="J3467" s="1" t="s">
        <v>45</v>
      </c>
      <c r="K3467" s="1" t="s">
        <v>45</v>
      </c>
      <c r="L3467" s="1" t="str">
        <f t="shared" si="645"/>
        <v>20220915</v>
      </c>
      <c r="M3467" s="1" t="str">
        <f>"105400"</f>
        <v>105400</v>
      </c>
      <c r="N3467" s="1" t="s">
        <v>28</v>
      </c>
      <c r="O3467" s="1" t="s">
        <v>28</v>
      </c>
      <c r="P3467" s="1" t="s">
        <v>55</v>
      </c>
      <c r="Q3467" s="1">
        <v>13</v>
      </c>
      <c r="R3467" s="1">
        <v>0</v>
      </c>
      <c r="S3467" s="1">
        <v>13</v>
      </c>
      <c r="T3467" s="1">
        <v>0</v>
      </c>
      <c r="U3467" s="1">
        <v>0</v>
      </c>
      <c r="V3467" s="1" t="str">
        <f t="shared" si="654"/>
        <v>里程返程</v>
      </c>
      <c r="W3467" s="1" t="str">
        <f t="shared" si="655"/>
        <v>2020</v>
      </c>
      <c r="X3467" s="1" t="s">
        <v>35</v>
      </c>
    </row>
    <row r="3468" spans="1:24" x14ac:dyDescent="0.3">
      <c r="A3468" s="1" t="str">
        <f t="shared" si="652"/>
        <v>59825</v>
      </c>
      <c r="B3468" s="1" t="s">
        <v>30</v>
      </c>
      <c r="C3468" s="1" t="s">
        <v>31</v>
      </c>
      <c r="D3468" s="1" t="str">
        <f t="shared" si="653"/>
        <v>9801</v>
      </c>
      <c r="E3468" s="1" t="s">
        <v>25</v>
      </c>
      <c r="F3468" s="1" t="str">
        <f>"310506065"</f>
        <v>310506065</v>
      </c>
      <c r="G3468" s="1" t="s">
        <v>26</v>
      </c>
      <c r="H3468" s="1" t="str">
        <f t="shared" si="649"/>
        <v>20220915</v>
      </c>
      <c r="I3468" s="1" t="str">
        <f>"104341"</f>
        <v>104341</v>
      </c>
      <c r="J3468" s="1" t="s">
        <v>45</v>
      </c>
      <c r="K3468" s="1" t="s">
        <v>45</v>
      </c>
      <c r="L3468" s="1" t="str">
        <f t="shared" si="645"/>
        <v>20220915</v>
      </c>
      <c r="M3468" s="1" t="str">
        <f>"105349"</f>
        <v>105349</v>
      </c>
      <c r="N3468" s="1" t="s">
        <v>28</v>
      </c>
      <c r="O3468" s="1" t="s">
        <v>28</v>
      </c>
      <c r="P3468" s="1" t="s">
        <v>55</v>
      </c>
      <c r="Q3468" s="1">
        <v>13</v>
      </c>
      <c r="R3468" s="1">
        <v>0</v>
      </c>
      <c r="S3468" s="1">
        <v>13</v>
      </c>
      <c r="T3468" s="1">
        <v>0</v>
      </c>
      <c r="U3468" s="1">
        <v>0</v>
      </c>
      <c r="V3468" s="1" t="str">
        <f t="shared" si="654"/>
        <v>里程返程</v>
      </c>
      <c r="W3468" s="1" t="str">
        <f t="shared" si="655"/>
        <v>2020</v>
      </c>
      <c r="X3468" s="1" t="s">
        <v>35</v>
      </c>
    </row>
    <row r="3469" spans="1:24" x14ac:dyDescent="0.3">
      <c r="A3469" s="1" t="str">
        <f t="shared" si="652"/>
        <v>59825</v>
      </c>
      <c r="B3469" s="1" t="s">
        <v>30</v>
      </c>
      <c r="C3469" s="1" t="s">
        <v>31</v>
      </c>
      <c r="D3469" s="1" t="str">
        <f t="shared" si="653"/>
        <v>9801</v>
      </c>
      <c r="E3469" s="1" t="s">
        <v>25</v>
      </c>
      <c r="F3469" s="1" t="str">
        <f>"253150351"</f>
        <v>253150351</v>
      </c>
      <c r="G3469" s="1" t="s">
        <v>26</v>
      </c>
      <c r="H3469" s="1" t="str">
        <f t="shared" si="649"/>
        <v>20220915</v>
      </c>
      <c r="I3469" s="1" t="str">
        <f>"104344"</f>
        <v>104344</v>
      </c>
      <c r="J3469" s="1" t="s">
        <v>45</v>
      </c>
      <c r="K3469" s="1" t="s">
        <v>45</v>
      </c>
      <c r="L3469" s="1" t="str">
        <f t="shared" si="645"/>
        <v>20220915</v>
      </c>
      <c r="M3469" s="1" t="str">
        <f>"105416"</f>
        <v>105416</v>
      </c>
      <c r="N3469" s="1" t="s">
        <v>28</v>
      </c>
      <c r="O3469" s="1" t="s">
        <v>28</v>
      </c>
      <c r="P3469" s="1" t="s">
        <v>55</v>
      </c>
      <c r="Q3469" s="1">
        <v>13</v>
      </c>
      <c r="R3469" s="1">
        <v>0</v>
      </c>
      <c r="S3469" s="1">
        <v>13</v>
      </c>
      <c r="T3469" s="1">
        <v>0</v>
      </c>
      <c r="U3469" s="1">
        <v>0</v>
      </c>
      <c r="V3469" s="1" t="str">
        <f t="shared" si="654"/>
        <v>里程返程</v>
      </c>
      <c r="W3469" s="1" t="str">
        <f t="shared" si="655"/>
        <v>2020</v>
      </c>
      <c r="X3469" s="1" t="s">
        <v>35</v>
      </c>
    </row>
    <row r="3470" spans="1:24" x14ac:dyDescent="0.3">
      <c r="A3470" s="1" t="str">
        <f t="shared" si="652"/>
        <v>59825</v>
      </c>
      <c r="B3470" s="1" t="s">
        <v>30</v>
      </c>
      <c r="C3470" s="1" t="s">
        <v>31</v>
      </c>
      <c r="D3470" s="1" t="str">
        <f t="shared" si="653"/>
        <v>9801</v>
      </c>
      <c r="E3470" s="1" t="s">
        <v>25</v>
      </c>
      <c r="F3470" s="1" t="str">
        <f>"941870693"</f>
        <v>941870693</v>
      </c>
      <c r="G3470" s="1" t="s">
        <v>26</v>
      </c>
      <c r="H3470" s="1" t="str">
        <f t="shared" si="649"/>
        <v>20220915</v>
      </c>
      <c r="I3470" s="1" t="str">
        <f>"104347"</f>
        <v>104347</v>
      </c>
      <c r="J3470" s="1" t="s">
        <v>45</v>
      </c>
      <c r="K3470" s="1" t="s">
        <v>45</v>
      </c>
      <c r="L3470" s="1" t="str">
        <f t="shared" si="645"/>
        <v>20220915</v>
      </c>
      <c r="M3470" s="1" t="str">
        <f>"105357"</f>
        <v>105357</v>
      </c>
      <c r="N3470" s="1" t="s">
        <v>28</v>
      </c>
      <c r="O3470" s="1" t="s">
        <v>28</v>
      </c>
      <c r="P3470" s="1" t="s">
        <v>55</v>
      </c>
      <c r="Q3470" s="1">
        <v>13</v>
      </c>
      <c r="R3470" s="1">
        <v>0</v>
      </c>
      <c r="S3470" s="1">
        <v>13</v>
      </c>
      <c r="T3470" s="1">
        <v>0</v>
      </c>
      <c r="U3470" s="1">
        <v>0</v>
      </c>
      <c r="V3470" s="1" t="str">
        <f t="shared" si="654"/>
        <v>里程返程</v>
      </c>
      <c r="W3470" s="1" t="str">
        <f t="shared" si="655"/>
        <v>2020</v>
      </c>
      <c r="X3470" s="1" t="s">
        <v>35</v>
      </c>
    </row>
    <row r="3471" spans="1:24" x14ac:dyDescent="0.3">
      <c r="A3471" s="1" t="str">
        <f t="shared" si="652"/>
        <v>59825</v>
      </c>
      <c r="B3471" s="1" t="s">
        <v>30</v>
      </c>
      <c r="C3471" s="1" t="s">
        <v>31</v>
      </c>
      <c r="D3471" s="1" t="str">
        <f t="shared" si="653"/>
        <v>9801</v>
      </c>
      <c r="E3471" s="1" t="s">
        <v>25</v>
      </c>
      <c r="F3471" s="1" t="str">
        <f>"1600834117"</f>
        <v>1600834117</v>
      </c>
      <c r="G3471" s="1" t="s">
        <v>26</v>
      </c>
      <c r="H3471" s="1" t="str">
        <f t="shared" si="649"/>
        <v>20220915</v>
      </c>
      <c r="I3471" s="1" t="str">
        <f>"104351"</f>
        <v>104351</v>
      </c>
      <c r="J3471" s="1" t="s">
        <v>45</v>
      </c>
      <c r="K3471" s="1" t="s">
        <v>45</v>
      </c>
      <c r="L3471" s="1" t="str">
        <f t="shared" si="645"/>
        <v>20220915</v>
      </c>
      <c r="M3471" s="1" t="str">
        <f>"105354"</f>
        <v>105354</v>
      </c>
      <c r="N3471" s="1" t="s">
        <v>28</v>
      </c>
      <c r="O3471" s="1" t="s">
        <v>28</v>
      </c>
      <c r="P3471" s="1" t="s">
        <v>55</v>
      </c>
      <c r="Q3471" s="1">
        <v>13</v>
      </c>
      <c r="R3471" s="1">
        <v>0</v>
      </c>
      <c r="S3471" s="1">
        <v>13</v>
      </c>
      <c r="T3471" s="1">
        <v>0</v>
      </c>
      <c r="U3471" s="1">
        <v>0</v>
      </c>
      <c r="V3471" s="1" t="str">
        <f t="shared" si="654"/>
        <v>里程返程</v>
      </c>
      <c r="W3471" s="1" t="str">
        <f t="shared" si="655"/>
        <v>2020</v>
      </c>
      <c r="X3471" s="1" t="s">
        <v>35</v>
      </c>
    </row>
    <row r="3472" spans="1:24" x14ac:dyDescent="0.3">
      <c r="A3472" s="1" t="str">
        <f t="shared" si="652"/>
        <v>59825</v>
      </c>
      <c r="B3472" s="1" t="s">
        <v>30</v>
      </c>
      <c r="C3472" s="1" t="s">
        <v>31</v>
      </c>
      <c r="D3472" s="1" t="str">
        <f t="shared" si="653"/>
        <v>9801</v>
      </c>
      <c r="E3472" s="1" t="s">
        <v>25</v>
      </c>
      <c r="F3472" s="1" t="str">
        <f>"1610786853"</f>
        <v>1610786853</v>
      </c>
      <c r="G3472" s="1" t="s">
        <v>26</v>
      </c>
      <c r="H3472" s="1" t="str">
        <f t="shared" si="649"/>
        <v>20220915</v>
      </c>
      <c r="I3472" s="1" t="str">
        <f>"104355"</f>
        <v>104355</v>
      </c>
      <c r="J3472" s="1" t="s">
        <v>45</v>
      </c>
      <c r="K3472" s="1" t="s">
        <v>45</v>
      </c>
      <c r="L3472" s="1" t="str">
        <f t="shared" si="645"/>
        <v>20220915</v>
      </c>
      <c r="M3472" s="1" t="str">
        <f>"105348"</f>
        <v>105348</v>
      </c>
      <c r="N3472" s="1" t="s">
        <v>28</v>
      </c>
      <c r="O3472" s="1" t="s">
        <v>28</v>
      </c>
      <c r="P3472" s="1" t="s">
        <v>55</v>
      </c>
      <c r="Q3472" s="1">
        <v>13</v>
      </c>
      <c r="R3472" s="1">
        <v>0</v>
      </c>
      <c r="S3472" s="1">
        <v>13</v>
      </c>
      <c r="T3472" s="1">
        <v>0</v>
      </c>
      <c r="U3472" s="1">
        <v>0</v>
      </c>
      <c r="V3472" s="1" t="str">
        <f t="shared" si="654"/>
        <v>里程返程</v>
      </c>
      <c r="W3472" s="1" t="str">
        <f t="shared" si="655"/>
        <v>2020</v>
      </c>
      <c r="X3472" s="1" t="s">
        <v>35</v>
      </c>
    </row>
    <row r="3473" spans="1:24" x14ac:dyDescent="0.3">
      <c r="A3473" s="1" t="str">
        <f t="shared" si="652"/>
        <v>59825</v>
      </c>
      <c r="B3473" s="1" t="s">
        <v>30</v>
      </c>
      <c r="C3473" s="1" t="s">
        <v>31</v>
      </c>
      <c r="D3473" s="1" t="str">
        <f t="shared" si="653"/>
        <v>9801</v>
      </c>
      <c r="E3473" s="1" t="s">
        <v>25</v>
      </c>
      <c r="F3473" s="1" t="str">
        <f>"2100974762"</f>
        <v>2100974762</v>
      </c>
      <c r="G3473" s="1" t="s">
        <v>33</v>
      </c>
      <c r="H3473" s="1" t="str">
        <f t="shared" si="649"/>
        <v>20220915</v>
      </c>
      <c r="I3473" s="1" t="str">
        <f>"104359"</f>
        <v>104359</v>
      </c>
      <c r="J3473" s="1" t="s">
        <v>45</v>
      </c>
      <c r="K3473" s="1" t="s">
        <v>45</v>
      </c>
      <c r="L3473" s="1" t="str">
        <f t="shared" si="645"/>
        <v>20220915</v>
      </c>
      <c r="M3473" s="1" t="str">
        <f>"105407"</f>
        <v>105407</v>
      </c>
      <c r="N3473" s="1" t="s">
        <v>28</v>
      </c>
      <c r="O3473" s="1" t="s">
        <v>28</v>
      </c>
      <c r="P3473" s="1" t="s">
        <v>55</v>
      </c>
      <c r="Q3473" s="1">
        <v>25</v>
      </c>
      <c r="R3473" s="1">
        <v>0</v>
      </c>
      <c r="S3473" s="1">
        <v>25</v>
      </c>
      <c r="T3473" s="1">
        <v>0</v>
      </c>
      <c r="U3473" s="1">
        <v>0</v>
      </c>
      <c r="V3473" s="1" t="str">
        <f t="shared" si="654"/>
        <v>里程返程</v>
      </c>
      <c r="W3473" s="1" t="str">
        <f t="shared" si="655"/>
        <v>2020</v>
      </c>
      <c r="X3473" s="1" t="s">
        <v>35</v>
      </c>
    </row>
    <row r="3474" spans="1:24" x14ac:dyDescent="0.3">
      <c r="A3474" s="1" t="str">
        <f t="shared" si="652"/>
        <v>59825</v>
      </c>
      <c r="B3474" s="1" t="s">
        <v>30</v>
      </c>
      <c r="C3474" s="1" t="s">
        <v>31</v>
      </c>
      <c r="D3474" s="1" t="str">
        <f t="shared" si="653"/>
        <v>9801</v>
      </c>
      <c r="E3474" s="1" t="s">
        <v>25</v>
      </c>
      <c r="F3474" s="1" t="str">
        <f>"1641380389"</f>
        <v>1641380389</v>
      </c>
      <c r="G3474" s="1" t="s">
        <v>26</v>
      </c>
      <c r="H3474" s="1" t="str">
        <f t="shared" si="649"/>
        <v>20220915</v>
      </c>
      <c r="I3474" s="1" t="str">
        <f>"104402"</f>
        <v>104402</v>
      </c>
      <c r="J3474" s="1" t="s">
        <v>45</v>
      </c>
      <c r="K3474" s="1" t="s">
        <v>45</v>
      </c>
      <c r="L3474" s="1" t="str">
        <f t="shared" si="645"/>
        <v>20220915</v>
      </c>
      <c r="M3474" s="1" t="str">
        <f>"105410"</f>
        <v>105410</v>
      </c>
      <c r="N3474" s="1" t="s">
        <v>28</v>
      </c>
      <c r="O3474" s="1" t="s">
        <v>28</v>
      </c>
      <c r="P3474" s="1" t="s">
        <v>55</v>
      </c>
      <c r="Q3474" s="1">
        <v>13</v>
      </c>
      <c r="R3474" s="1">
        <v>0</v>
      </c>
      <c r="S3474" s="1">
        <v>13</v>
      </c>
      <c r="T3474" s="1">
        <v>0</v>
      </c>
      <c r="U3474" s="1">
        <v>0</v>
      </c>
      <c r="V3474" s="1" t="str">
        <f t="shared" si="654"/>
        <v>里程返程</v>
      </c>
      <c r="W3474" s="1" t="str">
        <f t="shared" si="655"/>
        <v>2020</v>
      </c>
      <c r="X3474" s="1" t="s">
        <v>35</v>
      </c>
    </row>
    <row r="3475" spans="1:24" x14ac:dyDescent="0.3">
      <c r="A3475" s="1" t="str">
        <f t="shared" si="652"/>
        <v>59825</v>
      </c>
      <c r="B3475" s="1" t="s">
        <v>30</v>
      </c>
      <c r="C3475" s="1" t="s">
        <v>31</v>
      </c>
      <c r="D3475" s="1" t="str">
        <f t="shared" si="653"/>
        <v>9801</v>
      </c>
      <c r="E3475" s="1" t="s">
        <v>25</v>
      </c>
      <c r="F3475" s="1" t="str">
        <f>"1175059989"</f>
        <v>1175059989</v>
      </c>
      <c r="G3475" s="1" t="s">
        <v>26</v>
      </c>
      <c r="H3475" s="1" t="str">
        <f t="shared" si="649"/>
        <v>20220915</v>
      </c>
      <c r="I3475" s="1" t="str">
        <f>"104409"</f>
        <v>104409</v>
      </c>
      <c r="J3475" s="1" t="s">
        <v>45</v>
      </c>
      <c r="K3475" s="1" t="s">
        <v>45</v>
      </c>
      <c r="L3475" s="1" t="str">
        <f t="shared" si="645"/>
        <v>20220915</v>
      </c>
      <c r="M3475" s="1" t="str">
        <f>"105424"</f>
        <v>105424</v>
      </c>
      <c r="N3475" s="1" t="s">
        <v>28</v>
      </c>
      <c r="O3475" s="1" t="s">
        <v>28</v>
      </c>
      <c r="P3475" s="1" t="s">
        <v>55</v>
      </c>
      <c r="Q3475" s="1">
        <v>13</v>
      </c>
      <c r="R3475" s="1">
        <v>0</v>
      </c>
      <c r="S3475" s="1">
        <v>13</v>
      </c>
      <c r="T3475" s="1">
        <v>0</v>
      </c>
      <c r="U3475" s="1">
        <v>0</v>
      </c>
      <c r="V3475" s="1" t="str">
        <f t="shared" si="654"/>
        <v>里程返程</v>
      </c>
      <c r="W3475" s="1" t="str">
        <f t="shared" si="655"/>
        <v>2020</v>
      </c>
      <c r="X3475" s="1" t="s">
        <v>35</v>
      </c>
    </row>
    <row r="3476" spans="1:24" x14ac:dyDescent="0.3">
      <c r="A3476" s="1" t="str">
        <f t="shared" si="652"/>
        <v>59825</v>
      </c>
      <c r="B3476" s="1" t="s">
        <v>30</v>
      </c>
      <c r="C3476" s="1" t="s">
        <v>31</v>
      </c>
      <c r="D3476" s="1" t="str">
        <f t="shared" si="653"/>
        <v>9801</v>
      </c>
      <c r="E3476" s="1" t="s">
        <v>25</v>
      </c>
      <c r="F3476" s="1" t="str">
        <f>"800318963"</f>
        <v>800318963</v>
      </c>
      <c r="G3476" s="1" t="s">
        <v>33</v>
      </c>
      <c r="H3476" s="1" t="str">
        <f t="shared" si="649"/>
        <v>20220915</v>
      </c>
      <c r="I3476" s="1" t="str">
        <f>"104412"</f>
        <v>104412</v>
      </c>
      <c r="J3476" s="1" t="s">
        <v>45</v>
      </c>
      <c r="K3476" s="1" t="s">
        <v>45</v>
      </c>
      <c r="L3476" s="1" t="str">
        <f t="shared" ref="L3476:L3539" si="656">"20220915"</f>
        <v>20220915</v>
      </c>
      <c r="M3476" s="1" t="str">
        <f>"105419"</f>
        <v>105419</v>
      </c>
      <c r="N3476" s="1" t="s">
        <v>28</v>
      </c>
      <c r="O3476" s="1" t="s">
        <v>28</v>
      </c>
      <c r="P3476" s="1" t="s">
        <v>55</v>
      </c>
      <c r="Q3476" s="1">
        <v>25</v>
      </c>
      <c r="R3476" s="1">
        <v>0</v>
      </c>
      <c r="S3476" s="1">
        <v>25</v>
      </c>
      <c r="T3476" s="1">
        <v>0</v>
      </c>
      <c r="U3476" s="1">
        <v>0</v>
      </c>
      <c r="V3476" s="1" t="str">
        <f t="shared" si="654"/>
        <v>里程返程</v>
      </c>
      <c r="W3476" s="1" t="str">
        <f t="shared" si="655"/>
        <v>2020</v>
      </c>
      <c r="X3476" s="1" t="s">
        <v>35</v>
      </c>
    </row>
    <row r="3477" spans="1:24" x14ac:dyDescent="0.3">
      <c r="A3477" s="1" t="str">
        <f t="shared" si="652"/>
        <v>59825</v>
      </c>
      <c r="B3477" s="1" t="s">
        <v>30</v>
      </c>
      <c r="C3477" s="1" t="s">
        <v>31</v>
      </c>
      <c r="D3477" s="1" t="str">
        <f t="shared" si="653"/>
        <v>9801</v>
      </c>
      <c r="E3477" s="1" t="s">
        <v>25</v>
      </c>
      <c r="F3477" s="1" t="str">
        <f>"1041775765"</f>
        <v>1041775765</v>
      </c>
      <c r="G3477" s="1" t="s">
        <v>26</v>
      </c>
      <c r="H3477" s="1" t="str">
        <f t="shared" si="649"/>
        <v>20220915</v>
      </c>
      <c r="I3477" s="1" t="str">
        <f>"105444"</f>
        <v>105444</v>
      </c>
      <c r="J3477" s="1" t="s">
        <v>28</v>
      </c>
      <c r="K3477" s="1" t="s">
        <v>28</v>
      </c>
      <c r="L3477" s="1" t="str">
        <f t="shared" si="656"/>
        <v>20220915</v>
      </c>
      <c r="M3477" s="1" t="str">
        <f>"111525"</f>
        <v>111525</v>
      </c>
      <c r="N3477" s="1" t="s">
        <v>65</v>
      </c>
      <c r="O3477" s="1" t="s">
        <v>52</v>
      </c>
      <c r="P3477" s="1" t="s">
        <v>55</v>
      </c>
      <c r="Q3477" s="1">
        <v>13</v>
      </c>
      <c r="R3477" s="1">
        <v>13</v>
      </c>
      <c r="S3477" s="1">
        <v>0</v>
      </c>
      <c r="T3477" s="1">
        <v>0</v>
      </c>
      <c r="U3477" s="1">
        <v>0</v>
      </c>
      <c r="V3477" s="1" t="str">
        <f t="shared" si="654"/>
        <v>里程返程</v>
      </c>
      <c r="W3477" s="1" t="str">
        <f>"0120"</f>
        <v>0120</v>
      </c>
      <c r="X3477" s="1" t="s">
        <v>35</v>
      </c>
    </row>
    <row r="3478" spans="1:24" x14ac:dyDescent="0.3">
      <c r="A3478" s="1" t="str">
        <f t="shared" si="652"/>
        <v>59825</v>
      </c>
      <c r="B3478" s="1" t="s">
        <v>30</v>
      </c>
      <c r="C3478" s="1" t="s">
        <v>31</v>
      </c>
      <c r="D3478" s="1" t="str">
        <f t="shared" si="653"/>
        <v>9801</v>
      </c>
      <c r="E3478" s="1" t="s">
        <v>25</v>
      </c>
      <c r="F3478" s="1" t="str">
        <f>"E213BD024E880400C834002000000015"</f>
        <v>E213BD024E880400C834002000000015</v>
      </c>
      <c r="G3478" s="1" t="s">
        <v>74</v>
      </c>
      <c r="H3478" s="1" t="str">
        <f t="shared" si="649"/>
        <v>20220915</v>
      </c>
      <c r="I3478" s="1" t="str">
        <f>"105450"</f>
        <v>105450</v>
      </c>
      <c r="J3478" s="1" t="s">
        <v>28</v>
      </c>
      <c r="K3478" s="1" t="s">
        <v>28</v>
      </c>
      <c r="L3478" s="1" t="str">
        <f t="shared" si="656"/>
        <v>20220915</v>
      </c>
      <c r="M3478" s="1" t="str">
        <f>"111543"</f>
        <v>111543</v>
      </c>
      <c r="N3478" s="1" t="s">
        <v>72</v>
      </c>
      <c r="O3478" s="1" t="s">
        <v>52</v>
      </c>
      <c r="P3478" s="1" t="s">
        <v>68</v>
      </c>
      <c r="Q3478" s="1">
        <v>13</v>
      </c>
      <c r="R3478" s="1">
        <v>0</v>
      </c>
      <c r="S3478" s="1">
        <v>0</v>
      </c>
      <c r="T3478" s="1">
        <v>13</v>
      </c>
      <c r="U3478" s="1">
        <v>0</v>
      </c>
      <c r="V3478" s="1" t="str">
        <f t="shared" si="654"/>
        <v>里程返程</v>
      </c>
      <c r="W3478" s="1" t="str">
        <f>"0020"</f>
        <v>0020</v>
      </c>
      <c r="X3478" s="1" t="s">
        <v>29</v>
      </c>
    </row>
    <row r="3479" spans="1:24" x14ac:dyDescent="0.3">
      <c r="A3479" s="1" t="str">
        <f t="shared" si="652"/>
        <v>59825</v>
      </c>
      <c r="B3479" s="1" t="s">
        <v>30</v>
      </c>
      <c r="C3479" s="1" t="s">
        <v>31</v>
      </c>
      <c r="D3479" s="1" t="str">
        <f t="shared" si="653"/>
        <v>9801</v>
      </c>
      <c r="E3479" s="1" t="s">
        <v>25</v>
      </c>
      <c r="F3479" s="1" t="str">
        <f>"728F1418F1880400C814002000000019"</f>
        <v>728F1418F1880400C814002000000019</v>
      </c>
      <c r="G3479" s="1" t="s">
        <v>64</v>
      </c>
      <c r="H3479" s="1" t="str">
        <f t="shared" si="649"/>
        <v>20220915</v>
      </c>
      <c r="I3479" s="1" t="str">
        <f>"113024"</f>
        <v>113024</v>
      </c>
      <c r="J3479" s="1" t="s">
        <v>44</v>
      </c>
      <c r="K3479" s="1" t="s">
        <v>45</v>
      </c>
      <c r="L3479" s="1" t="str">
        <f t="shared" si="656"/>
        <v>20220915</v>
      </c>
      <c r="M3479" s="1" t="str">
        <f>"120634"</f>
        <v>120634</v>
      </c>
      <c r="N3479" s="1" t="s">
        <v>83</v>
      </c>
      <c r="O3479" s="1" t="s">
        <v>52</v>
      </c>
      <c r="P3479" s="1" t="s">
        <v>55</v>
      </c>
      <c r="Q3479" s="1">
        <v>25</v>
      </c>
      <c r="R3479" s="1">
        <v>12</v>
      </c>
      <c r="S3479" s="1">
        <v>13</v>
      </c>
      <c r="T3479" s="1">
        <v>0</v>
      </c>
      <c r="U3479" s="1">
        <v>0</v>
      </c>
      <c r="V3479" s="1" t="str">
        <f t="shared" si="654"/>
        <v>里程返程</v>
      </c>
      <c r="W3479" s="1" t="str">
        <f>"1120"</f>
        <v>1120</v>
      </c>
      <c r="X3479" s="1" t="s">
        <v>29</v>
      </c>
    </row>
    <row r="3480" spans="1:24" x14ac:dyDescent="0.3">
      <c r="A3480" s="1" t="str">
        <f t="shared" si="652"/>
        <v>59825</v>
      </c>
      <c r="B3480" s="1" t="s">
        <v>30</v>
      </c>
      <c r="C3480" s="1" t="s">
        <v>31</v>
      </c>
      <c r="D3480" s="1" t="str">
        <f t="shared" si="653"/>
        <v>9801</v>
      </c>
      <c r="E3480" s="1" t="s">
        <v>25</v>
      </c>
      <c r="F3480" s="1" t="str">
        <f>"917A1600FD8804004324714D0002080E"</f>
        <v>917A1600FD8804004324714D0002080E</v>
      </c>
      <c r="G3480" s="1" t="s">
        <v>64</v>
      </c>
      <c r="H3480" s="1" t="str">
        <f t="shared" si="649"/>
        <v>20220915</v>
      </c>
      <c r="I3480" s="1" t="str">
        <f>"113026"</f>
        <v>113026</v>
      </c>
      <c r="J3480" s="1" t="s">
        <v>44</v>
      </c>
      <c r="K3480" s="1" t="s">
        <v>45</v>
      </c>
      <c r="L3480" s="1" t="str">
        <f t="shared" si="656"/>
        <v>20220915</v>
      </c>
      <c r="M3480" s="1" t="str">
        <f>"120644"</f>
        <v>120644</v>
      </c>
      <c r="N3480" s="1" t="s">
        <v>83</v>
      </c>
      <c r="O3480" s="1" t="s">
        <v>52</v>
      </c>
      <c r="P3480" s="1" t="s">
        <v>55</v>
      </c>
      <c r="Q3480" s="1">
        <v>25</v>
      </c>
      <c r="R3480" s="1">
        <v>12</v>
      </c>
      <c r="S3480" s="1">
        <v>13</v>
      </c>
      <c r="T3480" s="1">
        <v>0</v>
      </c>
      <c r="U3480" s="1">
        <v>0</v>
      </c>
      <c r="V3480" s="1" t="str">
        <f t="shared" si="654"/>
        <v>里程返程</v>
      </c>
      <c r="W3480" s="1" t="str">
        <f>"1120"</f>
        <v>1120</v>
      </c>
      <c r="X3480" s="1" t="s">
        <v>29</v>
      </c>
    </row>
    <row r="3481" spans="1:24" x14ac:dyDescent="0.3">
      <c r="A3481" s="1" t="str">
        <f t="shared" si="652"/>
        <v>59825</v>
      </c>
      <c r="B3481" s="1" t="s">
        <v>30</v>
      </c>
      <c r="C3481" s="1" t="s">
        <v>31</v>
      </c>
      <c r="D3481" s="1" t="str">
        <f t="shared" si="653"/>
        <v>9801</v>
      </c>
      <c r="E3481" s="1" t="s">
        <v>25</v>
      </c>
      <c r="F3481" s="1" t="str">
        <f>"D1799B00338804004324714D0018080E"</f>
        <v>D1799B00338804004324714D0018080E</v>
      </c>
      <c r="G3481" s="1" t="s">
        <v>58</v>
      </c>
      <c r="H3481" s="1" t="str">
        <f t="shared" si="649"/>
        <v>20220915</v>
      </c>
      <c r="I3481" s="1" t="str">
        <f>"115452"</f>
        <v>115452</v>
      </c>
      <c r="J3481" s="1" t="s">
        <v>28</v>
      </c>
      <c r="K3481" s="1" t="s">
        <v>28</v>
      </c>
      <c r="L3481" s="1" t="str">
        <f t="shared" si="656"/>
        <v>20220915</v>
      </c>
      <c r="M3481" s="1" t="str">
        <f>"123155"</f>
        <v>123155</v>
      </c>
      <c r="N3481" s="1" t="s">
        <v>52</v>
      </c>
      <c r="O3481" s="1" t="s">
        <v>52</v>
      </c>
      <c r="P3481" s="1" t="s">
        <v>55</v>
      </c>
      <c r="Q3481" s="1">
        <v>25</v>
      </c>
      <c r="R3481" s="1">
        <v>0</v>
      </c>
      <c r="S3481" s="1">
        <v>25</v>
      </c>
      <c r="T3481" s="1">
        <v>0</v>
      </c>
      <c r="U3481" s="1">
        <v>0</v>
      </c>
      <c r="V3481" s="1" t="str">
        <f t="shared" si="654"/>
        <v>里程返程</v>
      </c>
      <c r="W3481" s="1" t="str">
        <f>"0620"</f>
        <v>0620</v>
      </c>
      <c r="X3481" s="1" t="s">
        <v>29</v>
      </c>
    </row>
    <row r="3482" spans="1:24" x14ac:dyDescent="0.3">
      <c r="A3482" s="1" t="str">
        <f t="shared" si="652"/>
        <v>59825</v>
      </c>
      <c r="B3482" s="1" t="s">
        <v>30</v>
      </c>
      <c r="C3482" s="1" t="s">
        <v>31</v>
      </c>
      <c r="D3482" s="1" t="str">
        <f t="shared" si="653"/>
        <v>9801</v>
      </c>
      <c r="E3482" s="1" t="s">
        <v>25</v>
      </c>
      <c r="F3482" s="1" t="str">
        <f>"726626017"</f>
        <v>726626017</v>
      </c>
      <c r="G3482" s="1" t="s">
        <v>33</v>
      </c>
      <c r="H3482" s="1" t="str">
        <f t="shared" si="649"/>
        <v>20220915</v>
      </c>
      <c r="I3482" s="1" t="str">
        <f>"115456"</f>
        <v>115456</v>
      </c>
      <c r="J3482" s="1" t="s">
        <v>28</v>
      </c>
      <c r="K3482" s="1" t="s">
        <v>28</v>
      </c>
      <c r="L3482" s="1" t="str">
        <f t="shared" si="656"/>
        <v>20220915</v>
      </c>
      <c r="M3482" s="1" t="str">
        <f>"123158"</f>
        <v>123158</v>
      </c>
      <c r="N3482" s="1" t="s">
        <v>52</v>
      </c>
      <c r="O3482" s="1" t="s">
        <v>52</v>
      </c>
      <c r="P3482" s="1" t="s">
        <v>55</v>
      </c>
      <c r="Q3482" s="1">
        <v>25</v>
      </c>
      <c r="R3482" s="1">
        <v>0</v>
      </c>
      <c r="S3482" s="1">
        <v>25</v>
      </c>
      <c r="T3482" s="1">
        <v>0</v>
      </c>
      <c r="U3482" s="1">
        <v>0</v>
      </c>
      <c r="V3482" s="1" t="str">
        <f t="shared" si="654"/>
        <v>里程返程</v>
      </c>
      <c r="W3482" s="1" t="str">
        <f>"0820"</f>
        <v>0820</v>
      </c>
      <c r="X3482" s="1" t="s">
        <v>35</v>
      </c>
    </row>
    <row r="3483" spans="1:24" x14ac:dyDescent="0.3">
      <c r="A3483" s="1" t="str">
        <f t="shared" si="652"/>
        <v>59825</v>
      </c>
      <c r="B3483" s="1" t="s">
        <v>30</v>
      </c>
      <c r="C3483" s="1" t="s">
        <v>31</v>
      </c>
      <c r="D3483" s="1" t="str">
        <f t="shared" si="653"/>
        <v>9801</v>
      </c>
      <c r="E3483" s="1" t="s">
        <v>25</v>
      </c>
      <c r="F3483" s="1" t="str">
        <f>"689881109"</f>
        <v>689881109</v>
      </c>
      <c r="G3483" s="1" t="s">
        <v>33</v>
      </c>
      <c r="H3483" s="1" t="str">
        <f t="shared" si="649"/>
        <v>20220915</v>
      </c>
      <c r="I3483" s="1" t="str">
        <f>"115503"</f>
        <v>115503</v>
      </c>
      <c r="J3483" s="1" t="s">
        <v>28</v>
      </c>
      <c r="K3483" s="1" t="s">
        <v>28</v>
      </c>
      <c r="L3483" s="1" t="str">
        <f t="shared" si="656"/>
        <v>20220915</v>
      </c>
      <c r="M3483" s="1" t="str">
        <f>"122130"</f>
        <v>122130</v>
      </c>
      <c r="N3483" s="1" t="s">
        <v>72</v>
      </c>
      <c r="O3483" s="1" t="s">
        <v>52</v>
      </c>
      <c r="P3483" s="1" t="s">
        <v>55</v>
      </c>
      <c r="Q3483" s="1">
        <v>25</v>
      </c>
      <c r="R3483" s="1">
        <v>0</v>
      </c>
      <c r="S3483" s="1">
        <v>25</v>
      </c>
      <c r="T3483" s="1">
        <v>0</v>
      </c>
      <c r="U3483" s="1">
        <v>0</v>
      </c>
      <c r="V3483" s="1" t="str">
        <f t="shared" si="654"/>
        <v>里程返程</v>
      </c>
      <c r="W3483" s="1" t="str">
        <f>"0820"</f>
        <v>0820</v>
      </c>
      <c r="X3483" s="1" t="s">
        <v>35</v>
      </c>
    </row>
    <row r="3484" spans="1:24" x14ac:dyDescent="0.3">
      <c r="A3484" s="1" t="str">
        <f t="shared" si="652"/>
        <v>59825</v>
      </c>
      <c r="B3484" s="1" t="s">
        <v>30</v>
      </c>
      <c r="C3484" s="1" t="s">
        <v>31</v>
      </c>
      <c r="D3484" s="1" t="str">
        <f t="shared" si="653"/>
        <v>9801</v>
      </c>
      <c r="E3484" s="1" t="s">
        <v>25</v>
      </c>
      <c r="F3484" s="1" t="str">
        <f>"BAB7B4CE77880400475935D541403307"</f>
        <v>BAB7B4CE77880400475935D541403307</v>
      </c>
      <c r="G3484" s="1" t="s">
        <v>58</v>
      </c>
      <c r="H3484" s="1" t="str">
        <f t="shared" si="649"/>
        <v>20220915</v>
      </c>
      <c r="I3484" s="1" t="str">
        <f>"115507"</f>
        <v>115507</v>
      </c>
      <c r="J3484" s="1" t="s">
        <v>28</v>
      </c>
      <c r="K3484" s="1" t="s">
        <v>28</v>
      </c>
      <c r="L3484" s="1" t="str">
        <f t="shared" si="656"/>
        <v>20220915</v>
      </c>
      <c r="M3484" s="1" t="str">
        <f>"122139"</f>
        <v>122139</v>
      </c>
      <c r="N3484" s="1" t="s">
        <v>72</v>
      </c>
      <c r="O3484" s="1" t="s">
        <v>52</v>
      </c>
      <c r="P3484" s="1" t="s">
        <v>55</v>
      </c>
      <c r="Q3484" s="1">
        <v>25</v>
      </c>
      <c r="R3484" s="1">
        <v>0</v>
      </c>
      <c r="S3484" s="1">
        <v>25</v>
      </c>
      <c r="T3484" s="1">
        <v>0</v>
      </c>
      <c r="U3484" s="1">
        <v>0</v>
      </c>
      <c r="V3484" s="1" t="str">
        <f t="shared" si="654"/>
        <v>里程返程</v>
      </c>
      <c r="W3484" s="1" t="str">
        <f>"0620"</f>
        <v>0620</v>
      </c>
      <c r="X3484" s="1" t="s">
        <v>29</v>
      </c>
    </row>
    <row r="3485" spans="1:24" x14ac:dyDescent="0.3">
      <c r="A3485" s="1" t="str">
        <f t="shared" si="652"/>
        <v>59825</v>
      </c>
      <c r="B3485" s="1" t="s">
        <v>30</v>
      </c>
      <c r="C3485" s="1" t="s">
        <v>31</v>
      </c>
      <c r="D3485" s="1" t="str">
        <f t="shared" si="653"/>
        <v>9801</v>
      </c>
      <c r="E3485" s="1" t="s">
        <v>25</v>
      </c>
      <c r="F3485" s="1" t="str">
        <f>"745654673"</f>
        <v>745654673</v>
      </c>
      <c r="G3485" s="1" t="s">
        <v>33</v>
      </c>
      <c r="H3485" s="1" t="str">
        <f t="shared" si="649"/>
        <v>20220915</v>
      </c>
      <c r="I3485" s="1" t="str">
        <f>"115514"</f>
        <v>115514</v>
      </c>
      <c r="J3485" s="1" t="s">
        <v>28</v>
      </c>
      <c r="K3485" s="1" t="s">
        <v>28</v>
      </c>
      <c r="L3485" s="1" t="str">
        <f t="shared" si="656"/>
        <v>20220915</v>
      </c>
      <c r="M3485" s="1" t="str">
        <f>"123138"</f>
        <v>123138</v>
      </c>
      <c r="N3485" s="1" t="s">
        <v>52</v>
      </c>
      <c r="O3485" s="1" t="s">
        <v>52</v>
      </c>
      <c r="P3485" s="1" t="s">
        <v>55</v>
      </c>
      <c r="Q3485" s="1">
        <v>25</v>
      </c>
      <c r="R3485" s="1">
        <v>25</v>
      </c>
      <c r="S3485" s="1">
        <v>0</v>
      </c>
      <c r="T3485" s="1">
        <v>0</v>
      </c>
      <c r="U3485" s="1">
        <v>0</v>
      </c>
      <c r="V3485" s="1" t="str">
        <f t="shared" si="654"/>
        <v>里程返程</v>
      </c>
      <c r="W3485" s="1" t="str">
        <f>"0920"</f>
        <v>0920</v>
      </c>
      <c r="X3485" s="1" t="s">
        <v>35</v>
      </c>
    </row>
    <row r="3486" spans="1:24" x14ac:dyDescent="0.3">
      <c r="A3486" s="1" t="str">
        <f t="shared" si="652"/>
        <v>59825</v>
      </c>
      <c r="B3486" s="1" t="s">
        <v>30</v>
      </c>
      <c r="C3486" s="1" t="s">
        <v>31</v>
      </c>
      <c r="D3486" s="1" t="str">
        <f t="shared" si="653"/>
        <v>9801</v>
      </c>
      <c r="E3486" s="1" t="s">
        <v>25</v>
      </c>
      <c r="F3486" s="1" t="str">
        <f>"1041454965"</f>
        <v>1041454965</v>
      </c>
      <c r="G3486" s="1" t="s">
        <v>33</v>
      </c>
      <c r="H3486" s="1" t="str">
        <f t="shared" si="649"/>
        <v>20220915</v>
      </c>
      <c r="I3486" s="1" t="str">
        <f>"115516"</f>
        <v>115516</v>
      </c>
      <c r="J3486" s="1" t="s">
        <v>28</v>
      </c>
      <c r="K3486" s="1" t="s">
        <v>28</v>
      </c>
      <c r="L3486" s="1" t="str">
        <f t="shared" si="656"/>
        <v>20220915</v>
      </c>
      <c r="M3486" s="1" t="str">
        <f>"123141"</f>
        <v>123141</v>
      </c>
      <c r="N3486" s="1" t="s">
        <v>52</v>
      </c>
      <c r="O3486" s="1" t="s">
        <v>52</v>
      </c>
      <c r="P3486" s="1" t="s">
        <v>55</v>
      </c>
      <c r="Q3486" s="1">
        <v>25</v>
      </c>
      <c r="R3486" s="1">
        <v>0</v>
      </c>
      <c r="S3486" s="1">
        <v>25</v>
      </c>
      <c r="T3486" s="1">
        <v>0</v>
      </c>
      <c r="U3486" s="1">
        <v>0</v>
      </c>
      <c r="V3486" s="1" t="str">
        <f t="shared" si="654"/>
        <v>里程返程</v>
      </c>
      <c r="W3486" s="1" t="str">
        <f>"0820"</f>
        <v>0820</v>
      </c>
      <c r="X3486" s="1" t="s">
        <v>35</v>
      </c>
    </row>
    <row r="3487" spans="1:24" x14ac:dyDescent="0.3">
      <c r="A3487" s="1" t="str">
        <f t="shared" si="652"/>
        <v>59825</v>
      </c>
      <c r="B3487" s="1" t="s">
        <v>30</v>
      </c>
      <c r="C3487" s="1" t="s">
        <v>31</v>
      </c>
      <c r="D3487" s="1" t="str">
        <f t="shared" si="653"/>
        <v>9801</v>
      </c>
      <c r="E3487" s="1" t="s">
        <v>25</v>
      </c>
      <c r="F3487" s="1" t="str">
        <f>"1874810209"</f>
        <v>1874810209</v>
      </c>
      <c r="G3487" s="1" t="s">
        <v>33</v>
      </c>
      <c r="H3487" s="1" t="str">
        <f t="shared" si="649"/>
        <v>20220915</v>
      </c>
      <c r="I3487" s="1" t="str">
        <f>"115519"</f>
        <v>115519</v>
      </c>
      <c r="J3487" s="1" t="s">
        <v>28</v>
      </c>
      <c r="K3487" s="1" t="s">
        <v>28</v>
      </c>
      <c r="L3487" s="1" t="str">
        <f t="shared" si="656"/>
        <v>20220915</v>
      </c>
      <c r="M3487" s="1" t="str">
        <f>"123136"</f>
        <v>123136</v>
      </c>
      <c r="N3487" s="1" t="s">
        <v>52</v>
      </c>
      <c r="O3487" s="1" t="s">
        <v>52</v>
      </c>
      <c r="P3487" s="1" t="s">
        <v>55</v>
      </c>
      <c r="Q3487" s="1">
        <v>25</v>
      </c>
      <c r="R3487" s="1">
        <v>0</v>
      </c>
      <c r="S3487" s="1">
        <v>25</v>
      </c>
      <c r="T3487" s="1">
        <v>0</v>
      </c>
      <c r="U3487" s="1">
        <v>0</v>
      </c>
      <c r="V3487" s="1" t="str">
        <f t="shared" si="654"/>
        <v>里程返程</v>
      </c>
      <c r="W3487" s="1" t="str">
        <f>"0820"</f>
        <v>0820</v>
      </c>
      <c r="X3487" s="1" t="s">
        <v>35</v>
      </c>
    </row>
    <row r="3488" spans="1:24" x14ac:dyDescent="0.3">
      <c r="A3488" s="1" t="str">
        <f t="shared" si="652"/>
        <v>59825</v>
      </c>
      <c r="B3488" s="1" t="s">
        <v>30</v>
      </c>
      <c r="C3488" s="1" t="s">
        <v>31</v>
      </c>
      <c r="D3488" s="1" t="str">
        <f t="shared" si="653"/>
        <v>9801</v>
      </c>
      <c r="E3488" s="1" t="s">
        <v>25</v>
      </c>
      <c r="F3488" s="1" t="str">
        <f>"1807932517"</f>
        <v>1807932517</v>
      </c>
      <c r="G3488" s="1" t="s">
        <v>33</v>
      </c>
      <c r="H3488" s="1" t="str">
        <f t="shared" si="649"/>
        <v>20220915</v>
      </c>
      <c r="I3488" s="1" t="str">
        <f>"115522"</f>
        <v>115522</v>
      </c>
      <c r="J3488" s="1" t="s">
        <v>28</v>
      </c>
      <c r="K3488" s="1" t="s">
        <v>28</v>
      </c>
      <c r="L3488" s="1" t="str">
        <f t="shared" si="656"/>
        <v>20220915</v>
      </c>
      <c r="M3488" s="1" t="str">
        <f>"123145"</f>
        <v>123145</v>
      </c>
      <c r="N3488" s="1" t="s">
        <v>52</v>
      </c>
      <c r="O3488" s="1" t="s">
        <v>52</v>
      </c>
      <c r="P3488" s="1" t="s">
        <v>55</v>
      </c>
      <c r="Q3488" s="1">
        <v>25</v>
      </c>
      <c r="R3488" s="1">
        <v>0</v>
      </c>
      <c r="S3488" s="1">
        <v>25</v>
      </c>
      <c r="T3488" s="1">
        <v>0</v>
      </c>
      <c r="U3488" s="1">
        <v>0</v>
      </c>
      <c r="V3488" s="1" t="str">
        <f t="shared" si="654"/>
        <v>里程返程</v>
      </c>
      <c r="W3488" s="1" t="str">
        <f>"0820"</f>
        <v>0820</v>
      </c>
      <c r="X3488" s="1" t="s">
        <v>35</v>
      </c>
    </row>
    <row r="3489" spans="1:24" x14ac:dyDescent="0.3">
      <c r="A3489" s="1" t="str">
        <f t="shared" ref="A3489:A3518" si="657">"59825"</f>
        <v>59825</v>
      </c>
      <c r="B3489" s="1" t="s">
        <v>30</v>
      </c>
      <c r="C3489" s="1" t="s">
        <v>31</v>
      </c>
      <c r="D3489" s="1" t="str">
        <f t="shared" si="653"/>
        <v>9801</v>
      </c>
      <c r="E3489" s="1" t="s">
        <v>25</v>
      </c>
      <c r="F3489" s="1" t="str">
        <f>"795559489"</f>
        <v>795559489</v>
      </c>
      <c r="G3489" s="1" t="s">
        <v>33</v>
      </c>
      <c r="H3489" s="1" t="str">
        <f t="shared" si="649"/>
        <v>20220915</v>
      </c>
      <c r="I3489" s="1" t="str">
        <f>"115527"</f>
        <v>115527</v>
      </c>
      <c r="J3489" s="1" t="s">
        <v>28</v>
      </c>
      <c r="K3489" s="1" t="s">
        <v>28</v>
      </c>
      <c r="L3489" s="1" t="str">
        <f t="shared" si="656"/>
        <v>20220915</v>
      </c>
      <c r="M3489" s="1" t="str">
        <f>"122135"</f>
        <v>122135</v>
      </c>
      <c r="N3489" s="1" t="s">
        <v>72</v>
      </c>
      <c r="O3489" s="1" t="s">
        <v>52</v>
      </c>
      <c r="P3489" s="1" t="s">
        <v>55</v>
      </c>
      <c r="Q3489" s="1">
        <v>25</v>
      </c>
      <c r="R3489" s="1">
        <v>25</v>
      </c>
      <c r="S3489" s="1">
        <v>0</v>
      </c>
      <c r="T3489" s="1">
        <v>0</v>
      </c>
      <c r="U3489" s="1">
        <v>0</v>
      </c>
      <c r="V3489" s="1" t="str">
        <f t="shared" si="654"/>
        <v>里程返程</v>
      </c>
      <c r="W3489" s="1" t="str">
        <f>"0120"</f>
        <v>0120</v>
      </c>
      <c r="X3489" s="1" t="s">
        <v>35</v>
      </c>
    </row>
    <row r="3490" spans="1:24" x14ac:dyDescent="0.3">
      <c r="A3490" s="1" t="str">
        <f t="shared" si="657"/>
        <v>59825</v>
      </c>
      <c r="B3490" s="1" t="s">
        <v>30</v>
      </c>
      <c r="C3490" s="1" t="s">
        <v>31</v>
      </c>
      <c r="D3490" s="1" t="str">
        <f t="shared" si="653"/>
        <v>9801</v>
      </c>
      <c r="E3490" s="1" t="s">
        <v>25</v>
      </c>
      <c r="F3490" s="1" t="str">
        <f>"1278756241"</f>
        <v>1278756241</v>
      </c>
      <c r="G3490" s="1" t="s">
        <v>33</v>
      </c>
      <c r="H3490" s="1" t="str">
        <f t="shared" si="649"/>
        <v>20220915</v>
      </c>
      <c r="I3490" s="1" t="str">
        <f>"115530"</f>
        <v>115530</v>
      </c>
      <c r="J3490" s="1" t="s">
        <v>28</v>
      </c>
      <c r="K3490" s="1" t="s">
        <v>28</v>
      </c>
      <c r="L3490" s="1" t="str">
        <f t="shared" si="656"/>
        <v>20220915</v>
      </c>
      <c r="M3490" s="1" t="str">
        <f>"122137"</f>
        <v>122137</v>
      </c>
      <c r="N3490" s="1" t="s">
        <v>72</v>
      </c>
      <c r="O3490" s="1" t="s">
        <v>52</v>
      </c>
      <c r="P3490" s="1" t="s">
        <v>55</v>
      </c>
      <c r="Q3490" s="1">
        <v>25</v>
      </c>
      <c r="R3490" s="1">
        <v>25</v>
      </c>
      <c r="S3490" s="1">
        <v>0</v>
      </c>
      <c r="T3490" s="1">
        <v>0</v>
      </c>
      <c r="U3490" s="1">
        <v>0</v>
      </c>
      <c r="V3490" s="1" t="str">
        <f t="shared" si="654"/>
        <v>里程返程</v>
      </c>
      <c r="W3490" s="1" t="str">
        <f>"0c20"</f>
        <v>0c20</v>
      </c>
      <c r="X3490" s="1" t="s">
        <v>35</v>
      </c>
    </row>
    <row r="3491" spans="1:24" x14ac:dyDescent="0.3">
      <c r="A3491" s="1" t="str">
        <f t="shared" si="657"/>
        <v>59825</v>
      </c>
      <c r="B3491" s="1" t="s">
        <v>30</v>
      </c>
      <c r="C3491" s="1" t="s">
        <v>31</v>
      </c>
      <c r="D3491" s="1" t="str">
        <f t="shared" si="653"/>
        <v>9801</v>
      </c>
      <c r="E3491" s="1" t="s">
        <v>25</v>
      </c>
      <c r="F3491" s="1" t="str">
        <f>"1654824821"</f>
        <v>1654824821</v>
      </c>
      <c r="G3491" s="1" t="s">
        <v>26</v>
      </c>
      <c r="H3491" s="1" t="str">
        <f t="shared" si="649"/>
        <v>20220915</v>
      </c>
      <c r="I3491" s="1" t="str">
        <f>"115535"</f>
        <v>115535</v>
      </c>
      <c r="J3491" s="1" t="s">
        <v>28</v>
      </c>
      <c r="K3491" s="1" t="s">
        <v>28</v>
      </c>
      <c r="L3491" s="1" t="str">
        <f t="shared" si="656"/>
        <v>20220915</v>
      </c>
      <c r="M3491" s="1" t="str">
        <f>"123152"</f>
        <v>123152</v>
      </c>
      <c r="N3491" s="1" t="s">
        <v>52</v>
      </c>
      <c r="O3491" s="1" t="s">
        <v>52</v>
      </c>
      <c r="P3491" s="1" t="s">
        <v>55</v>
      </c>
      <c r="Q3491" s="1">
        <v>13</v>
      </c>
      <c r="R3491" s="1">
        <v>0</v>
      </c>
      <c r="S3491" s="1">
        <v>13</v>
      </c>
      <c r="T3491" s="1">
        <v>0</v>
      </c>
      <c r="U3491" s="1">
        <v>0</v>
      </c>
      <c r="V3491" s="1" t="str">
        <f t="shared" si="654"/>
        <v>里程返程</v>
      </c>
      <c r="W3491" s="1" t="str">
        <f>"0820"</f>
        <v>0820</v>
      </c>
      <c r="X3491" s="1" t="s">
        <v>35</v>
      </c>
    </row>
    <row r="3492" spans="1:24" x14ac:dyDescent="0.3">
      <c r="A3492" s="1" t="str">
        <f t="shared" si="657"/>
        <v>59825</v>
      </c>
      <c r="B3492" s="1" t="s">
        <v>30</v>
      </c>
      <c r="C3492" s="1" t="s">
        <v>31</v>
      </c>
      <c r="D3492" s="1" t="str">
        <f t="shared" si="653"/>
        <v>9801</v>
      </c>
      <c r="E3492" s="1" t="s">
        <v>25</v>
      </c>
      <c r="F3492" s="1" t="str">
        <f>"1042912405"</f>
        <v>1042912405</v>
      </c>
      <c r="G3492" s="1" t="s">
        <v>26</v>
      </c>
      <c r="H3492" s="1" t="str">
        <f t="shared" si="649"/>
        <v>20220915</v>
      </c>
      <c r="I3492" s="1" t="str">
        <f>"115541"</f>
        <v>115541</v>
      </c>
      <c r="J3492" s="1" t="s">
        <v>28</v>
      </c>
      <c r="K3492" s="1" t="s">
        <v>28</v>
      </c>
      <c r="L3492" s="1" t="str">
        <f t="shared" si="656"/>
        <v>20220915</v>
      </c>
      <c r="M3492" s="1" t="str">
        <f>"123149"</f>
        <v>123149</v>
      </c>
      <c r="N3492" s="1" t="s">
        <v>52</v>
      </c>
      <c r="O3492" s="1" t="s">
        <v>52</v>
      </c>
      <c r="P3492" s="1" t="s">
        <v>55</v>
      </c>
      <c r="Q3492" s="1">
        <v>13</v>
      </c>
      <c r="R3492" s="1">
        <v>0</v>
      </c>
      <c r="S3492" s="1">
        <v>13</v>
      </c>
      <c r="T3492" s="1">
        <v>0</v>
      </c>
      <c r="U3492" s="1">
        <v>0</v>
      </c>
      <c r="V3492" s="1" t="str">
        <f t="shared" si="654"/>
        <v>里程返程</v>
      </c>
      <c r="W3492" s="1" t="str">
        <f>"0820"</f>
        <v>0820</v>
      </c>
      <c r="X3492" s="1" t="s">
        <v>35</v>
      </c>
    </row>
    <row r="3493" spans="1:24" x14ac:dyDescent="0.3">
      <c r="A3493" s="1" t="str">
        <f t="shared" si="657"/>
        <v>59825</v>
      </c>
      <c r="B3493" s="1" t="s">
        <v>30</v>
      </c>
      <c r="C3493" s="1" t="s">
        <v>31</v>
      </c>
      <c r="D3493" s="1" t="str">
        <f t="shared" si="653"/>
        <v>9801</v>
      </c>
      <c r="E3493" s="1" t="s">
        <v>25</v>
      </c>
      <c r="F3493" s="1" t="str">
        <f>"1454364865"</f>
        <v>1454364865</v>
      </c>
      <c r="G3493" s="1" t="s">
        <v>33</v>
      </c>
      <c r="H3493" s="1" t="str">
        <f t="shared" si="649"/>
        <v>20220915</v>
      </c>
      <c r="I3493" s="1" t="str">
        <f>"115544"</f>
        <v>115544</v>
      </c>
      <c r="J3493" s="1" t="s">
        <v>28</v>
      </c>
      <c r="K3493" s="1" t="s">
        <v>28</v>
      </c>
      <c r="L3493" s="1" t="str">
        <f t="shared" si="656"/>
        <v>20220915</v>
      </c>
      <c r="M3493" s="1" t="str">
        <f>"121131"</f>
        <v>121131</v>
      </c>
      <c r="N3493" s="1" t="s">
        <v>69</v>
      </c>
      <c r="O3493" s="1" t="s">
        <v>52</v>
      </c>
      <c r="P3493" s="1" t="s">
        <v>55</v>
      </c>
      <c r="Q3493" s="1">
        <v>25</v>
      </c>
      <c r="R3493" s="1">
        <v>0</v>
      </c>
      <c r="S3493" s="1">
        <v>25</v>
      </c>
      <c r="T3493" s="1">
        <v>0</v>
      </c>
      <c r="U3493" s="1">
        <v>0</v>
      </c>
      <c r="V3493" s="1" t="str">
        <f t="shared" si="654"/>
        <v>里程返程</v>
      </c>
      <c r="W3493" s="1" t="str">
        <f>"0820"</f>
        <v>0820</v>
      </c>
      <c r="X3493" s="1" t="s">
        <v>35</v>
      </c>
    </row>
    <row r="3494" spans="1:24" x14ac:dyDescent="0.3">
      <c r="A3494" s="1" t="str">
        <f t="shared" si="657"/>
        <v>59825</v>
      </c>
      <c r="B3494" s="1" t="s">
        <v>30</v>
      </c>
      <c r="C3494" s="1" t="s">
        <v>31</v>
      </c>
      <c r="D3494" s="1" t="str">
        <f t="shared" si="653"/>
        <v>9801</v>
      </c>
      <c r="E3494" s="1" t="s">
        <v>25</v>
      </c>
      <c r="F3494" s="1" t="str">
        <f>"22F00D18C7880400C814002000000019"</f>
        <v>22F00D18C7880400C814002000000019</v>
      </c>
      <c r="G3494" s="1" t="s">
        <v>64</v>
      </c>
      <c r="H3494" s="1" t="str">
        <f t="shared" si="649"/>
        <v>20220915</v>
      </c>
      <c r="I3494" s="1" t="str">
        <f>"115548"</f>
        <v>115548</v>
      </c>
      <c r="J3494" s="1" t="s">
        <v>28</v>
      </c>
      <c r="K3494" s="1" t="s">
        <v>28</v>
      </c>
      <c r="L3494" s="1" t="str">
        <f t="shared" si="656"/>
        <v>20220915</v>
      </c>
      <c r="M3494" s="1" t="str">
        <f>"123140"</f>
        <v>123140</v>
      </c>
      <c r="N3494" s="1" t="s">
        <v>52</v>
      </c>
      <c r="O3494" s="1" t="s">
        <v>52</v>
      </c>
      <c r="P3494" s="1" t="s">
        <v>55</v>
      </c>
      <c r="Q3494" s="1">
        <v>13</v>
      </c>
      <c r="R3494" s="1">
        <v>0</v>
      </c>
      <c r="S3494" s="1">
        <v>13</v>
      </c>
      <c r="T3494" s="1">
        <v>0</v>
      </c>
      <c r="U3494" s="1">
        <v>0</v>
      </c>
      <c r="V3494" s="1" t="str">
        <f t="shared" si="654"/>
        <v>里程返程</v>
      </c>
      <c r="W3494" s="1" t="str">
        <f>"0620"</f>
        <v>0620</v>
      </c>
      <c r="X3494" s="1" t="s">
        <v>29</v>
      </c>
    </row>
    <row r="3495" spans="1:24" x14ac:dyDescent="0.3">
      <c r="A3495" s="1" t="str">
        <f t="shared" si="657"/>
        <v>59825</v>
      </c>
      <c r="B3495" s="1" t="s">
        <v>30</v>
      </c>
      <c r="C3495" s="1" t="s">
        <v>31</v>
      </c>
      <c r="D3495" s="1" t="str">
        <f t="shared" si="653"/>
        <v>9801</v>
      </c>
      <c r="E3495" s="1" t="s">
        <v>25</v>
      </c>
      <c r="F3495" s="1" t="str">
        <f>"1760203237"</f>
        <v>1760203237</v>
      </c>
      <c r="G3495" s="1" t="s">
        <v>33</v>
      </c>
      <c r="H3495" s="1" t="str">
        <f t="shared" si="649"/>
        <v>20220915</v>
      </c>
      <c r="I3495" s="1" t="str">
        <f>"120628"</f>
        <v>120628</v>
      </c>
      <c r="J3495" s="1" t="s">
        <v>83</v>
      </c>
      <c r="K3495" s="1" t="s">
        <v>52</v>
      </c>
      <c r="L3495" s="1" t="str">
        <f t="shared" si="656"/>
        <v>20220915</v>
      </c>
      <c r="M3495" s="1" t="str">
        <f>"123129"</f>
        <v>123129</v>
      </c>
      <c r="N3495" s="1" t="s">
        <v>52</v>
      </c>
      <c r="O3495" s="1" t="s">
        <v>52</v>
      </c>
      <c r="P3495" s="1" t="s">
        <v>55</v>
      </c>
      <c r="Q3495" s="1">
        <v>25</v>
      </c>
      <c r="R3495" s="1">
        <v>25</v>
      </c>
      <c r="S3495" s="1">
        <v>0</v>
      </c>
      <c r="T3495" s="1">
        <v>0</v>
      </c>
      <c r="U3495" s="1">
        <v>0</v>
      </c>
      <c r="V3495" s="1" t="str">
        <f t="shared" si="654"/>
        <v>里程返程</v>
      </c>
      <c r="W3495" s="1" t="str">
        <f>"2120"</f>
        <v>2120</v>
      </c>
      <c r="X3495" s="1" t="s">
        <v>35</v>
      </c>
    </row>
    <row r="3496" spans="1:24" x14ac:dyDescent="0.3">
      <c r="A3496" s="1" t="str">
        <f t="shared" si="657"/>
        <v>59825</v>
      </c>
      <c r="B3496" s="1" t="s">
        <v>30</v>
      </c>
      <c r="C3496" s="1" t="s">
        <v>31</v>
      </c>
      <c r="D3496" s="1" t="str">
        <f t="shared" si="653"/>
        <v>9801</v>
      </c>
      <c r="E3496" s="1" t="s">
        <v>25</v>
      </c>
      <c r="F3496" s="1" t="str">
        <f>"59B2B61F428804004326A82E00010211"</f>
        <v>59B2B61F428804004326A82E00010211</v>
      </c>
      <c r="G3496" s="1" t="s">
        <v>26</v>
      </c>
      <c r="H3496" s="1" t="str">
        <f t="shared" si="649"/>
        <v>20220915</v>
      </c>
      <c r="I3496" s="1" t="str">
        <f>"122117"</f>
        <v>122117</v>
      </c>
      <c r="J3496" s="1" t="s">
        <v>72</v>
      </c>
      <c r="K3496" s="1" t="s">
        <v>52</v>
      </c>
      <c r="L3496" s="1" t="str">
        <f t="shared" si="656"/>
        <v>20220915</v>
      </c>
      <c r="M3496" s="1" t="str">
        <f>"122701"</f>
        <v>122701</v>
      </c>
      <c r="N3496" s="1" t="s">
        <v>60</v>
      </c>
      <c r="O3496" s="1" t="s">
        <v>52</v>
      </c>
      <c r="P3496" s="1" t="s">
        <v>55</v>
      </c>
      <c r="Q3496" s="1">
        <v>13</v>
      </c>
      <c r="R3496" s="1">
        <v>13</v>
      </c>
      <c r="S3496" s="1">
        <v>0</v>
      </c>
      <c r="T3496" s="1">
        <v>0</v>
      </c>
      <c r="U3496" s="1">
        <v>0</v>
      </c>
      <c r="V3496" s="1" t="str">
        <f t="shared" si="654"/>
        <v>里程返程</v>
      </c>
      <c r="W3496" s="1" t="str">
        <f>"0020"</f>
        <v>0020</v>
      </c>
      <c r="X3496" s="1" t="s">
        <v>29</v>
      </c>
    </row>
    <row r="3497" spans="1:24" x14ac:dyDescent="0.3">
      <c r="A3497" s="1" t="str">
        <f t="shared" si="657"/>
        <v>59825</v>
      </c>
      <c r="B3497" s="1" t="s">
        <v>30</v>
      </c>
      <c r="C3497" s="1" t="s">
        <v>31</v>
      </c>
      <c r="D3497" s="1" t="str">
        <f t="shared" si="653"/>
        <v>9801</v>
      </c>
      <c r="E3497" s="1" t="s">
        <v>25</v>
      </c>
      <c r="F3497" s="1" t="str">
        <f>"A256660290880400C821002000000015"</f>
        <v>A256660290880400C821002000000015</v>
      </c>
      <c r="G3497" s="1" t="s">
        <v>26</v>
      </c>
      <c r="H3497" s="1" t="str">
        <f t="shared" si="649"/>
        <v>20220915</v>
      </c>
      <c r="I3497" s="1" t="str">
        <f>"122126"</f>
        <v>122126</v>
      </c>
      <c r="J3497" s="1" t="s">
        <v>72</v>
      </c>
      <c r="K3497" s="1" t="s">
        <v>52</v>
      </c>
      <c r="L3497" s="1" t="str">
        <f t="shared" si="656"/>
        <v>20220915</v>
      </c>
      <c r="M3497" s="1" t="str">
        <f>"122616"</f>
        <v>122616</v>
      </c>
      <c r="N3497" s="1" t="s">
        <v>60</v>
      </c>
      <c r="O3497" s="1" t="s">
        <v>52</v>
      </c>
      <c r="P3497" s="1" t="s">
        <v>68</v>
      </c>
      <c r="Q3497" s="1">
        <v>13</v>
      </c>
      <c r="R3497" s="1">
        <v>0</v>
      </c>
      <c r="S3497" s="1">
        <v>0</v>
      </c>
      <c r="T3497" s="1">
        <v>13</v>
      </c>
      <c r="U3497" s="1">
        <v>0</v>
      </c>
      <c r="V3497" s="1" t="str">
        <f t="shared" si="654"/>
        <v>里程返程</v>
      </c>
      <c r="W3497" s="1" t="str">
        <f>"0020"</f>
        <v>0020</v>
      </c>
      <c r="X3497" s="1" t="s">
        <v>29</v>
      </c>
    </row>
    <row r="3498" spans="1:24" x14ac:dyDescent="0.3">
      <c r="A3498" s="1" t="str">
        <f t="shared" si="657"/>
        <v>59825</v>
      </c>
      <c r="B3498" s="1" t="s">
        <v>30</v>
      </c>
      <c r="C3498" s="1" t="s">
        <v>31</v>
      </c>
      <c r="D3498" s="1" t="str">
        <f t="shared" si="653"/>
        <v>9801</v>
      </c>
      <c r="E3498" s="1" t="s">
        <v>25</v>
      </c>
      <c r="F3498" s="1" t="str">
        <f>"4229480221880400C821002000000015"</f>
        <v>4229480221880400C821002000000015</v>
      </c>
      <c r="G3498" s="1" t="s">
        <v>26</v>
      </c>
      <c r="H3498" s="1" t="str">
        <f t="shared" si="649"/>
        <v>20220915</v>
      </c>
      <c r="I3498" s="1" t="str">
        <f>"122200"</f>
        <v>122200</v>
      </c>
      <c r="J3498" s="1" t="s">
        <v>72</v>
      </c>
      <c r="K3498" s="1" t="s">
        <v>52</v>
      </c>
      <c r="L3498" s="1" t="str">
        <f t="shared" si="656"/>
        <v>20220915</v>
      </c>
      <c r="M3498" s="1" t="str">
        <f>"122714"</f>
        <v>122714</v>
      </c>
      <c r="N3498" s="1" t="s">
        <v>52</v>
      </c>
      <c r="O3498" s="1" t="s">
        <v>52</v>
      </c>
      <c r="P3498" s="1" t="s">
        <v>68</v>
      </c>
      <c r="Q3498" s="1">
        <v>13</v>
      </c>
      <c r="R3498" s="1">
        <v>0</v>
      </c>
      <c r="S3498" s="1">
        <v>0</v>
      </c>
      <c r="T3498" s="1">
        <v>13</v>
      </c>
      <c r="U3498" s="1">
        <v>0</v>
      </c>
      <c r="V3498" s="1" t="str">
        <f t="shared" si="654"/>
        <v>里程返程</v>
      </c>
      <c r="W3498" s="1" t="str">
        <f>"0020"</f>
        <v>0020</v>
      </c>
      <c r="X3498" s="1" t="s">
        <v>29</v>
      </c>
    </row>
    <row r="3499" spans="1:24" x14ac:dyDescent="0.3">
      <c r="A3499" s="1" t="str">
        <f t="shared" si="657"/>
        <v>59825</v>
      </c>
      <c r="B3499" s="1" t="s">
        <v>30</v>
      </c>
      <c r="C3499" s="1" t="s">
        <v>31</v>
      </c>
      <c r="D3499" s="1" t="str">
        <f t="shared" si="653"/>
        <v>9801</v>
      </c>
      <c r="E3499" s="1" t="s">
        <v>25</v>
      </c>
      <c r="F3499" s="1" t="str">
        <f>"A256660290880400C821002000000015"</f>
        <v>A256660290880400C821002000000015</v>
      </c>
      <c r="G3499" s="1" t="s">
        <v>26</v>
      </c>
      <c r="H3499" s="1" t="str">
        <f t="shared" si="649"/>
        <v>20220915</v>
      </c>
      <c r="I3499" s="1" t="str">
        <f>"122655"</f>
        <v>122655</v>
      </c>
      <c r="J3499" s="1" t="s">
        <v>60</v>
      </c>
      <c r="K3499" s="1" t="s">
        <v>52</v>
      </c>
      <c r="L3499" s="1" t="str">
        <f t="shared" si="656"/>
        <v>20220915</v>
      </c>
      <c r="M3499" s="1" t="str">
        <f>"122710"</f>
        <v>122710</v>
      </c>
      <c r="N3499" s="1" t="s">
        <v>52</v>
      </c>
      <c r="O3499" s="1" t="s">
        <v>52</v>
      </c>
      <c r="P3499" s="1" t="s">
        <v>68</v>
      </c>
      <c r="Q3499" s="1">
        <v>13</v>
      </c>
      <c r="R3499" s="1">
        <v>0</v>
      </c>
      <c r="S3499" s="1">
        <v>0</v>
      </c>
      <c r="T3499" s="1">
        <v>13</v>
      </c>
      <c r="U3499" s="1">
        <v>0</v>
      </c>
      <c r="V3499" s="1" t="str">
        <f t="shared" si="654"/>
        <v>里程返程</v>
      </c>
      <c r="W3499" s="1" t="str">
        <f>"0020"</f>
        <v>0020</v>
      </c>
      <c r="X3499" s="1" t="s">
        <v>29</v>
      </c>
    </row>
    <row r="3500" spans="1:24" x14ac:dyDescent="0.3">
      <c r="A3500" s="1" t="str">
        <f t="shared" si="657"/>
        <v>59825</v>
      </c>
      <c r="B3500" s="1" t="s">
        <v>30</v>
      </c>
      <c r="C3500" s="1" t="s">
        <v>31</v>
      </c>
      <c r="D3500" s="1" t="str">
        <f>"9805"</f>
        <v>9805</v>
      </c>
      <c r="E3500" s="1" t="s">
        <v>57</v>
      </c>
      <c r="F3500" s="1" t="str">
        <f>"826DD31824880400C821002000000019"</f>
        <v>826DD31824880400C821002000000019</v>
      </c>
      <c r="G3500" s="1" t="s">
        <v>64</v>
      </c>
      <c r="H3500" s="1" t="str">
        <f t="shared" si="649"/>
        <v>20220915</v>
      </c>
      <c r="I3500" s="1" t="str">
        <f>"145621"</f>
        <v>145621</v>
      </c>
      <c r="J3500" s="1" t="s">
        <v>62</v>
      </c>
      <c r="K3500" s="1" t="s">
        <v>28</v>
      </c>
      <c r="L3500" s="1" t="str">
        <f t="shared" si="656"/>
        <v>20220915</v>
      </c>
      <c r="M3500" s="1" t="str">
        <f>"151157"</f>
        <v>151157</v>
      </c>
      <c r="N3500" s="1" t="s">
        <v>28</v>
      </c>
      <c r="O3500" s="1" t="s">
        <v>28</v>
      </c>
      <c r="P3500" s="1" t="s">
        <v>55</v>
      </c>
      <c r="Q3500" s="1">
        <v>13</v>
      </c>
      <c r="R3500" s="1">
        <v>0</v>
      </c>
      <c r="S3500" s="1">
        <v>13</v>
      </c>
      <c r="T3500" s="1">
        <v>0</v>
      </c>
      <c r="U3500" s="1">
        <v>0</v>
      </c>
      <c r="V3500" s="1" t="str">
        <f t="shared" si="654"/>
        <v>里程返程</v>
      </c>
      <c r="W3500" s="1" t="str">
        <f>"1120"</f>
        <v>1120</v>
      </c>
      <c r="X3500" s="1" t="s">
        <v>29</v>
      </c>
    </row>
    <row r="3501" spans="1:24" x14ac:dyDescent="0.3">
      <c r="A3501" s="1" t="str">
        <f t="shared" si="657"/>
        <v>59825</v>
      </c>
      <c r="B3501" s="1" t="s">
        <v>30</v>
      </c>
      <c r="C3501" s="1" t="s">
        <v>31</v>
      </c>
      <c r="D3501" s="1" t="str">
        <f>"9805"</f>
        <v>9805</v>
      </c>
      <c r="E3501" s="1" t="s">
        <v>57</v>
      </c>
      <c r="F3501" s="1" t="str">
        <f>"B26A43168D880400C814002000000019"</f>
        <v>B26A43168D880400C814002000000019</v>
      </c>
      <c r="G3501" s="1" t="s">
        <v>64</v>
      </c>
      <c r="H3501" s="1" t="str">
        <f t="shared" si="649"/>
        <v>20220915</v>
      </c>
      <c r="I3501" s="1" t="str">
        <f>"145637"</f>
        <v>145637</v>
      </c>
      <c r="J3501" s="1" t="s">
        <v>62</v>
      </c>
      <c r="K3501" s="1" t="s">
        <v>28</v>
      </c>
      <c r="L3501" s="1" t="str">
        <f t="shared" si="656"/>
        <v>20220915</v>
      </c>
      <c r="M3501" s="1" t="str">
        <f>"151154"</f>
        <v>151154</v>
      </c>
      <c r="N3501" s="1" t="s">
        <v>28</v>
      </c>
      <c r="O3501" s="1" t="s">
        <v>28</v>
      </c>
      <c r="P3501" s="1" t="s">
        <v>55</v>
      </c>
      <c r="Q3501" s="1">
        <v>13</v>
      </c>
      <c r="R3501" s="1">
        <v>0</v>
      </c>
      <c r="S3501" s="1">
        <v>13</v>
      </c>
      <c r="T3501" s="1">
        <v>0</v>
      </c>
      <c r="U3501" s="1">
        <v>0</v>
      </c>
      <c r="V3501" s="1" t="str">
        <f t="shared" si="654"/>
        <v>里程返程</v>
      </c>
      <c r="W3501" s="1" t="str">
        <f>"1120"</f>
        <v>1120</v>
      </c>
      <c r="X3501" s="1" t="s">
        <v>29</v>
      </c>
    </row>
    <row r="3502" spans="1:24" x14ac:dyDescent="0.3">
      <c r="A3502" s="1" t="str">
        <f t="shared" si="657"/>
        <v>59825</v>
      </c>
      <c r="B3502" s="1" t="s">
        <v>30</v>
      </c>
      <c r="C3502" s="1" t="s">
        <v>31</v>
      </c>
      <c r="D3502" s="1" t="str">
        <f t="shared" ref="D3502:D3507" si="658">"9803"</f>
        <v>9803</v>
      </c>
      <c r="E3502" s="1" t="s">
        <v>32</v>
      </c>
      <c r="F3502" s="1" t="str">
        <f>"A4120CF14B280400D200000100000000"</f>
        <v>A4120CF14B280400D200000100000000</v>
      </c>
      <c r="G3502" s="1" t="s">
        <v>58</v>
      </c>
      <c r="H3502" s="1" t="str">
        <f t="shared" si="649"/>
        <v>20220915</v>
      </c>
      <c r="I3502" s="1" t="str">
        <f>"151227"</f>
        <v>151227</v>
      </c>
      <c r="J3502" s="1" t="s">
        <v>28</v>
      </c>
      <c r="K3502" s="1" t="s">
        <v>28</v>
      </c>
      <c r="L3502" s="1" t="str">
        <f t="shared" si="656"/>
        <v>20220915</v>
      </c>
      <c r="M3502" s="1" t="str">
        <f>"153132"</f>
        <v>153132</v>
      </c>
      <c r="N3502" s="1" t="s">
        <v>34</v>
      </c>
      <c r="O3502" s="1" t="s">
        <v>34</v>
      </c>
      <c r="P3502" s="1" t="s">
        <v>55</v>
      </c>
      <c r="Q3502" s="1">
        <v>25</v>
      </c>
      <c r="R3502" s="1">
        <v>25</v>
      </c>
      <c r="S3502" s="1">
        <v>0</v>
      </c>
      <c r="T3502" s="1">
        <v>0</v>
      </c>
      <c r="U3502" s="1">
        <v>0</v>
      </c>
      <c r="V3502" s="1" t="str">
        <f>"里程去程"</f>
        <v>里程去程</v>
      </c>
      <c r="W3502" s="1" t="str">
        <f>"0020"</f>
        <v>0020</v>
      </c>
      <c r="X3502" s="1" t="s">
        <v>29</v>
      </c>
    </row>
    <row r="3503" spans="1:24" x14ac:dyDescent="0.3">
      <c r="A3503" s="1" t="str">
        <f t="shared" si="657"/>
        <v>59825</v>
      </c>
      <c r="B3503" s="1" t="s">
        <v>30</v>
      </c>
      <c r="C3503" s="1" t="s">
        <v>31</v>
      </c>
      <c r="D3503" s="1" t="str">
        <f t="shared" si="658"/>
        <v>9803</v>
      </c>
      <c r="E3503" s="1" t="s">
        <v>32</v>
      </c>
      <c r="F3503" s="1" t="str">
        <f>"E1F2B21CBD280400F700000000000000"</f>
        <v>E1F2B21CBD280400F700000000000000</v>
      </c>
      <c r="G3503" s="1" t="s">
        <v>58</v>
      </c>
      <c r="H3503" s="1" t="str">
        <f t="shared" ref="H3503:H3566" si="659">"20220915"</f>
        <v>20220915</v>
      </c>
      <c r="I3503" s="1" t="str">
        <f>"151236"</f>
        <v>151236</v>
      </c>
      <c r="J3503" s="1" t="s">
        <v>28</v>
      </c>
      <c r="K3503" s="1" t="s">
        <v>28</v>
      </c>
      <c r="L3503" s="1" t="str">
        <f t="shared" si="656"/>
        <v>20220915</v>
      </c>
      <c r="M3503" s="1" t="str">
        <f>"153113"</f>
        <v>153113</v>
      </c>
      <c r="N3503" s="1" t="s">
        <v>34</v>
      </c>
      <c r="O3503" s="1" t="s">
        <v>34</v>
      </c>
      <c r="P3503" s="1" t="s">
        <v>55</v>
      </c>
      <c r="Q3503" s="1">
        <v>25</v>
      </c>
      <c r="R3503" s="1">
        <v>25</v>
      </c>
      <c r="S3503" s="1">
        <v>0</v>
      </c>
      <c r="T3503" s="1">
        <v>0</v>
      </c>
      <c r="U3503" s="1">
        <v>0</v>
      </c>
      <c r="V3503" s="1" t="str">
        <f>"里程去程"</f>
        <v>里程去程</v>
      </c>
      <c r="W3503" s="1" t="str">
        <f>"0020"</f>
        <v>0020</v>
      </c>
      <c r="X3503" s="1" t="s">
        <v>29</v>
      </c>
    </row>
    <row r="3504" spans="1:24" x14ac:dyDescent="0.3">
      <c r="A3504" s="1" t="str">
        <f t="shared" si="657"/>
        <v>59825</v>
      </c>
      <c r="B3504" s="1" t="s">
        <v>30</v>
      </c>
      <c r="C3504" s="1" t="s">
        <v>31</v>
      </c>
      <c r="D3504" s="1" t="str">
        <f t="shared" si="658"/>
        <v>9803</v>
      </c>
      <c r="E3504" s="1" t="s">
        <v>32</v>
      </c>
      <c r="F3504" s="1" t="str">
        <f>"1737678053"</f>
        <v>1737678053</v>
      </c>
      <c r="G3504" s="1" t="s">
        <v>33</v>
      </c>
      <c r="H3504" s="1" t="str">
        <f t="shared" si="659"/>
        <v>20220915</v>
      </c>
      <c r="I3504" s="1" t="str">
        <f>"153207"</f>
        <v>153207</v>
      </c>
      <c r="J3504" s="1" t="s">
        <v>34</v>
      </c>
      <c r="K3504" s="1" t="s">
        <v>34</v>
      </c>
      <c r="L3504" s="1" t="str">
        <f t="shared" si="656"/>
        <v>20220915</v>
      </c>
      <c r="M3504" s="1" t="str">
        <f>"160824"</f>
        <v>160824</v>
      </c>
      <c r="N3504" s="1" t="s">
        <v>28</v>
      </c>
      <c r="O3504" s="1" t="s">
        <v>28</v>
      </c>
      <c r="P3504" s="1" t="s">
        <v>55</v>
      </c>
      <c r="Q3504" s="1">
        <v>25</v>
      </c>
      <c r="R3504" s="1">
        <v>25</v>
      </c>
      <c r="S3504" s="1">
        <v>0</v>
      </c>
      <c r="T3504" s="1">
        <v>0</v>
      </c>
      <c r="U3504" s="1">
        <v>0</v>
      </c>
      <c r="V3504" s="1" t="str">
        <f>"里程返程"</f>
        <v>里程返程</v>
      </c>
      <c r="W3504" s="1" t="str">
        <f>"2020"</f>
        <v>2020</v>
      </c>
      <c r="X3504" s="1" t="s">
        <v>35</v>
      </c>
    </row>
    <row r="3505" spans="1:24" x14ac:dyDescent="0.3">
      <c r="A3505" s="1" t="str">
        <f t="shared" si="657"/>
        <v>59825</v>
      </c>
      <c r="B3505" s="1" t="s">
        <v>30</v>
      </c>
      <c r="C3505" s="1" t="s">
        <v>31</v>
      </c>
      <c r="D3505" s="1" t="str">
        <f t="shared" si="658"/>
        <v>9803</v>
      </c>
      <c r="E3505" s="1" t="s">
        <v>32</v>
      </c>
      <c r="F3505" s="1" t="str">
        <f>"1633845653"</f>
        <v>1633845653</v>
      </c>
      <c r="G3505" s="1" t="s">
        <v>33</v>
      </c>
      <c r="H3505" s="1" t="str">
        <f t="shared" si="659"/>
        <v>20220915</v>
      </c>
      <c r="I3505" s="1" t="str">
        <f>"153209"</f>
        <v>153209</v>
      </c>
      <c r="J3505" s="1" t="s">
        <v>34</v>
      </c>
      <c r="K3505" s="1" t="s">
        <v>34</v>
      </c>
      <c r="L3505" s="1" t="str">
        <f t="shared" si="656"/>
        <v>20220915</v>
      </c>
      <c r="M3505" s="1" t="str">
        <f>"160826"</f>
        <v>160826</v>
      </c>
      <c r="N3505" s="1" t="s">
        <v>28</v>
      </c>
      <c r="O3505" s="1" t="s">
        <v>28</v>
      </c>
      <c r="P3505" s="1" t="s">
        <v>55</v>
      </c>
      <c r="Q3505" s="1">
        <v>25</v>
      </c>
      <c r="R3505" s="1">
        <v>25</v>
      </c>
      <c r="S3505" s="1">
        <v>0</v>
      </c>
      <c r="T3505" s="1">
        <v>0</v>
      </c>
      <c r="U3505" s="1">
        <v>0</v>
      </c>
      <c r="V3505" s="1" t="str">
        <f>"里程返程"</f>
        <v>里程返程</v>
      </c>
      <c r="W3505" s="1" t="str">
        <f>"1320"</f>
        <v>1320</v>
      </c>
      <c r="X3505" s="1" t="s">
        <v>35</v>
      </c>
    </row>
    <row r="3506" spans="1:24" x14ac:dyDescent="0.3">
      <c r="A3506" s="1" t="str">
        <f t="shared" si="657"/>
        <v>59825</v>
      </c>
      <c r="B3506" s="1" t="s">
        <v>30</v>
      </c>
      <c r="C3506" s="1" t="s">
        <v>31</v>
      </c>
      <c r="D3506" s="1" t="str">
        <f t="shared" si="658"/>
        <v>9803</v>
      </c>
      <c r="E3506" s="1" t="s">
        <v>32</v>
      </c>
      <c r="F3506" s="1" t="str">
        <f>"0282A31A39880400C816002000000021"</f>
        <v>0282A31A39880400C816002000000021</v>
      </c>
      <c r="G3506" s="1" t="s">
        <v>26</v>
      </c>
      <c r="H3506" s="1" t="str">
        <f t="shared" si="659"/>
        <v>20220915</v>
      </c>
      <c r="I3506" s="1" t="str">
        <f>"154549"</f>
        <v>154549</v>
      </c>
      <c r="J3506" s="1" t="s">
        <v>73</v>
      </c>
      <c r="K3506" s="1" t="s">
        <v>28</v>
      </c>
      <c r="L3506" s="1" t="str">
        <f t="shared" si="656"/>
        <v>20220915</v>
      </c>
      <c r="M3506" s="1" t="str">
        <f>"155736"</f>
        <v>155736</v>
      </c>
      <c r="N3506" s="1" t="s">
        <v>46</v>
      </c>
      <c r="O3506" s="1" t="s">
        <v>28</v>
      </c>
      <c r="P3506" s="1" t="s">
        <v>55</v>
      </c>
      <c r="Q3506" s="1">
        <v>13</v>
      </c>
      <c r="R3506" s="1">
        <v>0</v>
      </c>
      <c r="S3506" s="1">
        <v>13</v>
      </c>
      <c r="T3506" s="1">
        <v>0</v>
      </c>
      <c r="U3506" s="1">
        <v>0</v>
      </c>
      <c r="V3506" s="1" t="str">
        <f>"里程返程"</f>
        <v>里程返程</v>
      </c>
      <c r="W3506" s="1" t="str">
        <f>"1120"</f>
        <v>1120</v>
      </c>
      <c r="X3506" s="1" t="s">
        <v>29</v>
      </c>
    </row>
    <row r="3507" spans="1:24" x14ac:dyDescent="0.3">
      <c r="A3507" s="1" t="str">
        <f t="shared" si="657"/>
        <v>59825</v>
      </c>
      <c r="B3507" s="1" t="s">
        <v>30</v>
      </c>
      <c r="C3507" s="1" t="s">
        <v>31</v>
      </c>
      <c r="D3507" s="1" t="str">
        <f t="shared" si="658"/>
        <v>9803</v>
      </c>
      <c r="E3507" s="1" t="s">
        <v>32</v>
      </c>
      <c r="F3507" s="1" t="str">
        <f>"C2A2E11B9A880400C822002000000021"</f>
        <v>C2A2E11B9A880400C822002000000021</v>
      </c>
      <c r="G3507" s="1" t="s">
        <v>58</v>
      </c>
      <c r="H3507" s="1" t="str">
        <f t="shared" si="659"/>
        <v>20220915</v>
      </c>
      <c r="I3507" s="1" t="str">
        <f>"154551"</f>
        <v>154551</v>
      </c>
      <c r="J3507" s="1" t="s">
        <v>73</v>
      </c>
      <c r="K3507" s="1" t="s">
        <v>28</v>
      </c>
      <c r="L3507" s="1" t="str">
        <f t="shared" si="656"/>
        <v>20220915</v>
      </c>
      <c r="M3507" s="1" t="str">
        <f>"155733"</f>
        <v>155733</v>
      </c>
      <c r="N3507" s="1" t="s">
        <v>46</v>
      </c>
      <c r="O3507" s="1" t="s">
        <v>28</v>
      </c>
      <c r="P3507" s="1" t="s">
        <v>55</v>
      </c>
      <c r="Q3507" s="1">
        <v>25</v>
      </c>
      <c r="R3507" s="1">
        <v>0</v>
      </c>
      <c r="S3507" s="1">
        <v>25</v>
      </c>
      <c r="T3507" s="1">
        <v>0</v>
      </c>
      <c r="U3507" s="1">
        <v>0</v>
      </c>
      <c r="V3507" s="1" t="str">
        <f>"里程返程"</f>
        <v>里程返程</v>
      </c>
      <c r="W3507" s="1" t="str">
        <f>"1120"</f>
        <v>1120</v>
      </c>
      <c r="X3507" s="1" t="s">
        <v>29</v>
      </c>
    </row>
    <row r="3508" spans="1:24" x14ac:dyDescent="0.3">
      <c r="A3508" s="1" t="str">
        <f t="shared" si="657"/>
        <v>59825</v>
      </c>
      <c r="B3508" s="1" t="s">
        <v>30</v>
      </c>
      <c r="C3508" s="1" t="s">
        <v>31</v>
      </c>
      <c r="D3508" s="1" t="str">
        <f t="shared" ref="D3508:D3514" si="660">"9806"</f>
        <v>9806</v>
      </c>
      <c r="E3508" s="1" t="s">
        <v>49</v>
      </c>
      <c r="F3508" s="1" t="str">
        <f>"538267473"</f>
        <v>538267473</v>
      </c>
      <c r="G3508" s="1" t="s">
        <v>33</v>
      </c>
      <c r="H3508" s="1" t="str">
        <f t="shared" si="659"/>
        <v>20220915</v>
      </c>
      <c r="I3508" s="1" t="str">
        <f>"163509"</f>
        <v>163509</v>
      </c>
      <c r="J3508" s="1" t="s">
        <v>76</v>
      </c>
      <c r="K3508" s="1" t="s">
        <v>28</v>
      </c>
      <c r="L3508" s="1" t="str">
        <f t="shared" si="656"/>
        <v>20220915</v>
      </c>
      <c r="M3508" s="1" t="str">
        <f>"165136"</f>
        <v>165136</v>
      </c>
      <c r="N3508" s="1" t="s">
        <v>28</v>
      </c>
      <c r="O3508" s="1" t="s">
        <v>28</v>
      </c>
      <c r="P3508" s="1" t="s">
        <v>55</v>
      </c>
      <c r="Q3508" s="1">
        <v>25</v>
      </c>
      <c r="R3508" s="1">
        <v>25</v>
      </c>
      <c r="S3508" s="1">
        <v>0</v>
      </c>
      <c r="T3508" s="1">
        <v>0</v>
      </c>
      <c r="U3508" s="1">
        <v>0</v>
      </c>
      <c r="V3508" s="1" t="str">
        <f t="shared" ref="V3508:V3514" si="661">"里程去程"</f>
        <v>里程去程</v>
      </c>
      <c r="W3508" s="1" t="str">
        <f>"2020"</f>
        <v>2020</v>
      </c>
      <c r="X3508" s="1" t="s">
        <v>35</v>
      </c>
    </row>
    <row r="3509" spans="1:24" x14ac:dyDescent="0.3">
      <c r="A3509" s="1" t="str">
        <f t="shared" si="657"/>
        <v>59825</v>
      </c>
      <c r="B3509" s="1" t="s">
        <v>30</v>
      </c>
      <c r="C3509" s="1" t="s">
        <v>31</v>
      </c>
      <c r="D3509" s="1" t="str">
        <f t="shared" si="660"/>
        <v>9806</v>
      </c>
      <c r="E3509" s="1" t="s">
        <v>49</v>
      </c>
      <c r="F3509" s="1" t="str">
        <f>"1202E702F5880400C834002000000015"</f>
        <v>1202E702F5880400C834002000000015</v>
      </c>
      <c r="G3509" s="1" t="s">
        <v>74</v>
      </c>
      <c r="H3509" s="1" t="str">
        <f t="shared" si="659"/>
        <v>20220915</v>
      </c>
      <c r="I3509" s="1" t="str">
        <f>"163514"</f>
        <v>163514</v>
      </c>
      <c r="J3509" s="1" t="s">
        <v>76</v>
      </c>
      <c r="K3509" s="1" t="s">
        <v>28</v>
      </c>
      <c r="L3509" s="1" t="str">
        <f t="shared" si="656"/>
        <v>20220915</v>
      </c>
      <c r="M3509" s="1" t="str">
        <f>"164846"</f>
        <v>164846</v>
      </c>
      <c r="N3509" s="1" t="s">
        <v>84</v>
      </c>
      <c r="O3509" s="1" t="s">
        <v>28</v>
      </c>
      <c r="P3509" s="1" t="s">
        <v>68</v>
      </c>
      <c r="Q3509" s="1">
        <v>13</v>
      </c>
      <c r="R3509" s="1">
        <v>0</v>
      </c>
      <c r="S3509" s="1">
        <v>0</v>
      </c>
      <c r="T3509" s="1">
        <v>13</v>
      </c>
      <c r="U3509" s="1">
        <v>0</v>
      </c>
      <c r="V3509" s="1" t="str">
        <f t="shared" si="661"/>
        <v>里程去程</v>
      </c>
      <c r="W3509" s="1" t="str">
        <f>"0020"</f>
        <v>0020</v>
      </c>
      <c r="X3509" s="1" t="s">
        <v>29</v>
      </c>
    </row>
    <row r="3510" spans="1:24" x14ac:dyDescent="0.3">
      <c r="A3510" s="1" t="str">
        <f t="shared" si="657"/>
        <v>59825</v>
      </c>
      <c r="B3510" s="1" t="s">
        <v>30</v>
      </c>
      <c r="C3510" s="1" t="s">
        <v>31</v>
      </c>
      <c r="D3510" s="1" t="str">
        <f t="shared" si="660"/>
        <v>9806</v>
      </c>
      <c r="E3510" s="1" t="s">
        <v>49</v>
      </c>
      <c r="F3510" s="1" t="str">
        <f>"B211E70246880400C834002000000015"</f>
        <v>B211E70246880400C834002000000015</v>
      </c>
      <c r="G3510" s="1" t="s">
        <v>74</v>
      </c>
      <c r="H3510" s="1" t="str">
        <f t="shared" si="659"/>
        <v>20220915</v>
      </c>
      <c r="I3510" s="1" t="str">
        <f>"163519"</f>
        <v>163519</v>
      </c>
      <c r="J3510" s="1" t="s">
        <v>76</v>
      </c>
      <c r="K3510" s="1" t="s">
        <v>28</v>
      </c>
      <c r="L3510" s="1" t="str">
        <f t="shared" si="656"/>
        <v>20220915</v>
      </c>
      <c r="M3510" s="1" t="str">
        <f>"164842"</f>
        <v>164842</v>
      </c>
      <c r="N3510" s="1" t="s">
        <v>84</v>
      </c>
      <c r="O3510" s="1" t="s">
        <v>28</v>
      </c>
      <c r="P3510" s="1" t="s">
        <v>68</v>
      </c>
      <c r="Q3510" s="1">
        <v>13</v>
      </c>
      <c r="R3510" s="1">
        <v>0</v>
      </c>
      <c r="S3510" s="1">
        <v>0</v>
      </c>
      <c r="T3510" s="1">
        <v>13</v>
      </c>
      <c r="U3510" s="1">
        <v>0</v>
      </c>
      <c r="V3510" s="1" t="str">
        <f t="shared" si="661"/>
        <v>里程去程</v>
      </c>
      <c r="W3510" s="1" t="str">
        <f>"0020"</f>
        <v>0020</v>
      </c>
      <c r="X3510" s="1" t="s">
        <v>29</v>
      </c>
    </row>
    <row r="3511" spans="1:24" x14ac:dyDescent="0.3">
      <c r="A3511" s="1" t="str">
        <f t="shared" si="657"/>
        <v>59825</v>
      </c>
      <c r="B3511" s="1" t="s">
        <v>30</v>
      </c>
      <c r="C3511" s="1" t="s">
        <v>31</v>
      </c>
      <c r="D3511" s="1" t="str">
        <f t="shared" si="660"/>
        <v>9806</v>
      </c>
      <c r="E3511" s="1" t="s">
        <v>49</v>
      </c>
      <c r="F3511" s="1" t="str">
        <f>"B205E70252880400C834002000000015"</f>
        <v>B205E70252880400C834002000000015</v>
      </c>
      <c r="G3511" s="1" t="s">
        <v>74</v>
      </c>
      <c r="H3511" s="1" t="str">
        <f t="shared" si="659"/>
        <v>20220915</v>
      </c>
      <c r="I3511" s="1" t="str">
        <f>"163522"</f>
        <v>163522</v>
      </c>
      <c r="J3511" s="1" t="s">
        <v>76</v>
      </c>
      <c r="K3511" s="1" t="s">
        <v>28</v>
      </c>
      <c r="L3511" s="1" t="str">
        <f t="shared" si="656"/>
        <v>20220915</v>
      </c>
      <c r="M3511" s="1" t="str">
        <f>"164840"</f>
        <v>164840</v>
      </c>
      <c r="N3511" s="1" t="s">
        <v>84</v>
      </c>
      <c r="O3511" s="1" t="s">
        <v>28</v>
      </c>
      <c r="P3511" s="1" t="s">
        <v>68</v>
      </c>
      <c r="Q3511" s="1">
        <v>13</v>
      </c>
      <c r="R3511" s="1">
        <v>0</v>
      </c>
      <c r="S3511" s="1">
        <v>0</v>
      </c>
      <c r="T3511" s="1">
        <v>13</v>
      </c>
      <c r="U3511" s="1">
        <v>0</v>
      </c>
      <c r="V3511" s="1" t="str">
        <f t="shared" si="661"/>
        <v>里程去程</v>
      </c>
      <c r="W3511" s="1" t="str">
        <f>"0020"</f>
        <v>0020</v>
      </c>
      <c r="X3511" s="1" t="s">
        <v>29</v>
      </c>
    </row>
    <row r="3512" spans="1:24" x14ac:dyDescent="0.3">
      <c r="A3512" s="1" t="str">
        <f t="shared" si="657"/>
        <v>59825</v>
      </c>
      <c r="B3512" s="1" t="s">
        <v>30</v>
      </c>
      <c r="C3512" s="1" t="s">
        <v>31</v>
      </c>
      <c r="D3512" s="1" t="str">
        <f t="shared" si="660"/>
        <v>9806</v>
      </c>
      <c r="E3512" s="1" t="s">
        <v>49</v>
      </c>
      <c r="F3512" s="1" t="str">
        <f>"22C8DE1B2F880400C822002000000021"</f>
        <v>22C8DE1B2F880400C822002000000021</v>
      </c>
      <c r="G3512" s="1" t="s">
        <v>58</v>
      </c>
      <c r="H3512" s="1" t="str">
        <f t="shared" si="659"/>
        <v>20220915</v>
      </c>
      <c r="I3512" s="1" t="str">
        <f>"163527"</f>
        <v>163527</v>
      </c>
      <c r="J3512" s="1" t="s">
        <v>76</v>
      </c>
      <c r="K3512" s="1" t="s">
        <v>28</v>
      </c>
      <c r="L3512" s="1" t="str">
        <f t="shared" si="656"/>
        <v>20220915</v>
      </c>
      <c r="M3512" s="1" t="str">
        <f>"165151"</f>
        <v>165151</v>
      </c>
      <c r="N3512" s="1" t="s">
        <v>28</v>
      </c>
      <c r="O3512" s="1" t="s">
        <v>28</v>
      </c>
      <c r="P3512" s="1" t="s">
        <v>55</v>
      </c>
      <c r="Q3512" s="1">
        <v>25</v>
      </c>
      <c r="R3512" s="1">
        <v>25</v>
      </c>
      <c r="S3512" s="1">
        <v>0</v>
      </c>
      <c r="T3512" s="1">
        <v>0</v>
      </c>
      <c r="U3512" s="1">
        <v>0</v>
      </c>
      <c r="V3512" s="1" t="str">
        <f t="shared" si="661"/>
        <v>里程去程</v>
      </c>
      <c r="W3512" s="1" t="str">
        <f>"0020"</f>
        <v>0020</v>
      </c>
      <c r="X3512" s="1" t="s">
        <v>29</v>
      </c>
    </row>
    <row r="3513" spans="1:24" x14ac:dyDescent="0.3">
      <c r="A3513" s="1" t="str">
        <f t="shared" si="657"/>
        <v>59825</v>
      </c>
      <c r="B3513" s="1" t="s">
        <v>30</v>
      </c>
      <c r="C3513" s="1" t="s">
        <v>31</v>
      </c>
      <c r="D3513" s="1" t="str">
        <f t="shared" si="660"/>
        <v>9806</v>
      </c>
      <c r="E3513" s="1" t="s">
        <v>49</v>
      </c>
      <c r="F3513" s="1" t="str">
        <f>"1695105317"</f>
        <v>1695105317</v>
      </c>
      <c r="G3513" s="1" t="s">
        <v>33</v>
      </c>
      <c r="H3513" s="1" t="str">
        <f t="shared" si="659"/>
        <v>20220915</v>
      </c>
      <c r="I3513" s="1" t="str">
        <f>"163545"</f>
        <v>163545</v>
      </c>
      <c r="J3513" s="1" t="s">
        <v>76</v>
      </c>
      <c r="K3513" s="1" t="s">
        <v>28</v>
      </c>
      <c r="L3513" s="1" t="str">
        <f t="shared" si="656"/>
        <v>20220915</v>
      </c>
      <c r="M3513" s="1" t="str">
        <f>"165132"</f>
        <v>165132</v>
      </c>
      <c r="N3513" s="1" t="s">
        <v>28</v>
      </c>
      <c r="O3513" s="1" t="s">
        <v>28</v>
      </c>
      <c r="P3513" s="1" t="s">
        <v>55</v>
      </c>
      <c r="Q3513" s="1">
        <v>25</v>
      </c>
      <c r="R3513" s="1">
        <v>25</v>
      </c>
      <c r="S3513" s="1">
        <v>0</v>
      </c>
      <c r="T3513" s="1">
        <v>0</v>
      </c>
      <c r="U3513" s="1">
        <v>0</v>
      </c>
      <c r="V3513" s="1" t="str">
        <f t="shared" si="661"/>
        <v>里程去程</v>
      </c>
      <c r="W3513" s="1" t="str">
        <f>"2020"</f>
        <v>2020</v>
      </c>
      <c r="X3513" s="1" t="s">
        <v>35</v>
      </c>
    </row>
    <row r="3514" spans="1:24" x14ac:dyDescent="0.3">
      <c r="A3514" s="1" t="str">
        <f t="shared" si="657"/>
        <v>59825</v>
      </c>
      <c r="B3514" s="1" t="s">
        <v>30</v>
      </c>
      <c r="C3514" s="1" t="s">
        <v>31</v>
      </c>
      <c r="D3514" s="1" t="str">
        <f t="shared" si="660"/>
        <v>9806</v>
      </c>
      <c r="E3514" s="1" t="s">
        <v>49</v>
      </c>
      <c r="F3514" s="1" t="str">
        <f>"1055537829"</f>
        <v>1055537829</v>
      </c>
      <c r="G3514" s="1" t="s">
        <v>33</v>
      </c>
      <c r="H3514" s="1" t="str">
        <f t="shared" si="659"/>
        <v>20220915</v>
      </c>
      <c r="I3514" s="1" t="str">
        <f>"164406"</f>
        <v>164406</v>
      </c>
      <c r="J3514" s="1" t="s">
        <v>98</v>
      </c>
      <c r="K3514" s="1" t="s">
        <v>28</v>
      </c>
      <c r="L3514" s="1" t="str">
        <f t="shared" si="656"/>
        <v>20220915</v>
      </c>
      <c r="M3514" s="1" t="str">
        <f>"165143"</f>
        <v>165143</v>
      </c>
      <c r="N3514" s="1" t="s">
        <v>28</v>
      </c>
      <c r="O3514" s="1" t="s">
        <v>28</v>
      </c>
      <c r="P3514" s="1" t="s">
        <v>55</v>
      </c>
      <c r="Q3514" s="1">
        <v>25</v>
      </c>
      <c r="R3514" s="1">
        <v>25</v>
      </c>
      <c r="S3514" s="1">
        <v>0</v>
      </c>
      <c r="T3514" s="1">
        <v>0</v>
      </c>
      <c r="U3514" s="1">
        <v>0</v>
      </c>
      <c r="V3514" s="1" t="str">
        <f t="shared" si="661"/>
        <v>里程去程</v>
      </c>
      <c r="W3514" s="1" t="str">
        <f>"0820"</f>
        <v>0820</v>
      </c>
      <c r="X3514" s="1" t="s">
        <v>35</v>
      </c>
    </row>
    <row r="3515" spans="1:24" x14ac:dyDescent="0.3">
      <c r="A3515" s="1" t="str">
        <f t="shared" si="657"/>
        <v>59825</v>
      </c>
      <c r="B3515" s="1" t="s">
        <v>30</v>
      </c>
      <c r="C3515" s="1" t="s">
        <v>31</v>
      </c>
      <c r="D3515" s="1" t="str">
        <f>"9801"</f>
        <v>9801</v>
      </c>
      <c r="E3515" s="1" t="s">
        <v>25</v>
      </c>
      <c r="F3515" s="1" t="str">
        <f>"81291869D92804001C00000000000000"</f>
        <v>81291869D92804001C00000000000000</v>
      </c>
      <c r="G3515" s="1" t="s">
        <v>58</v>
      </c>
      <c r="H3515" s="1" t="str">
        <f t="shared" si="659"/>
        <v>20220915</v>
      </c>
      <c r="I3515" s="1" t="str">
        <f>"191211"</f>
        <v>191211</v>
      </c>
      <c r="J3515" s="1" t="s">
        <v>56</v>
      </c>
      <c r="K3515" s="1" t="s">
        <v>45</v>
      </c>
      <c r="L3515" s="1" t="str">
        <f t="shared" si="656"/>
        <v>20220915</v>
      </c>
      <c r="M3515" s="1" t="str">
        <f>"192553"</f>
        <v>192553</v>
      </c>
      <c r="N3515" s="1" t="s">
        <v>28</v>
      </c>
      <c r="O3515" s="1" t="s">
        <v>28</v>
      </c>
      <c r="P3515" s="1" t="s">
        <v>55</v>
      </c>
      <c r="Q3515" s="1">
        <v>25</v>
      </c>
      <c r="R3515" s="1">
        <v>25</v>
      </c>
      <c r="S3515" s="1">
        <v>0</v>
      </c>
      <c r="T3515" s="1">
        <v>0</v>
      </c>
      <c r="U3515" s="1">
        <v>0</v>
      </c>
      <c r="V3515" s="1" t="str">
        <f t="shared" ref="V3515:V3529" si="662">"里程返程"</f>
        <v>里程返程</v>
      </c>
      <c r="W3515" s="1" t="str">
        <f>"0020"</f>
        <v>0020</v>
      </c>
      <c r="X3515" s="1" t="s">
        <v>29</v>
      </c>
    </row>
    <row r="3516" spans="1:24" x14ac:dyDescent="0.3">
      <c r="A3516" s="1" t="str">
        <f t="shared" si="657"/>
        <v>59825</v>
      </c>
      <c r="B3516" s="1" t="s">
        <v>30</v>
      </c>
      <c r="C3516" s="1" t="s">
        <v>31</v>
      </c>
      <c r="D3516" s="1" t="str">
        <f>"9805"</f>
        <v>9805</v>
      </c>
      <c r="E3516" s="1" t="s">
        <v>57</v>
      </c>
      <c r="F3516" s="1" t="str">
        <f>"1407663569"</f>
        <v>1407663569</v>
      </c>
      <c r="G3516" s="1" t="s">
        <v>26</v>
      </c>
      <c r="H3516" s="1" t="str">
        <f t="shared" si="659"/>
        <v>20220915</v>
      </c>
      <c r="I3516" s="1" t="str">
        <f>"195804"</f>
        <v>195804</v>
      </c>
      <c r="J3516" s="1" t="s">
        <v>52</v>
      </c>
      <c r="K3516" s="1" t="s">
        <v>52</v>
      </c>
      <c r="L3516" s="1" t="str">
        <f t="shared" si="656"/>
        <v>20220915</v>
      </c>
      <c r="M3516" s="1" t="str">
        <f>"202025"</f>
        <v>202025</v>
      </c>
      <c r="N3516" s="1" t="s">
        <v>28</v>
      </c>
      <c r="O3516" s="1" t="s">
        <v>28</v>
      </c>
      <c r="P3516" s="1" t="s">
        <v>55</v>
      </c>
      <c r="Q3516" s="1">
        <v>13</v>
      </c>
      <c r="R3516" s="1">
        <v>13</v>
      </c>
      <c r="S3516" s="1">
        <v>0</v>
      </c>
      <c r="T3516" s="1">
        <v>0</v>
      </c>
      <c r="U3516" s="1">
        <v>0</v>
      </c>
      <c r="V3516" s="1" t="str">
        <f t="shared" si="662"/>
        <v>里程返程</v>
      </c>
      <c r="W3516" s="1" t="str">
        <f>"2020"</f>
        <v>2020</v>
      </c>
      <c r="X3516" s="1" t="s">
        <v>35</v>
      </c>
    </row>
    <row r="3517" spans="1:24" x14ac:dyDescent="0.3">
      <c r="A3517" s="1" t="str">
        <f t="shared" si="657"/>
        <v>59825</v>
      </c>
      <c r="B3517" s="1" t="s">
        <v>30</v>
      </c>
      <c r="C3517" s="1" t="s">
        <v>31</v>
      </c>
      <c r="D3517" s="1" t="str">
        <f>"9805"</f>
        <v>9805</v>
      </c>
      <c r="E3517" s="1" t="s">
        <v>57</v>
      </c>
      <c r="F3517" s="1" t="str">
        <f>"1406666913"</f>
        <v>1406666913</v>
      </c>
      <c r="G3517" s="1" t="s">
        <v>26</v>
      </c>
      <c r="H3517" s="1" t="str">
        <f t="shared" si="659"/>
        <v>20220915</v>
      </c>
      <c r="I3517" s="1" t="str">
        <f>"195814"</f>
        <v>195814</v>
      </c>
      <c r="J3517" s="1" t="s">
        <v>52</v>
      </c>
      <c r="K3517" s="1" t="s">
        <v>52</v>
      </c>
      <c r="L3517" s="1" t="str">
        <f t="shared" si="656"/>
        <v>20220915</v>
      </c>
      <c r="M3517" s="1" t="str">
        <f>"202028"</f>
        <v>202028</v>
      </c>
      <c r="N3517" s="1" t="s">
        <v>28</v>
      </c>
      <c r="O3517" s="1" t="s">
        <v>28</v>
      </c>
      <c r="P3517" s="1" t="s">
        <v>55</v>
      </c>
      <c r="Q3517" s="1">
        <v>13</v>
      </c>
      <c r="R3517" s="1">
        <v>13</v>
      </c>
      <c r="S3517" s="1">
        <v>0</v>
      </c>
      <c r="T3517" s="1">
        <v>0</v>
      </c>
      <c r="U3517" s="1">
        <v>0</v>
      </c>
      <c r="V3517" s="1" t="str">
        <f t="shared" si="662"/>
        <v>里程返程</v>
      </c>
      <c r="W3517" s="1" t="str">
        <f>"2020"</f>
        <v>2020</v>
      </c>
      <c r="X3517" s="1" t="s">
        <v>35</v>
      </c>
    </row>
    <row r="3518" spans="1:24" x14ac:dyDescent="0.3">
      <c r="A3518" s="1" t="str">
        <f t="shared" si="657"/>
        <v>59825</v>
      </c>
      <c r="B3518" s="1" t="s">
        <v>30</v>
      </c>
      <c r="C3518" s="1" t="s">
        <v>31</v>
      </c>
      <c r="D3518" s="1" t="str">
        <f>"9805"</f>
        <v>9805</v>
      </c>
      <c r="E3518" s="1" t="s">
        <v>57</v>
      </c>
      <c r="F3518" s="1" t="str">
        <f>"1117127221"</f>
        <v>1117127221</v>
      </c>
      <c r="G3518" s="1" t="s">
        <v>33</v>
      </c>
      <c r="H3518" s="1" t="str">
        <f t="shared" si="659"/>
        <v>20220915</v>
      </c>
      <c r="I3518" s="1" t="str">
        <f>"195817"</f>
        <v>195817</v>
      </c>
      <c r="J3518" s="1" t="s">
        <v>52</v>
      </c>
      <c r="K3518" s="1" t="s">
        <v>52</v>
      </c>
      <c r="L3518" s="1" t="str">
        <f t="shared" si="656"/>
        <v>20220915</v>
      </c>
      <c r="M3518" s="1" t="str">
        <f>"202032"</f>
        <v>202032</v>
      </c>
      <c r="N3518" s="1" t="s">
        <v>28</v>
      </c>
      <c r="O3518" s="1" t="s">
        <v>28</v>
      </c>
      <c r="P3518" s="1" t="s">
        <v>55</v>
      </c>
      <c r="Q3518" s="1">
        <v>25</v>
      </c>
      <c r="R3518" s="1">
        <v>25</v>
      </c>
      <c r="S3518" s="1">
        <v>0</v>
      </c>
      <c r="T3518" s="1">
        <v>0</v>
      </c>
      <c r="U3518" s="1">
        <v>0</v>
      </c>
      <c r="V3518" s="1" t="str">
        <f t="shared" si="662"/>
        <v>里程返程</v>
      </c>
      <c r="W3518" s="1" t="str">
        <f>"2120"</f>
        <v>2120</v>
      </c>
      <c r="X3518" s="1" t="s">
        <v>35</v>
      </c>
    </row>
    <row r="3519" spans="1:24" x14ac:dyDescent="0.3">
      <c r="A3519" s="1" t="str">
        <f t="shared" ref="A3519:A3550" si="663">"59829"</f>
        <v>59829</v>
      </c>
      <c r="B3519" s="1" t="s">
        <v>47</v>
      </c>
      <c r="C3519" s="1" t="s">
        <v>48</v>
      </c>
      <c r="D3519" s="1" t="str">
        <f t="shared" ref="D3519:D3529" si="664">"9806"</f>
        <v>9806</v>
      </c>
      <c r="E3519" s="1" t="s">
        <v>49</v>
      </c>
      <c r="F3519" s="1" t="str">
        <f>"538267473"</f>
        <v>538267473</v>
      </c>
      <c r="G3519" s="1" t="s">
        <v>33</v>
      </c>
      <c r="H3519" s="1" t="str">
        <f t="shared" si="659"/>
        <v>20220915</v>
      </c>
      <c r="I3519" s="1" t="str">
        <f>"072628"</f>
        <v>072628</v>
      </c>
      <c r="J3519" s="1" t="s">
        <v>28</v>
      </c>
      <c r="K3519" s="1" t="s">
        <v>28</v>
      </c>
      <c r="L3519" s="1" t="str">
        <f t="shared" si="656"/>
        <v>20220915</v>
      </c>
      <c r="M3519" s="1" t="str">
        <f>"074414"</f>
        <v>074414</v>
      </c>
      <c r="N3519" s="1" t="s">
        <v>99</v>
      </c>
      <c r="O3519" s="1" t="s">
        <v>28</v>
      </c>
      <c r="P3519" s="1" t="s">
        <v>55</v>
      </c>
      <c r="Q3519" s="1">
        <v>25</v>
      </c>
      <c r="R3519" s="1">
        <v>0</v>
      </c>
      <c r="S3519" s="1">
        <v>25</v>
      </c>
      <c r="T3519" s="1">
        <v>0</v>
      </c>
      <c r="U3519" s="1">
        <v>0</v>
      </c>
      <c r="V3519" s="1" t="str">
        <f t="shared" si="662"/>
        <v>里程返程</v>
      </c>
      <c r="W3519" s="1" t="str">
        <f>"0820"</f>
        <v>0820</v>
      </c>
      <c r="X3519" s="1" t="s">
        <v>35</v>
      </c>
    </row>
    <row r="3520" spans="1:24" x14ac:dyDescent="0.3">
      <c r="A3520" s="1" t="str">
        <f t="shared" si="663"/>
        <v>59829</v>
      </c>
      <c r="B3520" s="1" t="s">
        <v>47</v>
      </c>
      <c r="C3520" s="1" t="s">
        <v>48</v>
      </c>
      <c r="D3520" s="1" t="str">
        <f t="shared" si="664"/>
        <v>9806</v>
      </c>
      <c r="E3520" s="1" t="s">
        <v>49</v>
      </c>
      <c r="F3520" s="1" t="str">
        <f>"927551509"</f>
        <v>927551509</v>
      </c>
      <c r="G3520" s="1" t="s">
        <v>38</v>
      </c>
      <c r="H3520" s="1" t="str">
        <f t="shared" si="659"/>
        <v>20220915</v>
      </c>
      <c r="I3520" s="1" t="str">
        <f>"072642"</f>
        <v>072642</v>
      </c>
      <c r="J3520" s="1" t="s">
        <v>28</v>
      </c>
      <c r="K3520" s="1" t="s">
        <v>28</v>
      </c>
      <c r="L3520" s="1" t="str">
        <f t="shared" si="656"/>
        <v>20220915</v>
      </c>
      <c r="M3520" s="1" t="str">
        <f>"073657"</f>
        <v>073657</v>
      </c>
      <c r="N3520" s="1" t="s">
        <v>63</v>
      </c>
      <c r="O3520" s="1" t="s">
        <v>28</v>
      </c>
      <c r="P3520" s="1" t="s">
        <v>55</v>
      </c>
      <c r="Q3520" s="1">
        <v>25</v>
      </c>
      <c r="R3520" s="1">
        <v>0</v>
      </c>
      <c r="S3520" s="1">
        <v>25</v>
      </c>
      <c r="T3520" s="1">
        <v>0</v>
      </c>
      <c r="U3520" s="1">
        <v>0</v>
      </c>
      <c r="V3520" s="1" t="str">
        <f t="shared" si="662"/>
        <v>里程返程</v>
      </c>
      <c r="W3520" s="1" t="str">
        <f>"0820"</f>
        <v>0820</v>
      </c>
      <c r="X3520" s="1" t="s">
        <v>35</v>
      </c>
    </row>
    <row r="3521" spans="1:24" x14ac:dyDescent="0.3">
      <c r="A3521" s="1" t="str">
        <f t="shared" si="663"/>
        <v>59829</v>
      </c>
      <c r="B3521" s="1" t="s">
        <v>47</v>
      </c>
      <c r="C3521" s="1" t="s">
        <v>48</v>
      </c>
      <c r="D3521" s="1" t="str">
        <f t="shared" si="664"/>
        <v>9806</v>
      </c>
      <c r="E3521" s="1" t="s">
        <v>49</v>
      </c>
      <c r="F3521" s="1" t="str">
        <f>"22C8DE1B2F880400C822002000000021"</f>
        <v>22C8DE1B2F880400C822002000000021</v>
      </c>
      <c r="G3521" s="1" t="s">
        <v>58</v>
      </c>
      <c r="H3521" s="1" t="str">
        <f t="shared" si="659"/>
        <v>20220915</v>
      </c>
      <c r="I3521" s="1" t="str">
        <f>"072645"</f>
        <v>072645</v>
      </c>
      <c r="J3521" s="1" t="s">
        <v>28</v>
      </c>
      <c r="K3521" s="1" t="s">
        <v>28</v>
      </c>
      <c r="L3521" s="1" t="str">
        <f t="shared" si="656"/>
        <v>20220915</v>
      </c>
      <c r="M3521" s="1" t="str">
        <f>"074425"</f>
        <v>074425</v>
      </c>
      <c r="N3521" s="1" t="s">
        <v>99</v>
      </c>
      <c r="O3521" s="1" t="s">
        <v>28</v>
      </c>
      <c r="P3521" s="1" t="s">
        <v>55</v>
      </c>
      <c r="Q3521" s="1">
        <v>25</v>
      </c>
      <c r="R3521" s="1">
        <v>0</v>
      </c>
      <c r="S3521" s="1">
        <v>25</v>
      </c>
      <c r="T3521" s="1">
        <v>0</v>
      </c>
      <c r="U3521" s="1">
        <v>0</v>
      </c>
      <c r="V3521" s="1" t="str">
        <f t="shared" si="662"/>
        <v>里程返程</v>
      </c>
      <c r="W3521" s="1" t="str">
        <f>"0620"</f>
        <v>0620</v>
      </c>
      <c r="X3521" s="1" t="s">
        <v>29</v>
      </c>
    </row>
    <row r="3522" spans="1:24" x14ac:dyDescent="0.3">
      <c r="A3522" s="1" t="str">
        <f t="shared" si="663"/>
        <v>59829</v>
      </c>
      <c r="B3522" s="1" t="s">
        <v>47</v>
      </c>
      <c r="C3522" s="1" t="s">
        <v>48</v>
      </c>
      <c r="D3522" s="1" t="str">
        <f t="shared" si="664"/>
        <v>9806</v>
      </c>
      <c r="E3522" s="1" t="s">
        <v>49</v>
      </c>
      <c r="F3522" s="1" t="str">
        <f>"F238370AF7880400C810002000000016"</f>
        <v>F238370AF7880400C810002000000016</v>
      </c>
      <c r="G3522" s="1" t="s">
        <v>59</v>
      </c>
      <c r="H3522" s="1" t="str">
        <f t="shared" si="659"/>
        <v>20220915</v>
      </c>
      <c r="I3522" s="1" t="str">
        <f>"072651"</f>
        <v>072651</v>
      </c>
      <c r="J3522" s="1" t="s">
        <v>28</v>
      </c>
      <c r="K3522" s="1" t="s">
        <v>28</v>
      </c>
      <c r="L3522" s="1" t="str">
        <f t="shared" si="656"/>
        <v>20220915</v>
      </c>
      <c r="M3522" s="1" t="str">
        <f>"073701"</f>
        <v>073701</v>
      </c>
      <c r="N3522" s="1" t="s">
        <v>63</v>
      </c>
      <c r="O3522" s="1" t="s">
        <v>28</v>
      </c>
      <c r="P3522" s="1" t="s">
        <v>55</v>
      </c>
      <c r="Q3522" s="1">
        <v>25</v>
      </c>
      <c r="R3522" s="1">
        <v>0</v>
      </c>
      <c r="S3522" s="1">
        <v>25</v>
      </c>
      <c r="T3522" s="1">
        <v>0</v>
      </c>
      <c r="U3522" s="1">
        <v>0</v>
      </c>
      <c r="V3522" s="1" t="str">
        <f t="shared" si="662"/>
        <v>里程返程</v>
      </c>
      <c r="W3522" s="1" t="str">
        <f>"0620"</f>
        <v>0620</v>
      </c>
      <c r="X3522" s="1" t="s">
        <v>29</v>
      </c>
    </row>
    <row r="3523" spans="1:24" x14ac:dyDescent="0.3">
      <c r="A3523" s="1" t="str">
        <f t="shared" si="663"/>
        <v>59829</v>
      </c>
      <c r="B3523" s="1" t="s">
        <v>47</v>
      </c>
      <c r="C3523" s="1" t="s">
        <v>48</v>
      </c>
      <c r="D3523" s="1" t="str">
        <f t="shared" si="664"/>
        <v>9806</v>
      </c>
      <c r="E3523" s="1" t="s">
        <v>49</v>
      </c>
      <c r="F3523" s="1" t="str">
        <f>"62C93D1680880400C814002000000019"</f>
        <v>62C93D1680880400C814002000000019</v>
      </c>
      <c r="G3523" s="1" t="s">
        <v>59</v>
      </c>
      <c r="H3523" s="1" t="str">
        <f t="shared" si="659"/>
        <v>20220915</v>
      </c>
      <c r="I3523" s="1" t="str">
        <f>"072654"</f>
        <v>072654</v>
      </c>
      <c r="J3523" s="1" t="s">
        <v>28</v>
      </c>
      <c r="K3523" s="1" t="s">
        <v>28</v>
      </c>
      <c r="L3523" s="1" t="str">
        <f t="shared" si="656"/>
        <v>20220915</v>
      </c>
      <c r="M3523" s="1" t="str">
        <f>"073651"</f>
        <v>073651</v>
      </c>
      <c r="N3523" s="1" t="s">
        <v>63</v>
      </c>
      <c r="O3523" s="1" t="s">
        <v>28</v>
      </c>
      <c r="P3523" s="1" t="s">
        <v>55</v>
      </c>
      <c r="Q3523" s="1">
        <v>25</v>
      </c>
      <c r="R3523" s="1">
        <v>0</v>
      </c>
      <c r="S3523" s="1">
        <v>25</v>
      </c>
      <c r="T3523" s="1">
        <v>0</v>
      </c>
      <c r="U3523" s="1">
        <v>0</v>
      </c>
      <c r="V3523" s="1" t="str">
        <f t="shared" si="662"/>
        <v>里程返程</v>
      </c>
      <c r="W3523" s="1" t="str">
        <f>"0620"</f>
        <v>0620</v>
      </c>
      <c r="X3523" s="1" t="s">
        <v>29</v>
      </c>
    </row>
    <row r="3524" spans="1:24" x14ac:dyDescent="0.3">
      <c r="A3524" s="1" t="str">
        <f t="shared" si="663"/>
        <v>59829</v>
      </c>
      <c r="B3524" s="1" t="s">
        <v>47</v>
      </c>
      <c r="C3524" s="1" t="s">
        <v>48</v>
      </c>
      <c r="D3524" s="1" t="str">
        <f t="shared" si="664"/>
        <v>9806</v>
      </c>
      <c r="E3524" s="1" t="s">
        <v>49</v>
      </c>
      <c r="F3524" s="1" t="str">
        <f>"126D55163C880400C814002000000019"</f>
        <v>126D55163C880400C814002000000019</v>
      </c>
      <c r="G3524" s="1" t="s">
        <v>59</v>
      </c>
      <c r="H3524" s="1" t="str">
        <f t="shared" si="659"/>
        <v>20220915</v>
      </c>
      <c r="I3524" s="1" t="str">
        <f>"072656"</f>
        <v>072656</v>
      </c>
      <c r="J3524" s="1" t="s">
        <v>28</v>
      </c>
      <c r="K3524" s="1" t="s">
        <v>28</v>
      </c>
      <c r="L3524" s="1" t="str">
        <f t="shared" si="656"/>
        <v>20220915</v>
      </c>
      <c r="M3524" s="1" t="str">
        <f>"073655"</f>
        <v>073655</v>
      </c>
      <c r="N3524" s="1" t="s">
        <v>63</v>
      </c>
      <c r="O3524" s="1" t="s">
        <v>28</v>
      </c>
      <c r="P3524" s="1" t="s">
        <v>55</v>
      </c>
      <c r="Q3524" s="1">
        <v>25</v>
      </c>
      <c r="R3524" s="1">
        <v>0</v>
      </c>
      <c r="S3524" s="1">
        <v>25</v>
      </c>
      <c r="T3524" s="1">
        <v>0</v>
      </c>
      <c r="U3524" s="1">
        <v>0</v>
      </c>
      <c r="V3524" s="1" t="str">
        <f t="shared" si="662"/>
        <v>里程返程</v>
      </c>
      <c r="W3524" s="1" t="str">
        <f>"0620"</f>
        <v>0620</v>
      </c>
      <c r="X3524" s="1" t="s">
        <v>29</v>
      </c>
    </row>
    <row r="3525" spans="1:24" x14ac:dyDescent="0.3">
      <c r="A3525" s="1" t="str">
        <f t="shared" si="663"/>
        <v>59829</v>
      </c>
      <c r="B3525" s="1" t="s">
        <v>47</v>
      </c>
      <c r="C3525" s="1" t="s">
        <v>48</v>
      </c>
      <c r="D3525" s="1" t="str">
        <f t="shared" si="664"/>
        <v>9806</v>
      </c>
      <c r="E3525" s="1" t="s">
        <v>49</v>
      </c>
      <c r="F3525" s="1" t="str">
        <f>"22861B13AC28040080CED9985D913018"</f>
        <v>22861B13AC28040080CED9985D913018</v>
      </c>
      <c r="G3525" s="1" t="s">
        <v>58</v>
      </c>
      <c r="H3525" s="1" t="str">
        <f t="shared" si="659"/>
        <v>20220915</v>
      </c>
      <c r="I3525" s="1" t="str">
        <f>"072659"</f>
        <v>072659</v>
      </c>
      <c r="J3525" s="1" t="s">
        <v>28</v>
      </c>
      <c r="K3525" s="1" t="s">
        <v>28</v>
      </c>
      <c r="L3525" s="1" t="str">
        <f t="shared" si="656"/>
        <v>20220915</v>
      </c>
      <c r="M3525" s="1" t="str">
        <f>"073653"</f>
        <v>073653</v>
      </c>
      <c r="N3525" s="1" t="s">
        <v>63</v>
      </c>
      <c r="O3525" s="1" t="s">
        <v>28</v>
      </c>
      <c r="P3525" s="1" t="s">
        <v>55</v>
      </c>
      <c r="Q3525" s="1">
        <v>25</v>
      </c>
      <c r="R3525" s="1">
        <v>0</v>
      </c>
      <c r="S3525" s="1">
        <v>25</v>
      </c>
      <c r="T3525" s="1">
        <v>0</v>
      </c>
      <c r="U3525" s="1">
        <v>0</v>
      </c>
      <c r="V3525" s="1" t="str">
        <f t="shared" si="662"/>
        <v>里程返程</v>
      </c>
      <c r="W3525" s="1" t="str">
        <f>"0620"</f>
        <v>0620</v>
      </c>
      <c r="X3525" s="1" t="s">
        <v>29</v>
      </c>
    </row>
    <row r="3526" spans="1:24" x14ac:dyDescent="0.3">
      <c r="A3526" s="1" t="str">
        <f t="shared" si="663"/>
        <v>59829</v>
      </c>
      <c r="B3526" s="1" t="s">
        <v>47</v>
      </c>
      <c r="C3526" s="1" t="s">
        <v>48</v>
      </c>
      <c r="D3526" s="1" t="str">
        <f t="shared" si="664"/>
        <v>9806</v>
      </c>
      <c r="E3526" s="1" t="s">
        <v>49</v>
      </c>
      <c r="F3526" s="1" t="str">
        <f>"652006485"</f>
        <v>652006485</v>
      </c>
      <c r="G3526" s="1" t="s">
        <v>33</v>
      </c>
      <c r="H3526" s="1" t="str">
        <f t="shared" si="659"/>
        <v>20220915</v>
      </c>
      <c r="I3526" s="1" t="str">
        <f>"072701"</f>
        <v>072701</v>
      </c>
      <c r="J3526" s="1" t="s">
        <v>28</v>
      </c>
      <c r="K3526" s="1" t="s">
        <v>28</v>
      </c>
      <c r="L3526" s="1" t="str">
        <f t="shared" si="656"/>
        <v>20220915</v>
      </c>
      <c r="M3526" s="1" t="str">
        <f>"073643"</f>
        <v>073643</v>
      </c>
      <c r="N3526" s="1" t="s">
        <v>63</v>
      </c>
      <c r="O3526" s="1" t="s">
        <v>28</v>
      </c>
      <c r="P3526" s="1" t="s">
        <v>55</v>
      </c>
      <c r="Q3526" s="1">
        <v>25</v>
      </c>
      <c r="R3526" s="1">
        <v>0</v>
      </c>
      <c r="S3526" s="1">
        <v>25</v>
      </c>
      <c r="T3526" s="1">
        <v>0</v>
      </c>
      <c r="U3526" s="1">
        <v>0</v>
      </c>
      <c r="V3526" s="1" t="str">
        <f t="shared" si="662"/>
        <v>里程返程</v>
      </c>
      <c r="W3526" s="1" t="str">
        <f>"0820"</f>
        <v>0820</v>
      </c>
      <c r="X3526" s="1" t="s">
        <v>35</v>
      </c>
    </row>
    <row r="3527" spans="1:24" x14ac:dyDescent="0.3">
      <c r="A3527" s="1" t="str">
        <f t="shared" si="663"/>
        <v>59829</v>
      </c>
      <c r="B3527" s="1" t="s">
        <v>47</v>
      </c>
      <c r="C3527" s="1" t="s">
        <v>48</v>
      </c>
      <c r="D3527" s="1" t="str">
        <f t="shared" si="664"/>
        <v>9806</v>
      </c>
      <c r="E3527" s="1" t="s">
        <v>49</v>
      </c>
      <c r="F3527" s="1" t="str">
        <f>"1697487813"</f>
        <v>1697487813</v>
      </c>
      <c r="G3527" s="1" t="s">
        <v>33</v>
      </c>
      <c r="H3527" s="1" t="str">
        <f t="shared" si="659"/>
        <v>20220915</v>
      </c>
      <c r="I3527" s="1" t="str">
        <f>"072704"</f>
        <v>072704</v>
      </c>
      <c r="J3527" s="1" t="s">
        <v>28</v>
      </c>
      <c r="K3527" s="1" t="s">
        <v>28</v>
      </c>
      <c r="L3527" s="1" t="str">
        <f t="shared" si="656"/>
        <v>20220915</v>
      </c>
      <c r="M3527" s="1" t="str">
        <f>"074409"</f>
        <v>074409</v>
      </c>
      <c r="N3527" s="1" t="s">
        <v>99</v>
      </c>
      <c r="O3527" s="1" t="s">
        <v>28</v>
      </c>
      <c r="P3527" s="1" t="s">
        <v>55</v>
      </c>
      <c r="Q3527" s="1">
        <v>25</v>
      </c>
      <c r="R3527" s="1">
        <v>0</v>
      </c>
      <c r="S3527" s="1">
        <v>25</v>
      </c>
      <c r="T3527" s="1">
        <v>0</v>
      </c>
      <c r="U3527" s="1">
        <v>0</v>
      </c>
      <c r="V3527" s="1" t="str">
        <f t="shared" si="662"/>
        <v>里程返程</v>
      </c>
      <c r="W3527" s="1" t="str">
        <f>"0820"</f>
        <v>0820</v>
      </c>
      <c r="X3527" s="1" t="s">
        <v>35</v>
      </c>
    </row>
    <row r="3528" spans="1:24" x14ac:dyDescent="0.3">
      <c r="A3528" s="1" t="str">
        <f t="shared" si="663"/>
        <v>59829</v>
      </c>
      <c r="B3528" s="1" t="s">
        <v>47</v>
      </c>
      <c r="C3528" s="1" t="s">
        <v>48</v>
      </c>
      <c r="D3528" s="1" t="str">
        <f t="shared" si="664"/>
        <v>9806</v>
      </c>
      <c r="E3528" s="1" t="s">
        <v>49</v>
      </c>
      <c r="F3528" s="1" t="str">
        <f>"7511161863006423"</f>
        <v>7511161863006423</v>
      </c>
      <c r="G3528" s="1" t="s">
        <v>33</v>
      </c>
      <c r="H3528" s="1" t="str">
        <f t="shared" si="659"/>
        <v>20220915</v>
      </c>
      <c r="I3528" s="1" t="str">
        <f>"072710"</f>
        <v>072710</v>
      </c>
      <c r="J3528" s="1" t="s">
        <v>28</v>
      </c>
      <c r="K3528" s="1" t="s">
        <v>28</v>
      </c>
      <c r="L3528" s="1" t="str">
        <f t="shared" si="656"/>
        <v>20220915</v>
      </c>
      <c r="M3528" s="1" t="str">
        <f>"074411"</f>
        <v>074411</v>
      </c>
      <c r="N3528" s="1" t="s">
        <v>99</v>
      </c>
      <c r="O3528" s="1" t="s">
        <v>28</v>
      </c>
      <c r="P3528" s="1" t="s">
        <v>55</v>
      </c>
      <c r="Q3528" s="1">
        <v>25</v>
      </c>
      <c r="R3528" s="1">
        <v>25</v>
      </c>
      <c r="S3528" s="1">
        <v>0</v>
      </c>
      <c r="T3528" s="1">
        <v>0</v>
      </c>
      <c r="U3528" s="1">
        <v>0</v>
      </c>
      <c r="V3528" s="1" t="str">
        <f t="shared" si="662"/>
        <v>里程返程</v>
      </c>
      <c r="W3528" s="1" t="str">
        <f>"088B"</f>
        <v>088B</v>
      </c>
      <c r="X3528" s="1" t="s">
        <v>109</v>
      </c>
    </row>
    <row r="3529" spans="1:24" x14ac:dyDescent="0.3">
      <c r="A3529" s="1" t="str">
        <f t="shared" si="663"/>
        <v>59829</v>
      </c>
      <c r="B3529" s="1" t="s">
        <v>47</v>
      </c>
      <c r="C3529" s="1" t="s">
        <v>48</v>
      </c>
      <c r="D3529" s="1" t="str">
        <f t="shared" si="664"/>
        <v>9806</v>
      </c>
      <c r="E3529" s="1" t="s">
        <v>49</v>
      </c>
      <c r="F3529" s="1" t="str">
        <f>"D2B4601610880400C814002000000019"</f>
        <v>D2B4601610880400C814002000000019</v>
      </c>
      <c r="G3529" s="1" t="s">
        <v>59</v>
      </c>
      <c r="H3529" s="1" t="str">
        <f t="shared" si="659"/>
        <v>20220915</v>
      </c>
      <c r="I3529" s="1" t="str">
        <f>"072719"</f>
        <v>072719</v>
      </c>
      <c r="J3529" s="1" t="s">
        <v>28</v>
      </c>
      <c r="K3529" s="1" t="s">
        <v>28</v>
      </c>
      <c r="L3529" s="1" t="str">
        <f t="shared" si="656"/>
        <v>20220915</v>
      </c>
      <c r="M3529" s="1" t="str">
        <f>"073648"</f>
        <v>073648</v>
      </c>
      <c r="N3529" s="1" t="s">
        <v>63</v>
      </c>
      <c r="O3529" s="1" t="s">
        <v>28</v>
      </c>
      <c r="P3529" s="1" t="s">
        <v>55</v>
      </c>
      <c r="Q3529" s="1">
        <v>25</v>
      </c>
      <c r="R3529" s="1">
        <v>0</v>
      </c>
      <c r="S3529" s="1">
        <v>25</v>
      </c>
      <c r="T3529" s="1">
        <v>0</v>
      </c>
      <c r="U3529" s="1">
        <v>0</v>
      </c>
      <c r="V3529" s="1" t="str">
        <f t="shared" si="662"/>
        <v>里程返程</v>
      </c>
      <c r="W3529" s="1" t="str">
        <f>"0620"</f>
        <v>0620</v>
      </c>
      <c r="X3529" s="1" t="s">
        <v>29</v>
      </c>
    </row>
    <row r="3530" spans="1:24" x14ac:dyDescent="0.3">
      <c r="A3530" s="1" t="str">
        <f t="shared" si="663"/>
        <v>59829</v>
      </c>
      <c r="B3530" s="1" t="s">
        <v>47</v>
      </c>
      <c r="C3530" s="1" t="s">
        <v>48</v>
      </c>
      <c r="D3530" s="1" t="str">
        <f t="shared" ref="D3530:D3552" si="665">"9803"</f>
        <v>9803</v>
      </c>
      <c r="E3530" s="1" t="s">
        <v>32</v>
      </c>
      <c r="F3530" s="1" t="str">
        <f>"1724763557"</f>
        <v>1724763557</v>
      </c>
      <c r="G3530" s="1" t="s">
        <v>33</v>
      </c>
      <c r="H3530" s="1" t="str">
        <f t="shared" si="659"/>
        <v>20220915</v>
      </c>
      <c r="I3530" s="1" t="str">
        <f>"081301"</f>
        <v>081301</v>
      </c>
      <c r="J3530" s="1" t="s">
        <v>28</v>
      </c>
      <c r="K3530" s="1" t="s">
        <v>28</v>
      </c>
      <c r="L3530" s="1" t="str">
        <f t="shared" si="656"/>
        <v>20220915</v>
      </c>
      <c r="M3530" s="1" t="str">
        <f>"082304"</f>
        <v>082304</v>
      </c>
      <c r="N3530" s="1" t="s">
        <v>79</v>
      </c>
      <c r="O3530" s="1" t="s">
        <v>28</v>
      </c>
      <c r="P3530" s="1" t="s">
        <v>55</v>
      </c>
      <c r="Q3530" s="1">
        <v>25</v>
      </c>
      <c r="R3530" s="1">
        <v>25</v>
      </c>
      <c r="S3530" s="1">
        <v>0</v>
      </c>
      <c r="T3530" s="1">
        <v>0</v>
      </c>
      <c r="U3530" s="1">
        <v>0</v>
      </c>
      <c r="V3530" s="1" t="str">
        <f t="shared" ref="V3530:V3551" si="666">"里程去程"</f>
        <v>里程去程</v>
      </c>
      <c r="W3530" s="1" t="str">
        <f>"1420"</f>
        <v>1420</v>
      </c>
      <c r="X3530" s="1" t="s">
        <v>35</v>
      </c>
    </row>
    <row r="3531" spans="1:24" x14ac:dyDescent="0.3">
      <c r="A3531" s="1" t="str">
        <f t="shared" si="663"/>
        <v>59829</v>
      </c>
      <c r="B3531" s="1" t="s">
        <v>47</v>
      </c>
      <c r="C3531" s="1" t="s">
        <v>48</v>
      </c>
      <c r="D3531" s="1" t="str">
        <f t="shared" si="665"/>
        <v>9803</v>
      </c>
      <c r="E3531" s="1" t="s">
        <v>32</v>
      </c>
      <c r="F3531" s="1" t="str">
        <f>"310506065"</f>
        <v>310506065</v>
      </c>
      <c r="G3531" s="1" t="s">
        <v>26</v>
      </c>
      <c r="H3531" s="1" t="str">
        <f t="shared" si="659"/>
        <v>20220915</v>
      </c>
      <c r="I3531" s="1" t="str">
        <f>"081305"</f>
        <v>081305</v>
      </c>
      <c r="J3531" s="1" t="s">
        <v>28</v>
      </c>
      <c r="K3531" s="1" t="s">
        <v>28</v>
      </c>
      <c r="L3531" s="1" t="str">
        <f t="shared" si="656"/>
        <v>20220915</v>
      </c>
      <c r="M3531" s="1" t="str">
        <f>"082519"</f>
        <v>082519</v>
      </c>
      <c r="N3531" s="1" t="s">
        <v>46</v>
      </c>
      <c r="O3531" s="1" t="s">
        <v>28</v>
      </c>
      <c r="P3531" s="1" t="s">
        <v>55</v>
      </c>
      <c r="Q3531" s="1">
        <v>13</v>
      </c>
      <c r="R3531" s="1">
        <v>13</v>
      </c>
      <c r="S3531" s="1">
        <v>0</v>
      </c>
      <c r="T3531" s="1">
        <v>0</v>
      </c>
      <c r="U3531" s="1">
        <v>0</v>
      </c>
      <c r="V3531" s="1" t="str">
        <f t="shared" si="666"/>
        <v>里程去程</v>
      </c>
      <c r="W3531" s="1" t="str">
        <f>"2120"</f>
        <v>2120</v>
      </c>
      <c r="X3531" s="1" t="s">
        <v>35</v>
      </c>
    </row>
    <row r="3532" spans="1:24" x14ac:dyDescent="0.3">
      <c r="A3532" s="1" t="str">
        <f t="shared" si="663"/>
        <v>59829</v>
      </c>
      <c r="B3532" s="1" t="s">
        <v>47</v>
      </c>
      <c r="C3532" s="1" t="s">
        <v>48</v>
      </c>
      <c r="D3532" s="1" t="str">
        <f t="shared" si="665"/>
        <v>9803</v>
      </c>
      <c r="E3532" s="1" t="s">
        <v>32</v>
      </c>
      <c r="F3532" s="1" t="str">
        <f>"1299757825"</f>
        <v>1299757825</v>
      </c>
      <c r="G3532" s="1" t="s">
        <v>26</v>
      </c>
      <c r="H3532" s="1" t="str">
        <f t="shared" si="659"/>
        <v>20220915</v>
      </c>
      <c r="I3532" s="1" t="str">
        <f>"081309"</f>
        <v>081309</v>
      </c>
      <c r="J3532" s="1" t="s">
        <v>28</v>
      </c>
      <c r="K3532" s="1" t="s">
        <v>28</v>
      </c>
      <c r="L3532" s="1" t="str">
        <f t="shared" si="656"/>
        <v>20220915</v>
      </c>
      <c r="M3532" s="1" t="str">
        <f>"082526"</f>
        <v>082526</v>
      </c>
      <c r="N3532" s="1" t="s">
        <v>46</v>
      </c>
      <c r="O3532" s="1" t="s">
        <v>28</v>
      </c>
      <c r="P3532" s="1" t="s">
        <v>55</v>
      </c>
      <c r="Q3532" s="1">
        <v>13</v>
      </c>
      <c r="R3532" s="1">
        <v>13</v>
      </c>
      <c r="S3532" s="1">
        <v>0</v>
      </c>
      <c r="T3532" s="1">
        <v>0</v>
      </c>
      <c r="U3532" s="1">
        <v>0</v>
      </c>
      <c r="V3532" s="1" t="str">
        <f t="shared" si="666"/>
        <v>里程去程</v>
      </c>
      <c r="W3532" s="1" t="str">
        <f>"2020"</f>
        <v>2020</v>
      </c>
      <c r="X3532" s="1" t="s">
        <v>35</v>
      </c>
    </row>
    <row r="3533" spans="1:24" x14ac:dyDescent="0.3">
      <c r="A3533" s="1" t="str">
        <f t="shared" si="663"/>
        <v>59829</v>
      </c>
      <c r="B3533" s="1" t="s">
        <v>47</v>
      </c>
      <c r="C3533" s="1" t="s">
        <v>48</v>
      </c>
      <c r="D3533" s="1" t="str">
        <f t="shared" si="665"/>
        <v>9803</v>
      </c>
      <c r="E3533" s="1" t="s">
        <v>32</v>
      </c>
      <c r="F3533" s="1" t="str">
        <f>"1076304341"</f>
        <v>1076304341</v>
      </c>
      <c r="G3533" s="1" t="s">
        <v>33</v>
      </c>
      <c r="H3533" s="1" t="str">
        <f t="shared" si="659"/>
        <v>20220915</v>
      </c>
      <c r="I3533" s="1" t="str">
        <f>"081311"</f>
        <v>081311</v>
      </c>
      <c r="J3533" s="1" t="s">
        <v>28</v>
      </c>
      <c r="K3533" s="1" t="s">
        <v>28</v>
      </c>
      <c r="L3533" s="1" t="str">
        <f t="shared" si="656"/>
        <v>20220915</v>
      </c>
      <c r="M3533" s="1" t="str">
        <f>"083345"</f>
        <v>083345</v>
      </c>
      <c r="N3533" s="1" t="s">
        <v>34</v>
      </c>
      <c r="O3533" s="1" t="s">
        <v>34</v>
      </c>
      <c r="P3533" s="1" t="s">
        <v>55</v>
      </c>
      <c r="Q3533" s="1">
        <v>25</v>
      </c>
      <c r="R3533" s="1">
        <v>25</v>
      </c>
      <c r="S3533" s="1">
        <v>0</v>
      </c>
      <c r="T3533" s="1">
        <v>0</v>
      </c>
      <c r="U3533" s="1">
        <v>0</v>
      </c>
      <c r="V3533" s="1" t="str">
        <f t="shared" si="666"/>
        <v>里程去程</v>
      </c>
      <c r="W3533" s="1" t="str">
        <f>"2020"</f>
        <v>2020</v>
      </c>
      <c r="X3533" s="1" t="s">
        <v>35</v>
      </c>
    </row>
    <row r="3534" spans="1:24" x14ac:dyDescent="0.3">
      <c r="A3534" s="1" t="str">
        <f t="shared" si="663"/>
        <v>59829</v>
      </c>
      <c r="B3534" s="1" t="s">
        <v>47</v>
      </c>
      <c r="C3534" s="1" t="s">
        <v>48</v>
      </c>
      <c r="D3534" s="1" t="str">
        <f t="shared" si="665"/>
        <v>9803</v>
      </c>
      <c r="E3534" s="1" t="s">
        <v>32</v>
      </c>
      <c r="F3534" s="1" t="str">
        <f>"1600834117"</f>
        <v>1600834117</v>
      </c>
      <c r="G3534" s="1" t="s">
        <v>26</v>
      </c>
      <c r="H3534" s="1" t="str">
        <f t="shared" si="659"/>
        <v>20220915</v>
      </c>
      <c r="I3534" s="1" t="str">
        <f>"081312"</f>
        <v>081312</v>
      </c>
      <c r="J3534" s="1" t="s">
        <v>28</v>
      </c>
      <c r="K3534" s="1" t="s">
        <v>28</v>
      </c>
      <c r="L3534" s="1" t="str">
        <f t="shared" si="656"/>
        <v>20220915</v>
      </c>
      <c r="M3534" s="1" t="str">
        <f>"082538"</f>
        <v>082538</v>
      </c>
      <c r="N3534" s="1" t="s">
        <v>46</v>
      </c>
      <c r="O3534" s="1" t="s">
        <v>28</v>
      </c>
      <c r="P3534" s="1" t="s">
        <v>55</v>
      </c>
      <c r="Q3534" s="1">
        <v>13</v>
      </c>
      <c r="R3534" s="1">
        <v>13</v>
      </c>
      <c r="S3534" s="1">
        <v>0</v>
      </c>
      <c r="T3534" s="1">
        <v>0</v>
      </c>
      <c r="U3534" s="1">
        <v>0</v>
      </c>
      <c r="V3534" s="1" t="str">
        <f t="shared" si="666"/>
        <v>里程去程</v>
      </c>
      <c r="W3534" s="1" t="str">
        <f>"2020"</f>
        <v>2020</v>
      </c>
      <c r="X3534" s="1" t="s">
        <v>35</v>
      </c>
    </row>
    <row r="3535" spans="1:24" x14ac:dyDescent="0.3">
      <c r="A3535" s="1" t="str">
        <f t="shared" si="663"/>
        <v>59829</v>
      </c>
      <c r="B3535" s="1" t="s">
        <v>47</v>
      </c>
      <c r="C3535" s="1" t="s">
        <v>48</v>
      </c>
      <c r="D3535" s="1" t="str">
        <f t="shared" si="665"/>
        <v>9803</v>
      </c>
      <c r="E3535" s="1" t="s">
        <v>32</v>
      </c>
      <c r="F3535" s="1" t="str">
        <f>"752712385"</f>
        <v>752712385</v>
      </c>
      <c r="G3535" s="1" t="s">
        <v>26</v>
      </c>
      <c r="H3535" s="1" t="str">
        <f t="shared" si="659"/>
        <v>20220915</v>
      </c>
      <c r="I3535" s="1" t="str">
        <f>"081326"</f>
        <v>081326</v>
      </c>
      <c r="J3535" s="1" t="s">
        <v>28</v>
      </c>
      <c r="K3535" s="1" t="s">
        <v>28</v>
      </c>
      <c r="L3535" s="1" t="str">
        <f t="shared" si="656"/>
        <v>20220915</v>
      </c>
      <c r="M3535" s="1" t="str">
        <f>"082508"</f>
        <v>082508</v>
      </c>
      <c r="N3535" s="1" t="s">
        <v>46</v>
      </c>
      <c r="O3535" s="1" t="s">
        <v>28</v>
      </c>
      <c r="P3535" s="1" t="s">
        <v>55</v>
      </c>
      <c r="Q3535" s="1">
        <v>13</v>
      </c>
      <c r="R3535" s="1">
        <v>13</v>
      </c>
      <c r="S3535" s="1">
        <v>0</v>
      </c>
      <c r="T3535" s="1">
        <v>0</v>
      </c>
      <c r="U3535" s="1">
        <v>0</v>
      </c>
      <c r="V3535" s="1" t="str">
        <f t="shared" si="666"/>
        <v>里程去程</v>
      </c>
      <c r="W3535" s="1" t="str">
        <f>"2020"</f>
        <v>2020</v>
      </c>
      <c r="X3535" s="1" t="s">
        <v>35</v>
      </c>
    </row>
    <row r="3536" spans="1:24" x14ac:dyDescent="0.3">
      <c r="A3536" s="1" t="str">
        <f t="shared" si="663"/>
        <v>59829</v>
      </c>
      <c r="B3536" s="1" t="s">
        <v>47</v>
      </c>
      <c r="C3536" s="1" t="s">
        <v>48</v>
      </c>
      <c r="D3536" s="1" t="str">
        <f t="shared" si="665"/>
        <v>9803</v>
      </c>
      <c r="E3536" s="1" t="s">
        <v>32</v>
      </c>
      <c r="F3536" s="1" t="str">
        <f>"1641380389"</f>
        <v>1641380389</v>
      </c>
      <c r="G3536" s="1" t="s">
        <v>26</v>
      </c>
      <c r="H3536" s="1" t="str">
        <f t="shared" si="659"/>
        <v>20220915</v>
      </c>
      <c r="I3536" s="1" t="str">
        <f>"081328"</f>
        <v>081328</v>
      </c>
      <c r="J3536" s="1" t="s">
        <v>28</v>
      </c>
      <c r="K3536" s="1" t="s">
        <v>28</v>
      </c>
      <c r="L3536" s="1" t="str">
        <f t="shared" si="656"/>
        <v>20220915</v>
      </c>
      <c r="M3536" s="1" t="str">
        <f>"082512"</f>
        <v>082512</v>
      </c>
      <c r="N3536" s="1" t="s">
        <v>46</v>
      </c>
      <c r="O3536" s="1" t="s">
        <v>28</v>
      </c>
      <c r="P3536" s="1" t="s">
        <v>55</v>
      </c>
      <c r="Q3536" s="1">
        <v>13</v>
      </c>
      <c r="R3536" s="1">
        <v>13</v>
      </c>
      <c r="S3536" s="1">
        <v>0</v>
      </c>
      <c r="T3536" s="1">
        <v>0</v>
      </c>
      <c r="U3536" s="1">
        <v>0</v>
      </c>
      <c r="V3536" s="1" t="str">
        <f t="shared" si="666"/>
        <v>里程去程</v>
      </c>
      <c r="W3536" s="1" t="str">
        <f>"2020"</f>
        <v>2020</v>
      </c>
      <c r="X3536" s="1" t="s">
        <v>35</v>
      </c>
    </row>
    <row r="3537" spans="1:24" x14ac:dyDescent="0.3">
      <c r="A3537" s="1" t="str">
        <f t="shared" si="663"/>
        <v>59829</v>
      </c>
      <c r="B3537" s="1" t="s">
        <v>47</v>
      </c>
      <c r="C3537" s="1" t="s">
        <v>48</v>
      </c>
      <c r="D3537" s="1" t="str">
        <f t="shared" si="665"/>
        <v>9803</v>
      </c>
      <c r="E3537" s="1" t="s">
        <v>32</v>
      </c>
      <c r="F3537" s="1" t="str">
        <f>"1175059989"</f>
        <v>1175059989</v>
      </c>
      <c r="G3537" s="1" t="s">
        <v>26</v>
      </c>
      <c r="H3537" s="1" t="str">
        <f t="shared" si="659"/>
        <v>20220915</v>
      </c>
      <c r="I3537" s="1" t="str">
        <f>"081331"</f>
        <v>081331</v>
      </c>
      <c r="J3537" s="1" t="s">
        <v>28</v>
      </c>
      <c r="K3537" s="1" t="s">
        <v>28</v>
      </c>
      <c r="L3537" s="1" t="str">
        <f t="shared" si="656"/>
        <v>20220915</v>
      </c>
      <c r="M3537" s="1" t="str">
        <f>"082541"</f>
        <v>082541</v>
      </c>
      <c r="N3537" s="1" t="s">
        <v>46</v>
      </c>
      <c r="O3537" s="1" t="s">
        <v>28</v>
      </c>
      <c r="P3537" s="1" t="s">
        <v>55</v>
      </c>
      <c r="Q3537" s="1">
        <v>13</v>
      </c>
      <c r="R3537" s="1">
        <v>13</v>
      </c>
      <c r="S3537" s="1">
        <v>0</v>
      </c>
      <c r="T3537" s="1">
        <v>0</v>
      </c>
      <c r="U3537" s="1">
        <v>0</v>
      </c>
      <c r="V3537" s="1" t="str">
        <f t="shared" si="666"/>
        <v>里程去程</v>
      </c>
      <c r="W3537" s="1" t="str">
        <f>"1420"</f>
        <v>1420</v>
      </c>
      <c r="X3537" s="1" t="s">
        <v>35</v>
      </c>
    </row>
    <row r="3538" spans="1:24" x14ac:dyDescent="0.3">
      <c r="A3538" s="1" t="str">
        <f t="shared" si="663"/>
        <v>59829</v>
      </c>
      <c r="B3538" s="1" t="s">
        <v>47</v>
      </c>
      <c r="C3538" s="1" t="s">
        <v>48</v>
      </c>
      <c r="D3538" s="1" t="str">
        <f t="shared" si="665"/>
        <v>9803</v>
      </c>
      <c r="E3538" s="1" t="s">
        <v>32</v>
      </c>
      <c r="F3538" s="1" t="str">
        <f>"1610786853"</f>
        <v>1610786853</v>
      </c>
      <c r="G3538" s="1" t="s">
        <v>26</v>
      </c>
      <c r="H3538" s="1" t="str">
        <f t="shared" si="659"/>
        <v>20220915</v>
      </c>
      <c r="I3538" s="1" t="str">
        <f>"081340"</f>
        <v>081340</v>
      </c>
      <c r="J3538" s="1" t="s">
        <v>28</v>
      </c>
      <c r="K3538" s="1" t="s">
        <v>28</v>
      </c>
      <c r="L3538" s="1" t="str">
        <f t="shared" si="656"/>
        <v>20220915</v>
      </c>
      <c r="M3538" s="1" t="str">
        <f>"082516"</f>
        <v>082516</v>
      </c>
      <c r="N3538" s="1" t="s">
        <v>46</v>
      </c>
      <c r="O3538" s="1" t="s">
        <v>28</v>
      </c>
      <c r="P3538" s="1" t="s">
        <v>55</v>
      </c>
      <c r="Q3538" s="1">
        <v>13</v>
      </c>
      <c r="R3538" s="1">
        <v>13</v>
      </c>
      <c r="S3538" s="1">
        <v>0</v>
      </c>
      <c r="T3538" s="1">
        <v>0</v>
      </c>
      <c r="U3538" s="1">
        <v>0</v>
      </c>
      <c r="V3538" s="1" t="str">
        <f t="shared" si="666"/>
        <v>里程去程</v>
      </c>
      <c r="W3538" s="1" t="str">
        <f>"2020"</f>
        <v>2020</v>
      </c>
      <c r="X3538" s="1" t="s">
        <v>35</v>
      </c>
    </row>
    <row r="3539" spans="1:24" x14ac:dyDescent="0.3">
      <c r="A3539" s="1" t="str">
        <f t="shared" si="663"/>
        <v>59829</v>
      </c>
      <c r="B3539" s="1" t="s">
        <v>47</v>
      </c>
      <c r="C3539" s="1" t="s">
        <v>48</v>
      </c>
      <c r="D3539" s="1" t="str">
        <f t="shared" si="665"/>
        <v>9803</v>
      </c>
      <c r="E3539" s="1" t="s">
        <v>32</v>
      </c>
      <c r="F3539" s="1" t="str">
        <f>"2100974762"</f>
        <v>2100974762</v>
      </c>
      <c r="G3539" s="1" t="s">
        <v>33</v>
      </c>
      <c r="H3539" s="1" t="str">
        <f t="shared" si="659"/>
        <v>20220915</v>
      </c>
      <c r="I3539" s="1" t="str">
        <f>"081343"</f>
        <v>081343</v>
      </c>
      <c r="J3539" s="1" t="s">
        <v>28</v>
      </c>
      <c r="K3539" s="1" t="s">
        <v>28</v>
      </c>
      <c r="L3539" s="1" t="str">
        <f t="shared" si="656"/>
        <v>20220915</v>
      </c>
      <c r="M3539" s="1" t="str">
        <f>"082533"</f>
        <v>082533</v>
      </c>
      <c r="N3539" s="1" t="s">
        <v>46</v>
      </c>
      <c r="O3539" s="1" t="s">
        <v>28</v>
      </c>
      <c r="P3539" s="1" t="s">
        <v>55</v>
      </c>
      <c r="Q3539" s="1">
        <v>25</v>
      </c>
      <c r="R3539" s="1">
        <v>25</v>
      </c>
      <c r="S3539" s="1">
        <v>0</v>
      </c>
      <c r="T3539" s="1">
        <v>0</v>
      </c>
      <c r="U3539" s="1">
        <v>0</v>
      </c>
      <c r="V3539" s="1" t="str">
        <f t="shared" si="666"/>
        <v>里程去程</v>
      </c>
      <c r="W3539" s="1" t="str">
        <f>"2020"</f>
        <v>2020</v>
      </c>
      <c r="X3539" s="1" t="s">
        <v>35</v>
      </c>
    </row>
    <row r="3540" spans="1:24" x14ac:dyDescent="0.3">
      <c r="A3540" s="1" t="str">
        <f t="shared" si="663"/>
        <v>59829</v>
      </c>
      <c r="B3540" s="1" t="s">
        <v>47</v>
      </c>
      <c r="C3540" s="1" t="s">
        <v>48</v>
      </c>
      <c r="D3540" s="1" t="str">
        <f t="shared" si="665"/>
        <v>9803</v>
      </c>
      <c r="E3540" s="1" t="s">
        <v>32</v>
      </c>
      <c r="F3540" s="1" t="str">
        <f>"941870693"</f>
        <v>941870693</v>
      </c>
      <c r="G3540" s="1" t="s">
        <v>26</v>
      </c>
      <c r="H3540" s="1" t="str">
        <f t="shared" si="659"/>
        <v>20220915</v>
      </c>
      <c r="I3540" s="1" t="str">
        <f>"081348"</f>
        <v>081348</v>
      </c>
      <c r="J3540" s="1" t="s">
        <v>28</v>
      </c>
      <c r="K3540" s="1" t="s">
        <v>28</v>
      </c>
      <c r="L3540" s="1" t="str">
        <f t="shared" ref="L3540:L3562" si="667">"20220915"</f>
        <v>20220915</v>
      </c>
      <c r="M3540" s="1" t="str">
        <f>"082348"</f>
        <v>082348</v>
      </c>
      <c r="N3540" s="1" t="s">
        <v>46</v>
      </c>
      <c r="O3540" s="1" t="s">
        <v>28</v>
      </c>
      <c r="P3540" s="1" t="s">
        <v>55</v>
      </c>
      <c r="Q3540" s="1">
        <v>13</v>
      </c>
      <c r="R3540" s="1">
        <v>13</v>
      </c>
      <c r="S3540" s="1">
        <v>0</v>
      </c>
      <c r="T3540" s="1">
        <v>0</v>
      </c>
      <c r="U3540" s="1">
        <v>0</v>
      </c>
      <c r="V3540" s="1" t="str">
        <f t="shared" si="666"/>
        <v>里程去程</v>
      </c>
      <c r="W3540" s="1" t="str">
        <f>"2020"</f>
        <v>2020</v>
      </c>
      <c r="X3540" s="1" t="s">
        <v>35</v>
      </c>
    </row>
    <row r="3541" spans="1:24" x14ac:dyDescent="0.3">
      <c r="A3541" s="1" t="str">
        <f t="shared" si="663"/>
        <v>59829</v>
      </c>
      <c r="B3541" s="1" t="s">
        <v>47</v>
      </c>
      <c r="C3541" s="1" t="s">
        <v>48</v>
      </c>
      <c r="D3541" s="1" t="str">
        <f t="shared" si="665"/>
        <v>9803</v>
      </c>
      <c r="E3541" s="1" t="s">
        <v>32</v>
      </c>
      <c r="F3541" s="1" t="str">
        <f>"253150351"</f>
        <v>253150351</v>
      </c>
      <c r="G3541" s="1" t="s">
        <v>26</v>
      </c>
      <c r="H3541" s="1" t="str">
        <f t="shared" si="659"/>
        <v>20220915</v>
      </c>
      <c r="I3541" s="1" t="str">
        <f>"081351"</f>
        <v>081351</v>
      </c>
      <c r="J3541" s="1" t="s">
        <v>28</v>
      </c>
      <c r="K3541" s="1" t="s">
        <v>28</v>
      </c>
      <c r="L3541" s="1" t="str">
        <f t="shared" si="667"/>
        <v>20220915</v>
      </c>
      <c r="M3541" s="1" t="str">
        <f>"082522"</f>
        <v>082522</v>
      </c>
      <c r="N3541" s="1" t="s">
        <v>46</v>
      </c>
      <c r="O3541" s="1" t="s">
        <v>28</v>
      </c>
      <c r="P3541" s="1" t="s">
        <v>55</v>
      </c>
      <c r="Q3541" s="1">
        <v>13</v>
      </c>
      <c r="R3541" s="1">
        <v>13</v>
      </c>
      <c r="S3541" s="1">
        <v>0</v>
      </c>
      <c r="T3541" s="1">
        <v>0</v>
      </c>
      <c r="U3541" s="1">
        <v>0</v>
      </c>
      <c r="V3541" s="1" t="str">
        <f t="shared" si="666"/>
        <v>里程去程</v>
      </c>
      <c r="W3541" s="1" t="str">
        <f>"2020"</f>
        <v>2020</v>
      </c>
      <c r="X3541" s="1" t="s">
        <v>35</v>
      </c>
    </row>
    <row r="3542" spans="1:24" x14ac:dyDescent="0.3">
      <c r="A3542" s="1" t="str">
        <f t="shared" si="663"/>
        <v>59829</v>
      </c>
      <c r="B3542" s="1" t="s">
        <v>47</v>
      </c>
      <c r="C3542" s="1" t="s">
        <v>48</v>
      </c>
      <c r="D3542" s="1" t="str">
        <f t="shared" si="665"/>
        <v>9803</v>
      </c>
      <c r="E3542" s="1" t="s">
        <v>32</v>
      </c>
      <c r="F3542" s="1" t="str">
        <f>"800318963"</f>
        <v>800318963</v>
      </c>
      <c r="G3542" s="1" t="s">
        <v>33</v>
      </c>
      <c r="H3542" s="1" t="str">
        <f t="shared" si="659"/>
        <v>20220915</v>
      </c>
      <c r="I3542" s="1" t="str">
        <f>"081354"</f>
        <v>081354</v>
      </c>
      <c r="J3542" s="1" t="s">
        <v>28</v>
      </c>
      <c r="K3542" s="1" t="s">
        <v>28</v>
      </c>
      <c r="L3542" s="1" t="str">
        <f t="shared" si="667"/>
        <v>20220915</v>
      </c>
      <c r="M3542" s="1" t="str">
        <f>"082529"</f>
        <v>082529</v>
      </c>
      <c r="N3542" s="1" t="s">
        <v>46</v>
      </c>
      <c r="O3542" s="1" t="s">
        <v>28</v>
      </c>
      <c r="P3542" s="1" t="s">
        <v>55</v>
      </c>
      <c r="Q3542" s="1">
        <v>25</v>
      </c>
      <c r="R3542" s="1">
        <v>25</v>
      </c>
      <c r="S3542" s="1">
        <v>0</v>
      </c>
      <c r="T3542" s="1">
        <v>0</v>
      </c>
      <c r="U3542" s="1">
        <v>0</v>
      </c>
      <c r="V3542" s="1" t="str">
        <f t="shared" si="666"/>
        <v>里程去程</v>
      </c>
      <c r="W3542" s="1" t="str">
        <f>"2020"</f>
        <v>2020</v>
      </c>
      <c r="X3542" s="1" t="s">
        <v>35</v>
      </c>
    </row>
    <row r="3543" spans="1:24" x14ac:dyDescent="0.3">
      <c r="A3543" s="1" t="str">
        <f t="shared" si="663"/>
        <v>59829</v>
      </c>
      <c r="B3543" s="1" t="s">
        <v>47</v>
      </c>
      <c r="C3543" s="1" t="s">
        <v>48</v>
      </c>
      <c r="D3543" s="1" t="str">
        <f t="shared" si="665"/>
        <v>9803</v>
      </c>
      <c r="E3543" s="1" t="s">
        <v>32</v>
      </c>
      <c r="F3543" s="1" t="str">
        <f>"969893969"</f>
        <v>969893969</v>
      </c>
      <c r="G3543" s="1" t="s">
        <v>33</v>
      </c>
      <c r="H3543" s="1" t="str">
        <f t="shared" si="659"/>
        <v>20220915</v>
      </c>
      <c r="I3543" s="1" t="str">
        <f>"081359"</f>
        <v>081359</v>
      </c>
      <c r="J3543" s="1" t="s">
        <v>28</v>
      </c>
      <c r="K3543" s="1" t="s">
        <v>28</v>
      </c>
      <c r="L3543" s="1" t="str">
        <f t="shared" si="667"/>
        <v>20220915</v>
      </c>
      <c r="M3543" s="1" t="str">
        <f>"083314"</f>
        <v>083314</v>
      </c>
      <c r="N3543" s="1" t="s">
        <v>34</v>
      </c>
      <c r="O3543" s="1" t="s">
        <v>34</v>
      </c>
      <c r="P3543" s="1" t="s">
        <v>55</v>
      </c>
      <c r="Q3543" s="1">
        <v>25</v>
      </c>
      <c r="R3543" s="1">
        <v>25</v>
      </c>
      <c r="S3543" s="1">
        <v>0</v>
      </c>
      <c r="T3543" s="1">
        <v>0</v>
      </c>
      <c r="U3543" s="1">
        <v>0</v>
      </c>
      <c r="V3543" s="1" t="str">
        <f t="shared" si="666"/>
        <v>里程去程</v>
      </c>
      <c r="W3543" s="1" t="str">
        <f>"0120"</f>
        <v>0120</v>
      </c>
      <c r="X3543" s="1" t="s">
        <v>35</v>
      </c>
    </row>
    <row r="3544" spans="1:24" x14ac:dyDescent="0.3">
      <c r="A3544" s="1" t="str">
        <f t="shared" si="663"/>
        <v>59829</v>
      </c>
      <c r="B3544" s="1" t="s">
        <v>47</v>
      </c>
      <c r="C3544" s="1" t="s">
        <v>48</v>
      </c>
      <c r="D3544" s="1" t="str">
        <f t="shared" si="665"/>
        <v>9803</v>
      </c>
      <c r="E3544" s="1" t="s">
        <v>32</v>
      </c>
      <c r="F3544" s="1" t="str">
        <f>"1773429621"</f>
        <v>1773429621</v>
      </c>
      <c r="G3544" s="1" t="s">
        <v>33</v>
      </c>
      <c r="H3544" s="1" t="str">
        <f t="shared" si="659"/>
        <v>20220915</v>
      </c>
      <c r="I3544" s="1" t="str">
        <f>"081402"</f>
        <v>081402</v>
      </c>
      <c r="J3544" s="1" t="s">
        <v>28</v>
      </c>
      <c r="K3544" s="1" t="s">
        <v>28</v>
      </c>
      <c r="L3544" s="1" t="str">
        <f t="shared" si="667"/>
        <v>20220915</v>
      </c>
      <c r="M3544" s="1" t="str">
        <f>"083320"</f>
        <v>083320</v>
      </c>
      <c r="N3544" s="1" t="s">
        <v>34</v>
      </c>
      <c r="O3544" s="1" t="s">
        <v>34</v>
      </c>
      <c r="P3544" s="1" t="s">
        <v>55</v>
      </c>
      <c r="Q3544" s="1">
        <v>25</v>
      </c>
      <c r="R3544" s="1">
        <v>25</v>
      </c>
      <c r="S3544" s="1">
        <v>0</v>
      </c>
      <c r="T3544" s="1">
        <v>0</v>
      </c>
      <c r="U3544" s="1">
        <v>0</v>
      </c>
      <c r="V3544" s="1" t="str">
        <f t="shared" si="666"/>
        <v>里程去程</v>
      </c>
      <c r="W3544" s="1" t="str">
        <f>"0920"</f>
        <v>0920</v>
      </c>
      <c r="X3544" s="1" t="s">
        <v>35</v>
      </c>
    </row>
    <row r="3545" spans="1:24" x14ac:dyDescent="0.3">
      <c r="A3545" s="1" t="str">
        <f t="shared" si="663"/>
        <v>59829</v>
      </c>
      <c r="B3545" s="1" t="s">
        <v>47</v>
      </c>
      <c r="C3545" s="1" t="s">
        <v>48</v>
      </c>
      <c r="D3545" s="1" t="str">
        <f t="shared" si="665"/>
        <v>9803</v>
      </c>
      <c r="E3545" s="1" t="s">
        <v>32</v>
      </c>
      <c r="F3545" s="1" t="str">
        <f>"1613883173"</f>
        <v>1613883173</v>
      </c>
      <c r="G3545" s="1" t="s">
        <v>33</v>
      </c>
      <c r="H3545" s="1" t="str">
        <f t="shared" si="659"/>
        <v>20220915</v>
      </c>
      <c r="I3545" s="1" t="str">
        <f>"081406"</f>
        <v>081406</v>
      </c>
      <c r="J3545" s="1" t="s">
        <v>28</v>
      </c>
      <c r="K3545" s="1" t="s">
        <v>28</v>
      </c>
      <c r="L3545" s="1" t="str">
        <f t="shared" si="667"/>
        <v>20220915</v>
      </c>
      <c r="M3545" s="1" t="str">
        <f>"083311"</f>
        <v>083311</v>
      </c>
      <c r="N3545" s="1" t="s">
        <v>34</v>
      </c>
      <c r="O3545" s="1" t="s">
        <v>34</v>
      </c>
      <c r="P3545" s="1" t="s">
        <v>55</v>
      </c>
      <c r="Q3545" s="1">
        <v>25</v>
      </c>
      <c r="R3545" s="1">
        <v>25</v>
      </c>
      <c r="S3545" s="1">
        <v>0</v>
      </c>
      <c r="T3545" s="1">
        <v>0</v>
      </c>
      <c r="U3545" s="1">
        <v>0</v>
      </c>
      <c r="V3545" s="1" t="str">
        <f t="shared" si="666"/>
        <v>里程去程</v>
      </c>
      <c r="W3545" s="1" t="str">
        <f>"1420"</f>
        <v>1420</v>
      </c>
      <c r="X3545" s="1" t="s">
        <v>35</v>
      </c>
    </row>
    <row r="3546" spans="1:24" x14ac:dyDescent="0.3">
      <c r="A3546" s="1" t="str">
        <f t="shared" si="663"/>
        <v>59829</v>
      </c>
      <c r="B3546" s="1" t="s">
        <v>47</v>
      </c>
      <c r="C3546" s="1" t="s">
        <v>48</v>
      </c>
      <c r="D3546" s="1" t="str">
        <f t="shared" si="665"/>
        <v>9803</v>
      </c>
      <c r="E3546" s="1" t="s">
        <v>32</v>
      </c>
      <c r="F3546" s="1" t="str">
        <f>"1173818149"</f>
        <v>1173818149</v>
      </c>
      <c r="G3546" s="1" t="s">
        <v>33</v>
      </c>
      <c r="H3546" s="1" t="str">
        <f t="shared" si="659"/>
        <v>20220915</v>
      </c>
      <c r="I3546" s="1" t="str">
        <f>"081418"</f>
        <v>081418</v>
      </c>
      <c r="J3546" s="1" t="s">
        <v>28</v>
      </c>
      <c r="K3546" s="1" t="s">
        <v>28</v>
      </c>
      <c r="L3546" s="1" t="str">
        <f t="shared" si="667"/>
        <v>20220915</v>
      </c>
      <c r="M3546" s="1" t="str">
        <f>"083339"</f>
        <v>083339</v>
      </c>
      <c r="N3546" s="1" t="s">
        <v>34</v>
      </c>
      <c r="O3546" s="1" t="s">
        <v>34</v>
      </c>
      <c r="P3546" s="1" t="s">
        <v>55</v>
      </c>
      <c r="Q3546" s="1">
        <v>25</v>
      </c>
      <c r="R3546" s="1">
        <v>25</v>
      </c>
      <c r="S3546" s="1">
        <v>0</v>
      </c>
      <c r="T3546" s="1">
        <v>0</v>
      </c>
      <c r="U3546" s="1">
        <v>0</v>
      </c>
      <c r="V3546" s="1" t="str">
        <f t="shared" si="666"/>
        <v>里程去程</v>
      </c>
      <c r="W3546" s="1" t="str">
        <f>"0220"</f>
        <v>0220</v>
      </c>
      <c r="X3546" s="1" t="s">
        <v>35</v>
      </c>
    </row>
    <row r="3547" spans="1:24" x14ac:dyDescent="0.3">
      <c r="A3547" s="1" t="str">
        <f t="shared" si="663"/>
        <v>59829</v>
      </c>
      <c r="B3547" s="1" t="s">
        <v>47</v>
      </c>
      <c r="C3547" s="1" t="s">
        <v>48</v>
      </c>
      <c r="D3547" s="1" t="str">
        <f t="shared" si="665"/>
        <v>9803</v>
      </c>
      <c r="E3547" s="1" t="s">
        <v>32</v>
      </c>
      <c r="F3547" s="1" t="str">
        <f>"1528234705"</f>
        <v>1528234705</v>
      </c>
      <c r="G3547" s="1" t="s">
        <v>33</v>
      </c>
      <c r="H3547" s="1" t="str">
        <f t="shared" si="659"/>
        <v>20220915</v>
      </c>
      <c r="I3547" s="1" t="str">
        <f>"081424"</f>
        <v>081424</v>
      </c>
      <c r="J3547" s="1" t="s">
        <v>28</v>
      </c>
      <c r="K3547" s="1" t="s">
        <v>28</v>
      </c>
      <c r="L3547" s="1" t="str">
        <f t="shared" si="667"/>
        <v>20220915</v>
      </c>
      <c r="M3547" s="1" t="str">
        <f>"083330"</f>
        <v>083330</v>
      </c>
      <c r="N3547" s="1" t="s">
        <v>34</v>
      </c>
      <c r="O3547" s="1" t="s">
        <v>34</v>
      </c>
      <c r="P3547" s="1" t="s">
        <v>55</v>
      </c>
      <c r="Q3547" s="1">
        <v>25</v>
      </c>
      <c r="R3547" s="1">
        <v>25</v>
      </c>
      <c r="S3547" s="1">
        <v>0</v>
      </c>
      <c r="T3547" s="1">
        <v>0</v>
      </c>
      <c r="U3547" s="1">
        <v>0</v>
      </c>
      <c r="V3547" s="1" t="str">
        <f t="shared" si="666"/>
        <v>里程去程</v>
      </c>
      <c r="W3547" s="1" t="str">
        <f>"0820"</f>
        <v>0820</v>
      </c>
      <c r="X3547" s="1" t="s">
        <v>35</v>
      </c>
    </row>
    <row r="3548" spans="1:24" x14ac:dyDescent="0.3">
      <c r="A3548" s="1" t="str">
        <f t="shared" si="663"/>
        <v>59829</v>
      </c>
      <c r="B3548" s="1" t="s">
        <v>47</v>
      </c>
      <c r="C3548" s="1" t="s">
        <v>48</v>
      </c>
      <c r="D3548" s="1" t="str">
        <f t="shared" si="665"/>
        <v>9803</v>
      </c>
      <c r="E3548" s="1" t="s">
        <v>32</v>
      </c>
      <c r="F3548" s="1" t="str">
        <f>"1635100277"</f>
        <v>1635100277</v>
      </c>
      <c r="G3548" s="1" t="s">
        <v>33</v>
      </c>
      <c r="H3548" s="1" t="str">
        <f t="shared" si="659"/>
        <v>20220915</v>
      </c>
      <c r="I3548" s="1" t="str">
        <f>"081434"</f>
        <v>081434</v>
      </c>
      <c r="J3548" s="1" t="s">
        <v>28</v>
      </c>
      <c r="K3548" s="1" t="s">
        <v>28</v>
      </c>
      <c r="L3548" s="1" t="str">
        <f t="shared" si="667"/>
        <v>20220915</v>
      </c>
      <c r="M3548" s="1" t="str">
        <f>"083317"</f>
        <v>083317</v>
      </c>
      <c r="N3548" s="1" t="s">
        <v>34</v>
      </c>
      <c r="O3548" s="1" t="s">
        <v>34</v>
      </c>
      <c r="P3548" s="1" t="s">
        <v>55</v>
      </c>
      <c r="Q3548" s="1">
        <v>25</v>
      </c>
      <c r="R3548" s="1">
        <v>25</v>
      </c>
      <c r="S3548" s="1">
        <v>0</v>
      </c>
      <c r="T3548" s="1">
        <v>0</v>
      </c>
      <c r="U3548" s="1">
        <v>0</v>
      </c>
      <c r="V3548" s="1" t="str">
        <f t="shared" si="666"/>
        <v>里程去程</v>
      </c>
      <c r="W3548" s="1" t="str">
        <f>"0220"</f>
        <v>0220</v>
      </c>
      <c r="X3548" s="1" t="s">
        <v>35</v>
      </c>
    </row>
    <row r="3549" spans="1:24" x14ac:dyDescent="0.3">
      <c r="A3549" s="1" t="str">
        <f t="shared" si="663"/>
        <v>59829</v>
      </c>
      <c r="B3549" s="1" t="s">
        <v>47</v>
      </c>
      <c r="C3549" s="1" t="s">
        <v>48</v>
      </c>
      <c r="D3549" s="1" t="str">
        <f t="shared" si="665"/>
        <v>9803</v>
      </c>
      <c r="E3549" s="1" t="s">
        <v>32</v>
      </c>
      <c r="F3549" s="1" t="str">
        <f>"833840229"</f>
        <v>833840229</v>
      </c>
      <c r="G3549" s="1" t="s">
        <v>33</v>
      </c>
      <c r="H3549" s="1" t="str">
        <f t="shared" si="659"/>
        <v>20220915</v>
      </c>
      <c r="I3549" s="1" t="str">
        <f>"082310"</f>
        <v>082310</v>
      </c>
      <c r="J3549" s="1" t="s">
        <v>79</v>
      </c>
      <c r="K3549" s="1" t="s">
        <v>28</v>
      </c>
      <c r="L3549" s="1" t="str">
        <f t="shared" si="667"/>
        <v>20220915</v>
      </c>
      <c r="M3549" s="1" t="str">
        <f>"083306"</f>
        <v>083306</v>
      </c>
      <c r="N3549" s="1" t="s">
        <v>34</v>
      </c>
      <c r="O3549" s="1" t="s">
        <v>34</v>
      </c>
      <c r="P3549" s="1" t="s">
        <v>55</v>
      </c>
      <c r="Q3549" s="1">
        <v>25</v>
      </c>
      <c r="R3549" s="1">
        <v>25</v>
      </c>
      <c r="S3549" s="1">
        <v>0</v>
      </c>
      <c r="T3549" s="1">
        <v>0</v>
      </c>
      <c r="U3549" s="1">
        <v>0</v>
      </c>
      <c r="V3549" s="1" t="str">
        <f t="shared" si="666"/>
        <v>里程去程</v>
      </c>
      <c r="W3549" s="1" t="str">
        <f>"2120"</f>
        <v>2120</v>
      </c>
      <c r="X3549" s="1" t="s">
        <v>35</v>
      </c>
    </row>
    <row r="3550" spans="1:24" x14ac:dyDescent="0.3">
      <c r="A3550" s="1" t="str">
        <f t="shared" si="663"/>
        <v>59829</v>
      </c>
      <c r="B3550" s="1" t="s">
        <v>47</v>
      </c>
      <c r="C3550" s="1" t="s">
        <v>48</v>
      </c>
      <c r="D3550" s="1" t="str">
        <f t="shared" si="665"/>
        <v>9803</v>
      </c>
      <c r="E3550" s="1" t="s">
        <v>32</v>
      </c>
      <c r="F3550" s="1" t="str">
        <f>"1134368177"</f>
        <v>1134368177</v>
      </c>
      <c r="G3550" s="1" t="s">
        <v>33</v>
      </c>
      <c r="H3550" s="1" t="str">
        <f t="shared" si="659"/>
        <v>20220915</v>
      </c>
      <c r="I3550" s="1" t="str">
        <f>"094838"</f>
        <v>094838</v>
      </c>
      <c r="J3550" s="1" t="s">
        <v>28</v>
      </c>
      <c r="K3550" s="1" t="s">
        <v>28</v>
      </c>
      <c r="L3550" s="1" t="str">
        <f t="shared" si="667"/>
        <v>20220915</v>
      </c>
      <c r="M3550" s="1" t="str">
        <f>"100647"</f>
        <v>100647</v>
      </c>
      <c r="N3550" s="1" t="s">
        <v>34</v>
      </c>
      <c r="O3550" s="1" t="s">
        <v>34</v>
      </c>
      <c r="P3550" s="1" t="s">
        <v>55</v>
      </c>
      <c r="Q3550" s="1">
        <v>25</v>
      </c>
      <c r="R3550" s="1">
        <v>25</v>
      </c>
      <c r="S3550" s="1">
        <v>0</v>
      </c>
      <c r="T3550" s="1">
        <v>0</v>
      </c>
      <c r="U3550" s="1">
        <v>0</v>
      </c>
      <c r="V3550" s="1" t="str">
        <f t="shared" si="666"/>
        <v>里程去程</v>
      </c>
      <c r="W3550" s="1" t="str">
        <f>"1120"</f>
        <v>1120</v>
      </c>
      <c r="X3550" s="1" t="s">
        <v>35</v>
      </c>
    </row>
    <row r="3551" spans="1:24" x14ac:dyDescent="0.3">
      <c r="A3551" s="1" t="str">
        <f t="shared" ref="A3551:A3580" si="668">"59829"</f>
        <v>59829</v>
      </c>
      <c r="B3551" s="1" t="s">
        <v>47</v>
      </c>
      <c r="C3551" s="1" t="s">
        <v>48</v>
      </c>
      <c r="D3551" s="1" t="str">
        <f t="shared" si="665"/>
        <v>9803</v>
      </c>
      <c r="E3551" s="1" t="s">
        <v>32</v>
      </c>
      <c r="F3551" s="1" t="str">
        <f>"1278372977"</f>
        <v>1278372977</v>
      </c>
      <c r="G3551" s="1" t="s">
        <v>33</v>
      </c>
      <c r="H3551" s="1" t="str">
        <f t="shared" si="659"/>
        <v>20220915</v>
      </c>
      <c r="I3551" s="1" t="str">
        <f>"095037"</f>
        <v>095037</v>
      </c>
      <c r="J3551" s="1" t="s">
        <v>28</v>
      </c>
      <c r="K3551" s="1" t="s">
        <v>28</v>
      </c>
      <c r="L3551" s="1" t="str">
        <f t="shared" si="667"/>
        <v>20220915</v>
      </c>
      <c r="M3551" s="1" t="str">
        <f>"100556"</f>
        <v>100556</v>
      </c>
      <c r="N3551" s="1" t="s">
        <v>34</v>
      </c>
      <c r="O3551" s="1" t="s">
        <v>34</v>
      </c>
      <c r="P3551" s="1" t="s">
        <v>55</v>
      </c>
      <c r="Q3551" s="1">
        <v>25</v>
      </c>
      <c r="R3551" s="1">
        <v>25</v>
      </c>
      <c r="S3551" s="1">
        <v>0</v>
      </c>
      <c r="T3551" s="1">
        <v>0</v>
      </c>
      <c r="U3551" s="1">
        <v>0</v>
      </c>
      <c r="V3551" s="1" t="str">
        <f t="shared" si="666"/>
        <v>里程去程</v>
      </c>
      <c r="W3551" s="1" t="str">
        <f>"1620"</f>
        <v>1620</v>
      </c>
      <c r="X3551" s="1" t="s">
        <v>35</v>
      </c>
    </row>
    <row r="3552" spans="1:24" x14ac:dyDescent="0.3">
      <c r="A3552" s="1" t="str">
        <f t="shared" si="668"/>
        <v>59829</v>
      </c>
      <c r="B3552" s="1" t="s">
        <v>47</v>
      </c>
      <c r="C3552" s="1" t="s">
        <v>48</v>
      </c>
      <c r="D3552" s="1" t="str">
        <f t="shared" si="665"/>
        <v>9803</v>
      </c>
      <c r="E3552" s="1" t="s">
        <v>32</v>
      </c>
      <c r="F3552" s="1" t="str">
        <f>"1278372977"</f>
        <v>1278372977</v>
      </c>
      <c r="G3552" s="1" t="s">
        <v>33</v>
      </c>
      <c r="H3552" s="1" t="str">
        <f t="shared" si="659"/>
        <v>20220915</v>
      </c>
      <c r="I3552" s="1" t="str">
        <f>"103250"</f>
        <v>103250</v>
      </c>
      <c r="J3552" s="1" t="s">
        <v>34</v>
      </c>
      <c r="K3552" s="1" t="s">
        <v>34</v>
      </c>
      <c r="L3552" s="1" t="str">
        <f t="shared" si="667"/>
        <v>20220915</v>
      </c>
      <c r="M3552" s="1" t="str">
        <f>"104337"</f>
        <v>104337</v>
      </c>
      <c r="N3552" s="1" t="s">
        <v>73</v>
      </c>
      <c r="O3552" s="1" t="s">
        <v>28</v>
      </c>
      <c r="P3552" s="1" t="s">
        <v>55</v>
      </c>
      <c r="Q3552" s="1">
        <v>25</v>
      </c>
      <c r="R3552" s="1">
        <v>25</v>
      </c>
      <c r="S3552" s="1">
        <v>0</v>
      </c>
      <c r="T3552" s="1">
        <v>0</v>
      </c>
      <c r="U3552" s="1">
        <v>0</v>
      </c>
      <c r="V3552" s="1" t="str">
        <f>"里程返程"</f>
        <v>里程返程</v>
      </c>
      <c r="W3552" s="1" t="str">
        <f>"2020"</f>
        <v>2020</v>
      </c>
      <c r="X3552" s="1" t="s">
        <v>35</v>
      </c>
    </row>
    <row r="3553" spans="1:24" x14ac:dyDescent="0.3">
      <c r="A3553" s="1" t="str">
        <f t="shared" si="668"/>
        <v>59829</v>
      </c>
      <c r="B3553" s="1" t="s">
        <v>47</v>
      </c>
      <c r="C3553" s="1" t="s">
        <v>48</v>
      </c>
      <c r="D3553" s="1" t="str">
        <f>"9805"</f>
        <v>9805</v>
      </c>
      <c r="E3553" s="1" t="s">
        <v>57</v>
      </c>
      <c r="F3553" s="1" t="str">
        <f>"0282A31A39880400C816002000000021"</f>
        <v>0282A31A39880400C816002000000021</v>
      </c>
      <c r="G3553" s="1" t="s">
        <v>26</v>
      </c>
      <c r="H3553" s="1" t="str">
        <f t="shared" si="659"/>
        <v>20220915</v>
      </c>
      <c r="I3553" s="1" t="str">
        <f>"120652"</f>
        <v>120652</v>
      </c>
      <c r="J3553" s="1" t="s">
        <v>28</v>
      </c>
      <c r="K3553" s="1" t="s">
        <v>28</v>
      </c>
      <c r="L3553" s="1" t="str">
        <f t="shared" si="667"/>
        <v>20220915</v>
      </c>
      <c r="M3553" s="1" t="str">
        <f>"122446"</f>
        <v>122446</v>
      </c>
      <c r="N3553" s="1" t="s">
        <v>52</v>
      </c>
      <c r="O3553" s="1" t="s">
        <v>52</v>
      </c>
      <c r="P3553" s="1" t="s">
        <v>55</v>
      </c>
      <c r="Q3553" s="1">
        <v>13</v>
      </c>
      <c r="R3553" s="1">
        <v>13</v>
      </c>
      <c r="S3553" s="1">
        <v>0</v>
      </c>
      <c r="T3553" s="1">
        <v>0</v>
      </c>
      <c r="U3553" s="1">
        <v>0</v>
      </c>
      <c r="V3553" s="1" t="str">
        <f t="shared" ref="V3553:V3563" si="669">"里程去程"</f>
        <v>里程去程</v>
      </c>
      <c r="W3553" s="1" t="str">
        <f>"0020"</f>
        <v>0020</v>
      </c>
      <c r="X3553" s="1" t="s">
        <v>29</v>
      </c>
    </row>
    <row r="3554" spans="1:24" x14ac:dyDescent="0.3">
      <c r="A3554" s="1" t="str">
        <f t="shared" si="668"/>
        <v>59829</v>
      </c>
      <c r="B3554" s="1" t="s">
        <v>47</v>
      </c>
      <c r="C3554" s="1" t="s">
        <v>48</v>
      </c>
      <c r="D3554" s="1" t="str">
        <f>"9805"</f>
        <v>9805</v>
      </c>
      <c r="E3554" s="1" t="s">
        <v>57</v>
      </c>
      <c r="F3554" s="1" t="str">
        <f>"C2A2E11B9A880400C822002000000021"</f>
        <v>C2A2E11B9A880400C822002000000021</v>
      </c>
      <c r="G3554" s="1" t="s">
        <v>58</v>
      </c>
      <c r="H3554" s="1" t="str">
        <f t="shared" si="659"/>
        <v>20220915</v>
      </c>
      <c r="I3554" s="1" t="str">
        <f>"120657"</f>
        <v>120657</v>
      </c>
      <c r="J3554" s="1" t="s">
        <v>28</v>
      </c>
      <c r="K3554" s="1" t="s">
        <v>28</v>
      </c>
      <c r="L3554" s="1" t="str">
        <f t="shared" si="667"/>
        <v>20220915</v>
      </c>
      <c r="M3554" s="1" t="str">
        <f>"122453"</f>
        <v>122453</v>
      </c>
      <c r="N3554" s="1" t="s">
        <v>52</v>
      </c>
      <c r="O3554" s="1" t="s">
        <v>52</v>
      </c>
      <c r="P3554" s="1" t="s">
        <v>55</v>
      </c>
      <c r="Q3554" s="1">
        <v>25</v>
      </c>
      <c r="R3554" s="1">
        <v>25</v>
      </c>
      <c r="S3554" s="1">
        <v>0</v>
      </c>
      <c r="T3554" s="1">
        <v>0</v>
      </c>
      <c r="U3554" s="1">
        <v>0</v>
      </c>
      <c r="V3554" s="1" t="str">
        <f t="shared" si="669"/>
        <v>里程去程</v>
      </c>
      <c r="W3554" s="1" t="str">
        <f>"0020"</f>
        <v>0020</v>
      </c>
      <c r="X3554" s="1" t="s">
        <v>29</v>
      </c>
    </row>
    <row r="3555" spans="1:24" x14ac:dyDescent="0.3">
      <c r="A3555" s="1" t="str">
        <f t="shared" si="668"/>
        <v>59829</v>
      </c>
      <c r="B3555" s="1" t="s">
        <v>47</v>
      </c>
      <c r="C3555" s="1" t="s">
        <v>48</v>
      </c>
      <c r="D3555" s="1" t="str">
        <f>"9805"</f>
        <v>9805</v>
      </c>
      <c r="E3555" s="1" t="s">
        <v>57</v>
      </c>
      <c r="F3555" s="1" t="str">
        <f>"667801365"</f>
        <v>667801365</v>
      </c>
      <c r="G3555" s="1" t="s">
        <v>33</v>
      </c>
      <c r="H3555" s="1" t="str">
        <f t="shared" si="659"/>
        <v>20220915</v>
      </c>
      <c r="I3555" s="1" t="str">
        <f>"120811"</f>
        <v>120811</v>
      </c>
      <c r="J3555" s="1" t="s">
        <v>28</v>
      </c>
      <c r="K3555" s="1" t="s">
        <v>28</v>
      </c>
      <c r="L3555" s="1" t="str">
        <f t="shared" si="667"/>
        <v>20220915</v>
      </c>
      <c r="M3555" s="1" t="str">
        <f>"122459"</f>
        <v>122459</v>
      </c>
      <c r="N3555" s="1" t="s">
        <v>52</v>
      </c>
      <c r="O3555" s="1" t="s">
        <v>52</v>
      </c>
      <c r="P3555" s="1" t="s">
        <v>55</v>
      </c>
      <c r="Q3555" s="1">
        <v>25</v>
      </c>
      <c r="R3555" s="1">
        <v>25</v>
      </c>
      <c r="S3555" s="1">
        <v>0</v>
      </c>
      <c r="T3555" s="1">
        <v>0</v>
      </c>
      <c r="U3555" s="1">
        <v>0</v>
      </c>
      <c r="V3555" s="1" t="str">
        <f t="shared" si="669"/>
        <v>里程去程</v>
      </c>
      <c r="W3555" s="1" t="str">
        <f>"0320"</f>
        <v>0320</v>
      </c>
      <c r="X3555" s="1" t="s">
        <v>35</v>
      </c>
    </row>
    <row r="3556" spans="1:24" x14ac:dyDescent="0.3">
      <c r="A3556" s="1" t="str">
        <f t="shared" si="668"/>
        <v>59829</v>
      </c>
      <c r="B3556" s="1" t="s">
        <v>47</v>
      </c>
      <c r="C3556" s="1" t="s">
        <v>48</v>
      </c>
      <c r="D3556" s="1" t="str">
        <f>"9805"</f>
        <v>9805</v>
      </c>
      <c r="E3556" s="1" t="s">
        <v>57</v>
      </c>
      <c r="F3556" s="1" t="str">
        <f>"566236449"</f>
        <v>566236449</v>
      </c>
      <c r="G3556" s="1" t="s">
        <v>33</v>
      </c>
      <c r="H3556" s="1" t="str">
        <f t="shared" si="659"/>
        <v>20220915</v>
      </c>
      <c r="I3556" s="1" t="str">
        <f>"120925"</f>
        <v>120925</v>
      </c>
      <c r="J3556" s="1" t="s">
        <v>28</v>
      </c>
      <c r="K3556" s="1" t="s">
        <v>28</v>
      </c>
      <c r="L3556" s="1" t="str">
        <f t="shared" si="667"/>
        <v>20220915</v>
      </c>
      <c r="M3556" s="1" t="str">
        <f>"122441"</f>
        <v>122441</v>
      </c>
      <c r="N3556" s="1" t="s">
        <v>52</v>
      </c>
      <c r="O3556" s="1" t="s">
        <v>52</v>
      </c>
      <c r="P3556" s="1" t="s">
        <v>55</v>
      </c>
      <c r="Q3556" s="1">
        <v>25</v>
      </c>
      <c r="R3556" s="1">
        <v>25</v>
      </c>
      <c r="S3556" s="1">
        <v>0</v>
      </c>
      <c r="T3556" s="1">
        <v>0</v>
      </c>
      <c r="U3556" s="1">
        <v>0</v>
      </c>
      <c r="V3556" s="1" t="str">
        <f t="shared" si="669"/>
        <v>里程去程</v>
      </c>
      <c r="W3556" s="1" t="str">
        <f>"0820"</f>
        <v>0820</v>
      </c>
      <c r="X3556" s="1" t="s">
        <v>35</v>
      </c>
    </row>
    <row r="3557" spans="1:24" x14ac:dyDescent="0.3">
      <c r="A3557" s="1" t="str">
        <f t="shared" si="668"/>
        <v>59829</v>
      </c>
      <c r="B3557" s="1" t="s">
        <v>47</v>
      </c>
      <c r="C3557" s="1" t="s">
        <v>48</v>
      </c>
      <c r="D3557" s="1" t="str">
        <f>"9805"</f>
        <v>9805</v>
      </c>
      <c r="E3557" s="1" t="s">
        <v>57</v>
      </c>
      <c r="F3557" s="1" t="str">
        <f>"3229192931"</f>
        <v>3229192931</v>
      </c>
      <c r="G3557" s="1" t="s">
        <v>33</v>
      </c>
      <c r="H3557" s="1" t="str">
        <f t="shared" si="659"/>
        <v>20220915</v>
      </c>
      <c r="I3557" s="1" t="str">
        <f>"120953"</f>
        <v>120953</v>
      </c>
      <c r="J3557" s="1" t="s">
        <v>28</v>
      </c>
      <c r="K3557" s="1" t="s">
        <v>28</v>
      </c>
      <c r="L3557" s="1" t="str">
        <f t="shared" si="667"/>
        <v>20220915</v>
      </c>
      <c r="M3557" s="1" t="str">
        <f>"122440"</f>
        <v>122440</v>
      </c>
      <c r="N3557" s="1" t="s">
        <v>52</v>
      </c>
      <c r="O3557" s="1" t="s">
        <v>52</v>
      </c>
      <c r="P3557" s="1" t="s">
        <v>55</v>
      </c>
      <c r="Q3557" s="1">
        <v>25</v>
      </c>
      <c r="R3557" s="1">
        <v>25</v>
      </c>
      <c r="S3557" s="1">
        <v>0</v>
      </c>
      <c r="T3557" s="1">
        <v>0</v>
      </c>
      <c r="U3557" s="1">
        <v>0</v>
      </c>
      <c r="V3557" s="1" t="str">
        <f t="shared" si="669"/>
        <v>里程去程</v>
      </c>
      <c r="W3557" s="1" t="str">
        <f>"0620"</f>
        <v>0620</v>
      </c>
      <c r="X3557" s="1" t="s">
        <v>35</v>
      </c>
    </row>
    <row r="3558" spans="1:24" x14ac:dyDescent="0.3">
      <c r="A3558" s="1" t="str">
        <f t="shared" si="668"/>
        <v>59829</v>
      </c>
      <c r="B3558" s="1" t="s">
        <v>47</v>
      </c>
      <c r="C3558" s="1" t="s">
        <v>48</v>
      </c>
      <c r="D3558" s="1" t="str">
        <f t="shared" ref="D3558:D3568" si="670">"9803"</f>
        <v>9803</v>
      </c>
      <c r="E3558" s="1" t="s">
        <v>32</v>
      </c>
      <c r="F3558" s="1" t="str">
        <f>"1182207365"</f>
        <v>1182207365</v>
      </c>
      <c r="G3558" s="1" t="s">
        <v>26</v>
      </c>
      <c r="H3558" s="1" t="str">
        <f t="shared" si="659"/>
        <v>20220915</v>
      </c>
      <c r="I3558" s="1" t="str">
        <f>"132855"</f>
        <v>132855</v>
      </c>
      <c r="J3558" s="1" t="s">
        <v>28</v>
      </c>
      <c r="K3558" s="1" t="s">
        <v>28</v>
      </c>
      <c r="L3558" s="1" t="str">
        <f t="shared" si="667"/>
        <v>20220915</v>
      </c>
      <c r="M3558" s="1" t="str">
        <f>"133946"</f>
        <v>133946</v>
      </c>
      <c r="N3558" s="1" t="s">
        <v>46</v>
      </c>
      <c r="O3558" s="1" t="s">
        <v>28</v>
      </c>
      <c r="P3558" s="1" t="s">
        <v>55</v>
      </c>
      <c r="Q3558" s="1">
        <v>13</v>
      </c>
      <c r="R3558" s="1">
        <v>13</v>
      </c>
      <c r="S3558" s="1">
        <v>0</v>
      </c>
      <c r="T3558" s="1">
        <v>0</v>
      </c>
      <c r="U3558" s="1">
        <v>0</v>
      </c>
      <c r="V3558" s="1" t="str">
        <f t="shared" si="669"/>
        <v>里程去程</v>
      </c>
      <c r="W3558" s="1" t="str">
        <f>"0120"</f>
        <v>0120</v>
      </c>
      <c r="X3558" s="1" t="s">
        <v>35</v>
      </c>
    </row>
    <row r="3559" spans="1:24" x14ac:dyDescent="0.3">
      <c r="A3559" s="1" t="str">
        <f t="shared" si="668"/>
        <v>59829</v>
      </c>
      <c r="B3559" s="1" t="s">
        <v>47</v>
      </c>
      <c r="C3559" s="1" t="s">
        <v>48</v>
      </c>
      <c r="D3559" s="1" t="str">
        <f t="shared" si="670"/>
        <v>9803</v>
      </c>
      <c r="E3559" s="1" t="s">
        <v>32</v>
      </c>
      <c r="F3559" s="1" t="str">
        <f>"1696483669"</f>
        <v>1696483669</v>
      </c>
      <c r="G3559" s="1" t="s">
        <v>33</v>
      </c>
      <c r="H3559" s="1" t="str">
        <f t="shared" si="659"/>
        <v>20220915</v>
      </c>
      <c r="I3559" s="1" t="str">
        <f>"132901"</f>
        <v>132901</v>
      </c>
      <c r="J3559" s="1" t="s">
        <v>28</v>
      </c>
      <c r="K3559" s="1" t="s">
        <v>28</v>
      </c>
      <c r="L3559" s="1" t="str">
        <f t="shared" si="667"/>
        <v>20220915</v>
      </c>
      <c r="M3559" s="1" t="str">
        <f>"133942"</f>
        <v>133942</v>
      </c>
      <c r="N3559" s="1" t="s">
        <v>46</v>
      </c>
      <c r="O3559" s="1" t="s">
        <v>28</v>
      </c>
      <c r="P3559" s="1" t="s">
        <v>55</v>
      </c>
      <c r="Q3559" s="1">
        <v>25</v>
      </c>
      <c r="R3559" s="1">
        <v>25</v>
      </c>
      <c r="S3559" s="1">
        <v>0</v>
      </c>
      <c r="T3559" s="1">
        <v>0</v>
      </c>
      <c r="U3559" s="1">
        <v>0</v>
      </c>
      <c r="V3559" s="1" t="str">
        <f t="shared" si="669"/>
        <v>里程去程</v>
      </c>
      <c r="W3559" s="1" t="str">
        <f>"0120"</f>
        <v>0120</v>
      </c>
      <c r="X3559" s="1" t="s">
        <v>35</v>
      </c>
    </row>
    <row r="3560" spans="1:24" x14ac:dyDescent="0.3">
      <c r="A3560" s="1" t="str">
        <f t="shared" si="668"/>
        <v>59829</v>
      </c>
      <c r="B3560" s="1" t="s">
        <v>47</v>
      </c>
      <c r="C3560" s="1" t="s">
        <v>48</v>
      </c>
      <c r="D3560" s="1" t="str">
        <f t="shared" si="670"/>
        <v>9803</v>
      </c>
      <c r="E3560" s="1" t="s">
        <v>32</v>
      </c>
      <c r="F3560" s="1" t="str">
        <f>"653658581"</f>
        <v>653658581</v>
      </c>
      <c r="G3560" s="1" t="s">
        <v>33</v>
      </c>
      <c r="H3560" s="1" t="str">
        <f t="shared" si="659"/>
        <v>20220915</v>
      </c>
      <c r="I3560" s="1" t="str">
        <f>"133052"</f>
        <v>133052</v>
      </c>
      <c r="J3560" s="1" t="s">
        <v>28</v>
      </c>
      <c r="K3560" s="1" t="s">
        <v>28</v>
      </c>
      <c r="L3560" s="1" t="str">
        <f t="shared" si="667"/>
        <v>20220915</v>
      </c>
      <c r="M3560" s="1" t="str">
        <f>"134827"</f>
        <v>134827</v>
      </c>
      <c r="N3560" s="1" t="s">
        <v>34</v>
      </c>
      <c r="O3560" s="1" t="s">
        <v>34</v>
      </c>
      <c r="P3560" s="1" t="s">
        <v>55</v>
      </c>
      <c r="Q3560" s="1">
        <v>25</v>
      </c>
      <c r="R3560" s="1">
        <v>25</v>
      </c>
      <c r="S3560" s="1">
        <v>0</v>
      </c>
      <c r="T3560" s="1">
        <v>0</v>
      </c>
      <c r="U3560" s="1">
        <v>0</v>
      </c>
      <c r="V3560" s="1" t="str">
        <f t="shared" si="669"/>
        <v>里程去程</v>
      </c>
      <c r="W3560" s="1" t="str">
        <f>"0320"</f>
        <v>0320</v>
      </c>
      <c r="X3560" s="1" t="s">
        <v>35</v>
      </c>
    </row>
    <row r="3561" spans="1:24" x14ac:dyDescent="0.3">
      <c r="A3561" s="1" t="str">
        <f t="shared" si="668"/>
        <v>59829</v>
      </c>
      <c r="B3561" s="1" t="s">
        <v>47</v>
      </c>
      <c r="C3561" s="1" t="s">
        <v>48</v>
      </c>
      <c r="D3561" s="1" t="str">
        <f t="shared" si="670"/>
        <v>9803</v>
      </c>
      <c r="E3561" s="1" t="s">
        <v>32</v>
      </c>
      <c r="F3561" s="1" t="str">
        <f>"1256688501"</f>
        <v>1256688501</v>
      </c>
      <c r="G3561" s="1" t="s">
        <v>33</v>
      </c>
      <c r="H3561" s="1" t="str">
        <f t="shared" si="659"/>
        <v>20220915</v>
      </c>
      <c r="I3561" s="1" t="str">
        <f>"133103"</f>
        <v>133103</v>
      </c>
      <c r="J3561" s="1" t="s">
        <v>28</v>
      </c>
      <c r="K3561" s="1" t="s">
        <v>28</v>
      </c>
      <c r="L3561" s="1" t="str">
        <f t="shared" si="667"/>
        <v>20220915</v>
      </c>
      <c r="M3561" s="1" t="str">
        <f>"134830"</f>
        <v>134830</v>
      </c>
      <c r="N3561" s="1" t="s">
        <v>34</v>
      </c>
      <c r="O3561" s="1" t="s">
        <v>34</v>
      </c>
      <c r="P3561" s="1" t="s">
        <v>55</v>
      </c>
      <c r="Q3561" s="1">
        <v>25</v>
      </c>
      <c r="R3561" s="1">
        <v>25</v>
      </c>
      <c r="S3561" s="1">
        <v>0</v>
      </c>
      <c r="T3561" s="1">
        <v>0</v>
      </c>
      <c r="U3561" s="1">
        <v>0</v>
      </c>
      <c r="V3561" s="1" t="str">
        <f t="shared" si="669"/>
        <v>里程去程</v>
      </c>
      <c r="W3561" s="1" t="str">
        <f>"0320"</f>
        <v>0320</v>
      </c>
      <c r="X3561" s="1" t="s">
        <v>35</v>
      </c>
    </row>
    <row r="3562" spans="1:24" x14ac:dyDescent="0.3">
      <c r="A3562" s="1" t="str">
        <f t="shared" si="668"/>
        <v>59829</v>
      </c>
      <c r="B3562" s="1" t="s">
        <v>47</v>
      </c>
      <c r="C3562" s="1" t="s">
        <v>48</v>
      </c>
      <c r="D3562" s="1" t="str">
        <f t="shared" si="670"/>
        <v>9803</v>
      </c>
      <c r="E3562" s="1" t="s">
        <v>32</v>
      </c>
      <c r="F3562" s="1" t="str">
        <f>"1703335013"</f>
        <v>1703335013</v>
      </c>
      <c r="G3562" s="1" t="s">
        <v>33</v>
      </c>
      <c r="H3562" s="1" t="str">
        <f t="shared" si="659"/>
        <v>20220915</v>
      </c>
      <c r="I3562" s="1" t="str">
        <f>"133107"</f>
        <v>133107</v>
      </c>
      <c r="J3562" s="1" t="s">
        <v>28</v>
      </c>
      <c r="K3562" s="1" t="s">
        <v>28</v>
      </c>
      <c r="L3562" s="1" t="str">
        <f t="shared" si="667"/>
        <v>20220915</v>
      </c>
      <c r="M3562" s="1" t="str">
        <f>"134837"</f>
        <v>134837</v>
      </c>
      <c r="N3562" s="1" t="s">
        <v>34</v>
      </c>
      <c r="O3562" s="1" t="s">
        <v>34</v>
      </c>
      <c r="P3562" s="1" t="s">
        <v>55</v>
      </c>
      <c r="Q3562" s="1">
        <v>25</v>
      </c>
      <c r="R3562" s="1">
        <v>25</v>
      </c>
      <c r="S3562" s="1">
        <v>0</v>
      </c>
      <c r="T3562" s="1">
        <v>0</v>
      </c>
      <c r="U3562" s="1">
        <v>0</v>
      </c>
      <c r="V3562" s="1" t="str">
        <f t="shared" si="669"/>
        <v>里程去程</v>
      </c>
      <c r="W3562" s="1" t="str">
        <f>"0320"</f>
        <v>0320</v>
      </c>
      <c r="X3562" s="1" t="s">
        <v>35</v>
      </c>
    </row>
    <row r="3563" spans="1:24" x14ac:dyDescent="0.3">
      <c r="A3563" s="1" t="str">
        <f t="shared" si="668"/>
        <v>59829</v>
      </c>
      <c r="B3563" s="1" t="s">
        <v>47</v>
      </c>
      <c r="C3563" s="1" t="s">
        <v>48</v>
      </c>
      <c r="D3563" s="1" t="str">
        <f t="shared" si="670"/>
        <v>9803</v>
      </c>
      <c r="E3563" s="1" t="s">
        <v>32</v>
      </c>
      <c r="F3563" s="1" t="str">
        <f>"1008688193"</f>
        <v>1008688193</v>
      </c>
      <c r="G3563" s="1" t="s">
        <v>33</v>
      </c>
      <c r="H3563" s="1" t="str">
        <f t="shared" si="659"/>
        <v>20220915</v>
      </c>
      <c r="I3563" s="1" t="str">
        <f>"133148"</f>
        <v>133148</v>
      </c>
      <c r="J3563" s="1" t="s">
        <v>28</v>
      </c>
      <c r="K3563" s="1" t="s">
        <v>28</v>
      </c>
      <c r="L3563" s="1" t="str">
        <f>""</f>
        <v/>
      </c>
      <c r="M3563" s="1" t="str">
        <f>""</f>
        <v/>
      </c>
      <c r="P3563" s="1" t="s">
        <v>88</v>
      </c>
      <c r="Q3563" s="1">
        <v>25</v>
      </c>
      <c r="R3563" s="1">
        <v>25</v>
      </c>
      <c r="S3563" s="1">
        <v>0</v>
      </c>
      <c r="T3563" s="1">
        <v>0</v>
      </c>
      <c r="U3563" s="1">
        <v>0</v>
      </c>
      <c r="V3563" s="1" t="str">
        <f t="shared" si="669"/>
        <v>里程去程</v>
      </c>
      <c r="W3563" s="1" t="str">
        <f>"0920"</f>
        <v>0920</v>
      </c>
      <c r="X3563" s="1" t="s">
        <v>35</v>
      </c>
    </row>
    <row r="3564" spans="1:24" x14ac:dyDescent="0.3">
      <c r="A3564" s="1" t="str">
        <f t="shared" si="668"/>
        <v>59829</v>
      </c>
      <c r="B3564" s="1" t="s">
        <v>47</v>
      </c>
      <c r="C3564" s="1" t="s">
        <v>48</v>
      </c>
      <c r="D3564" s="1" t="str">
        <f t="shared" si="670"/>
        <v>9803</v>
      </c>
      <c r="E3564" s="1" t="s">
        <v>32</v>
      </c>
      <c r="F3564" s="1" t="str">
        <f>"1625026677"</f>
        <v>1625026677</v>
      </c>
      <c r="G3564" s="1" t="s">
        <v>26</v>
      </c>
      <c r="H3564" s="1" t="str">
        <f t="shared" si="659"/>
        <v>20220915</v>
      </c>
      <c r="I3564" s="1" t="str">
        <f>"135254"</f>
        <v>135254</v>
      </c>
      <c r="J3564" s="1" t="s">
        <v>34</v>
      </c>
      <c r="K3564" s="1" t="s">
        <v>34</v>
      </c>
      <c r="L3564" s="1" t="str">
        <f t="shared" ref="L3564:L3580" si="671">"20220915"</f>
        <v>20220915</v>
      </c>
      <c r="M3564" s="1" t="str">
        <f>"142840"</f>
        <v>142840</v>
      </c>
      <c r="N3564" s="1" t="s">
        <v>28</v>
      </c>
      <c r="O3564" s="1" t="s">
        <v>28</v>
      </c>
      <c r="P3564" s="1" t="s">
        <v>55</v>
      </c>
      <c r="Q3564" s="1">
        <v>13</v>
      </c>
      <c r="R3564" s="1">
        <v>13</v>
      </c>
      <c r="S3564" s="1">
        <v>0</v>
      </c>
      <c r="T3564" s="1">
        <v>0</v>
      </c>
      <c r="U3564" s="1">
        <v>0</v>
      </c>
      <c r="V3564" s="1" t="str">
        <f>"里程返程"</f>
        <v>里程返程</v>
      </c>
      <c r="W3564" s="1" t="str">
        <f>"0120"</f>
        <v>0120</v>
      </c>
      <c r="X3564" s="1" t="s">
        <v>35</v>
      </c>
    </row>
    <row r="3565" spans="1:24" x14ac:dyDescent="0.3">
      <c r="A3565" s="1" t="str">
        <f t="shared" si="668"/>
        <v>59829</v>
      </c>
      <c r="B3565" s="1" t="s">
        <v>47</v>
      </c>
      <c r="C3565" s="1" t="s">
        <v>48</v>
      </c>
      <c r="D3565" s="1" t="str">
        <f t="shared" si="670"/>
        <v>9803</v>
      </c>
      <c r="E3565" s="1" t="s">
        <v>32</v>
      </c>
      <c r="F3565" s="1" t="str">
        <f>"4202345804"</f>
        <v>4202345804</v>
      </c>
      <c r="G3565" s="1" t="s">
        <v>74</v>
      </c>
      <c r="H3565" s="1" t="str">
        <f t="shared" si="659"/>
        <v>20220915</v>
      </c>
      <c r="I3565" s="1" t="str">
        <f>"135315"</f>
        <v>135315</v>
      </c>
      <c r="J3565" s="1" t="s">
        <v>34</v>
      </c>
      <c r="K3565" s="1" t="s">
        <v>34</v>
      </c>
      <c r="L3565" s="1" t="str">
        <f t="shared" si="671"/>
        <v>20220915</v>
      </c>
      <c r="M3565" s="1" t="str">
        <f>"142842"</f>
        <v>142842</v>
      </c>
      <c r="N3565" s="1" t="s">
        <v>28</v>
      </c>
      <c r="O3565" s="1" t="s">
        <v>28</v>
      </c>
      <c r="P3565" s="1" t="s">
        <v>55</v>
      </c>
      <c r="Q3565" s="1">
        <v>13</v>
      </c>
      <c r="R3565" s="1">
        <v>13</v>
      </c>
      <c r="S3565" s="1">
        <v>0</v>
      </c>
      <c r="T3565" s="1">
        <v>0</v>
      </c>
      <c r="U3565" s="1">
        <v>0</v>
      </c>
      <c r="V3565" s="1" t="str">
        <f>"里程返程"</f>
        <v>里程返程</v>
      </c>
      <c r="W3565" s="1" t="str">
        <f>"0120"</f>
        <v>0120</v>
      </c>
      <c r="X3565" s="1" t="s">
        <v>35</v>
      </c>
    </row>
    <row r="3566" spans="1:24" x14ac:dyDescent="0.3">
      <c r="A3566" s="1" t="str">
        <f t="shared" si="668"/>
        <v>59829</v>
      </c>
      <c r="B3566" s="1" t="s">
        <v>47</v>
      </c>
      <c r="C3566" s="1" t="s">
        <v>48</v>
      </c>
      <c r="D3566" s="1" t="str">
        <f t="shared" si="670"/>
        <v>9803</v>
      </c>
      <c r="E3566" s="1" t="s">
        <v>32</v>
      </c>
      <c r="F3566" s="1" t="str">
        <f>"214744534"</f>
        <v>214744534</v>
      </c>
      <c r="G3566" s="1" t="s">
        <v>26</v>
      </c>
      <c r="H3566" s="1" t="str">
        <f t="shared" si="659"/>
        <v>20220915</v>
      </c>
      <c r="I3566" s="1" t="str">
        <f>"135424"</f>
        <v>135424</v>
      </c>
      <c r="J3566" s="1" t="s">
        <v>34</v>
      </c>
      <c r="K3566" s="1" t="s">
        <v>34</v>
      </c>
      <c r="L3566" s="1" t="str">
        <f t="shared" si="671"/>
        <v>20220915</v>
      </c>
      <c r="M3566" s="1" t="str">
        <f>"142904"</f>
        <v>142904</v>
      </c>
      <c r="N3566" s="1" t="s">
        <v>28</v>
      </c>
      <c r="O3566" s="1" t="s">
        <v>28</v>
      </c>
      <c r="P3566" s="1" t="s">
        <v>55</v>
      </c>
      <c r="Q3566" s="1">
        <v>13</v>
      </c>
      <c r="R3566" s="1">
        <v>13</v>
      </c>
      <c r="S3566" s="1">
        <v>0</v>
      </c>
      <c r="T3566" s="1">
        <v>0</v>
      </c>
      <c r="U3566" s="1">
        <v>0</v>
      </c>
      <c r="V3566" s="1" t="str">
        <f>"里程返程"</f>
        <v>里程返程</v>
      </c>
      <c r="W3566" s="1" t="str">
        <f>"2020"</f>
        <v>2020</v>
      </c>
      <c r="X3566" s="1" t="s">
        <v>35</v>
      </c>
    </row>
    <row r="3567" spans="1:24" x14ac:dyDescent="0.3">
      <c r="A3567" s="1" t="str">
        <f t="shared" si="668"/>
        <v>59829</v>
      </c>
      <c r="B3567" s="1" t="s">
        <v>47</v>
      </c>
      <c r="C3567" s="1" t="s">
        <v>48</v>
      </c>
      <c r="D3567" s="1" t="str">
        <f t="shared" si="670"/>
        <v>9803</v>
      </c>
      <c r="E3567" s="1" t="s">
        <v>32</v>
      </c>
      <c r="F3567" s="1" t="str">
        <f>"1507899665"</f>
        <v>1507899665</v>
      </c>
      <c r="G3567" s="1" t="s">
        <v>33</v>
      </c>
      <c r="H3567" s="1" t="str">
        <f t="shared" ref="H3567:H3580" si="672">"20220915"</f>
        <v>20220915</v>
      </c>
      <c r="I3567" s="1" t="str">
        <f>"135426"</f>
        <v>135426</v>
      </c>
      <c r="J3567" s="1" t="s">
        <v>34</v>
      </c>
      <c r="K3567" s="1" t="s">
        <v>34</v>
      </c>
      <c r="L3567" s="1" t="str">
        <f t="shared" si="671"/>
        <v>20220915</v>
      </c>
      <c r="M3567" s="1" t="str">
        <f>"142151"</f>
        <v>142151</v>
      </c>
      <c r="N3567" s="1" t="s">
        <v>92</v>
      </c>
      <c r="O3567" s="1" t="s">
        <v>28</v>
      </c>
      <c r="P3567" s="1" t="s">
        <v>55</v>
      </c>
      <c r="Q3567" s="1">
        <v>25</v>
      </c>
      <c r="R3567" s="1">
        <v>25</v>
      </c>
      <c r="S3567" s="1">
        <v>0</v>
      </c>
      <c r="T3567" s="1">
        <v>0</v>
      </c>
      <c r="U3567" s="1">
        <v>0</v>
      </c>
      <c r="V3567" s="1" t="str">
        <f>"里程返程"</f>
        <v>里程返程</v>
      </c>
      <c r="W3567" s="1" t="str">
        <f>"0220"</f>
        <v>0220</v>
      </c>
      <c r="X3567" s="1" t="s">
        <v>35</v>
      </c>
    </row>
    <row r="3568" spans="1:24" x14ac:dyDescent="0.3">
      <c r="A3568" s="1" t="str">
        <f t="shared" si="668"/>
        <v>59829</v>
      </c>
      <c r="B3568" s="1" t="s">
        <v>47</v>
      </c>
      <c r="C3568" s="1" t="s">
        <v>48</v>
      </c>
      <c r="D3568" s="1" t="str">
        <f t="shared" si="670"/>
        <v>9803</v>
      </c>
      <c r="E3568" s="1" t="s">
        <v>32</v>
      </c>
      <c r="F3568" s="1" t="str">
        <f>"1775599361"</f>
        <v>1775599361</v>
      </c>
      <c r="G3568" s="1" t="s">
        <v>33</v>
      </c>
      <c r="H3568" s="1" t="str">
        <f t="shared" si="672"/>
        <v>20220915</v>
      </c>
      <c r="I3568" s="1" t="str">
        <f>"135433"</f>
        <v>135433</v>
      </c>
      <c r="J3568" s="1" t="s">
        <v>34</v>
      </c>
      <c r="K3568" s="1" t="s">
        <v>34</v>
      </c>
      <c r="L3568" s="1" t="str">
        <f t="shared" si="671"/>
        <v>20220915</v>
      </c>
      <c r="M3568" s="1" t="str">
        <f>"142914"</f>
        <v>142914</v>
      </c>
      <c r="N3568" s="1" t="s">
        <v>28</v>
      </c>
      <c r="O3568" s="1" t="s">
        <v>28</v>
      </c>
      <c r="P3568" s="1" t="s">
        <v>55</v>
      </c>
      <c r="Q3568" s="1">
        <v>25</v>
      </c>
      <c r="R3568" s="1">
        <v>25</v>
      </c>
      <c r="S3568" s="1">
        <v>0</v>
      </c>
      <c r="T3568" s="1">
        <v>0</v>
      </c>
      <c r="U3568" s="1">
        <v>0</v>
      </c>
      <c r="V3568" s="1" t="str">
        <f>"里程返程"</f>
        <v>里程返程</v>
      </c>
      <c r="W3568" s="1" t="str">
        <f>"2020"</f>
        <v>2020</v>
      </c>
      <c r="X3568" s="1" t="s">
        <v>35</v>
      </c>
    </row>
    <row r="3569" spans="1:24" x14ac:dyDescent="0.3">
      <c r="A3569" s="1" t="str">
        <f t="shared" si="668"/>
        <v>59829</v>
      </c>
      <c r="B3569" s="1" t="s">
        <v>47</v>
      </c>
      <c r="C3569" s="1" t="s">
        <v>48</v>
      </c>
      <c r="D3569" s="1" t="str">
        <f t="shared" ref="D3569:D3579" si="673">"9805"</f>
        <v>9805</v>
      </c>
      <c r="E3569" s="1" t="s">
        <v>57</v>
      </c>
      <c r="F3569" s="1" t="str">
        <f>"1221E402D5880400C834002000000015"</f>
        <v>1221E402D5880400C834002000000015</v>
      </c>
      <c r="G3569" s="1" t="s">
        <v>26</v>
      </c>
      <c r="H3569" s="1" t="str">
        <f t="shared" si="672"/>
        <v>20220915</v>
      </c>
      <c r="I3569" s="1" t="str">
        <f>"151520"</f>
        <v>151520</v>
      </c>
      <c r="J3569" s="1" t="s">
        <v>28</v>
      </c>
      <c r="K3569" s="1" t="s">
        <v>28</v>
      </c>
      <c r="L3569" s="1" t="str">
        <f t="shared" si="671"/>
        <v>20220915</v>
      </c>
      <c r="M3569" s="1" t="str">
        <f>"153338"</f>
        <v>153338</v>
      </c>
      <c r="N3569" s="1" t="s">
        <v>52</v>
      </c>
      <c r="O3569" s="1" t="s">
        <v>52</v>
      </c>
      <c r="P3569" s="1" t="s">
        <v>68</v>
      </c>
      <c r="Q3569" s="1">
        <v>13</v>
      </c>
      <c r="R3569" s="1">
        <v>0</v>
      </c>
      <c r="S3569" s="1">
        <v>0</v>
      </c>
      <c r="T3569" s="1">
        <v>13</v>
      </c>
      <c r="U3569" s="1">
        <v>0</v>
      </c>
      <c r="V3569" s="1" t="str">
        <f t="shared" ref="V3569:V3580" si="674">"里程去程"</f>
        <v>里程去程</v>
      </c>
      <c r="W3569" s="1" t="str">
        <f>"0020"</f>
        <v>0020</v>
      </c>
      <c r="X3569" s="1" t="s">
        <v>29</v>
      </c>
    </row>
    <row r="3570" spans="1:24" x14ac:dyDescent="0.3">
      <c r="A3570" s="1" t="str">
        <f t="shared" si="668"/>
        <v>59829</v>
      </c>
      <c r="B3570" s="1" t="s">
        <v>47</v>
      </c>
      <c r="C3570" s="1" t="s">
        <v>48</v>
      </c>
      <c r="D3570" s="1" t="str">
        <f t="shared" si="673"/>
        <v>9805</v>
      </c>
      <c r="E3570" s="1" t="s">
        <v>57</v>
      </c>
      <c r="F3570" s="1" t="str">
        <f>"42E9D00279880400C834002000000015"</f>
        <v>42E9D00279880400C834002000000015</v>
      </c>
      <c r="G3570" s="1" t="s">
        <v>26</v>
      </c>
      <c r="H3570" s="1" t="str">
        <f t="shared" si="672"/>
        <v>20220915</v>
      </c>
      <c r="I3570" s="1" t="str">
        <f>"151524"</f>
        <v>151524</v>
      </c>
      <c r="J3570" s="1" t="s">
        <v>28</v>
      </c>
      <c r="K3570" s="1" t="s">
        <v>28</v>
      </c>
      <c r="L3570" s="1" t="str">
        <f t="shared" si="671"/>
        <v>20220915</v>
      </c>
      <c r="M3570" s="1" t="str">
        <f>"153222"</f>
        <v>153222</v>
      </c>
      <c r="N3570" s="1" t="s">
        <v>62</v>
      </c>
      <c r="O3570" s="1" t="s">
        <v>28</v>
      </c>
      <c r="P3570" s="1" t="s">
        <v>68</v>
      </c>
      <c r="Q3570" s="1">
        <v>13</v>
      </c>
      <c r="R3570" s="1">
        <v>0</v>
      </c>
      <c r="S3570" s="1">
        <v>0</v>
      </c>
      <c r="T3570" s="1">
        <v>13</v>
      </c>
      <c r="U3570" s="1">
        <v>0</v>
      </c>
      <c r="V3570" s="1" t="str">
        <f t="shared" si="674"/>
        <v>里程去程</v>
      </c>
      <c r="W3570" s="1" t="str">
        <f>"0020"</f>
        <v>0020</v>
      </c>
      <c r="X3570" s="1" t="s">
        <v>29</v>
      </c>
    </row>
    <row r="3571" spans="1:24" x14ac:dyDescent="0.3">
      <c r="A3571" s="1" t="str">
        <f t="shared" si="668"/>
        <v>59829</v>
      </c>
      <c r="B3571" s="1" t="s">
        <v>47</v>
      </c>
      <c r="C3571" s="1" t="s">
        <v>48</v>
      </c>
      <c r="D3571" s="1" t="str">
        <f t="shared" si="673"/>
        <v>9805</v>
      </c>
      <c r="E3571" s="1" t="s">
        <v>57</v>
      </c>
      <c r="F3571" s="1" t="str">
        <f>"3505435875"</f>
        <v>3505435875</v>
      </c>
      <c r="G3571" s="1" t="s">
        <v>33</v>
      </c>
      <c r="H3571" s="1" t="str">
        <f t="shared" si="672"/>
        <v>20220915</v>
      </c>
      <c r="I3571" s="1" t="str">
        <f>"151533"</f>
        <v>151533</v>
      </c>
      <c r="J3571" s="1" t="s">
        <v>28</v>
      </c>
      <c r="K3571" s="1" t="s">
        <v>28</v>
      </c>
      <c r="L3571" s="1" t="str">
        <f t="shared" si="671"/>
        <v>20220915</v>
      </c>
      <c r="M3571" s="1" t="str">
        <f>"153345"</f>
        <v>153345</v>
      </c>
      <c r="N3571" s="1" t="s">
        <v>52</v>
      </c>
      <c r="O3571" s="1" t="s">
        <v>52</v>
      </c>
      <c r="P3571" s="1" t="s">
        <v>55</v>
      </c>
      <c r="Q3571" s="1">
        <v>25</v>
      </c>
      <c r="R3571" s="1">
        <v>0</v>
      </c>
      <c r="S3571" s="1">
        <v>25</v>
      </c>
      <c r="T3571" s="1">
        <v>0</v>
      </c>
      <c r="U3571" s="1">
        <v>0</v>
      </c>
      <c r="V3571" s="1" t="str">
        <f t="shared" si="674"/>
        <v>里程去程</v>
      </c>
      <c r="W3571" s="1" t="str">
        <f>"2120"</f>
        <v>2120</v>
      </c>
      <c r="X3571" s="1" t="s">
        <v>35</v>
      </c>
    </row>
    <row r="3572" spans="1:24" x14ac:dyDescent="0.3">
      <c r="A3572" s="1" t="str">
        <f t="shared" si="668"/>
        <v>59829</v>
      </c>
      <c r="B3572" s="1" t="s">
        <v>47</v>
      </c>
      <c r="C3572" s="1" t="s">
        <v>48</v>
      </c>
      <c r="D3572" s="1" t="str">
        <f t="shared" si="673"/>
        <v>9805</v>
      </c>
      <c r="E3572" s="1" t="s">
        <v>57</v>
      </c>
      <c r="F3572" s="1" t="str">
        <f>"671830421"</f>
        <v>671830421</v>
      </c>
      <c r="G3572" s="1" t="s">
        <v>33</v>
      </c>
      <c r="H3572" s="1" t="str">
        <f t="shared" si="672"/>
        <v>20220915</v>
      </c>
      <c r="I3572" s="1" t="str">
        <f>"151538"</f>
        <v>151538</v>
      </c>
      <c r="J3572" s="1" t="s">
        <v>28</v>
      </c>
      <c r="K3572" s="1" t="s">
        <v>28</v>
      </c>
      <c r="L3572" s="1" t="str">
        <f t="shared" si="671"/>
        <v>20220915</v>
      </c>
      <c r="M3572" s="1" t="str">
        <f>"153359"</f>
        <v>153359</v>
      </c>
      <c r="N3572" s="1" t="s">
        <v>52</v>
      </c>
      <c r="O3572" s="1" t="s">
        <v>52</v>
      </c>
      <c r="P3572" s="1" t="s">
        <v>55</v>
      </c>
      <c r="Q3572" s="1">
        <v>25</v>
      </c>
      <c r="R3572" s="1">
        <v>0</v>
      </c>
      <c r="S3572" s="1">
        <v>25</v>
      </c>
      <c r="T3572" s="1">
        <v>0</v>
      </c>
      <c r="U3572" s="1">
        <v>0</v>
      </c>
      <c r="V3572" s="1" t="str">
        <f t="shared" si="674"/>
        <v>里程去程</v>
      </c>
      <c r="W3572" s="1" t="str">
        <f>"0820"</f>
        <v>0820</v>
      </c>
      <c r="X3572" s="1" t="s">
        <v>35</v>
      </c>
    </row>
    <row r="3573" spans="1:24" x14ac:dyDescent="0.3">
      <c r="A3573" s="1" t="str">
        <f t="shared" si="668"/>
        <v>59829</v>
      </c>
      <c r="B3573" s="1" t="s">
        <v>47</v>
      </c>
      <c r="C3573" s="1" t="s">
        <v>48</v>
      </c>
      <c r="D3573" s="1" t="str">
        <f t="shared" si="673"/>
        <v>9805</v>
      </c>
      <c r="E3573" s="1" t="s">
        <v>57</v>
      </c>
      <c r="F3573" s="1" t="str">
        <f>"1648513109"</f>
        <v>1648513109</v>
      </c>
      <c r="G3573" s="1" t="s">
        <v>33</v>
      </c>
      <c r="H3573" s="1" t="str">
        <f t="shared" si="672"/>
        <v>20220915</v>
      </c>
      <c r="I3573" s="1" t="str">
        <f>"151541"</f>
        <v>151541</v>
      </c>
      <c r="J3573" s="1" t="s">
        <v>28</v>
      </c>
      <c r="K3573" s="1" t="s">
        <v>28</v>
      </c>
      <c r="L3573" s="1" t="str">
        <f t="shared" si="671"/>
        <v>20220915</v>
      </c>
      <c r="M3573" s="1" t="str">
        <f>"153402"</f>
        <v>153402</v>
      </c>
      <c r="N3573" s="1" t="s">
        <v>52</v>
      </c>
      <c r="O3573" s="1" t="s">
        <v>52</v>
      </c>
      <c r="P3573" s="1" t="s">
        <v>55</v>
      </c>
      <c r="Q3573" s="1">
        <v>25</v>
      </c>
      <c r="R3573" s="1">
        <v>25</v>
      </c>
      <c r="S3573" s="1">
        <v>0</v>
      </c>
      <c r="T3573" s="1">
        <v>0</v>
      </c>
      <c r="U3573" s="1">
        <v>0</v>
      </c>
      <c r="V3573" s="1" t="str">
        <f t="shared" si="674"/>
        <v>里程去程</v>
      </c>
      <c r="W3573" s="1" t="str">
        <f>"0320"</f>
        <v>0320</v>
      </c>
      <c r="X3573" s="1" t="s">
        <v>35</v>
      </c>
    </row>
    <row r="3574" spans="1:24" x14ac:dyDescent="0.3">
      <c r="A3574" s="1" t="str">
        <f t="shared" si="668"/>
        <v>59829</v>
      </c>
      <c r="B3574" s="1" t="s">
        <v>47</v>
      </c>
      <c r="C3574" s="1" t="s">
        <v>48</v>
      </c>
      <c r="D3574" s="1" t="str">
        <f t="shared" si="673"/>
        <v>9805</v>
      </c>
      <c r="E3574" s="1" t="s">
        <v>57</v>
      </c>
      <c r="F3574" s="1" t="str">
        <f>"C2370E09F2880400C810002000000016"</f>
        <v>C2370E09F2880400C810002000000016</v>
      </c>
      <c r="G3574" s="1" t="s">
        <v>58</v>
      </c>
      <c r="H3574" s="1" t="str">
        <f t="shared" si="672"/>
        <v>20220915</v>
      </c>
      <c r="I3574" s="1" t="str">
        <f>"151544"</f>
        <v>151544</v>
      </c>
      <c r="J3574" s="1" t="s">
        <v>28</v>
      </c>
      <c r="K3574" s="1" t="s">
        <v>28</v>
      </c>
      <c r="L3574" s="1" t="str">
        <f t="shared" si="671"/>
        <v>20220915</v>
      </c>
      <c r="M3574" s="1" t="str">
        <f>"153355"</f>
        <v>153355</v>
      </c>
      <c r="N3574" s="1" t="s">
        <v>52</v>
      </c>
      <c r="O3574" s="1" t="s">
        <v>52</v>
      </c>
      <c r="P3574" s="1" t="s">
        <v>55</v>
      </c>
      <c r="Q3574" s="1">
        <v>25</v>
      </c>
      <c r="R3574" s="1">
        <v>0</v>
      </c>
      <c r="S3574" s="1">
        <v>25</v>
      </c>
      <c r="T3574" s="1">
        <v>0</v>
      </c>
      <c r="U3574" s="1">
        <v>0</v>
      </c>
      <c r="V3574" s="1" t="str">
        <f t="shared" si="674"/>
        <v>里程去程</v>
      </c>
      <c r="W3574" s="1" t="str">
        <f>"0620"</f>
        <v>0620</v>
      </c>
      <c r="X3574" s="1" t="s">
        <v>29</v>
      </c>
    </row>
    <row r="3575" spans="1:24" x14ac:dyDescent="0.3">
      <c r="A3575" s="1" t="str">
        <f t="shared" si="668"/>
        <v>59829</v>
      </c>
      <c r="B3575" s="1" t="s">
        <v>47</v>
      </c>
      <c r="C3575" s="1" t="s">
        <v>48</v>
      </c>
      <c r="D3575" s="1" t="str">
        <f t="shared" si="673"/>
        <v>9805</v>
      </c>
      <c r="E3575" s="1" t="s">
        <v>57</v>
      </c>
      <c r="F3575" s="1" t="str">
        <f>"1769189713"</f>
        <v>1769189713</v>
      </c>
      <c r="G3575" s="1" t="s">
        <v>33</v>
      </c>
      <c r="H3575" s="1" t="str">
        <f t="shared" si="672"/>
        <v>20220915</v>
      </c>
      <c r="I3575" s="1" t="str">
        <f>"151547"</f>
        <v>151547</v>
      </c>
      <c r="J3575" s="1" t="s">
        <v>28</v>
      </c>
      <c r="K3575" s="1" t="s">
        <v>28</v>
      </c>
      <c r="L3575" s="1" t="str">
        <f t="shared" si="671"/>
        <v>20220915</v>
      </c>
      <c r="M3575" s="1" t="str">
        <f>"152955"</f>
        <v>152955</v>
      </c>
      <c r="N3575" s="1" t="s">
        <v>61</v>
      </c>
      <c r="O3575" s="1" t="s">
        <v>28</v>
      </c>
      <c r="P3575" s="1" t="s">
        <v>55</v>
      </c>
      <c r="Q3575" s="1">
        <v>25</v>
      </c>
      <c r="R3575" s="1">
        <v>0</v>
      </c>
      <c r="S3575" s="1">
        <v>25</v>
      </c>
      <c r="T3575" s="1">
        <v>0</v>
      </c>
      <c r="U3575" s="1">
        <v>0</v>
      </c>
      <c r="V3575" s="1" t="str">
        <f t="shared" si="674"/>
        <v>里程去程</v>
      </c>
      <c r="W3575" s="1" t="str">
        <f>"0820"</f>
        <v>0820</v>
      </c>
      <c r="X3575" s="1" t="s">
        <v>35</v>
      </c>
    </row>
    <row r="3576" spans="1:24" x14ac:dyDescent="0.3">
      <c r="A3576" s="1" t="str">
        <f t="shared" si="668"/>
        <v>59829</v>
      </c>
      <c r="B3576" s="1" t="s">
        <v>47</v>
      </c>
      <c r="C3576" s="1" t="s">
        <v>48</v>
      </c>
      <c r="D3576" s="1" t="str">
        <f t="shared" si="673"/>
        <v>9805</v>
      </c>
      <c r="E3576" s="1" t="s">
        <v>57</v>
      </c>
      <c r="F3576" s="1" t="str">
        <f>"6817173057004375"</f>
        <v>6817173057004375</v>
      </c>
      <c r="G3576" s="1" t="s">
        <v>33</v>
      </c>
      <c r="H3576" s="1" t="str">
        <f t="shared" si="672"/>
        <v>20220915</v>
      </c>
      <c r="I3576" s="1" t="str">
        <f>"151554"</f>
        <v>151554</v>
      </c>
      <c r="J3576" s="1" t="s">
        <v>28</v>
      </c>
      <c r="K3576" s="1" t="s">
        <v>28</v>
      </c>
      <c r="L3576" s="1" t="str">
        <f t="shared" si="671"/>
        <v>20220915</v>
      </c>
      <c r="M3576" s="1" t="str">
        <f>"153342"</f>
        <v>153342</v>
      </c>
      <c r="N3576" s="1" t="s">
        <v>52</v>
      </c>
      <c r="O3576" s="1" t="s">
        <v>52</v>
      </c>
      <c r="P3576" s="1" t="s">
        <v>55</v>
      </c>
      <c r="Q3576" s="1">
        <v>25</v>
      </c>
      <c r="R3576" s="1">
        <v>0</v>
      </c>
      <c r="S3576" s="1">
        <v>25</v>
      </c>
      <c r="T3576" s="1">
        <v>0</v>
      </c>
      <c r="U3576" s="1">
        <v>0</v>
      </c>
      <c r="V3576" s="1" t="str">
        <f t="shared" si="674"/>
        <v>里程去程</v>
      </c>
      <c r="W3576" s="1" t="str">
        <f>"3A3B"</f>
        <v>3A3B</v>
      </c>
      <c r="X3576" s="1" t="s">
        <v>109</v>
      </c>
    </row>
    <row r="3577" spans="1:24" x14ac:dyDescent="0.3">
      <c r="A3577" s="1" t="str">
        <f t="shared" si="668"/>
        <v>59829</v>
      </c>
      <c r="B3577" s="1" t="s">
        <v>47</v>
      </c>
      <c r="C3577" s="1" t="s">
        <v>48</v>
      </c>
      <c r="D3577" s="1" t="str">
        <f t="shared" si="673"/>
        <v>9805</v>
      </c>
      <c r="E3577" s="1" t="s">
        <v>57</v>
      </c>
      <c r="F3577" s="1" t="str">
        <f>"941240245"</f>
        <v>941240245</v>
      </c>
      <c r="G3577" s="1" t="s">
        <v>33</v>
      </c>
      <c r="H3577" s="1" t="str">
        <f t="shared" si="672"/>
        <v>20220915</v>
      </c>
      <c r="I3577" s="1" t="str">
        <f>"151635"</f>
        <v>151635</v>
      </c>
      <c r="J3577" s="1" t="s">
        <v>28</v>
      </c>
      <c r="K3577" s="1" t="s">
        <v>28</v>
      </c>
      <c r="L3577" s="1" t="str">
        <f t="shared" si="671"/>
        <v>20220915</v>
      </c>
      <c r="M3577" s="1" t="str">
        <f>"153352"</f>
        <v>153352</v>
      </c>
      <c r="N3577" s="1" t="s">
        <v>52</v>
      </c>
      <c r="O3577" s="1" t="s">
        <v>52</v>
      </c>
      <c r="P3577" s="1" t="s">
        <v>55</v>
      </c>
      <c r="Q3577" s="1">
        <v>25</v>
      </c>
      <c r="R3577" s="1">
        <v>0</v>
      </c>
      <c r="S3577" s="1">
        <v>25</v>
      </c>
      <c r="T3577" s="1">
        <v>0</v>
      </c>
      <c r="U3577" s="1">
        <v>0</v>
      </c>
      <c r="V3577" s="1" t="str">
        <f t="shared" si="674"/>
        <v>里程去程</v>
      </c>
      <c r="W3577" s="1" t="str">
        <f>"0820"</f>
        <v>0820</v>
      </c>
      <c r="X3577" s="1" t="s">
        <v>35</v>
      </c>
    </row>
    <row r="3578" spans="1:24" x14ac:dyDescent="0.3">
      <c r="A3578" s="1" t="str">
        <f t="shared" si="668"/>
        <v>59829</v>
      </c>
      <c r="B3578" s="1" t="s">
        <v>47</v>
      </c>
      <c r="C3578" s="1" t="s">
        <v>48</v>
      </c>
      <c r="D3578" s="1" t="str">
        <f t="shared" si="673"/>
        <v>9805</v>
      </c>
      <c r="E3578" s="1" t="s">
        <v>57</v>
      </c>
      <c r="F3578" s="1" t="str">
        <f>"750179185"</f>
        <v>750179185</v>
      </c>
      <c r="G3578" s="1" t="s">
        <v>33</v>
      </c>
      <c r="H3578" s="1" t="str">
        <f t="shared" si="672"/>
        <v>20220915</v>
      </c>
      <c r="I3578" s="1" t="str">
        <f>"151841"</f>
        <v>151841</v>
      </c>
      <c r="J3578" s="1" t="s">
        <v>28</v>
      </c>
      <c r="K3578" s="1" t="s">
        <v>28</v>
      </c>
      <c r="L3578" s="1" t="str">
        <f t="shared" si="671"/>
        <v>20220915</v>
      </c>
      <c r="M3578" s="1" t="str">
        <f>"153134"</f>
        <v>153134</v>
      </c>
      <c r="N3578" s="1" t="s">
        <v>62</v>
      </c>
      <c r="O3578" s="1" t="s">
        <v>28</v>
      </c>
      <c r="P3578" s="1" t="s">
        <v>55</v>
      </c>
      <c r="Q3578" s="1">
        <v>25</v>
      </c>
      <c r="R3578" s="1">
        <v>0</v>
      </c>
      <c r="S3578" s="1">
        <v>25</v>
      </c>
      <c r="T3578" s="1">
        <v>0</v>
      </c>
      <c r="U3578" s="1">
        <v>0</v>
      </c>
      <c r="V3578" s="1" t="str">
        <f t="shared" si="674"/>
        <v>里程去程</v>
      </c>
      <c r="W3578" s="1" t="str">
        <f>"2120"</f>
        <v>2120</v>
      </c>
      <c r="X3578" s="1" t="s">
        <v>35</v>
      </c>
    </row>
    <row r="3579" spans="1:24" x14ac:dyDescent="0.3">
      <c r="A3579" s="1" t="str">
        <f t="shared" si="668"/>
        <v>59829</v>
      </c>
      <c r="B3579" s="1" t="s">
        <v>47</v>
      </c>
      <c r="C3579" s="1" t="s">
        <v>48</v>
      </c>
      <c r="D3579" s="1" t="str">
        <f t="shared" si="673"/>
        <v>9805</v>
      </c>
      <c r="E3579" s="1" t="s">
        <v>57</v>
      </c>
      <c r="F3579" s="1" t="str">
        <f>"1142464677"</f>
        <v>1142464677</v>
      </c>
      <c r="G3579" s="1" t="s">
        <v>33</v>
      </c>
      <c r="H3579" s="1" t="str">
        <f t="shared" si="672"/>
        <v>20220915</v>
      </c>
      <c r="I3579" s="1" t="str">
        <f>"151845"</f>
        <v>151845</v>
      </c>
      <c r="J3579" s="1" t="s">
        <v>28</v>
      </c>
      <c r="K3579" s="1" t="s">
        <v>28</v>
      </c>
      <c r="L3579" s="1" t="str">
        <f t="shared" si="671"/>
        <v>20220915</v>
      </c>
      <c r="M3579" s="1" t="str">
        <f>"153131"</f>
        <v>153131</v>
      </c>
      <c r="N3579" s="1" t="s">
        <v>62</v>
      </c>
      <c r="O3579" s="1" t="s">
        <v>28</v>
      </c>
      <c r="P3579" s="1" t="s">
        <v>55</v>
      </c>
      <c r="Q3579" s="1">
        <v>25</v>
      </c>
      <c r="R3579" s="1">
        <v>0</v>
      </c>
      <c r="S3579" s="1">
        <v>25</v>
      </c>
      <c r="T3579" s="1">
        <v>0</v>
      </c>
      <c r="U3579" s="1">
        <v>0</v>
      </c>
      <c r="V3579" s="1" t="str">
        <f t="shared" si="674"/>
        <v>里程去程</v>
      </c>
      <c r="W3579" s="1" t="str">
        <f>"2120"</f>
        <v>2120</v>
      </c>
      <c r="X3579" s="1" t="s">
        <v>35</v>
      </c>
    </row>
    <row r="3580" spans="1:24" x14ac:dyDescent="0.3">
      <c r="A3580" s="1" t="str">
        <f t="shared" si="668"/>
        <v>59829</v>
      </c>
      <c r="B3580" s="1" t="s">
        <v>47</v>
      </c>
      <c r="C3580" s="1" t="s">
        <v>48</v>
      </c>
      <c r="D3580" s="1" t="str">
        <f>"9803"</f>
        <v>9803</v>
      </c>
      <c r="E3580" s="1" t="s">
        <v>32</v>
      </c>
      <c r="F3580" s="1" t="str">
        <f>"1632636128"</f>
        <v>1632636128</v>
      </c>
      <c r="G3580" s="1" t="s">
        <v>33</v>
      </c>
      <c r="H3580" s="1" t="str">
        <f t="shared" si="672"/>
        <v>20220915</v>
      </c>
      <c r="I3580" s="1" t="str">
        <f>"174224"</f>
        <v>174224</v>
      </c>
      <c r="J3580" s="1" t="s">
        <v>28</v>
      </c>
      <c r="K3580" s="1" t="s">
        <v>28</v>
      </c>
      <c r="L3580" s="1" t="str">
        <f t="shared" si="671"/>
        <v>20220915</v>
      </c>
      <c r="M3580" s="1" t="str">
        <f>"175259"</f>
        <v>175259</v>
      </c>
      <c r="N3580" s="1" t="s">
        <v>46</v>
      </c>
      <c r="O3580" s="1" t="s">
        <v>28</v>
      </c>
      <c r="P3580" s="1" t="s">
        <v>55</v>
      </c>
      <c r="Q3580" s="1">
        <v>25</v>
      </c>
      <c r="R3580" s="1">
        <v>25</v>
      </c>
      <c r="S3580" s="1">
        <v>0</v>
      </c>
      <c r="T3580" s="1">
        <v>0</v>
      </c>
      <c r="U3580" s="1">
        <v>0</v>
      </c>
      <c r="V3580" s="1" t="str">
        <f t="shared" si="674"/>
        <v>里程去程</v>
      </c>
      <c r="W3580" s="1" t="str">
        <f>"2020"</f>
        <v>2020</v>
      </c>
      <c r="X3580" s="1" t="s">
        <v>35</v>
      </c>
    </row>
    <row r="3581" spans="1:24" x14ac:dyDescent="0.3">
      <c r="A3581" s="1" t="str">
        <f t="shared" ref="A3581:A3612" si="675">"59809"</f>
        <v>59809</v>
      </c>
      <c r="B3581" s="1" t="s">
        <v>42</v>
      </c>
      <c r="C3581" s="1" t="s">
        <v>43</v>
      </c>
      <c r="D3581" s="1" t="str">
        <f t="shared" ref="D3581:D3612" si="676">"9801"</f>
        <v>9801</v>
      </c>
      <c r="E3581" s="1" t="s">
        <v>25</v>
      </c>
      <c r="F3581" s="1" t="str">
        <f>"1752749445"</f>
        <v>1752749445</v>
      </c>
      <c r="G3581" s="1" t="s">
        <v>33</v>
      </c>
      <c r="H3581" s="1" t="str">
        <f t="shared" ref="H3581:H3644" si="677">"20220916"</f>
        <v>20220916</v>
      </c>
      <c r="I3581" s="1" t="str">
        <f>"062939"</f>
        <v>062939</v>
      </c>
      <c r="J3581" s="1" t="s">
        <v>28</v>
      </c>
      <c r="K3581" s="1" t="s">
        <v>28</v>
      </c>
      <c r="L3581" s="1" t="str">
        <f t="shared" ref="L3581:L3612" si="678">"20220916"</f>
        <v>20220916</v>
      </c>
      <c r="M3581" s="1" t="str">
        <f>"065250"</f>
        <v>065250</v>
      </c>
      <c r="N3581" s="1" t="s">
        <v>72</v>
      </c>
      <c r="O3581" s="1" t="s">
        <v>52</v>
      </c>
      <c r="P3581" s="1" t="s">
        <v>55</v>
      </c>
      <c r="Q3581" s="1">
        <v>25</v>
      </c>
      <c r="R3581" s="1">
        <v>0</v>
      </c>
      <c r="S3581" s="1">
        <v>25</v>
      </c>
      <c r="T3581" s="1">
        <v>0</v>
      </c>
      <c r="U3581" s="1">
        <v>0</v>
      </c>
      <c r="V3581" s="1" t="str">
        <f t="shared" ref="V3581:V3588" si="679">"里程返程"</f>
        <v>里程返程</v>
      </c>
      <c r="W3581" s="1" t="str">
        <f>"0820"</f>
        <v>0820</v>
      </c>
      <c r="X3581" s="1" t="s">
        <v>35</v>
      </c>
    </row>
    <row r="3582" spans="1:24" x14ac:dyDescent="0.3">
      <c r="A3582" s="1" t="str">
        <f t="shared" si="675"/>
        <v>59809</v>
      </c>
      <c r="B3582" s="1" t="s">
        <v>42</v>
      </c>
      <c r="C3582" s="1" t="s">
        <v>43</v>
      </c>
      <c r="D3582" s="1" t="str">
        <f t="shared" si="676"/>
        <v>9801</v>
      </c>
      <c r="E3582" s="1" t="s">
        <v>25</v>
      </c>
      <c r="F3582" s="1" t="str">
        <f>"619F1761882804001C00000000000000"</f>
        <v>619F1761882804001C00000000000000</v>
      </c>
      <c r="G3582" s="1" t="s">
        <v>58</v>
      </c>
      <c r="H3582" s="1" t="str">
        <f t="shared" si="677"/>
        <v>20220916</v>
      </c>
      <c r="I3582" s="1" t="str">
        <f>"063023"</f>
        <v>063023</v>
      </c>
      <c r="J3582" s="1" t="s">
        <v>28</v>
      </c>
      <c r="K3582" s="1" t="s">
        <v>28</v>
      </c>
      <c r="L3582" s="1" t="str">
        <f t="shared" si="678"/>
        <v>20220916</v>
      </c>
      <c r="M3582" s="1" t="str">
        <f>"065246"</f>
        <v>065246</v>
      </c>
      <c r="N3582" s="1" t="s">
        <v>72</v>
      </c>
      <c r="O3582" s="1" t="s">
        <v>52</v>
      </c>
      <c r="P3582" s="1" t="s">
        <v>55</v>
      </c>
      <c r="Q3582" s="1">
        <v>25</v>
      </c>
      <c r="R3582" s="1">
        <v>0</v>
      </c>
      <c r="S3582" s="1">
        <v>25</v>
      </c>
      <c r="T3582" s="1">
        <v>0</v>
      </c>
      <c r="U3582" s="1">
        <v>0</v>
      </c>
      <c r="V3582" s="1" t="str">
        <f t="shared" si="679"/>
        <v>里程返程</v>
      </c>
      <c r="W3582" s="1" t="str">
        <f>"0620"</f>
        <v>0620</v>
      </c>
      <c r="X3582" s="1" t="s">
        <v>29</v>
      </c>
    </row>
    <row r="3583" spans="1:24" x14ac:dyDescent="0.3">
      <c r="A3583" s="1" t="str">
        <f t="shared" si="675"/>
        <v>59809</v>
      </c>
      <c r="B3583" s="1" t="s">
        <v>42</v>
      </c>
      <c r="C3583" s="1" t="s">
        <v>43</v>
      </c>
      <c r="D3583" s="1" t="str">
        <f t="shared" si="676"/>
        <v>9801</v>
      </c>
      <c r="E3583" s="1" t="s">
        <v>25</v>
      </c>
      <c r="F3583" s="1" t="str">
        <f>"B28A1D0326880400C834002000000015"</f>
        <v>B28A1D0326880400C834002000000015</v>
      </c>
      <c r="G3583" s="1" t="s">
        <v>26</v>
      </c>
      <c r="H3583" s="1" t="str">
        <f t="shared" si="677"/>
        <v>20220916</v>
      </c>
      <c r="I3583" s="1" t="str">
        <f>"064236"</f>
        <v>064236</v>
      </c>
      <c r="J3583" s="1" t="s">
        <v>67</v>
      </c>
      <c r="K3583" s="1" t="s">
        <v>52</v>
      </c>
      <c r="L3583" s="1" t="str">
        <f t="shared" si="678"/>
        <v>20220916</v>
      </c>
      <c r="M3583" s="1" t="str">
        <f>"065646"</f>
        <v>065646</v>
      </c>
      <c r="N3583" s="1" t="s">
        <v>60</v>
      </c>
      <c r="O3583" s="1" t="s">
        <v>52</v>
      </c>
      <c r="P3583" s="1" t="s">
        <v>68</v>
      </c>
      <c r="Q3583" s="1">
        <v>13</v>
      </c>
      <c r="R3583" s="1">
        <v>0</v>
      </c>
      <c r="S3583" s="1">
        <v>0</v>
      </c>
      <c r="T3583" s="1">
        <v>13</v>
      </c>
      <c r="U3583" s="1">
        <v>0</v>
      </c>
      <c r="V3583" s="1" t="str">
        <f t="shared" si="679"/>
        <v>里程返程</v>
      </c>
      <c r="W3583" s="1" t="str">
        <f>"0020"</f>
        <v>0020</v>
      </c>
      <c r="X3583" s="1" t="s">
        <v>29</v>
      </c>
    </row>
    <row r="3584" spans="1:24" x14ac:dyDescent="0.3">
      <c r="A3584" s="1" t="str">
        <f t="shared" si="675"/>
        <v>59809</v>
      </c>
      <c r="B3584" s="1" t="s">
        <v>42</v>
      </c>
      <c r="C3584" s="1" t="s">
        <v>43</v>
      </c>
      <c r="D3584" s="1" t="str">
        <f t="shared" si="676"/>
        <v>9801</v>
      </c>
      <c r="E3584" s="1" t="s">
        <v>25</v>
      </c>
      <c r="F3584" s="1" t="str">
        <f>"317388520"</f>
        <v>317388520</v>
      </c>
      <c r="G3584" s="1" t="s">
        <v>26</v>
      </c>
      <c r="H3584" s="1" t="str">
        <f t="shared" si="677"/>
        <v>20220916</v>
      </c>
      <c r="I3584" s="1" t="str">
        <f>"072520"</f>
        <v>072520</v>
      </c>
      <c r="J3584" s="1" t="s">
        <v>28</v>
      </c>
      <c r="K3584" s="1" t="s">
        <v>28</v>
      </c>
      <c r="L3584" s="1" t="str">
        <f t="shared" si="678"/>
        <v>20220916</v>
      </c>
      <c r="M3584" s="1" t="str">
        <f>"075233"</f>
        <v>075233</v>
      </c>
      <c r="N3584" s="1" t="s">
        <v>52</v>
      </c>
      <c r="O3584" s="1" t="s">
        <v>52</v>
      </c>
      <c r="P3584" s="1" t="s">
        <v>55</v>
      </c>
      <c r="Q3584" s="1">
        <v>13</v>
      </c>
      <c r="R3584" s="1">
        <v>0</v>
      </c>
      <c r="S3584" s="1">
        <v>13</v>
      </c>
      <c r="T3584" s="1">
        <v>0</v>
      </c>
      <c r="U3584" s="1">
        <v>0</v>
      </c>
      <c r="V3584" s="1" t="str">
        <f t="shared" si="679"/>
        <v>里程返程</v>
      </c>
      <c r="W3584" s="1" t="str">
        <f>"0820"</f>
        <v>0820</v>
      </c>
      <c r="X3584" s="1" t="s">
        <v>35</v>
      </c>
    </row>
    <row r="3585" spans="1:24" x14ac:dyDescent="0.3">
      <c r="A3585" s="1" t="str">
        <f t="shared" si="675"/>
        <v>59809</v>
      </c>
      <c r="B3585" s="1" t="s">
        <v>42</v>
      </c>
      <c r="C3585" s="1" t="s">
        <v>43</v>
      </c>
      <c r="D3585" s="1" t="str">
        <f t="shared" si="676"/>
        <v>9801</v>
      </c>
      <c r="E3585" s="1" t="s">
        <v>25</v>
      </c>
      <c r="F3585" s="1" t="str">
        <f>"82730F18E6880400C814002000000019"</f>
        <v>82730F18E6880400C814002000000019</v>
      </c>
      <c r="G3585" s="1" t="s">
        <v>59</v>
      </c>
      <c r="H3585" s="1" t="str">
        <f t="shared" si="677"/>
        <v>20220916</v>
      </c>
      <c r="I3585" s="1" t="str">
        <f>"072523"</f>
        <v>072523</v>
      </c>
      <c r="J3585" s="1" t="s">
        <v>28</v>
      </c>
      <c r="K3585" s="1" t="s">
        <v>28</v>
      </c>
      <c r="L3585" s="1" t="str">
        <f t="shared" si="678"/>
        <v>20220916</v>
      </c>
      <c r="M3585" s="1" t="str">
        <f>"074328"</f>
        <v>074328</v>
      </c>
      <c r="N3585" s="1" t="s">
        <v>72</v>
      </c>
      <c r="O3585" s="1" t="s">
        <v>52</v>
      </c>
      <c r="P3585" s="1" t="s">
        <v>55</v>
      </c>
      <c r="Q3585" s="1">
        <v>25</v>
      </c>
      <c r="R3585" s="1">
        <v>0</v>
      </c>
      <c r="S3585" s="1">
        <v>25</v>
      </c>
      <c r="T3585" s="1">
        <v>0</v>
      </c>
      <c r="U3585" s="1">
        <v>0</v>
      </c>
      <c r="V3585" s="1" t="str">
        <f t="shared" si="679"/>
        <v>里程返程</v>
      </c>
      <c r="W3585" s="1" t="str">
        <f>"0620"</f>
        <v>0620</v>
      </c>
      <c r="X3585" s="1" t="s">
        <v>29</v>
      </c>
    </row>
    <row r="3586" spans="1:24" x14ac:dyDescent="0.3">
      <c r="A3586" s="1" t="str">
        <f t="shared" si="675"/>
        <v>59809</v>
      </c>
      <c r="B3586" s="1" t="s">
        <v>42</v>
      </c>
      <c r="C3586" s="1" t="s">
        <v>43</v>
      </c>
      <c r="D3586" s="1" t="str">
        <f t="shared" si="676"/>
        <v>9801</v>
      </c>
      <c r="E3586" s="1" t="s">
        <v>25</v>
      </c>
      <c r="F3586" s="1" t="str">
        <f>"1076975349"</f>
        <v>1076975349</v>
      </c>
      <c r="G3586" s="1" t="s">
        <v>33</v>
      </c>
      <c r="H3586" s="1" t="str">
        <f t="shared" si="677"/>
        <v>20220916</v>
      </c>
      <c r="I3586" s="1" t="str">
        <f>"072525"</f>
        <v>072525</v>
      </c>
      <c r="J3586" s="1" t="s">
        <v>28</v>
      </c>
      <c r="K3586" s="1" t="s">
        <v>28</v>
      </c>
      <c r="L3586" s="1" t="str">
        <f t="shared" si="678"/>
        <v>20220916</v>
      </c>
      <c r="M3586" s="1" t="str">
        <f>"073301"</f>
        <v>073301</v>
      </c>
      <c r="N3586" s="1" t="s">
        <v>69</v>
      </c>
      <c r="O3586" s="1" t="s">
        <v>52</v>
      </c>
      <c r="P3586" s="1" t="s">
        <v>55</v>
      </c>
      <c r="Q3586" s="1">
        <v>25</v>
      </c>
      <c r="R3586" s="1">
        <v>0</v>
      </c>
      <c r="S3586" s="1">
        <v>25</v>
      </c>
      <c r="T3586" s="1">
        <v>0</v>
      </c>
      <c r="U3586" s="1">
        <v>0</v>
      </c>
      <c r="V3586" s="1" t="str">
        <f t="shared" si="679"/>
        <v>里程返程</v>
      </c>
      <c r="W3586" s="1" t="str">
        <f>"0820"</f>
        <v>0820</v>
      </c>
      <c r="X3586" s="1" t="s">
        <v>35</v>
      </c>
    </row>
    <row r="3587" spans="1:24" x14ac:dyDescent="0.3">
      <c r="A3587" s="1" t="str">
        <f t="shared" si="675"/>
        <v>59809</v>
      </c>
      <c r="B3587" s="1" t="s">
        <v>42</v>
      </c>
      <c r="C3587" s="1" t="s">
        <v>43</v>
      </c>
      <c r="D3587" s="1" t="str">
        <f t="shared" si="676"/>
        <v>9801</v>
      </c>
      <c r="E3587" s="1" t="s">
        <v>25</v>
      </c>
      <c r="F3587" s="1" t="str">
        <f>"825D0C18CB880400C814002000000019"</f>
        <v>825D0C18CB880400C814002000000019</v>
      </c>
      <c r="G3587" s="1" t="s">
        <v>59</v>
      </c>
      <c r="H3587" s="1" t="str">
        <f t="shared" si="677"/>
        <v>20220916</v>
      </c>
      <c r="I3587" s="1" t="str">
        <f>"072528"</f>
        <v>072528</v>
      </c>
      <c r="J3587" s="1" t="s">
        <v>28</v>
      </c>
      <c r="K3587" s="1" t="s">
        <v>28</v>
      </c>
      <c r="L3587" s="1" t="str">
        <f t="shared" si="678"/>
        <v>20220916</v>
      </c>
      <c r="M3587" s="1" t="str">
        <f>"075237"</f>
        <v>075237</v>
      </c>
      <c r="N3587" s="1" t="s">
        <v>52</v>
      </c>
      <c r="O3587" s="1" t="s">
        <v>52</v>
      </c>
      <c r="P3587" s="1" t="s">
        <v>55</v>
      </c>
      <c r="Q3587" s="1">
        <v>25</v>
      </c>
      <c r="R3587" s="1">
        <v>0</v>
      </c>
      <c r="S3587" s="1">
        <v>25</v>
      </c>
      <c r="T3587" s="1">
        <v>0</v>
      </c>
      <c r="U3587" s="1">
        <v>0</v>
      </c>
      <c r="V3587" s="1" t="str">
        <f t="shared" si="679"/>
        <v>里程返程</v>
      </c>
      <c r="W3587" s="1" t="str">
        <f>"0620"</f>
        <v>0620</v>
      </c>
      <c r="X3587" s="1" t="s">
        <v>29</v>
      </c>
    </row>
    <row r="3588" spans="1:24" x14ac:dyDescent="0.3">
      <c r="A3588" s="1" t="str">
        <f t="shared" si="675"/>
        <v>59809</v>
      </c>
      <c r="B3588" s="1" t="s">
        <v>42</v>
      </c>
      <c r="C3588" s="1" t="s">
        <v>43</v>
      </c>
      <c r="D3588" s="1" t="str">
        <f t="shared" si="676"/>
        <v>9801</v>
      </c>
      <c r="E3588" s="1" t="s">
        <v>25</v>
      </c>
      <c r="F3588" s="1" t="str">
        <f>"62F00B1881880400C814002000000019"</f>
        <v>62F00B1881880400C814002000000019</v>
      </c>
      <c r="G3588" s="1" t="s">
        <v>59</v>
      </c>
      <c r="H3588" s="1" t="str">
        <f t="shared" si="677"/>
        <v>20220916</v>
      </c>
      <c r="I3588" s="1" t="str">
        <f>"072531"</f>
        <v>072531</v>
      </c>
      <c r="J3588" s="1" t="s">
        <v>28</v>
      </c>
      <c r="K3588" s="1" t="s">
        <v>28</v>
      </c>
      <c r="L3588" s="1" t="str">
        <f t="shared" si="678"/>
        <v>20220916</v>
      </c>
      <c r="M3588" s="1" t="str">
        <f>"074331"</f>
        <v>074331</v>
      </c>
      <c r="N3588" s="1" t="s">
        <v>72</v>
      </c>
      <c r="O3588" s="1" t="s">
        <v>52</v>
      </c>
      <c r="P3588" s="1" t="s">
        <v>55</v>
      </c>
      <c r="Q3588" s="1">
        <v>25</v>
      </c>
      <c r="R3588" s="1">
        <v>0</v>
      </c>
      <c r="S3588" s="1">
        <v>25</v>
      </c>
      <c r="T3588" s="1">
        <v>0</v>
      </c>
      <c r="U3588" s="1">
        <v>0</v>
      </c>
      <c r="V3588" s="1" t="str">
        <f t="shared" si="679"/>
        <v>里程返程</v>
      </c>
      <c r="W3588" s="1" t="str">
        <f>"0620"</f>
        <v>0620</v>
      </c>
      <c r="X3588" s="1" t="s">
        <v>29</v>
      </c>
    </row>
    <row r="3589" spans="1:24" x14ac:dyDescent="0.3">
      <c r="A3589" s="1" t="str">
        <f t="shared" si="675"/>
        <v>59809</v>
      </c>
      <c r="B3589" s="1" t="s">
        <v>42</v>
      </c>
      <c r="C3589" s="1" t="s">
        <v>43</v>
      </c>
      <c r="D3589" s="1" t="str">
        <f t="shared" si="676"/>
        <v>9801</v>
      </c>
      <c r="E3589" s="1" t="s">
        <v>25</v>
      </c>
      <c r="F3589" s="1" t="str">
        <f>"246873423"</f>
        <v>246873423</v>
      </c>
      <c r="G3589" s="1" t="s">
        <v>74</v>
      </c>
      <c r="H3589" s="1" t="str">
        <f t="shared" si="677"/>
        <v>20220916</v>
      </c>
      <c r="I3589" s="1" t="str">
        <f>"075556"</f>
        <v>075556</v>
      </c>
      <c r="J3589" s="1" t="s">
        <v>52</v>
      </c>
      <c r="K3589" s="1" t="s">
        <v>52</v>
      </c>
      <c r="L3589" s="1" t="str">
        <f t="shared" si="678"/>
        <v>20220916</v>
      </c>
      <c r="M3589" s="1" t="str">
        <f>"083429"</f>
        <v>083429</v>
      </c>
      <c r="N3589" s="1" t="s">
        <v>70</v>
      </c>
      <c r="O3589" s="1" t="s">
        <v>28</v>
      </c>
      <c r="P3589" s="1" t="s">
        <v>55</v>
      </c>
      <c r="Q3589" s="1">
        <v>13</v>
      </c>
      <c r="R3589" s="1">
        <v>13</v>
      </c>
      <c r="S3589" s="1">
        <v>0</v>
      </c>
      <c r="T3589" s="1">
        <v>0</v>
      </c>
      <c r="U3589" s="1">
        <v>0</v>
      </c>
      <c r="V3589" s="1" t="str">
        <f t="shared" ref="V3589:V3607" si="680">"里程去程"</f>
        <v>里程去程</v>
      </c>
      <c r="W3589" s="1" t="str">
        <f>"0120"</f>
        <v>0120</v>
      </c>
      <c r="X3589" s="1" t="s">
        <v>35</v>
      </c>
    </row>
    <row r="3590" spans="1:24" x14ac:dyDescent="0.3">
      <c r="A3590" s="1" t="str">
        <f t="shared" si="675"/>
        <v>59809</v>
      </c>
      <c r="B3590" s="1" t="s">
        <v>42</v>
      </c>
      <c r="C3590" s="1" t="s">
        <v>43</v>
      </c>
      <c r="D3590" s="1" t="str">
        <f t="shared" si="676"/>
        <v>9801</v>
      </c>
      <c r="E3590" s="1" t="s">
        <v>25</v>
      </c>
      <c r="F3590" s="1" t="str">
        <f>"1357713809"</f>
        <v>1357713809</v>
      </c>
      <c r="G3590" s="1" t="s">
        <v>33</v>
      </c>
      <c r="H3590" s="1" t="str">
        <f t="shared" si="677"/>
        <v>20220916</v>
      </c>
      <c r="I3590" s="1" t="str">
        <f>"075600"</f>
        <v>075600</v>
      </c>
      <c r="J3590" s="1" t="s">
        <v>52</v>
      </c>
      <c r="K3590" s="1" t="s">
        <v>52</v>
      </c>
      <c r="L3590" s="1" t="str">
        <f t="shared" si="678"/>
        <v>20220916</v>
      </c>
      <c r="M3590" s="1" t="str">
        <f>"083426"</f>
        <v>083426</v>
      </c>
      <c r="N3590" s="1" t="s">
        <v>70</v>
      </c>
      <c r="O3590" s="1" t="s">
        <v>28</v>
      </c>
      <c r="P3590" s="1" t="s">
        <v>55</v>
      </c>
      <c r="Q3590" s="1">
        <v>25</v>
      </c>
      <c r="R3590" s="1">
        <v>25</v>
      </c>
      <c r="S3590" s="1">
        <v>0</v>
      </c>
      <c r="T3590" s="1">
        <v>0</v>
      </c>
      <c r="U3590" s="1">
        <v>0</v>
      </c>
      <c r="V3590" s="1" t="str">
        <f t="shared" si="680"/>
        <v>里程去程</v>
      </c>
      <c r="W3590" s="1" t="str">
        <f>"0120"</f>
        <v>0120</v>
      </c>
      <c r="X3590" s="1" t="s">
        <v>35</v>
      </c>
    </row>
    <row r="3591" spans="1:24" x14ac:dyDescent="0.3">
      <c r="A3591" s="1" t="str">
        <f t="shared" si="675"/>
        <v>59809</v>
      </c>
      <c r="B3591" s="1" t="s">
        <v>42</v>
      </c>
      <c r="C3591" s="1" t="s">
        <v>43</v>
      </c>
      <c r="D3591" s="1" t="str">
        <f t="shared" si="676"/>
        <v>9801</v>
      </c>
      <c r="E3591" s="1" t="s">
        <v>25</v>
      </c>
      <c r="F3591" s="1" t="str">
        <f>"7227E702B0880400C834002000000015"</f>
        <v>7227E702B0880400C834002000000015</v>
      </c>
      <c r="G3591" s="1" t="s">
        <v>74</v>
      </c>
      <c r="H3591" s="1" t="str">
        <f t="shared" si="677"/>
        <v>20220916</v>
      </c>
      <c r="I3591" s="1" t="str">
        <f>"080032"</f>
        <v>080032</v>
      </c>
      <c r="J3591" s="1" t="s">
        <v>52</v>
      </c>
      <c r="K3591" s="1" t="s">
        <v>52</v>
      </c>
      <c r="L3591" s="1" t="str">
        <f t="shared" si="678"/>
        <v>20220916</v>
      </c>
      <c r="M3591" s="1" t="str">
        <f>"080637"</f>
        <v>080637</v>
      </c>
      <c r="N3591" s="1" t="s">
        <v>60</v>
      </c>
      <c r="O3591" s="1" t="s">
        <v>52</v>
      </c>
      <c r="P3591" s="1" t="s">
        <v>68</v>
      </c>
      <c r="Q3591" s="1">
        <v>13</v>
      </c>
      <c r="R3591" s="1">
        <v>0</v>
      </c>
      <c r="S3591" s="1">
        <v>0</v>
      </c>
      <c r="T3591" s="1">
        <v>13</v>
      </c>
      <c r="U3591" s="1">
        <v>0</v>
      </c>
      <c r="V3591" s="1" t="str">
        <f t="shared" si="680"/>
        <v>里程去程</v>
      </c>
      <c r="W3591" s="1" t="str">
        <f>"0020"</f>
        <v>0020</v>
      </c>
      <c r="X3591" s="1" t="s">
        <v>29</v>
      </c>
    </row>
    <row r="3592" spans="1:24" x14ac:dyDescent="0.3">
      <c r="A3592" s="1" t="str">
        <f t="shared" si="675"/>
        <v>59809</v>
      </c>
      <c r="B3592" s="1" t="s">
        <v>42</v>
      </c>
      <c r="C3592" s="1" t="s">
        <v>43</v>
      </c>
      <c r="D3592" s="1" t="str">
        <f t="shared" si="676"/>
        <v>9801</v>
      </c>
      <c r="E3592" s="1" t="s">
        <v>25</v>
      </c>
      <c r="F3592" s="1" t="str">
        <f>"F2F7D002D7880400C834002000000015"</f>
        <v>F2F7D002D7880400C834002000000015</v>
      </c>
      <c r="G3592" s="1" t="s">
        <v>74</v>
      </c>
      <c r="H3592" s="1" t="str">
        <f t="shared" si="677"/>
        <v>20220916</v>
      </c>
      <c r="I3592" s="1" t="str">
        <f>"082537"</f>
        <v>082537</v>
      </c>
      <c r="J3592" s="1" t="s">
        <v>67</v>
      </c>
      <c r="K3592" s="1" t="s">
        <v>52</v>
      </c>
      <c r="L3592" s="1" t="str">
        <f t="shared" si="678"/>
        <v>20220916</v>
      </c>
      <c r="M3592" s="1" t="str">
        <f>"084802"</f>
        <v>084802</v>
      </c>
      <c r="N3592" s="1" t="s">
        <v>75</v>
      </c>
      <c r="O3592" s="1" t="s">
        <v>45</v>
      </c>
      <c r="P3592" s="1" t="s">
        <v>68</v>
      </c>
      <c r="Q3592" s="1">
        <v>25</v>
      </c>
      <c r="R3592" s="1">
        <v>0</v>
      </c>
      <c r="S3592" s="1">
        <v>0</v>
      </c>
      <c r="T3592" s="1">
        <v>25</v>
      </c>
      <c r="U3592" s="1">
        <v>0</v>
      </c>
      <c r="V3592" s="1" t="str">
        <f t="shared" si="680"/>
        <v>里程去程</v>
      </c>
      <c r="W3592" s="1" t="str">
        <f>"0020"</f>
        <v>0020</v>
      </c>
      <c r="X3592" s="1" t="s">
        <v>29</v>
      </c>
    </row>
    <row r="3593" spans="1:24" x14ac:dyDescent="0.3">
      <c r="A3593" s="1" t="str">
        <f t="shared" si="675"/>
        <v>59809</v>
      </c>
      <c r="B3593" s="1" t="s">
        <v>42</v>
      </c>
      <c r="C3593" s="1" t="s">
        <v>43</v>
      </c>
      <c r="D3593" s="1" t="str">
        <f t="shared" si="676"/>
        <v>9801</v>
      </c>
      <c r="E3593" s="1" t="s">
        <v>25</v>
      </c>
      <c r="F3593" s="1" t="str">
        <f>"41D05503C788040043252B4B0017050F"</f>
        <v>41D05503C788040043252B4B0017050F</v>
      </c>
      <c r="G3593" s="1" t="s">
        <v>58</v>
      </c>
      <c r="H3593" s="1" t="str">
        <f t="shared" si="677"/>
        <v>20220916</v>
      </c>
      <c r="I3593" s="1" t="str">
        <f>"083454"</f>
        <v>083454</v>
      </c>
      <c r="J3593" s="1" t="s">
        <v>27</v>
      </c>
      <c r="K3593" s="1" t="s">
        <v>28</v>
      </c>
      <c r="L3593" s="1" t="str">
        <f t="shared" si="678"/>
        <v>20220916</v>
      </c>
      <c r="M3593" s="1" t="str">
        <f>"084428"</f>
        <v>084428</v>
      </c>
      <c r="N3593" s="1" t="s">
        <v>45</v>
      </c>
      <c r="O3593" s="1" t="s">
        <v>45</v>
      </c>
      <c r="P3593" s="1" t="s">
        <v>55</v>
      </c>
      <c r="Q3593" s="1">
        <v>25</v>
      </c>
      <c r="R3593" s="1">
        <v>25</v>
      </c>
      <c r="S3593" s="1">
        <v>0</v>
      </c>
      <c r="T3593" s="1">
        <v>0</v>
      </c>
      <c r="U3593" s="1">
        <v>0</v>
      </c>
      <c r="V3593" s="1" t="str">
        <f t="shared" si="680"/>
        <v>里程去程</v>
      </c>
      <c r="W3593" s="1" t="str">
        <f>"0020"</f>
        <v>0020</v>
      </c>
      <c r="X3593" s="1" t="s">
        <v>29</v>
      </c>
    </row>
    <row r="3594" spans="1:24" x14ac:dyDescent="0.3">
      <c r="A3594" s="1" t="str">
        <f t="shared" si="675"/>
        <v>59809</v>
      </c>
      <c r="B3594" s="1" t="s">
        <v>42</v>
      </c>
      <c r="C3594" s="1" t="s">
        <v>111</v>
      </c>
      <c r="D3594" s="1" t="str">
        <f t="shared" si="676"/>
        <v>9801</v>
      </c>
      <c r="E3594" s="1" t="s">
        <v>25</v>
      </c>
      <c r="F3594" s="1" t="str">
        <f>"9517171004325742"</f>
        <v>9517171004325742</v>
      </c>
      <c r="G3594" s="1" t="s">
        <v>33</v>
      </c>
      <c r="H3594" s="1" t="str">
        <f t="shared" si="677"/>
        <v>20220916</v>
      </c>
      <c r="I3594" s="1" t="str">
        <f>"083458"</f>
        <v>083458</v>
      </c>
      <c r="J3594" s="1" t="s">
        <v>27</v>
      </c>
      <c r="K3594" s="1" t="s">
        <v>28</v>
      </c>
      <c r="L3594" s="1" t="str">
        <f t="shared" si="678"/>
        <v>20220916</v>
      </c>
      <c r="M3594" s="1" t="str">
        <f>"084414"</f>
        <v>084414</v>
      </c>
      <c r="N3594" s="1" t="s">
        <v>45</v>
      </c>
      <c r="O3594" s="1" t="s">
        <v>45</v>
      </c>
      <c r="P3594" s="1" t="s">
        <v>55</v>
      </c>
      <c r="Q3594" s="1">
        <v>25</v>
      </c>
      <c r="R3594" s="1">
        <v>25</v>
      </c>
      <c r="S3594" s="1">
        <v>0</v>
      </c>
      <c r="T3594" s="1">
        <v>0</v>
      </c>
      <c r="U3594" s="1">
        <v>0</v>
      </c>
      <c r="V3594" s="1" t="str">
        <f t="shared" si="680"/>
        <v>里程去程</v>
      </c>
      <c r="W3594" s="1" t="str">
        <f>"3B3B"</f>
        <v>3B3B</v>
      </c>
      <c r="X3594" s="1" t="s">
        <v>109</v>
      </c>
    </row>
    <row r="3595" spans="1:24" x14ac:dyDescent="0.3">
      <c r="A3595" s="1" t="str">
        <f t="shared" si="675"/>
        <v>59809</v>
      </c>
      <c r="B3595" s="1" t="s">
        <v>42</v>
      </c>
      <c r="C3595" s="1" t="s">
        <v>43</v>
      </c>
      <c r="D3595" s="1" t="str">
        <f t="shared" si="676"/>
        <v>9801</v>
      </c>
      <c r="E3595" s="1" t="s">
        <v>25</v>
      </c>
      <c r="F3595" s="1" t="str">
        <f>"1260698869"</f>
        <v>1260698869</v>
      </c>
      <c r="G3595" s="1" t="s">
        <v>26</v>
      </c>
      <c r="H3595" s="1" t="str">
        <f t="shared" si="677"/>
        <v>20220916</v>
      </c>
      <c r="I3595" s="1" t="str">
        <f>"083501"</f>
        <v>083501</v>
      </c>
      <c r="J3595" s="1" t="s">
        <v>27</v>
      </c>
      <c r="K3595" s="1" t="s">
        <v>28</v>
      </c>
      <c r="L3595" s="1" t="str">
        <f t="shared" si="678"/>
        <v>20220916</v>
      </c>
      <c r="M3595" s="1" t="str">
        <f>"084420"</f>
        <v>084420</v>
      </c>
      <c r="N3595" s="1" t="s">
        <v>45</v>
      </c>
      <c r="O3595" s="1" t="s">
        <v>45</v>
      </c>
      <c r="P3595" s="1" t="s">
        <v>55</v>
      </c>
      <c r="Q3595" s="1">
        <v>13</v>
      </c>
      <c r="R3595" s="1">
        <v>13</v>
      </c>
      <c r="S3595" s="1">
        <v>0</v>
      </c>
      <c r="T3595" s="1">
        <v>0</v>
      </c>
      <c r="U3595" s="1">
        <v>0</v>
      </c>
      <c r="V3595" s="1" t="str">
        <f t="shared" si="680"/>
        <v>里程去程</v>
      </c>
      <c r="W3595" s="1" t="str">
        <f t="shared" ref="W3595:W3600" si="681">"2020"</f>
        <v>2020</v>
      </c>
      <c r="X3595" s="1" t="s">
        <v>35</v>
      </c>
    </row>
    <row r="3596" spans="1:24" x14ac:dyDescent="0.3">
      <c r="A3596" s="1" t="str">
        <f t="shared" si="675"/>
        <v>59809</v>
      </c>
      <c r="B3596" s="1" t="s">
        <v>42</v>
      </c>
      <c r="C3596" s="1" t="s">
        <v>43</v>
      </c>
      <c r="D3596" s="1" t="str">
        <f t="shared" si="676"/>
        <v>9801</v>
      </c>
      <c r="E3596" s="1" t="s">
        <v>25</v>
      </c>
      <c r="F3596" s="1" t="str">
        <f>"994369333"</f>
        <v>994369333</v>
      </c>
      <c r="G3596" s="1" t="s">
        <v>26</v>
      </c>
      <c r="H3596" s="1" t="str">
        <f t="shared" si="677"/>
        <v>20220916</v>
      </c>
      <c r="I3596" s="1" t="str">
        <f>"083504"</f>
        <v>083504</v>
      </c>
      <c r="J3596" s="1" t="s">
        <v>27</v>
      </c>
      <c r="K3596" s="1" t="s">
        <v>28</v>
      </c>
      <c r="L3596" s="1" t="str">
        <f t="shared" si="678"/>
        <v>20220916</v>
      </c>
      <c r="M3596" s="1" t="str">
        <f>"084423"</f>
        <v>084423</v>
      </c>
      <c r="N3596" s="1" t="s">
        <v>45</v>
      </c>
      <c r="O3596" s="1" t="s">
        <v>45</v>
      </c>
      <c r="P3596" s="1" t="s">
        <v>55</v>
      </c>
      <c r="Q3596" s="1">
        <v>13</v>
      </c>
      <c r="R3596" s="1">
        <v>13</v>
      </c>
      <c r="S3596" s="1">
        <v>0</v>
      </c>
      <c r="T3596" s="1">
        <v>0</v>
      </c>
      <c r="U3596" s="1">
        <v>0</v>
      </c>
      <c r="V3596" s="1" t="str">
        <f t="shared" si="680"/>
        <v>里程去程</v>
      </c>
      <c r="W3596" s="1" t="str">
        <f t="shared" si="681"/>
        <v>2020</v>
      </c>
      <c r="X3596" s="1" t="s">
        <v>35</v>
      </c>
    </row>
    <row r="3597" spans="1:24" x14ac:dyDescent="0.3">
      <c r="A3597" s="1" t="str">
        <f t="shared" si="675"/>
        <v>59809</v>
      </c>
      <c r="B3597" s="1" t="s">
        <v>42</v>
      </c>
      <c r="C3597" s="1" t="s">
        <v>43</v>
      </c>
      <c r="D3597" s="1" t="str">
        <f t="shared" si="676"/>
        <v>9801</v>
      </c>
      <c r="E3597" s="1" t="s">
        <v>25</v>
      </c>
      <c r="F3597" s="1" t="str">
        <f>"3238479539"</f>
        <v>3238479539</v>
      </c>
      <c r="G3597" s="1" t="s">
        <v>33</v>
      </c>
      <c r="H3597" s="1" t="str">
        <f t="shared" si="677"/>
        <v>20220916</v>
      </c>
      <c r="I3597" s="1" t="str">
        <f>"083506"</f>
        <v>083506</v>
      </c>
      <c r="J3597" s="1" t="s">
        <v>27</v>
      </c>
      <c r="K3597" s="1" t="s">
        <v>28</v>
      </c>
      <c r="L3597" s="1" t="str">
        <f t="shared" si="678"/>
        <v>20220916</v>
      </c>
      <c r="M3597" s="1" t="str">
        <f>"084433"</f>
        <v>084433</v>
      </c>
      <c r="N3597" s="1" t="s">
        <v>45</v>
      </c>
      <c r="O3597" s="1" t="s">
        <v>45</v>
      </c>
      <c r="P3597" s="1" t="s">
        <v>55</v>
      </c>
      <c r="Q3597" s="1">
        <v>25</v>
      </c>
      <c r="R3597" s="1">
        <v>25</v>
      </c>
      <c r="S3597" s="1">
        <v>0</v>
      </c>
      <c r="T3597" s="1">
        <v>0</v>
      </c>
      <c r="U3597" s="1">
        <v>0</v>
      </c>
      <c r="V3597" s="1" t="str">
        <f t="shared" si="680"/>
        <v>里程去程</v>
      </c>
      <c r="W3597" s="1" t="str">
        <f t="shared" si="681"/>
        <v>2020</v>
      </c>
      <c r="X3597" s="1" t="s">
        <v>35</v>
      </c>
    </row>
    <row r="3598" spans="1:24" x14ac:dyDescent="0.3">
      <c r="A3598" s="1" t="str">
        <f t="shared" si="675"/>
        <v>59809</v>
      </c>
      <c r="B3598" s="1" t="s">
        <v>42</v>
      </c>
      <c r="C3598" s="1" t="s">
        <v>43</v>
      </c>
      <c r="D3598" s="1" t="str">
        <f t="shared" si="676"/>
        <v>9801</v>
      </c>
      <c r="E3598" s="1" t="s">
        <v>25</v>
      </c>
      <c r="F3598" s="1" t="str">
        <f>"660993845"</f>
        <v>660993845</v>
      </c>
      <c r="G3598" s="1" t="s">
        <v>33</v>
      </c>
      <c r="H3598" s="1" t="str">
        <f t="shared" si="677"/>
        <v>20220916</v>
      </c>
      <c r="I3598" s="1" t="str">
        <f>"083518"</f>
        <v>083518</v>
      </c>
      <c r="J3598" s="1" t="s">
        <v>27</v>
      </c>
      <c r="K3598" s="1" t="s">
        <v>28</v>
      </c>
      <c r="L3598" s="1" t="str">
        <f t="shared" si="678"/>
        <v>20220916</v>
      </c>
      <c r="M3598" s="1" t="str">
        <f>"084417"</f>
        <v>084417</v>
      </c>
      <c r="N3598" s="1" t="s">
        <v>45</v>
      </c>
      <c r="O3598" s="1" t="s">
        <v>45</v>
      </c>
      <c r="P3598" s="1" t="s">
        <v>55</v>
      </c>
      <c r="Q3598" s="1">
        <v>25</v>
      </c>
      <c r="R3598" s="1">
        <v>25</v>
      </c>
      <c r="S3598" s="1">
        <v>0</v>
      </c>
      <c r="T3598" s="1">
        <v>0</v>
      </c>
      <c r="U3598" s="1">
        <v>0</v>
      </c>
      <c r="V3598" s="1" t="str">
        <f t="shared" si="680"/>
        <v>里程去程</v>
      </c>
      <c r="W3598" s="1" t="str">
        <f t="shared" si="681"/>
        <v>2020</v>
      </c>
      <c r="X3598" s="1" t="s">
        <v>35</v>
      </c>
    </row>
    <row r="3599" spans="1:24" x14ac:dyDescent="0.3">
      <c r="A3599" s="1" t="str">
        <f t="shared" si="675"/>
        <v>59809</v>
      </c>
      <c r="B3599" s="1" t="s">
        <v>42</v>
      </c>
      <c r="C3599" s="1" t="s">
        <v>43</v>
      </c>
      <c r="D3599" s="1" t="str">
        <f t="shared" si="676"/>
        <v>9801</v>
      </c>
      <c r="E3599" s="1" t="s">
        <v>25</v>
      </c>
      <c r="F3599" s="1" t="str">
        <f>"57704897"</f>
        <v>57704897</v>
      </c>
      <c r="G3599" s="1" t="s">
        <v>33</v>
      </c>
      <c r="H3599" s="1" t="str">
        <f t="shared" si="677"/>
        <v>20220916</v>
      </c>
      <c r="I3599" s="1" t="str">
        <f>"083521"</f>
        <v>083521</v>
      </c>
      <c r="J3599" s="1" t="s">
        <v>27</v>
      </c>
      <c r="K3599" s="1" t="s">
        <v>28</v>
      </c>
      <c r="L3599" s="1" t="str">
        <f t="shared" si="678"/>
        <v>20220916</v>
      </c>
      <c r="M3599" s="1" t="str">
        <f>"084426"</f>
        <v>084426</v>
      </c>
      <c r="N3599" s="1" t="s">
        <v>45</v>
      </c>
      <c r="O3599" s="1" t="s">
        <v>45</v>
      </c>
      <c r="P3599" s="1" t="s">
        <v>55</v>
      </c>
      <c r="Q3599" s="1">
        <v>25</v>
      </c>
      <c r="R3599" s="1">
        <v>25</v>
      </c>
      <c r="S3599" s="1">
        <v>0</v>
      </c>
      <c r="T3599" s="1">
        <v>0</v>
      </c>
      <c r="U3599" s="1">
        <v>0</v>
      </c>
      <c r="V3599" s="1" t="str">
        <f t="shared" si="680"/>
        <v>里程去程</v>
      </c>
      <c r="W3599" s="1" t="str">
        <f t="shared" si="681"/>
        <v>2020</v>
      </c>
      <c r="X3599" s="1" t="s">
        <v>35</v>
      </c>
    </row>
    <row r="3600" spans="1:24" x14ac:dyDescent="0.3">
      <c r="A3600" s="1" t="str">
        <f t="shared" si="675"/>
        <v>59809</v>
      </c>
      <c r="B3600" s="1" t="s">
        <v>42</v>
      </c>
      <c r="C3600" s="1" t="s">
        <v>43</v>
      </c>
      <c r="D3600" s="1" t="str">
        <f t="shared" si="676"/>
        <v>9801</v>
      </c>
      <c r="E3600" s="1" t="s">
        <v>25</v>
      </c>
      <c r="F3600" s="1" t="str">
        <f>"1478557231"</f>
        <v>1478557231</v>
      </c>
      <c r="G3600" s="1" t="s">
        <v>33</v>
      </c>
      <c r="H3600" s="1" t="str">
        <f t="shared" si="677"/>
        <v>20220916</v>
      </c>
      <c r="I3600" s="1" t="str">
        <f>"083529"</f>
        <v>083529</v>
      </c>
      <c r="J3600" s="1" t="s">
        <v>27</v>
      </c>
      <c r="K3600" s="1" t="s">
        <v>28</v>
      </c>
      <c r="L3600" s="1" t="str">
        <f t="shared" si="678"/>
        <v>20220916</v>
      </c>
      <c r="M3600" s="1" t="str">
        <f>"084430"</f>
        <v>084430</v>
      </c>
      <c r="N3600" s="1" t="s">
        <v>45</v>
      </c>
      <c r="O3600" s="1" t="s">
        <v>45</v>
      </c>
      <c r="P3600" s="1" t="s">
        <v>55</v>
      </c>
      <c r="Q3600" s="1">
        <v>25</v>
      </c>
      <c r="R3600" s="1">
        <v>25</v>
      </c>
      <c r="S3600" s="1">
        <v>0</v>
      </c>
      <c r="T3600" s="1">
        <v>0</v>
      </c>
      <c r="U3600" s="1">
        <v>0</v>
      </c>
      <c r="V3600" s="1" t="str">
        <f t="shared" si="680"/>
        <v>里程去程</v>
      </c>
      <c r="W3600" s="1" t="str">
        <f t="shared" si="681"/>
        <v>2020</v>
      </c>
      <c r="X3600" s="1" t="s">
        <v>35</v>
      </c>
    </row>
    <row r="3601" spans="1:24" x14ac:dyDescent="0.3">
      <c r="A3601" s="1" t="str">
        <f t="shared" si="675"/>
        <v>59809</v>
      </c>
      <c r="B3601" s="1" t="s">
        <v>42</v>
      </c>
      <c r="C3601" s="1" t="s">
        <v>43</v>
      </c>
      <c r="D3601" s="1" t="str">
        <f t="shared" si="676"/>
        <v>9801</v>
      </c>
      <c r="E3601" s="1" t="s">
        <v>25</v>
      </c>
      <c r="F3601" s="1" t="str">
        <f>"1221230485"</f>
        <v>1221230485</v>
      </c>
      <c r="G3601" s="1" t="s">
        <v>38</v>
      </c>
      <c r="H3601" s="1" t="str">
        <f t="shared" si="677"/>
        <v>20220916</v>
      </c>
      <c r="I3601" s="1" t="str">
        <f>"093128"</f>
        <v>093128</v>
      </c>
      <c r="J3601" s="1" t="s">
        <v>27</v>
      </c>
      <c r="K3601" s="1" t="s">
        <v>28</v>
      </c>
      <c r="L3601" s="1" t="str">
        <f t="shared" si="678"/>
        <v>20220916</v>
      </c>
      <c r="M3601" s="1" t="str">
        <f>"094827"</f>
        <v>094827</v>
      </c>
      <c r="N3601" s="1" t="s">
        <v>56</v>
      </c>
      <c r="O3601" s="1" t="s">
        <v>45</v>
      </c>
      <c r="P3601" s="1" t="s">
        <v>55</v>
      </c>
      <c r="Q3601" s="1">
        <v>25</v>
      </c>
      <c r="R3601" s="1">
        <v>25</v>
      </c>
      <c r="S3601" s="1">
        <v>0</v>
      </c>
      <c r="T3601" s="1">
        <v>0</v>
      </c>
      <c r="U3601" s="1">
        <v>0</v>
      </c>
      <c r="V3601" s="1" t="str">
        <f t="shared" si="680"/>
        <v>里程去程</v>
      </c>
      <c r="W3601" s="1" t="str">
        <f>"0220"</f>
        <v>0220</v>
      </c>
      <c r="X3601" s="1" t="s">
        <v>35</v>
      </c>
    </row>
    <row r="3602" spans="1:24" x14ac:dyDescent="0.3">
      <c r="A3602" s="1" t="str">
        <f t="shared" si="675"/>
        <v>59809</v>
      </c>
      <c r="B3602" s="1" t="s">
        <v>42</v>
      </c>
      <c r="C3602" s="1" t="s">
        <v>43</v>
      </c>
      <c r="D3602" s="1" t="str">
        <f t="shared" si="676"/>
        <v>9801</v>
      </c>
      <c r="E3602" s="1" t="s">
        <v>25</v>
      </c>
      <c r="F3602" s="1" t="str">
        <f>"1311662705"</f>
        <v>1311662705</v>
      </c>
      <c r="G3602" s="1" t="s">
        <v>33</v>
      </c>
      <c r="H3602" s="1" t="str">
        <f t="shared" si="677"/>
        <v>20220916</v>
      </c>
      <c r="I3602" s="1" t="str">
        <f>"093146"</f>
        <v>093146</v>
      </c>
      <c r="J3602" s="1" t="s">
        <v>27</v>
      </c>
      <c r="K3602" s="1" t="s">
        <v>28</v>
      </c>
      <c r="L3602" s="1" t="str">
        <f t="shared" si="678"/>
        <v>20220916</v>
      </c>
      <c r="M3602" s="1" t="str">
        <f>"095725"</f>
        <v>095725</v>
      </c>
      <c r="N3602" s="1" t="s">
        <v>44</v>
      </c>
      <c r="O3602" s="1" t="s">
        <v>45</v>
      </c>
      <c r="P3602" s="1" t="s">
        <v>55</v>
      </c>
      <c r="Q3602" s="1">
        <v>25</v>
      </c>
      <c r="R3602" s="1">
        <v>25</v>
      </c>
      <c r="S3602" s="1">
        <v>0</v>
      </c>
      <c r="T3602" s="1">
        <v>0</v>
      </c>
      <c r="U3602" s="1">
        <v>0</v>
      </c>
      <c r="V3602" s="1" t="str">
        <f t="shared" si="680"/>
        <v>里程去程</v>
      </c>
      <c r="W3602" s="1" t="str">
        <f>"0120"</f>
        <v>0120</v>
      </c>
      <c r="X3602" s="1" t="s">
        <v>35</v>
      </c>
    </row>
    <row r="3603" spans="1:24" x14ac:dyDescent="0.3">
      <c r="A3603" s="1" t="str">
        <f t="shared" si="675"/>
        <v>59809</v>
      </c>
      <c r="B3603" s="1" t="s">
        <v>42</v>
      </c>
      <c r="C3603" s="1" t="s">
        <v>43</v>
      </c>
      <c r="D3603" s="1" t="str">
        <f t="shared" si="676"/>
        <v>9801</v>
      </c>
      <c r="E3603" s="1" t="s">
        <v>25</v>
      </c>
      <c r="F3603" s="1" t="str">
        <f>"12F3331AC8880400C810002000000021"</f>
        <v>12F3331AC8880400C810002000000021</v>
      </c>
      <c r="G3603" s="1" t="s">
        <v>26</v>
      </c>
      <c r="H3603" s="1" t="str">
        <f t="shared" si="677"/>
        <v>20220916</v>
      </c>
      <c r="I3603" s="1" t="str">
        <f>"093148"</f>
        <v>093148</v>
      </c>
      <c r="J3603" s="1" t="s">
        <v>27</v>
      </c>
      <c r="K3603" s="1" t="s">
        <v>28</v>
      </c>
      <c r="L3603" s="1" t="str">
        <f t="shared" si="678"/>
        <v>20220916</v>
      </c>
      <c r="M3603" s="1" t="str">
        <f>"094721"</f>
        <v>094721</v>
      </c>
      <c r="N3603" s="1" t="s">
        <v>61</v>
      </c>
      <c r="O3603" s="1" t="s">
        <v>45</v>
      </c>
      <c r="P3603" s="1" t="s">
        <v>55</v>
      </c>
      <c r="Q3603" s="1">
        <v>13</v>
      </c>
      <c r="R3603" s="1">
        <v>13</v>
      </c>
      <c r="S3603" s="1">
        <v>0</v>
      </c>
      <c r="T3603" s="1">
        <v>0</v>
      </c>
      <c r="U3603" s="1">
        <v>0</v>
      </c>
      <c r="V3603" s="1" t="str">
        <f t="shared" si="680"/>
        <v>里程去程</v>
      </c>
      <c r="W3603" s="1" t="str">
        <f>"0020"</f>
        <v>0020</v>
      </c>
      <c r="X3603" s="1" t="s">
        <v>29</v>
      </c>
    </row>
    <row r="3604" spans="1:24" x14ac:dyDescent="0.3">
      <c r="A3604" s="1" t="str">
        <f t="shared" si="675"/>
        <v>59809</v>
      </c>
      <c r="B3604" s="1" t="s">
        <v>42</v>
      </c>
      <c r="C3604" s="1" t="s">
        <v>43</v>
      </c>
      <c r="D3604" s="1" t="str">
        <f t="shared" si="676"/>
        <v>9801</v>
      </c>
      <c r="E3604" s="1" t="s">
        <v>25</v>
      </c>
      <c r="F3604" s="1" t="str">
        <f>"6280E61A1E880400C817002000000021"</f>
        <v>6280E61A1E880400C817002000000021</v>
      </c>
      <c r="G3604" s="1" t="s">
        <v>58</v>
      </c>
      <c r="H3604" s="1" t="str">
        <f t="shared" si="677"/>
        <v>20220916</v>
      </c>
      <c r="I3604" s="1" t="str">
        <f>"093223"</f>
        <v>093223</v>
      </c>
      <c r="J3604" s="1" t="s">
        <v>27</v>
      </c>
      <c r="K3604" s="1" t="s">
        <v>28</v>
      </c>
      <c r="L3604" s="1" t="str">
        <f t="shared" si="678"/>
        <v>20220916</v>
      </c>
      <c r="M3604" s="1" t="str">
        <f>"094831"</f>
        <v>094831</v>
      </c>
      <c r="N3604" s="1" t="s">
        <v>56</v>
      </c>
      <c r="O3604" s="1" t="s">
        <v>45</v>
      </c>
      <c r="P3604" s="1" t="s">
        <v>55</v>
      </c>
      <c r="Q3604" s="1">
        <v>25</v>
      </c>
      <c r="R3604" s="1">
        <v>0</v>
      </c>
      <c r="S3604" s="1">
        <v>25</v>
      </c>
      <c r="T3604" s="1">
        <v>0</v>
      </c>
      <c r="U3604" s="1">
        <v>0</v>
      </c>
      <c r="V3604" s="1" t="str">
        <f t="shared" si="680"/>
        <v>里程去程</v>
      </c>
      <c r="W3604" s="1" t="str">
        <f>"0620"</f>
        <v>0620</v>
      </c>
      <c r="X3604" s="1" t="s">
        <v>29</v>
      </c>
    </row>
    <row r="3605" spans="1:24" x14ac:dyDescent="0.3">
      <c r="A3605" s="1" t="str">
        <f t="shared" si="675"/>
        <v>59809</v>
      </c>
      <c r="B3605" s="1" t="s">
        <v>42</v>
      </c>
      <c r="C3605" s="1" t="s">
        <v>43</v>
      </c>
      <c r="D3605" s="1" t="str">
        <f t="shared" si="676"/>
        <v>9801</v>
      </c>
      <c r="E3605" s="1" t="s">
        <v>25</v>
      </c>
      <c r="F3605" s="1" t="str">
        <f>"E2BBCC1683880400C814002000000019"</f>
        <v>E2BBCC1683880400C814002000000019</v>
      </c>
      <c r="G3605" s="1" t="s">
        <v>64</v>
      </c>
      <c r="H3605" s="1" t="str">
        <f t="shared" si="677"/>
        <v>20220916</v>
      </c>
      <c r="I3605" s="1" t="str">
        <f>"093236"</f>
        <v>093236</v>
      </c>
      <c r="J3605" s="1" t="s">
        <v>27</v>
      </c>
      <c r="K3605" s="1" t="s">
        <v>28</v>
      </c>
      <c r="L3605" s="1" t="str">
        <f t="shared" si="678"/>
        <v>20220916</v>
      </c>
      <c r="M3605" s="1" t="str">
        <f>"094534"</f>
        <v>094534</v>
      </c>
      <c r="N3605" s="1" t="s">
        <v>45</v>
      </c>
      <c r="O3605" s="1" t="s">
        <v>45</v>
      </c>
      <c r="P3605" s="1" t="s">
        <v>55</v>
      </c>
      <c r="Q3605" s="1">
        <v>13</v>
      </c>
      <c r="R3605" s="1">
        <v>13</v>
      </c>
      <c r="S3605" s="1">
        <v>0</v>
      </c>
      <c r="T3605" s="1">
        <v>0</v>
      </c>
      <c r="U3605" s="1">
        <v>0</v>
      </c>
      <c r="V3605" s="1" t="str">
        <f t="shared" si="680"/>
        <v>里程去程</v>
      </c>
      <c r="W3605" s="1" t="str">
        <f>"0020"</f>
        <v>0020</v>
      </c>
      <c r="X3605" s="1" t="s">
        <v>29</v>
      </c>
    </row>
    <row r="3606" spans="1:24" x14ac:dyDescent="0.3">
      <c r="A3606" s="1" t="str">
        <f t="shared" si="675"/>
        <v>59809</v>
      </c>
      <c r="B3606" s="1" t="s">
        <v>42</v>
      </c>
      <c r="C3606" s="1" t="s">
        <v>43</v>
      </c>
      <c r="D3606" s="1" t="str">
        <f t="shared" si="676"/>
        <v>9801</v>
      </c>
      <c r="E3606" s="1" t="s">
        <v>25</v>
      </c>
      <c r="F3606" s="1" t="str">
        <f>"A977E80F398804004326A4E6000D0211"</f>
        <v>A977E80F398804004326A4E6000D0211</v>
      </c>
      <c r="G3606" s="1" t="s">
        <v>64</v>
      </c>
      <c r="H3606" s="1" t="str">
        <f t="shared" si="677"/>
        <v>20220916</v>
      </c>
      <c r="I3606" s="1" t="str">
        <f>"093427"</f>
        <v>093427</v>
      </c>
      <c r="J3606" s="1" t="s">
        <v>27</v>
      </c>
      <c r="K3606" s="1" t="s">
        <v>28</v>
      </c>
      <c r="L3606" s="1" t="str">
        <f t="shared" si="678"/>
        <v>20220916</v>
      </c>
      <c r="M3606" s="1" t="str">
        <f>"095859"</f>
        <v>095859</v>
      </c>
      <c r="N3606" s="1" t="s">
        <v>44</v>
      </c>
      <c r="O3606" s="1" t="s">
        <v>45</v>
      </c>
      <c r="P3606" s="1" t="s">
        <v>55</v>
      </c>
      <c r="Q3606" s="1">
        <v>13</v>
      </c>
      <c r="R3606" s="1">
        <v>13</v>
      </c>
      <c r="S3606" s="1">
        <v>0</v>
      </c>
      <c r="T3606" s="1">
        <v>0</v>
      </c>
      <c r="U3606" s="1">
        <v>0</v>
      </c>
      <c r="V3606" s="1" t="str">
        <f t="shared" si="680"/>
        <v>里程去程</v>
      </c>
      <c r="W3606" s="1" t="str">
        <f>"0020"</f>
        <v>0020</v>
      </c>
      <c r="X3606" s="1" t="s">
        <v>29</v>
      </c>
    </row>
    <row r="3607" spans="1:24" x14ac:dyDescent="0.3">
      <c r="A3607" s="1" t="str">
        <f t="shared" si="675"/>
        <v>59809</v>
      </c>
      <c r="B3607" s="1" t="s">
        <v>42</v>
      </c>
      <c r="C3607" s="1" t="s">
        <v>43</v>
      </c>
      <c r="D3607" s="1" t="str">
        <f t="shared" si="676"/>
        <v>9801</v>
      </c>
      <c r="E3607" s="1" t="s">
        <v>25</v>
      </c>
      <c r="F3607" s="1" t="str">
        <f>"A7D452F5D4880400432517C1000F040F"</f>
        <v>A7D452F5D4880400432517C1000F040F</v>
      </c>
      <c r="G3607" s="1" t="s">
        <v>58</v>
      </c>
      <c r="H3607" s="1" t="str">
        <f t="shared" si="677"/>
        <v>20220916</v>
      </c>
      <c r="I3607" s="1" t="str">
        <f>"093434"</f>
        <v>093434</v>
      </c>
      <c r="J3607" s="1" t="s">
        <v>27</v>
      </c>
      <c r="K3607" s="1" t="s">
        <v>28</v>
      </c>
      <c r="L3607" s="1" t="str">
        <f t="shared" si="678"/>
        <v>20220916</v>
      </c>
      <c r="M3607" s="1" t="str">
        <f>"095856"</f>
        <v>095856</v>
      </c>
      <c r="N3607" s="1" t="s">
        <v>44</v>
      </c>
      <c r="O3607" s="1" t="s">
        <v>45</v>
      </c>
      <c r="P3607" s="1" t="s">
        <v>55</v>
      </c>
      <c r="Q3607" s="1">
        <v>25</v>
      </c>
      <c r="R3607" s="1">
        <v>25</v>
      </c>
      <c r="S3607" s="1">
        <v>0</v>
      </c>
      <c r="T3607" s="1">
        <v>0</v>
      </c>
      <c r="U3607" s="1">
        <v>0</v>
      </c>
      <c r="V3607" s="1" t="str">
        <f t="shared" si="680"/>
        <v>里程去程</v>
      </c>
      <c r="W3607" s="1" t="str">
        <f>"0020"</f>
        <v>0020</v>
      </c>
      <c r="X3607" s="1" t="s">
        <v>29</v>
      </c>
    </row>
    <row r="3608" spans="1:24" x14ac:dyDescent="0.3">
      <c r="A3608" s="1" t="str">
        <f t="shared" si="675"/>
        <v>59809</v>
      </c>
      <c r="B3608" s="1" t="s">
        <v>42</v>
      </c>
      <c r="C3608" s="1" t="s">
        <v>43</v>
      </c>
      <c r="D3608" s="1" t="str">
        <f t="shared" si="676"/>
        <v>9801</v>
      </c>
      <c r="E3608" s="1" t="s">
        <v>25</v>
      </c>
      <c r="F3608" s="1" t="str">
        <f>"929885461"</f>
        <v>929885461</v>
      </c>
      <c r="G3608" s="1" t="s">
        <v>33</v>
      </c>
      <c r="H3608" s="1" t="str">
        <f t="shared" si="677"/>
        <v>20220916</v>
      </c>
      <c r="I3608" s="1" t="str">
        <f>"125111"</f>
        <v>125111</v>
      </c>
      <c r="J3608" s="1" t="s">
        <v>28</v>
      </c>
      <c r="K3608" s="1" t="s">
        <v>28</v>
      </c>
      <c r="L3608" s="1" t="str">
        <f t="shared" si="678"/>
        <v>20220916</v>
      </c>
      <c r="M3608" s="1" t="str">
        <f>"131445"</f>
        <v>131445</v>
      </c>
      <c r="N3608" s="1" t="s">
        <v>60</v>
      </c>
      <c r="O3608" s="1" t="s">
        <v>52</v>
      </c>
      <c r="P3608" s="1" t="s">
        <v>55</v>
      </c>
      <c r="Q3608" s="1">
        <v>25</v>
      </c>
      <c r="R3608" s="1">
        <v>25</v>
      </c>
      <c r="S3608" s="1">
        <v>0</v>
      </c>
      <c r="T3608" s="1">
        <v>0</v>
      </c>
      <c r="U3608" s="1">
        <v>0</v>
      </c>
      <c r="V3608" s="1" t="str">
        <f t="shared" ref="V3608:V3646" si="682">"里程返程"</f>
        <v>里程返程</v>
      </c>
      <c r="W3608" s="1" t="str">
        <f>"0820"</f>
        <v>0820</v>
      </c>
      <c r="X3608" s="1" t="s">
        <v>35</v>
      </c>
    </row>
    <row r="3609" spans="1:24" x14ac:dyDescent="0.3">
      <c r="A3609" s="1" t="str">
        <f t="shared" si="675"/>
        <v>59809</v>
      </c>
      <c r="B3609" s="1" t="s">
        <v>42</v>
      </c>
      <c r="C3609" s="1" t="s">
        <v>43</v>
      </c>
      <c r="D3609" s="1" t="str">
        <f t="shared" si="676"/>
        <v>9801</v>
      </c>
      <c r="E3609" s="1" t="s">
        <v>25</v>
      </c>
      <c r="F3609" s="1" t="str">
        <f>"1087738197"</f>
        <v>1087738197</v>
      </c>
      <c r="G3609" s="1" t="s">
        <v>33</v>
      </c>
      <c r="H3609" s="1" t="str">
        <f t="shared" si="677"/>
        <v>20220916</v>
      </c>
      <c r="I3609" s="1" t="str">
        <f>"125118"</f>
        <v>125118</v>
      </c>
      <c r="J3609" s="1" t="s">
        <v>28</v>
      </c>
      <c r="K3609" s="1" t="s">
        <v>28</v>
      </c>
      <c r="L3609" s="1" t="str">
        <f t="shared" si="678"/>
        <v>20220916</v>
      </c>
      <c r="M3609" s="1" t="str">
        <f>"131405"</f>
        <v>131405</v>
      </c>
      <c r="N3609" s="1" t="s">
        <v>51</v>
      </c>
      <c r="O3609" s="1" t="s">
        <v>52</v>
      </c>
      <c r="P3609" s="1" t="s">
        <v>55</v>
      </c>
      <c r="Q3609" s="1">
        <v>25</v>
      </c>
      <c r="R3609" s="1">
        <v>25</v>
      </c>
      <c r="S3609" s="1">
        <v>0</v>
      </c>
      <c r="T3609" s="1">
        <v>0</v>
      </c>
      <c r="U3609" s="1">
        <v>0</v>
      </c>
      <c r="V3609" s="1" t="str">
        <f t="shared" si="682"/>
        <v>里程返程</v>
      </c>
      <c r="W3609" s="1" t="str">
        <f>"0220"</f>
        <v>0220</v>
      </c>
      <c r="X3609" s="1" t="s">
        <v>35</v>
      </c>
    </row>
    <row r="3610" spans="1:24" x14ac:dyDescent="0.3">
      <c r="A3610" s="1" t="str">
        <f t="shared" si="675"/>
        <v>59809</v>
      </c>
      <c r="B3610" s="1" t="s">
        <v>42</v>
      </c>
      <c r="C3610" s="1" t="s">
        <v>43</v>
      </c>
      <c r="D3610" s="1" t="str">
        <f t="shared" si="676"/>
        <v>9801</v>
      </c>
      <c r="E3610" s="1" t="s">
        <v>25</v>
      </c>
      <c r="F3610" s="1" t="str">
        <f>"599692625"</f>
        <v>599692625</v>
      </c>
      <c r="G3610" s="1" t="s">
        <v>33</v>
      </c>
      <c r="H3610" s="1" t="str">
        <f t="shared" si="677"/>
        <v>20220916</v>
      </c>
      <c r="I3610" s="1" t="str">
        <f>"125306"</f>
        <v>125306</v>
      </c>
      <c r="J3610" s="1" t="s">
        <v>28</v>
      </c>
      <c r="K3610" s="1" t="s">
        <v>28</v>
      </c>
      <c r="L3610" s="1" t="str">
        <f t="shared" si="678"/>
        <v>20220916</v>
      </c>
      <c r="M3610" s="1" t="str">
        <f>"131035"</f>
        <v>131035</v>
      </c>
      <c r="N3610" s="1" t="s">
        <v>65</v>
      </c>
      <c r="O3610" s="1" t="s">
        <v>52</v>
      </c>
      <c r="P3610" s="1" t="s">
        <v>55</v>
      </c>
      <c r="Q3610" s="1">
        <v>25</v>
      </c>
      <c r="R3610" s="1">
        <v>25</v>
      </c>
      <c r="S3610" s="1">
        <v>0</v>
      </c>
      <c r="T3610" s="1">
        <v>0</v>
      </c>
      <c r="U3610" s="1">
        <v>0</v>
      </c>
      <c r="V3610" s="1" t="str">
        <f t="shared" si="682"/>
        <v>里程返程</v>
      </c>
      <c r="W3610" s="1" t="str">
        <f>"0120"</f>
        <v>0120</v>
      </c>
      <c r="X3610" s="1" t="s">
        <v>35</v>
      </c>
    </row>
    <row r="3611" spans="1:24" x14ac:dyDescent="0.3">
      <c r="A3611" s="1" t="str">
        <f t="shared" si="675"/>
        <v>59809</v>
      </c>
      <c r="B3611" s="1" t="s">
        <v>42</v>
      </c>
      <c r="C3611" s="1" t="s">
        <v>43</v>
      </c>
      <c r="D3611" s="1" t="str">
        <f t="shared" si="676"/>
        <v>9801</v>
      </c>
      <c r="E3611" s="1" t="s">
        <v>25</v>
      </c>
      <c r="F3611" s="1" t="str">
        <f>"E220D10211880400C834002000000015"</f>
        <v>E220D10211880400C834002000000015</v>
      </c>
      <c r="G3611" s="1" t="s">
        <v>74</v>
      </c>
      <c r="H3611" s="1" t="str">
        <f t="shared" si="677"/>
        <v>20220916</v>
      </c>
      <c r="I3611" s="1" t="str">
        <f>"130844"</f>
        <v>130844</v>
      </c>
      <c r="J3611" s="1" t="s">
        <v>97</v>
      </c>
      <c r="K3611" s="1" t="s">
        <v>52</v>
      </c>
      <c r="L3611" s="1" t="str">
        <f t="shared" si="678"/>
        <v>20220916</v>
      </c>
      <c r="M3611" s="1" t="str">
        <f>"131015"</f>
        <v>131015</v>
      </c>
      <c r="N3611" s="1" t="s">
        <v>65</v>
      </c>
      <c r="O3611" s="1" t="s">
        <v>52</v>
      </c>
      <c r="P3611" s="1" t="s">
        <v>68</v>
      </c>
      <c r="Q3611" s="1">
        <v>13</v>
      </c>
      <c r="R3611" s="1">
        <v>0</v>
      </c>
      <c r="S3611" s="1">
        <v>0</v>
      </c>
      <c r="T3611" s="1">
        <v>13</v>
      </c>
      <c r="U3611" s="1">
        <v>0</v>
      </c>
      <c r="V3611" s="1" t="str">
        <f t="shared" si="682"/>
        <v>里程返程</v>
      </c>
      <c r="W3611" s="1" t="str">
        <f>"0020"</f>
        <v>0020</v>
      </c>
      <c r="X3611" s="1" t="s">
        <v>29</v>
      </c>
    </row>
    <row r="3612" spans="1:24" x14ac:dyDescent="0.3">
      <c r="A3612" s="1" t="str">
        <f t="shared" si="675"/>
        <v>59809</v>
      </c>
      <c r="B3612" s="1" t="s">
        <v>42</v>
      </c>
      <c r="C3612" s="1" t="s">
        <v>43</v>
      </c>
      <c r="D3612" s="1" t="str">
        <f t="shared" si="676"/>
        <v>9801</v>
      </c>
      <c r="E3612" s="1" t="s">
        <v>25</v>
      </c>
      <c r="F3612" s="1" t="str">
        <f>"D5C5190A03180200D200000C22400417"</f>
        <v>D5C5190A03180200D200000C22400417</v>
      </c>
      <c r="G3612" s="1" t="s">
        <v>58</v>
      </c>
      <c r="H3612" s="1" t="str">
        <f t="shared" si="677"/>
        <v>20220916</v>
      </c>
      <c r="I3612" s="1" t="str">
        <f>"142658"</f>
        <v>142658</v>
      </c>
      <c r="J3612" s="1" t="s">
        <v>44</v>
      </c>
      <c r="K3612" s="1" t="s">
        <v>45</v>
      </c>
      <c r="L3612" s="1" t="str">
        <f t="shared" si="678"/>
        <v>20220916</v>
      </c>
      <c r="M3612" s="1" t="str">
        <f>"145617"</f>
        <v>145617</v>
      </c>
      <c r="N3612" s="1" t="s">
        <v>28</v>
      </c>
      <c r="O3612" s="1" t="s">
        <v>28</v>
      </c>
      <c r="P3612" s="1" t="s">
        <v>55</v>
      </c>
      <c r="Q3612" s="1">
        <v>25</v>
      </c>
      <c r="R3612" s="1">
        <v>0</v>
      </c>
      <c r="S3612" s="1">
        <v>25</v>
      </c>
      <c r="T3612" s="1">
        <v>0</v>
      </c>
      <c r="U3612" s="1">
        <v>0</v>
      </c>
      <c r="V3612" s="1" t="str">
        <f t="shared" si="682"/>
        <v>里程返程</v>
      </c>
      <c r="W3612" s="1" t="str">
        <f>"1120"</f>
        <v>1120</v>
      </c>
      <c r="X3612" s="1" t="s">
        <v>29</v>
      </c>
    </row>
    <row r="3613" spans="1:24" x14ac:dyDescent="0.3">
      <c r="A3613" s="1" t="str">
        <f t="shared" ref="A3613:A3643" si="683">"59809"</f>
        <v>59809</v>
      </c>
      <c r="B3613" s="1" t="s">
        <v>42</v>
      </c>
      <c r="C3613" s="1" t="s">
        <v>43</v>
      </c>
      <c r="D3613" s="1" t="str">
        <f t="shared" ref="D3613:D3643" si="684">"9801"</f>
        <v>9801</v>
      </c>
      <c r="E3613" s="1" t="s">
        <v>25</v>
      </c>
      <c r="F3613" s="1" t="str">
        <f>"546857249"</f>
        <v>546857249</v>
      </c>
      <c r="G3613" s="1" t="s">
        <v>33</v>
      </c>
      <c r="H3613" s="1" t="str">
        <f t="shared" si="677"/>
        <v>20220916</v>
      </c>
      <c r="I3613" s="1" t="str">
        <f>"142700"</f>
        <v>142700</v>
      </c>
      <c r="J3613" s="1" t="s">
        <v>44</v>
      </c>
      <c r="K3613" s="1" t="s">
        <v>45</v>
      </c>
      <c r="L3613" s="1" t="str">
        <f t="shared" ref="L3613:L3633" si="685">"20220916"</f>
        <v>20220916</v>
      </c>
      <c r="M3613" s="1" t="str">
        <f>"145615"</f>
        <v>145615</v>
      </c>
      <c r="N3613" s="1" t="s">
        <v>28</v>
      </c>
      <c r="O3613" s="1" t="s">
        <v>28</v>
      </c>
      <c r="P3613" s="1" t="s">
        <v>55</v>
      </c>
      <c r="Q3613" s="1">
        <v>25</v>
      </c>
      <c r="R3613" s="1">
        <v>0</v>
      </c>
      <c r="S3613" s="1">
        <v>25</v>
      </c>
      <c r="T3613" s="1">
        <v>0</v>
      </c>
      <c r="U3613" s="1">
        <v>0</v>
      </c>
      <c r="V3613" s="1" t="str">
        <f t="shared" si="682"/>
        <v>里程返程</v>
      </c>
      <c r="W3613" s="1" t="str">
        <f>"2120"</f>
        <v>2120</v>
      </c>
      <c r="X3613" s="1" t="s">
        <v>35</v>
      </c>
    </row>
    <row r="3614" spans="1:24" x14ac:dyDescent="0.3">
      <c r="A3614" s="1" t="str">
        <f t="shared" si="683"/>
        <v>59809</v>
      </c>
      <c r="B3614" s="1" t="s">
        <v>42</v>
      </c>
      <c r="C3614" s="1" t="s">
        <v>43</v>
      </c>
      <c r="D3614" s="1" t="str">
        <f t="shared" si="684"/>
        <v>9801</v>
      </c>
      <c r="E3614" s="1" t="s">
        <v>25</v>
      </c>
      <c r="F3614" s="1" t="str">
        <f>"1200384117"</f>
        <v>1200384117</v>
      </c>
      <c r="G3614" s="1" t="s">
        <v>33</v>
      </c>
      <c r="H3614" s="1" t="str">
        <f t="shared" si="677"/>
        <v>20220916</v>
      </c>
      <c r="I3614" s="1" t="str">
        <f>"142702"</f>
        <v>142702</v>
      </c>
      <c r="J3614" s="1" t="s">
        <v>44</v>
      </c>
      <c r="K3614" s="1" t="s">
        <v>45</v>
      </c>
      <c r="L3614" s="1" t="str">
        <f t="shared" si="685"/>
        <v>20220916</v>
      </c>
      <c r="M3614" s="1" t="str">
        <f>"145613"</f>
        <v>145613</v>
      </c>
      <c r="N3614" s="1" t="s">
        <v>28</v>
      </c>
      <c r="O3614" s="1" t="s">
        <v>28</v>
      </c>
      <c r="P3614" s="1" t="s">
        <v>55</v>
      </c>
      <c r="Q3614" s="1">
        <v>25</v>
      </c>
      <c r="R3614" s="1">
        <v>0</v>
      </c>
      <c r="S3614" s="1">
        <v>25</v>
      </c>
      <c r="T3614" s="1">
        <v>0</v>
      </c>
      <c r="U3614" s="1">
        <v>0</v>
      </c>
      <c r="V3614" s="1" t="str">
        <f t="shared" si="682"/>
        <v>里程返程</v>
      </c>
      <c r="W3614" s="1" t="str">
        <f>"2120"</f>
        <v>2120</v>
      </c>
      <c r="X3614" s="1" t="s">
        <v>35</v>
      </c>
    </row>
    <row r="3615" spans="1:24" x14ac:dyDescent="0.3">
      <c r="A3615" s="1" t="str">
        <f t="shared" si="683"/>
        <v>59809</v>
      </c>
      <c r="B3615" s="1" t="s">
        <v>42</v>
      </c>
      <c r="C3615" s="1" t="s">
        <v>43</v>
      </c>
      <c r="D3615" s="1" t="str">
        <f t="shared" si="684"/>
        <v>9801</v>
      </c>
      <c r="E3615" s="1" t="s">
        <v>25</v>
      </c>
      <c r="F3615" s="1" t="str">
        <f>"3283E61146880400C824002000000018"</f>
        <v>3283E61146880400C824002000000018</v>
      </c>
      <c r="G3615" s="1" t="s">
        <v>58</v>
      </c>
      <c r="H3615" s="1" t="str">
        <f t="shared" si="677"/>
        <v>20220916</v>
      </c>
      <c r="I3615" s="1" t="str">
        <f>"144045"</f>
        <v>144045</v>
      </c>
      <c r="J3615" s="1" t="s">
        <v>61</v>
      </c>
      <c r="K3615" s="1" t="s">
        <v>45</v>
      </c>
      <c r="L3615" s="1" t="str">
        <f t="shared" si="685"/>
        <v>20220916</v>
      </c>
      <c r="M3615" s="1" t="str">
        <f>"145716"</f>
        <v>145716</v>
      </c>
      <c r="N3615" s="1" t="s">
        <v>28</v>
      </c>
      <c r="O3615" s="1" t="s">
        <v>28</v>
      </c>
      <c r="P3615" s="1" t="s">
        <v>55</v>
      </c>
      <c r="Q3615" s="1">
        <v>25</v>
      </c>
      <c r="R3615" s="1">
        <v>25</v>
      </c>
      <c r="S3615" s="1">
        <v>0</v>
      </c>
      <c r="T3615" s="1">
        <v>0</v>
      </c>
      <c r="U3615" s="1">
        <v>0</v>
      </c>
      <c r="V3615" s="1" t="str">
        <f t="shared" si="682"/>
        <v>里程返程</v>
      </c>
      <c r="W3615" s="1" t="str">
        <f>"0020"</f>
        <v>0020</v>
      </c>
      <c r="X3615" s="1" t="s">
        <v>29</v>
      </c>
    </row>
    <row r="3616" spans="1:24" x14ac:dyDescent="0.3">
      <c r="A3616" s="1" t="str">
        <f t="shared" si="683"/>
        <v>59809</v>
      </c>
      <c r="B3616" s="1" t="s">
        <v>42</v>
      </c>
      <c r="C3616" s="1" t="s">
        <v>43</v>
      </c>
      <c r="D3616" s="1" t="str">
        <f t="shared" si="684"/>
        <v>9801</v>
      </c>
      <c r="E3616" s="1" t="s">
        <v>25</v>
      </c>
      <c r="F3616" s="1" t="str">
        <f>"02FFF1010D880400C821002000000015"</f>
        <v>02FFF1010D880400C821002000000015</v>
      </c>
      <c r="G3616" s="1" t="s">
        <v>82</v>
      </c>
      <c r="H3616" s="1" t="str">
        <f t="shared" si="677"/>
        <v>20220916</v>
      </c>
      <c r="I3616" s="1" t="str">
        <f>"144509"</f>
        <v>144509</v>
      </c>
      <c r="J3616" s="1" t="s">
        <v>45</v>
      </c>
      <c r="K3616" s="1" t="s">
        <v>45</v>
      </c>
      <c r="L3616" s="1" t="str">
        <f t="shared" si="685"/>
        <v>20220916</v>
      </c>
      <c r="M3616" s="1" t="str">
        <f>"145607"</f>
        <v>145607</v>
      </c>
      <c r="N3616" s="1" t="s">
        <v>28</v>
      </c>
      <c r="O3616" s="1" t="s">
        <v>28</v>
      </c>
      <c r="P3616" s="1" t="s">
        <v>55</v>
      </c>
      <c r="Q3616" s="1">
        <v>13</v>
      </c>
      <c r="R3616" s="1">
        <v>0</v>
      </c>
      <c r="S3616" s="1">
        <v>13</v>
      </c>
      <c r="T3616" s="1">
        <v>0</v>
      </c>
      <c r="U3616" s="1">
        <v>0</v>
      </c>
      <c r="V3616" s="1" t="str">
        <f t="shared" si="682"/>
        <v>里程返程</v>
      </c>
      <c r="W3616" s="1" t="str">
        <f t="shared" ref="W3616:W3633" si="686">"2020"</f>
        <v>2020</v>
      </c>
      <c r="X3616" s="1" t="s">
        <v>29</v>
      </c>
    </row>
    <row r="3617" spans="1:24" x14ac:dyDescent="0.3">
      <c r="A3617" s="1" t="str">
        <f t="shared" si="683"/>
        <v>59809</v>
      </c>
      <c r="B3617" s="1" t="s">
        <v>42</v>
      </c>
      <c r="C3617" s="1" t="s">
        <v>43</v>
      </c>
      <c r="D3617" s="1" t="str">
        <f t="shared" si="684"/>
        <v>9801</v>
      </c>
      <c r="E3617" s="1" t="s">
        <v>25</v>
      </c>
      <c r="F3617" s="1" t="str">
        <f>"861309137"</f>
        <v>861309137</v>
      </c>
      <c r="G3617" s="1" t="s">
        <v>33</v>
      </c>
      <c r="H3617" s="1" t="str">
        <f t="shared" si="677"/>
        <v>20220916</v>
      </c>
      <c r="I3617" s="1" t="str">
        <f>"144511"</f>
        <v>144511</v>
      </c>
      <c r="J3617" s="1" t="s">
        <v>45</v>
      </c>
      <c r="K3617" s="1" t="s">
        <v>45</v>
      </c>
      <c r="L3617" s="1" t="str">
        <f t="shared" si="685"/>
        <v>20220916</v>
      </c>
      <c r="M3617" s="1" t="str">
        <f>"145629"</f>
        <v>145629</v>
      </c>
      <c r="N3617" s="1" t="s">
        <v>28</v>
      </c>
      <c r="O3617" s="1" t="s">
        <v>28</v>
      </c>
      <c r="P3617" s="1" t="s">
        <v>55</v>
      </c>
      <c r="Q3617" s="1">
        <v>25</v>
      </c>
      <c r="R3617" s="1">
        <v>0</v>
      </c>
      <c r="S3617" s="1">
        <v>25</v>
      </c>
      <c r="T3617" s="1">
        <v>0</v>
      </c>
      <c r="U3617" s="1">
        <v>0</v>
      </c>
      <c r="V3617" s="1" t="str">
        <f t="shared" si="682"/>
        <v>里程返程</v>
      </c>
      <c r="W3617" s="1" t="str">
        <f t="shared" si="686"/>
        <v>2020</v>
      </c>
      <c r="X3617" s="1" t="s">
        <v>35</v>
      </c>
    </row>
    <row r="3618" spans="1:24" x14ac:dyDescent="0.3">
      <c r="A3618" s="1" t="str">
        <f t="shared" si="683"/>
        <v>59809</v>
      </c>
      <c r="B3618" s="1" t="s">
        <v>42</v>
      </c>
      <c r="C3618" s="1" t="s">
        <v>43</v>
      </c>
      <c r="D3618" s="1" t="str">
        <f t="shared" si="684"/>
        <v>9801</v>
      </c>
      <c r="E3618" s="1" t="s">
        <v>25</v>
      </c>
      <c r="F3618" s="1" t="str">
        <f>"1176423637"</f>
        <v>1176423637</v>
      </c>
      <c r="G3618" s="1" t="s">
        <v>26</v>
      </c>
      <c r="H3618" s="1" t="str">
        <f t="shared" si="677"/>
        <v>20220916</v>
      </c>
      <c r="I3618" s="1" t="str">
        <f>"144515"</f>
        <v>144515</v>
      </c>
      <c r="J3618" s="1" t="s">
        <v>45</v>
      </c>
      <c r="K3618" s="1" t="s">
        <v>45</v>
      </c>
      <c r="L3618" s="1" t="str">
        <f t="shared" si="685"/>
        <v>20220916</v>
      </c>
      <c r="M3618" s="1" t="str">
        <f>"145625"</f>
        <v>145625</v>
      </c>
      <c r="N3618" s="1" t="s">
        <v>28</v>
      </c>
      <c r="O3618" s="1" t="s">
        <v>28</v>
      </c>
      <c r="P3618" s="1" t="s">
        <v>55</v>
      </c>
      <c r="Q3618" s="1">
        <v>13</v>
      </c>
      <c r="R3618" s="1">
        <v>0</v>
      </c>
      <c r="S3618" s="1">
        <v>13</v>
      </c>
      <c r="T3618" s="1">
        <v>0</v>
      </c>
      <c r="U3618" s="1">
        <v>0</v>
      </c>
      <c r="V3618" s="1" t="str">
        <f t="shared" si="682"/>
        <v>里程返程</v>
      </c>
      <c r="W3618" s="1" t="str">
        <f t="shared" si="686"/>
        <v>2020</v>
      </c>
      <c r="X3618" s="1" t="s">
        <v>35</v>
      </c>
    </row>
    <row r="3619" spans="1:24" x14ac:dyDescent="0.3">
      <c r="A3619" s="1" t="str">
        <f t="shared" si="683"/>
        <v>59809</v>
      </c>
      <c r="B3619" s="1" t="s">
        <v>42</v>
      </c>
      <c r="C3619" s="1" t="s">
        <v>43</v>
      </c>
      <c r="D3619" s="1" t="str">
        <f t="shared" si="684"/>
        <v>9801</v>
      </c>
      <c r="E3619" s="1" t="s">
        <v>25</v>
      </c>
      <c r="F3619" s="1" t="str">
        <f>"1661072517"</f>
        <v>1661072517</v>
      </c>
      <c r="G3619" s="1" t="s">
        <v>26</v>
      </c>
      <c r="H3619" s="1" t="str">
        <f t="shared" si="677"/>
        <v>20220916</v>
      </c>
      <c r="I3619" s="1" t="str">
        <f>"144529"</f>
        <v>144529</v>
      </c>
      <c r="J3619" s="1" t="s">
        <v>45</v>
      </c>
      <c r="K3619" s="1" t="s">
        <v>45</v>
      </c>
      <c r="L3619" s="1" t="str">
        <f t="shared" si="685"/>
        <v>20220916</v>
      </c>
      <c r="M3619" s="1" t="str">
        <f>"145546"</f>
        <v>145546</v>
      </c>
      <c r="N3619" s="1" t="s">
        <v>28</v>
      </c>
      <c r="O3619" s="1" t="s">
        <v>28</v>
      </c>
      <c r="P3619" s="1" t="s">
        <v>55</v>
      </c>
      <c r="Q3619" s="1">
        <v>13</v>
      </c>
      <c r="R3619" s="1">
        <v>0</v>
      </c>
      <c r="S3619" s="1">
        <v>13</v>
      </c>
      <c r="T3619" s="1">
        <v>0</v>
      </c>
      <c r="U3619" s="1">
        <v>0</v>
      </c>
      <c r="V3619" s="1" t="str">
        <f t="shared" si="682"/>
        <v>里程返程</v>
      </c>
      <c r="W3619" s="1" t="str">
        <f t="shared" si="686"/>
        <v>2020</v>
      </c>
      <c r="X3619" s="1" t="s">
        <v>35</v>
      </c>
    </row>
    <row r="3620" spans="1:24" x14ac:dyDescent="0.3">
      <c r="A3620" s="1" t="str">
        <f t="shared" si="683"/>
        <v>59809</v>
      </c>
      <c r="B3620" s="1" t="s">
        <v>42</v>
      </c>
      <c r="C3620" s="1" t="s">
        <v>43</v>
      </c>
      <c r="D3620" s="1" t="str">
        <f t="shared" si="684"/>
        <v>9801</v>
      </c>
      <c r="E3620" s="1" t="s">
        <v>25</v>
      </c>
      <c r="F3620" s="1" t="str">
        <f>"1236946517"</f>
        <v>1236946517</v>
      </c>
      <c r="G3620" s="1" t="s">
        <v>26</v>
      </c>
      <c r="H3620" s="1" t="str">
        <f t="shared" si="677"/>
        <v>20220916</v>
      </c>
      <c r="I3620" s="1" t="str">
        <f>"144544"</f>
        <v>144544</v>
      </c>
      <c r="J3620" s="1" t="s">
        <v>45</v>
      </c>
      <c r="K3620" s="1" t="s">
        <v>45</v>
      </c>
      <c r="L3620" s="1" t="str">
        <f t="shared" si="685"/>
        <v>20220916</v>
      </c>
      <c r="M3620" s="1" t="str">
        <f>"145631"</f>
        <v>145631</v>
      </c>
      <c r="N3620" s="1" t="s">
        <v>28</v>
      </c>
      <c r="O3620" s="1" t="s">
        <v>28</v>
      </c>
      <c r="P3620" s="1" t="s">
        <v>55</v>
      </c>
      <c r="Q3620" s="1">
        <v>13</v>
      </c>
      <c r="R3620" s="1">
        <v>0</v>
      </c>
      <c r="S3620" s="1">
        <v>13</v>
      </c>
      <c r="T3620" s="1">
        <v>0</v>
      </c>
      <c r="U3620" s="1">
        <v>0</v>
      </c>
      <c r="V3620" s="1" t="str">
        <f t="shared" si="682"/>
        <v>里程返程</v>
      </c>
      <c r="W3620" s="1" t="str">
        <f t="shared" si="686"/>
        <v>2020</v>
      </c>
      <c r="X3620" s="1" t="s">
        <v>35</v>
      </c>
    </row>
    <row r="3621" spans="1:24" x14ac:dyDescent="0.3">
      <c r="A3621" s="1" t="str">
        <f t="shared" si="683"/>
        <v>59809</v>
      </c>
      <c r="B3621" s="1" t="s">
        <v>42</v>
      </c>
      <c r="C3621" s="1" t="s">
        <v>43</v>
      </c>
      <c r="D3621" s="1" t="str">
        <f t="shared" si="684"/>
        <v>9801</v>
      </c>
      <c r="E3621" s="1" t="s">
        <v>25</v>
      </c>
      <c r="F3621" s="1" t="str">
        <f>"1237081237"</f>
        <v>1237081237</v>
      </c>
      <c r="G3621" s="1" t="s">
        <v>26</v>
      </c>
      <c r="H3621" s="1" t="str">
        <f t="shared" si="677"/>
        <v>20220916</v>
      </c>
      <c r="I3621" s="1" t="str">
        <f>"144547"</f>
        <v>144547</v>
      </c>
      <c r="J3621" s="1" t="s">
        <v>45</v>
      </c>
      <c r="K3621" s="1" t="s">
        <v>45</v>
      </c>
      <c r="L3621" s="1" t="str">
        <f t="shared" si="685"/>
        <v>20220916</v>
      </c>
      <c r="M3621" s="1" t="str">
        <f>"145713"</f>
        <v>145713</v>
      </c>
      <c r="N3621" s="1" t="s">
        <v>28</v>
      </c>
      <c r="O3621" s="1" t="s">
        <v>28</v>
      </c>
      <c r="P3621" s="1" t="s">
        <v>55</v>
      </c>
      <c r="Q3621" s="1">
        <v>13</v>
      </c>
      <c r="R3621" s="1">
        <v>0</v>
      </c>
      <c r="S3621" s="1">
        <v>13</v>
      </c>
      <c r="T3621" s="1">
        <v>0</v>
      </c>
      <c r="U3621" s="1">
        <v>0</v>
      </c>
      <c r="V3621" s="1" t="str">
        <f t="shared" si="682"/>
        <v>里程返程</v>
      </c>
      <c r="W3621" s="1" t="str">
        <f t="shared" si="686"/>
        <v>2020</v>
      </c>
      <c r="X3621" s="1" t="s">
        <v>35</v>
      </c>
    </row>
    <row r="3622" spans="1:24" x14ac:dyDescent="0.3">
      <c r="A3622" s="1" t="str">
        <f t="shared" si="683"/>
        <v>59809</v>
      </c>
      <c r="B3622" s="1" t="s">
        <v>42</v>
      </c>
      <c r="C3622" s="1" t="s">
        <v>43</v>
      </c>
      <c r="D3622" s="1" t="str">
        <f t="shared" si="684"/>
        <v>9801</v>
      </c>
      <c r="E3622" s="1" t="s">
        <v>25</v>
      </c>
      <c r="F3622" s="1" t="str">
        <f>"302427805"</f>
        <v>302427805</v>
      </c>
      <c r="G3622" s="1" t="s">
        <v>33</v>
      </c>
      <c r="H3622" s="1" t="str">
        <f t="shared" si="677"/>
        <v>20220916</v>
      </c>
      <c r="I3622" s="1" t="str">
        <f>"144556"</f>
        <v>144556</v>
      </c>
      <c r="J3622" s="1" t="s">
        <v>45</v>
      </c>
      <c r="K3622" s="1" t="s">
        <v>45</v>
      </c>
      <c r="L3622" s="1" t="str">
        <f t="shared" si="685"/>
        <v>20220916</v>
      </c>
      <c r="M3622" s="1" t="str">
        <f>"145641"</f>
        <v>145641</v>
      </c>
      <c r="N3622" s="1" t="s">
        <v>28</v>
      </c>
      <c r="O3622" s="1" t="s">
        <v>28</v>
      </c>
      <c r="P3622" s="1" t="s">
        <v>55</v>
      </c>
      <c r="Q3622" s="1">
        <v>25</v>
      </c>
      <c r="R3622" s="1">
        <v>0</v>
      </c>
      <c r="S3622" s="1">
        <v>25</v>
      </c>
      <c r="T3622" s="1">
        <v>0</v>
      </c>
      <c r="U3622" s="1">
        <v>0</v>
      </c>
      <c r="V3622" s="1" t="str">
        <f t="shared" si="682"/>
        <v>里程返程</v>
      </c>
      <c r="W3622" s="1" t="str">
        <f t="shared" si="686"/>
        <v>2020</v>
      </c>
      <c r="X3622" s="1" t="s">
        <v>35</v>
      </c>
    </row>
    <row r="3623" spans="1:24" x14ac:dyDescent="0.3">
      <c r="A3623" s="1" t="str">
        <f t="shared" si="683"/>
        <v>59809</v>
      </c>
      <c r="B3623" s="1" t="s">
        <v>42</v>
      </c>
      <c r="C3623" s="1" t="s">
        <v>43</v>
      </c>
      <c r="D3623" s="1" t="str">
        <f t="shared" si="684"/>
        <v>9801</v>
      </c>
      <c r="E3623" s="1" t="s">
        <v>25</v>
      </c>
      <c r="F3623" s="1" t="str">
        <f>"1181805989"</f>
        <v>1181805989</v>
      </c>
      <c r="G3623" s="1" t="s">
        <v>26</v>
      </c>
      <c r="H3623" s="1" t="str">
        <f t="shared" si="677"/>
        <v>20220916</v>
      </c>
      <c r="I3623" s="1" t="str">
        <f>"144602"</f>
        <v>144602</v>
      </c>
      <c r="J3623" s="1" t="s">
        <v>45</v>
      </c>
      <c r="K3623" s="1" t="s">
        <v>45</v>
      </c>
      <c r="L3623" s="1" t="str">
        <f t="shared" si="685"/>
        <v>20220916</v>
      </c>
      <c r="M3623" s="1" t="str">
        <f>"145622"</f>
        <v>145622</v>
      </c>
      <c r="N3623" s="1" t="s">
        <v>28</v>
      </c>
      <c r="O3623" s="1" t="s">
        <v>28</v>
      </c>
      <c r="P3623" s="1" t="s">
        <v>55</v>
      </c>
      <c r="Q3623" s="1">
        <v>13</v>
      </c>
      <c r="R3623" s="1">
        <v>0</v>
      </c>
      <c r="S3623" s="1">
        <v>13</v>
      </c>
      <c r="T3623" s="1">
        <v>0</v>
      </c>
      <c r="U3623" s="1">
        <v>0</v>
      </c>
      <c r="V3623" s="1" t="str">
        <f t="shared" si="682"/>
        <v>里程返程</v>
      </c>
      <c r="W3623" s="1" t="str">
        <f t="shared" si="686"/>
        <v>2020</v>
      </c>
      <c r="X3623" s="1" t="s">
        <v>35</v>
      </c>
    </row>
    <row r="3624" spans="1:24" x14ac:dyDescent="0.3">
      <c r="A3624" s="1" t="str">
        <f t="shared" si="683"/>
        <v>59809</v>
      </c>
      <c r="B3624" s="1" t="s">
        <v>42</v>
      </c>
      <c r="C3624" s="1" t="s">
        <v>43</v>
      </c>
      <c r="D3624" s="1" t="str">
        <f t="shared" si="684"/>
        <v>9801</v>
      </c>
      <c r="E3624" s="1" t="s">
        <v>25</v>
      </c>
      <c r="F3624" s="1" t="str">
        <f>"1236978709"</f>
        <v>1236978709</v>
      </c>
      <c r="G3624" s="1" t="s">
        <v>26</v>
      </c>
      <c r="H3624" s="1" t="str">
        <f t="shared" si="677"/>
        <v>20220916</v>
      </c>
      <c r="I3624" s="1" t="str">
        <f>"144606"</f>
        <v>144606</v>
      </c>
      <c r="J3624" s="1" t="s">
        <v>45</v>
      </c>
      <c r="K3624" s="1" t="s">
        <v>45</v>
      </c>
      <c r="L3624" s="1" t="str">
        <f t="shared" si="685"/>
        <v>20220916</v>
      </c>
      <c r="M3624" s="1" t="str">
        <f>"145710"</f>
        <v>145710</v>
      </c>
      <c r="N3624" s="1" t="s">
        <v>28</v>
      </c>
      <c r="O3624" s="1" t="s">
        <v>28</v>
      </c>
      <c r="P3624" s="1" t="s">
        <v>55</v>
      </c>
      <c r="Q3624" s="1">
        <v>13</v>
      </c>
      <c r="R3624" s="1">
        <v>0</v>
      </c>
      <c r="S3624" s="1">
        <v>13</v>
      </c>
      <c r="T3624" s="1">
        <v>0</v>
      </c>
      <c r="U3624" s="1">
        <v>0</v>
      </c>
      <c r="V3624" s="1" t="str">
        <f t="shared" si="682"/>
        <v>里程返程</v>
      </c>
      <c r="W3624" s="1" t="str">
        <f t="shared" si="686"/>
        <v>2020</v>
      </c>
      <c r="X3624" s="1" t="s">
        <v>35</v>
      </c>
    </row>
    <row r="3625" spans="1:24" x14ac:dyDescent="0.3">
      <c r="A3625" s="1" t="str">
        <f t="shared" si="683"/>
        <v>59809</v>
      </c>
      <c r="B3625" s="1" t="s">
        <v>42</v>
      </c>
      <c r="C3625" s="1" t="s">
        <v>43</v>
      </c>
      <c r="D3625" s="1" t="str">
        <f t="shared" si="684"/>
        <v>9801</v>
      </c>
      <c r="E3625" s="1" t="s">
        <v>25</v>
      </c>
      <c r="F3625" s="1" t="str">
        <f>"529EF80135880400C821002000000015"</f>
        <v>529EF80135880400C821002000000015</v>
      </c>
      <c r="G3625" s="1" t="s">
        <v>82</v>
      </c>
      <c r="H3625" s="1" t="str">
        <f t="shared" si="677"/>
        <v>20220916</v>
      </c>
      <c r="I3625" s="1" t="str">
        <f>"144614"</f>
        <v>144614</v>
      </c>
      <c r="J3625" s="1" t="s">
        <v>45</v>
      </c>
      <c r="K3625" s="1" t="s">
        <v>45</v>
      </c>
      <c r="L3625" s="1" t="str">
        <f t="shared" si="685"/>
        <v>20220916</v>
      </c>
      <c r="M3625" s="1" t="str">
        <f>"145650"</f>
        <v>145650</v>
      </c>
      <c r="N3625" s="1" t="s">
        <v>28</v>
      </c>
      <c r="O3625" s="1" t="s">
        <v>28</v>
      </c>
      <c r="P3625" s="1" t="s">
        <v>55</v>
      </c>
      <c r="Q3625" s="1">
        <v>13</v>
      </c>
      <c r="R3625" s="1">
        <v>0</v>
      </c>
      <c r="S3625" s="1">
        <v>13</v>
      </c>
      <c r="T3625" s="1">
        <v>0</v>
      </c>
      <c r="U3625" s="1">
        <v>0</v>
      </c>
      <c r="V3625" s="1" t="str">
        <f t="shared" si="682"/>
        <v>里程返程</v>
      </c>
      <c r="W3625" s="1" t="str">
        <f t="shared" si="686"/>
        <v>2020</v>
      </c>
      <c r="X3625" s="1" t="s">
        <v>29</v>
      </c>
    </row>
    <row r="3626" spans="1:24" x14ac:dyDescent="0.3">
      <c r="A3626" s="1" t="str">
        <f t="shared" si="683"/>
        <v>59809</v>
      </c>
      <c r="B3626" s="1" t="s">
        <v>42</v>
      </c>
      <c r="C3626" s="1" t="s">
        <v>43</v>
      </c>
      <c r="D3626" s="1" t="str">
        <f t="shared" si="684"/>
        <v>9801</v>
      </c>
      <c r="E3626" s="1" t="s">
        <v>25</v>
      </c>
      <c r="F3626" s="1" t="str">
        <f>"1660410853"</f>
        <v>1660410853</v>
      </c>
      <c r="G3626" s="1" t="s">
        <v>26</v>
      </c>
      <c r="H3626" s="1" t="str">
        <f t="shared" si="677"/>
        <v>20220916</v>
      </c>
      <c r="I3626" s="1" t="str">
        <f>"144615"</f>
        <v>144615</v>
      </c>
      <c r="J3626" s="1" t="s">
        <v>45</v>
      </c>
      <c r="K3626" s="1" t="s">
        <v>45</v>
      </c>
      <c r="L3626" s="1" t="str">
        <f t="shared" si="685"/>
        <v>20220916</v>
      </c>
      <c r="M3626" s="1" t="str">
        <f>"145703"</f>
        <v>145703</v>
      </c>
      <c r="N3626" s="1" t="s">
        <v>28</v>
      </c>
      <c r="O3626" s="1" t="s">
        <v>28</v>
      </c>
      <c r="P3626" s="1" t="s">
        <v>55</v>
      </c>
      <c r="Q3626" s="1">
        <v>13</v>
      </c>
      <c r="R3626" s="1">
        <v>0</v>
      </c>
      <c r="S3626" s="1">
        <v>13</v>
      </c>
      <c r="T3626" s="1">
        <v>0</v>
      </c>
      <c r="U3626" s="1">
        <v>0</v>
      </c>
      <c r="V3626" s="1" t="str">
        <f t="shared" si="682"/>
        <v>里程返程</v>
      </c>
      <c r="W3626" s="1" t="str">
        <f t="shared" si="686"/>
        <v>2020</v>
      </c>
      <c r="X3626" s="1" t="s">
        <v>35</v>
      </c>
    </row>
    <row r="3627" spans="1:24" x14ac:dyDescent="0.3">
      <c r="A3627" s="1" t="str">
        <f t="shared" si="683"/>
        <v>59809</v>
      </c>
      <c r="B3627" s="1" t="s">
        <v>42</v>
      </c>
      <c r="C3627" s="1" t="s">
        <v>43</v>
      </c>
      <c r="D3627" s="1" t="str">
        <f t="shared" si="684"/>
        <v>9801</v>
      </c>
      <c r="E3627" s="1" t="s">
        <v>25</v>
      </c>
      <c r="F3627" s="1" t="str">
        <f>"1653466229"</f>
        <v>1653466229</v>
      </c>
      <c r="G3627" s="1" t="s">
        <v>26</v>
      </c>
      <c r="H3627" s="1" t="str">
        <f t="shared" si="677"/>
        <v>20220916</v>
      </c>
      <c r="I3627" s="1" t="str">
        <f>"144623"</f>
        <v>144623</v>
      </c>
      <c r="J3627" s="1" t="s">
        <v>45</v>
      </c>
      <c r="K3627" s="1" t="s">
        <v>45</v>
      </c>
      <c r="L3627" s="1" t="str">
        <f t="shared" si="685"/>
        <v>20220916</v>
      </c>
      <c r="M3627" s="1" t="str">
        <f>"145700"</f>
        <v>145700</v>
      </c>
      <c r="N3627" s="1" t="s">
        <v>28</v>
      </c>
      <c r="O3627" s="1" t="s">
        <v>28</v>
      </c>
      <c r="P3627" s="1" t="s">
        <v>55</v>
      </c>
      <c r="Q3627" s="1">
        <v>13</v>
      </c>
      <c r="R3627" s="1">
        <v>0</v>
      </c>
      <c r="S3627" s="1">
        <v>13</v>
      </c>
      <c r="T3627" s="1">
        <v>0</v>
      </c>
      <c r="U3627" s="1">
        <v>0</v>
      </c>
      <c r="V3627" s="1" t="str">
        <f t="shared" si="682"/>
        <v>里程返程</v>
      </c>
      <c r="W3627" s="1" t="str">
        <f t="shared" si="686"/>
        <v>2020</v>
      </c>
      <c r="X3627" s="1" t="s">
        <v>35</v>
      </c>
    </row>
    <row r="3628" spans="1:24" x14ac:dyDescent="0.3">
      <c r="A3628" s="1" t="str">
        <f t="shared" si="683"/>
        <v>59809</v>
      </c>
      <c r="B3628" s="1" t="s">
        <v>42</v>
      </c>
      <c r="C3628" s="1" t="s">
        <v>43</v>
      </c>
      <c r="D3628" s="1" t="str">
        <f t="shared" si="684"/>
        <v>9801</v>
      </c>
      <c r="E3628" s="1" t="s">
        <v>25</v>
      </c>
      <c r="F3628" s="1" t="str">
        <f>"1653402437"</f>
        <v>1653402437</v>
      </c>
      <c r="G3628" s="1" t="s">
        <v>26</v>
      </c>
      <c r="H3628" s="1" t="str">
        <f t="shared" si="677"/>
        <v>20220916</v>
      </c>
      <c r="I3628" s="1" t="str">
        <f>"144633"</f>
        <v>144633</v>
      </c>
      <c r="J3628" s="1" t="s">
        <v>45</v>
      </c>
      <c r="K3628" s="1" t="s">
        <v>45</v>
      </c>
      <c r="L3628" s="1" t="str">
        <f t="shared" si="685"/>
        <v>20220916</v>
      </c>
      <c r="M3628" s="1" t="str">
        <f>"145655"</f>
        <v>145655</v>
      </c>
      <c r="N3628" s="1" t="s">
        <v>28</v>
      </c>
      <c r="O3628" s="1" t="s">
        <v>28</v>
      </c>
      <c r="P3628" s="1" t="s">
        <v>55</v>
      </c>
      <c r="Q3628" s="1">
        <v>13</v>
      </c>
      <c r="R3628" s="1">
        <v>0</v>
      </c>
      <c r="S3628" s="1">
        <v>13</v>
      </c>
      <c r="T3628" s="1">
        <v>0</v>
      </c>
      <c r="U3628" s="1">
        <v>0</v>
      </c>
      <c r="V3628" s="1" t="str">
        <f t="shared" si="682"/>
        <v>里程返程</v>
      </c>
      <c r="W3628" s="1" t="str">
        <f t="shared" si="686"/>
        <v>2020</v>
      </c>
      <c r="X3628" s="1" t="s">
        <v>35</v>
      </c>
    </row>
    <row r="3629" spans="1:24" x14ac:dyDescent="0.3">
      <c r="A3629" s="1" t="str">
        <f t="shared" si="683"/>
        <v>59809</v>
      </c>
      <c r="B3629" s="1" t="s">
        <v>42</v>
      </c>
      <c r="C3629" s="1" t="s">
        <v>43</v>
      </c>
      <c r="D3629" s="1" t="str">
        <f t="shared" si="684"/>
        <v>9801</v>
      </c>
      <c r="E3629" s="1" t="s">
        <v>25</v>
      </c>
      <c r="F3629" s="1" t="str">
        <f>"2127395560"</f>
        <v>2127395560</v>
      </c>
      <c r="G3629" s="1" t="s">
        <v>74</v>
      </c>
      <c r="H3629" s="1" t="str">
        <f t="shared" si="677"/>
        <v>20220916</v>
      </c>
      <c r="I3629" s="1" t="str">
        <f>"144638"</f>
        <v>144638</v>
      </c>
      <c r="J3629" s="1" t="s">
        <v>45</v>
      </c>
      <c r="K3629" s="1" t="s">
        <v>45</v>
      </c>
      <c r="L3629" s="1" t="str">
        <f t="shared" si="685"/>
        <v>20220916</v>
      </c>
      <c r="M3629" s="1" t="str">
        <f>"145647"</f>
        <v>145647</v>
      </c>
      <c r="N3629" s="1" t="s">
        <v>28</v>
      </c>
      <c r="O3629" s="1" t="s">
        <v>28</v>
      </c>
      <c r="P3629" s="1" t="s">
        <v>55</v>
      </c>
      <c r="Q3629" s="1">
        <v>13</v>
      </c>
      <c r="R3629" s="1">
        <v>0</v>
      </c>
      <c r="S3629" s="1">
        <v>13</v>
      </c>
      <c r="T3629" s="1">
        <v>0</v>
      </c>
      <c r="U3629" s="1">
        <v>0</v>
      </c>
      <c r="V3629" s="1" t="str">
        <f t="shared" si="682"/>
        <v>里程返程</v>
      </c>
      <c r="W3629" s="1" t="str">
        <f t="shared" si="686"/>
        <v>2020</v>
      </c>
      <c r="X3629" s="1" t="s">
        <v>35</v>
      </c>
    </row>
    <row r="3630" spans="1:24" x14ac:dyDescent="0.3">
      <c r="A3630" s="1" t="str">
        <f t="shared" si="683"/>
        <v>59809</v>
      </c>
      <c r="B3630" s="1" t="s">
        <v>42</v>
      </c>
      <c r="C3630" s="1" t="s">
        <v>43</v>
      </c>
      <c r="D3630" s="1" t="str">
        <f t="shared" si="684"/>
        <v>9801</v>
      </c>
      <c r="E3630" s="1" t="s">
        <v>25</v>
      </c>
      <c r="F3630" s="1" t="str">
        <f>"1663564501"</f>
        <v>1663564501</v>
      </c>
      <c r="G3630" s="1" t="s">
        <v>33</v>
      </c>
      <c r="H3630" s="1" t="str">
        <f t="shared" si="677"/>
        <v>20220916</v>
      </c>
      <c r="I3630" s="1" t="str">
        <f>"144642"</f>
        <v>144642</v>
      </c>
      <c r="J3630" s="1" t="s">
        <v>45</v>
      </c>
      <c r="K3630" s="1" t="s">
        <v>45</v>
      </c>
      <c r="L3630" s="1" t="str">
        <f t="shared" si="685"/>
        <v>20220916</v>
      </c>
      <c r="M3630" s="1" t="str">
        <f>"145635"</f>
        <v>145635</v>
      </c>
      <c r="N3630" s="1" t="s">
        <v>28</v>
      </c>
      <c r="O3630" s="1" t="s">
        <v>28</v>
      </c>
      <c r="P3630" s="1" t="s">
        <v>55</v>
      </c>
      <c r="Q3630" s="1">
        <v>25</v>
      </c>
      <c r="R3630" s="1">
        <v>0</v>
      </c>
      <c r="S3630" s="1">
        <v>25</v>
      </c>
      <c r="T3630" s="1">
        <v>0</v>
      </c>
      <c r="U3630" s="1">
        <v>0</v>
      </c>
      <c r="V3630" s="1" t="str">
        <f t="shared" si="682"/>
        <v>里程返程</v>
      </c>
      <c r="W3630" s="1" t="str">
        <f t="shared" si="686"/>
        <v>2020</v>
      </c>
      <c r="X3630" s="1" t="s">
        <v>35</v>
      </c>
    </row>
    <row r="3631" spans="1:24" x14ac:dyDescent="0.3">
      <c r="A3631" s="1" t="str">
        <f t="shared" si="683"/>
        <v>59809</v>
      </c>
      <c r="B3631" s="1" t="s">
        <v>42</v>
      </c>
      <c r="C3631" s="1" t="s">
        <v>43</v>
      </c>
      <c r="D3631" s="1" t="str">
        <f t="shared" si="684"/>
        <v>9801</v>
      </c>
      <c r="E3631" s="1" t="s">
        <v>25</v>
      </c>
      <c r="F3631" s="1" t="str">
        <f>"B207910125880400C818002000000015"</f>
        <v>B207910125880400C818002000000015</v>
      </c>
      <c r="G3631" s="1" t="s">
        <v>64</v>
      </c>
      <c r="H3631" s="1" t="str">
        <f t="shared" si="677"/>
        <v>20220916</v>
      </c>
      <c r="I3631" s="1" t="str">
        <f>"144646"</f>
        <v>144646</v>
      </c>
      <c r="J3631" s="1" t="s">
        <v>45</v>
      </c>
      <c r="K3631" s="1" t="s">
        <v>45</v>
      </c>
      <c r="L3631" s="1" t="str">
        <f t="shared" si="685"/>
        <v>20220916</v>
      </c>
      <c r="M3631" s="1" t="str">
        <f>"145603"</f>
        <v>145603</v>
      </c>
      <c r="N3631" s="1" t="s">
        <v>28</v>
      </c>
      <c r="O3631" s="1" t="s">
        <v>28</v>
      </c>
      <c r="P3631" s="1" t="s">
        <v>55</v>
      </c>
      <c r="Q3631" s="1">
        <v>13</v>
      </c>
      <c r="R3631" s="1">
        <v>0</v>
      </c>
      <c r="S3631" s="1">
        <v>13</v>
      </c>
      <c r="T3631" s="1">
        <v>0</v>
      </c>
      <c r="U3631" s="1">
        <v>0</v>
      </c>
      <c r="V3631" s="1" t="str">
        <f t="shared" si="682"/>
        <v>里程返程</v>
      </c>
      <c r="W3631" s="1" t="str">
        <f t="shared" si="686"/>
        <v>2020</v>
      </c>
      <c r="X3631" s="1" t="s">
        <v>29</v>
      </c>
    </row>
    <row r="3632" spans="1:24" x14ac:dyDescent="0.3">
      <c r="A3632" s="1" t="str">
        <f t="shared" si="683"/>
        <v>59809</v>
      </c>
      <c r="B3632" s="1" t="s">
        <v>42</v>
      </c>
      <c r="C3632" s="1" t="s">
        <v>43</v>
      </c>
      <c r="D3632" s="1" t="str">
        <f t="shared" si="684"/>
        <v>9801</v>
      </c>
      <c r="E3632" s="1" t="s">
        <v>25</v>
      </c>
      <c r="F3632" s="1" t="str">
        <f>"1848977429"</f>
        <v>1848977429</v>
      </c>
      <c r="G3632" s="1" t="s">
        <v>33</v>
      </c>
      <c r="H3632" s="1" t="str">
        <f t="shared" si="677"/>
        <v>20220916</v>
      </c>
      <c r="I3632" s="1" t="str">
        <f>"144651"</f>
        <v>144651</v>
      </c>
      <c r="J3632" s="1" t="s">
        <v>45</v>
      </c>
      <c r="K3632" s="1" t="s">
        <v>45</v>
      </c>
      <c r="L3632" s="1" t="str">
        <f t="shared" si="685"/>
        <v>20220916</v>
      </c>
      <c r="M3632" s="1" t="str">
        <f>"145549"</f>
        <v>145549</v>
      </c>
      <c r="N3632" s="1" t="s">
        <v>28</v>
      </c>
      <c r="O3632" s="1" t="s">
        <v>28</v>
      </c>
      <c r="P3632" s="1" t="s">
        <v>55</v>
      </c>
      <c r="Q3632" s="1">
        <v>25</v>
      </c>
      <c r="R3632" s="1">
        <v>0</v>
      </c>
      <c r="S3632" s="1">
        <v>25</v>
      </c>
      <c r="T3632" s="1">
        <v>0</v>
      </c>
      <c r="U3632" s="1">
        <v>0</v>
      </c>
      <c r="V3632" s="1" t="str">
        <f t="shared" si="682"/>
        <v>里程返程</v>
      </c>
      <c r="W3632" s="1" t="str">
        <f t="shared" si="686"/>
        <v>2020</v>
      </c>
      <c r="X3632" s="1" t="s">
        <v>35</v>
      </c>
    </row>
    <row r="3633" spans="1:24" x14ac:dyDescent="0.3">
      <c r="A3633" s="1" t="str">
        <f t="shared" si="683"/>
        <v>59809</v>
      </c>
      <c r="B3633" s="1" t="s">
        <v>42</v>
      </c>
      <c r="C3633" s="1" t="s">
        <v>43</v>
      </c>
      <c r="D3633" s="1" t="str">
        <f t="shared" si="684"/>
        <v>9801</v>
      </c>
      <c r="E3633" s="1" t="s">
        <v>25</v>
      </c>
      <c r="F3633" s="1" t="str">
        <f>"1603613109"</f>
        <v>1603613109</v>
      </c>
      <c r="G3633" s="1" t="s">
        <v>33</v>
      </c>
      <c r="H3633" s="1" t="str">
        <f t="shared" si="677"/>
        <v>20220916</v>
      </c>
      <c r="I3633" s="1" t="str">
        <f>"144712"</f>
        <v>144712</v>
      </c>
      <c r="J3633" s="1" t="s">
        <v>45</v>
      </c>
      <c r="K3633" s="1" t="s">
        <v>45</v>
      </c>
      <c r="L3633" s="1" t="str">
        <f t="shared" si="685"/>
        <v>20220916</v>
      </c>
      <c r="M3633" s="1" t="str">
        <f>"145543"</f>
        <v>145543</v>
      </c>
      <c r="N3633" s="1" t="s">
        <v>28</v>
      </c>
      <c r="O3633" s="1" t="s">
        <v>28</v>
      </c>
      <c r="P3633" s="1" t="s">
        <v>55</v>
      </c>
      <c r="Q3633" s="1">
        <v>25</v>
      </c>
      <c r="R3633" s="1">
        <v>25</v>
      </c>
      <c r="S3633" s="1">
        <v>0</v>
      </c>
      <c r="T3633" s="1">
        <v>0</v>
      </c>
      <c r="U3633" s="1">
        <v>0</v>
      </c>
      <c r="V3633" s="1" t="str">
        <f t="shared" si="682"/>
        <v>里程返程</v>
      </c>
      <c r="W3633" s="1" t="str">
        <f t="shared" si="686"/>
        <v>2020</v>
      </c>
      <c r="X3633" s="1" t="s">
        <v>35</v>
      </c>
    </row>
    <row r="3634" spans="1:24" x14ac:dyDescent="0.3">
      <c r="A3634" s="1" t="str">
        <f t="shared" si="683"/>
        <v>59809</v>
      </c>
      <c r="B3634" s="1" t="s">
        <v>42</v>
      </c>
      <c r="C3634" s="1" t="s">
        <v>43</v>
      </c>
      <c r="D3634" s="1" t="str">
        <f t="shared" si="684"/>
        <v>9801</v>
      </c>
      <c r="E3634" s="1" t="s">
        <v>25</v>
      </c>
      <c r="F3634" s="1" t="str">
        <f>"4254601018"</f>
        <v>4254601018</v>
      </c>
      <c r="G3634" s="1" t="s">
        <v>33</v>
      </c>
      <c r="H3634" s="1" t="str">
        <f t="shared" si="677"/>
        <v>20220916</v>
      </c>
      <c r="I3634" s="1" t="str">
        <f>"145732"</f>
        <v>145732</v>
      </c>
      <c r="J3634" s="1" t="s">
        <v>28</v>
      </c>
      <c r="K3634" s="1" t="s">
        <v>28</v>
      </c>
      <c r="L3634" s="1" t="str">
        <f>""</f>
        <v/>
      </c>
      <c r="M3634" s="1" t="str">
        <f>""</f>
        <v/>
      </c>
      <c r="P3634" s="1" t="s">
        <v>88</v>
      </c>
      <c r="Q3634" s="1">
        <v>25</v>
      </c>
      <c r="R3634" s="1">
        <v>25</v>
      </c>
      <c r="S3634" s="1">
        <v>0</v>
      </c>
      <c r="T3634" s="1">
        <v>0</v>
      </c>
      <c r="U3634" s="1">
        <v>0</v>
      </c>
      <c r="V3634" s="1" t="str">
        <f t="shared" si="682"/>
        <v>里程返程</v>
      </c>
      <c r="W3634" s="1" t="str">
        <f>"0120"</f>
        <v>0120</v>
      </c>
      <c r="X3634" s="1" t="s">
        <v>35</v>
      </c>
    </row>
    <row r="3635" spans="1:24" x14ac:dyDescent="0.3">
      <c r="A3635" s="1" t="str">
        <f t="shared" si="683"/>
        <v>59809</v>
      </c>
      <c r="B3635" s="1" t="s">
        <v>42</v>
      </c>
      <c r="C3635" s="1" t="s">
        <v>43</v>
      </c>
      <c r="D3635" s="1" t="str">
        <f t="shared" si="684"/>
        <v>9801</v>
      </c>
      <c r="E3635" s="1" t="s">
        <v>25</v>
      </c>
      <c r="F3635" s="1" t="str">
        <f>"1338801681"</f>
        <v>1338801681</v>
      </c>
      <c r="G3635" s="1" t="s">
        <v>33</v>
      </c>
      <c r="H3635" s="1" t="str">
        <f t="shared" si="677"/>
        <v>20220916</v>
      </c>
      <c r="I3635" s="1" t="str">
        <f>"145735"</f>
        <v>145735</v>
      </c>
      <c r="J3635" s="1" t="s">
        <v>28</v>
      </c>
      <c r="K3635" s="1" t="s">
        <v>28</v>
      </c>
      <c r="L3635" s="1" t="str">
        <f t="shared" ref="L3635:L3672" si="687">"20220916"</f>
        <v>20220916</v>
      </c>
      <c r="M3635" s="1" t="str">
        <f>"151748"</f>
        <v>151748</v>
      </c>
      <c r="N3635" s="1" t="s">
        <v>60</v>
      </c>
      <c r="O3635" s="1" t="s">
        <v>52</v>
      </c>
      <c r="P3635" s="1" t="s">
        <v>55</v>
      </c>
      <c r="Q3635" s="1">
        <v>25</v>
      </c>
      <c r="R3635" s="1">
        <v>25</v>
      </c>
      <c r="S3635" s="1">
        <v>0</v>
      </c>
      <c r="T3635" s="1">
        <v>0</v>
      </c>
      <c r="U3635" s="1">
        <v>0</v>
      </c>
      <c r="V3635" s="1" t="str">
        <f t="shared" si="682"/>
        <v>里程返程</v>
      </c>
      <c r="W3635" s="1" t="str">
        <f>"1c20"</f>
        <v>1c20</v>
      </c>
      <c r="X3635" s="1" t="s">
        <v>35</v>
      </c>
    </row>
    <row r="3636" spans="1:24" x14ac:dyDescent="0.3">
      <c r="A3636" s="1" t="str">
        <f t="shared" si="683"/>
        <v>59809</v>
      </c>
      <c r="B3636" s="1" t="s">
        <v>42</v>
      </c>
      <c r="C3636" s="1" t="s">
        <v>43</v>
      </c>
      <c r="D3636" s="1" t="str">
        <f t="shared" si="684"/>
        <v>9801</v>
      </c>
      <c r="E3636" s="1" t="s">
        <v>25</v>
      </c>
      <c r="F3636" s="1" t="str">
        <f>"1663564501"</f>
        <v>1663564501</v>
      </c>
      <c r="G3636" s="1" t="s">
        <v>33</v>
      </c>
      <c r="H3636" s="1" t="str">
        <f t="shared" si="677"/>
        <v>20220916</v>
      </c>
      <c r="I3636" s="1" t="str">
        <f>"145745"</f>
        <v>145745</v>
      </c>
      <c r="J3636" s="1" t="s">
        <v>41</v>
      </c>
      <c r="K3636" s="1" t="s">
        <v>28</v>
      </c>
      <c r="L3636" s="1" t="str">
        <f t="shared" si="687"/>
        <v>20220916</v>
      </c>
      <c r="M3636" s="1" t="str">
        <f>"152229"</f>
        <v>152229</v>
      </c>
      <c r="N3636" s="1" t="s">
        <v>52</v>
      </c>
      <c r="O3636" s="1" t="s">
        <v>52</v>
      </c>
      <c r="P3636" s="1" t="s">
        <v>55</v>
      </c>
      <c r="Q3636" s="1">
        <v>25</v>
      </c>
      <c r="R3636" s="1">
        <v>25</v>
      </c>
      <c r="S3636" s="1">
        <v>0</v>
      </c>
      <c r="T3636" s="1">
        <v>0</v>
      </c>
      <c r="U3636" s="1">
        <v>0</v>
      </c>
      <c r="V3636" s="1" t="str">
        <f t="shared" si="682"/>
        <v>里程返程</v>
      </c>
      <c r="W3636" s="1" t="str">
        <f>"2020"</f>
        <v>2020</v>
      </c>
      <c r="X3636" s="1" t="s">
        <v>35</v>
      </c>
    </row>
    <row r="3637" spans="1:24" x14ac:dyDescent="0.3">
      <c r="A3637" s="1" t="str">
        <f t="shared" si="683"/>
        <v>59809</v>
      </c>
      <c r="B3637" s="1" t="s">
        <v>42</v>
      </c>
      <c r="C3637" s="1" t="s">
        <v>43</v>
      </c>
      <c r="D3637" s="1" t="str">
        <f t="shared" si="684"/>
        <v>9801</v>
      </c>
      <c r="E3637" s="1" t="s">
        <v>25</v>
      </c>
      <c r="F3637" s="1" t="str">
        <f>"2127395560"</f>
        <v>2127395560</v>
      </c>
      <c r="G3637" s="1" t="s">
        <v>74</v>
      </c>
      <c r="H3637" s="1" t="str">
        <f t="shared" si="677"/>
        <v>20220916</v>
      </c>
      <c r="I3637" s="1" t="str">
        <f>"145748"</f>
        <v>145748</v>
      </c>
      <c r="J3637" s="1" t="s">
        <v>41</v>
      </c>
      <c r="K3637" s="1" t="s">
        <v>28</v>
      </c>
      <c r="L3637" s="1" t="str">
        <f t="shared" si="687"/>
        <v>20220916</v>
      </c>
      <c r="M3637" s="1" t="str">
        <f>"152220"</f>
        <v>152220</v>
      </c>
      <c r="N3637" s="1" t="s">
        <v>52</v>
      </c>
      <c r="O3637" s="1" t="s">
        <v>52</v>
      </c>
      <c r="P3637" s="1" t="s">
        <v>55</v>
      </c>
      <c r="Q3637" s="1">
        <v>13</v>
      </c>
      <c r="R3637" s="1">
        <v>13</v>
      </c>
      <c r="S3637" s="1">
        <v>0</v>
      </c>
      <c r="T3637" s="1">
        <v>0</v>
      </c>
      <c r="U3637" s="1">
        <v>0</v>
      </c>
      <c r="V3637" s="1" t="str">
        <f t="shared" si="682"/>
        <v>里程返程</v>
      </c>
      <c r="W3637" s="1" t="str">
        <f>"2020"</f>
        <v>2020</v>
      </c>
      <c r="X3637" s="1" t="s">
        <v>35</v>
      </c>
    </row>
    <row r="3638" spans="1:24" x14ac:dyDescent="0.3">
      <c r="A3638" s="1" t="str">
        <f t="shared" si="683"/>
        <v>59809</v>
      </c>
      <c r="B3638" s="1" t="s">
        <v>42</v>
      </c>
      <c r="C3638" s="1" t="s">
        <v>43</v>
      </c>
      <c r="D3638" s="1" t="str">
        <f t="shared" si="684"/>
        <v>9801</v>
      </c>
      <c r="E3638" s="1" t="s">
        <v>25</v>
      </c>
      <c r="F3638" s="1" t="str">
        <f>"1693417729"</f>
        <v>1693417729</v>
      </c>
      <c r="G3638" s="1" t="s">
        <v>33</v>
      </c>
      <c r="H3638" s="1" t="str">
        <f t="shared" si="677"/>
        <v>20220916</v>
      </c>
      <c r="I3638" s="1" t="str">
        <f>"152927"</f>
        <v>152927</v>
      </c>
      <c r="J3638" s="1" t="s">
        <v>44</v>
      </c>
      <c r="K3638" s="1" t="s">
        <v>45</v>
      </c>
      <c r="L3638" s="1" t="str">
        <f t="shared" si="687"/>
        <v>20220916</v>
      </c>
      <c r="M3638" s="1" t="str">
        <f>"153439"</f>
        <v>153439</v>
      </c>
      <c r="N3638" s="1" t="s">
        <v>91</v>
      </c>
      <c r="O3638" s="1" t="s">
        <v>45</v>
      </c>
      <c r="P3638" s="1" t="s">
        <v>55</v>
      </c>
      <c r="Q3638" s="1">
        <v>25</v>
      </c>
      <c r="R3638" s="1">
        <v>0</v>
      </c>
      <c r="S3638" s="1">
        <v>25</v>
      </c>
      <c r="T3638" s="1">
        <v>0</v>
      </c>
      <c r="U3638" s="1">
        <v>0</v>
      </c>
      <c r="V3638" s="1" t="str">
        <f t="shared" si="682"/>
        <v>里程返程</v>
      </c>
      <c r="W3638" s="1" t="str">
        <f>"2120"</f>
        <v>2120</v>
      </c>
      <c r="X3638" s="1" t="s">
        <v>35</v>
      </c>
    </row>
    <row r="3639" spans="1:24" x14ac:dyDescent="0.3">
      <c r="A3639" s="1" t="str">
        <f t="shared" si="683"/>
        <v>59809</v>
      </c>
      <c r="B3639" s="1" t="s">
        <v>42</v>
      </c>
      <c r="C3639" s="1" t="s">
        <v>43</v>
      </c>
      <c r="D3639" s="1" t="str">
        <f t="shared" si="684"/>
        <v>9801</v>
      </c>
      <c r="E3639" s="1" t="s">
        <v>25</v>
      </c>
      <c r="F3639" s="1" t="str">
        <f>"165635105"</f>
        <v>165635105</v>
      </c>
      <c r="G3639" s="1" t="s">
        <v>33</v>
      </c>
      <c r="H3639" s="1" t="str">
        <f t="shared" si="677"/>
        <v>20220916</v>
      </c>
      <c r="I3639" s="1" t="str">
        <f>"154137"</f>
        <v>154137</v>
      </c>
      <c r="J3639" s="1" t="s">
        <v>45</v>
      </c>
      <c r="K3639" s="1" t="s">
        <v>45</v>
      </c>
      <c r="L3639" s="1" t="str">
        <f t="shared" si="687"/>
        <v>20220916</v>
      </c>
      <c r="M3639" s="1" t="str">
        <f>"154919"</f>
        <v>154919</v>
      </c>
      <c r="N3639" s="1" t="s">
        <v>28</v>
      </c>
      <c r="O3639" s="1" t="s">
        <v>28</v>
      </c>
      <c r="P3639" s="1" t="s">
        <v>55</v>
      </c>
      <c r="Q3639" s="1">
        <v>25</v>
      </c>
      <c r="R3639" s="1">
        <v>25</v>
      </c>
      <c r="S3639" s="1">
        <v>0</v>
      </c>
      <c r="T3639" s="1">
        <v>0</v>
      </c>
      <c r="U3639" s="1">
        <v>0</v>
      </c>
      <c r="V3639" s="1" t="str">
        <f t="shared" si="682"/>
        <v>里程返程</v>
      </c>
      <c r="W3639" s="1" t="str">
        <f>"0820"</f>
        <v>0820</v>
      </c>
      <c r="X3639" s="1" t="s">
        <v>35</v>
      </c>
    </row>
    <row r="3640" spans="1:24" x14ac:dyDescent="0.3">
      <c r="A3640" s="1" t="str">
        <f t="shared" si="683"/>
        <v>59809</v>
      </c>
      <c r="B3640" s="1" t="s">
        <v>42</v>
      </c>
      <c r="C3640" s="1" t="s">
        <v>43</v>
      </c>
      <c r="D3640" s="1" t="str">
        <f t="shared" si="684"/>
        <v>9801</v>
      </c>
      <c r="E3640" s="1" t="s">
        <v>25</v>
      </c>
      <c r="F3640" s="1" t="str">
        <f>"4251460257880400C821002000000015"</f>
        <v>4251460257880400C821002000000015</v>
      </c>
      <c r="G3640" s="1" t="s">
        <v>26</v>
      </c>
      <c r="H3640" s="1" t="str">
        <f t="shared" si="677"/>
        <v>20220916</v>
      </c>
      <c r="I3640" s="1" t="str">
        <f>"160221"</f>
        <v>160221</v>
      </c>
      <c r="J3640" s="1" t="s">
        <v>83</v>
      </c>
      <c r="K3640" s="1" t="s">
        <v>52</v>
      </c>
      <c r="L3640" s="1" t="str">
        <f t="shared" si="687"/>
        <v>20220916</v>
      </c>
      <c r="M3640" s="1" t="str">
        <f>"160613"</f>
        <v>160613</v>
      </c>
      <c r="N3640" s="1" t="s">
        <v>69</v>
      </c>
      <c r="O3640" s="1" t="s">
        <v>52</v>
      </c>
      <c r="P3640" s="1" t="s">
        <v>68</v>
      </c>
      <c r="Q3640" s="1">
        <v>13</v>
      </c>
      <c r="R3640" s="1">
        <v>0</v>
      </c>
      <c r="S3640" s="1">
        <v>0</v>
      </c>
      <c r="T3640" s="1">
        <v>13</v>
      </c>
      <c r="U3640" s="1">
        <v>0</v>
      </c>
      <c r="V3640" s="1" t="str">
        <f t="shared" si="682"/>
        <v>里程返程</v>
      </c>
      <c r="W3640" s="1" t="str">
        <f>"0020"</f>
        <v>0020</v>
      </c>
      <c r="X3640" s="1" t="s">
        <v>29</v>
      </c>
    </row>
    <row r="3641" spans="1:24" x14ac:dyDescent="0.3">
      <c r="A3641" s="1" t="str">
        <f t="shared" si="683"/>
        <v>59809</v>
      </c>
      <c r="B3641" s="1" t="s">
        <v>42</v>
      </c>
      <c r="C3641" s="1" t="s">
        <v>43</v>
      </c>
      <c r="D3641" s="1" t="str">
        <f t="shared" si="684"/>
        <v>9801</v>
      </c>
      <c r="E3641" s="1" t="s">
        <v>25</v>
      </c>
      <c r="F3641" s="1" t="str">
        <f>"42AFE60209880400C834002000000015"</f>
        <v>42AFE60209880400C834002000000015</v>
      </c>
      <c r="G3641" s="1" t="s">
        <v>74</v>
      </c>
      <c r="H3641" s="1" t="str">
        <f t="shared" si="677"/>
        <v>20220916</v>
      </c>
      <c r="I3641" s="1" t="str">
        <f>"161314"</f>
        <v>161314</v>
      </c>
      <c r="J3641" s="1" t="s">
        <v>80</v>
      </c>
      <c r="K3641" s="1" t="s">
        <v>52</v>
      </c>
      <c r="L3641" s="1" t="str">
        <f t="shared" si="687"/>
        <v>20220916</v>
      </c>
      <c r="M3641" s="1" t="str">
        <f>"162610"</f>
        <v>162610</v>
      </c>
      <c r="N3641" s="1" t="s">
        <v>52</v>
      </c>
      <c r="O3641" s="1" t="s">
        <v>52</v>
      </c>
      <c r="P3641" s="1" t="s">
        <v>68</v>
      </c>
      <c r="Q3641" s="1">
        <v>13</v>
      </c>
      <c r="R3641" s="1">
        <v>0</v>
      </c>
      <c r="S3641" s="1">
        <v>0</v>
      </c>
      <c r="T3641" s="1">
        <v>13</v>
      </c>
      <c r="U3641" s="1">
        <v>0</v>
      </c>
      <c r="V3641" s="1" t="str">
        <f t="shared" si="682"/>
        <v>里程返程</v>
      </c>
      <c r="W3641" s="1" t="str">
        <f>"0020"</f>
        <v>0020</v>
      </c>
      <c r="X3641" s="1" t="s">
        <v>29</v>
      </c>
    </row>
    <row r="3642" spans="1:24" x14ac:dyDescent="0.3">
      <c r="A3642" s="1" t="str">
        <f t="shared" si="683"/>
        <v>59809</v>
      </c>
      <c r="B3642" s="1" t="s">
        <v>42</v>
      </c>
      <c r="C3642" s="1" t="s">
        <v>43</v>
      </c>
      <c r="D3642" s="1" t="str">
        <f t="shared" si="684"/>
        <v>9801</v>
      </c>
      <c r="E3642" s="1" t="s">
        <v>25</v>
      </c>
      <c r="F3642" s="1" t="str">
        <f>"1791991569"</f>
        <v>1791991569</v>
      </c>
      <c r="G3642" s="1" t="s">
        <v>33</v>
      </c>
      <c r="H3642" s="1" t="str">
        <f t="shared" si="677"/>
        <v>20220916</v>
      </c>
      <c r="I3642" s="1" t="str">
        <f>"164137"</f>
        <v>164137</v>
      </c>
      <c r="J3642" s="1" t="s">
        <v>75</v>
      </c>
      <c r="K3642" s="1" t="s">
        <v>45</v>
      </c>
      <c r="L3642" s="1" t="str">
        <f t="shared" si="687"/>
        <v>20220916</v>
      </c>
      <c r="M3642" s="1" t="str">
        <f>"170007"</f>
        <v>170007</v>
      </c>
      <c r="N3642" s="1" t="s">
        <v>28</v>
      </c>
      <c r="O3642" s="1" t="s">
        <v>28</v>
      </c>
      <c r="P3642" s="1" t="s">
        <v>55</v>
      </c>
      <c r="Q3642" s="1">
        <v>25</v>
      </c>
      <c r="R3642" s="1">
        <v>0</v>
      </c>
      <c r="S3642" s="1">
        <v>25</v>
      </c>
      <c r="T3642" s="1">
        <v>0</v>
      </c>
      <c r="U3642" s="1">
        <v>0</v>
      </c>
      <c r="V3642" s="1" t="str">
        <f t="shared" si="682"/>
        <v>里程返程</v>
      </c>
      <c r="W3642" s="1" t="str">
        <f>"2120"</f>
        <v>2120</v>
      </c>
      <c r="X3642" s="1" t="s">
        <v>35</v>
      </c>
    </row>
    <row r="3643" spans="1:24" x14ac:dyDescent="0.3">
      <c r="A3643" s="1" t="str">
        <f t="shared" si="683"/>
        <v>59809</v>
      </c>
      <c r="B3643" s="1" t="s">
        <v>42</v>
      </c>
      <c r="C3643" s="1" t="s">
        <v>43</v>
      </c>
      <c r="D3643" s="1" t="str">
        <f t="shared" si="684"/>
        <v>9801</v>
      </c>
      <c r="E3643" s="1" t="s">
        <v>25</v>
      </c>
      <c r="F3643" s="1" t="str">
        <f>"1143E52A9D280400F700000000000000"</f>
        <v>1143E52A9D280400F700000000000000</v>
      </c>
      <c r="G3643" s="1" t="s">
        <v>58</v>
      </c>
      <c r="H3643" s="1" t="str">
        <f t="shared" si="677"/>
        <v>20220916</v>
      </c>
      <c r="I3643" s="1" t="str">
        <f>"170058"</f>
        <v>170058</v>
      </c>
      <c r="J3643" s="1" t="s">
        <v>28</v>
      </c>
      <c r="K3643" s="1" t="s">
        <v>28</v>
      </c>
      <c r="L3643" s="1" t="str">
        <f t="shared" si="687"/>
        <v>20220916</v>
      </c>
      <c r="M3643" s="1" t="str">
        <f>"171502"</f>
        <v>171502</v>
      </c>
      <c r="N3643" s="1" t="s">
        <v>77</v>
      </c>
      <c r="O3643" s="1" t="s">
        <v>52</v>
      </c>
      <c r="P3643" s="1" t="s">
        <v>55</v>
      </c>
      <c r="Q3643" s="1">
        <v>25</v>
      </c>
      <c r="R3643" s="1">
        <v>25</v>
      </c>
      <c r="S3643" s="1">
        <v>0</v>
      </c>
      <c r="T3643" s="1">
        <v>0</v>
      </c>
      <c r="U3643" s="1">
        <v>0</v>
      </c>
      <c r="V3643" s="1" t="str">
        <f t="shared" si="682"/>
        <v>里程返程</v>
      </c>
      <c r="W3643" s="1" t="str">
        <f>"0020"</f>
        <v>0020</v>
      </c>
      <c r="X3643" s="1" t="s">
        <v>29</v>
      </c>
    </row>
    <row r="3644" spans="1:24" x14ac:dyDescent="0.3">
      <c r="A3644" s="1" t="str">
        <f t="shared" ref="A3644:A3675" si="688">"59820"</f>
        <v>59820</v>
      </c>
      <c r="B3644" s="1" t="s">
        <v>53</v>
      </c>
      <c r="C3644" s="1" t="s">
        <v>54</v>
      </c>
      <c r="D3644" s="1" t="str">
        <f>"9806"</f>
        <v>9806</v>
      </c>
      <c r="E3644" s="1" t="s">
        <v>49</v>
      </c>
      <c r="F3644" s="1" t="str">
        <f>"1695105317"</f>
        <v>1695105317</v>
      </c>
      <c r="G3644" s="1" t="s">
        <v>33</v>
      </c>
      <c r="H3644" s="1" t="str">
        <f t="shared" si="677"/>
        <v>20220916</v>
      </c>
      <c r="I3644" s="1" t="str">
        <f>"064759"</f>
        <v>064759</v>
      </c>
      <c r="J3644" s="1" t="s">
        <v>28</v>
      </c>
      <c r="K3644" s="1" t="s">
        <v>28</v>
      </c>
      <c r="L3644" s="1" t="str">
        <f t="shared" si="687"/>
        <v>20220916</v>
      </c>
      <c r="M3644" s="1" t="str">
        <f>"070335"</f>
        <v>070335</v>
      </c>
      <c r="N3644" s="1" t="s">
        <v>99</v>
      </c>
      <c r="O3644" s="1" t="s">
        <v>28</v>
      </c>
      <c r="P3644" s="1" t="s">
        <v>55</v>
      </c>
      <c r="Q3644" s="1">
        <v>25</v>
      </c>
      <c r="R3644" s="1">
        <v>0</v>
      </c>
      <c r="S3644" s="1">
        <v>25</v>
      </c>
      <c r="T3644" s="1">
        <v>0</v>
      </c>
      <c r="U3644" s="1">
        <v>0</v>
      </c>
      <c r="V3644" s="1" t="str">
        <f t="shared" si="682"/>
        <v>里程返程</v>
      </c>
      <c r="W3644" s="1" t="str">
        <f>"0820"</f>
        <v>0820</v>
      </c>
      <c r="X3644" s="1" t="s">
        <v>35</v>
      </c>
    </row>
    <row r="3645" spans="1:24" x14ac:dyDescent="0.3">
      <c r="A3645" s="1" t="str">
        <f t="shared" si="688"/>
        <v>59820</v>
      </c>
      <c r="B3645" s="1" t="s">
        <v>53</v>
      </c>
      <c r="C3645" s="1" t="s">
        <v>54</v>
      </c>
      <c r="D3645" s="1" t="str">
        <f>"9806"</f>
        <v>9806</v>
      </c>
      <c r="E3645" s="1" t="s">
        <v>49</v>
      </c>
      <c r="F3645" s="1" t="str">
        <f>"5294A50063880400C801002000000015"</f>
        <v>5294A50063880400C801002000000015</v>
      </c>
      <c r="G3645" s="1" t="s">
        <v>58</v>
      </c>
      <c r="H3645" s="1" t="str">
        <f t="shared" ref="H3645:H3708" si="689">"20220916"</f>
        <v>20220916</v>
      </c>
      <c r="I3645" s="1" t="str">
        <f>"064834"</f>
        <v>064834</v>
      </c>
      <c r="J3645" s="1" t="s">
        <v>28</v>
      </c>
      <c r="K3645" s="1" t="s">
        <v>28</v>
      </c>
      <c r="L3645" s="1" t="str">
        <f t="shared" si="687"/>
        <v>20220916</v>
      </c>
      <c r="M3645" s="1" t="str">
        <f>"070337"</f>
        <v>070337</v>
      </c>
      <c r="N3645" s="1" t="s">
        <v>99</v>
      </c>
      <c r="O3645" s="1" t="s">
        <v>28</v>
      </c>
      <c r="P3645" s="1" t="s">
        <v>55</v>
      </c>
      <c r="Q3645" s="1">
        <v>25</v>
      </c>
      <c r="R3645" s="1">
        <v>0</v>
      </c>
      <c r="S3645" s="1">
        <v>25</v>
      </c>
      <c r="T3645" s="1">
        <v>0</v>
      </c>
      <c r="U3645" s="1">
        <v>0</v>
      </c>
      <c r="V3645" s="1" t="str">
        <f t="shared" si="682"/>
        <v>里程返程</v>
      </c>
      <c r="W3645" s="1" t="str">
        <f>"0620"</f>
        <v>0620</v>
      </c>
      <c r="X3645" s="1" t="s">
        <v>29</v>
      </c>
    </row>
    <row r="3646" spans="1:24" x14ac:dyDescent="0.3">
      <c r="A3646" s="1" t="str">
        <f t="shared" si="688"/>
        <v>59820</v>
      </c>
      <c r="B3646" s="1" t="s">
        <v>53</v>
      </c>
      <c r="C3646" s="1" t="s">
        <v>54</v>
      </c>
      <c r="D3646" s="1" t="str">
        <f>"9806"</f>
        <v>9806</v>
      </c>
      <c r="E3646" s="1" t="s">
        <v>49</v>
      </c>
      <c r="F3646" s="1" t="str">
        <f>"B211E70246880400C834002000000015"</f>
        <v>B211E70246880400C834002000000015</v>
      </c>
      <c r="G3646" s="1" t="s">
        <v>74</v>
      </c>
      <c r="H3646" s="1" t="str">
        <f t="shared" si="689"/>
        <v>20220916</v>
      </c>
      <c r="I3646" s="1" t="str">
        <f>"065500"</f>
        <v>065500</v>
      </c>
      <c r="J3646" s="1" t="s">
        <v>101</v>
      </c>
      <c r="K3646" s="1" t="s">
        <v>28</v>
      </c>
      <c r="L3646" s="1" t="str">
        <f t="shared" si="687"/>
        <v>20220916</v>
      </c>
      <c r="M3646" s="1" t="str">
        <f>"070333"</f>
        <v>070333</v>
      </c>
      <c r="N3646" s="1" t="s">
        <v>99</v>
      </c>
      <c r="O3646" s="1" t="s">
        <v>28</v>
      </c>
      <c r="P3646" s="1" t="s">
        <v>68</v>
      </c>
      <c r="Q3646" s="1">
        <v>13</v>
      </c>
      <c r="R3646" s="1">
        <v>0</v>
      </c>
      <c r="S3646" s="1">
        <v>0</v>
      </c>
      <c r="T3646" s="1">
        <v>13</v>
      </c>
      <c r="U3646" s="1">
        <v>0</v>
      </c>
      <c r="V3646" s="1" t="str">
        <f t="shared" si="682"/>
        <v>里程返程</v>
      </c>
      <c r="W3646" s="1" t="str">
        <f>"0020"</f>
        <v>0020</v>
      </c>
      <c r="X3646" s="1" t="s">
        <v>29</v>
      </c>
    </row>
    <row r="3647" spans="1:24" x14ac:dyDescent="0.3">
      <c r="A3647" s="1" t="str">
        <f t="shared" si="688"/>
        <v>59820</v>
      </c>
      <c r="B3647" s="1" t="s">
        <v>53</v>
      </c>
      <c r="C3647" s="1" t="s">
        <v>54</v>
      </c>
      <c r="D3647" s="1" t="str">
        <f>"9806"</f>
        <v>9806</v>
      </c>
      <c r="E3647" s="1" t="s">
        <v>49</v>
      </c>
      <c r="F3647" s="1" t="str">
        <f>"E23388174E880400C814002000000019"</f>
        <v>E23388174E880400C814002000000019</v>
      </c>
      <c r="G3647" s="1" t="s">
        <v>59</v>
      </c>
      <c r="H3647" s="1" t="str">
        <f t="shared" si="689"/>
        <v>20220916</v>
      </c>
      <c r="I3647" s="1" t="str">
        <f>"071147"</f>
        <v>071147</v>
      </c>
      <c r="J3647" s="1" t="s">
        <v>107</v>
      </c>
      <c r="K3647" s="1" t="s">
        <v>50</v>
      </c>
      <c r="L3647" s="1" t="str">
        <f t="shared" si="687"/>
        <v>20220916</v>
      </c>
      <c r="M3647" s="1" t="str">
        <f>"072334"</f>
        <v>072334</v>
      </c>
      <c r="N3647" s="1" t="s">
        <v>98</v>
      </c>
      <c r="O3647" s="1" t="s">
        <v>28</v>
      </c>
      <c r="P3647" s="1" t="s">
        <v>55</v>
      </c>
      <c r="Q3647" s="1">
        <v>25</v>
      </c>
      <c r="R3647" s="1">
        <v>25</v>
      </c>
      <c r="S3647" s="1">
        <v>0</v>
      </c>
      <c r="T3647" s="1">
        <v>0</v>
      </c>
      <c r="U3647" s="1">
        <v>0</v>
      </c>
      <c r="V3647" s="1" t="str">
        <f>"里程去程"</f>
        <v>里程去程</v>
      </c>
      <c r="W3647" s="1" t="str">
        <f>"0020"</f>
        <v>0020</v>
      </c>
      <c r="X3647" s="1" t="s">
        <v>29</v>
      </c>
    </row>
    <row r="3648" spans="1:24" x14ac:dyDescent="0.3">
      <c r="A3648" s="1" t="str">
        <f t="shared" si="688"/>
        <v>59820</v>
      </c>
      <c r="B3648" s="1" t="s">
        <v>53</v>
      </c>
      <c r="C3648" s="1" t="s">
        <v>54</v>
      </c>
      <c r="D3648" s="1" t="str">
        <f>"9806"</f>
        <v>9806</v>
      </c>
      <c r="E3648" s="1" t="s">
        <v>49</v>
      </c>
      <c r="F3648" s="1" t="str">
        <f>"92771C03FA880400C834002000000015"</f>
        <v>92771C03FA880400C834002000000015</v>
      </c>
      <c r="G3648" s="1" t="s">
        <v>74</v>
      </c>
      <c r="H3648" s="1" t="str">
        <f t="shared" si="689"/>
        <v>20220916</v>
      </c>
      <c r="I3648" s="1" t="str">
        <f>"071150"</f>
        <v>071150</v>
      </c>
      <c r="J3648" s="1" t="s">
        <v>107</v>
      </c>
      <c r="K3648" s="1" t="s">
        <v>50</v>
      </c>
      <c r="L3648" s="1" t="str">
        <f t="shared" si="687"/>
        <v>20220916</v>
      </c>
      <c r="M3648" s="1" t="str">
        <f>"073207"</f>
        <v>073207</v>
      </c>
      <c r="N3648" s="1" t="s">
        <v>28</v>
      </c>
      <c r="O3648" s="1" t="s">
        <v>28</v>
      </c>
      <c r="P3648" s="1" t="s">
        <v>68</v>
      </c>
      <c r="Q3648" s="1">
        <v>13</v>
      </c>
      <c r="R3648" s="1">
        <v>0</v>
      </c>
      <c r="S3648" s="1">
        <v>0</v>
      </c>
      <c r="T3648" s="1">
        <v>13</v>
      </c>
      <c r="U3648" s="1">
        <v>0</v>
      </c>
      <c r="V3648" s="1" t="str">
        <f>"里程去程"</f>
        <v>里程去程</v>
      </c>
      <c r="W3648" s="1" t="str">
        <f>"0020"</f>
        <v>0020</v>
      </c>
      <c r="X3648" s="1" t="s">
        <v>29</v>
      </c>
    </row>
    <row r="3649" spans="1:24" x14ac:dyDescent="0.3">
      <c r="A3649" s="1" t="str">
        <f t="shared" si="688"/>
        <v>59820</v>
      </c>
      <c r="B3649" s="1" t="s">
        <v>53</v>
      </c>
      <c r="C3649" s="1" t="s">
        <v>54</v>
      </c>
      <c r="D3649" s="1" t="str">
        <f t="shared" ref="D3649:D3680" si="690">"9803"</f>
        <v>9803</v>
      </c>
      <c r="E3649" s="1" t="s">
        <v>32</v>
      </c>
      <c r="F3649" s="1" t="str">
        <f>"709359620"</f>
        <v>709359620</v>
      </c>
      <c r="G3649" s="1" t="s">
        <v>33</v>
      </c>
      <c r="H3649" s="1" t="str">
        <f t="shared" si="689"/>
        <v>20220916</v>
      </c>
      <c r="I3649" s="1" t="str">
        <f>"082209"</f>
        <v>082209</v>
      </c>
      <c r="J3649" s="1" t="s">
        <v>92</v>
      </c>
      <c r="K3649" s="1" t="s">
        <v>28</v>
      </c>
      <c r="L3649" s="1" t="str">
        <f t="shared" si="687"/>
        <v>20220916</v>
      </c>
      <c r="M3649" s="1" t="str">
        <f>"082956"</f>
        <v>082956</v>
      </c>
      <c r="N3649" s="1" t="s">
        <v>28</v>
      </c>
      <c r="O3649" s="1" t="s">
        <v>28</v>
      </c>
      <c r="P3649" s="1" t="s">
        <v>55</v>
      </c>
      <c r="Q3649" s="1">
        <v>25</v>
      </c>
      <c r="R3649" s="1">
        <v>25</v>
      </c>
      <c r="S3649" s="1">
        <v>0</v>
      </c>
      <c r="T3649" s="1">
        <v>0</v>
      </c>
      <c r="U3649" s="1">
        <v>0</v>
      </c>
      <c r="V3649" s="1" t="str">
        <f>"里程返程"</f>
        <v>里程返程</v>
      </c>
      <c r="W3649" s="1" t="str">
        <f>"2120"</f>
        <v>2120</v>
      </c>
      <c r="X3649" s="1" t="s">
        <v>35</v>
      </c>
    </row>
    <row r="3650" spans="1:24" x14ac:dyDescent="0.3">
      <c r="A3650" s="1" t="str">
        <f t="shared" si="688"/>
        <v>59820</v>
      </c>
      <c r="B3650" s="1" t="s">
        <v>53</v>
      </c>
      <c r="C3650" s="1" t="s">
        <v>54</v>
      </c>
      <c r="D3650" s="1" t="str">
        <f t="shared" si="690"/>
        <v>9803</v>
      </c>
      <c r="E3650" s="1" t="s">
        <v>32</v>
      </c>
      <c r="F3650" s="1" t="str">
        <f>"C1298B2645280400F700000000000000"</f>
        <v>C1298B2645280400F700000000000000</v>
      </c>
      <c r="G3650" s="1" t="s">
        <v>58</v>
      </c>
      <c r="H3650" s="1" t="str">
        <f t="shared" si="689"/>
        <v>20220916</v>
      </c>
      <c r="I3650" s="1" t="str">
        <f>"083044"</f>
        <v>083044</v>
      </c>
      <c r="J3650" s="1" t="s">
        <v>28</v>
      </c>
      <c r="K3650" s="1" t="s">
        <v>28</v>
      </c>
      <c r="L3650" s="1" t="str">
        <f t="shared" si="687"/>
        <v>20220916</v>
      </c>
      <c r="M3650" s="1" t="str">
        <f>"084818"</f>
        <v>084818</v>
      </c>
      <c r="N3650" s="1" t="s">
        <v>34</v>
      </c>
      <c r="O3650" s="1" t="s">
        <v>34</v>
      </c>
      <c r="P3650" s="1" t="s">
        <v>55</v>
      </c>
      <c r="Q3650" s="1">
        <v>25</v>
      </c>
      <c r="R3650" s="1">
        <v>25</v>
      </c>
      <c r="S3650" s="1">
        <v>0</v>
      </c>
      <c r="T3650" s="1">
        <v>0</v>
      </c>
      <c r="U3650" s="1">
        <v>0</v>
      </c>
      <c r="V3650" s="1" t="str">
        <f t="shared" ref="V3650:V3690" si="691">"里程去程"</f>
        <v>里程去程</v>
      </c>
      <c r="W3650" s="1" t="str">
        <f>"0020"</f>
        <v>0020</v>
      </c>
      <c r="X3650" s="1" t="s">
        <v>29</v>
      </c>
    </row>
    <row r="3651" spans="1:24" x14ac:dyDescent="0.3">
      <c r="A3651" s="1" t="str">
        <f t="shared" si="688"/>
        <v>59820</v>
      </c>
      <c r="B3651" s="1" t="s">
        <v>53</v>
      </c>
      <c r="C3651" s="1" t="s">
        <v>54</v>
      </c>
      <c r="D3651" s="1" t="str">
        <f t="shared" si="690"/>
        <v>9803</v>
      </c>
      <c r="E3651" s="1" t="s">
        <v>32</v>
      </c>
      <c r="F3651" s="1" t="str">
        <f>"2650386031"</f>
        <v>2650386031</v>
      </c>
      <c r="G3651" s="1" t="s">
        <v>33</v>
      </c>
      <c r="H3651" s="1" t="str">
        <f t="shared" si="689"/>
        <v>20220916</v>
      </c>
      <c r="I3651" s="1" t="str">
        <f>"083045"</f>
        <v>083045</v>
      </c>
      <c r="J3651" s="1" t="s">
        <v>28</v>
      </c>
      <c r="K3651" s="1" t="s">
        <v>28</v>
      </c>
      <c r="L3651" s="1" t="str">
        <f t="shared" si="687"/>
        <v>20220916</v>
      </c>
      <c r="M3651" s="1" t="str">
        <f>"084828"</f>
        <v>084828</v>
      </c>
      <c r="N3651" s="1" t="s">
        <v>34</v>
      </c>
      <c r="O3651" s="1" t="s">
        <v>34</v>
      </c>
      <c r="P3651" s="1" t="s">
        <v>55</v>
      </c>
      <c r="Q3651" s="1">
        <v>25</v>
      </c>
      <c r="R3651" s="1">
        <v>25</v>
      </c>
      <c r="S3651" s="1">
        <v>0</v>
      </c>
      <c r="T3651" s="1">
        <v>0</v>
      </c>
      <c r="U3651" s="1">
        <v>0</v>
      </c>
      <c r="V3651" s="1" t="str">
        <f t="shared" si="691"/>
        <v>里程去程</v>
      </c>
      <c r="W3651" s="1" t="str">
        <f>"0320"</f>
        <v>0320</v>
      </c>
      <c r="X3651" s="1" t="s">
        <v>35</v>
      </c>
    </row>
    <row r="3652" spans="1:24" x14ac:dyDescent="0.3">
      <c r="A3652" s="1" t="str">
        <f t="shared" si="688"/>
        <v>59820</v>
      </c>
      <c r="B3652" s="1" t="s">
        <v>53</v>
      </c>
      <c r="C3652" s="1" t="s">
        <v>54</v>
      </c>
      <c r="D3652" s="1" t="str">
        <f t="shared" si="690"/>
        <v>9803</v>
      </c>
      <c r="E3652" s="1" t="s">
        <v>32</v>
      </c>
      <c r="F3652" s="1" t="str">
        <f>"1011895617"</f>
        <v>1011895617</v>
      </c>
      <c r="G3652" s="1" t="s">
        <v>33</v>
      </c>
      <c r="H3652" s="1" t="str">
        <f t="shared" si="689"/>
        <v>20220916</v>
      </c>
      <c r="I3652" s="1" t="str">
        <f>"083047"</f>
        <v>083047</v>
      </c>
      <c r="J3652" s="1" t="s">
        <v>28</v>
      </c>
      <c r="K3652" s="1" t="s">
        <v>28</v>
      </c>
      <c r="L3652" s="1" t="str">
        <f t="shared" si="687"/>
        <v>20220916</v>
      </c>
      <c r="M3652" s="1" t="str">
        <f>"084824"</f>
        <v>084824</v>
      </c>
      <c r="N3652" s="1" t="s">
        <v>34</v>
      </c>
      <c r="O3652" s="1" t="s">
        <v>34</v>
      </c>
      <c r="P3652" s="1" t="s">
        <v>55</v>
      </c>
      <c r="Q3652" s="1">
        <v>25</v>
      </c>
      <c r="R3652" s="1">
        <v>25</v>
      </c>
      <c r="S3652" s="1">
        <v>0</v>
      </c>
      <c r="T3652" s="1">
        <v>0</v>
      </c>
      <c r="U3652" s="1">
        <v>0</v>
      </c>
      <c r="V3652" s="1" t="str">
        <f t="shared" si="691"/>
        <v>里程去程</v>
      </c>
      <c r="W3652" s="1" t="str">
        <f>"0120"</f>
        <v>0120</v>
      </c>
      <c r="X3652" s="1" t="s">
        <v>35</v>
      </c>
    </row>
    <row r="3653" spans="1:24" x14ac:dyDescent="0.3">
      <c r="A3653" s="1" t="str">
        <f t="shared" si="688"/>
        <v>59820</v>
      </c>
      <c r="B3653" s="1" t="s">
        <v>53</v>
      </c>
      <c r="C3653" s="1" t="s">
        <v>54</v>
      </c>
      <c r="D3653" s="1" t="str">
        <f t="shared" si="690"/>
        <v>9803</v>
      </c>
      <c r="E3653" s="1" t="s">
        <v>32</v>
      </c>
      <c r="F3653" s="1" t="str">
        <f>"1111065333"</f>
        <v>1111065333</v>
      </c>
      <c r="G3653" s="1" t="s">
        <v>26</v>
      </c>
      <c r="H3653" s="1" t="str">
        <f t="shared" si="689"/>
        <v>20220916</v>
      </c>
      <c r="I3653" s="1" t="str">
        <f>"102716"</f>
        <v>102716</v>
      </c>
      <c r="J3653" s="1" t="s">
        <v>28</v>
      </c>
      <c r="K3653" s="1" t="s">
        <v>28</v>
      </c>
      <c r="L3653" s="1" t="str">
        <f t="shared" si="687"/>
        <v>20220916</v>
      </c>
      <c r="M3653" s="1" t="str">
        <f>"104657"</f>
        <v>104657</v>
      </c>
      <c r="N3653" s="1" t="s">
        <v>34</v>
      </c>
      <c r="O3653" s="1" t="s">
        <v>34</v>
      </c>
      <c r="P3653" s="1" t="s">
        <v>55</v>
      </c>
      <c r="Q3653" s="1">
        <v>13</v>
      </c>
      <c r="R3653" s="1">
        <v>13</v>
      </c>
      <c r="S3653" s="1">
        <v>0</v>
      </c>
      <c r="T3653" s="1">
        <v>0</v>
      </c>
      <c r="U3653" s="1">
        <v>0</v>
      </c>
      <c r="V3653" s="1" t="str">
        <f t="shared" si="691"/>
        <v>里程去程</v>
      </c>
      <c r="W3653" s="1" t="str">
        <f>"1420"</f>
        <v>1420</v>
      </c>
      <c r="X3653" s="1" t="s">
        <v>35</v>
      </c>
    </row>
    <row r="3654" spans="1:24" x14ac:dyDescent="0.3">
      <c r="A3654" s="1" t="str">
        <f t="shared" si="688"/>
        <v>59820</v>
      </c>
      <c r="B3654" s="1" t="s">
        <v>53</v>
      </c>
      <c r="C3654" s="1" t="s">
        <v>54</v>
      </c>
      <c r="D3654" s="1" t="str">
        <f t="shared" si="690"/>
        <v>9803</v>
      </c>
      <c r="E3654" s="1" t="s">
        <v>32</v>
      </c>
      <c r="F3654" s="1" t="str">
        <f>"1454837025"</f>
        <v>1454837025</v>
      </c>
      <c r="G3654" s="1" t="s">
        <v>33</v>
      </c>
      <c r="H3654" s="1" t="str">
        <f t="shared" si="689"/>
        <v>20220916</v>
      </c>
      <c r="I3654" s="1" t="str">
        <f>"102720"</f>
        <v>102720</v>
      </c>
      <c r="J3654" s="1" t="s">
        <v>28</v>
      </c>
      <c r="K3654" s="1" t="s">
        <v>28</v>
      </c>
      <c r="L3654" s="1" t="str">
        <f t="shared" si="687"/>
        <v>20220916</v>
      </c>
      <c r="M3654" s="1" t="str">
        <f>"104714"</f>
        <v>104714</v>
      </c>
      <c r="N3654" s="1" t="s">
        <v>34</v>
      </c>
      <c r="O3654" s="1" t="s">
        <v>34</v>
      </c>
      <c r="P3654" s="1" t="s">
        <v>55</v>
      </c>
      <c r="Q3654" s="1">
        <v>25</v>
      </c>
      <c r="R3654" s="1">
        <v>25</v>
      </c>
      <c r="S3654" s="1">
        <v>0</v>
      </c>
      <c r="T3654" s="1">
        <v>0</v>
      </c>
      <c r="U3654" s="1">
        <v>0</v>
      </c>
      <c r="V3654" s="1" t="str">
        <f t="shared" si="691"/>
        <v>里程去程</v>
      </c>
      <c r="W3654" s="1" t="str">
        <f>"0120"</f>
        <v>0120</v>
      </c>
      <c r="X3654" s="1" t="s">
        <v>35</v>
      </c>
    </row>
    <row r="3655" spans="1:24" x14ac:dyDescent="0.3">
      <c r="A3655" s="1" t="str">
        <f t="shared" si="688"/>
        <v>59820</v>
      </c>
      <c r="B3655" s="1" t="s">
        <v>53</v>
      </c>
      <c r="C3655" s="1" t="s">
        <v>54</v>
      </c>
      <c r="D3655" s="1" t="str">
        <f t="shared" si="690"/>
        <v>9803</v>
      </c>
      <c r="E3655" s="1" t="s">
        <v>32</v>
      </c>
      <c r="F3655" s="1" t="str">
        <f>"D11AC5404E280400F700000000000000"</f>
        <v>D11AC5404E280400F700000000000000</v>
      </c>
      <c r="G3655" s="1" t="s">
        <v>58</v>
      </c>
      <c r="H3655" s="1" t="str">
        <f t="shared" si="689"/>
        <v>20220916</v>
      </c>
      <c r="I3655" s="1" t="str">
        <f>"102723"</f>
        <v>102723</v>
      </c>
      <c r="J3655" s="1" t="s">
        <v>28</v>
      </c>
      <c r="K3655" s="1" t="s">
        <v>28</v>
      </c>
      <c r="L3655" s="1" t="str">
        <f t="shared" si="687"/>
        <v>20220916</v>
      </c>
      <c r="M3655" s="1" t="str">
        <f>"104652"</f>
        <v>104652</v>
      </c>
      <c r="N3655" s="1" t="s">
        <v>34</v>
      </c>
      <c r="O3655" s="1" t="s">
        <v>34</v>
      </c>
      <c r="P3655" s="1" t="s">
        <v>55</v>
      </c>
      <c r="Q3655" s="1">
        <v>25</v>
      </c>
      <c r="R3655" s="1">
        <v>25</v>
      </c>
      <c r="S3655" s="1">
        <v>0</v>
      </c>
      <c r="T3655" s="1">
        <v>0</v>
      </c>
      <c r="U3655" s="1">
        <v>0</v>
      </c>
      <c r="V3655" s="1" t="str">
        <f t="shared" si="691"/>
        <v>里程去程</v>
      </c>
      <c r="W3655" s="1" t="str">
        <f>"0020"</f>
        <v>0020</v>
      </c>
      <c r="X3655" s="1" t="s">
        <v>29</v>
      </c>
    </row>
    <row r="3656" spans="1:24" x14ac:dyDescent="0.3">
      <c r="A3656" s="1" t="str">
        <f t="shared" si="688"/>
        <v>59820</v>
      </c>
      <c r="B3656" s="1" t="s">
        <v>53</v>
      </c>
      <c r="C3656" s="1" t="s">
        <v>54</v>
      </c>
      <c r="D3656" s="1" t="str">
        <f t="shared" si="690"/>
        <v>9803</v>
      </c>
      <c r="E3656" s="1" t="s">
        <v>32</v>
      </c>
      <c r="F3656" s="1" t="str">
        <f>"1819278085"</f>
        <v>1819278085</v>
      </c>
      <c r="G3656" s="1" t="s">
        <v>33</v>
      </c>
      <c r="H3656" s="1" t="str">
        <f t="shared" si="689"/>
        <v>20220916</v>
      </c>
      <c r="I3656" s="1" t="str">
        <f>"102727"</f>
        <v>102727</v>
      </c>
      <c r="J3656" s="1" t="s">
        <v>28</v>
      </c>
      <c r="K3656" s="1" t="s">
        <v>28</v>
      </c>
      <c r="L3656" s="1" t="str">
        <f t="shared" si="687"/>
        <v>20220916</v>
      </c>
      <c r="M3656" s="1" t="str">
        <f>"104723"</f>
        <v>104723</v>
      </c>
      <c r="N3656" s="1" t="s">
        <v>34</v>
      </c>
      <c r="O3656" s="1" t="s">
        <v>34</v>
      </c>
      <c r="P3656" s="1" t="s">
        <v>55</v>
      </c>
      <c r="Q3656" s="1">
        <v>25</v>
      </c>
      <c r="R3656" s="1">
        <v>25</v>
      </c>
      <c r="S3656" s="1">
        <v>0</v>
      </c>
      <c r="T3656" s="1">
        <v>0</v>
      </c>
      <c r="U3656" s="1">
        <v>0</v>
      </c>
      <c r="V3656" s="1" t="str">
        <f t="shared" si="691"/>
        <v>里程去程</v>
      </c>
      <c r="W3656" s="1" t="str">
        <f>"0620"</f>
        <v>0620</v>
      </c>
      <c r="X3656" s="1" t="s">
        <v>35</v>
      </c>
    </row>
    <row r="3657" spans="1:24" x14ac:dyDescent="0.3">
      <c r="A3657" s="1" t="str">
        <f t="shared" si="688"/>
        <v>59820</v>
      </c>
      <c r="B3657" s="1" t="s">
        <v>53</v>
      </c>
      <c r="C3657" s="1" t="s">
        <v>54</v>
      </c>
      <c r="D3657" s="1" t="str">
        <f t="shared" si="690"/>
        <v>9803</v>
      </c>
      <c r="E3657" s="1" t="s">
        <v>32</v>
      </c>
      <c r="F3657" s="1" t="str">
        <f>"132632405"</f>
        <v>132632405</v>
      </c>
      <c r="G3657" s="1" t="s">
        <v>33</v>
      </c>
      <c r="H3657" s="1" t="str">
        <f t="shared" si="689"/>
        <v>20220916</v>
      </c>
      <c r="I3657" s="1" t="str">
        <f>"102730"</f>
        <v>102730</v>
      </c>
      <c r="J3657" s="1" t="s">
        <v>28</v>
      </c>
      <c r="K3657" s="1" t="s">
        <v>28</v>
      </c>
      <c r="L3657" s="1" t="str">
        <f t="shared" si="687"/>
        <v>20220916</v>
      </c>
      <c r="M3657" s="1" t="str">
        <f>"104721"</f>
        <v>104721</v>
      </c>
      <c r="N3657" s="1" t="s">
        <v>34</v>
      </c>
      <c r="O3657" s="1" t="s">
        <v>34</v>
      </c>
      <c r="P3657" s="1" t="s">
        <v>55</v>
      </c>
      <c r="Q3657" s="1">
        <v>25</v>
      </c>
      <c r="R3657" s="1">
        <v>25</v>
      </c>
      <c r="S3657" s="1">
        <v>0</v>
      </c>
      <c r="T3657" s="1">
        <v>0</v>
      </c>
      <c r="U3657" s="1">
        <v>0</v>
      </c>
      <c r="V3657" s="1" t="str">
        <f t="shared" si="691"/>
        <v>里程去程</v>
      </c>
      <c r="W3657" s="1" t="str">
        <f>"0120"</f>
        <v>0120</v>
      </c>
      <c r="X3657" s="1" t="s">
        <v>35</v>
      </c>
    </row>
    <row r="3658" spans="1:24" x14ac:dyDescent="0.3">
      <c r="A3658" s="1" t="str">
        <f t="shared" si="688"/>
        <v>59820</v>
      </c>
      <c r="B3658" s="1" t="s">
        <v>53</v>
      </c>
      <c r="C3658" s="1" t="s">
        <v>54</v>
      </c>
      <c r="D3658" s="1" t="str">
        <f t="shared" si="690"/>
        <v>9803</v>
      </c>
      <c r="E3658" s="1" t="s">
        <v>32</v>
      </c>
      <c r="F3658" s="1" t="str">
        <f>"322772461"</f>
        <v>322772461</v>
      </c>
      <c r="G3658" s="1" t="s">
        <v>33</v>
      </c>
      <c r="H3658" s="1" t="str">
        <f t="shared" si="689"/>
        <v>20220916</v>
      </c>
      <c r="I3658" s="1" t="str">
        <f>"102736"</f>
        <v>102736</v>
      </c>
      <c r="J3658" s="1" t="s">
        <v>28</v>
      </c>
      <c r="K3658" s="1" t="s">
        <v>28</v>
      </c>
      <c r="L3658" s="1" t="str">
        <f t="shared" si="687"/>
        <v>20220916</v>
      </c>
      <c r="M3658" s="1" t="str">
        <f>"104709"</f>
        <v>104709</v>
      </c>
      <c r="N3658" s="1" t="s">
        <v>34</v>
      </c>
      <c r="O3658" s="1" t="s">
        <v>34</v>
      </c>
      <c r="P3658" s="1" t="s">
        <v>55</v>
      </c>
      <c r="Q3658" s="1">
        <v>25</v>
      </c>
      <c r="R3658" s="1">
        <v>25</v>
      </c>
      <c r="S3658" s="1">
        <v>0</v>
      </c>
      <c r="T3658" s="1">
        <v>0</v>
      </c>
      <c r="U3658" s="1">
        <v>0</v>
      </c>
      <c r="V3658" s="1" t="str">
        <f t="shared" si="691"/>
        <v>里程去程</v>
      </c>
      <c r="W3658" s="1" t="str">
        <f>"0120"</f>
        <v>0120</v>
      </c>
      <c r="X3658" s="1" t="s">
        <v>35</v>
      </c>
    </row>
    <row r="3659" spans="1:24" x14ac:dyDescent="0.3">
      <c r="A3659" s="1" t="str">
        <f t="shared" si="688"/>
        <v>59820</v>
      </c>
      <c r="B3659" s="1" t="s">
        <v>53</v>
      </c>
      <c r="C3659" s="1" t="s">
        <v>54</v>
      </c>
      <c r="D3659" s="1" t="str">
        <f t="shared" si="690"/>
        <v>9803</v>
      </c>
      <c r="E3659" s="1" t="s">
        <v>32</v>
      </c>
      <c r="F3659" s="1" t="str">
        <f>"1225750129"</f>
        <v>1225750129</v>
      </c>
      <c r="G3659" s="1" t="s">
        <v>33</v>
      </c>
      <c r="H3659" s="1" t="str">
        <f t="shared" si="689"/>
        <v>20220916</v>
      </c>
      <c r="I3659" s="1" t="str">
        <f>"102740"</f>
        <v>102740</v>
      </c>
      <c r="J3659" s="1" t="s">
        <v>28</v>
      </c>
      <c r="K3659" s="1" t="s">
        <v>28</v>
      </c>
      <c r="L3659" s="1" t="str">
        <f t="shared" si="687"/>
        <v>20220916</v>
      </c>
      <c r="M3659" s="1" t="str">
        <f>"104638"</f>
        <v>104638</v>
      </c>
      <c r="N3659" s="1" t="s">
        <v>34</v>
      </c>
      <c r="O3659" s="1" t="s">
        <v>34</v>
      </c>
      <c r="P3659" s="1" t="s">
        <v>55</v>
      </c>
      <c r="Q3659" s="1">
        <v>25</v>
      </c>
      <c r="R3659" s="1">
        <v>25</v>
      </c>
      <c r="S3659" s="1">
        <v>0</v>
      </c>
      <c r="T3659" s="1">
        <v>0</v>
      </c>
      <c r="U3659" s="1">
        <v>0</v>
      </c>
      <c r="V3659" s="1" t="str">
        <f t="shared" si="691"/>
        <v>里程去程</v>
      </c>
      <c r="W3659" s="1" t="str">
        <f>"0320"</f>
        <v>0320</v>
      </c>
      <c r="X3659" s="1" t="s">
        <v>35</v>
      </c>
    </row>
    <row r="3660" spans="1:24" x14ac:dyDescent="0.3">
      <c r="A3660" s="1" t="str">
        <f t="shared" si="688"/>
        <v>59820</v>
      </c>
      <c r="B3660" s="1" t="s">
        <v>53</v>
      </c>
      <c r="C3660" s="1" t="s">
        <v>54</v>
      </c>
      <c r="D3660" s="1" t="str">
        <f t="shared" si="690"/>
        <v>9803</v>
      </c>
      <c r="E3660" s="1" t="s">
        <v>32</v>
      </c>
      <c r="F3660" s="1" t="str">
        <f>"1143124693"</f>
        <v>1143124693</v>
      </c>
      <c r="G3660" s="1" t="s">
        <v>33</v>
      </c>
      <c r="H3660" s="1" t="str">
        <f t="shared" si="689"/>
        <v>20220916</v>
      </c>
      <c r="I3660" s="1" t="str">
        <f>"102743"</f>
        <v>102743</v>
      </c>
      <c r="J3660" s="1" t="s">
        <v>28</v>
      </c>
      <c r="K3660" s="1" t="s">
        <v>28</v>
      </c>
      <c r="L3660" s="1" t="str">
        <f t="shared" si="687"/>
        <v>20220916</v>
      </c>
      <c r="M3660" s="1" t="str">
        <f>"104637"</f>
        <v>104637</v>
      </c>
      <c r="N3660" s="1" t="s">
        <v>34</v>
      </c>
      <c r="O3660" s="1" t="s">
        <v>34</v>
      </c>
      <c r="P3660" s="1" t="s">
        <v>55</v>
      </c>
      <c r="Q3660" s="1">
        <v>25</v>
      </c>
      <c r="R3660" s="1">
        <v>25</v>
      </c>
      <c r="S3660" s="1">
        <v>0</v>
      </c>
      <c r="T3660" s="1">
        <v>0</v>
      </c>
      <c r="U3660" s="1">
        <v>0</v>
      </c>
      <c r="V3660" s="1" t="str">
        <f t="shared" si="691"/>
        <v>里程去程</v>
      </c>
      <c r="W3660" s="1" t="str">
        <f>"0320"</f>
        <v>0320</v>
      </c>
      <c r="X3660" s="1" t="s">
        <v>35</v>
      </c>
    </row>
    <row r="3661" spans="1:24" x14ac:dyDescent="0.3">
      <c r="A3661" s="1" t="str">
        <f t="shared" si="688"/>
        <v>59820</v>
      </c>
      <c r="B3661" s="1" t="s">
        <v>53</v>
      </c>
      <c r="C3661" s="1" t="s">
        <v>54</v>
      </c>
      <c r="D3661" s="1" t="str">
        <f t="shared" si="690"/>
        <v>9803</v>
      </c>
      <c r="E3661" s="1" t="s">
        <v>32</v>
      </c>
      <c r="F3661" s="1" t="str">
        <f>"763032277"</f>
        <v>763032277</v>
      </c>
      <c r="G3661" s="1" t="s">
        <v>33</v>
      </c>
      <c r="H3661" s="1" t="str">
        <f t="shared" si="689"/>
        <v>20220916</v>
      </c>
      <c r="I3661" s="1" t="str">
        <f>"102747"</f>
        <v>102747</v>
      </c>
      <c r="J3661" s="1" t="s">
        <v>28</v>
      </c>
      <c r="K3661" s="1" t="s">
        <v>28</v>
      </c>
      <c r="L3661" s="1" t="str">
        <f t="shared" si="687"/>
        <v>20220916</v>
      </c>
      <c r="M3661" s="1" t="str">
        <f>"104718"</f>
        <v>104718</v>
      </c>
      <c r="N3661" s="1" t="s">
        <v>34</v>
      </c>
      <c r="O3661" s="1" t="s">
        <v>34</v>
      </c>
      <c r="P3661" s="1" t="s">
        <v>55</v>
      </c>
      <c r="Q3661" s="1">
        <v>25</v>
      </c>
      <c r="R3661" s="1">
        <v>25</v>
      </c>
      <c r="S3661" s="1">
        <v>0</v>
      </c>
      <c r="T3661" s="1">
        <v>0</v>
      </c>
      <c r="U3661" s="1">
        <v>0</v>
      </c>
      <c r="V3661" s="1" t="str">
        <f t="shared" si="691"/>
        <v>里程去程</v>
      </c>
      <c r="W3661" s="1" t="str">
        <f>"0120"</f>
        <v>0120</v>
      </c>
      <c r="X3661" s="1" t="s">
        <v>35</v>
      </c>
    </row>
    <row r="3662" spans="1:24" x14ac:dyDescent="0.3">
      <c r="A3662" s="1" t="str">
        <f t="shared" si="688"/>
        <v>59820</v>
      </c>
      <c r="B3662" s="1" t="s">
        <v>53</v>
      </c>
      <c r="C3662" s="1" t="s">
        <v>54</v>
      </c>
      <c r="D3662" s="1" t="str">
        <f t="shared" si="690"/>
        <v>9803</v>
      </c>
      <c r="E3662" s="1" t="s">
        <v>32</v>
      </c>
      <c r="F3662" s="1" t="str">
        <f>"1189418837"</f>
        <v>1189418837</v>
      </c>
      <c r="G3662" s="1" t="s">
        <v>26</v>
      </c>
      <c r="H3662" s="1" t="str">
        <f t="shared" si="689"/>
        <v>20220916</v>
      </c>
      <c r="I3662" s="1" t="str">
        <f>"102751"</f>
        <v>102751</v>
      </c>
      <c r="J3662" s="1" t="s">
        <v>28</v>
      </c>
      <c r="K3662" s="1" t="s">
        <v>28</v>
      </c>
      <c r="L3662" s="1" t="str">
        <f t="shared" si="687"/>
        <v>20220916</v>
      </c>
      <c r="M3662" s="1" t="str">
        <f>"104642"</f>
        <v>104642</v>
      </c>
      <c r="N3662" s="1" t="s">
        <v>34</v>
      </c>
      <c r="O3662" s="1" t="s">
        <v>34</v>
      </c>
      <c r="P3662" s="1" t="s">
        <v>55</v>
      </c>
      <c r="Q3662" s="1">
        <v>13</v>
      </c>
      <c r="R3662" s="1">
        <v>13</v>
      </c>
      <c r="S3662" s="1">
        <v>0</v>
      </c>
      <c r="T3662" s="1">
        <v>0</v>
      </c>
      <c r="U3662" s="1">
        <v>0</v>
      </c>
      <c r="V3662" s="1" t="str">
        <f t="shared" si="691"/>
        <v>里程去程</v>
      </c>
      <c r="W3662" s="1" t="str">
        <f>"1420"</f>
        <v>1420</v>
      </c>
      <c r="X3662" s="1" t="s">
        <v>35</v>
      </c>
    </row>
    <row r="3663" spans="1:24" x14ac:dyDescent="0.3">
      <c r="A3663" s="1" t="str">
        <f t="shared" si="688"/>
        <v>59820</v>
      </c>
      <c r="B3663" s="1" t="s">
        <v>53</v>
      </c>
      <c r="C3663" s="1" t="s">
        <v>54</v>
      </c>
      <c r="D3663" s="1" t="str">
        <f t="shared" si="690"/>
        <v>9803</v>
      </c>
      <c r="E3663" s="1" t="s">
        <v>32</v>
      </c>
      <c r="F3663" s="1" t="str">
        <f>"351834225"</f>
        <v>351834225</v>
      </c>
      <c r="G3663" s="1" t="s">
        <v>33</v>
      </c>
      <c r="H3663" s="1" t="str">
        <f t="shared" si="689"/>
        <v>20220916</v>
      </c>
      <c r="I3663" s="1" t="str">
        <f>"102755"</f>
        <v>102755</v>
      </c>
      <c r="J3663" s="1" t="s">
        <v>28</v>
      </c>
      <c r="K3663" s="1" t="s">
        <v>28</v>
      </c>
      <c r="L3663" s="1" t="str">
        <f t="shared" si="687"/>
        <v>20220916</v>
      </c>
      <c r="M3663" s="1" t="str">
        <f>"104706"</f>
        <v>104706</v>
      </c>
      <c r="N3663" s="1" t="s">
        <v>34</v>
      </c>
      <c r="O3663" s="1" t="s">
        <v>34</v>
      </c>
      <c r="P3663" s="1" t="s">
        <v>55</v>
      </c>
      <c r="Q3663" s="1">
        <v>25</v>
      </c>
      <c r="R3663" s="1">
        <v>0</v>
      </c>
      <c r="S3663" s="1">
        <v>25</v>
      </c>
      <c r="T3663" s="1">
        <v>0</v>
      </c>
      <c r="U3663" s="1">
        <v>0</v>
      </c>
      <c r="V3663" s="1" t="str">
        <f t="shared" si="691"/>
        <v>里程去程</v>
      </c>
      <c r="W3663" s="1" t="str">
        <f>"0820"</f>
        <v>0820</v>
      </c>
      <c r="X3663" s="1" t="s">
        <v>35</v>
      </c>
    </row>
    <row r="3664" spans="1:24" x14ac:dyDescent="0.3">
      <c r="A3664" s="1" t="str">
        <f t="shared" si="688"/>
        <v>59820</v>
      </c>
      <c r="B3664" s="1" t="s">
        <v>53</v>
      </c>
      <c r="C3664" s="1" t="s">
        <v>54</v>
      </c>
      <c r="D3664" s="1" t="str">
        <f t="shared" si="690"/>
        <v>9803</v>
      </c>
      <c r="E3664" s="1" t="s">
        <v>32</v>
      </c>
      <c r="F3664" s="1" t="str">
        <f>"9517171006196447"</f>
        <v>9517171006196447</v>
      </c>
      <c r="G3664" s="1" t="s">
        <v>33</v>
      </c>
      <c r="H3664" s="1" t="str">
        <f t="shared" si="689"/>
        <v>20220916</v>
      </c>
      <c r="I3664" s="1" t="str">
        <f>"102834"</f>
        <v>102834</v>
      </c>
      <c r="J3664" s="1" t="s">
        <v>28</v>
      </c>
      <c r="K3664" s="1" t="s">
        <v>28</v>
      </c>
      <c r="L3664" s="1" t="str">
        <f t="shared" si="687"/>
        <v>20220916</v>
      </c>
      <c r="M3664" s="1" t="str">
        <f>"104646"</f>
        <v>104646</v>
      </c>
      <c r="N3664" s="1" t="s">
        <v>34</v>
      </c>
      <c r="O3664" s="1" t="s">
        <v>34</v>
      </c>
      <c r="P3664" s="1" t="s">
        <v>55</v>
      </c>
      <c r="Q3664" s="1">
        <v>25</v>
      </c>
      <c r="R3664" s="1">
        <v>0</v>
      </c>
      <c r="S3664" s="1">
        <v>25</v>
      </c>
      <c r="T3664" s="1">
        <v>0</v>
      </c>
      <c r="U3664" s="1">
        <v>0</v>
      </c>
      <c r="V3664" s="1" t="str">
        <f t="shared" si="691"/>
        <v>里程去程</v>
      </c>
      <c r="W3664" s="1" t="str">
        <f>"083B"</f>
        <v>083B</v>
      </c>
      <c r="X3664" s="1" t="s">
        <v>109</v>
      </c>
    </row>
    <row r="3665" spans="1:24" x14ac:dyDescent="0.3">
      <c r="A3665" s="1" t="str">
        <f t="shared" si="688"/>
        <v>59820</v>
      </c>
      <c r="B3665" s="1" t="s">
        <v>53</v>
      </c>
      <c r="C3665" s="1" t="s">
        <v>54</v>
      </c>
      <c r="D3665" s="1" t="str">
        <f t="shared" si="690"/>
        <v>9803</v>
      </c>
      <c r="E3665" s="1" t="s">
        <v>32</v>
      </c>
      <c r="F3665" s="1" t="str">
        <f>"825769041"</f>
        <v>825769041</v>
      </c>
      <c r="G3665" s="1" t="s">
        <v>33</v>
      </c>
      <c r="H3665" s="1" t="str">
        <f t="shared" si="689"/>
        <v>20220916</v>
      </c>
      <c r="I3665" s="1" t="str">
        <f>"112947"</f>
        <v>112947</v>
      </c>
      <c r="J3665" s="1" t="s">
        <v>28</v>
      </c>
      <c r="K3665" s="1" t="s">
        <v>28</v>
      </c>
      <c r="L3665" s="1" t="str">
        <f t="shared" si="687"/>
        <v>20220916</v>
      </c>
      <c r="M3665" s="1" t="str">
        <f>"115622"</f>
        <v>115622</v>
      </c>
      <c r="N3665" s="1" t="s">
        <v>34</v>
      </c>
      <c r="O3665" s="1" t="s">
        <v>34</v>
      </c>
      <c r="P3665" s="1" t="s">
        <v>55</v>
      </c>
      <c r="Q3665" s="1">
        <v>25</v>
      </c>
      <c r="R3665" s="1">
        <v>25</v>
      </c>
      <c r="S3665" s="1">
        <v>0</v>
      </c>
      <c r="T3665" s="1">
        <v>0</v>
      </c>
      <c r="U3665" s="1">
        <v>0</v>
      </c>
      <c r="V3665" s="1" t="str">
        <f t="shared" si="691"/>
        <v>里程去程</v>
      </c>
      <c r="W3665" s="1" t="str">
        <f>"0120"</f>
        <v>0120</v>
      </c>
      <c r="X3665" s="1" t="s">
        <v>35</v>
      </c>
    </row>
    <row r="3666" spans="1:24" x14ac:dyDescent="0.3">
      <c r="A3666" s="1" t="str">
        <f t="shared" si="688"/>
        <v>59820</v>
      </c>
      <c r="B3666" s="1" t="s">
        <v>53</v>
      </c>
      <c r="C3666" s="1" t="s">
        <v>54</v>
      </c>
      <c r="D3666" s="1" t="str">
        <f t="shared" si="690"/>
        <v>9803</v>
      </c>
      <c r="E3666" s="1" t="s">
        <v>32</v>
      </c>
      <c r="F3666" s="1" t="str">
        <f>"540508273"</f>
        <v>540508273</v>
      </c>
      <c r="G3666" s="1" t="s">
        <v>26</v>
      </c>
      <c r="H3666" s="1" t="str">
        <f t="shared" si="689"/>
        <v>20220916</v>
      </c>
      <c r="I3666" s="1" t="str">
        <f>"113000"</f>
        <v>113000</v>
      </c>
      <c r="J3666" s="1" t="s">
        <v>28</v>
      </c>
      <c r="K3666" s="1" t="s">
        <v>28</v>
      </c>
      <c r="L3666" s="1" t="str">
        <f t="shared" si="687"/>
        <v>20220916</v>
      </c>
      <c r="M3666" s="1" t="str">
        <f>"120011"</f>
        <v>120011</v>
      </c>
      <c r="N3666" s="1" t="s">
        <v>34</v>
      </c>
      <c r="O3666" s="1" t="s">
        <v>34</v>
      </c>
      <c r="P3666" s="1" t="s">
        <v>55</v>
      </c>
      <c r="Q3666" s="1">
        <v>13</v>
      </c>
      <c r="R3666" s="1">
        <v>13</v>
      </c>
      <c r="S3666" s="1">
        <v>0</v>
      </c>
      <c r="T3666" s="1">
        <v>0</v>
      </c>
      <c r="U3666" s="1">
        <v>0</v>
      </c>
      <c r="V3666" s="1" t="str">
        <f t="shared" si="691"/>
        <v>里程去程</v>
      </c>
      <c r="W3666" s="1" t="str">
        <f>"0120"</f>
        <v>0120</v>
      </c>
      <c r="X3666" s="1" t="s">
        <v>35</v>
      </c>
    </row>
    <row r="3667" spans="1:24" x14ac:dyDescent="0.3">
      <c r="A3667" s="1" t="str">
        <f t="shared" si="688"/>
        <v>59820</v>
      </c>
      <c r="B3667" s="1" t="s">
        <v>53</v>
      </c>
      <c r="C3667" s="1" t="s">
        <v>54</v>
      </c>
      <c r="D3667" s="1" t="str">
        <f t="shared" si="690"/>
        <v>9803</v>
      </c>
      <c r="E3667" s="1" t="s">
        <v>32</v>
      </c>
      <c r="F3667" s="1" t="str">
        <f>"1111529445"</f>
        <v>1111529445</v>
      </c>
      <c r="G3667" s="1" t="s">
        <v>33</v>
      </c>
      <c r="H3667" s="1" t="str">
        <f t="shared" si="689"/>
        <v>20220916</v>
      </c>
      <c r="I3667" s="1" t="str">
        <f>"113013"</f>
        <v>113013</v>
      </c>
      <c r="J3667" s="1" t="s">
        <v>28</v>
      </c>
      <c r="K3667" s="1" t="s">
        <v>28</v>
      </c>
      <c r="L3667" s="1" t="str">
        <f t="shared" si="687"/>
        <v>20220916</v>
      </c>
      <c r="M3667" s="1" t="str">
        <f>"120001"</f>
        <v>120001</v>
      </c>
      <c r="N3667" s="1" t="s">
        <v>34</v>
      </c>
      <c r="O3667" s="1" t="s">
        <v>34</v>
      </c>
      <c r="P3667" s="1" t="s">
        <v>55</v>
      </c>
      <c r="Q3667" s="1">
        <v>25</v>
      </c>
      <c r="R3667" s="1">
        <v>25</v>
      </c>
      <c r="S3667" s="1">
        <v>0</v>
      </c>
      <c r="T3667" s="1">
        <v>0</v>
      </c>
      <c r="U3667" s="1">
        <v>0</v>
      </c>
      <c r="V3667" s="1" t="str">
        <f t="shared" si="691"/>
        <v>里程去程</v>
      </c>
      <c r="W3667" s="1" t="str">
        <f>"1920"</f>
        <v>1920</v>
      </c>
      <c r="X3667" s="1" t="s">
        <v>35</v>
      </c>
    </row>
    <row r="3668" spans="1:24" x14ac:dyDescent="0.3">
      <c r="A3668" s="1" t="str">
        <f t="shared" si="688"/>
        <v>59820</v>
      </c>
      <c r="B3668" s="1" t="s">
        <v>53</v>
      </c>
      <c r="C3668" s="1" t="s">
        <v>54</v>
      </c>
      <c r="D3668" s="1" t="str">
        <f t="shared" si="690"/>
        <v>9803</v>
      </c>
      <c r="E3668" s="1" t="s">
        <v>32</v>
      </c>
      <c r="F3668" s="1" t="str">
        <f>"2903599784"</f>
        <v>2903599784</v>
      </c>
      <c r="G3668" s="1" t="s">
        <v>33</v>
      </c>
      <c r="H3668" s="1" t="str">
        <f t="shared" si="689"/>
        <v>20220916</v>
      </c>
      <c r="I3668" s="1" t="str">
        <f>"113015"</f>
        <v>113015</v>
      </c>
      <c r="J3668" s="1" t="s">
        <v>28</v>
      </c>
      <c r="K3668" s="1" t="s">
        <v>28</v>
      </c>
      <c r="L3668" s="1" t="str">
        <f t="shared" si="687"/>
        <v>20220916</v>
      </c>
      <c r="M3668" s="1" t="str">
        <f>"120004"</f>
        <v>120004</v>
      </c>
      <c r="N3668" s="1" t="s">
        <v>34</v>
      </c>
      <c r="O3668" s="1" t="s">
        <v>34</v>
      </c>
      <c r="P3668" s="1" t="s">
        <v>55</v>
      </c>
      <c r="Q3668" s="1">
        <v>25</v>
      </c>
      <c r="R3668" s="1">
        <v>25</v>
      </c>
      <c r="S3668" s="1">
        <v>0</v>
      </c>
      <c r="T3668" s="1">
        <v>0</v>
      </c>
      <c r="U3668" s="1">
        <v>0</v>
      </c>
      <c r="V3668" s="1" t="str">
        <f t="shared" si="691"/>
        <v>里程去程</v>
      </c>
      <c r="W3668" s="1" t="str">
        <f>"1920"</f>
        <v>1920</v>
      </c>
      <c r="X3668" s="1" t="s">
        <v>35</v>
      </c>
    </row>
    <row r="3669" spans="1:24" x14ac:dyDescent="0.3">
      <c r="A3669" s="1" t="str">
        <f t="shared" si="688"/>
        <v>59820</v>
      </c>
      <c r="B3669" s="1" t="s">
        <v>53</v>
      </c>
      <c r="C3669" s="1" t="s">
        <v>54</v>
      </c>
      <c r="D3669" s="1" t="str">
        <f t="shared" si="690"/>
        <v>9803</v>
      </c>
      <c r="E3669" s="1" t="s">
        <v>32</v>
      </c>
      <c r="F3669" s="1" t="str">
        <f>"3759005143"</f>
        <v>3759005143</v>
      </c>
      <c r="G3669" s="1" t="s">
        <v>33</v>
      </c>
      <c r="H3669" s="1" t="str">
        <f t="shared" si="689"/>
        <v>20220916</v>
      </c>
      <c r="I3669" s="1" t="str">
        <f>"113026"</f>
        <v>113026</v>
      </c>
      <c r="J3669" s="1" t="s">
        <v>28</v>
      </c>
      <c r="K3669" s="1" t="s">
        <v>28</v>
      </c>
      <c r="L3669" s="1" t="str">
        <f t="shared" si="687"/>
        <v>20220916</v>
      </c>
      <c r="M3669" s="1" t="str">
        <f>"115908"</f>
        <v>115908</v>
      </c>
      <c r="N3669" s="1" t="s">
        <v>34</v>
      </c>
      <c r="O3669" s="1" t="s">
        <v>34</v>
      </c>
      <c r="P3669" s="1" t="s">
        <v>55</v>
      </c>
      <c r="Q3669" s="1">
        <v>25</v>
      </c>
      <c r="R3669" s="1">
        <v>25</v>
      </c>
      <c r="S3669" s="1">
        <v>0</v>
      </c>
      <c r="T3669" s="1">
        <v>0</v>
      </c>
      <c r="U3669" s="1">
        <v>0</v>
      </c>
      <c r="V3669" s="1" t="str">
        <f t="shared" si="691"/>
        <v>里程去程</v>
      </c>
      <c r="W3669" s="1" t="str">
        <f>"0320"</f>
        <v>0320</v>
      </c>
      <c r="X3669" s="1" t="s">
        <v>35</v>
      </c>
    </row>
    <row r="3670" spans="1:24" x14ac:dyDescent="0.3">
      <c r="A3670" s="1" t="str">
        <f t="shared" si="688"/>
        <v>59820</v>
      </c>
      <c r="B3670" s="1" t="s">
        <v>53</v>
      </c>
      <c r="C3670" s="1" t="s">
        <v>54</v>
      </c>
      <c r="D3670" s="1" t="str">
        <f t="shared" si="690"/>
        <v>9803</v>
      </c>
      <c r="E3670" s="1" t="s">
        <v>32</v>
      </c>
      <c r="F3670" s="1" t="str">
        <f>"1029918586"</f>
        <v>1029918586</v>
      </c>
      <c r="G3670" s="1" t="s">
        <v>33</v>
      </c>
      <c r="H3670" s="1" t="str">
        <f t="shared" si="689"/>
        <v>20220916</v>
      </c>
      <c r="I3670" s="1" t="str">
        <f>"113029"</f>
        <v>113029</v>
      </c>
      <c r="J3670" s="1" t="s">
        <v>28</v>
      </c>
      <c r="K3670" s="1" t="s">
        <v>28</v>
      </c>
      <c r="L3670" s="1" t="str">
        <f t="shared" si="687"/>
        <v>20220916</v>
      </c>
      <c r="M3670" s="1" t="str">
        <f>"120025"</f>
        <v>120025</v>
      </c>
      <c r="N3670" s="1" t="s">
        <v>34</v>
      </c>
      <c r="O3670" s="1" t="s">
        <v>34</v>
      </c>
      <c r="P3670" s="1" t="s">
        <v>55</v>
      </c>
      <c r="Q3670" s="1">
        <v>25</v>
      </c>
      <c r="R3670" s="1">
        <v>25</v>
      </c>
      <c r="S3670" s="1">
        <v>0</v>
      </c>
      <c r="T3670" s="1">
        <v>0</v>
      </c>
      <c r="U3670" s="1">
        <v>0</v>
      </c>
      <c r="V3670" s="1" t="str">
        <f t="shared" si="691"/>
        <v>里程去程</v>
      </c>
      <c r="W3670" s="1" t="str">
        <f>"0620"</f>
        <v>0620</v>
      </c>
      <c r="X3670" s="1" t="s">
        <v>35</v>
      </c>
    </row>
    <row r="3671" spans="1:24" x14ac:dyDescent="0.3">
      <c r="A3671" s="1" t="str">
        <f t="shared" si="688"/>
        <v>59820</v>
      </c>
      <c r="B3671" s="1" t="s">
        <v>53</v>
      </c>
      <c r="C3671" s="1" t="s">
        <v>54</v>
      </c>
      <c r="D3671" s="1" t="str">
        <f t="shared" si="690"/>
        <v>9803</v>
      </c>
      <c r="E3671" s="1" t="s">
        <v>32</v>
      </c>
      <c r="F3671" s="1" t="str">
        <f>"1158160363"</f>
        <v>1158160363</v>
      </c>
      <c r="G3671" s="1" t="s">
        <v>33</v>
      </c>
      <c r="H3671" s="1" t="str">
        <f t="shared" si="689"/>
        <v>20220916</v>
      </c>
      <c r="I3671" s="1" t="str">
        <f>"113037"</f>
        <v>113037</v>
      </c>
      <c r="J3671" s="1" t="s">
        <v>28</v>
      </c>
      <c r="K3671" s="1" t="s">
        <v>28</v>
      </c>
      <c r="L3671" s="1" t="str">
        <f t="shared" si="687"/>
        <v>20220916</v>
      </c>
      <c r="M3671" s="1" t="str">
        <f>"115931"</f>
        <v>115931</v>
      </c>
      <c r="N3671" s="1" t="s">
        <v>34</v>
      </c>
      <c r="O3671" s="1" t="s">
        <v>34</v>
      </c>
      <c r="P3671" s="1" t="s">
        <v>55</v>
      </c>
      <c r="Q3671" s="1">
        <v>25</v>
      </c>
      <c r="R3671" s="1">
        <v>25</v>
      </c>
      <c r="S3671" s="1">
        <v>0</v>
      </c>
      <c r="T3671" s="1">
        <v>0</v>
      </c>
      <c r="U3671" s="1">
        <v>0</v>
      </c>
      <c r="V3671" s="1" t="str">
        <f t="shared" si="691"/>
        <v>里程去程</v>
      </c>
      <c r="W3671" s="1" t="str">
        <f>"0320"</f>
        <v>0320</v>
      </c>
      <c r="X3671" s="1" t="s">
        <v>35</v>
      </c>
    </row>
    <row r="3672" spans="1:24" x14ac:dyDescent="0.3">
      <c r="A3672" s="1" t="str">
        <f t="shared" si="688"/>
        <v>59820</v>
      </c>
      <c r="B3672" s="1" t="s">
        <v>53</v>
      </c>
      <c r="C3672" s="1" t="s">
        <v>54</v>
      </c>
      <c r="D3672" s="1" t="str">
        <f t="shared" si="690"/>
        <v>9803</v>
      </c>
      <c r="E3672" s="1" t="s">
        <v>32</v>
      </c>
      <c r="F3672" s="1" t="str">
        <f>"1455241105"</f>
        <v>1455241105</v>
      </c>
      <c r="G3672" s="1" t="s">
        <v>33</v>
      </c>
      <c r="H3672" s="1" t="str">
        <f t="shared" si="689"/>
        <v>20220916</v>
      </c>
      <c r="I3672" s="1" t="str">
        <f>"113052"</f>
        <v>113052</v>
      </c>
      <c r="J3672" s="1" t="s">
        <v>28</v>
      </c>
      <c r="K3672" s="1" t="s">
        <v>28</v>
      </c>
      <c r="L3672" s="1" t="str">
        <f t="shared" si="687"/>
        <v>20220916</v>
      </c>
      <c r="M3672" s="1" t="str">
        <f>"115921"</f>
        <v>115921</v>
      </c>
      <c r="N3672" s="1" t="s">
        <v>34</v>
      </c>
      <c r="O3672" s="1" t="s">
        <v>34</v>
      </c>
      <c r="P3672" s="1" t="s">
        <v>55</v>
      </c>
      <c r="Q3672" s="1">
        <v>25</v>
      </c>
      <c r="R3672" s="1">
        <v>25</v>
      </c>
      <c r="S3672" s="1">
        <v>0</v>
      </c>
      <c r="T3672" s="1">
        <v>0</v>
      </c>
      <c r="U3672" s="1">
        <v>0</v>
      </c>
      <c r="V3672" s="1" t="str">
        <f t="shared" si="691"/>
        <v>里程去程</v>
      </c>
      <c r="W3672" s="1" t="str">
        <f>"0620"</f>
        <v>0620</v>
      </c>
      <c r="X3672" s="1" t="s">
        <v>35</v>
      </c>
    </row>
    <row r="3673" spans="1:24" x14ac:dyDescent="0.3">
      <c r="A3673" s="1" t="str">
        <f t="shared" si="688"/>
        <v>59820</v>
      </c>
      <c r="B3673" s="1" t="s">
        <v>53</v>
      </c>
      <c r="C3673" s="1" t="s">
        <v>54</v>
      </c>
      <c r="D3673" s="1" t="str">
        <f t="shared" si="690"/>
        <v>9803</v>
      </c>
      <c r="E3673" s="1" t="s">
        <v>32</v>
      </c>
      <c r="F3673" s="1" t="str">
        <f>"1067682472"</f>
        <v>1067682472</v>
      </c>
      <c r="G3673" s="1" t="s">
        <v>33</v>
      </c>
      <c r="H3673" s="1" t="str">
        <f t="shared" si="689"/>
        <v>20220916</v>
      </c>
      <c r="I3673" s="1" t="str">
        <f>"113118"</f>
        <v>113118</v>
      </c>
      <c r="J3673" s="1" t="s">
        <v>28</v>
      </c>
      <c r="K3673" s="1" t="s">
        <v>28</v>
      </c>
      <c r="L3673" s="1" t="str">
        <f>""</f>
        <v/>
      </c>
      <c r="M3673" s="1" t="str">
        <f>""</f>
        <v/>
      </c>
      <c r="P3673" s="1" t="s">
        <v>88</v>
      </c>
      <c r="Q3673" s="1">
        <v>25</v>
      </c>
      <c r="R3673" s="1">
        <v>25</v>
      </c>
      <c r="S3673" s="1">
        <v>0</v>
      </c>
      <c r="T3673" s="1">
        <v>0</v>
      </c>
      <c r="U3673" s="1">
        <v>0</v>
      </c>
      <c r="V3673" s="1" t="str">
        <f t="shared" si="691"/>
        <v>里程去程</v>
      </c>
      <c r="W3673" s="1" t="str">
        <f>"0620"</f>
        <v>0620</v>
      </c>
      <c r="X3673" s="1" t="s">
        <v>35</v>
      </c>
    </row>
    <row r="3674" spans="1:24" x14ac:dyDescent="0.3">
      <c r="A3674" s="1" t="str">
        <f t="shared" si="688"/>
        <v>59820</v>
      </c>
      <c r="B3674" s="1" t="s">
        <v>53</v>
      </c>
      <c r="C3674" s="1" t="s">
        <v>54</v>
      </c>
      <c r="D3674" s="1" t="str">
        <f t="shared" si="690"/>
        <v>9803</v>
      </c>
      <c r="E3674" s="1" t="s">
        <v>32</v>
      </c>
      <c r="F3674" s="1" t="str">
        <f>"1126894257"</f>
        <v>1126894257</v>
      </c>
      <c r="G3674" s="1" t="s">
        <v>33</v>
      </c>
      <c r="H3674" s="1" t="str">
        <f t="shared" si="689"/>
        <v>20220916</v>
      </c>
      <c r="I3674" s="1" t="str">
        <f>"113141"</f>
        <v>113141</v>
      </c>
      <c r="J3674" s="1" t="s">
        <v>28</v>
      </c>
      <c r="K3674" s="1" t="s">
        <v>28</v>
      </c>
      <c r="L3674" s="1" t="str">
        <f t="shared" ref="L3674:L3737" si="692">"20220916"</f>
        <v>20220916</v>
      </c>
      <c r="M3674" s="1" t="str">
        <f>"115939"</f>
        <v>115939</v>
      </c>
      <c r="N3674" s="1" t="s">
        <v>34</v>
      </c>
      <c r="O3674" s="1" t="s">
        <v>34</v>
      </c>
      <c r="P3674" s="1" t="s">
        <v>55</v>
      </c>
      <c r="Q3674" s="1">
        <v>25</v>
      </c>
      <c r="R3674" s="1">
        <v>25</v>
      </c>
      <c r="S3674" s="1">
        <v>0</v>
      </c>
      <c r="T3674" s="1">
        <v>0</v>
      </c>
      <c r="U3674" s="1">
        <v>0</v>
      </c>
      <c r="V3674" s="1" t="str">
        <f t="shared" si="691"/>
        <v>里程去程</v>
      </c>
      <c r="W3674" s="1" t="str">
        <f>"0220"</f>
        <v>0220</v>
      </c>
      <c r="X3674" s="1" t="s">
        <v>35</v>
      </c>
    </row>
    <row r="3675" spans="1:24" x14ac:dyDescent="0.3">
      <c r="A3675" s="1" t="str">
        <f t="shared" si="688"/>
        <v>59820</v>
      </c>
      <c r="B3675" s="1" t="s">
        <v>53</v>
      </c>
      <c r="C3675" s="1" t="s">
        <v>54</v>
      </c>
      <c r="D3675" s="1" t="str">
        <f t="shared" si="690"/>
        <v>9803</v>
      </c>
      <c r="E3675" s="1" t="s">
        <v>32</v>
      </c>
      <c r="F3675" s="1" t="str">
        <f>"988754977"</f>
        <v>988754977</v>
      </c>
      <c r="G3675" s="1" t="s">
        <v>33</v>
      </c>
      <c r="H3675" s="1" t="str">
        <f t="shared" si="689"/>
        <v>20220916</v>
      </c>
      <c r="I3675" s="1" t="str">
        <f>"113147"</f>
        <v>113147</v>
      </c>
      <c r="J3675" s="1" t="s">
        <v>28</v>
      </c>
      <c r="K3675" s="1" t="s">
        <v>28</v>
      </c>
      <c r="L3675" s="1" t="str">
        <f t="shared" si="692"/>
        <v>20220916</v>
      </c>
      <c r="M3675" s="1" t="str">
        <f>"115914"</f>
        <v>115914</v>
      </c>
      <c r="N3675" s="1" t="s">
        <v>34</v>
      </c>
      <c r="O3675" s="1" t="s">
        <v>34</v>
      </c>
      <c r="P3675" s="1" t="s">
        <v>55</v>
      </c>
      <c r="Q3675" s="1">
        <v>25</v>
      </c>
      <c r="R3675" s="1">
        <v>25</v>
      </c>
      <c r="S3675" s="1">
        <v>0</v>
      </c>
      <c r="T3675" s="1">
        <v>0</v>
      </c>
      <c r="U3675" s="1">
        <v>0</v>
      </c>
      <c r="V3675" s="1" t="str">
        <f t="shared" si="691"/>
        <v>里程去程</v>
      </c>
      <c r="W3675" s="1" t="str">
        <f>"2320"</f>
        <v>2320</v>
      </c>
      <c r="X3675" s="1" t="s">
        <v>35</v>
      </c>
    </row>
    <row r="3676" spans="1:24" x14ac:dyDescent="0.3">
      <c r="A3676" s="1" t="str">
        <f t="shared" ref="A3676:A3707" si="693">"59820"</f>
        <v>59820</v>
      </c>
      <c r="B3676" s="1" t="s">
        <v>53</v>
      </c>
      <c r="C3676" s="1" t="s">
        <v>54</v>
      </c>
      <c r="D3676" s="1" t="str">
        <f t="shared" si="690"/>
        <v>9803</v>
      </c>
      <c r="E3676" s="1" t="s">
        <v>32</v>
      </c>
      <c r="F3676" s="1" t="str">
        <f>"1464042817"</f>
        <v>1464042817</v>
      </c>
      <c r="G3676" s="1" t="s">
        <v>33</v>
      </c>
      <c r="H3676" s="1" t="str">
        <f t="shared" si="689"/>
        <v>20220916</v>
      </c>
      <c r="I3676" s="1" t="str">
        <f>"113158"</f>
        <v>113158</v>
      </c>
      <c r="J3676" s="1" t="s">
        <v>28</v>
      </c>
      <c r="K3676" s="1" t="s">
        <v>28</v>
      </c>
      <c r="L3676" s="1" t="str">
        <f t="shared" si="692"/>
        <v>20220916</v>
      </c>
      <c r="M3676" s="1" t="str">
        <f>"115846"</f>
        <v>115846</v>
      </c>
      <c r="N3676" s="1" t="s">
        <v>34</v>
      </c>
      <c r="O3676" s="1" t="s">
        <v>34</v>
      </c>
      <c r="P3676" s="1" t="s">
        <v>55</v>
      </c>
      <c r="Q3676" s="1">
        <v>25</v>
      </c>
      <c r="R3676" s="1">
        <v>25</v>
      </c>
      <c r="S3676" s="1">
        <v>0</v>
      </c>
      <c r="T3676" s="1">
        <v>0</v>
      </c>
      <c r="U3676" s="1">
        <v>0</v>
      </c>
      <c r="V3676" s="1" t="str">
        <f t="shared" si="691"/>
        <v>里程去程</v>
      </c>
      <c r="W3676" s="1" t="str">
        <f>"0120"</f>
        <v>0120</v>
      </c>
      <c r="X3676" s="1" t="s">
        <v>35</v>
      </c>
    </row>
    <row r="3677" spans="1:24" x14ac:dyDescent="0.3">
      <c r="A3677" s="1" t="str">
        <f t="shared" si="693"/>
        <v>59820</v>
      </c>
      <c r="B3677" s="1" t="s">
        <v>53</v>
      </c>
      <c r="C3677" s="1" t="s">
        <v>54</v>
      </c>
      <c r="D3677" s="1" t="str">
        <f t="shared" si="690"/>
        <v>9803</v>
      </c>
      <c r="E3677" s="1" t="s">
        <v>32</v>
      </c>
      <c r="F3677" s="1" t="str">
        <f>"1576599951"</f>
        <v>1576599951</v>
      </c>
      <c r="G3677" s="1" t="s">
        <v>33</v>
      </c>
      <c r="H3677" s="1" t="str">
        <f t="shared" si="689"/>
        <v>20220916</v>
      </c>
      <c r="I3677" s="1" t="str">
        <f>"113247"</f>
        <v>113247</v>
      </c>
      <c r="J3677" s="1" t="s">
        <v>28</v>
      </c>
      <c r="K3677" s="1" t="s">
        <v>28</v>
      </c>
      <c r="L3677" s="1" t="str">
        <f t="shared" si="692"/>
        <v>20220916</v>
      </c>
      <c r="M3677" s="1" t="str">
        <f>"115750"</f>
        <v>115750</v>
      </c>
      <c r="N3677" s="1" t="s">
        <v>34</v>
      </c>
      <c r="O3677" s="1" t="s">
        <v>34</v>
      </c>
      <c r="P3677" s="1" t="s">
        <v>55</v>
      </c>
      <c r="Q3677" s="1">
        <v>25</v>
      </c>
      <c r="R3677" s="1">
        <v>25</v>
      </c>
      <c r="S3677" s="1">
        <v>0</v>
      </c>
      <c r="T3677" s="1">
        <v>0</v>
      </c>
      <c r="U3677" s="1">
        <v>0</v>
      </c>
      <c r="V3677" s="1" t="str">
        <f t="shared" si="691"/>
        <v>里程去程</v>
      </c>
      <c r="W3677" s="1" t="str">
        <f>"0120"</f>
        <v>0120</v>
      </c>
      <c r="X3677" s="1" t="s">
        <v>35</v>
      </c>
    </row>
    <row r="3678" spans="1:24" x14ac:dyDescent="0.3">
      <c r="A3678" s="1" t="str">
        <f t="shared" si="693"/>
        <v>59820</v>
      </c>
      <c r="B3678" s="1" t="s">
        <v>53</v>
      </c>
      <c r="C3678" s="1" t="s">
        <v>54</v>
      </c>
      <c r="D3678" s="1" t="str">
        <f t="shared" si="690"/>
        <v>9803</v>
      </c>
      <c r="E3678" s="1" t="s">
        <v>32</v>
      </c>
      <c r="F3678" s="1" t="str">
        <f>"259682977"</f>
        <v>259682977</v>
      </c>
      <c r="G3678" s="1" t="s">
        <v>33</v>
      </c>
      <c r="H3678" s="1" t="str">
        <f t="shared" si="689"/>
        <v>20220916</v>
      </c>
      <c r="I3678" s="1" t="str">
        <f>"113249"</f>
        <v>113249</v>
      </c>
      <c r="J3678" s="1" t="s">
        <v>28</v>
      </c>
      <c r="K3678" s="1" t="s">
        <v>28</v>
      </c>
      <c r="L3678" s="1" t="str">
        <f t="shared" si="692"/>
        <v>20220916</v>
      </c>
      <c r="M3678" s="1" t="str">
        <f>"115747"</f>
        <v>115747</v>
      </c>
      <c r="N3678" s="1" t="s">
        <v>34</v>
      </c>
      <c r="O3678" s="1" t="s">
        <v>34</v>
      </c>
      <c r="P3678" s="1" t="s">
        <v>55</v>
      </c>
      <c r="Q3678" s="1">
        <v>25</v>
      </c>
      <c r="R3678" s="1">
        <v>25</v>
      </c>
      <c r="S3678" s="1">
        <v>0</v>
      </c>
      <c r="T3678" s="1">
        <v>0</v>
      </c>
      <c r="U3678" s="1">
        <v>0</v>
      </c>
      <c r="V3678" s="1" t="str">
        <f t="shared" si="691"/>
        <v>里程去程</v>
      </c>
      <c r="W3678" s="1" t="str">
        <f>"0120"</f>
        <v>0120</v>
      </c>
      <c r="X3678" s="1" t="s">
        <v>35</v>
      </c>
    </row>
    <row r="3679" spans="1:24" x14ac:dyDescent="0.3">
      <c r="A3679" s="1" t="str">
        <f t="shared" si="693"/>
        <v>59820</v>
      </c>
      <c r="B3679" s="1" t="s">
        <v>53</v>
      </c>
      <c r="C3679" s="1" t="s">
        <v>54</v>
      </c>
      <c r="D3679" s="1" t="str">
        <f t="shared" si="690"/>
        <v>9803</v>
      </c>
      <c r="E3679" s="1" t="s">
        <v>32</v>
      </c>
      <c r="F3679" s="1" t="str">
        <f>"716CDC4A8B280400F700000000000000"</f>
        <v>716CDC4A8B280400F700000000000000</v>
      </c>
      <c r="G3679" s="1" t="s">
        <v>58</v>
      </c>
      <c r="H3679" s="1" t="str">
        <f t="shared" si="689"/>
        <v>20220916</v>
      </c>
      <c r="I3679" s="1" t="str">
        <f>"113256"</f>
        <v>113256</v>
      </c>
      <c r="J3679" s="1" t="s">
        <v>28</v>
      </c>
      <c r="K3679" s="1" t="s">
        <v>28</v>
      </c>
      <c r="L3679" s="1" t="str">
        <f t="shared" si="692"/>
        <v>20220916</v>
      </c>
      <c r="M3679" s="1" t="str">
        <f>"115839"</f>
        <v>115839</v>
      </c>
      <c r="N3679" s="1" t="s">
        <v>34</v>
      </c>
      <c r="O3679" s="1" t="s">
        <v>34</v>
      </c>
      <c r="P3679" s="1" t="s">
        <v>55</v>
      </c>
      <c r="Q3679" s="1">
        <v>25</v>
      </c>
      <c r="R3679" s="1">
        <v>25</v>
      </c>
      <c r="S3679" s="1">
        <v>0</v>
      </c>
      <c r="T3679" s="1">
        <v>0</v>
      </c>
      <c r="U3679" s="1">
        <v>0</v>
      </c>
      <c r="V3679" s="1" t="str">
        <f t="shared" si="691"/>
        <v>里程去程</v>
      </c>
      <c r="W3679" s="1" t="str">
        <f>"0020"</f>
        <v>0020</v>
      </c>
      <c r="X3679" s="1" t="s">
        <v>29</v>
      </c>
    </row>
    <row r="3680" spans="1:24" x14ac:dyDescent="0.3">
      <c r="A3680" s="1" t="str">
        <f t="shared" si="693"/>
        <v>59820</v>
      </c>
      <c r="B3680" s="1" t="s">
        <v>53</v>
      </c>
      <c r="C3680" s="1" t="s">
        <v>54</v>
      </c>
      <c r="D3680" s="1" t="str">
        <f t="shared" si="690"/>
        <v>9803</v>
      </c>
      <c r="E3680" s="1" t="s">
        <v>32</v>
      </c>
      <c r="F3680" s="1" t="str">
        <f>"165677877"</f>
        <v>165677877</v>
      </c>
      <c r="G3680" s="1" t="s">
        <v>33</v>
      </c>
      <c r="H3680" s="1" t="str">
        <f t="shared" si="689"/>
        <v>20220916</v>
      </c>
      <c r="I3680" s="1" t="str">
        <f>"113316"</f>
        <v>113316</v>
      </c>
      <c r="J3680" s="1" t="s">
        <v>28</v>
      </c>
      <c r="K3680" s="1" t="s">
        <v>28</v>
      </c>
      <c r="L3680" s="1" t="str">
        <f t="shared" si="692"/>
        <v>20220916</v>
      </c>
      <c r="M3680" s="1" t="str">
        <f>"115843"</f>
        <v>115843</v>
      </c>
      <c r="N3680" s="1" t="s">
        <v>34</v>
      </c>
      <c r="O3680" s="1" t="s">
        <v>34</v>
      </c>
      <c r="P3680" s="1" t="s">
        <v>55</v>
      </c>
      <c r="Q3680" s="1">
        <v>25</v>
      </c>
      <c r="R3680" s="1">
        <v>25</v>
      </c>
      <c r="S3680" s="1">
        <v>0</v>
      </c>
      <c r="T3680" s="1">
        <v>0</v>
      </c>
      <c r="U3680" s="1">
        <v>0</v>
      </c>
      <c r="V3680" s="1" t="str">
        <f t="shared" si="691"/>
        <v>里程去程</v>
      </c>
      <c r="W3680" s="1" t="str">
        <f>"1920"</f>
        <v>1920</v>
      </c>
      <c r="X3680" s="1" t="s">
        <v>35</v>
      </c>
    </row>
    <row r="3681" spans="1:24" x14ac:dyDescent="0.3">
      <c r="A3681" s="1" t="str">
        <f t="shared" si="693"/>
        <v>59820</v>
      </c>
      <c r="B3681" s="1" t="s">
        <v>53</v>
      </c>
      <c r="C3681" s="1" t="s">
        <v>54</v>
      </c>
      <c r="D3681" s="1" t="str">
        <f t="shared" ref="D3681:D3712" si="694">"9803"</f>
        <v>9803</v>
      </c>
      <c r="E3681" s="1" t="s">
        <v>32</v>
      </c>
      <c r="F3681" s="1" t="str">
        <f>"1074932305"</f>
        <v>1074932305</v>
      </c>
      <c r="G3681" s="1" t="s">
        <v>33</v>
      </c>
      <c r="H3681" s="1" t="str">
        <f t="shared" si="689"/>
        <v>20220916</v>
      </c>
      <c r="I3681" s="1" t="str">
        <f>"113324"</f>
        <v>113324</v>
      </c>
      <c r="J3681" s="1" t="s">
        <v>28</v>
      </c>
      <c r="K3681" s="1" t="s">
        <v>28</v>
      </c>
      <c r="L3681" s="1" t="str">
        <f t="shared" si="692"/>
        <v>20220916</v>
      </c>
      <c r="M3681" s="1" t="str">
        <f>"115619"</f>
        <v>115619</v>
      </c>
      <c r="N3681" s="1" t="s">
        <v>34</v>
      </c>
      <c r="O3681" s="1" t="s">
        <v>34</v>
      </c>
      <c r="P3681" s="1" t="s">
        <v>55</v>
      </c>
      <c r="Q3681" s="1">
        <v>25</v>
      </c>
      <c r="R3681" s="1">
        <v>25</v>
      </c>
      <c r="S3681" s="1">
        <v>0</v>
      </c>
      <c r="T3681" s="1">
        <v>0</v>
      </c>
      <c r="U3681" s="1">
        <v>0</v>
      </c>
      <c r="V3681" s="1" t="str">
        <f t="shared" si="691"/>
        <v>里程去程</v>
      </c>
      <c r="W3681" s="1" t="str">
        <f>"0220"</f>
        <v>0220</v>
      </c>
      <c r="X3681" s="1" t="s">
        <v>35</v>
      </c>
    </row>
    <row r="3682" spans="1:24" x14ac:dyDescent="0.3">
      <c r="A3682" s="1" t="str">
        <f t="shared" si="693"/>
        <v>59820</v>
      </c>
      <c r="B3682" s="1" t="s">
        <v>53</v>
      </c>
      <c r="C3682" s="1" t="s">
        <v>54</v>
      </c>
      <c r="D3682" s="1" t="str">
        <f t="shared" si="694"/>
        <v>9803</v>
      </c>
      <c r="E3682" s="1" t="s">
        <v>32</v>
      </c>
      <c r="F3682" s="1" t="str">
        <f>"2825648431"</f>
        <v>2825648431</v>
      </c>
      <c r="G3682" s="1" t="s">
        <v>33</v>
      </c>
      <c r="H3682" s="1" t="str">
        <f t="shared" si="689"/>
        <v>20220916</v>
      </c>
      <c r="I3682" s="1" t="str">
        <f>"113335"</f>
        <v>113335</v>
      </c>
      <c r="J3682" s="1" t="s">
        <v>28</v>
      </c>
      <c r="K3682" s="1" t="s">
        <v>28</v>
      </c>
      <c r="L3682" s="1" t="str">
        <f t="shared" si="692"/>
        <v>20220916</v>
      </c>
      <c r="M3682" s="1" t="str">
        <f>"115832"</f>
        <v>115832</v>
      </c>
      <c r="N3682" s="1" t="s">
        <v>34</v>
      </c>
      <c r="O3682" s="1" t="s">
        <v>34</v>
      </c>
      <c r="P3682" s="1" t="s">
        <v>55</v>
      </c>
      <c r="Q3682" s="1">
        <v>25</v>
      </c>
      <c r="R3682" s="1">
        <v>25</v>
      </c>
      <c r="S3682" s="1">
        <v>0</v>
      </c>
      <c r="T3682" s="1">
        <v>0</v>
      </c>
      <c r="U3682" s="1">
        <v>0</v>
      </c>
      <c r="V3682" s="1" t="str">
        <f t="shared" si="691"/>
        <v>里程去程</v>
      </c>
      <c r="W3682" s="1" t="str">
        <f>"0120"</f>
        <v>0120</v>
      </c>
      <c r="X3682" s="1" t="s">
        <v>35</v>
      </c>
    </row>
    <row r="3683" spans="1:24" x14ac:dyDescent="0.3">
      <c r="A3683" s="1" t="str">
        <f t="shared" si="693"/>
        <v>59820</v>
      </c>
      <c r="B3683" s="1" t="s">
        <v>53</v>
      </c>
      <c r="C3683" s="1" t="s">
        <v>54</v>
      </c>
      <c r="D3683" s="1" t="str">
        <f t="shared" si="694"/>
        <v>9803</v>
      </c>
      <c r="E3683" s="1" t="s">
        <v>32</v>
      </c>
      <c r="F3683" s="1" t="str">
        <f>"538087361"</f>
        <v>538087361</v>
      </c>
      <c r="G3683" s="1" t="s">
        <v>33</v>
      </c>
      <c r="H3683" s="1" t="str">
        <f t="shared" si="689"/>
        <v>20220916</v>
      </c>
      <c r="I3683" s="1" t="str">
        <f>"113352"</f>
        <v>113352</v>
      </c>
      <c r="J3683" s="1" t="s">
        <v>28</v>
      </c>
      <c r="K3683" s="1" t="s">
        <v>28</v>
      </c>
      <c r="L3683" s="1" t="str">
        <f t="shared" si="692"/>
        <v>20220916</v>
      </c>
      <c r="M3683" s="1" t="str">
        <f>"115821"</f>
        <v>115821</v>
      </c>
      <c r="N3683" s="1" t="s">
        <v>34</v>
      </c>
      <c r="O3683" s="1" t="s">
        <v>34</v>
      </c>
      <c r="P3683" s="1" t="s">
        <v>55</v>
      </c>
      <c r="Q3683" s="1">
        <v>25</v>
      </c>
      <c r="R3683" s="1">
        <v>25</v>
      </c>
      <c r="S3683" s="1">
        <v>0</v>
      </c>
      <c r="T3683" s="1">
        <v>0</v>
      </c>
      <c r="U3683" s="1">
        <v>0</v>
      </c>
      <c r="V3683" s="1" t="str">
        <f t="shared" si="691"/>
        <v>里程去程</v>
      </c>
      <c r="W3683" s="1" t="str">
        <f>"0120"</f>
        <v>0120</v>
      </c>
      <c r="X3683" s="1" t="s">
        <v>35</v>
      </c>
    </row>
    <row r="3684" spans="1:24" x14ac:dyDescent="0.3">
      <c r="A3684" s="1" t="str">
        <f t="shared" si="693"/>
        <v>59820</v>
      </c>
      <c r="B3684" s="1" t="s">
        <v>53</v>
      </c>
      <c r="C3684" s="1" t="s">
        <v>54</v>
      </c>
      <c r="D3684" s="1" t="str">
        <f t="shared" si="694"/>
        <v>9803</v>
      </c>
      <c r="E3684" s="1" t="s">
        <v>32</v>
      </c>
      <c r="F3684" s="1" t="str">
        <f>"6717161012167247"</f>
        <v>6717161012167247</v>
      </c>
      <c r="G3684" s="1" t="s">
        <v>33</v>
      </c>
      <c r="H3684" s="1" t="str">
        <f t="shared" si="689"/>
        <v>20220916</v>
      </c>
      <c r="I3684" s="1" t="str">
        <f>"113405"</f>
        <v>113405</v>
      </c>
      <c r="J3684" s="1" t="s">
        <v>28</v>
      </c>
      <c r="K3684" s="1" t="s">
        <v>28</v>
      </c>
      <c r="L3684" s="1" t="str">
        <f t="shared" si="692"/>
        <v>20220916</v>
      </c>
      <c r="M3684" s="1" t="str">
        <f>"115805"</f>
        <v>115805</v>
      </c>
      <c r="N3684" s="1" t="s">
        <v>34</v>
      </c>
      <c r="O3684" s="1" t="s">
        <v>34</v>
      </c>
      <c r="P3684" s="1" t="s">
        <v>55</v>
      </c>
      <c r="Q3684" s="1">
        <v>25</v>
      </c>
      <c r="R3684" s="1">
        <v>25</v>
      </c>
      <c r="S3684" s="1">
        <v>0</v>
      </c>
      <c r="T3684" s="1">
        <v>0</v>
      </c>
      <c r="U3684" s="1">
        <v>0</v>
      </c>
      <c r="V3684" s="1" t="str">
        <f t="shared" si="691"/>
        <v>里程去程</v>
      </c>
      <c r="W3684" s="1" t="str">
        <f>"083B"</f>
        <v>083B</v>
      </c>
      <c r="X3684" s="1" t="s">
        <v>109</v>
      </c>
    </row>
    <row r="3685" spans="1:24" x14ac:dyDescent="0.3">
      <c r="A3685" s="1" t="str">
        <f t="shared" si="693"/>
        <v>59820</v>
      </c>
      <c r="B3685" s="1" t="s">
        <v>53</v>
      </c>
      <c r="C3685" s="1" t="s">
        <v>54</v>
      </c>
      <c r="D3685" s="1" t="str">
        <f t="shared" si="694"/>
        <v>9803</v>
      </c>
      <c r="E3685" s="1" t="s">
        <v>32</v>
      </c>
      <c r="F3685" s="1" t="str">
        <f>"123324005"</f>
        <v>123324005</v>
      </c>
      <c r="G3685" s="1" t="s">
        <v>33</v>
      </c>
      <c r="H3685" s="1" t="str">
        <f t="shared" si="689"/>
        <v>20220916</v>
      </c>
      <c r="I3685" s="1" t="str">
        <f>"113408"</f>
        <v>113408</v>
      </c>
      <c r="J3685" s="1" t="s">
        <v>28</v>
      </c>
      <c r="K3685" s="1" t="s">
        <v>28</v>
      </c>
      <c r="L3685" s="1" t="str">
        <f t="shared" si="692"/>
        <v>20220916</v>
      </c>
      <c r="M3685" s="1" t="str">
        <f>"115802"</f>
        <v>115802</v>
      </c>
      <c r="N3685" s="1" t="s">
        <v>34</v>
      </c>
      <c r="O3685" s="1" t="s">
        <v>34</v>
      </c>
      <c r="P3685" s="1" t="s">
        <v>55</v>
      </c>
      <c r="Q3685" s="1">
        <v>25</v>
      </c>
      <c r="R3685" s="1">
        <v>25</v>
      </c>
      <c r="S3685" s="1">
        <v>0</v>
      </c>
      <c r="T3685" s="1">
        <v>0</v>
      </c>
      <c r="U3685" s="1">
        <v>0</v>
      </c>
      <c r="V3685" s="1" t="str">
        <f t="shared" si="691"/>
        <v>里程去程</v>
      </c>
      <c r="W3685" s="1" t="str">
        <f>"0120"</f>
        <v>0120</v>
      </c>
      <c r="X3685" s="1" t="s">
        <v>35</v>
      </c>
    </row>
    <row r="3686" spans="1:24" x14ac:dyDescent="0.3">
      <c r="A3686" s="1" t="str">
        <f t="shared" si="693"/>
        <v>59820</v>
      </c>
      <c r="B3686" s="1" t="s">
        <v>53</v>
      </c>
      <c r="C3686" s="1" t="s">
        <v>54</v>
      </c>
      <c r="D3686" s="1" t="str">
        <f t="shared" si="694"/>
        <v>9803</v>
      </c>
      <c r="E3686" s="1" t="s">
        <v>32</v>
      </c>
      <c r="F3686" s="1" t="str">
        <f>"239499951"</f>
        <v>239499951</v>
      </c>
      <c r="G3686" s="1" t="s">
        <v>33</v>
      </c>
      <c r="H3686" s="1" t="str">
        <f t="shared" si="689"/>
        <v>20220916</v>
      </c>
      <c r="I3686" s="1" t="str">
        <f>"113417"</f>
        <v>113417</v>
      </c>
      <c r="J3686" s="1" t="s">
        <v>28</v>
      </c>
      <c r="K3686" s="1" t="s">
        <v>28</v>
      </c>
      <c r="L3686" s="1" t="str">
        <f t="shared" si="692"/>
        <v>20220916</v>
      </c>
      <c r="M3686" s="1" t="str">
        <f>"115755"</f>
        <v>115755</v>
      </c>
      <c r="N3686" s="1" t="s">
        <v>34</v>
      </c>
      <c r="O3686" s="1" t="s">
        <v>34</v>
      </c>
      <c r="P3686" s="1" t="s">
        <v>55</v>
      </c>
      <c r="Q3686" s="1">
        <v>25</v>
      </c>
      <c r="R3686" s="1">
        <v>25</v>
      </c>
      <c r="S3686" s="1">
        <v>0</v>
      </c>
      <c r="T3686" s="1">
        <v>0</v>
      </c>
      <c r="U3686" s="1">
        <v>0</v>
      </c>
      <c r="V3686" s="1" t="str">
        <f t="shared" si="691"/>
        <v>里程去程</v>
      </c>
      <c r="W3686" s="1" t="str">
        <f>"0320"</f>
        <v>0320</v>
      </c>
      <c r="X3686" s="1" t="s">
        <v>35</v>
      </c>
    </row>
    <row r="3687" spans="1:24" x14ac:dyDescent="0.3">
      <c r="A3687" s="1" t="str">
        <f t="shared" si="693"/>
        <v>59820</v>
      </c>
      <c r="B3687" s="1" t="s">
        <v>53</v>
      </c>
      <c r="C3687" s="1" t="s">
        <v>54</v>
      </c>
      <c r="D3687" s="1" t="str">
        <f t="shared" si="694"/>
        <v>9803</v>
      </c>
      <c r="E3687" s="1" t="s">
        <v>32</v>
      </c>
      <c r="F3687" s="1" t="str">
        <f>"1527987809"</f>
        <v>1527987809</v>
      </c>
      <c r="G3687" s="1" t="s">
        <v>33</v>
      </c>
      <c r="H3687" s="1" t="str">
        <f t="shared" si="689"/>
        <v>20220916</v>
      </c>
      <c r="I3687" s="1" t="str">
        <f>"113428"</f>
        <v>113428</v>
      </c>
      <c r="J3687" s="1" t="s">
        <v>28</v>
      </c>
      <c r="K3687" s="1" t="s">
        <v>28</v>
      </c>
      <c r="L3687" s="1" t="str">
        <f t="shared" si="692"/>
        <v>20220916</v>
      </c>
      <c r="M3687" s="1" t="str">
        <f>"115753"</f>
        <v>115753</v>
      </c>
      <c r="N3687" s="1" t="s">
        <v>34</v>
      </c>
      <c r="O3687" s="1" t="s">
        <v>34</v>
      </c>
      <c r="P3687" s="1" t="s">
        <v>55</v>
      </c>
      <c r="Q3687" s="1">
        <v>25</v>
      </c>
      <c r="R3687" s="1">
        <v>25</v>
      </c>
      <c r="S3687" s="1">
        <v>0</v>
      </c>
      <c r="T3687" s="1">
        <v>0</v>
      </c>
      <c r="U3687" s="1">
        <v>0</v>
      </c>
      <c r="V3687" s="1" t="str">
        <f t="shared" si="691"/>
        <v>里程去程</v>
      </c>
      <c r="W3687" s="1" t="str">
        <f>"0120"</f>
        <v>0120</v>
      </c>
      <c r="X3687" s="1" t="s">
        <v>35</v>
      </c>
    </row>
    <row r="3688" spans="1:24" x14ac:dyDescent="0.3">
      <c r="A3688" s="1" t="str">
        <f t="shared" si="693"/>
        <v>59820</v>
      </c>
      <c r="B3688" s="1" t="s">
        <v>53</v>
      </c>
      <c r="C3688" s="1" t="s">
        <v>54</v>
      </c>
      <c r="D3688" s="1" t="str">
        <f t="shared" si="694"/>
        <v>9803</v>
      </c>
      <c r="E3688" s="1" t="s">
        <v>32</v>
      </c>
      <c r="F3688" s="1" t="str">
        <f>"645219569"</f>
        <v>645219569</v>
      </c>
      <c r="G3688" s="1" t="s">
        <v>33</v>
      </c>
      <c r="H3688" s="1" t="str">
        <f t="shared" si="689"/>
        <v>20220916</v>
      </c>
      <c r="I3688" s="1" t="str">
        <f>"113443"</f>
        <v>113443</v>
      </c>
      <c r="J3688" s="1" t="s">
        <v>28</v>
      </c>
      <c r="K3688" s="1" t="s">
        <v>28</v>
      </c>
      <c r="L3688" s="1" t="str">
        <f t="shared" si="692"/>
        <v>20220916</v>
      </c>
      <c r="M3688" s="1" t="str">
        <f>"115746"</f>
        <v>115746</v>
      </c>
      <c r="N3688" s="1" t="s">
        <v>34</v>
      </c>
      <c r="O3688" s="1" t="s">
        <v>34</v>
      </c>
      <c r="P3688" s="1" t="s">
        <v>55</v>
      </c>
      <c r="Q3688" s="1">
        <v>25</v>
      </c>
      <c r="R3688" s="1">
        <v>25</v>
      </c>
      <c r="S3688" s="1">
        <v>0</v>
      </c>
      <c r="T3688" s="1">
        <v>0</v>
      </c>
      <c r="U3688" s="1">
        <v>0</v>
      </c>
      <c r="V3688" s="1" t="str">
        <f t="shared" si="691"/>
        <v>里程去程</v>
      </c>
      <c r="W3688" s="1" t="str">
        <f>"0820"</f>
        <v>0820</v>
      </c>
      <c r="X3688" s="1" t="s">
        <v>35</v>
      </c>
    </row>
    <row r="3689" spans="1:24" x14ac:dyDescent="0.3">
      <c r="A3689" s="1" t="str">
        <f t="shared" si="693"/>
        <v>59820</v>
      </c>
      <c r="B3689" s="1" t="s">
        <v>53</v>
      </c>
      <c r="C3689" s="1" t="s">
        <v>54</v>
      </c>
      <c r="D3689" s="1" t="str">
        <f t="shared" si="694"/>
        <v>9803</v>
      </c>
      <c r="E3689" s="1" t="s">
        <v>32</v>
      </c>
      <c r="F3689" s="1" t="str">
        <f>"1012420929"</f>
        <v>1012420929</v>
      </c>
      <c r="G3689" s="1" t="s">
        <v>33</v>
      </c>
      <c r="H3689" s="1" t="str">
        <f t="shared" si="689"/>
        <v>20220916</v>
      </c>
      <c r="I3689" s="1" t="str">
        <f>"113545"</f>
        <v>113545</v>
      </c>
      <c r="J3689" s="1" t="s">
        <v>28</v>
      </c>
      <c r="K3689" s="1" t="s">
        <v>28</v>
      </c>
      <c r="L3689" s="1" t="str">
        <f t="shared" si="692"/>
        <v>20220916</v>
      </c>
      <c r="M3689" s="1" t="str">
        <f>"115731"</f>
        <v>115731</v>
      </c>
      <c r="N3689" s="1" t="s">
        <v>34</v>
      </c>
      <c r="O3689" s="1" t="s">
        <v>34</v>
      </c>
      <c r="P3689" s="1" t="s">
        <v>55</v>
      </c>
      <c r="Q3689" s="1">
        <v>25</v>
      </c>
      <c r="R3689" s="1">
        <v>25</v>
      </c>
      <c r="S3689" s="1">
        <v>0</v>
      </c>
      <c r="T3689" s="1">
        <v>0</v>
      </c>
      <c r="U3689" s="1">
        <v>0</v>
      </c>
      <c r="V3689" s="1" t="str">
        <f t="shared" si="691"/>
        <v>里程去程</v>
      </c>
      <c r="W3689" s="1" t="str">
        <f>"0e20"</f>
        <v>0e20</v>
      </c>
      <c r="X3689" s="1" t="s">
        <v>35</v>
      </c>
    </row>
    <row r="3690" spans="1:24" x14ac:dyDescent="0.3">
      <c r="A3690" s="1" t="str">
        <f t="shared" si="693"/>
        <v>59820</v>
      </c>
      <c r="B3690" s="1" t="s">
        <v>53</v>
      </c>
      <c r="C3690" s="1" t="s">
        <v>54</v>
      </c>
      <c r="D3690" s="1" t="str">
        <f t="shared" si="694"/>
        <v>9803</v>
      </c>
      <c r="E3690" s="1" t="s">
        <v>32</v>
      </c>
      <c r="F3690" s="1" t="str">
        <f>"988708593"</f>
        <v>988708593</v>
      </c>
      <c r="G3690" s="1" t="s">
        <v>33</v>
      </c>
      <c r="H3690" s="1" t="str">
        <f t="shared" si="689"/>
        <v>20220916</v>
      </c>
      <c r="I3690" s="1" t="str">
        <f>"114530"</f>
        <v>114530</v>
      </c>
      <c r="J3690" s="1" t="s">
        <v>79</v>
      </c>
      <c r="K3690" s="1" t="s">
        <v>28</v>
      </c>
      <c r="L3690" s="1" t="str">
        <f t="shared" si="692"/>
        <v>20220916</v>
      </c>
      <c r="M3690" s="1" t="str">
        <f>"115635"</f>
        <v>115635</v>
      </c>
      <c r="N3690" s="1" t="s">
        <v>34</v>
      </c>
      <c r="O3690" s="1" t="s">
        <v>34</v>
      </c>
      <c r="P3690" s="1" t="s">
        <v>55</v>
      </c>
      <c r="Q3690" s="1">
        <v>25</v>
      </c>
      <c r="R3690" s="1">
        <v>25</v>
      </c>
      <c r="S3690" s="1">
        <v>0</v>
      </c>
      <c r="T3690" s="1">
        <v>0</v>
      </c>
      <c r="U3690" s="1">
        <v>0</v>
      </c>
      <c r="V3690" s="1" t="str">
        <f t="shared" si="691"/>
        <v>里程去程</v>
      </c>
      <c r="W3690" s="1" t="str">
        <f>"0620"</f>
        <v>0620</v>
      </c>
      <c r="X3690" s="1" t="s">
        <v>35</v>
      </c>
    </row>
    <row r="3691" spans="1:24" x14ac:dyDescent="0.3">
      <c r="A3691" s="1" t="str">
        <f t="shared" si="693"/>
        <v>59820</v>
      </c>
      <c r="B3691" s="1" t="s">
        <v>53</v>
      </c>
      <c r="C3691" s="1" t="s">
        <v>54</v>
      </c>
      <c r="D3691" s="1" t="str">
        <f t="shared" si="694"/>
        <v>9803</v>
      </c>
      <c r="E3691" s="1" t="s">
        <v>32</v>
      </c>
      <c r="F3691" s="1" t="str">
        <f>"1008707140"</f>
        <v>1008707140</v>
      </c>
      <c r="G3691" s="1" t="s">
        <v>33</v>
      </c>
      <c r="H3691" s="1" t="str">
        <f t="shared" si="689"/>
        <v>20220916</v>
      </c>
      <c r="I3691" s="1" t="str">
        <f>"120104"</f>
        <v>120104</v>
      </c>
      <c r="J3691" s="1" t="s">
        <v>34</v>
      </c>
      <c r="K3691" s="1" t="s">
        <v>34</v>
      </c>
      <c r="L3691" s="1" t="str">
        <f t="shared" si="692"/>
        <v>20220916</v>
      </c>
      <c r="M3691" s="1" t="str">
        <f>"122715"</f>
        <v>122715</v>
      </c>
      <c r="N3691" s="1" t="s">
        <v>28</v>
      </c>
      <c r="O3691" s="1" t="s">
        <v>28</v>
      </c>
      <c r="P3691" s="1" t="s">
        <v>55</v>
      </c>
      <c r="Q3691" s="1">
        <v>25</v>
      </c>
      <c r="R3691" s="1">
        <v>25</v>
      </c>
      <c r="S3691" s="1">
        <v>0</v>
      </c>
      <c r="T3691" s="1">
        <v>0</v>
      </c>
      <c r="U3691" s="1">
        <v>0</v>
      </c>
      <c r="V3691" s="1" t="str">
        <f>"里程返程"</f>
        <v>里程返程</v>
      </c>
      <c r="W3691" s="1" t="str">
        <f>"2120"</f>
        <v>2120</v>
      </c>
      <c r="X3691" s="1" t="s">
        <v>35</v>
      </c>
    </row>
    <row r="3692" spans="1:24" x14ac:dyDescent="0.3">
      <c r="A3692" s="1" t="str">
        <f t="shared" si="693"/>
        <v>59820</v>
      </c>
      <c r="B3692" s="1" t="s">
        <v>53</v>
      </c>
      <c r="C3692" s="1" t="s">
        <v>54</v>
      </c>
      <c r="D3692" s="1" t="str">
        <f t="shared" si="694"/>
        <v>9803</v>
      </c>
      <c r="E3692" s="1" t="s">
        <v>32</v>
      </c>
      <c r="F3692" s="1" t="str">
        <f>"1456190481"</f>
        <v>1456190481</v>
      </c>
      <c r="G3692" s="1" t="s">
        <v>33</v>
      </c>
      <c r="H3692" s="1" t="str">
        <f t="shared" si="689"/>
        <v>20220916</v>
      </c>
      <c r="I3692" s="1" t="str">
        <f>"120243"</f>
        <v>120243</v>
      </c>
      <c r="J3692" s="1" t="s">
        <v>34</v>
      </c>
      <c r="K3692" s="1" t="s">
        <v>34</v>
      </c>
      <c r="L3692" s="1" t="str">
        <f t="shared" si="692"/>
        <v>20220916</v>
      </c>
      <c r="M3692" s="1" t="str">
        <f>"122742"</f>
        <v>122742</v>
      </c>
      <c r="N3692" s="1" t="s">
        <v>28</v>
      </c>
      <c r="O3692" s="1" t="s">
        <v>28</v>
      </c>
      <c r="P3692" s="1" t="s">
        <v>55</v>
      </c>
      <c r="Q3692" s="1">
        <v>25</v>
      </c>
      <c r="R3692" s="1">
        <v>25</v>
      </c>
      <c r="S3692" s="1">
        <v>0</v>
      </c>
      <c r="T3692" s="1">
        <v>0</v>
      </c>
      <c r="U3692" s="1">
        <v>0</v>
      </c>
      <c r="V3692" s="1" t="str">
        <f>"里程返程"</f>
        <v>里程返程</v>
      </c>
      <c r="W3692" s="1" t="str">
        <f>"0820"</f>
        <v>0820</v>
      </c>
      <c r="X3692" s="1" t="s">
        <v>35</v>
      </c>
    </row>
    <row r="3693" spans="1:24" x14ac:dyDescent="0.3">
      <c r="A3693" s="1" t="str">
        <f t="shared" si="693"/>
        <v>59820</v>
      </c>
      <c r="B3693" s="1" t="s">
        <v>53</v>
      </c>
      <c r="C3693" s="1" t="s">
        <v>54</v>
      </c>
      <c r="D3693" s="1" t="str">
        <f t="shared" si="694"/>
        <v>9803</v>
      </c>
      <c r="E3693" s="1" t="s">
        <v>32</v>
      </c>
      <c r="F3693" s="1" t="str">
        <f>"E2BBCC1683880400C814002000000019"</f>
        <v>E2BBCC1683880400C814002000000019</v>
      </c>
      <c r="G3693" s="1" t="s">
        <v>64</v>
      </c>
      <c r="H3693" s="1" t="str">
        <f t="shared" si="689"/>
        <v>20220916</v>
      </c>
      <c r="I3693" s="1" t="str">
        <f>"121401"</f>
        <v>121401</v>
      </c>
      <c r="J3693" s="1" t="s">
        <v>46</v>
      </c>
      <c r="K3693" s="1" t="s">
        <v>28</v>
      </c>
      <c r="L3693" s="1" t="str">
        <f t="shared" si="692"/>
        <v>20220916</v>
      </c>
      <c r="M3693" s="1" t="str">
        <f>"122735"</f>
        <v>122735</v>
      </c>
      <c r="N3693" s="1" t="s">
        <v>28</v>
      </c>
      <c r="O3693" s="1" t="s">
        <v>28</v>
      </c>
      <c r="P3693" s="1" t="s">
        <v>55</v>
      </c>
      <c r="Q3693" s="1">
        <v>13</v>
      </c>
      <c r="R3693" s="1">
        <v>0</v>
      </c>
      <c r="S3693" s="1">
        <v>13</v>
      </c>
      <c r="T3693" s="1">
        <v>0</v>
      </c>
      <c r="U3693" s="1">
        <v>0</v>
      </c>
      <c r="V3693" s="1" t="str">
        <f>"里程返程"</f>
        <v>里程返程</v>
      </c>
      <c r="W3693" s="1" t="str">
        <f>"2020"</f>
        <v>2020</v>
      </c>
      <c r="X3693" s="1" t="s">
        <v>29</v>
      </c>
    </row>
    <row r="3694" spans="1:24" x14ac:dyDescent="0.3">
      <c r="A3694" s="1" t="str">
        <f t="shared" si="693"/>
        <v>59820</v>
      </c>
      <c r="B3694" s="1" t="s">
        <v>53</v>
      </c>
      <c r="C3694" s="1" t="s">
        <v>54</v>
      </c>
      <c r="D3694" s="1" t="str">
        <f t="shared" si="694"/>
        <v>9803</v>
      </c>
      <c r="E3694" s="1" t="s">
        <v>32</v>
      </c>
      <c r="F3694" s="1" t="str">
        <f>"1214515829"</f>
        <v>1214515829</v>
      </c>
      <c r="G3694" s="1" t="s">
        <v>38</v>
      </c>
      <c r="H3694" s="1" t="str">
        <f t="shared" si="689"/>
        <v>20220916</v>
      </c>
      <c r="I3694" s="1" t="str">
        <f>"122802"</f>
        <v>122802</v>
      </c>
      <c r="J3694" s="1" t="s">
        <v>28</v>
      </c>
      <c r="K3694" s="1" t="s">
        <v>28</v>
      </c>
      <c r="L3694" s="1" t="str">
        <f t="shared" si="692"/>
        <v>20220916</v>
      </c>
      <c r="M3694" s="1" t="str">
        <f>"124844"</f>
        <v>124844</v>
      </c>
      <c r="N3694" s="1" t="s">
        <v>34</v>
      </c>
      <c r="O3694" s="1" t="s">
        <v>34</v>
      </c>
      <c r="P3694" s="1" t="s">
        <v>55</v>
      </c>
      <c r="Q3694" s="1">
        <v>25</v>
      </c>
      <c r="R3694" s="1">
        <v>0</v>
      </c>
      <c r="S3694" s="1">
        <v>25</v>
      </c>
      <c r="T3694" s="1">
        <v>0</v>
      </c>
      <c r="U3694" s="1">
        <v>0</v>
      </c>
      <c r="V3694" s="1" t="str">
        <f t="shared" ref="V3694:V3702" si="695">"里程去程"</f>
        <v>里程去程</v>
      </c>
      <c r="W3694" s="1" t="str">
        <f>"0820"</f>
        <v>0820</v>
      </c>
      <c r="X3694" s="1" t="s">
        <v>35</v>
      </c>
    </row>
    <row r="3695" spans="1:24" x14ac:dyDescent="0.3">
      <c r="A3695" s="1" t="str">
        <f t="shared" si="693"/>
        <v>59820</v>
      </c>
      <c r="B3695" s="1" t="s">
        <v>53</v>
      </c>
      <c r="C3695" s="1" t="s">
        <v>54</v>
      </c>
      <c r="D3695" s="1" t="str">
        <f t="shared" si="694"/>
        <v>9803</v>
      </c>
      <c r="E3695" s="1" t="s">
        <v>32</v>
      </c>
      <c r="F3695" s="1" t="str">
        <f>"895265429"</f>
        <v>895265429</v>
      </c>
      <c r="G3695" s="1" t="s">
        <v>38</v>
      </c>
      <c r="H3695" s="1" t="str">
        <f t="shared" si="689"/>
        <v>20220916</v>
      </c>
      <c r="I3695" s="1" t="str">
        <f>"122806"</f>
        <v>122806</v>
      </c>
      <c r="J3695" s="1" t="s">
        <v>28</v>
      </c>
      <c r="K3695" s="1" t="s">
        <v>28</v>
      </c>
      <c r="L3695" s="1" t="str">
        <f t="shared" si="692"/>
        <v>20220916</v>
      </c>
      <c r="M3695" s="1" t="str">
        <f>"124839"</f>
        <v>124839</v>
      </c>
      <c r="N3695" s="1" t="s">
        <v>34</v>
      </c>
      <c r="O3695" s="1" t="s">
        <v>34</v>
      </c>
      <c r="P3695" s="1" t="s">
        <v>55</v>
      </c>
      <c r="Q3695" s="1">
        <v>25</v>
      </c>
      <c r="R3695" s="1">
        <v>25</v>
      </c>
      <c r="S3695" s="1">
        <v>0</v>
      </c>
      <c r="T3695" s="1">
        <v>0</v>
      </c>
      <c r="U3695" s="1">
        <v>0</v>
      </c>
      <c r="V3695" s="1" t="str">
        <f t="shared" si="695"/>
        <v>里程去程</v>
      </c>
      <c r="W3695" s="1" t="str">
        <f>"0120"</f>
        <v>0120</v>
      </c>
      <c r="X3695" s="1" t="s">
        <v>35</v>
      </c>
    </row>
    <row r="3696" spans="1:24" x14ac:dyDescent="0.3">
      <c r="A3696" s="1" t="str">
        <f t="shared" si="693"/>
        <v>59820</v>
      </c>
      <c r="B3696" s="1" t="s">
        <v>53</v>
      </c>
      <c r="C3696" s="1" t="s">
        <v>54</v>
      </c>
      <c r="D3696" s="1" t="str">
        <f t="shared" si="694"/>
        <v>9803</v>
      </c>
      <c r="E3696" s="1" t="s">
        <v>32</v>
      </c>
      <c r="F3696" s="1" t="str">
        <f>"1011311909"</f>
        <v>1011311909</v>
      </c>
      <c r="G3696" s="1" t="s">
        <v>38</v>
      </c>
      <c r="H3696" s="1" t="str">
        <f t="shared" si="689"/>
        <v>20220916</v>
      </c>
      <c r="I3696" s="1" t="str">
        <f>"122809"</f>
        <v>122809</v>
      </c>
      <c r="J3696" s="1" t="s">
        <v>28</v>
      </c>
      <c r="K3696" s="1" t="s">
        <v>28</v>
      </c>
      <c r="L3696" s="1" t="str">
        <f t="shared" si="692"/>
        <v>20220916</v>
      </c>
      <c r="M3696" s="1" t="str">
        <f>"124830"</f>
        <v>124830</v>
      </c>
      <c r="N3696" s="1" t="s">
        <v>34</v>
      </c>
      <c r="O3696" s="1" t="s">
        <v>34</v>
      </c>
      <c r="P3696" s="1" t="s">
        <v>55</v>
      </c>
      <c r="Q3696" s="1">
        <v>25</v>
      </c>
      <c r="R3696" s="1">
        <v>0</v>
      </c>
      <c r="S3696" s="1">
        <v>25</v>
      </c>
      <c r="T3696" s="1">
        <v>0</v>
      </c>
      <c r="U3696" s="1">
        <v>0</v>
      </c>
      <c r="V3696" s="1" t="str">
        <f t="shared" si="695"/>
        <v>里程去程</v>
      </c>
      <c r="W3696" s="1" t="str">
        <f>"0820"</f>
        <v>0820</v>
      </c>
      <c r="X3696" s="1" t="s">
        <v>35</v>
      </c>
    </row>
    <row r="3697" spans="1:24" x14ac:dyDescent="0.3">
      <c r="A3697" s="1" t="str">
        <f t="shared" si="693"/>
        <v>59820</v>
      </c>
      <c r="B3697" s="1" t="s">
        <v>53</v>
      </c>
      <c r="C3697" s="1" t="s">
        <v>54</v>
      </c>
      <c r="D3697" s="1" t="str">
        <f t="shared" si="694"/>
        <v>9803</v>
      </c>
      <c r="E3697" s="1" t="s">
        <v>32</v>
      </c>
      <c r="F3697" s="1" t="str">
        <f>"01AA595DAF8804004325C3F900110C0F"</f>
        <v>01AA595DAF8804004325C3F900110C0F</v>
      </c>
      <c r="G3697" s="1" t="s">
        <v>58</v>
      </c>
      <c r="H3697" s="1" t="str">
        <f t="shared" si="689"/>
        <v>20220916</v>
      </c>
      <c r="I3697" s="1" t="str">
        <f>"122813"</f>
        <v>122813</v>
      </c>
      <c r="J3697" s="1" t="s">
        <v>28</v>
      </c>
      <c r="K3697" s="1" t="s">
        <v>28</v>
      </c>
      <c r="L3697" s="1" t="str">
        <f t="shared" si="692"/>
        <v>20220916</v>
      </c>
      <c r="M3697" s="1" t="str">
        <f>"124827"</f>
        <v>124827</v>
      </c>
      <c r="N3697" s="1" t="s">
        <v>34</v>
      </c>
      <c r="O3697" s="1" t="s">
        <v>34</v>
      </c>
      <c r="P3697" s="1" t="s">
        <v>55</v>
      </c>
      <c r="Q3697" s="1">
        <v>25</v>
      </c>
      <c r="R3697" s="1">
        <v>0</v>
      </c>
      <c r="S3697" s="1">
        <v>25</v>
      </c>
      <c r="T3697" s="1">
        <v>0</v>
      </c>
      <c r="U3697" s="1">
        <v>0</v>
      </c>
      <c r="V3697" s="1" t="str">
        <f t="shared" si="695"/>
        <v>里程去程</v>
      </c>
      <c r="W3697" s="1" t="str">
        <f>"0620"</f>
        <v>0620</v>
      </c>
      <c r="X3697" s="1" t="s">
        <v>29</v>
      </c>
    </row>
    <row r="3698" spans="1:24" x14ac:dyDescent="0.3">
      <c r="A3698" s="1" t="str">
        <f t="shared" si="693"/>
        <v>59820</v>
      </c>
      <c r="B3698" s="1" t="s">
        <v>53</v>
      </c>
      <c r="C3698" s="1" t="s">
        <v>54</v>
      </c>
      <c r="D3698" s="1" t="str">
        <f t="shared" si="694"/>
        <v>9803</v>
      </c>
      <c r="E3698" s="1" t="s">
        <v>32</v>
      </c>
      <c r="F3698" s="1" t="str">
        <f>"1273829797"</f>
        <v>1273829797</v>
      </c>
      <c r="G3698" s="1" t="s">
        <v>33</v>
      </c>
      <c r="H3698" s="1" t="str">
        <f t="shared" si="689"/>
        <v>20220916</v>
      </c>
      <c r="I3698" s="1" t="str">
        <f>"122832"</f>
        <v>122832</v>
      </c>
      <c r="J3698" s="1" t="s">
        <v>28</v>
      </c>
      <c r="K3698" s="1" t="s">
        <v>28</v>
      </c>
      <c r="L3698" s="1" t="str">
        <f t="shared" si="692"/>
        <v>20220916</v>
      </c>
      <c r="M3698" s="1" t="str">
        <f>"124835"</f>
        <v>124835</v>
      </c>
      <c r="N3698" s="1" t="s">
        <v>34</v>
      </c>
      <c r="O3698" s="1" t="s">
        <v>34</v>
      </c>
      <c r="P3698" s="1" t="s">
        <v>55</v>
      </c>
      <c r="Q3698" s="1">
        <v>25</v>
      </c>
      <c r="R3698" s="1">
        <v>0</v>
      </c>
      <c r="S3698" s="1">
        <v>25</v>
      </c>
      <c r="T3698" s="1">
        <v>0</v>
      </c>
      <c r="U3698" s="1">
        <v>0</v>
      </c>
      <c r="V3698" s="1" t="str">
        <f t="shared" si="695"/>
        <v>里程去程</v>
      </c>
      <c r="W3698" s="1" t="str">
        <f>"2120"</f>
        <v>2120</v>
      </c>
      <c r="X3698" s="1" t="s">
        <v>35</v>
      </c>
    </row>
    <row r="3699" spans="1:24" x14ac:dyDescent="0.3">
      <c r="A3699" s="1" t="str">
        <f t="shared" si="693"/>
        <v>59820</v>
      </c>
      <c r="B3699" s="1" t="s">
        <v>53</v>
      </c>
      <c r="C3699" s="1" t="s">
        <v>54</v>
      </c>
      <c r="D3699" s="1" t="str">
        <f t="shared" si="694"/>
        <v>9803</v>
      </c>
      <c r="E3699" s="1" t="s">
        <v>32</v>
      </c>
      <c r="F3699" s="1" t="str">
        <f>"3A4E657C6D880400C18514D04D104512"</f>
        <v>3A4E657C6D880400C18514D04D104512</v>
      </c>
      <c r="G3699" s="1" t="s">
        <v>58</v>
      </c>
      <c r="H3699" s="1" t="str">
        <f t="shared" si="689"/>
        <v>20220916</v>
      </c>
      <c r="I3699" s="1" t="str">
        <f>"122836"</f>
        <v>122836</v>
      </c>
      <c r="J3699" s="1" t="s">
        <v>28</v>
      </c>
      <c r="K3699" s="1" t="s">
        <v>28</v>
      </c>
      <c r="L3699" s="1" t="str">
        <f t="shared" si="692"/>
        <v>20220916</v>
      </c>
      <c r="M3699" s="1" t="str">
        <f>"124833"</f>
        <v>124833</v>
      </c>
      <c r="N3699" s="1" t="s">
        <v>34</v>
      </c>
      <c r="O3699" s="1" t="s">
        <v>34</v>
      </c>
      <c r="P3699" s="1" t="s">
        <v>55</v>
      </c>
      <c r="Q3699" s="1">
        <v>25</v>
      </c>
      <c r="R3699" s="1">
        <v>25</v>
      </c>
      <c r="S3699" s="1">
        <v>0</v>
      </c>
      <c r="T3699" s="1">
        <v>0</v>
      </c>
      <c r="U3699" s="1">
        <v>0</v>
      </c>
      <c r="V3699" s="1" t="str">
        <f t="shared" si="695"/>
        <v>里程去程</v>
      </c>
      <c r="W3699" s="1" t="str">
        <f>"0020"</f>
        <v>0020</v>
      </c>
      <c r="X3699" s="1" t="s">
        <v>29</v>
      </c>
    </row>
    <row r="3700" spans="1:24" x14ac:dyDescent="0.3">
      <c r="A3700" s="1" t="str">
        <f t="shared" si="693"/>
        <v>59820</v>
      </c>
      <c r="B3700" s="1" t="s">
        <v>53</v>
      </c>
      <c r="C3700" s="1" t="s">
        <v>54</v>
      </c>
      <c r="D3700" s="1" t="str">
        <f t="shared" si="694"/>
        <v>9803</v>
      </c>
      <c r="E3700" s="1" t="s">
        <v>32</v>
      </c>
      <c r="F3700" s="1" t="str">
        <f>"D14A59488A2804001C00000000000000"</f>
        <v>D14A59488A2804001C00000000000000</v>
      </c>
      <c r="G3700" s="1" t="s">
        <v>58</v>
      </c>
      <c r="H3700" s="1" t="str">
        <f t="shared" si="689"/>
        <v>20220916</v>
      </c>
      <c r="I3700" s="1" t="str">
        <f>"122839"</f>
        <v>122839</v>
      </c>
      <c r="J3700" s="1" t="s">
        <v>28</v>
      </c>
      <c r="K3700" s="1" t="s">
        <v>28</v>
      </c>
      <c r="L3700" s="1" t="str">
        <f t="shared" si="692"/>
        <v>20220916</v>
      </c>
      <c r="M3700" s="1" t="str">
        <f>"124822"</f>
        <v>124822</v>
      </c>
      <c r="N3700" s="1" t="s">
        <v>34</v>
      </c>
      <c r="O3700" s="1" t="s">
        <v>34</v>
      </c>
      <c r="P3700" s="1" t="s">
        <v>55</v>
      </c>
      <c r="Q3700" s="1">
        <v>25</v>
      </c>
      <c r="R3700" s="1">
        <v>25</v>
      </c>
      <c r="S3700" s="1">
        <v>0</v>
      </c>
      <c r="T3700" s="1">
        <v>0</v>
      </c>
      <c r="U3700" s="1">
        <v>0</v>
      </c>
      <c r="V3700" s="1" t="str">
        <f t="shared" si="695"/>
        <v>里程去程</v>
      </c>
      <c r="W3700" s="1" t="str">
        <f>"0020"</f>
        <v>0020</v>
      </c>
      <c r="X3700" s="1" t="s">
        <v>29</v>
      </c>
    </row>
    <row r="3701" spans="1:24" x14ac:dyDescent="0.3">
      <c r="A3701" s="1" t="str">
        <f t="shared" si="693"/>
        <v>59820</v>
      </c>
      <c r="B3701" s="1" t="s">
        <v>53</v>
      </c>
      <c r="C3701" s="1" t="s">
        <v>54</v>
      </c>
      <c r="D3701" s="1" t="str">
        <f t="shared" si="694"/>
        <v>9803</v>
      </c>
      <c r="E3701" s="1" t="s">
        <v>32</v>
      </c>
      <c r="F3701" s="1" t="str">
        <f>"1014064501"</f>
        <v>1014064501</v>
      </c>
      <c r="G3701" s="1" t="s">
        <v>33</v>
      </c>
      <c r="H3701" s="1" t="str">
        <f t="shared" si="689"/>
        <v>20220916</v>
      </c>
      <c r="I3701" s="1" t="str">
        <f>"122843"</f>
        <v>122843</v>
      </c>
      <c r="J3701" s="1" t="s">
        <v>28</v>
      </c>
      <c r="K3701" s="1" t="s">
        <v>28</v>
      </c>
      <c r="L3701" s="1" t="str">
        <f t="shared" si="692"/>
        <v>20220916</v>
      </c>
      <c r="M3701" s="1" t="str">
        <f>"124020"</f>
        <v>124020</v>
      </c>
      <c r="N3701" s="1" t="s">
        <v>46</v>
      </c>
      <c r="O3701" s="1" t="s">
        <v>28</v>
      </c>
      <c r="P3701" s="1" t="s">
        <v>55</v>
      </c>
      <c r="Q3701" s="1">
        <v>25</v>
      </c>
      <c r="R3701" s="1">
        <v>25</v>
      </c>
      <c r="S3701" s="1">
        <v>0</v>
      </c>
      <c r="T3701" s="1">
        <v>0</v>
      </c>
      <c r="U3701" s="1">
        <v>0</v>
      </c>
      <c r="V3701" s="1" t="str">
        <f t="shared" si="695"/>
        <v>里程去程</v>
      </c>
      <c r="W3701" s="1" t="str">
        <f>"0620"</f>
        <v>0620</v>
      </c>
      <c r="X3701" s="1" t="s">
        <v>35</v>
      </c>
    </row>
    <row r="3702" spans="1:24" x14ac:dyDescent="0.3">
      <c r="A3702" s="1" t="str">
        <f t="shared" si="693"/>
        <v>59820</v>
      </c>
      <c r="B3702" s="1" t="s">
        <v>53</v>
      </c>
      <c r="C3702" s="1" t="s">
        <v>54</v>
      </c>
      <c r="D3702" s="1" t="str">
        <f t="shared" si="694"/>
        <v>9803</v>
      </c>
      <c r="E3702" s="1" t="s">
        <v>32</v>
      </c>
      <c r="F3702" s="1" t="str">
        <f>"792283269"</f>
        <v>792283269</v>
      </c>
      <c r="G3702" s="1" t="s">
        <v>33</v>
      </c>
      <c r="H3702" s="1" t="str">
        <f t="shared" si="689"/>
        <v>20220916</v>
      </c>
      <c r="I3702" s="1" t="str">
        <f>"124007"</f>
        <v>124007</v>
      </c>
      <c r="J3702" s="1" t="s">
        <v>46</v>
      </c>
      <c r="K3702" s="1" t="s">
        <v>28</v>
      </c>
      <c r="L3702" s="1" t="str">
        <f t="shared" si="692"/>
        <v>20220916</v>
      </c>
      <c r="M3702" s="1" t="str">
        <f>"124024"</f>
        <v>124024</v>
      </c>
      <c r="N3702" s="1" t="s">
        <v>89</v>
      </c>
      <c r="O3702" s="1" t="s">
        <v>28</v>
      </c>
      <c r="P3702" s="1" t="s">
        <v>55</v>
      </c>
      <c r="Q3702" s="1">
        <v>25</v>
      </c>
      <c r="R3702" s="1">
        <v>25</v>
      </c>
      <c r="S3702" s="1">
        <v>0</v>
      </c>
      <c r="T3702" s="1">
        <v>0</v>
      </c>
      <c r="U3702" s="1">
        <v>0</v>
      </c>
      <c r="V3702" s="1" t="str">
        <f t="shared" si="695"/>
        <v>里程去程</v>
      </c>
      <c r="W3702" s="1" t="str">
        <f>"0620"</f>
        <v>0620</v>
      </c>
      <c r="X3702" s="1" t="s">
        <v>35</v>
      </c>
    </row>
    <row r="3703" spans="1:24" x14ac:dyDescent="0.3">
      <c r="A3703" s="1" t="str">
        <f t="shared" si="693"/>
        <v>59820</v>
      </c>
      <c r="B3703" s="1" t="s">
        <v>53</v>
      </c>
      <c r="C3703" s="1" t="s">
        <v>54</v>
      </c>
      <c r="D3703" s="1" t="str">
        <f t="shared" si="694"/>
        <v>9803</v>
      </c>
      <c r="E3703" s="1" t="s">
        <v>32</v>
      </c>
      <c r="F3703" s="1" t="str">
        <f>"1144178677"</f>
        <v>1144178677</v>
      </c>
      <c r="G3703" s="1" t="s">
        <v>33</v>
      </c>
      <c r="H3703" s="1" t="str">
        <f t="shared" si="689"/>
        <v>20220916</v>
      </c>
      <c r="I3703" s="1" t="str">
        <f>"130101"</f>
        <v>130101</v>
      </c>
      <c r="J3703" s="1" t="s">
        <v>34</v>
      </c>
      <c r="K3703" s="1" t="s">
        <v>34</v>
      </c>
      <c r="L3703" s="1" t="str">
        <f t="shared" si="692"/>
        <v>20220916</v>
      </c>
      <c r="M3703" s="1" t="str">
        <f>"132810"</f>
        <v>132810</v>
      </c>
      <c r="N3703" s="1" t="s">
        <v>28</v>
      </c>
      <c r="O3703" s="1" t="s">
        <v>28</v>
      </c>
      <c r="P3703" s="1" t="s">
        <v>55</v>
      </c>
      <c r="Q3703" s="1">
        <v>25</v>
      </c>
      <c r="R3703" s="1">
        <v>0</v>
      </c>
      <c r="S3703" s="1">
        <v>25</v>
      </c>
      <c r="T3703" s="1">
        <v>0</v>
      </c>
      <c r="U3703" s="1">
        <v>0</v>
      </c>
      <c r="V3703" s="1" t="str">
        <f>"里程返程"</f>
        <v>里程返程</v>
      </c>
      <c r="W3703" s="1" t="str">
        <f>"2120"</f>
        <v>2120</v>
      </c>
      <c r="X3703" s="1" t="s">
        <v>35</v>
      </c>
    </row>
    <row r="3704" spans="1:24" x14ac:dyDescent="0.3">
      <c r="A3704" s="1" t="str">
        <f t="shared" si="693"/>
        <v>59820</v>
      </c>
      <c r="B3704" s="1" t="s">
        <v>53</v>
      </c>
      <c r="C3704" s="1" t="s">
        <v>54</v>
      </c>
      <c r="D3704" s="1" t="str">
        <f t="shared" si="694"/>
        <v>9803</v>
      </c>
      <c r="E3704" s="1" t="s">
        <v>32</v>
      </c>
      <c r="F3704" s="1" t="str">
        <f>"612034191"</f>
        <v>612034191</v>
      </c>
      <c r="G3704" s="1" t="s">
        <v>33</v>
      </c>
      <c r="H3704" s="1" t="str">
        <f t="shared" si="689"/>
        <v>20220916</v>
      </c>
      <c r="I3704" s="1" t="str">
        <f>"130102"</f>
        <v>130102</v>
      </c>
      <c r="J3704" s="1" t="s">
        <v>34</v>
      </c>
      <c r="K3704" s="1" t="s">
        <v>34</v>
      </c>
      <c r="L3704" s="1" t="str">
        <f t="shared" si="692"/>
        <v>20220916</v>
      </c>
      <c r="M3704" s="1" t="str">
        <f>"132805"</f>
        <v>132805</v>
      </c>
      <c r="N3704" s="1" t="s">
        <v>28</v>
      </c>
      <c r="O3704" s="1" t="s">
        <v>28</v>
      </c>
      <c r="P3704" s="1" t="s">
        <v>55</v>
      </c>
      <c r="Q3704" s="1">
        <v>25</v>
      </c>
      <c r="R3704" s="1">
        <v>0</v>
      </c>
      <c r="S3704" s="1">
        <v>25</v>
      </c>
      <c r="T3704" s="1">
        <v>0</v>
      </c>
      <c r="U3704" s="1">
        <v>0</v>
      </c>
      <c r="V3704" s="1" t="str">
        <f>"里程返程"</f>
        <v>里程返程</v>
      </c>
      <c r="W3704" s="1" t="str">
        <f>"2120"</f>
        <v>2120</v>
      </c>
      <c r="X3704" s="1" t="s">
        <v>35</v>
      </c>
    </row>
    <row r="3705" spans="1:24" x14ac:dyDescent="0.3">
      <c r="A3705" s="1" t="str">
        <f t="shared" si="693"/>
        <v>59820</v>
      </c>
      <c r="B3705" s="1" t="s">
        <v>53</v>
      </c>
      <c r="C3705" s="1" t="s">
        <v>54</v>
      </c>
      <c r="D3705" s="1" t="str">
        <f t="shared" si="694"/>
        <v>9803</v>
      </c>
      <c r="E3705" s="1" t="s">
        <v>32</v>
      </c>
      <c r="F3705" s="1" t="str">
        <f>"2122891334"</f>
        <v>2122891334</v>
      </c>
      <c r="G3705" s="1" t="s">
        <v>33</v>
      </c>
      <c r="H3705" s="1" t="str">
        <f t="shared" si="689"/>
        <v>20220916</v>
      </c>
      <c r="I3705" s="1" t="str">
        <f>"130107"</f>
        <v>130107</v>
      </c>
      <c r="J3705" s="1" t="s">
        <v>34</v>
      </c>
      <c r="K3705" s="1" t="s">
        <v>34</v>
      </c>
      <c r="L3705" s="1" t="str">
        <f t="shared" si="692"/>
        <v>20220916</v>
      </c>
      <c r="M3705" s="1" t="str">
        <f>"132807"</f>
        <v>132807</v>
      </c>
      <c r="N3705" s="1" t="s">
        <v>28</v>
      </c>
      <c r="O3705" s="1" t="s">
        <v>28</v>
      </c>
      <c r="P3705" s="1" t="s">
        <v>55</v>
      </c>
      <c r="Q3705" s="1">
        <v>25</v>
      </c>
      <c r="R3705" s="1">
        <v>0</v>
      </c>
      <c r="S3705" s="1">
        <v>25</v>
      </c>
      <c r="T3705" s="1">
        <v>0</v>
      </c>
      <c r="U3705" s="1">
        <v>0</v>
      </c>
      <c r="V3705" s="1" t="str">
        <f>"里程返程"</f>
        <v>里程返程</v>
      </c>
      <c r="W3705" s="1" t="str">
        <f>"2120"</f>
        <v>2120</v>
      </c>
      <c r="X3705" s="1" t="s">
        <v>35</v>
      </c>
    </row>
    <row r="3706" spans="1:24" x14ac:dyDescent="0.3">
      <c r="A3706" s="1" t="str">
        <f t="shared" si="693"/>
        <v>59820</v>
      </c>
      <c r="B3706" s="1" t="s">
        <v>53</v>
      </c>
      <c r="C3706" s="1" t="s">
        <v>54</v>
      </c>
      <c r="D3706" s="1" t="str">
        <f t="shared" si="694"/>
        <v>9803</v>
      </c>
      <c r="E3706" s="1" t="s">
        <v>32</v>
      </c>
      <c r="F3706" s="1" t="str">
        <f>"619168289"</f>
        <v>619168289</v>
      </c>
      <c r="G3706" s="1" t="s">
        <v>33</v>
      </c>
      <c r="H3706" s="1" t="str">
        <f t="shared" si="689"/>
        <v>20220916</v>
      </c>
      <c r="I3706" s="1" t="str">
        <f>"161059"</f>
        <v>161059</v>
      </c>
      <c r="J3706" s="1" t="s">
        <v>34</v>
      </c>
      <c r="K3706" s="1" t="s">
        <v>34</v>
      </c>
      <c r="L3706" s="1" t="str">
        <f t="shared" si="692"/>
        <v>20220916</v>
      </c>
      <c r="M3706" s="1" t="str">
        <f>"163759"</f>
        <v>163759</v>
      </c>
      <c r="N3706" s="1" t="s">
        <v>28</v>
      </c>
      <c r="O3706" s="1" t="s">
        <v>28</v>
      </c>
      <c r="P3706" s="1" t="s">
        <v>55</v>
      </c>
      <c r="Q3706" s="1">
        <v>25</v>
      </c>
      <c r="R3706" s="1">
        <v>25</v>
      </c>
      <c r="S3706" s="1">
        <v>0</v>
      </c>
      <c r="T3706" s="1">
        <v>0</v>
      </c>
      <c r="U3706" s="1">
        <v>0</v>
      </c>
      <c r="V3706" s="1" t="str">
        <f>"里程返程"</f>
        <v>里程返程</v>
      </c>
      <c r="W3706" s="1" t="str">
        <f>"2020"</f>
        <v>2020</v>
      </c>
      <c r="X3706" s="1" t="s">
        <v>35</v>
      </c>
    </row>
    <row r="3707" spans="1:24" x14ac:dyDescent="0.3">
      <c r="A3707" s="1" t="str">
        <f t="shared" si="693"/>
        <v>59820</v>
      </c>
      <c r="B3707" s="1" t="s">
        <v>53</v>
      </c>
      <c r="C3707" s="1" t="s">
        <v>54</v>
      </c>
      <c r="D3707" s="1" t="str">
        <f t="shared" si="694"/>
        <v>9803</v>
      </c>
      <c r="E3707" s="1" t="s">
        <v>32</v>
      </c>
      <c r="F3707" s="1" t="str">
        <f>"1011002309"</f>
        <v>1011002309</v>
      </c>
      <c r="G3707" s="1" t="s">
        <v>33</v>
      </c>
      <c r="H3707" s="1" t="str">
        <f t="shared" si="689"/>
        <v>20220916</v>
      </c>
      <c r="I3707" s="1" t="str">
        <f>"163838"</f>
        <v>163838</v>
      </c>
      <c r="J3707" s="1" t="s">
        <v>28</v>
      </c>
      <c r="K3707" s="1" t="s">
        <v>28</v>
      </c>
      <c r="L3707" s="1" t="str">
        <f t="shared" si="692"/>
        <v>20220916</v>
      </c>
      <c r="M3707" s="1" t="str">
        <f>"165910"</f>
        <v>165910</v>
      </c>
      <c r="N3707" s="1" t="s">
        <v>89</v>
      </c>
      <c r="O3707" s="1" t="s">
        <v>28</v>
      </c>
      <c r="P3707" s="1" t="s">
        <v>55</v>
      </c>
      <c r="Q3707" s="1">
        <v>25</v>
      </c>
      <c r="R3707" s="1">
        <v>25</v>
      </c>
      <c r="S3707" s="1">
        <v>0</v>
      </c>
      <c r="T3707" s="1">
        <v>0</v>
      </c>
      <c r="U3707" s="1">
        <v>0</v>
      </c>
      <c r="V3707" s="1" t="str">
        <f>"里程去程"</f>
        <v>里程去程</v>
      </c>
      <c r="W3707" s="1" t="str">
        <f>"0120"</f>
        <v>0120</v>
      </c>
      <c r="X3707" s="1" t="s">
        <v>35</v>
      </c>
    </row>
    <row r="3708" spans="1:24" x14ac:dyDescent="0.3">
      <c r="A3708" s="1" t="str">
        <f t="shared" ref="A3708:A3730" si="696">"59820"</f>
        <v>59820</v>
      </c>
      <c r="B3708" s="1" t="s">
        <v>53</v>
      </c>
      <c r="C3708" s="1" t="s">
        <v>54</v>
      </c>
      <c r="D3708" s="1" t="str">
        <f t="shared" si="694"/>
        <v>9803</v>
      </c>
      <c r="E3708" s="1" t="s">
        <v>32</v>
      </c>
      <c r="F3708" s="1" t="str">
        <f>"1210520165"</f>
        <v>1210520165</v>
      </c>
      <c r="G3708" s="1" t="s">
        <v>38</v>
      </c>
      <c r="H3708" s="1" t="str">
        <f t="shared" si="689"/>
        <v>20220916</v>
      </c>
      <c r="I3708" s="1" t="str">
        <f>"173041"</f>
        <v>173041</v>
      </c>
      <c r="J3708" s="1" t="s">
        <v>34</v>
      </c>
      <c r="K3708" s="1" t="s">
        <v>34</v>
      </c>
      <c r="L3708" s="1" t="str">
        <f t="shared" si="692"/>
        <v>20220916</v>
      </c>
      <c r="M3708" s="1" t="str">
        <f>"175838"</f>
        <v>175838</v>
      </c>
      <c r="N3708" s="1" t="s">
        <v>28</v>
      </c>
      <c r="O3708" s="1" t="s">
        <v>28</v>
      </c>
      <c r="P3708" s="1" t="s">
        <v>55</v>
      </c>
      <c r="Q3708" s="1">
        <v>25</v>
      </c>
      <c r="R3708" s="1">
        <v>25</v>
      </c>
      <c r="S3708" s="1">
        <v>0</v>
      </c>
      <c r="T3708" s="1">
        <v>0</v>
      </c>
      <c r="U3708" s="1">
        <v>0</v>
      </c>
      <c r="V3708" s="1" t="str">
        <f t="shared" ref="V3708:V3725" si="697">"里程返程"</f>
        <v>里程返程</v>
      </c>
      <c r="W3708" s="1" t="str">
        <f>"2020"</f>
        <v>2020</v>
      </c>
      <c r="X3708" s="1" t="s">
        <v>35</v>
      </c>
    </row>
    <row r="3709" spans="1:24" x14ac:dyDescent="0.3">
      <c r="A3709" s="1" t="str">
        <f t="shared" si="696"/>
        <v>59820</v>
      </c>
      <c r="B3709" s="1" t="s">
        <v>53</v>
      </c>
      <c r="C3709" s="1" t="s">
        <v>54</v>
      </c>
      <c r="D3709" s="1" t="str">
        <f t="shared" si="694"/>
        <v>9803</v>
      </c>
      <c r="E3709" s="1" t="s">
        <v>32</v>
      </c>
      <c r="F3709" s="1" t="str">
        <f>"9517171003120357"</f>
        <v>9517171003120357</v>
      </c>
      <c r="G3709" s="1" t="s">
        <v>33</v>
      </c>
      <c r="H3709" s="1" t="str">
        <f t="shared" ref="H3709:H3772" si="698">"20220916"</f>
        <v>20220916</v>
      </c>
      <c r="I3709" s="1" t="str">
        <f>"173043"</f>
        <v>173043</v>
      </c>
      <c r="J3709" s="1" t="s">
        <v>34</v>
      </c>
      <c r="K3709" s="1" t="s">
        <v>34</v>
      </c>
      <c r="L3709" s="1" t="str">
        <f t="shared" si="692"/>
        <v>20220916</v>
      </c>
      <c r="M3709" s="1" t="str">
        <f>"175836"</f>
        <v>175836</v>
      </c>
      <c r="N3709" s="1" t="s">
        <v>28</v>
      </c>
      <c r="O3709" s="1" t="s">
        <v>28</v>
      </c>
      <c r="P3709" s="1" t="s">
        <v>55</v>
      </c>
      <c r="Q3709" s="1">
        <v>25</v>
      </c>
      <c r="R3709" s="1">
        <v>25</v>
      </c>
      <c r="S3709" s="1">
        <v>0</v>
      </c>
      <c r="T3709" s="1">
        <v>0</v>
      </c>
      <c r="U3709" s="1">
        <v>0</v>
      </c>
      <c r="V3709" s="1" t="str">
        <f t="shared" si="697"/>
        <v>里程返程</v>
      </c>
      <c r="W3709" s="1" t="str">
        <f>"3B8B"</f>
        <v>3B8B</v>
      </c>
      <c r="X3709" s="1" t="s">
        <v>109</v>
      </c>
    </row>
    <row r="3710" spans="1:24" x14ac:dyDescent="0.3">
      <c r="A3710" s="1" t="str">
        <f t="shared" si="696"/>
        <v>59820</v>
      </c>
      <c r="B3710" s="1" t="s">
        <v>53</v>
      </c>
      <c r="C3710" s="1" t="s">
        <v>54</v>
      </c>
      <c r="D3710" s="1" t="str">
        <f t="shared" si="694"/>
        <v>9803</v>
      </c>
      <c r="E3710" s="1" t="s">
        <v>32</v>
      </c>
      <c r="F3710" s="1" t="str">
        <f>"1260119269"</f>
        <v>1260119269</v>
      </c>
      <c r="G3710" s="1" t="s">
        <v>38</v>
      </c>
      <c r="H3710" s="1" t="str">
        <f t="shared" si="698"/>
        <v>20220916</v>
      </c>
      <c r="I3710" s="1" t="str">
        <f>"173046"</f>
        <v>173046</v>
      </c>
      <c r="J3710" s="1" t="s">
        <v>34</v>
      </c>
      <c r="K3710" s="1" t="s">
        <v>34</v>
      </c>
      <c r="L3710" s="1" t="str">
        <f t="shared" si="692"/>
        <v>20220916</v>
      </c>
      <c r="M3710" s="1" t="str">
        <f>"175822"</f>
        <v>175822</v>
      </c>
      <c r="N3710" s="1" t="s">
        <v>28</v>
      </c>
      <c r="O3710" s="1" t="s">
        <v>28</v>
      </c>
      <c r="P3710" s="1" t="s">
        <v>55</v>
      </c>
      <c r="Q3710" s="1">
        <v>25</v>
      </c>
      <c r="R3710" s="1">
        <v>25</v>
      </c>
      <c r="S3710" s="1">
        <v>0</v>
      </c>
      <c r="T3710" s="1">
        <v>0</v>
      </c>
      <c r="U3710" s="1">
        <v>0</v>
      </c>
      <c r="V3710" s="1" t="str">
        <f t="shared" si="697"/>
        <v>里程返程</v>
      </c>
      <c r="W3710" s="1" t="str">
        <f>"2020"</f>
        <v>2020</v>
      </c>
      <c r="X3710" s="1" t="s">
        <v>35</v>
      </c>
    </row>
    <row r="3711" spans="1:24" x14ac:dyDescent="0.3">
      <c r="A3711" s="1" t="str">
        <f t="shared" si="696"/>
        <v>59820</v>
      </c>
      <c r="B3711" s="1" t="s">
        <v>53</v>
      </c>
      <c r="C3711" s="1" t="s">
        <v>54</v>
      </c>
      <c r="D3711" s="1" t="str">
        <f t="shared" si="694"/>
        <v>9803</v>
      </c>
      <c r="E3711" s="1" t="s">
        <v>32</v>
      </c>
      <c r="F3711" s="1" t="str">
        <f>"1745440917"</f>
        <v>1745440917</v>
      </c>
      <c r="G3711" s="1" t="s">
        <v>33</v>
      </c>
      <c r="H3711" s="1" t="str">
        <f t="shared" si="698"/>
        <v>20220916</v>
      </c>
      <c r="I3711" s="1" t="str">
        <f>"173049"</f>
        <v>173049</v>
      </c>
      <c r="J3711" s="1" t="s">
        <v>34</v>
      </c>
      <c r="K3711" s="1" t="s">
        <v>34</v>
      </c>
      <c r="L3711" s="1" t="str">
        <f t="shared" si="692"/>
        <v>20220916</v>
      </c>
      <c r="M3711" s="1" t="str">
        <f>"175840"</f>
        <v>175840</v>
      </c>
      <c r="N3711" s="1" t="s">
        <v>28</v>
      </c>
      <c r="O3711" s="1" t="s">
        <v>28</v>
      </c>
      <c r="P3711" s="1" t="s">
        <v>55</v>
      </c>
      <c r="Q3711" s="1">
        <v>25</v>
      </c>
      <c r="R3711" s="1">
        <v>25</v>
      </c>
      <c r="S3711" s="1">
        <v>0</v>
      </c>
      <c r="T3711" s="1">
        <v>0</v>
      </c>
      <c r="U3711" s="1">
        <v>0</v>
      </c>
      <c r="V3711" s="1" t="str">
        <f t="shared" si="697"/>
        <v>里程返程</v>
      </c>
      <c r="W3711" s="1" t="str">
        <f>"2020"</f>
        <v>2020</v>
      </c>
      <c r="X3711" s="1" t="s">
        <v>35</v>
      </c>
    </row>
    <row r="3712" spans="1:24" x14ac:dyDescent="0.3">
      <c r="A3712" s="1" t="str">
        <f t="shared" si="696"/>
        <v>59820</v>
      </c>
      <c r="B3712" s="1" t="s">
        <v>53</v>
      </c>
      <c r="C3712" s="1" t="s">
        <v>54</v>
      </c>
      <c r="D3712" s="1" t="str">
        <f t="shared" si="694"/>
        <v>9803</v>
      </c>
      <c r="E3712" s="1" t="s">
        <v>32</v>
      </c>
      <c r="F3712" s="1" t="str">
        <f>"1731857141"</f>
        <v>1731857141</v>
      </c>
      <c r="G3712" s="1" t="s">
        <v>33</v>
      </c>
      <c r="H3712" s="1" t="str">
        <f t="shared" si="698"/>
        <v>20220916</v>
      </c>
      <c r="I3712" s="1" t="str">
        <f>"173052"</f>
        <v>173052</v>
      </c>
      <c r="J3712" s="1" t="s">
        <v>34</v>
      </c>
      <c r="K3712" s="1" t="s">
        <v>34</v>
      </c>
      <c r="L3712" s="1" t="str">
        <f t="shared" si="692"/>
        <v>20220916</v>
      </c>
      <c r="M3712" s="1" t="str">
        <f>"175844"</f>
        <v>175844</v>
      </c>
      <c r="N3712" s="1" t="s">
        <v>28</v>
      </c>
      <c r="O3712" s="1" t="s">
        <v>28</v>
      </c>
      <c r="P3712" s="1" t="s">
        <v>55</v>
      </c>
      <c r="Q3712" s="1">
        <v>25</v>
      </c>
      <c r="R3712" s="1">
        <v>25</v>
      </c>
      <c r="S3712" s="1">
        <v>0</v>
      </c>
      <c r="T3712" s="1">
        <v>0</v>
      </c>
      <c r="U3712" s="1">
        <v>0</v>
      </c>
      <c r="V3712" s="1" t="str">
        <f t="shared" si="697"/>
        <v>里程返程</v>
      </c>
      <c r="W3712" s="1" t="str">
        <f>"2020"</f>
        <v>2020</v>
      </c>
      <c r="X3712" s="1" t="s">
        <v>35</v>
      </c>
    </row>
    <row r="3713" spans="1:24" x14ac:dyDescent="0.3">
      <c r="A3713" s="1" t="str">
        <f t="shared" si="696"/>
        <v>59820</v>
      </c>
      <c r="B3713" s="1" t="s">
        <v>53</v>
      </c>
      <c r="C3713" s="1" t="s">
        <v>54</v>
      </c>
      <c r="D3713" s="1" t="str">
        <f t="shared" ref="D3713:D3725" si="699">"9803"</f>
        <v>9803</v>
      </c>
      <c r="E3713" s="1" t="s">
        <v>32</v>
      </c>
      <c r="F3713" s="1" t="str">
        <f>"319A775A862804001C00000000000000"</f>
        <v>319A775A862804001C00000000000000</v>
      </c>
      <c r="G3713" s="1" t="s">
        <v>58</v>
      </c>
      <c r="H3713" s="1" t="str">
        <f t="shared" si="698"/>
        <v>20220916</v>
      </c>
      <c r="I3713" s="1" t="str">
        <f>"173055"</f>
        <v>173055</v>
      </c>
      <c r="J3713" s="1" t="s">
        <v>34</v>
      </c>
      <c r="K3713" s="1" t="s">
        <v>34</v>
      </c>
      <c r="L3713" s="1" t="str">
        <f t="shared" si="692"/>
        <v>20220916</v>
      </c>
      <c r="M3713" s="1" t="str">
        <f>"175918"</f>
        <v>175918</v>
      </c>
      <c r="N3713" s="1" t="s">
        <v>28</v>
      </c>
      <c r="O3713" s="1" t="s">
        <v>28</v>
      </c>
      <c r="P3713" s="1" t="s">
        <v>55</v>
      </c>
      <c r="Q3713" s="1">
        <v>25</v>
      </c>
      <c r="R3713" s="1">
        <v>25</v>
      </c>
      <c r="S3713" s="1">
        <v>0</v>
      </c>
      <c r="T3713" s="1">
        <v>0</v>
      </c>
      <c r="U3713" s="1">
        <v>0</v>
      </c>
      <c r="V3713" s="1" t="str">
        <f t="shared" si="697"/>
        <v>里程返程</v>
      </c>
      <c r="W3713" s="1" t="str">
        <f>"0020"</f>
        <v>0020</v>
      </c>
      <c r="X3713" s="1" t="s">
        <v>29</v>
      </c>
    </row>
    <row r="3714" spans="1:24" x14ac:dyDescent="0.3">
      <c r="A3714" s="1" t="str">
        <f t="shared" si="696"/>
        <v>59820</v>
      </c>
      <c r="B3714" s="1" t="s">
        <v>53</v>
      </c>
      <c r="C3714" s="1" t="s">
        <v>54</v>
      </c>
      <c r="D3714" s="1" t="str">
        <f t="shared" si="699"/>
        <v>9803</v>
      </c>
      <c r="E3714" s="1" t="s">
        <v>32</v>
      </c>
      <c r="F3714" s="1" t="str">
        <f>"8795BD822D88040043250D550013010F"</f>
        <v>8795BD822D88040043250D550013010F</v>
      </c>
      <c r="G3714" s="1" t="s">
        <v>58</v>
      </c>
      <c r="H3714" s="1" t="str">
        <f t="shared" si="698"/>
        <v>20220916</v>
      </c>
      <c r="I3714" s="1" t="str">
        <f>"173104"</f>
        <v>173104</v>
      </c>
      <c r="J3714" s="1" t="s">
        <v>34</v>
      </c>
      <c r="K3714" s="1" t="s">
        <v>34</v>
      </c>
      <c r="L3714" s="1" t="str">
        <f t="shared" si="692"/>
        <v>20220916</v>
      </c>
      <c r="M3714" s="1" t="str">
        <f>"175900"</f>
        <v>175900</v>
      </c>
      <c r="N3714" s="1" t="s">
        <v>28</v>
      </c>
      <c r="O3714" s="1" t="s">
        <v>28</v>
      </c>
      <c r="P3714" s="1" t="s">
        <v>55</v>
      </c>
      <c r="Q3714" s="1">
        <v>25</v>
      </c>
      <c r="R3714" s="1">
        <v>25</v>
      </c>
      <c r="S3714" s="1">
        <v>0</v>
      </c>
      <c r="T3714" s="1">
        <v>0</v>
      </c>
      <c r="U3714" s="1">
        <v>0</v>
      </c>
      <c r="V3714" s="1" t="str">
        <f t="shared" si="697"/>
        <v>里程返程</v>
      </c>
      <c r="W3714" s="1" t="str">
        <f>"0020"</f>
        <v>0020</v>
      </c>
      <c r="X3714" s="1" t="s">
        <v>29</v>
      </c>
    </row>
    <row r="3715" spans="1:24" x14ac:dyDescent="0.3">
      <c r="A3715" s="1" t="str">
        <f t="shared" si="696"/>
        <v>59820</v>
      </c>
      <c r="B3715" s="1" t="s">
        <v>53</v>
      </c>
      <c r="C3715" s="1" t="s">
        <v>54</v>
      </c>
      <c r="D3715" s="1" t="str">
        <f t="shared" si="699"/>
        <v>9803</v>
      </c>
      <c r="E3715" s="1" t="s">
        <v>32</v>
      </c>
      <c r="F3715" s="1" t="str">
        <f>"410298209"</f>
        <v>410298209</v>
      </c>
      <c r="G3715" s="1" t="s">
        <v>33</v>
      </c>
      <c r="H3715" s="1" t="str">
        <f t="shared" si="698"/>
        <v>20220916</v>
      </c>
      <c r="I3715" s="1" t="str">
        <f>"173109"</f>
        <v>173109</v>
      </c>
      <c r="J3715" s="1" t="s">
        <v>34</v>
      </c>
      <c r="K3715" s="1" t="s">
        <v>34</v>
      </c>
      <c r="L3715" s="1" t="str">
        <f t="shared" si="692"/>
        <v>20220916</v>
      </c>
      <c r="M3715" s="1" t="str">
        <f>"174647"</f>
        <v>174647</v>
      </c>
      <c r="N3715" s="1" t="s">
        <v>46</v>
      </c>
      <c r="O3715" s="1" t="s">
        <v>28</v>
      </c>
      <c r="P3715" s="1" t="s">
        <v>55</v>
      </c>
      <c r="Q3715" s="1">
        <v>25</v>
      </c>
      <c r="R3715" s="1">
        <v>25</v>
      </c>
      <c r="S3715" s="1">
        <v>0</v>
      </c>
      <c r="T3715" s="1">
        <v>0</v>
      </c>
      <c r="U3715" s="1">
        <v>0</v>
      </c>
      <c r="V3715" s="1" t="str">
        <f t="shared" si="697"/>
        <v>里程返程</v>
      </c>
      <c r="W3715" s="1" t="str">
        <f>"0120"</f>
        <v>0120</v>
      </c>
      <c r="X3715" s="1" t="s">
        <v>35</v>
      </c>
    </row>
    <row r="3716" spans="1:24" x14ac:dyDescent="0.3">
      <c r="A3716" s="1" t="str">
        <f t="shared" si="696"/>
        <v>59820</v>
      </c>
      <c r="B3716" s="1" t="s">
        <v>53</v>
      </c>
      <c r="C3716" s="1" t="s">
        <v>54</v>
      </c>
      <c r="D3716" s="1" t="str">
        <f t="shared" si="699"/>
        <v>9803</v>
      </c>
      <c r="E3716" s="1" t="s">
        <v>32</v>
      </c>
      <c r="F3716" s="1" t="str">
        <f>"1518734770"</f>
        <v>1518734770</v>
      </c>
      <c r="G3716" s="1" t="s">
        <v>33</v>
      </c>
      <c r="H3716" s="1" t="str">
        <f t="shared" si="698"/>
        <v>20220916</v>
      </c>
      <c r="I3716" s="1" t="str">
        <f>"173125"</f>
        <v>173125</v>
      </c>
      <c r="J3716" s="1" t="s">
        <v>34</v>
      </c>
      <c r="K3716" s="1" t="s">
        <v>34</v>
      </c>
      <c r="L3716" s="1" t="str">
        <f t="shared" si="692"/>
        <v>20220916</v>
      </c>
      <c r="M3716" s="1" t="str">
        <f>"175911"</f>
        <v>175911</v>
      </c>
      <c r="N3716" s="1" t="s">
        <v>28</v>
      </c>
      <c r="O3716" s="1" t="s">
        <v>28</v>
      </c>
      <c r="P3716" s="1" t="s">
        <v>55</v>
      </c>
      <c r="Q3716" s="1">
        <v>25</v>
      </c>
      <c r="R3716" s="1">
        <v>25</v>
      </c>
      <c r="S3716" s="1">
        <v>0</v>
      </c>
      <c r="T3716" s="1">
        <v>0</v>
      </c>
      <c r="U3716" s="1">
        <v>0</v>
      </c>
      <c r="V3716" s="1" t="str">
        <f t="shared" si="697"/>
        <v>里程返程</v>
      </c>
      <c r="W3716" s="1" t="str">
        <f>"2020"</f>
        <v>2020</v>
      </c>
      <c r="X3716" s="1" t="s">
        <v>35</v>
      </c>
    </row>
    <row r="3717" spans="1:24" x14ac:dyDescent="0.3">
      <c r="A3717" s="1" t="str">
        <f t="shared" si="696"/>
        <v>59820</v>
      </c>
      <c r="B3717" s="1" t="s">
        <v>53</v>
      </c>
      <c r="C3717" s="1" t="s">
        <v>54</v>
      </c>
      <c r="D3717" s="1" t="str">
        <f t="shared" si="699"/>
        <v>9803</v>
      </c>
      <c r="E3717" s="1" t="s">
        <v>32</v>
      </c>
      <c r="F3717" s="1" t="str">
        <f>"665414741"</f>
        <v>665414741</v>
      </c>
      <c r="G3717" s="1" t="s">
        <v>33</v>
      </c>
      <c r="H3717" s="1" t="str">
        <f t="shared" si="698"/>
        <v>20220916</v>
      </c>
      <c r="I3717" s="1" t="str">
        <f>"173130"</f>
        <v>173130</v>
      </c>
      <c r="J3717" s="1" t="s">
        <v>34</v>
      </c>
      <c r="K3717" s="1" t="s">
        <v>34</v>
      </c>
      <c r="L3717" s="1" t="str">
        <f t="shared" si="692"/>
        <v>20220916</v>
      </c>
      <c r="M3717" s="1" t="str">
        <f>"175902"</f>
        <v>175902</v>
      </c>
      <c r="N3717" s="1" t="s">
        <v>28</v>
      </c>
      <c r="O3717" s="1" t="s">
        <v>28</v>
      </c>
      <c r="P3717" s="1" t="s">
        <v>55</v>
      </c>
      <c r="Q3717" s="1">
        <v>25</v>
      </c>
      <c r="R3717" s="1">
        <v>25</v>
      </c>
      <c r="S3717" s="1">
        <v>0</v>
      </c>
      <c r="T3717" s="1">
        <v>0</v>
      </c>
      <c r="U3717" s="1">
        <v>0</v>
      </c>
      <c r="V3717" s="1" t="str">
        <f t="shared" si="697"/>
        <v>里程返程</v>
      </c>
      <c r="W3717" s="1" t="str">
        <f>"2020"</f>
        <v>2020</v>
      </c>
      <c r="X3717" s="1" t="s">
        <v>35</v>
      </c>
    </row>
    <row r="3718" spans="1:24" x14ac:dyDescent="0.3">
      <c r="A3718" s="1" t="str">
        <f t="shared" si="696"/>
        <v>59820</v>
      </c>
      <c r="B3718" s="1" t="s">
        <v>53</v>
      </c>
      <c r="C3718" s="1" t="s">
        <v>54</v>
      </c>
      <c r="D3718" s="1" t="str">
        <f t="shared" si="699"/>
        <v>9803</v>
      </c>
      <c r="E3718" s="1" t="s">
        <v>32</v>
      </c>
      <c r="F3718" s="1" t="str">
        <f>"1108602981"</f>
        <v>1108602981</v>
      </c>
      <c r="G3718" s="1" t="s">
        <v>33</v>
      </c>
      <c r="H3718" s="1" t="str">
        <f t="shared" si="698"/>
        <v>20220916</v>
      </c>
      <c r="I3718" s="1" t="str">
        <f>"173140"</f>
        <v>173140</v>
      </c>
      <c r="J3718" s="1" t="s">
        <v>34</v>
      </c>
      <c r="K3718" s="1" t="s">
        <v>34</v>
      </c>
      <c r="L3718" s="1" t="str">
        <f t="shared" si="692"/>
        <v>20220916</v>
      </c>
      <c r="M3718" s="1" t="str">
        <f>"175857"</f>
        <v>175857</v>
      </c>
      <c r="N3718" s="1" t="s">
        <v>28</v>
      </c>
      <c r="O3718" s="1" t="s">
        <v>28</v>
      </c>
      <c r="P3718" s="1" t="s">
        <v>55</v>
      </c>
      <c r="Q3718" s="1">
        <v>25</v>
      </c>
      <c r="R3718" s="1">
        <v>25</v>
      </c>
      <c r="S3718" s="1">
        <v>0</v>
      </c>
      <c r="T3718" s="1">
        <v>0</v>
      </c>
      <c r="U3718" s="1">
        <v>0</v>
      </c>
      <c r="V3718" s="1" t="str">
        <f t="shared" si="697"/>
        <v>里程返程</v>
      </c>
      <c r="W3718" s="1" t="str">
        <f>"2020"</f>
        <v>2020</v>
      </c>
      <c r="X3718" s="1" t="s">
        <v>35</v>
      </c>
    </row>
    <row r="3719" spans="1:24" x14ac:dyDescent="0.3">
      <c r="A3719" s="1" t="str">
        <f t="shared" si="696"/>
        <v>59820</v>
      </c>
      <c r="B3719" s="1" t="s">
        <v>53</v>
      </c>
      <c r="C3719" s="1" t="s">
        <v>54</v>
      </c>
      <c r="D3719" s="1" t="str">
        <f t="shared" si="699"/>
        <v>9803</v>
      </c>
      <c r="E3719" s="1" t="s">
        <v>32</v>
      </c>
      <c r="F3719" s="1" t="str">
        <f>"592481681"</f>
        <v>592481681</v>
      </c>
      <c r="G3719" s="1" t="s">
        <v>33</v>
      </c>
      <c r="H3719" s="1" t="str">
        <f t="shared" si="698"/>
        <v>20220916</v>
      </c>
      <c r="I3719" s="1" t="str">
        <f>"173145"</f>
        <v>173145</v>
      </c>
      <c r="J3719" s="1" t="s">
        <v>34</v>
      </c>
      <c r="K3719" s="1" t="s">
        <v>34</v>
      </c>
      <c r="L3719" s="1" t="str">
        <f t="shared" si="692"/>
        <v>20220916</v>
      </c>
      <c r="M3719" s="1" t="str">
        <f>"175854"</f>
        <v>175854</v>
      </c>
      <c r="N3719" s="1" t="s">
        <v>28</v>
      </c>
      <c r="O3719" s="1" t="s">
        <v>28</v>
      </c>
      <c r="P3719" s="1" t="s">
        <v>55</v>
      </c>
      <c r="Q3719" s="1">
        <v>25</v>
      </c>
      <c r="R3719" s="1">
        <v>25</v>
      </c>
      <c r="S3719" s="1">
        <v>0</v>
      </c>
      <c r="T3719" s="1">
        <v>0</v>
      </c>
      <c r="U3719" s="1">
        <v>0</v>
      </c>
      <c r="V3719" s="1" t="str">
        <f t="shared" si="697"/>
        <v>里程返程</v>
      </c>
      <c r="W3719" s="1" t="str">
        <f>"2020"</f>
        <v>2020</v>
      </c>
      <c r="X3719" s="1" t="s">
        <v>35</v>
      </c>
    </row>
    <row r="3720" spans="1:24" x14ac:dyDescent="0.3">
      <c r="A3720" s="1" t="str">
        <f t="shared" si="696"/>
        <v>59820</v>
      </c>
      <c r="B3720" s="1" t="s">
        <v>53</v>
      </c>
      <c r="C3720" s="1" t="s">
        <v>54</v>
      </c>
      <c r="D3720" s="1" t="str">
        <f t="shared" si="699"/>
        <v>9803</v>
      </c>
      <c r="E3720" s="1" t="s">
        <v>32</v>
      </c>
      <c r="F3720" s="1" t="str">
        <f>"73208881"</f>
        <v>73208881</v>
      </c>
      <c r="G3720" s="1" t="s">
        <v>33</v>
      </c>
      <c r="H3720" s="1" t="str">
        <f t="shared" si="698"/>
        <v>20220916</v>
      </c>
      <c r="I3720" s="1" t="str">
        <f>"173208"</f>
        <v>173208</v>
      </c>
      <c r="J3720" s="1" t="s">
        <v>34</v>
      </c>
      <c r="K3720" s="1" t="s">
        <v>34</v>
      </c>
      <c r="L3720" s="1" t="str">
        <f t="shared" si="692"/>
        <v>20220916</v>
      </c>
      <c r="M3720" s="1" t="str">
        <f>"175851"</f>
        <v>175851</v>
      </c>
      <c r="N3720" s="1" t="s">
        <v>28</v>
      </c>
      <c r="O3720" s="1" t="s">
        <v>28</v>
      </c>
      <c r="P3720" s="1" t="s">
        <v>55</v>
      </c>
      <c r="Q3720" s="1">
        <v>25</v>
      </c>
      <c r="R3720" s="1">
        <v>25</v>
      </c>
      <c r="S3720" s="1">
        <v>0</v>
      </c>
      <c r="T3720" s="1">
        <v>0</v>
      </c>
      <c r="U3720" s="1">
        <v>0</v>
      </c>
      <c r="V3720" s="1" t="str">
        <f t="shared" si="697"/>
        <v>里程返程</v>
      </c>
      <c r="W3720" s="1" t="str">
        <f>"0220"</f>
        <v>0220</v>
      </c>
      <c r="X3720" s="1" t="s">
        <v>35</v>
      </c>
    </row>
    <row r="3721" spans="1:24" x14ac:dyDescent="0.3">
      <c r="A3721" s="1" t="str">
        <f t="shared" si="696"/>
        <v>59820</v>
      </c>
      <c r="B3721" s="1" t="s">
        <v>53</v>
      </c>
      <c r="C3721" s="1" t="s">
        <v>54</v>
      </c>
      <c r="D3721" s="1" t="str">
        <f t="shared" si="699"/>
        <v>9803</v>
      </c>
      <c r="E3721" s="1" t="s">
        <v>32</v>
      </c>
      <c r="F3721" s="1" t="str">
        <f>"802165089"</f>
        <v>802165089</v>
      </c>
      <c r="G3721" s="1" t="s">
        <v>33</v>
      </c>
      <c r="H3721" s="1" t="str">
        <f t="shared" si="698"/>
        <v>20220916</v>
      </c>
      <c r="I3721" s="1" t="str">
        <f>"173217"</f>
        <v>173217</v>
      </c>
      <c r="J3721" s="1" t="s">
        <v>34</v>
      </c>
      <c r="K3721" s="1" t="s">
        <v>34</v>
      </c>
      <c r="L3721" s="1" t="str">
        <f t="shared" si="692"/>
        <v>20220916</v>
      </c>
      <c r="M3721" s="1" t="str">
        <f>"175905"</f>
        <v>175905</v>
      </c>
      <c r="N3721" s="1" t="s">
        <v>28</v>
      </c>
      <c r="O3721" s="1" t="s">
        <v>28</v>
      </c>
      <c r="P3721" s="1" t="s">
        <v>55</v>
      </c>
      <c r="Q3721" s="1">
        <v>25</v>
      </c>
      <c r="R3721" s="1">
        <v>25</v>
      </c>
      <c r="S3721" s="1">
        <v>0</v>
      </c>
      <c r="T3721" s="1">
        <v>0</v>
      </c>
      <c r="U3721" s="1">
        <v>0</v>
      </c>
      <c r="V3721" s="1" t="str">
        <f t="shared" si="697"/>
        <v>里程返程</v>
      </c>
      <c r="W3721" s="1" t="str">
        <f>"2020"</f>
        <v>2020</v>
      </c>
      <c r="X3721" s="1" t="s">
        <v>35</v>
      </c>
    </row>
    <row r="3722" spans="1:24" x14ac:dyDescent="0.3">
      <c r="A3722" s="1" t="str">
        <f t="shared" si="696"/>
        <v>59820</v>
      </c>
      <c r="B3722" s="1" t="s">
        <v>53</v>
      </c>
      <c r="C3722" s="1" t="s">
        <v>54</v>
      </c>
      <c r="D3722" s="1" t="str">
        <f t="shared" si="699"/>
        <v>9803</v>
      </c>
      <c r="E3722" s="1" t="s">
        <v>32</v>
      </c>
      <c r="F3722" s="1" t="str">
        <f>"2662351919"</f>
        <v>2662351919</v>
      </c>
      <c r="G3722" s="1" t="s">
        <v>33</v>
      </c>
      <c r="H3722" s="1" t="str">
        <f t="shared" si="698"/>
        <v>20220916</v>
      </c>
      <c r="I3722" s="1" t="str">
        <f>"173229"</f>
        <v>173229</v>
      </c>
      <c r="J3722" s="1" t="s">
        <v>34</v>
      </c>
      <c r="K3722" s="1" t="s">
        <v>34</v>
      </c>
      <c r="L3722" s="1" t="str">
        <f t="shared" si="692"/>
        <v>20220916</v>
      </c>
      <c r="M3722" s="1" t="str">
        <f>"175829"</f>
        <v>175829</v>
      </c>
      <c r="N3722" s="1" t="s">
        <v>28</v>
      </c>
      <c r="O3722" s="1" t="s">
        <v>28</v>
      </c>
      <c r="P3722" s="1" t="s">
        <v>55</v>
      </c>
      <c r="Q3722" s="1">
        <v>25</v>
      </c>
      <c r="R3722" s="1">
        <v>25</v>
      </c>
      <c r="S3722" s="1">
        <v>0</v>
      </c>
      <c r="T3722" s="1">
        <v>0</v>
      </c>
      <c r="U3722" s="1">
        <v>0</v>
      </c>
      <c r="V3722" s="1" t="str">
        <f t="shared" si="697"/>
        <v>里程返程</v>
      </c>
      <c r="W3722" s="1" t="str">
        <f>"2020"</f>
        <v>2020</v>
      </c>
      <c r="X3722" s="1" t="s">
        <v>35</v>
      </c>
    </row>
    <row r="3723" spans="1:24" x14ac:dyDescent="0.3">
      <c r="A3723" s="1" t="str">
        <f t="shared" si="696"/>
        <v>59820</v>
      </c>
      <c r="B3723" s="1" t="s">
        <v>53</v>
      </c>
      <c r="C3723" s="1" t="s">
        <v>54</v>
      </c>
      <c r="D3723" s="1" t="str">
        <f t="shared" si="699"/>
        <v>9803</v>
      </c>
      <c r="E3723" s="1" t="s">
        <v>32</v>
      </c>
      <c r="F3723" s="1" t="str">
        <f>"1878162449"</f>
        <v>1878162449</v>
      </c>
      <c r="G3723" s="1" t="s">
        <v>33</v>
      </c>
      <c r="H3723" s="1" t="str">
        <f t="shared" si="698"/>
        <v>20220916</v>
      </c>
      <c r="I3723" s="1" t="str">
        <f>"173334"</f>
        <v>173334</v>
      </c>
      <c r="J3723" s="1" t="s">
        <v>34</v>
      </c>
      <c r="K3723" s="1" t="s">
        <v>34</v>
      </c>
      <c r="L3723" s="1" t="str">
        <f t="shared" si="692"/>
        <v>20220916</v>
      </c>
      <c r="M3723" s="1" t="str">
        <f>"175810"</f>
        <v>175810</v>
      </c>
      <c r="N3723" s="1" t="s">
        <v>28</v>
      </c>
      <c r="O3723" s="1" t="s">
        <v>28</v>
      </c>
      <c r="P3723" s="1" t="s">
        <v>55</v>
      </c>
      <c r="Q3723" s="1">
        <v>25</v>
      </c>
      <c r="R3723" s="1">
        <v>25</v>
      </c>
      <c r="S3723" s="1">
        <v>0</v>
      </c>
      <c r="T3723" s="1">
        <v>0</v>
      </c>
      <c r="U3723" s="1">
        <v>0</v>
      </c>
      <c r="V3723" s="1" t="str">
        <f t="shared" si="697"/>
        <v>里程返程</v>
      </c>
      <c r="W3723" s="1" t="str">
        <f>"2020"</f>
        <v>2020</v>
      </c>
      <c r="X3723" s="1" t="s">
        <v>35</v>
      </c>
    </row>
    <row r="3724" spans="1:24" x14ac:dyDescent="0.3">
      <c r="A3724" s="1" t="str">
        <f t="shared" si="696"/>
        <v>59820</v>
      </c>
      <c r="B3724" s="1" t="s">
        <v>53</v>
      </c>
      <c r="C3724" s="1" t="s">
        <v>54</v>
      </c>
      <c r="D3724" s="1" t="str">
        <f t="shared" si="699"/>
        <v>9803</v>
      </c>
      <c r="E3724" s="1" t="s">
        <v>32</v>
      </c>
      <c r="F3724" s="1" t="str">
        <f>"803317525"</f>
        <v>803317525</v>
      </c>
      <c r="G3724" s="1" t="s">
        <v>33</v>
      </c>
      <c r="H3724" s="1" t="str">
        <f t="shared" si="698"/>
        <v>20220916</v>
      </c>
      <c r="I3724" s="1" t="str">
        <f>"173346"</f>
        <v>173346</v>
      </c>
      <c r="J3724" s="1" t="s">
        <v>34</v>
      </c>
      <c r="K3724" s="1" t="s">
        <v>34</v>
      </c>
      <c r="L3724" s="1" t="str">
        <f t="shared" si="692"/>
        <v>20220916</v>
      </c>
      <c r="M3724" s="1" t="str">
        <f>"175826"</f>
        <v>175826</v>
      </c>
      <c r="N3724" s="1" t="s">
        <v>28</v>
      </c>
      <c r="O3724" s="1" t="s">
        <v>28</v>
      </c>
      <c r="P3724" s="1" t="s">
        <v>55</v>
      </c>
      <c r="Q3724" s="1">
        <v>25</v>
      </c>
      <c r="R3724" s="1">
        <v>25</v>
      </c>
      <c r="S3724" s="1">
        <v>0</v>
      </c>
      <c r="T3724" s="1">
        <v>0</v>
      </c>
      <c r="U3724" s="1">
        <v>0</v>
      </c>
      <c r="V3724" s="1" t="str">
        <f t="shared" si="697"/>
        <v>里程返程</v>
      </c>
      <c r="W3724" s="1" t="str">
        <f>"0120"</f>
        <v>0120</v>
      </c>
      <c r="X3724" s="1" t="s">
        <v>35</v>
      </c>
    </row>
    <row r="3725" spans="1:24" x14ac:dyDescent="0.3">
      <c r="A3725" s="1" t="str">
        <f t="shared" si="696"/>
        <v>59820</v>
      </c>
      <c r="B3725" s="1" t="s">
        <v>53</v>
      </c>
      <c r="C3725" s="1" t="s">
        <v>54</v>
      </c>
      <c r="D3725" s="1" t="str">
        <f t="shared" si="699"/>
        <v>9803</v>
      </c>
      <c r="E3725" s="1" t="s">
        <v>32</v>
      </c>
      <c r="F3725" s="1" t="str">
        <f>"1739076227"</f>
        <v>1739076227</v>
      </c>
      <c r="G3725" s="1" t="s">
        <v>33</v>
      </c>
      <c r="H3725" s="1" t="str">
        <f t="shared" si="698"/>
        <v>20220916</v>
      </c>
      <c r="I3725" s="1" t="str">
        <f>"173409"</f>
        <v>173409</v>
      </c>
      <c r="J3725" s="1" t="s">
        <v>34</v>
      </c>
      <c r="K3725" s="1" t="s">
        <v>34</v>
      </c>
      <c r="L3725" s="1" t="str">
        <f t="shared" si="692"/>
        <v>20220916</v>
      </c>
      <c r="M3725" s="1" t="str">
        <f>"175819"</f>
        <v>175819</v>
      </c>
      <c r="N3725" s="1" t="s">
        <v>28</v>
      </c>
      <c r="O3725" s="1" t="s">
        <v>28</v>
      </c>
      <c r="P3725" s="1" t="s">
        <v>55</v>
      </c>
      <c r="Q3725" s="1">
        <v>25</v>
      </c>
      <c r="R3725" s="1">
        <v>25</v>
      </c>
      <c r="S3725" s="1">
        <v>0</v>
      </c>
      <c r="T3725" s="1">
        <v>0</v>
      </c>
      <c r="U3725" s="1">
        <v>0</v>
      </c>
      <c r="V3725" s="1" t="str">
        <f t="shared" si="697"/>
        <v>里程返程</v>
      </c>
      <c r="W3725" s="1" t="str">
        <f>"2020"</f>
        <v>2020</v>
      </c>
      <c r="X3725" s="1" t="s">
        <v>35</v>
      </c>
    </row>
    <row r="3726" spans="1:24" x14ac:dyDescent="0.3">
      <c r="A3726" s="1" t="str">
        <f t="shared" si="696"/>
        <v>59820</v>
      </c>
      <c r="B3726" s="1" t="s">
        <v>53</v>
      </c>
      <c r="C3726" s="1" t="s">
        <v>54</v>
      </c>
      <c r="D3726" s="1" t="str">
        <f t="shared" ref="D3726:D3731" si="700">"9805"</f>
        <v>9805</v>
      </c>
      <c r="E3726" s="1" t="s">
        <v>57</v>
      </c>
      <c r="F3726" s="1" t="str">
        <f>"186643809"</f>
        <v>186643809</v>
      </c>
      <c r="G3726" s="1" t="s">
        <v>33</v>
      </c>
      <c r="H3726" s="1" t="str">
        <f t="shared" si="698"/>
        <v>20220916</v>
      </c>
      <c r="I3726" s="1" t="str">
        <f>"175951"</f>
        <v>175951</v>
      </c>
      <c r="J3726" s="1" t="s">
        <v>28</v>
      </c>
      <c r="K3726" s="1" t="s">
        <v>28</v>
      </c>
      <c r="L3726" s="1" t="str">
        <f t="shared" si="692"/>
        <v>20220916</v>
      </c>
      <c r="M3726" s="1" t="str">
        <f>"181526"</f>
        <v>181526</v>
      </c>
      <c r="N3726" s="1" t="s">
        <v>52</v>
      </c>
      <c r="O3726" s="1" t="s">
        <v>52</v>
      </c>
      <c r="P3726" s="1" t="s">
        <v>55</v>
      </c>
      <c r="Q3726" s="1">
        <v>25</v>
      </c>
      <c r="R3726" s="1">
        <v>25</v>
      </c>
      <c r="S3726" s="1">
        <v>0</v>
      </c>
      <c r="T3726" s="1">
        <v>0</v>
      </c>
      <c r="U3726" s="1">
        <v>0</v>
      </c>
      <c r="V3726" s="1" t="str">
        <f>"里程去程"</f>
        <v>里程去程</v>
      </c>
      <c r="W3726" s="1" t="str">
        <f>"0820"</f>
        <v>0820</v>
      </c>
      <c r="X3726" s="1" t="s">
        <v>35</v>
      </c>
    </row>
    <row r="3727" spans="1:24" x14ac:dyDescent="0.3">
      <c r="A3727" s="1" t="str">
        <f t="shared" si="696"/>
        <v>59820</v>
      </c>
      <c r="B3727" s="1" t="s">
        <v>53</v>
      </c>
      <c r="C3727" s="1" t="s">
        <v>54</v>
      </c>
      <c r="D3727" s="1" t="str">
        <f t="shared" si="700"/>
        <v>9805</v>
      </c>
      <c r="E3727" s="1" t="s">
        <v>57</v>
      </c>
      <c r="F3727" s="1" t="str">
        <f>"724BD919F9880400C824002000000020"</f>
        <v>724BD919F9880400C824002000000020</v>
      </c>
      <c r="G3727" s="1" t="s">
        <v>58</v>
      </c>
      <c r="H3727" s="1" t="str">
        <f t="shared" si="698"/>
        <v>20220916</v>
      </c>
      <c r="I3727" s="1" t="str">
        <f>"180006"</f>
        <v>180006</v>
      </c>
      <c r="J3727" s="1" t="s">
        <v>28</v>
      </c>
      <c r="K3727" s="1" t="s">
        <v>28</v>
      </c>
      <c r="L3727" s="1" t="str">
        <f t="shared" si="692"/>
        <v>20220916</v>
      </c>
      <c r="M3727" s="1" t="str">
        <f>"181304"</f>
        <v>181304</v>
      </c>
      <c r="N3727" s="1" t="s">
        <v>62</v>
      </c>
      <c r="O3727" s="1" t="s">
        <v>28</v>
      </c>
      <c r="P3727" s="1" t="s">
        <v>55</v>
      </c>
      <c r="Q3727" s="1">
        <v>25</v>
      </c>
      <c r="R3727" s="1">
        <v>25</v>
      </c>
      <c r="S3727" s="1">
        <v>0</v>
      </c>
      <c r="T3727" s="1">
        <v>0</v>
      </c>
      <c r="U3727" s="1">
        <v>0</v>
      </c>
      <c r="V3727" s="1" t="str">
        <f>"里程去程"</f>
        <v>里程去程</v>
      </c>
      <c r="W3727" s="1" t="str">
        <f>"0020"</f>
        <v>0020</v>
      </c>
      <c r="X3727" s="1" t="s">
        <v>29</v>
      </c>
    </row>
    <row r="3728" spans="1:24" x14ac:dyDescent="0.3">
      <c r="A3728" s="1" t="str">
        <f t="shared" si="696"/>
        <v>59820</v>
      </c>
      <c r="B3728" s="1" t="s">
        <v>53</v>
      </c>
      <c r="C3728" s="1" t="s">
        <v>54</v>
      </c>
      <c r="D3728" s="1" t="str">
        <f t="shared" si="700"/>
        <v>9805</v>
      </c>
      <c r="E3728" s="1" t="s">
        <v>57</v>
      </c>
      <c r="F3728" s="1" t="str">
        <f>"806467669"</f>
        <v>806467669</v>
      </c>
      <c r="G3728" s="1" t="s">
        <v>33</v>
      </c>
      <c r="H3728" s="1" t="str">
        <f t="shared" si="698"/>
        <v>20220916</v>
      </c>
      <c r="I3728" s="1" t="str">
        <f>"181612"</f>
        <v>181612</v>
      </c>
      <c r="J3728" s="1" t="s">
        <v>52</v>
      </c>
      <c r="K3728" s="1" t="s">
        <v>52</v>
      </c>
      <c r="L3728" s="1" t="str">
        <f t="shared" si="692"/>
        <v>20220916</v>
      </c>
      <c r="M3728" s="1" t="str">
        <f>"183649"</f>
        <v>183649</v>
      </c>
      <c r="N3728" s="1" t="s">
        <v>28</v>
      </c>
      <c r="O3728" s="1" t="s">
        <v>28</v>
      </c>
      <c r="P3728" s="1" t="s">
        <v>55</v>
      </c>
      <c r="Q3728" s="1">
        <v>25</v>
      </c>
      <c r="R3728" s="1">
        <v>25</v>
      </c>
      <c r="S3728" s="1">
        <v>0</v>
      </c>
      <c r="T3728" s="1">
        <v>0</v>
      </c>
      <c r="U3728" s="1">
        <v>0</v>
      </c>
      <c r="V3728" s="1" t="str">
        <f>"里程返程"</f>
        <v>里程返程</v>
      </c>
      <c r="W3728" s="1" t="str">
        <f>"2120"</f>
        <v>2120</v>
      </c>
      <c r="X3728" s="1" t="s">
        <v>35</v>
      </c>
    </row>
    <row r="3729" spans="1:24" x14ac:dyDescent="0.3">
      <c r="A3729" s="1" t="str">
        <f t="shared" si="696"/>
        <v>59820</v>
      </c>
      <c r="B3729" s="1" t="s">
        <v>53</v>
      </c>
      <c r="C3729" s="1" t="s">
        <v>54</v>
      </c>
      <c r="D3729" s="1" t="str">
        <f t="shared" si="700"/>
        <v>9805</v>
      </c>
      <c r="E3729" s="1" t="s">
        <v>57</v>
      </c>
      <c r="F3729" s="1" t="str">
        <f>"7511161290005753"</f>
        <v>7511161290005753</v>
      </c>
      <c r="G3729" s="1" t="s">
        <v>33</v>
      </c>
      <c r="H3729" s="1" t="str">
        <f t="shared" si="698"/>
        <v>20220916</v>
      </c>
      <c r="I3729" s="1" t="str">
        <f>"181615"</f>
        <v>181615</v>
      </c>
      <c r="J3729" s="1" t="s">
        <v>52</v>
      </c>
      <c r="K3729" s="1" t="s">
        <v>52</v>
      </c>
      <c r="L3729" s="1" t="str">
        <f t="shared" si="692"/>
        <v>20220916</v>
      </c>
      <c r="M3729" s="1" t="str">
        <f>"183652"</f>
        <v>183652</v>
      </c>
      <c r="N3729" s="1" t="s">
        <v>28</v>
      </c>
      <c r="O3729" s="1" t="s">
        <v>28</v>
      </c>
      <c r="P3729" s="1" t="s">
        <v>55</v>
      </c>
      <c r="Q3729" s="1">
        <v>25</v>
      </c>
      <c r="R3729" s="1">
        <v>25</v>
      </c>
      <c r="S3729" s="1">
        <v>0</v>
      </c>
      <c r="T3729" s="1">
        <v>0</v>
      </c>
      <c r="U3729" s="1">
        <v>0</v>
      </c>
      <c r="V3729" s="1" t="str">
        <f>"里程返程"</f>
        <v>里程返程</v>
      </c>
      <c r="W3729" s="1" t="str">
        <f>"083B"</f>
        <v>083B</v>
      </c>
      <c r="X3729" s="1" t="s">
        <v>109</v>
      </c>
    </row>
    <row r="3730" spans="1:24" x14ac:dyDescent="0.3">
      <c r="A3730" s="1" t="str">
        <f t="shared" si="696"/>
        <v>59820</v>
      </c>
      <c r="B3730" s="1" t="s">
        <v>53</v>
      </c>
      <c r="C3730" s="1" t="s">
        <v>54</v>
      </c>
      <c r="D3730" s="1" t="str">
        <f t="shared" si="700"/>
        <v>9805</v>
      </c>
      <c r="E3730" s="1" t="s">
        <v>57</v>
      </c>
      <c r="F3730" s="1" t="str">
        <f>"E84C6D6BA2880400468E1E9359800713"</f>
        <v>E84C6D6BA2880400468E1E9359800713</v>
      </c>
      <c r="G3730" s="1" t="s">
        <v>59</v>
      </c>
      <c r="H3730" s="1" t="str">
        <f t="shared" si="698"/>
        <v>20220916</v>
      </c>
      <c r="I3730" s="1" t="str">
        <f>"182716"</f>
        <v>182716</v>
      </c>
      <c r="J3730" s="1" t="s">
        <v>103</v>
      </c>
      <c r="K3730" s="1" t="s">
        <v>28</v>
      </c>
      <c r="L3730" s="1" t="str">
        <f t="shared" si="692"/>
        <v>20220916</v>
      </c>
      <c r="M3730" s="1" t="str">
        <f>"183644"</f>
        <v>183644</v>
      </c>
      <c r="N3730" s="1" t="s">
        <v>28</v>
      </c>
      <c r="O3730" s="1" t="s">
        <v>28</v>
      </c>
      <c r="P3730" s="1" t="s">
        <v>55</v>
      </c>
      <c r="Q3730" s="1">
        <v>25</v>
      </c>
      <c r="R3730" s="1">
        <v>25</v>
      </c>
      <c r="S3730" s="1">
        <v>0</v>
      </c>
      <c r="T3730" s="1">
        <v>0</v>
      </c>
      <c r="U3730" s="1">
        <v>0</v>
      </c>
      <c r="V3730" s="1" t="str">
        <f>"里程返程"</f>
        <v>里程返程</v>
      </c>
      <c r="W3730" s="1" t="str">
        <f>"0020"</f>
        <v>0020</v>
      </c>
      <c r="X3730" s="1" t="s">
        <v>29</v>
      </c>
    </row>
    <row r="3731" spans="1:24" x14ac:dyDescent="0.3">
      <c r="A3731" s="1" t="str">
        <f t="shared" ref="A3731:A3770" si="701">"59822"</f>
        <v>59822</v>
      </c>
      <c r="B3731" s="1" t="s">
        <v>39</v>
      </c>
      <c r="C3731" s="1" t="s">
        <v>40</v>
      </c>
      <c r="D3731" s="1" t="str">
        <f t="shared" si="700"/>
        <v>9805</v>
      </c>
      <c r="E3731" s="1" t="s">
        <v>57</v>
      </c>
      <c r="F3731" s="1" t="str">
        <f>"1057036917"</f>
        <v>1057036917</v>
      </c>
      <c r="G3731" s="1" t="s">
        <v>33</v>
      </c>
      <c r="H3731" s="1" t="str">
        <f t="shared" si="698"/>
        <v>20220916</v>
      </c>
      <c r="I3731" s="1" t="str">
        <f>"103814"</f>
        <v>103814</v>
      </c>
      <c r="J3731" s="1" t="s">
        <v>28</v>
      </c>
      <c r="K3731" s="1" t="s">
        <v>28</v>
      </c>
      <c r="L3731" s="1" t="str">
        <f t="shared" si="692"/>
        <v>20220916</v>
      </c>
      <c r="M3731" s="1" t="str">
        <f>"105610"</f>
        <v>105610</v>
      </c>
      <c r="N3731" s="1" t="s">
        <v>52</v>
      </c>
      <c r="O3731" s="1" t="s">
        <v>52</v>
      </c>
      <c r="P3731" s="1" t="s">
        <v>55</v>
      </c>
      <c r="Q3731" s="1">
        <v>25</v>
      </c>
      <c r="R3731" s="1">
        <v>25</v>
      </c>
      <c r="S3731" s="1">
        <v>0</v>
      </c>
      <c r="T3731" s="1">
        <v>0</v>
      </c>
      <c r="U3731" s="1">
        <v>0</v>
      </c>
      <c r="V3731" s="1" t="str">
        <f t="shared" ref="V3731:V3760" si="702">"里程去程"</f>
        <v>里程去程</v>
      </c>
      <c r="W3731" s="1" t="str">
        <f>"0020"</f>
        <v>0020</v>
      </c>
      <c r="X3731" s="1" t="s">
        <v>35</v>
      </c>
    </row>
    <row r="3732" spans="1:24" x14ac:dyDescent="0.3">
      <c r="A3732" s="1" t="str">
        <f t="shared" si="701"/>
        <v>59822</v>
      </c>
      <c r="B3732" s="1" t="s">
        <v>39</v>
      </c>
      <c r="C3732" s="1" t="s">
        <v>40</v>
      </c>
      <c r="D3732" s="1" t="str">
        <f t="shared" ref="D3732:D3769" si="703">"9801"</f>
        <v>9801</v>
      </c>
      <c r="E3732" s="1" t="s">
        <v>25</v>
      </c>
      <c r="F3732" s="1" t="str">
        <f>"42AFE60209880400C834002000000015"</f>
        <v>42AFE60209880400C834002000000015</v>
      </c>
      <c r="G3732" s="1" t="s">
        <v>74</v>
      </c>
      <c r="H3732" s="1" t="str">
        <f t="shared" si="698"/>
        <v>20220916</v>
      </c>
      <c r="I3732" s="1" t="str">
        <f>"105753"</f>
        <v>105753</v>
      </c>
      <c r="J3732" s="1" t="s">
        <v>52</v>
      </c>
      <c r="K3732" s="1" t="s">
        <v>52</v>
      </c>
      <c r="L3732" s="1" t="str">
        <f t="shared" si="692"/>
        <v>20220916</v>
      </c>
      <c r="M3732" s="1" t="str">
        <f>"111529"</f>
        <v>111529</v>
      </c>
      <c r="N3732" s="1" t="s">
        <v>80</v>
      </c>
      <c r="O3732" s="1" t="s">
        <v>52</v>
      </c>
      <c r="P3732" s="1" t="s">
        <v>68</v>
      </c>
      <c r="Q3732" s="1">
        <v>13</v>
      </c>
      <c r="R3732" s="1">
        <v>0</v>
      </c>
      <c r="S3732" s="1">
        <v>0</v>
      </c>
      <c r="T3732" s="1">
        <v>13</v>
      </c>
      <c r="U3732" s="1">
        <v>0</v>
      </c>
      <c r="V3732" s="1" t="str">
        <f t="shared" si="702"/>
        <v>里程去程</v>
      </c>
      <c r="W3732" s="1" t="str">
        <f>"0020"</f>
        <v>0020</v>
      </c>
      <c r="X3732" s="1" t="s">
        <v>29</v>
      </c>
    </row>
    <row r="3733" spans="1:24" x14ac:dyDescent="0.3">
      <c r="A3733" s="1" t="str">
        <f t="shared" si="701"/>
        <v>59822</v>
      </c>
      <c r="B3733" s="1" t="s">
        <v>39</v>
      </c>
      <c r="C3733" s="1" t="s">
        <v>40</v>
      </c>
      <c r="D3733" s="1" t="str">
        <f t="shared" si="703"/>
        <v>9801</v>
      </c>
      <c r="E3733" s="1" t="s">
        <v>25</v>
      </c>
      <c r="F3733" s="1" t="str">
        <f>"1390838465"</f>
        <v>1390838465</v>
      </c>
      <c r="G3733" s="1" t="s">
        <v>26</v>
      </c>
      <c r="H3733" s="1" t="str">
        <f t="shared" si="698"/>
        <v>20220916</v>
      </c>
      <c r="I3733" s="1" t="str">
        <f>"113416"</f>
        <v>113416</v>
      </c>
      <c r="J3733" s="1" t="s">
        <v>27</v>
      </c>
      <c r="K3733" s="1" t="s">
        <v>28</v>
      </c>
      <c r="L3733" s="1" t="str">
        <f t="shared" si="692"/>
        <v>20220916</v>
      </c>
      <c r="M3733" s="1" t="str">
        <f>"114742"</f>
        <v>114742</v>
      </c>
      <c r="N3733" s="1" t="s">
        <v>61</v>
      </c>
      <c r="O3733" s="1" t="s">
        <v>45</v>
      </c>
      <c r="P3733" s="1" t="s">
        <v>55</v>
      </c>
      <c r="Q3733" s="1">
        <v>13</v>
      </c>
      <c r="R3733" s="1">
        <v>13</v>
      </c>
      <c r="S3733" s="1">
        <v>0</v>
      </c>
      <c r="T3733" s="1">
        <v>0</v>
      </c>
      <c r="U3733" s="1">
        <v>0</v>
      </c>
      <c r="V3733" s="1" t="str">
        <f t="shared" si="702"/>
        <v>里程去程</v>
      </c>
      <c r="W3733" s="1" t="str">
        <f>"0120"</f>
        <v>0120</v>
      </c>
      <c r="X3733" s="1" t="s">
        <v>35</v>
      </c>
    </row>
    <row r="3734" spans="1:24" x14ac:dyDescent="0.3">
      <c r="A3734" s="1" t="str">
        <f t="shared" si="701"/>
        <v>59822</v>
      </c>
      <c r="B3734" s="1" t="s">
        <v>39</v>
      </c>
      <c r="C3734" s="1" t="s">
        <v>40</v>
      </c>
      <c r="D3734" s="1" t="str">
        <f t="shared" si="703"/>
        <v>9801</v>
      </c>
      <c r="E3734" s="1" t="s">
        <v>25</v>
      </c>
      <c r="F3734" s="1" t="str">
        <f>"1741726117"</f>
        <v>1741726117</v>
      </c>
      <c r="G3734" s="1" t="s">
        <v>26</v>
      </c>
      <c r="H3734" s="1" t="str">
        <f t="shared" si="698"/>
        <v>20220916</v>
      </c>
      <c r="I3734" s="1" t="str">
        <f>"113419"</f>
        <v>113419</v>
      </c>
      <c r="J3734" s="1" t="s">
        <v>27</v>
      </c>
      <c r="K3734" s="1" t="s">
        <v>28</v>
      </c>
      <c r="L3734" s="1" t="str">
        <f t="shared" si="692"/>
        <v>20220916</v>
      </c>
      <c r="M3734" s="1" t="str">
        <f>"114741"</f>
        <v>114741</v>
      </c>
      <c r="N3734" s="1" t="s">
        <v>61</v>
      </c>
      <c r="O3734" s="1" t="s">
        <v>45</v>
      </c>
      <c r="P3734" s="1" t="s">
        <v>55</v>
      </c>
      <c r="Q3734" s="1">
        <v>13</v>
      </c>
      <c r="R3734" s="1">
        <v>13</v>
      </c>
      <c r="S3734" s="1">
        <v>0</v>
      </c>
      <c r="T3734" s="1">
        <v>0</v>
      </c>
      <c r="U3734" s="1">
        <v>0</v>
      </c>
      <c r="V3734" s="1" t="str">
        <f t="shared" si="702"/>
        <v>里程去程</v>
      </c>
      <c r="W3734" s="1" t="str">
        <f>"0c20"</f>
        <v>0c20</v>
      </c>
      <c r="X3734" s="1" t="s">
        <v>35</v>
      </c>
    </row>
    <row r="3735" spans="1:24" x14ac:dyDescent="0.3">
      <c r="A3735" s="1" t="str">
        <f t="shared" si="701"/>
        <v>59822</v>
      </c>
      <c r="B3735" s="1" t="s">
        <v>39</v>
      </c>
      <c r="C3735" s="1" t="s">
        <v>40</v>
      </c>
      <c r="D3735" s="1" t="str">
        <f t="shared" si="703"/>
        <v>9801</v>
      </c>
      <c r="E3735" s="1" t="s">
        <v>25</v>
      </c>
      <c r="F3735" s="1" t="str">
        <f>"459281953"</f>
        <v>459281953</v>
      </c>
      <c r="G3735" s="1" t="s">
        <v>26</v>
      </c>
      <c r="H3735" s="1" t="str">
        <f t="shared" si="698"/>
        <v>20220916</v>
      </c>
      <c r="I3735" s="1" t="str">
        <f>"113421"</f>
        <v>113421</v>
      </c>
      <c r="J3735" s="1" t="s">
        <v>27</v>
      </c>
      <c r="K3735" s="1" t="s">
        <v>28</v>
      </c>
      <c r="L3735" s="1" t="str">
        <f t="shared" si="692"/>
        <v>20220916</v>
      </c>
      <c r="M3735" s="1" t="str">
        <f>"114753"</f>
        <v>114753</v>
      </c>
      <c r="N3735" s="1" t="s">
        <v>61</v>
      </c>
      <c r="O3735" s="1" t="s">
        <v>45</v>
      </c>
      <c r="P3735" s="1" t="s">
        <v>55</v>
      </c>
      <c r="Q3735" s="1">
        <v>13</v>
      </c>
      <c r="R3735" s="1">
        <v>13</v>
      </c>
      <c r="S3735" s="1">
        <v>0</v>
      </c>
      <c r="T3735" s="1">
        <v>0</v>
      </c>
      <c r="U3735" s="1">
        <v>0</v>
      </c>
      <c r="V3735" s="1" t="str">
        <f t="shared" si="702"/>
        <v>里程去程</v>
      </c>
      <c r="W3735" s="1" t="str">
        <f>"0120"</f>
        <v>0120</v>
      </c>
      <c r="X3735" s="1" t="s">
        <v>35</v>
      </c>
    </row>
    <row r="3736" spans="1:24" x14ac:dyDescent="0.3">
      <c r="A3736" s="1" t="str">
        <f t="shared" si="701"/>
        <v>59822</v>
      </c>
      <c r="B3736" s="1" t="s">
        <v>39</v>
      </c>
      <c r="C3736" s="1" t="s">
        <v>40</v>
      </c>
      <c r="D3736" s="1" t="str">
        <f t="shared" si="703"/>
        <v>9801</v>
      </c>
      <c r="E3736" s="1" t="s">
        <v>25</v>
      </c>
      <c r="F3736" s="1" t="str">
        <f>"2792931695"</f>
        <v>2792931695</v>
      </c>
      <c r="G3736" s="1" t="s">
        <v>26</v>
      </c>
      <c r="H3736" s="1" t="str">
        <f t="shared" si="698"/>
        <v>20220916</v>
      </c>
      <c r="I3736" s="1" t="str">
        <f>"113429"</f>
        <v>113429</v>
      </c>
      <c r="J3736" s="1" t="s">
        <v>27</v>
      </c>
      <c r="K3736" s="1" t="s">
        <v>28</v>
      </c>
      <c r="L3736" s="1" t="str">
        <f t="shared" si="692"/>
        <v>20220916</v>
      </c>
      <c r="M3736" s="1" t="str">
        <f>"114755"</f>
        <v>114755</v>
      </c>
      <c r="N3736" s="1" t="s">
        <v>61</v>
      </c>
      <c r="O3736" s="1" t="s">
        <v>45</v>
      </c>
      <c r="P3736" s="1" t="s">
        <v>55</v>
      </c>
      <c r="Q3736" s="1">
        <v>13</v>
      </c>
      <c r="R3736" s="1">
        <v>13</v>
      </c>
      <c r="S3736" s="1">
        <v>0</v>
      </c>
      <c r="T3736" s="1">
        <v>0</v>
      </c>
      <c r="U3736" s="1">
        <v>0</v>
      </c>
      <c r="V3736" s="1" t="str">
        <f t="shared" si="702"/>
        <v>里程去程</v>
      </c>
      <c r="W3736" s="1" t="str">
        <f>"0220"</f>
        <v>0220</v>
      </c>
      <c r="X3736" s="1" t="s">
        <v>35</v>
      </c>
    </row>
    <row r="3737" spans="1:24" x14ac:dyDescent="0.3">
      <c r="A3737" s="1" t="str">
        <f t="shared" si="701"/>
        <v>59822</v>
      </c>
      <c r="B3737" s="1" t="s">
        <v>39</v>
      </c>
      <c r="C3737" s="1" t="s">
        <v>40</v>
      </c>
      <c r="D3737" s="1" t="str">
        <f t="shared" si="703"/>
        <v>9801</v>
      </c>
      <c r="E3737" s="1" t="s">
        <v>25</v>
      </c>
      <c r="F3737" s="1" t="str">
        <f>"7311150214007183"</f>
        <v>7311150214007183</v>
      </c>
      <c r="G3737" s="1" t="s">
        <v>33</v>
      </c>
      <c r="H3737" s="1" t="str">
        <f t="shared" si="698"/>
        <v>20220916</v>
      </c>
      <c r="I3737" s="1" t="str">
        <f>"113432"</f>
        <v>113432</v>
      </c>
      <c r="J3737" s="1" t="s">
        <v>27</v>
      </c>
      <c r="K3737" s="1" t="s">
        <v>28</v>
      </c>
      <c r="L3737" s="1" t="str">
        <f t="shared" si="692"/>
        <v>20220916</v>
      </c>
      <c r="M3737" s="1" t="str">
        <f>"114800"</f>
        <v>114800</v>
      </c>
      <c r="N3737" s="1" t="s">
        <v>61</v>
      </c>
      <c r="O3737" s="1" t="s">
        <v>45</v>
      </c>
      <c r="P3737" s="1" t="s">
        <v>55</v>
      </c>
      <c r="Q3737" s="1">
        <v>25</v>
      </c>
      <c r="R3737" s="1">
        <v>25</v>
      </c>
      <c r="S3737" s="1">
        <v>0</v>
      </c>
      <c r="T3737" s="1">
        <v>0</v>
      </c>
      <c r="U3737" s="1">
        <v>0</v>
      </c>
      <c r="V3737" s="1" t="str">
        <f t="shared" si="702"/>
        <v>里程去程</v>
      </c>
      <c r="W3737" s="1" t="str">
        <f>"003B"</f>
        <v>003B</v>
      </c>
      <c r="X3737" s="1" t="s">
        <v>109</v>
      </c>
    </row>
    <row r="3738" spans="1:24" x14ac:dyDescent="0.3">
      <c r="A3738" s="1" t="str">
        <f t="shared" si="701"/>
        <v>59822</v>
      </c>
      <c r="B3738" s="1" t="s">
        <v>39</v>
      </c>
      <c r="C3738" s="1" t="s">
        <v>40</v>
      </c>
      <c r="D3738" s="1" t="str">
        <f t="shared" si="703"/>
        <v>9801</v>
      </c>
      <c r="E3738" s="1" t="s">
        <v>25</v>
      </c>
      <c r="F3738" s="1" t="str">
        <f>"410781265"</f>
        <v>410781265</v>
      </c>
      <c r="G3738" s="1" t="s">
        <v>33</v>
      </c>
      <c r="H3738" s="1" t="str">
        <f t="shared" si="698"/>
        <v>20220916</v>
      </c>
      <c r="I3738" s="1" t="str">
        <f>"113436"</f>
        <v>113436</v>
      </c>
      <c r="J3738" s="1" t="s">
        <v>27</v>
      </c>
      <c r="K3738" s="1" t="s">
        <v>28</v>
      </c>
      <c r="L3738" s="1" t="str">
        <f t="shared" ref="L3738:L3801" si="704">"20220916"</f>
        <v>20220916</v>
      </c>
      <c r="M3738" s="1" t="str">
        <f>"114854"</f>
        <v>114854</v>
      </c>
      <c r="N3738" s="1" t="s">
        <v>56</v>
      </c>
      <c r="O3738" s="1" t="s">
        <v>45</v>
      </c>
      <c r="P3738" s="1" t="s">
        <v>55</v>
      </c>
      <c r="Q3738" s="1">
        <v>25</v>
      </c>
      <c r="R3738" s="1">
        <v>25</v>
      </c>
      <c r="S3738" s="1">
        <v>0</v>
      </c>
      <c r="T3738" s="1">
        <v>0</v>
      </c>
      <c r="U3738" s="1">
        <v>0</v>
      </c>
      <c r="V3738" s="1" t="str">
        <f t="shared" si="702"/>
        <v>里程去程</v>
      </c>
      <c r="W3738" s="1" t="str">
        <f>"0e20"</f>
        <v>0e20</v>
      </c>
      <c r="X3738" s="1" t="s">
        <v>35</v>
      </c>
    </row>
    <row r="3739" spans="1:24" x14ac:dyDescent="0.3">
      <c r="A3739" s="1" t="str">
        <f t="shared" si="701"/>
        <v>59822</v>
      </c>
      <c r="B3739" s="1" t="s">
        <v>39</v>
      </c>
      <c r="C3739" s="1" t="s">
        <v>40</v>
      </c>
      <c r="D3739" s="1" t="str">
        <f t="shared" si="703"/>
        <v>9801</v>
      </c>
      <c r="E3739" s="1" t="s">
        <v>25</v>
      </c>
      <c r="F3739" s="1" t="str">
        <f>"C200FE023E880400C834002000000015"</f>
        <v>C200FE023E880400C834002000000015</v>
      </c>
      <c r="G3739" s="1" t="s">
        <v>26</v>
      </c>
      <c r="H3739" s="1" t="str">
        <f t="shared" si="698"/>
        <v>20220916</v>
      </c>
      <c r="I3739" s="1" t="str">
        <f>"113438"</f>
        <v>113438</v>
      </c>
      <c r="J3739" s="1" t="s">
        <v>27</v>
      </c>
      <c r="K3739" s="1" t="s">
        <v>28</v>
      </c>
      <c r="L3739" s="1" t="str">
        <f t="shared" si="704"/>
        <v>20220916</v>
      </c>
      <c r="M3739" s="1" t="str">
        <f>"114851"</f>
        <v>114851</v>
      </c>
      <c r="N3739" s="1" t="s">
        <v>56</v>
      </c>
      <c r="O3739" s="1" t="s">
        <v>45</v>
      </c>
      <c r="P3739" s="1" t="s">
        <v>68</v>
      </c>
      <c r="Q3739" s="1">
        <v>13</v>
      </c>
      <c r="R3739" s="1">
        <v>0</v>
      </c>
      <c r="S3739" s="1">
        <v>0</v>
      </c>
      <c r="T3739" s="1">
        <v>13</v>
      </c>
      <c r="U3739" s="1">
        <v>0</v>
      </c>
      <c r="V3739" s="1" t="str">
        <f t="shared" si="702"/>
        <v>里程去程</v>
      </c>
      <c r="W3739" s="1" t="str">
        <f>"0020"</f>
        <v>0020</v>
      </c>
      <c r="X3739" s="1" t="s">
        <v>29</v>
      </c>
    </row>
    <row r="3740" spans="1:24" x14ac:dyDescent="0.3">
      <c r="A3740" s="1" t="str">
        <f t="shared" si="701"/>
        <v>59822</v>
      </c>
      <c r="B3740" s="1" t="s">
        <v>39</v>
      </c>
      <c r="C3740" s="1" t="s">
        <v>40</v>
      </c>
      <c r="D3740" s="1" t="str">
        <f t="shared" si="703"/>
        <v>9801</v>
      </c>
      <c r="E3740" s="1" t="s">
        <v>25</v>
      </c>
      <c r="F3740" s="1" t="str">
        <f>"1745389445"</f>
        <v>1745389445</v>
      </c>
      <c r="G3740" s="1" t="s">
        <v>74</v>
      </c>
      <c r="H3740" s="1" t="str">
        <f t="shared" si="698"/>
        <v>20220916</v>
      </c>
      <c r="I3740" s="1" t="str">
        <f>"113441"</f>
        <v>113441</v>
      </c>
      <c r="J3740" s="1" t="s">
        <v>27</v>
      </c>
      <c r="K3740" s="1" t="s">
        <v>28</v>
      </c>
      <c r="L3740" s="1" t="str">
        <f t="shared" si="704"/>
        <v>20220916</v>
      </c>
      <c r="M3740" s="1" t="str">
        <f>"114804"</f>
        <v>114804</v>
      </c>
      <c r="N3740" s="1" t="s">
        <v>61</v>
      </c>
      <c r="O3740" s="1" t="s">
        <v>45</v>
      </c>
      <c r="P3740" s="1" t="s">
        <v>55</v>
      </c>
      <c r="Q3740" s="1">
        <v>13</v>
      </c>
      <c r="R3740" s="1">
        <v>13</v>
      </c>
      <c r="S3740" s="1">
        <v>0</v>
      </c>
      <c r="T3740" s="1">
        <v>0</v>
      </c>
      <c r="U3740" s="1">
        <v>0</v>
      </c>
      <c r="V3740" s="1" t="str">
        <f t="shared" si="702"/>
        <v>里程去程</v>
      </c>
      <c r="W3740" s="1" t="str">
        <f>"0120"</f>
        <v>0120</v>
      </c>
      <c r="X3740" s="1" t="s">
        <v>35</v>
      </c>
    </row>
    <row r="3741" spans="1:24" x14ac:dyDescent="0.3">
      <c r="A3741" s="1" t="str">
        <f t="shared" si="701"/>
        <v>59822</v>
      </c>
      <c r="B3741" s="1" t="s">
        <v>39</v>
      </c>
      <c r="C3741" s="1" t="s">
        <v>40</v>
      </c>
      <c r="D3741" s="1" t="str">
        <f t="shared" si="703"/>
        <v>9801</v>
      </c>
      <c r="E3741" s="1" t="s">
        <v>25</v>
      </c>
      <c r="F3741" s="1" t="str">
        <f>"2164215016"</f>
        <v>2164215016</v>
      </c>
      <c r="G3741" s="1" t="s">
        <v>74</v>
      </c>
      <c r="H3741" s="1" t="str">
        <f t="shared" si="698"/>
        <v>20220916</v>
      </c>
      <c r="I3741" s="1" t="str">
        <f>"113448"</f>
        <v>113448</v>
      </c>
      <c r="J3741" s="1" t="s">
        <v>27</v>
      </c>
      <c r="K3741" s="1" t="s">
        <v>28</v>
      </c>
      <c r="L3741" s="1" t="str">
        <f t="shared" si="704"/>
        <v>20220916</v>
      </c>
      <c r="M3741" s="1" t="str">
        <f>"114747"</f>
        <v>114747</v>
      </c>
      <c r="N3741" s="1" t="s">
        <v>61</v>
      </c>
      <c r="O3741" s="1" t="s">
        <v>45</v>
      </c>
      <c r="P3741" s="1" t="s">
        <v>55</v>
      </c>
      <c r="Q3741" s="1">
        <v>13</v>
      </c>
      <c r="R3741" s="1">
        <v>13</v>
      </c>
      <c r="S3741" s="1">
        <v>0</v>
      </c>
      <c r="T3741" s="1">
        <v>0</v>
      </c>
      <c r="U3741" s="1">
        <v>0</v>
      </c>
      <c r="V3741" s="1" t="str">
        <f t="shared" si="702"/>
        <v>里程去程</v>
      </c>
      <c r="W3741" s="1" t="str">
        <f>"0120"</f>
        <v>0120</v>
      </c>
      <c r="X3741" s="1" t="s">
        <v>35</v>
      </c>
    </row>
    <row r="3742" spans="1:24" x14ac:dyDescent="0.3">
      <c r="A3742" s="1" t="str">
        <f t="shared" si="701"/>
        <v>59822</v>
      </c>
      <c r="B3742" s="1" t="s">
        <v>39</v>
      </c>
      <c r="C3742" s="1" t="s">
        <v>40</v>
      </c>
      <c r="D3742" s="1" t="str">
        <f t="shared" si="703"/>
        <v>9801</v>
      </c>
      <c r="E3742" s="1" t="s">
        <v>25</v>
      </c>
      <c r="F3742" s="1" t="str">
        <f>"7211220643010772"</f>
        <v>7211220643010772</v>
      </c>
      <c r="G3742" s="1" t="s">
        <v>33</v>
      </c>
      <c r="H3742" s="1" t="str">
        <f t="shared" si="698"/>
        <v>20220916</v>
      </c>
      <c r="I3742" s="1" t="str">
        <f>"113816"</f>
        <v>113816</v>
      </c>
      <c r="J3742" s="1" t="s">
        <v>27</v>
      </c>
      <c r="K3742" s="1" t="s">
        <v>28</v>
      </c>
      <c r="L3742" s="1" t="str">
        <f t="shared" si="704"/>
        <v>20220916</v>
      </c>
      <c r="M3742" s="1" t="str">
        <f>"114808"</f>
        <v>114808</v>
      </c>
      <c r="N3742" s="1" t="s">
        <v>61</v>
      </c>
      <c r="O3742" s="1" t="s">
        <v>45</v>
      </c>
      <c r="P3742" s="1" t="s">
        <v>55</v>
      </c>
      <c r="Q3742" s="1">
        <v>25</v>
      </c>
      <c r="R3742" s="1">
        <v>25</v>
      </c>
      <c r="S3742" s="1">
        <v>0</v>
      </c>
      <c r="T3742" s="1">
        <v>0</v>
      </c>
      <c r="U3742" s="1">
        <v>0</v>
      </c>
      <c r="V3742" s="1" t="str">
        <f t="shared" si="702"/>
        <v>里程去程</v>
      </c>
      <c r="W3742" s="1" t="str">
        <f>"0C3B"</f>
        <v>0C3B</v>
      </c>
      <c r="X3742" s="1" t="s">
        <v>109</v>
      </c>
    </row>
    <row r="3743" spans="1:24" x14ac:dyDescent="0.3">
      <c r="A3743" s="1" t="str">
        <f t="shared" si="701"/>
        <v>59822</v>
      </c>
      <c r="B3743" s="1" t="s">
        <v>39</v>
      </c>
      <c r="C3743" s="1" t="s">
        <v>40</v>
      </c>
      <c r="D3743" s="1" t="str">
        <f t="shared" si="703"/>
        <v>9801</v>
      </c>
      <c r="E3743" s="1" t="s">
        <v>25</v>
      </c>
      <c r="F3743" s="1" t="str">
        <f>"F25B1B03B1880400C834002000000015"</f>
        <v>F25B1B03B1880400C834002000000015</v>
      </c>
      <c r="G3743" s="1" t="s">
        <v>26</v>
      </c>
      <c r="H3743" s="1" t="str">
        <f t="shared" si="698"/>
        <v>20220916</v>
      </c>
      <c r="I3743" s="1" t="str">
        <f>"120608"</f>
        <v>120608</v>
      </c>
      <c r="J3743" s="1" t="s">
        <v>60</v>
      </c>
      <c r="K3743" s="1" t="s">
        <v>52</v>
      </c>
      <c r="L3743" s="1" t="str">
        <f t="shared" si="704"/>
        <v>20220916</v>
      </c>
      <c r="M3743" s="1" t="str">
        <f>"123013"</f>
        <v>123013</v>
      </c>
      <c r="N3743" s="1" t="s">
        <v>79</v>
      </c>
      <c r="O3743" s="1" t="s">
        <v>45</v>
      </c>
      <c r="P3743" s="1" t="s">
        <v>68</v>
      </c>
      <c r="Q3743" s="1">
        <v>25</v>
      </c>
      <c r="R3743" s="1">
        <v>0</v>
      </c>
      <c r="S3743" s="1">
        <v>0</v>
      </c>
      <c r="T3743" s="1">
        <v>25</v>
      </c>
      <c r="U3743" s="1">
        <v>0</v>
      </c>
      <c r="V3743" s="1" t="str">
        <f t="shared" si="702"/>
        <v>里程去程</v>
      </c>
      <c r="W3743" s="1" t="str">
        <f>"0020"</f>
        <v>0020</v>
      </c>
      <c r="X3743" s="1" t="s">
        <v>29</v>
      </c>
    </row>
    <row r="3744" spans="1:24" x14ac:dyDescent="0.3">
      <c r="A3744" s="1" t="str">
        <f t="shared" si="701"/>
        <v>59822</v>
      </c>
      <c r="B3744" s="1" t="s">
        <v>39</v>
      </c>
      <c r="C3744" s="1" t="s">
        <v>40</v>
      </c>
      <c r="D3744" s="1" t="str">
        <f t="shared" si="703"/>
        <v>9801</v>
      </c>
      <c r="E3744" s="1" t="s">
        <v>25</v>
      </c>
      <c r="F3744" s="1" t="str">
        <f>"4251460257880400C821002000000015"</f>
        <v>4251460257880400C821002000000015</v>
      </c>
      <c r="G3744" s="1" t="s">
        <v>26</v>
      </c>
      <c r="H3744" s="1" t="str">
        <f t="shared" si="698"/>
        <v>20220916</v>
      </c>
      <c r="I3744" s="1" t="str">
        <f>"121852"</f>
        <v>121852</v>
      </c>
      <c r="J3744" s="1" t="s">
        <v>69</v>
      </c>
      <c r="K3744" s="1" t="s">
        <v>52</v>
      </c>
      <c r="L3744" s="1" t="str">
        <f t="shared" si="704"/>
        <v>20220916</v>
      </c>
      <c r="M3744" s="1" t="str">
        <f>"122321"</f>
        <v>122321</v>
      </c>
      <c r="N3744" s="1" t="s">
        <v>83</v>
      </c>
      <c r="O3744" s="1" t="s">
        <v>52</v>
      </c>
      <c r="P3744" s="1" t="s">
        <v>68</v>
      </c>
      <c r="Q3744" s="1">
        <v>13</v>
      </c>
      <c r="R3744" s="1">
        <v>0</v>
      </c>
      <c r="S3744" s="1">
        <v>0</v>
      </c>
      <c r="T3744" s="1">
        <v>13</v>
      </c>
      <c r="U3744" s="1">
        <v>0</v>
      </c>
      <c r="V3744" s="1" t="str">
        <f t="shared" si="702"/>
        <v>里程去程</v>
      </c>
      <c r="W3744" s="1" t="str">
        <f>"0020"</f>
        <v>0020</v>
      </c>
      <c r="X3744" s="1" t="s">
        <v>29</v>
      </c>
    </row>
    <row r="3745" spans="1:24" x14ac:dyDescent="0.3">
      <c r="A3745" s="1" t="str">
        <f t="shared" si="701"/>
        <v>59822</v>
      </c>
      <c r="B3745" s="1" t="s">
        <v>39</v>
      </c>
      <c r="C3745" s="1" t="s">
        <v>40</v>
      </c>
      <c r="D3745" s="1" t="str">
        <f t="shared" si="703"/>
        <v>9801</v>
      </c>
      <c r="E3745" s="1" t="s">
        <v>25</v>
      </c>
      <c r="F3745" s="1" t="str">
        <f>"32780D0344880400C834002000000015"</f>
        <v>32780D0344880400C834002000000015</v>
      </c>
      <c r="G3745" s="1" t="s">
        <v>26</v>
      </c>
      <c r="H3745" s="1" t="str">
        <f t="shared" si="698"/>
        <v>20220916</v>
      </c>
      <c r="I3745" s="1" t="str">
        <f>"122808"</f>
        <v>122808</v>
      </c>
      <c r="J3745" s="1" t="s">
        <v>27</v>
      </c>
      <c r="K3745" s="1" t="s">
        <v>28</v>
      </c>
      <c r="L3745" s="1" t="str">
        <f t="shared" si="704"/>
        <v>20220916</v>
      </c>
      <c r="M3745" s="1" t="str">
        <f>"122833"</f>
        <v>122833</v>
      </c>
      <c r="N3745" s="1" t="s">
        <v>79</v>
      </c>
      <c r="O3745" s="1" t="s">
        <v>45</v>
      </c>
      <c r="P3745" s="1" t="s">
        <v>68</v>
      </c>
      <c r="Q3745" s="1">
        <v>13</v>
      </c>
      <c r="R3745" s="1">
        <v>0</v>
      </c>
      <c r="S3745" s="1">
        <v>0</v>
      </c>
      <c r="T3745" s="1">
        <v>13</v>
      </c>
      <c r="U3745" s="1">
        <v>0</v>
      </c>
      <c r="V3745" s="1" t="str">
        <f t="shared" si="702"/>
        <v>里程去程</v>
      </c>
      <c r="W3745" s="1" t="str">
        <f>"0020"</f>
        <v>0020</v>
      </c>
      <c r="X3745" s="1" t="s">
        <v>29</v>
      </c>
    </row>
    <row r="3746" spans="1:24" x14ac:dyDescent="0.3">
      <c r="A3746" s="1" t="str">
        <f t="shared" si="701"/>
        <v>59822</v>
      </c>
      <c r="B3746" s="1" t="s">
        <v>39</v>
      </c>
      <c r="C3746" s="1" t="s">
        <v>40</v>
      </c>
      <c r="D3746" s="1" t="str">
        <f t="shared" si="703"/>
        <v>9801</v>
      </c>
      <c r="E3746" s="1" t="s">
        <v>25</v>
      </c>
      <c r="F3746" s="1" t="str">
        <f>"565563361"</f>
        <v>565563361</v>
      </c>
      <c r="G3746" s="1" t="s">
        <v>33</v>
      </c>
      <c r="H3746" s="1" t="str">
        <f t="shared" si="698"/>
        <v>20220916</v>
      </c>
      <c r="I3746" s="1" t="str">
        <f>"123037"</f>
        <v>123037</v>
      </c>
      <c r="J3746" s="1" t="s">
        <v>70</v>
      </c>
      <c r="K3746" s="1" t="s">
        <v>28</v>
      </c>
      <c r="L3746" s="1" t="str">
        <f t="shared" si="704"/>
        <v>20220916</v>
      </c>
      <c r="M3746" s="1" t="str">
        <f>"124649"</f>
        <v>124649</v>
      </c>
      <c r="N3746" s="1" t="s">
        <v>56</v>
      </c>
      <c r="O3746" s="1" t="s">
        <v>45</v>
      </c>
      <c r="P3746" s="1" t="s">
        <v>55</v>
      </c>
      <c r="Q3746" s="1">
        <v>25</v>
      </c>
      <c r="R3746" s="1">
        <v>25</v>
      </c>
      <c r="S3746" s="1">
        <v>0</v>
      </c>
      <c r="T3746" s="1">
        <v>0</v>
      </c>
      <c r="U3746" s="1">
        <v>0</v>
      </c>
      <c r="V3746" s="1" t="str">
        <f t="shared" si="702"/>
        <v>里程去程</v>
      </c>
      <c r="W3746" s="1" t="str">
        <f>"1420"</f>
        <v>1420</v>
      </c>
      <c r="X3746" s="1" t="s">
        <v>35</v>
      </c>
    </row>
    <row r="3747" spans="1:24" x14ac:dyDescent="0.3">
      <c r="A3747" s="1" t="str">
        <f t="shared" si="701"/>
        <v>59822</v>
      </c>
      <c r="B3747" s="1" t="s">
        <v>39</v>
      </c>
      <c r="C3747" s="1" t="s">
        <v>40</v>
      </c>
      <c r="D3747" s="1" t="str">
        <f t="shared" si="703"/>
        <v>9801</v>
      </c>
      <c r="E3747" s="1" t="s">
        <v>25</v>
      </c>
      <c r="F3747" s="1" t="str">
        <f>"4125507245"</f>
        <v>4125507245</v>
      </c>
      <c r="G3747" s="1" t="s">
        <v>33</v>
      </c>
      <c r="H3747" s="1" t="str">
        <f t="shared" si="698"/>
        <v>20220916</v>
      </c>
      <c r="I3747" s="1" t="str">
        <f>"123052"</f>
        <v>123052</v>
      </c>
      <c r="J3747" s="1" t="s">
        <v>70</v>
      </c>
      <c r="K3747" s="1" t="s">
        <v>28</v>
      </c>
      <c r="L3747" s="1" t="str">
        <f t="shared" si="704"/>
        <v>20220916</v>
      </c>
      <c r="M3747" s="1" t="str">
        <f>"125622"</f>
        <v>125622</v>
      </c>
      <c r="N3747" s="1" t="s">
        <v>44</v>
      </c>
      <c r="O3747" s="1" t="s">
        <v>45</v>
      </c>
      <c r="P3747" s="1" t="s">
        <v>55</v>
      </c>
      <c r="Q3747" s="1">
        <v>25</v>
      </c>
      <c r="R3747" s="1">
        <v>25</v>
      </c>
      <c r="S3747" s="1">
        <v>0</v>
      </c>
      <c r="T3747" s="1">
        <v>0</v>
      </c>
      <c r="U3747" s="1">
        <v>0</v>
      </c>
      <c r="V3747" s="1" t="str">
        <f t="shared" si="702"/>
        <v>里程去程</v>
      </c>
      <c r="W3747" s="1" t="str">
        <f>"0320"</f>
        <v>0320</v>
      </c>
      <c r="X3747" s="1" t="s">
        <v>35</v>
      </c>
    </row>
    <row r="3748" spans="1:24" x14ac:dyDescent="0.3">
      <c r="A3748" s="1" t="str">
        <f t="shared" si="701"/>
        <v>59822</v>
      </c>
      <c r="B3748" s="1" t="s">
        <v>39</v>
      </c>
      <c r="C3748" s="1" t="s">
        <v>40</v>
      </c>
      <c r="D3748" s="1" t="str">
        <f t="shared" si="703"/>
        <v>9801</v>
      </c>
      <c r="E3748" s="1" t="s">
        <v>25</v>
      </c>
      <c r="F3748" s="1" t="str">
        <f>"1533659608"</f>
        <v>1533659608</v>
      </c>
      <c r="G3748" s="1" t="s">
        <v>33</v>
      </c>
      <c r="H3748" s="1" t="str">
        <f t="shared" si="698"/>
        <v>20220916</v>
      </c>
      <c r="I3748" s="1" t="str">
        <f>"123101"</f>
        <v>123101</v>
      </c>
      <c r="J3748" s="1" t="s">
        <v>70</v>
      </c>
      <c r="K3748" s="1" t="s">
        <v>28</v>
      </c>
      <c r="L3748" s="1" t="str">
        <f t="shared" si="704"/>
        <v>20220916</v>
      </c>
      <c r="M3748" s="1" t="str">
        <f>"125625"</f>
        <v>125625</v>
      </c>
      <c r="N3748" s="1" t="s">
        <v>44</v>
      </c>
      <c r="O3748" s="1" t="s">
        <v>45</v>
      </c>
      <c r="P3748" s="1" t="s">
        <v>55</v>
      </c>
      <c r="Q3748" s="1">
        <v>25</v>
      </c>
      <c r="R3748" s="1">
        <v>25</v>
      </c>
      <c r="S3748" s="1">
        <v>0</v>
      </c>
      <c r="T3748" s="1">
        <v>0</v>
      </c>
      <c r="U3748" s="1">
        <v>0</v>
      </c>
      <c r="V3748" s="1" t="str">
        <f t="shared" si="702"/>
        <v>里程去程</v>
      </c>
      <c r="W3748" s="1" t="str">
        <f>"0320"</f>
        <v>0320</v>
      </c>
      <c r="X3748" s="1" t="s">
        <v>35</v>
      </c>
    </row>
    <row r="3749" spans="1:24" x14ac:dyDescent="0.3">
      <c r="A3749" s="1" t="str">
        <f t="shared" si="701"/>
        <v>59822</v>
      </c>
      <c r="B3749" s="1" t="s">
        <v>39</v>
      </c>
      <c r="C3749" s="1" t="s">
        <v>40</v>
      </c>
      <c r="D3749" s="1" t="str">
        <f t="shared" si="703"/>
        <v>9801</v>
      </c>
      <c r="E3749" s="1" t="s">
        <v>25</v>
      </c>
      <c r="F3749" s="1" t="str">
        <f>"1077105317"</f>
        <v>1077105317</v>
      </c>
      <c r="G3749" s="1" t="s">
        <v>33</v>
      </c>
      <c r="H3749" s="1" t="str">
        <f t="shared" si="698"/>
        <v>20220916</v>
      </c>
      <c r="I3749" s="1" t="str">
        <f>"123125"</f>
        <v>123125</v>
      </c>
      <c r="J3749" s="1" t="s">
        <v>70</v>
      </c>
      <c r="K3749" s="1" t="s">
        <v>28</v>
      </c>
      <c r="L3749" s="1" t="str">
        <f t="shared" si="704"/>
        <v>20220916</v>
      </c>
      <c r="M3749" s="1" t="str">
        <f>"124952"</f>
        <v>124952</v>
      </c>
      <c r="N3749" s="1" t="s">
        <v>91</v>
      </c>
      <c r="O3749" s="1" t="s">
        <v>45</v>
      </c>
      <c r="P3749" s="1" t="s">
        <v>55</v>
      </c>
      <c r="Q3749" s="1">
        <v>25</v>
      </c>
      <c r="R3749" s="1">
        <v>25</v>
      </c>
      <c r="S3749" s="1">
        <v>0</v>
      </c>
      <c r="T3749" s="1">
        <v>0</v>
      </c>
      <c r="U3749" s="1">
        <v>0</v>
      </c>
      <c r="V3749" s="1" t="str">
        <f t="shared" si="702"/>
        <v>里程去程</v>
      </c>
      <c r="W3749" s="1" t="str">
        <f>"0020"</f>
        <v>0020</v>
      </c>
      <c r="X3749" s="1" t="s">
        <v>35</v>
      </c>
    </row>
    <row r="3750" spans="1:24" x14ac:dyDescent="0.3">
      <c r="A3750" s="1" t="str">
        <f t="shared" si="701"/>
        <v>59822</v>
      </c>
      <c r="B3750" s="1" t="s">
        <v>39</v>
      </c>
      <c r="C3750" s="1" t="s">
        <v>40</v>
      </c>
      <c r="D3750" s="1" t="str">
        <f t="shared" si="703"/>
        <v>9801</v>
      </c>
      <c r="E3750" s="1" t="s">
        <v>25</v>
      </c>
      <c r="F3750" s="1" t="str">
        <f>"1677253200"</f>
        <v>1677253200</v>
      </c>
      <c r="G3750" s="1" t="s">
        <v>33</v>
      </c>
      <c r="H3750" s="1" t="str">
        <f t="shared" si="698"/>
        <v>20220916</v>
      </c>
      <c r="I3750" s="1" t="str">
        <f>"123134"</f>
        <v>123134</v>
      </c>
      <c r="J3750" s="1" t="s">
        <v>70</v>
      </c>
      <c r="K3750" s="1" t="s">
        <v>28</v>
      </c>
      <c r="L3750" s="1" t="str">
        <f t="shared" si="704"/>
        <v>20220916</v>
      </c>
      <c r="M3750" s="1" t="str">
        <f>"124945"</f>
        <v>124945</v>
      </c>
      <c r="N3750" s="1" t="s">
        <v>91</v>
      </c>
      <c r="O3750" s="1" t="s">
        <v>45</v>
      </c>
      <c r="P3750" s="1" t="s">
        <v>55</v>
      </c>
      <c r="Q3750" s="1">
        <v>25</v>
      </c>
      <c r="R3750" s="1">
        <v>25</v>
      </c>
      <c r="S3750" s="1">
        <v>0</v>
      </c>
      <c r="T3750" s="1">
        <v>0</v>
      </c>
      <c r="U3750" s="1">
        <v>0</v>
      </c>
      <c r="V3750" s="1" t="str">
        <f t="shared" si="702"/>
        <v>里程去程</v>
      </c>
      <c r="W3750" s="1" t="str">
        <f>"0120"</f>
        <v>0120</v>
      </c>
      <c r="X3750" s="1" t="s">
        <v>35</v>
      </c>
    </row>
    <row r="3751" spans="1:24" x14ac:dyDescent="0.3">
      <c r="A3751" s="1" t="str">
        <f t="shared" si="701"/>
        <v>59822</v>
      </c>
      <c r="B3751" s="1" t="s">
        <v>39</v>
      </c>
      <c r="C3751" s="1" t="s">
        <v>40</v>
      </c>
      <c r="D3751" s="1" t="str">
        <f t="shared" si="703"/>
        <v>9801</v>
      </c>
      <c r="E3751" s="1" t="s">
        <v>25</v>
      </c>
      <c r="F3751" s="1" t="str">
        <f>"F27CE6026A880400C834002000000015"</f>
        <v>F27CE6026A880400C834002000000015</v>
      </c>
      <c r="G3751" s="1" t="s">
        <v>74</v>
      </c>
      <c r="H3751" s="1" t="str">
        <f t="shared" si="698"/>
        <v>20220916</v>
      </c>
      <c r="I3751" s="1" t="str">
        <f>"145951"</f>
        <v>145951</v>
      </c>
      <c r="J3751" s="1" t="s">
        <v>52</v>
      </c>
      <c r="K3751" s="1" t="s">
        <v>52</v>
      </c>
      <c r="L3751" s="1" t="str">
        <f t="shared" si="704"/>
        <v>20220916</v>
      </c>
      <c r="M3751" s="1" t="str">
        <f>"150521"</f>
        <v>150521</v>
      </c>
      <c r="N3751" s="1" t="s">
        <v>60</v>
      </c>
      <c r="O3751" s="1" t="s">
        <v>52</v>
      </c>
      <c r="P3751" s="1" t="s">
        <v>68</v>
      </c>
      <c r="Q3751" s="1">
        <v>13</v>
      </c>
      <c r="R3751" s="1">
        <v>0</v>
      </c>
      <c r="S3751" s="1">
        <v>0</v>
      </c>
      <c r="T3751" s="1">
        <v>13</v>
      </c>
      <c r="U3751" s="1">
        <v>0</v>
      </c>
      <c r="V3751" s="1" t="str">
        <f t="shared" si="702"/>
        <v>里程去程</v>
      </c>
      <c r="W3751" s="1" t="str">
        <f>"0020"</f>
        <v>0020</v>
      </c>
      <c r="X3751" s="1" t="s">
        <v>29</v>
      </c>
    </row>
    <row r="3752" spans="1:24" x14ac:dyDescent="0.3">
      <c r="A3752" s="1" t="str">
        <f t="shared" si="701"/>
        <v>59822</v>
      </c>
      <c r="B3752" s="1" t="s">
        <v>39</v>
      </c>
      <c r="C3752" s="1" t="s">
        <v>40</v>
      </c>
      <c r="D3752" s="1" t="str">
        <f t="shared" si="703"/>
        <v>9801</v>
      </c>
      <c r="E3752" s="1" t="s">
        <v>25</v>
      </c>
      <c r="F3752" s="1" t="str">
        <f>"1104754597"</f>
        <v>1104754597</v>
      </c>
      <c r="G3752" s="1" t="s">
        <v>38</v>
      </c>
      <c r="H3752" s="1" t="str">
        <f t="shared" si="698"/>
        <v>20220916</v>
      </c>
      <c r="I3752" s="1" t="str">
        <f>"150621"</f>
        <v>150621</v>
      </c>
      <c r="J3752" s="1" t="s">
        <v>60</v>
      </c>
      <c r="K3752" s="1" t="s">
        <v>52</v>
      </c>
      <c r="L3752" s="1" t="str">
        <f t="shared" si="704"/>
        <v>20220916</v>
      </c>
      <c r="M3752" s="1" t="str">
        <f>"153116"</f>
        <v>153116</v>
      </c>
      <c r="N3752" s="1" t="s">
        <v>70</v>
      </c>
      <c r="O3752" s="1" t="s">
        <v>28</v>
      </c>
      <c r="P3752" s="1" t="s">
        <v>55</v>
      </c>
      <c r="Q3752" s="1">
        <v>25</v>
      </c>
      <c r="R3752" s="1">
        <v>25</v>
      </c>
      <c r="S3752" s="1">
        <v>0</v>
      </c>
      <c r="T3752" s="1">
        <v>0</v>
      </c>
      <c r="U3752" s="1">
        <v>0</v>
      </c>
      <c r="V3752" s="1" t="str">
        <f t="shared" si="702"/>
        <v>里程去程</v>
      </c>
      <c r="W3752" s="1" t="str">
        <f>"2020"</f>
        <v>2020</v>
      </c>
      <c r="X3752" s="1" t="s">
        <v>35</v>
      </c>
    </row>
    <row r="3753" spans="1:24" x14ac:dyDescent="0.3">
      <c r="A3753" s="1" t="str">
        <f t="shared" si="701"/>
        <v>59822</v>
      </c>
      <c r="B3753" s="1" t="s">
        <v>39</v>
      </c>
      <c r="C3753" s="1" t="s">
        <v>40</v>
      </c>
      <c r="D3753" s="1" t="str">
        <f t="shared" si="703"/>
        <v>9801</v>
      </c>
      <c r="E3753" s="1" t="s">
        <v>25</v>
      </c>
      <c r="F3753" s="1" t="str">
        <f>"1663021445"</f>
        <v>1663021445</v>
      </c>
      <c r="G3753" s="1" t="s">
        <v>74</v>
      </c>
      <c r="H3753" s="1" t="str">
        <f t="shared" si="698"/>
        <v>20220916</v>
      </c>
      <c r="I3753" s="1" t="str">
        <f>"152336"</f>
        <v>152336</v>
      </c>
      <c r="J3753" s="1" t="s">
        <v>67</v>
      </c>
      <c r="K3753" s="1" t="s">
        <v>52</v>
      </c>
      <c r="L3753" s="1" t="str">
        <f t="shared" si="704"/>
        <v>20220916</v>
      </c>
      <c r="M3753" s="1" t="str">
        <f>"153045"</f>
        <v>153045</v>
      </c>
      <c r="N3753" s="1" t="s">
        <v>70</v>
      </c>
      <c r="O3753" s="1" t="s">
        <v>28</v>
      </c>
      <c r="P3753" s="1" t="s">
        <v>55</v>
      </c>
      <c r="Q3753" s="1">
        <v>13</v>
      </c>
      <c r="R3753" s="1">
        <v>13</v>
      </c>
      <c r="S3753" s="1">
        <v>0</v>
      </c>
      <c r="T3753" s="1">
        <v>0</v>
      </c>
      <c r="U3753" s="1">
        <v>0</v>
      </c>
      <c r="V3753" s="1" t="str">
        <f t="shared" si="702"/>
        <v>里程去程</v>
      </c>
      <c r="W3753" s="1" t="str">
        <f>"2120"</f>
        <v>2120</v>
      </c>
      <c r="X3753" s="1" t="s">
        <v>35</v>
      </c>
    </row>
    <row r="3754" spans="1:24" x14ac:dyDescent="0.3">
      <c r="A3754" s="1" t="str">
        <f t="shared" si="701"/>
        <v>59822</v>
      </c>
      <c r="B3754" s="1" t="s">
        <v>39</v>
      </c>
      <c r="C3754" s="1" t="s">
        <v>40</v>
      </c>
      <c r="D3754" s="1" t="str">
        <f t="shared" si="703"/>
        <v>9801</v>
      </c>
      <c r="E3754" s="1" t="s">
        <v>25</v>
      </c>
      <c r="F3754" s="1" t="str">
        <f>"1693417729"</f>
        <v>1693417729</v>
      </c>
      <c r="G3754" s="1" t="s">
        <v>33</v>
      </c>
      <c r="H3754" s="1" t="str">
        <f t="shared" si="698"/>
        <v>20220916</v>
      </c>
      <c r="I3754" s="1" t="str">
        <f>"155423"</f>
        <v>155423</v>
      </c>
      <c r="J3754" s="1" t="s">
        <v>91</v>
      </c>
      <c r="K3754" s="1" t="s">
        <v>45</v>
      </c>
      <c r="L3754" s="1" t="str">
        <f t="shared" si="704"/>
        <v>20220916</v>
      </c>
      <c r="M3754" s="1" t="str">
        <f>"160149"</f>
        <v>160149</v>
      </c>
      <c r="N3754" s="1" t="s">
        <v>44</v>
      </c>
      <c r="O3754" s="1" t="s">
        <v>45</v>
      </c>
      <c r="P3754" s="1" t="s">
        <v>55</v>
      </c>
      <c r="Q3754" s="1">
        <v>25</v>
      </c>
      <c r="R3754" s="1">
        <v>25</v>
      </c>
      <c r="S3754" s="1">
        <v>0</v>
      </c>
      <c r="T3754" s="1">
        <v>0</v>
      </c>
      <c r="U3754" s="1">
        <v>0</v>
      </c>
      <c r="V3754" s="1" t="str">
        <f t="shared" si="702"/>
        <v>里程去程</v>
      </c>
      <c r="W3754" s="1" t="str">
        <f>"2020"</f>
        <v>2020</v>
      </c>
      <c r="X3754" s="1" t="s">
        <v>35</v>
      </c>
    </row>
    <row r="3755" spans="1:24" x14ac:dyDescent="0.3">
      <c r="A3755" s="1" t="str">
        <f t="shared" si="701"/>
        <v>59822</v>
      </c>
      <c r="B3755" s="1" t="s">
        <v>39</v>
      </c>
      <c r="C3755" s="1" t="s">
        <v>40</v>
      </c>
      <c r="D3755" s="1" t="str">
        <f t="shared" si="703"/>
        <v>9801</v>
      </c>
      <c r="E3755" s="1" t="s">
        <v>25</v>
      </c>
      <c r="F3755" s="1" t="str">
        <f>"929885461"</f>
        <v>929885461</v>
      </c>
      <c r="G3755" s="1" t="s">
        <v>33</v>
      </c>
      <c r="H3755" s="1" t="str">
        <f t="shared" si="698"/>
        <v>20220916</v>
      </c>
      <c r="I3755" s="1" t="str">
        <f>"160858"</f>
        <v>160858</v>
      </c>
      <c r="J3755" s="1" t="s">
        <v>60</v>
      </c>
      <c r="K3755" s="1" t="s">
        <v>52</v>
      </c>
      <c r="L3755" s="1" t="str">
        <f t="shared" si="704"/>
        <v>20220916</v>
      </c>
      <c r="M3755" s="1" t="str">
        <f>"163659"</f>
        <v>163659</v>
      </c>
      <c r="N3755" s="1" t="s">
        <v>70</v>
      </c>
      <c r="O3755" s="1" t="s">
        <v>28</v>
      </c>
      <c r="P3755" s="1" t="s">
        <v>55</v>
      </c>
      <c r="Q3755" s="1">
        <v>25</v>
      </c>
      <c r="R3755" s="1">
        <v>25</v>
      </c>
      <c r="S3755" s="1">
        <v>0</v>
      </c>
      <c r="T3755" s="1">
        <v>0</v>
      </c>
      <c r="U3755" s="1">
        <v>0</v>
      </c>
      <c r="V3755" s="1" t="str">
        <f t="shared" si="702"/>
        <v>里程去程</v>
      </c>
      <c r="W3755" s="1" t="str">
        <f>"2020"</f>
        <v>2020</v>
      </c>
      <c r="X3755" s="1" t="s">
        <v>35</v>
      </c>
    </row>
    <row r="3756" spans="1:24" x14ac:dyDescent="0.3">
      <c r="A3756" s="1" t="str">
        <f t="shared" si="701"/>
        <v>59822</v>
      </c>
      <c r="B3756" s="1" t="s">
        <v>39</v>
      </c>
      <c r="C3756" s="1" t="s">
        <v>40</v>
      </c>
      <c r="D3756" s="1" t="str">
        <f t="shared" si="703"/>
        <v>9801</v>
      </c>
      <c r="E3756" s="1" t="s">
        <v>25</v>
      </c>
      <c r="F3756" s="1" t="str">
        <f>"7227E702B0880400C834002000000015"</f>
        <v>7227E702B0880400C834002000000015</v>
      </c>
      <c r="G3756" s="1" t="s">
        <v>74</v>
      </c>
      <c r="H3756" s="1" t="str">
        <f t="shared" si="698"/>
        <v>20220916</v>
      </c>
      <c r="I3756" s="1" t="str">
        <f>"160902"</f>
        <v>160902</v>
      </c>
      <c r="J3756" s="1" t="s">
        <v>60</v>
      </c>
      <c r="K3756" s="1" t="s">
        <v>52</v>
      </c>
      <c r="L3756" s="1" t="str">
        <f t="shared" si="704"/>
        <v>20220916</v>
      </c>
      <c r="M3756" s="1" t="str">
        <f>"161938"</f>
        <v>161938</v>
      </c>
      <c r="N3756" s="1" t="s">
        <v>80</v>
      </c>
      <c r="O3756" s="1" t="s">
        <v>52</v>
      </c>
      <c r="P3756" s="1" t="s">
        <v>68</v>
      </c>
      <c r="Q3756" s="1">
        <v>13</v>
      </c>
      <c r="R3756" s="1">
        <v>0</v>
      </c>
      <c r="S3756" s="1">
        <v>0</v>
      </c>
      <c r="T3756" s="1">
        <v>13</v>
      </c>
      <c r="U3756" s="1">
        <v>0</v>
      </c>
      <c r="V3756" s="1" t="str">
        <f t="shared" si="702"/>
        <v>里程去程</v>
      </c>
      <c r="W3756" s="1" t="str">
        <f>"0020"</f>
        <v>0020</v>
      </c>
      <c r="X3756" s="1" t="s">
        <v>29</v>
      </c>
    </row>
    <row r="3757" spans="1:24" x14ac:dyDescent="0.3">
      <c r="A3757" s="1" t="str">
        <f t="shared" si="701"/>
        <v>59822</v>
      </c>
      <c r="B3757" s="1" t="s">
        <v>39</v>
      </c>
      <c r="C3757" s="1" t="s">
        <v>40</v>
      </c>
      <c r="D3757" s="1" t="str">
        <f t="shared" si="703"/>
        <v>9801</v>
      </c>
      <c r="E3757" s="1" t="s">
        <v>25</v>
      </c>
      <c r="F3757" s="1" t="str">
        <f>"894153189"</f>
        <v>894153189</v>
      </c>
      <c r="G3757" s="1" t="s">
        <v>33</v>
      </c>
      <c r="H3757" s="1" t="str">
        <f t="shared" si="698"/>
        <v>20220916</v>
      </c>
      <c r="I3757" s="1" t="str">
        <f>"161443"</f>
        <v>161443</v>
      </c>
      <c r="J3757" s="1" t="s">
        <v>72</v>
      </c>
      <c r="K3757" s="1" t="s">
        <v>52</v>
      </c>
      <c r="L3757" s="1" t="str">
        <f t="shared" si="704"/>
        <v>20220916</v>
      </c>
      <c r="M3757" s="1" t="str">
        <f>"163702"</f>
        <v>163702</v>
      </c>
      <c r="N3757" s="1" t="s">
        <v>70</v>
      </c>
      <c r="O3757" s="1" t="s">
        <v>28</v>
      </c>
      <c r="P3757" s="1" t="s">
        <v>55</v>
      </c>
      <c r="Q3757" s="1">
        <v>25</v>
      </c>
      <c r="R3757" s="1">
        <v>25</v>
      </c>
      <c r="S3757" s="1">
        <v>0</v>
      </c>
      <c r="T3757" s="1">
        <v>0</v>
      </c>
      <c r="U3757" s="1">
        <v>0</v>
      </c>
      <c r="V3757" s="1" t="str">
        <f t="shared" si="702"/>
        <v>里程去程</v>
      </c>
      <c r="W3757" s="1" t="str">
        <f>"2120"</f>
        <v>2120</v>
      </c>
      <c r="X3757" s="1" t="s">
        <v>35</v>
      </c>
    </row>
    <row r="3758" spans="1:24" x14ac:dyDescent="0.3">
      <c r="A3758" s="1" t="str">
        <f t="shared" si="701"/>
        <v>59822</v>
      </c>
      <c r="B3758" s="1" t="s">
        <v>39</v>
      </c>
      <c r="C3758" s="1" t="s">
        <v>40</v>
      </c>
      <c r="D3758" s="1" t="str">
        <f t="shared" si="703"/>
        <v>9801</v>
      </c>
      <c r="E3758" s="1" t="s">
        <v>25</v>
      </c>
      <c r="F3758" s="1" t="str">
        <f>"1764580097"</f>
        <v>1764580097</v>
      </c>
      <c r="G3758" s="1" t="s">
        <v>33</v>
      </c>
      <c r="H3758" s="1" t="str">
        <f t="shared" si="698"/>
        <v>20220916</v>
      </c>
      <c r="I3758" s="1" t="str">
        <f>"163711"</f>
        <v>163711</v>
      </c>
      <c r="J3758" s="1" t="s">
        <v>27</v>
      </c>
      <c r="K3758" s="1" t="s">
        <v>28</v>
      </c>
      <c r="L3758" s="1" t="str">
        <f t="shared" si="704"/>
        <v>20220916</v>
      </c>
      <c r="M3758" s="1" t="str">
        <f>"170143"</f>
        <v>170143</v>
      </c>
      <c r="N3758" s="1" t="s">
        <v>44</v>
      </c>
      <c r="O3758" s="1" t="s">
        <v>45</v>
      </c>
      <c r="P3758" s="1" t="s">
        <v>55</v>
      </c>
      <c r="Q3758" s="1">
        <v>25</v>
      </c>
      <c r="R3758" s="1">
        <v>0</v>
      </c>
      <c r="S3758" s="1">
        <v>25</v>
      </c>
      <c r="T3758" s="1">
        <v>0</v>
      </c>
      <c r="U3758" s="1">
        <v>0</v>
      </c>
      <c r="V3758" s="1" t="str">
        <f t="shared" si="702"/>
        <v>里程去程</v>
      </c>
      <c r="W3758" s="1" t="str">
        <f>"0820"</f>
        <v>0820</v>
      </c>
      <c r="X3758" s="1" t="s">
        <v>35</v>
      </c>
    </row>
    <row r="3759" spans="1:24" x14ac:dyDescent="0.3">
      <c r="A3759" s="1" t="str">
        <f t="shared" si="701"/>
        <v>59822</v>
      </c>
      <c r="B3759" s="1" t="s">
        <v>39</v>
      </c>
      <c r="C3759" s="1" t="s">
        <v>40</v>
      </c>
      <c r="D3759" s="1" t="str">
        <f t="shared" si="703"/>
        <v>9801</v>
      </c>
      <c r="E3759" s="1" t="s">
        <v>25</v>
      </c>
      <c r="F3759" s="1" t="str">
        <f>"93C7C7E97A88040047BA141551301010"</f>
        <v>93C7C7E97A88040047BA141551301010</v>
      </c>
      <c r="G3759" s="1" t="s">
        <v>58</v>
      </c>
      <c r="H3759" s="1" t="str">
        <f t="shared" si="698"/>
        <v>20220916</v>
      </c>
      <c r="I3759" s="1" t="str">
        <f>"163725"</f>
        <v>163725</v>
      </c>
      <c r="J3759" s="1" t="s">
        <v>27</v>
      </c>
      <c r="K3759" s="1" t="s">
        <v>28</v>
      </c>
      <c r="L3759" s="1" t="str">
        <f t="shared" si="704"/>
        <v>20220916</v>
      </c>
      <c r="M3759" s="1" t="str">
        <f>"164821"</f>
        <v>164821</v>
      </c>
      <c r="N3759" s="1" t="s">
        <v>45</v>
      </c>
      <c r="O3759" s="1" t="s">
        <v>45</v>
      </c>
      <c r="P3759" s="1" t="s">
        <v>55</v>
      </c>
      <c r="Q3759" s="1">
        <v>25</v>
      </c>
      <c r="R3759" s="1">
        <v>25</v>
      </c>
      <c r="S3759" s="1">
        <v>0</v>
      </c>
      <c r="T3759" s="1">
        <v>0</v>
      </c>
      <c r="U3759" s="1">
        <v>0</v>
      </c>
      <c r="V3759" s="1" t="str">
        <f t="shared" si="702"/>
        <v>里程去程</v>
      </c>
      <c r="W3759" s="1" t="str">
        <f>"0020"</f>
        <v>0020</v>
      </c>
      <c r="X3759" s="1" t="s">
        <v>29</v>
      </c>
    </row>
    <row r="3760" spans="1:24" x14ac:dyDescent="0.3">
      <c r="A3760" s="1" t="str">
        <f t="shared" si="701"/>
        <v>59822</v>
      </c>
      <c r="B3760" s="1" t="s">
        <v>39</v>
      </c>
      <c r="C3760" s="1" t="s">
        <v>40</v>
      </c>
      <c r="D3760" s="1" t="str">
        <f t="shared" si="703"/>
        <v>9801</v>
      </c>
      <c r="E3760" s="1" t="s">
        <v>25</v>
      </c>
      <c r="F3760" s="1" t="str">
        <f>"F2F7D002D7880400C834002000000015"</f>
        <v>F2F7D002D7880400C834002000000015</v>
      </c>
      <c r="G3760" s="1" t="s">
        <v>74</v>
      </c>
      <c r="H3760" s="1" t="str">
        <f t="shared" si="698"/>
        <v>20220916</v>
      </c>
      <c r="I3760" s="1" t="str">
        <f>"165534"</f>
        <v>165534</v>
      </c>
      <c r="J3760" s="1" t="s">
        <v>75</v>
      </c>
      <c r="K3760" s="1" t="s">
        <v>45</v>
      </c>
      <c r="L3760" s="1" t="str">
        <f t="shared" si="704"/>
        <v>20220916</v>
      </c>
      <c r="M3760" s="1" t="str">
        <f>"170052"</f>
        <v>170052</v>
      </c>
      <c r="N3760" s="1" t="s">
        <v>44</v>
      </c>
      <c r="O3760" s="1" t="s">
        <v>45</v>
      </c>
      <c r="P3760" s="1" t="s">
        <v>68</v>
      </c>
      <c r="Q3760" s="1">
        <v>13</v>
      </c>
      <c r="R3760" s="1">
        <v>0</v>
      </c>
      <c r="S3760" s="1">
        <v>0</v>
      </c>
      <c r="T3760" s="1">
        <v>13</v>
      </c>
      <c r="U3760" s="1">
        <v>0</v>
      </c>
      <c r="V3760" s="1" t="str">
        <f t="shared" si="702"/>
        <v>里程去程</v>
      </c>
      <c r="W3760" s="1" t="str">
        <f>"0020"</f>
        <v>0020</v>
      </c>
      <c r="X3760" s="1" t="s">
        <v>29</v>
      </c>
    </row>
    <row r="3761" spans="1:24" x14ac:dyDescent="0.3">
      <c r="A3761" s="1" t="str">
        <f t="shared" si="701"/>
        <v>59822</v>
      </c>
      <c r="B3761" s="1" t="s">
        <v>39</v>
      </c>
      <c r="C3761" s="1" t="s">
        <v>40</v>
      </c>
      <c r="D3761" s="1" t="str">
        <f t="shared" si="703"/>
        <v>9801</v>
      </c>
      <c r="E3761" s="1" t="s">
        <v>25</v>
      </c>
      <c r="F3761" s="1" t="str">
        <f>"422AE7028D880400C834002000000015"</f>
        <v>422AE7028D880400C834002000000015</v>
      </c>
      <c r="G3761" s="1" t="s">
        <v>74</v>
      </c>
      <c r="H3761" s="1" t="str">
        <f t="shared" si="698"/>
        <v>20220916</v>
      </c>
      <c r="I3761" s="1" t="str">
        <f>"173023"</f>
        <v>173023</v>
      </c>
      <c r="J3761" s="1" t="s">
        <v>44</v>
      </c>
      <c r="K3761" s="1" t="s">
        <v>45</v>
      </c>
      <c r="L3761" s="1" t="str">
        <f t="shared" si="704"/>
        <v>20220916</v>
      </c>
      <c r="M3761" s="1" t="str">
        <f>"175817"</f>
        <v>175817</v>
      </c>
      <c r="N3761" s="1" t="s">
        <v>28</v>
      </c>
      <c r="O3761" s="1" t="s">
        <v>28</v>
      </c>
      <c r="P3761" s="1" t="s">
        <v>68</v>
      </c>
      <c r="Q3761" s="1">
        <v>13</v>
      </c>
      <c r="R3761" s="1">
        <v>0</v>
      </c>
      <c r="S3761" s="1">
        <v>0</v>
      </c>
      <c r="T3761" s="1">
        <v>13</v>
      </c>
      <c r="U3761" s="1">
        <v>0</v>
      </c>
      <c r="V3761" s="1" t="str">
        <f t="shared" ref="V3761:V3768" si="705">"里程返程"</f>
        <v>里程返程</v>
      </c>
      <c r="W3761" s="1" t="str">
        <f>"0020"</f>
        <v>0020</v>
      </c>
      <c r="X3761" s="1" t="s">
        <v>29</v>
      </c>
    </row>
    <row r="3762" spans="1:24" x14ac:dyDescent="0.3">
      <c r="A3762" s="1" t="str">
        <f t="shared" si="701"/>
        <v>59822</v>
      </c>
      <c r="B3762" s="1" t="s">
        <v>39</v>
      </c>
      <c r="C3762" s="1" t="s">
        <v>40</v>
      </c>
      <c r="D3762" s="1" t="str">
        <f t="shared" si="703"/>
        <v>9801</v>
      </c>
      <c r="E3762" s="1" t="s">
        <v>25</v>
      </c>
      <c r="F3762" s="1" t="str">
        <f>"1068623957"</f>
        <v>1068623957</v>
      </c>
      <c r="G3762" s="1" t="s">
        <v>38</v>
      </c>
      <c r="H3762" s="1" t="str">
        <f t="shared" si="698"/>
        <v>20220916</v>
      </c>
      <c r="I3762" s="1" t="str">
        <f>"175835"</f>
        <v>175835</v>
      </c>
      <c r="J3762" s="1" t="s">
        <v>28</v>
      </c>
      <c r="K3762" s="1" t="s">
        <v>28</v>
      </c>
      <c r="L3762" s="1" t="str">
        <f t="shared" si="704"/>
        <v>20220916</v>
      </c>
      <c r="M3762" s="1" t="str">
        <f>"183022"</f>
        <v>183022</v>
      </c>
      <c r="N3762" s="1" t="s">
        <v>60</v>
      </c>
      <c r="O3762" s="1" t="s">
        <v>52</v>
      </c>
      <c r="P3762" s="1" t="s">
        <v>55</v>
      </c>
      <c r="Q3762" s="1">
        <v>25</v>
      </c>
      <c r="R3762" s="1">
        <v>25</v>
      </c>
      <c r="S3762" s="1">
        <v>0</v>
      </c>
      <c r="T3762" s="1">
        <v>0</v>
      </c>
      <c r="U3762" s="1">
        <v>0</v>
      </c>
      <c r="V3762" s="1" t="str">
        <f t="shared" si="705"/>
        <v>里程返程</v>
      </c>
      <c r="W3762" s="1" t="str">
        <f>"0320"</f>
        <v>0320</v>
      </c>
      <c r="X3762" s="1" t="s">
        <v>35</v>
      </c>
    </row>
    <row r="3763" spans="1:24" x14ac:dyDescent="0.3">
      <c r="A3763" s="1" t="str">
        <f t="shared" si="701"/>
        <v>59822</v>
      </c>
      <c r="B3763" s="1" t="s">
        <v>39</v>
      </c>
      <c r="C3763" s="1" t="s">
        <v>40</v>
      </c>
      <c r="D3763" s="1" t="str">
        <f t="shared" si="703"/>
        <v>9801</v>
      </c>
      <c r="E3763" s="1" t="s">
        <v>25</v>
      </c>
      <c r="F3763" s="1" t="str">
        <f>"305040897"</f>
        <v>305040897</v>
      </c>
      <c r="G3763" s="1" t="s">
        <v>33</v>
      </c>
      <c r="H3763" s="1" t="str">
        <f t="shared" si="698"/>
        <v>20220916</v>
      </c>
      <c r="I3763" s="1" t="str">
        <f>"175913"</f>
        <v>175913</v>
      </c>
      <c r="J3763" s="1" t="s">
        <v>28</v>
      </c>
      <c r="K3763" s="1" t="s">
        <v>28</v>
      </c>
      <c r="L3763" s="1" t="str">
        <f t="shared" si="704"/>
        <v>20220916</v>
      </c>
      <c r="M3763" s="1" t="str">
        <f>"183352"</f>
        <v>183352</v>
      </c>
      <c r="N3763" s="1" t="s">
        <v>52</v>
      </c>
      <c r="O3763" s="1" t="s">
        <v>52</v>
      </c>
      <c r="P3763" s="1" t="s">
        <v>55</v>
      </c>
      <c r="Q3763" s="1">
        <v>25</v>
      </c>
      <c r="R3763" s="1">
        <v>0</v>
      </c>
      <c r="S3763" s="1">
        <v>25</v>
      </c>
      <c r="T3763" s="1">
        <v>0</v>
      </c>
      <c r="U3763" s="1">
        <v>0</v>
      </c>
      <c r="V3763" s="1" t="str">
        <f t="shared" si="705"/>
        <v>里程返程</v>
      </c>
      <c r="W3763" s="1" t="str">
        <f>"0820"</f>
        <v>0820</v>
      </c>
      <c r="X3763" s="1" t="s">
        <v>35</v>
      </c>
    </row>
    <row r="3764" spans="1:24" x14ac:dyDescent="0.3">
      <c r="A3764" s="1" t="str">
        <f t="shared" si="701"/>
        <v>59822</v>
      </c>
      <c r="B3764" s="1" t="s">
        <v>39</v>
      </c>
      <c r="C3764" s="1" t="s">
        <v>40</v>
      </c>
      <c r="D3764" s="1" t="str">
        <f t="shared" si="703"/>
        <v>9801</v>
      </c>
      <c r="E3764" s="1" t="s">
        <v>25</v>
      </c>
      <c r="F3764" s="1" t="str">
        <f>"1828446389"</f>
        <v>1828446389</v>
      </c>
      <c r="G3764" s="1" t="s">
        <v>33</v>
      </c>
      <c r="H3764" s="1" t="str">
        <f t="shared" si="698"/>
        <v>20220916</v>
      </c>
      <c r="I3764" s="1" t="str">
        <f>"180737"</f>
        <v>180737</v>
      </c>
      <c r="J3764" s="1" t="s">
        <v>78</v>
      </c>
      <c r="K3764" s="1" t="s">
        <v>52</v>
      </c>
      <c r="L3764" s="1" t="str">
        <f t="shared" si="704"/>
        <v>20220916</v>
      </c>
      <c r="M3764" s="1" t="str">
        <f>"182845"</f>
        <v>182845</v>
      </c>
      <c r="N3764" s="1" t="s">
        <v>51</v>
      </c>
      <c r="O3764" s="1" t="s">
        <v>52</v>
      </c>
      <c r="P3764" s="1" t="s">
        <v>55</v>
      </c>
      <c r="Q3764" s="1">
        <v>25</v>
      </c>
      <c r="R3764" s="1">
        <v>25</v>
      </c>
      <c r="S3764" s="1">
        <v>0</v>
      </c>
      <c r="T3764" s="1">
        <v>0</v>
      </c>
      <c r="U3764" s="1">
        <v>0</v>
      </c>
      <c r="V3764" s="1" t="str">
        <f t="shared" si="705"/>
        <v>里程返程</v>
      </c>
      <c r="W3764" s="1" t="str">
        <f>"0020"</f>
        <v>0020</v>
      </c>
      <c r="X3764" s="1" t="s">
        <v>35</v>
      </c>
    </row>
    <row r="3765" spans="1:24" x14ac:dyDescent="0.3">
      <c r="A3765" s="1" t="str">
        <f t="shared" si="701"/>
        <v>59822</v>
      </c>
      <c r="B3765" s="1" t="s">
        <v>39</v>
      </c>
      <c r="C3765" s="1" t="s">
        <v>40</v>
      </c>
      <c r="D3765" s="1" t="str">
        <f t="shared" si="703"/>
        <v>9801</v>
      </c>
      <c r="E3765" s="1" t="s">
        <v>25</v>
      </c>
      <c r="F3765" s="1" t="str">
        <f>"143749718"</f>
        <v>143749718</v>
      </c>
      <c r="G3765" s="1" t="s">
        <v>33</v>
      </c>
      <c r="H3765" s="1" t="str">
        <f t="shared" si="698"/>
        <v>20220916</v>
      </c>
      <c r="I3765" s="1" t="str">
        <f>"184522"</f>
        <v>184522</v>
      </c>
      <c r="J3765" s="1" t="s">
        <v>61</v>
      </c>
      <c r="K3765" s="1" t="s">
        <v>45</v>
      </c>
      <c r="L3765" s="1" t="str">
        <f t="shared" si="704"/>
        <v>20220916</v>
      </c>
      <c r="M3765" s="1" t="str">
        <f>"185725"</f>
        <v>185725</v>
      </c>
      <c r="N3765" s="1" t="s">
        <v>28</v>
      </c>
      <c r="O3765" s="1" t="s">
        <v>28</v>
      </c>
      <c r="P3765" s="1" t="s">
        <v>55</v>
      </c>
      <c r="Q3765" s="1">
        <v>25</v>
      </c>
      <c r="R3765" s="1">
        <v>0</v>
      </c>
      <c r="S3765" s="1">
        <v>25</v>
      </c>
      <c r="T3765" s="1">
        <v>0</v>
      </c>
      <c r="U3765" s="1">
        <v>0</v>
      </c>
      <c r="V3765" s="1" t="str">
        <f t="shared" si="705"/>
        <v>里程返程</v>
      </c>
      <c r="W3765" s="1" t="str">
        <f>"2120"</f>
        <v>2120</v>
      </c>
      <c r="X3765" s="1" t="s">
        <v>35</v>
      </c>
    </row>
    <row r="3766" spans="1:24" x14ac:dyDescent="0.3">
      <c r="A3766" s="1" t="str">
        <f t="shared" si="701"/>
        <v>59822</v>
      </c>
      <c r="B3766" s="1" t="s">
        <v>39</v>
      </c>
      <c r="C3766" s="1" t="s">
        <v>40</v>
      </c>
      <c r="D3766" s="1" t="str">
        <f t="shared" si="703"/>
        <v>9801</v>
      </c>
      <c r="E3766" s="1" t="s">
        <v>25</v>
      </c>
      <c r="F3766" s="1" t="str">
        <f>"850332529"</f>
        <v>850332529</v>
      </c>
      <c r="G3766" s="1" t="s">
        <v>33</v>
      </c>
      <c r="H3766" s="1" t="str">
        <f t="shared" si="698"/>
        <v>20220916</v>
      </c>
      <c r="I3766" s="1" t="str">
        <f>"185736"</f>
        <v>185736</v>
      </c>
      <c r="J3766" s="1" t="s">
        <v>28</v>
      </c>
      <c r="K3766" s="1" t="s">
        <v>28</v>
      </c>
      <c r="L3766" s="1" t="str">
        <f t="shared" si="704"/>
        <v>20220916</v>
      </c>
      <c r="M3766" s="1" t="str">
        <f>"192255"</f>
        <v>192255</v>
      </c>
      <c r="N3766" s="1" t="s">
        <v>60</v>
      </c>
      <c r="O3766" s="1" t="s">
        <v>52</v>
      </c>
      <c r="P3766" s="1" t="s">
        <v>55</v>
      </c>
      <c r="Q3766" s="1">
        <v>25</v>
      </c>
      <c r="R3766" s="1">
        <v>25</v>
      </c>
      <c r="S3766" s="1">
        <v>0</v>
      </c>
      <c r="T3766" s="1">
        <v>0</v>
      </c>
      <c r="U3766" s="1">
        <v>0</v>
      </c>
      <c r="V3766" s="1" t="str">
        <f t="shared" si="705"/>
        <v>里程返程</v>
      </c>
      <c r="W3766" s="1" t="str">
        <f>"2020"</f>
        <v>2020</v>
      </c>
      <c r="X3766" s="1" t="s">
        <v>35</v>
      </c>
    </row>
    <row r="3767" spans="1:24" x14ac:dyDescent="0.3">
      <c r="A3767" s="1" t="str">
        <f t="shared" si="701"/>
        <v>59822</v>
      </c>
      <c r="B3767" s="1" t="s">
        <v>39</v>
      </c>
      <c r="C3767" s="1" t="s">
        <v>40</v>
      </c>
      <c r="D3767" s="1" t="str">
        <f t="shared" si="703"/>
        <v>9801</v>
      </c>
      <c r="E3767" s="1" t="s">
        <v>25</v>
      </c>
      <c r="F3767" s="1" t="str">
        <f>"1683604816"</f>
        <v>1683604816</v>
      </c>
      <c r="G3767" s="1" t="s">
        <v>74</v>
      </c>
      <c r="H3767" s="1" t="str">
        <f t="shared" si="698"/>
        <v>20220916</v>
      </c>
      <c r="I3767" s="1" t="str">
        <f>"185744"</f>
        <v>185744</v>
      </c>
      <c r="J3767" s="1" t="s">
        <v>28</v>
      </c>
      <c r="K3767" s="1" t="s">
        <v>28</v>
      </c>
      <c r="L3767" s="1" t="str">
        <f t="shared" si="704"/>
        <v>20220916</v>
      </c>
      <c r="M3767" s="1" t="str">
        <f>"192608"</f>
        <v>192608</v>
      </c>
      <c r="N3767" s="1" t="s">
        <v>52</v>
      </c>
      <c r="O3767" s="1" t="s">
        <v>52</v>
      </c>
      <c r="P3767" s="1" t="s">
        <v>55</v>
      </c>
      <c r="Q3767" s="1">
        <v>13</v>
      </c>
      <c r="R3767" s="1">
        <v>13</v>
      </c>
      <c r="S3767" s="1">
        <v>0</v>
      </c>
      <c r="T3767" s="1">
        <v>0</v>
      </c>
      <c r="U3767" s="1">
        <v>0</v>
      </c>
      <c r="V3767" s="1" t="str">
        <f t="shared" si="705"/>
        <v>里程返程</v>
      </c>
      <c r="W3767" s="1" t="str">
        <f>"2120"</f>
        <v>2120</v>
      </c>
      <c r="X3767" s="1" t="s">
        <v>35</v>
      </c>
    </row>
    <row r="3768" spans="1:24" x14ac:dyDescent="0.3">
      <c r="A3768" s="1" t="str">
        <f t="shared" si="701"/>
        <v>59822</v>
      </c>
      <c r="B3768" s="1" t="s">
        <v>39</v>
      </c>
      <c r="C3768" s="1" t="s">
        <v>40</v>
      </c>
      <c r="D3768" s="1" t="str">
        <f t="shared" si="703"/>
        <v>9801</v>
      </c>
      <c r="E3768" s="1" t="s">
        <v>25</v>
      </c>
      <c r="F3768" s="1" t="str">
        <f>"02DD3718F0880400C819002000000019"</f>
        <v>02DD3718F0880400C819002000000019</v>
      </c>
      <c r="G3768" s="1" t="s">
        <v>64</v>
      </c>
      <c r="H3768" s="1" t="str">
        <f t="shared" si="698"/>
        <v>20220916</v>
      </c>
      <c r="I3768" s="1" t="str">
        <f>"185749"</f>
        <v>185749</v>
      </c>
      <c r="J3768" s="1" t="s">
        <v>28</v>
      </c>
      <c r="K3768" s="1" t="s">
        <v>28</v>
      </c>
      <c r="L3768" s="1" t="str">
        <f t="shared" si="704"/>
        <v>20220916</v>
      </c>
      <c r="M3768" s="1" t="str">
        <f>"191135"</f>
        <v>191135</v>
      </c>
      <c r="N3768" s="1" t="s">
        <v>77</v>
      </c>
      <c r="O3768" s="1" t="s">
        <v>52</v>
      </c>
      <c r="P3768" s="1" t="s">
        <v>55</v>
      </c>
      <c r="Q3768" s="1">
        <v>13</v>
      </c>
      <c r="R3768" s="1">
        <v>13</v>
      </c>
      <c r="S3768" s="1">
        <v>0</v>
      </c>
      <c r="T3768" s="1">
        <v>0</v>
      </c>
      <c r="U3768" s="1">
        <v>0</v>
      </c>
      <c r="V3768" s="1" t="str">
        <f t="shared" si="705"/>
        <v>里程返程</v>
      </c>
      <c r="W3768" s="1" t="str">
        <f>"0020"</f>
        <v>0020</v>
      </c>
      <c r="X3768" s="1" t="s">
        <v>29</v>
      </c>
    </row>
    <row r="3769" spans="1:24" x14ac:dyDescent="0.3">
      <c r="A3769" s="1" t="str">
        <f t="shared" si="701"/>
        <v>59822</v>
      </c>
      <c r="B3769" s="1" t="s">
        <v>39</v>
      </c>
      <c r="C3769" s="1" t="s">
        <v>40</v>
      </c>
      <c r="D3769" s="1" t="str">
        <f t="shared" si="703"/>
        <v>9801</v>
      </c>
      <c r="E3769" s="1" t="s">
        <v>25</v>
      </c>
      <c r="F3769" s="1" t="str">
        <f>"2597873551"</f>
        <v>2597873551</v>
      </c>
      <c r="G3769" s="1" t="s">
        <v>33</v>
      </c>
      <c r="H3769" s="1" t="str">
        <f t="shared" si="698"/>
        <v>20220916</v>
      </c>
      <c r="I3769" s="1" t="str">
        <f>"203724"</f>
        <v>203724</v>
      </c>
      <c r="J3769" s="1" t="s">
        <v>27</v>
      </c>
      <c r="K3769" s="1" t="s">
        <v>28</v>
      </c>
      <c r="L3769" s="1" t="str">
        <f t="shared" si="704"/>
        <v>20220916</v>
      </c>
      <c r="M3769" s="1" t="str">
        <f>"204803"</f>
        <v>204803</v>
      </c>
      <c r="N3769" s="1" t="s">
        <v>56</v>
      </c>
      <c r="O3769" s="1" t="s">
        <v>45</v>
      </c>
      <c r="P3769" s="1" t="s">
        <v>55</v>
      </c>
      <c r="Q3769" s="1">
        <v>25</v>
      </c>
      <c r="R3769" s="1">
        <v>25</v>
      </c>
      <c r="S3769" s="1">
        <v>0</v>
      </c>
      <c r="T3769" s="1">
        <v>0</v>
      </c>
      <c r="U3769" s="1">
        <v>0</v>
      </c>
      <c r="V3769" s="1" t="str">
        <f>"里程去程"</f>
        <v>里程去程</v>
      </c>
      <c r="W3769" s="1" t="str">
        <f>"0820"</f>
        <v>0820</v>
      </c>
      <c r="X3769" s="1" t="s">
        <v>35</v>
      </c>
    </row>
    <row r="3770" spans="1:24" x14ac:dyDescent="0.3">
      <c r="A3770" s="1" t="str">
        <f t="shared" si="701"/>
        <v>59822</v>
      </c>
      <c r="B3770" s="1" t="s">
        <v>39</v>
      </c>
      <c r="C3770" s="1" t="s">
        <v>40</v>
      </c>
      <c r="D3770" s="1" t="str">
        <f>"9805"</f>
        <v>9805</v>
      </c>
      <c r="E3770" s="1" t="s">
        <v>57</v>
      </c>
      <c r="F3770" s="1" t="str">
        <f>"1735885413"</f>
        <v>1735885413</v>
      </c>
      <c r="G3770" s="1" t="s">
        <v>33</v>
      </c>
      <c r="H3770" s="1" t="str">
        <f t="shared" si="698"/>
        <v>20220916</v>
      </c>
      <c r="I3770" s="1" t="str">
        <f>"213932"</f>
        <v>213932</v>
      </c>
      <c r="J3770" s="1" t="s">
        <v>52</v>
      </c>
      <c r="K3770" s="1" t="s">
        <v>52</v>
      </c>
      <c r="L3770" s="1" t="str">
        <f t="shared" si="704"/>
        <v>20220916</v>
      </c>
      <c r="M3770" s="1" t="str">
        <f>"215828"</f>
        <v>215828</v>
      </c>
      <c r="N3770" s="1" t="s">
        <v>28</v>
      </c>
      <c r="O3770" s="1" t="s">
        <v>28</v>
      </c>
      <c r="P3770" s="1" t="s">
        <v>55</v>
      </c>
      <c r="Q3770" s="1">
        <v>25</v>
      </c>
      <c r="R3770" s="1">
        <v>25</v>
      </c>
      <c r="S3770" s="1">
        <v>0</v>
      </c>
      <c r="T3770" s="1">
        <v>0</v>
      </c>
      <c r="U3770" s="1">
        <v>0</v>
      </c>
      <c r="V3770" s="1" t="str">
        <f t="shared" ref="V3770:V3800" si="706">"里程返程"</f>
        <v>里程返程</v>
      </c>
      <c r="W3770" s="1" t="str">
        <f>"0920"</f>
        <v>0920</v>
      </c>
      <c r="X3770" s="1" t="s">
        <v>35</v>
      </c>
    </row>
    <row r="3771" spans="1:24" x14ac:dyDescent="0.3">
      <c r="A3771" s="1" t="str">
        <f t="shared" ref="A3771:A3802" si="707">"59825"</f>
        <v>59825</v>
      </c>
      <c r="B3771" s="1" t="s">
        <v>30</v>
      </c>
      <c r="C3771" s="1" t="s">
        <v>31</v>
      </c>
      <c r="D3771" s="1" t="str">
        <f t="shared" ref="D3771:D3800" si="708">"9801"</f>
        <v>9801</v>
      </c>
      <c r="E3771" s="1" t="s">
        <v>25</v>
      </c>
      <c r="F3771" s="1" t="str">
        <f>"1076794901"</f>
        <v>1076794901</v>
      </c>
      <c r="G3771" s="1" t="s">
        <v>33</v>
      </c>
      <c r="H3771" s="1" t="str">
        <f t="shared" si="698"/>
        <v>20220916</v>
      </c>
      <c r="I3771" s="1" t="str">
        <f>"082225"</f>
        <v>082225</v>
      </c>
      <c r="J3771" s="1" t="s">
        <v>44</v>
      </c>
      <c r="K3771" s="1" t="s">
        <v>45</v>
      </c>
      <c r="L3771" s="1" t="str">
        <f t="shared" si="704"/>
        <v>20220916</v>
      </c>
      <c r="M3771" s="1" t="str">
        <f>"084350"</f>
        <v>084350</v>
      </c>
      <c r="N3771" s="1" t="s">
        <v>45</v>
      </c>
      <c r="O3771" s="1" t="s">
        <v>45</v>
      </c>
      <c r="P3771" s="1" t="s">
        <v>55</v>
      </c>
      <c r="Q3771" s="1">
        <v>25</v>
      </c>
      <c r="R3771" s="1">
        <v>25</v>
      </c>
      <c r="S3771" s="1">
        <v>0</v>
      </c>
      <c r="T3771" s="1">
        <v>0</v>
      </c>
      <c r="U3771" s="1">
        <v>0</v>
      </c>
      <c r="V3771" s="1" t="str">
        <f t="shared" si="706"/>
        <v>里程返程</v>
      </c>
      <c r="W3771" s="1" t="str">
        <f>"2120"</f>
        <v>2120</v>
      </c>
      <c r="X3771" s="1" t="s">
        <v>35</v>
      </c>
    </row>
    <row r="3772" spans="1:24" x14ac:dyDescent="0.3">
      <c r="A3772" s="1" t="str">
        <f t="shared" si="707"/>
        <v>59825</v>
      </c>
      <c r="B3772" s="1" t="s">
        <v>30</v>
      </c>
      <c r="C3772" s="1" t="s">
        <v>31</v>
      </c>
      <c r="D3772" s="1" t="str">
        <f t="shared" si="708"/>
        <v>9801</v>
      </c>
      <c r="E3772" s="1" t="s">
        <v>25</v>
      </c>
      <c r="F3772" s="1" t="str">
        <f>"750179185"</f>
        <v>750179185</v>
      </c>
      <c r="G3772" s="1" t="s">
        <v>33</v>
      </c>
      <c r="H3772" s="1" t="str">
        <f t="shared" si="698"/>
        <v>20220916</v>
      </c>
      <c r="I3772" s="1" t="str">
        <f>"082242"</f>
        <v>082242</v>
      </c>
      <c r="J3772" s="1" t="s">
        <v>44</v>
      </c>
      <c r="K3772" s="1" t="s">
        <v>45</v>
      </c>
      <c r="L3772" s="1" t="str">
        <f t="shared" si="704"/>
        <v>20220916</v>
      </c>
      <c r="M3772" s="1" t="str">
        <f>"085338"</f>
        <v>085338</v>
      </c>
      <c r="N3772" s="1" t="s">
        <v>28</v>
      </c>
      <c r="O3772" s="1" t="s">
        <v>28</v>
      </c>
      <c r="P3772" s="1" t="s">
        <v>55</v>
      </c>
      <c r="Q3772" s="1">
        <v>25</v>
      </c>
      <c r="R3772" s="1">
        <v>25</v>
      </c>
      <c r="S3772" s="1">
        <v>0</v>
      </c>
      <c r="T3772" s="1">
        <v>0</v>
      </c>
      <c r="U3772" s="1">
        <v>0</v>
      </c>
      <c r="V3772" s="1" t="str">
        <f t="shared" si="706"/>
        <v>里程返程</v>
      </c>
      <c r="W3772" s="1" t="str">
        <f>"2020"</f>
        <v>2020</v>
      </c>
      <c r="X3772" s="1" t="s">
        <v>35</v>
      </c>
    </row>
    <row r="3773" spans="1:24" x14ac:dyDescent="0.3">
      <c r="A3773" s="1" t="str">
        <f t="shared" si="707"/>
        <v>59825</v>
      </c>
      <c r="B3773" s="1" t="s">
        <v>30</v>
      </c>
      <c r="C3773" s="1" t="s">
        <v>31</v>
      </c>
      <c r="D3773" s="1" t="str">
        <f t="shared" si="708"/>
        <v>9801</v>
      </c>
      <c r="E3773" s="1" t="s">
        <v>25</v>
      </c>
      <c r="F3773" s="1" t="str">
        <f>"1142464677"</f>
        <v>1142464677</v>
      </c>
      <c r="G3773" s="1" t="s">
        <v>33</v>
      </c>
      <c r="H3773" s="1" t="str">
        <f t="shared" ref="H3773:H3836" si="709">"20220916"</f>
        <v>20220916</v>
      </c>
      <c r="I3773" s="1" t="str">
        <f>"082248"</f>
        <v>082248</v>
      </c>
      <c r="J3773" s="1" t="s">
        <v>44</v>
      </c>
      <c r="K3773" s="1" t="s">
        <v>45</v>
      </c>
      <c r="L3773" s="1" t="str">
        <f t="shared" si="704"/>
        <v>20220916</v>
      </c>
      <c r="M3773" s="1" t="str">
        <f>"085401"</f>
        <v>085401</v>
      </c>
      <c r="N3773" s="1" t="s">
        <v>28</v>
      </c>
      <c r="O3773" s="1" t="s">
        <v>28</v>
      </c>
      <c r="P3773" s="1" t="s">
        <v>55</v>
      </c>
      <c r="Q3773" s="1">
        <v>25</v>
      </c>
      <c r="R3773" s="1">
        <v>25</v>
      </c>
      <c r="S3773" s="1">
        <v>0</v>
      </c>
      <c r="T3773" s="1">
        <v>0</v>
      </c>
      <c r="U3773" s="1">
        <v>0</v>
      </c>
      <c r="V3773" s="1" t="str">
        <f t="shared" si="706"/>
        <v>里程返程</v>
      </c>
      <c r="W3773" s="1" t="str">
        <f>"2020"</f>
        <v>2020</v>
      </c>
      <c r="X3773" s="1" t="s">
        <v>35</v>
      </c>
    </row>
    <row r="3774" spans="1:24" x14ac:dyDescent="0.3">
      <c r="A3774" s="1" t="str">
        <f t="shared" si="707"/>
        <v>59825</v>
      </c>
      <c r="B3774" s="1" t="s">
        <v>30</v>
      </c>
      <c r="C3774" s="1" t="s">
        <v>31</v>
      </c>
      <c r="D3774" s="1" t="str">
        <f t="shared" si="708"/>
        <v>9801</v>
      </c>
      <c r="E3774" s="1" t="s">
        <v>25</v>
      </c>
      <c r="F3774" s="1" t="str">
        <f>"278233073"</f>
        <v>278233073</v>
      </c>
      <c r="G3774" s="1" t="s">
        <v>33</v>
      </c>
      <c r="H3774" s="1" t="str">
        <f t="shared" si="709"/>
        <v>20220916</v>
      </c>
      <c r="I3774" s="1" t="str">
        <f>"083857"</f>
        <v>083857</v>
      </c>
      <c r="J3774" s="1" t="s">
        <v>75</v>
      </c>
      <c r="K3774" s="1" t="s">
        <v>45</v>
      </c>
      <c r="L3774" s="1" t="str">
        <f t="shared" si="704"/>
        <v>20220916</v>
      </c>
      <c r="M3774" s="1" t="str">
        <f>"085405"</f>
        <v>085405</v>
      </c>
      <c r="N3774" s="1" t="s">
        <v>28</v>
      </c>
      <c r="O3774" s="1" t="s">
        <v>28</v>
      </c>
      <c r="P3774" s="1" t="s">
        <v>55</v>
      </c>
      <c r="Q3774" s="1">
        <v>25</v>
      </c>
      <c r="R3774" s="1">
        <v>25</v>
      </c>
      <c r="S3774" s="1">
        <v>0</v>
      </c>
      <c r="T3774" s="1">
        <v>0</v>
      </c>
      <c r="U3774" s="1">
        <v>0</v>
      </c>
      <c r="V3774" s="1" t="str">
        <f t="shared" si="706"/>
        <v>里程返程</v>
      </c>
      <c r="W3774" s="1" t="str">
        <f>"2020"</f>
        <v>2020</v>
      </c>
      <c r="X3774" s="1" t="s">
        <v>35</v>
      </c>
    </row>
    <row r="3775" spans="1:24" x14ac:dyDescent="0.3">
      <c r="A3775" s="1" t="str">
        <f t="shared" si="707"/>
        <v>59825</v>
      </c>
      <c r="B3775" s="1" t="s">
        <v>30</v>
      </c>
      <c r="C3775" s="1" t="s">
        <v>31</v>
      </c>
      <c r="D3775" s="1" t="str">
        <f t="shared" si="708"/>
        <v>9801</v>
      </c>
      <c r="E3775" s="1" t="s">
        <v>25</v>
      </c>
      <c r="F3775" s="1" t="str">
        <f>"1254264965"</f>
        <v>1254264965</v>
      </c>
      <c r="G3775" s="1" t="s">
        <v>33</v>
      </c>
      <c r="H3775" s="1" t="str">
        <f t="shared" si="709"/>
        <v>20220916</v>
      </c>
      <c r="I3775" s="1" t="str">
        <f>"083903"</f>
        <v>083903</v>
      </c>
      <c r="J3775" s="1" t="s">
        <v>75</v>
      </c>
      <c r="K3775" s="1" t="s">
        <v>45</v>
      </c>
      <c r="L3775" s="1" t="str">
        <f t="shared" si="704"/>
        <v>20220916</v>
      </c>
      <c r="M3775" s="1" t="str">
        <f>"085409"</f>
        <v>085409</v>
      </c>
      <c r="N3775" s="1" t="s">
        <v>28</v>
      </c>
      <c r="O3775" s="1" t="s">
        <v>28</v>
      </c>
      <c r="P3775" s="1" t="s">
        <v>55</v>
      </c>
      <c r="Q3775" s="1">
        <v>25</v>
      </c>
      <c r="R3775" s="1">
        <v>25</v>
      </c>
      <c r="S3775" s="1">
        <v>0</v>
      </c>
      <c r="T3775" s="1">
        <v>0</v>
      </c>
      <c r="U3775" s="1">
        <v>0</v>
      </c>
      <c r="V3775" s="1" t="str">
        <f t="shared" si="706"/>
        <v>里程返程</v>
      </c>
      <c r="W3775" s="1" t="str">
        <f>"0820"</f>
        <v>0820</v>
      </c>
      <c r="X3775" s="1" t="s">
        <v>35</v>
      </c>
    </row>
    <row r="3776" spans="1:24" x14ac:dyDescent="0.3">
      <c r="A3776" s="1" t="str">
        <f t="shared" si="707"/>
        <v>59825</v>
      </c>
      <c r="B3776" s="1" t="s">
        <v>30</v>
      </c>
      <c r="C3776" s="1" t="s">
        <v>31</v>
      </c>
      <c r="D3776" s="1" t="str">
        <f t="shared" si="708"/>
        <v>9801</v>
      </c>
      <c r="E3776" s="1" t="s">
        <v>25</v>
      </c>
      <c r="F3776" s="1" t="str">
        <f>"1725435766"</f>
        <v>1725435766</v>
      </c>
      <c r="G3776" s="1" t="s">
        <v>26</v>
      </c>
      <c r="H3776" s="1" t="str">
        <f t="shared" si="709"/>
        <v>20220916</v>
      </c>
      <c r="I3776" s="1" t="str">
        <f>"090755"</f>
        <v>090755</v>
      </c>
      <c r="J3776" s="1" t="s">
        <v>69</v>
      </c>
      <c r="K3776" s="1" t="s">
        <v>52</v>
      </c>
      <c r="L3776" s="1" t="str">
        <f t="shared" si="704"/>
        <v>20220916</v>
      </c>
      <c r="M3776" s="1" t="str">
        <f>"092043"</f>
        <v>092043</v>
      </c>
      <c r="N3776" s="1" t="s">
        <v>51</v>
      </c>
      <c r="O3776" s="1" t="s">
        <v>52</v>
      </c>
      <c r="P3776" s="1" t="s">
        <v>55</v>
      </c>
      <c r="Q3776" s="1">
        <v>13</v>
      </c>
      <c r="R3776" s="1">
        <v>13</v>
      </c>
      <c r="S3776" s="1">
        <v>0</v>
      </c>
      <c r="T3776" s="1">
        <v>0</v>
      </c>
      <c r="U3776" s="1">
        <v>0</v>
      </c>
      <c r="V3776" s="1" t="str">
        <f t="shared" si="706"/>
        <v>里程返程</v>
      </c>
      <c r="W3776" s="1" t="str">
        <f>"2020"</f>
        <v>2020</v>
      </c>
      <c r="X3776" s="1" t="s">
        <v>35</v>
      </c>
    </row>
    <row r="3777" spans="1:24" x14ac:dyDescent="0.3">
      <c r="A3777" s="1" t="str">
        <f t="shared" si="707"/>
        <v>59825</v>
      </c>
      <c r="B3777" s="1" t="s">
        <v>30</v>
      </c>
      <c r="C3777" s="1" t="s">
        <v>31</v>
      </c>
      <c r="D3777" s="1" t="str">
        <f t="shared" si="708"/>
        <v>9801</v>
      </c>
      <c r="E3777" s="1" t="s">
        <v>25</v>
      </c>
      <c r="F3777" s="1" t="str">
        <f>"1733813681"</f>
        <v>1733813681</v>
      </c>
      <c r="G3777" s="1" t="s">
        <v>26</v>
      </c>
      <c r="H3777" s="1" t="str">
        <f t="shared" si="709"/>
        <v>20220916</v>
      </c>
      <c r="I3777" s="1" t="str">
        <f>"093104"</f>
        <v>093104</v>
      </c>
      <c r="J3777" s="1" t="s">
        <v>44</v>
      </c>
      <c r="K3777" s="1" t="s">
        <v>45</v>
      </c>
      <c r="L3777" s="1" t="str">
        <f t="shared" si="704"/>
        <v>20220916</v>
      </c>
      <c r="M3777" s="1" t="str">
        <f>"094215"</f>
        <v>094215</v>
      </c>
      <c r="N3777" s="1" t="s">
        <v>45</v>
      </c>
      <c r="O3777" s="1" t="s">
        <v>45</v>
      </c>
      <c r="P3777" s="1" t="s">
        <v>55</v>
      </c>
      <c r="Q3777" s="1">
        <v>13</v>
      </c>
      <c r="R3777" s="1">
        <v>13</v>
      </c>
      <c r="S3777" s="1">
        <v>0</v>
      </c>
      <c r="T3777" s="1">
        <v>0</v>
      </c>
      <c r="U3777" s="1">
        <v>0</v>
      </c>
      <c r="V3777" s="1" t="str">
        <f t="shared" si="706"/>
        <v>里程返程</v>
      </c>
      <c r="W3777" s="1" t="str">
        <f>"0220"</f>
        <v>0220</v>
      </c>
      <c r="X3777" s="1" t="s">
        <v>35</v>
      </c>
    </row>
    <row r="3778" spans="1:24" x14ac:dyDescent="0.3">
      <c r="A3778" s="1" t="str">
        <f t="shared" si="707"/>
        <v>59825</v>
      </c>
      <c r="B3778" s="1" t="s">
        <v>30</v>
      </c>
      <c r="C3778" s="1" t="s">
        <v>31</v>
      </c>
      <c r="D3778" s="1" t="str">
        <f t="shared" si="708"/>
        <v>9801</v>
      </c>
      <c r="E3778" s="1" t="s">
        <v>25</v>
      </c>
      <c r="F3778" s="1" t="str">
        <f>"3756075971"</f>
        <v>3756075971</v>
      </c>
      <c r="G3778" s="1" t="s">
        <v>33</v>
      </c>
      <c r="H3778" s="1" t="str">
        <f t="shared" si="709"/>
        <v>20220916</v>
      </c>
      <c r="I3778" s="1" t="str">
        <f>"093919"</f>
        <v>093919</v>
      </c>
      <c r="J3778" s="1" t="s">
        <v>75</v>
      </c>
      <c r="K3778" s="1" t="s">
        <v>45</v>
      </c>
      <c r="L3778" s="1" t="str">
        <f t="shared" si="704"/>
        <v>20220916</v>
      </c>
      <c r="M3778" s="1" t="str">
        <f>"095237"</f>
        <v>095237</v>
      </c>
      <c r="N3778" s="1" t="s">
        <v>95</v>
      </c>
      <c r="O3778" s="1" t="s">
        <v>28</v>
      </c>
      <c r="P3778" s="1" t="s">
        <v>55</v>
      </c>
      <c r="Q3778" s="1">
        <v>25</v>
      </c>
      <c r="R3778" s="1">
        <v>25</v>
      </c>
      <c r="S3778" s="1">
        <v>0</v>
      </c>
      <c r="T3778" s="1">
        <v>0</v>
      </c>
      <c r="U3778" s="1">
        <v>0</v>
      </c>
      <c r="V3778" s="1" t="str">
        <f t="shared" si="706"/>
        <v>里程返程</v>
      </c>
      <c r="W3778" s="1" t="str">
        <f>"2020"</f>
        <v>2020</v>
      </c>
      <c r="X3778" s="1" t="s">
        <v>35</v>
      </c>
    </row>
    <row r="3779" spans="1:24" x14ac:dyDescent="0.3">
      <c r="A3779" s="1" t="str">
        <f t="shared" si="707"/>
        <v>59825</v>
      </c>
      <c r="B3779" s="1" t="s">
        <v>30</v>
      </c>
      <c r="C3779" s="1" t="s">
        <v>31</v>
      </c>
      <c r="D3779" s="1" t="str">
        <f t="shared" si="708"/>
        <v>9801</v>
      </c>
      <c r="E3779" s="1" t="s">
        <v>25</v>
      </c>
      <c r="F3779" s="1" t="str">
        <f>"285817872"</f>
        <v>285817872</v>
      </c>
      <c r="G3779" s="1" t="s">
        <v>33</v>
      </c>
      <c r="H3779" s="1" t="str">
        <f t="shared" si="709"/>
        <v>20220916</v>
      </c>
      <c r="I3779" s="1" t="str">
        <f>"095317"</f>
        <v>095317</v>
      </c>
      <c r="J3779" s="1" t="s">
        <v>28</v>
      </c>
      <c r="K3779" s="1" t="s">
        <v>28</v>
      </c>
      <c r="L3779" s="1" t="str">
        <f t="shared" si="704"/>
        <v>20220916</v>
      </c>
      <c r="M3779" s="1" t="str">
        <f>"102428"</f>
        <v>102428</v>
      </c>
      <c r="N3779" s="1" t="s">
        <v>60</v>
      </c>
      <c r="O3779" s="1" t="s">
        <v>52</v>
      </c>
      <c r="P3779" s="1" t="s">
        <v>55</v>
      </c>
      <c r="Q3779" s="1">
        <v>25</v>
      </c>
      <c r="R3779" s="1">
        <v>0</v>
      </c>
      <c r="S3779" s="1">
        <v>25</v>
      </c>
      <c r="T3779" s="1">
        <v>0</v>
      </c>
      <c r="U3779" s="1">
        <v>0</v>
      </c>
      <c r="V3779" s="1" t="str">
        <f t="shared" si="706"/>
        <v>里程返程</v>
      </c>
      <c r="W3779" s="1" t="str">
        <f>"0820"</f>
        <v>0820</v>
      </c>
      <c r="X3779" s="1" t="s">
        <v>35</v>
      </c>
    </row>
    <row r="3780" spans="1:24" x14ac:dyDescent="0.3">
      <c r="A3780" s="1" t="str">
        <f t="shared" si="707"/>
        <v>59825</v>
      </c>
      <c r="B3780" s="1" t="s">
        <v>30</v>
      </c>
      <c r="C3780" s="1" t="s">
        <v>31</v>
      </c>
      <c r="D3780" s="1" t="str">
        <f t="shared" si="708"/>
        <v>9801</v>
      </c>
      <c r="E3780" s="1" t="s">
        <v>25</v>
      </c>
      <c r="F3780" s="1" t="str">
        <f>"1048585061"</f>
        <v>1048585061</v>
      </c>
      <c r="G3780" s="1" t="s">
        <v>33</v>
      </c>
      <c r="H3780" s="1" t="str">
        <f t="shared" si="709"/>
        <v>20220916</v>
      </c>
      <c r="I3780" s="1" t="str">
        <f>"095323"</f>
        <v>095323</v>
      </c>
      <c r="J3780" s="1" t="s">
        <v>28</v>
      </c>
      <c r="K3780" s="1" t="s">
        <v>28</v>
      </c>
      <c r="L3780" s="1" t="str">
        <f t="shared" si="704"/>
        <v>20220916</v>
      </c>
      <c r="M3780" s="1" t="str">
        <f>"102847"</f>
        <v>102847</v>
      </c>
      <c r="N3780" s="1" t="s">
        <v>52</v>
      </c>
      <c r="O3780" s="1" t="s">
        <v>52</v>
      </c>
      <c r="P3780" s="1" t="s">
        <v>55</v>
      </c>
      <c r="Q3780" s="1">
        <v>25</v>
      </c>
      <c r="R3780" s="1">
        <v>25</v>
      </c>
      <c r="S3780" s="1">
        <v>0</v>
      </c>
      <c r="T3780" s="1">
        <v>0</v>
      </c>
      <c r="U3780" s="1">
        <v>0</v>
      </c>
      <c r="V3780" s="1" t="str">
        <f t="shared" si="706"/>
        <v>里程返程</v>
      </c>
      <c r="W3780" s="1" t="str">
        <f>"0620"</f>
        <v>0620</v>
      </c>
      <c r="X3780" s="1" t="s">
        <v>35</v>
      </c>
    </row>
    <row r="3781" spans="1:24" x14ac:dyDescent="0.3">
      <c r="A3781" s="1" t="str">
        <f t="shared" si="707"/>
        <v>59825</v>
      </c>
      <c r="B3781" s="1" t="s">
        <v>30</v>
      </c>
      <c r="C3781" s="1" t="s">
        <v>31</v>
      </c>
      <c r="D3781" s="1" t="str">
        <f t="shared" si="708"/>
        <v>9801</v>
      </c>
      <c r="E3781" s="1" t="s">
        <v>25</v>
      </c>
      <c r="F3781" s="1" t="str">
        <f>"1110140901"</f>
        <v>1110140901</v>
      </c>
      <c r="G3781" s="1" t="s">
        <v>38</v>
      </c>
      <c r="H3781" s="1" t="str">
        <f t="shared" si="709"/>
        <v>20220916</v>
      </c>
      <c r="I3781" s="1" t="str">
        <f>"095344"</f>
        <v>095344</v>
      </c>
      <c r="J3781" s="1" t="s">
        <v>28</v>
      </c>
      <c r="K3781" s="1" t="s">
        <v>28</v>
      </c>
      <c r="L3781" s="1" t="str">
        <f t="shared" si="704"/>
        <v>20220916</v>
      </c>
      <c r="M3781" s="1" t="str">
        <f>"101707"</f>
        <v>101707</v>
      </c>
      <c r="N3781" s="1" t="s">
        <v>97</v>
      </c>
      <c r="O3781" s="1" t="s">
        <v>52</v>
      </c>
      <c r="P3781" s="1" t="s">
        <v>55</v>
      </c>
      <c r="Q3781" s="1">
        <v>25</v>
      </c>
      <c r="R3781" s="1">
        <v>0</v>
      </c>
      <c r="S3781" s="1">
        <v>25</v>
      </c>
      <c r="T3781" s="1">
        <v>0</v>
      </c>
      <c r="U3781" s="1">
        <v>0</v>
      </c>
      <c r="V3781" s="1" t="str">
        <f t="shared" si="706"/>
        <v>里程返程</v>
      </c>
      <c r="W3781" s="1" t="str">
        <f>"0820"</f>
        <v>0820</v>
      </c>
      <c r="X3781" s="1" t="s">
        <v>35</v>
      </c>
    </row>
    <row r="3782" spans="1:24" x14ac:dyDescent="0.3">
      <c r="A3782" s="1" t="str">
        <f t="shared" si="707"/>
        <v>59825</v>
      </c>
      <c r="B3782" s="1" t="s">
        <v>30</v>
      </c>
      <c r="C3782" s="1" t="s">
        <v>31</v>
      </c>
      <c r="D3782" s="1" t="str">
        <f t="shared" si="708"/>
        <v>9801</v>
      </c>
      <c r="E3782" s="1" t="s">
        <v>25</v>
      </c>
      <c r="F3782" s="1" t="str">
        <f>"1076794901"</f>
        <v>1076794901</v>
      </c>
      <c r="G3782" s="1" t="s">
        <v>33</v>
      </c>
      <c r="H3782" s="1" t="str">
        <f t="shared" si="709"/>
        <v>20220916</v>
      </c>
      <c r="I3782" s="1" t="str">
        <f>"104344"</f>
        <v>104344</v>
      </c>
      <c r="J3782" s="1" t="s">
        <v>45</v>
      </c>
      <c r="K3782" s="1" t="s">
        <v>45</v>
      </c>
      <c r="L3782" s="1" t="str">
        <f t="shared" si="704"/>
        <v>20220916</v>
      </c>
      <c r="M3782" s="1" t="str">
        <f>"105356"</f>
        <v>105356</v>
      </c>
      <c r="N3782" s="1" t="s">
        <v>28</v>
      </c>
      <c r="O3782" s="1" t="s">
        <v>28</v>
      </c>
      <c r="P3782" s="1" t="s">
        <v>55</v>
      </c>
      <c r="Q3782" s="1">
        <v>25</v>
      </c>
      <c r="R3782" s="1">
        <v>25</v>
      </c>
      <c r="S3782" s="1">
        <v>0</v>
      </c>
      <c r="T3782" s="1">
        <v>0</v>
      </c>
      <c r="U3782" s="1">
        <v>0</v>
      </c>
      <c r="V3782" s="1" t="str">
        <f t="shared" si="706"/>
        <v>里程返程</v>
      </c>
      <c r="W3782" s="1" t="str">
        <f>"2020"</f>
        <v>2020</v>
      </c>
      <c r="X3782" s="1" t="s">
        <v>35</v>
      </c>
    </row>
    <row r="3783" spans="1:24" x14ac:dyDescent="0.3">
      <c r="A3783" s="1" t="str">
        <f t="shared" si="707"/>
        <v>59825</v>
      </c>
      <c r="B3783" s="1" t="s">
        <v>30</v>
      </c>
      <c r="C3783" s="1" t="s">
        <v>110</v>
      </c>
      <c r="D3783" s="1" t="str">
        <f t="shared" si="708"/>
        <v>9801</v>
      </c>
      <c r="E3783" s="1" t="s">
        <v>25</v>
      </c>
      <c r="F3783" s="1" t="str">
        <f>"9517171004325742"</f>
        <v>9517171004325742</v>
      </c>
      <c r="G3783" s="1" t="s">
        <v>33</v>
      </c>
      <c r="H3783" s="1" t="str">
        <f t="shared" si="709"/>
        <v>20220916</v>
      </c>
      <c r="I3783" s="1" t="str">
        <f>"114610"</f>
        <v>114610</v>
      </c>
      <c r="J3783" s="1" t="s">
        <v>45</v>
      </c>
      <c r="K3783" s="1" t="s">
        <v>45</v>
      </c>
      <c r="L3783" s="1" t="str">
        <f t="shared" si="704"/>
        <v>20220916</v>
      </c>
      <c r="M3783" s="1" t="str">
        <f>"115401"</f>
        <v>115401</v>
      </c>
      <c r="N3783" s="1" t="s">
        <v>28</v>
      </c>
      <c r="O3783" s="1" t="s">
        <v>28</v>
      </c>
      <c r="P3783" s="1" t="s">
        <v>55</v>
      </c>
      <c r="Q3783" s="1">
        <v>25</v>
      </c>
      <c r="R3783" s="1">
        <v>25</v>
      </c>
      <c r="S3783" s="1">
        <v>0</v>
      </c>
      <c r="T3783" s="1">
        <v>0</v>
      </c>
      <c r="U3783" s="1">
        <v>0</v>
      </c>
      <c r="V3783" s="1" t="str">
        <f t="shared" si="706"/>
        <v>里程返程</v>
      </c>
      <c r="W3783" s="1" t="str">
        <f>"3B8B"</f>
        <v>3B8B</v>
      </c>
      <c r="X3783" s="1" t="s">
        <v>109</v>
      </c>
    </row>
    <row r="3784" spans="1:24" x14ac:dyDescent="0.3">
      <c r="A3784" s="1" t="str">
        <f t="shared" si="707"/>
        <v>59825</v>
      </c>
      <c r="B3784" s="1" t="s">
        <v>30</v>
      </c>
      <c r="C3784" s="1" t="s">
        <v>31</v>
      </c>
      <c r="D3784" s="1" t="str">
        <f t="shared" si="708"/>
        <v>9801</v>
      </c>
      <c r="E3784" s="1" t="s">
        <v>25</v>
      </c>
      <c r="F3784" s="1" t="str">
        <f>"660993845"</f>
        <v>660993845</v>
      </c>
      <c r="G3784" s="1" t="s">
        <v>33</v>
      </c>
      <c r="H3784" s="1" t="str">
        <f t="shared" si="709"/>
        <v>20220916</v>
      </c>
      <c r="I3784" s="1" t="str">
        <f>"114612"</f>
        <v>114612</v>
      </c>
      <c r="J3784" s="1" t="s">
        <v>45</v>
      </c>
      <c r="K3784" s="1" t="s">
        <v>45</v>
      </c>
      <c r="L3784" s="1" t="str">
        <f t="shared" si="704"/>
        <v>20220916</v>
      </c>
      <c r="M3784" s="1" t="str">
        <f>"115350"</f>
        <v>115350</v>
      </c>
      <c r="N3784" s="1" t="s">
        <v>28</v>
      </c>
      <c r="O3784" s="1" t="s">
        <v>28</v>
      </c>
      <c r="P3784" s="1" t="s">
        <v>55</v>
      </c>
      <c r="Q3784" s="1">
        <v>25</v>
      </c>
      <c r="R3784" s="1">
        <v>25</v>
      </c>
      <c r="S3784" s="1">
        <v>0</v>
      </c>
      <c r="T3784" s="1">
        <v>0</v>
      </c>
      <c r="U3784" s="1">
        <v>0</v>
      </c>
      <c r="V3784" s="1" t="str">
        <f t="shared" si="706"/>
        <v>里程返程</v>
      </c>
      <c r="W3784" s="1" t="str">
        <f>"2020"</f>
        <v>2020</v>
      </c>
      <c r="X3784" s="1" t="s">
        <v>35</v>
      </c>
    </row>
    <row r="3785" spans="1:24" x14ac:dyDescent="0.3">
      <c r="A3785" s="1" t="str">
        <f t="shared" si="707"/>
        <v>59825</v>
      </c>
      <c r="B3785" s="1" t="s">
        <v>30</v>
      </c>
      <c r="C3785" s="1" t="s">
        <v>31</v>
      </c>
      <c r="D3785" s="1" t="str">
        <f t="shared" si="708"/>
        <v>9801</v>
      </c>
      <c r="E3785" s="1" t="s">
        <v>25</v>
      </c>
      <c r="F3785" s="1" t="str">
        <f>"57704897"</f>
        <v>57704897</v>
      </c>
      <c r="G3785" s="1" t="s">
        <v>33</v>
      </c>
      <c r="H3785" s="1" t="str">
        <f t="shared" si="709"/>
        <v>20220916</v>
      </c>
      <c r="I3785" s="1" t="str">
        <f>"114617"</f>
        <v>114617</v>
      </c>
      <c r="J3785" s="1" t="s">
        <v>45</v>
      </c>
      <c r="K3785" s="1" t="s">
        <v>45</v>
      </c>
      <c r="L3785" s="1" t="str">
        <f t="shared" si="704"/>
        <v>20220916</v>
      </c>
      <c r="M3785" s="1" t="str">
        <f>"115358"</f>
        <v>115358</v>
      </c>
      <c r="N3785" s="1" t="s">
        <v>28</v>
      </c>
      <c r="O3785" s="1" t="s">
        <v>28</v>
      </c>
      <c r="P3785" s="1" t="s">
        <v>55</v>
      </c>
      <c r="Q3785" s="1">
        <v>25</v>
      </c>
      <c r="R3785" s="1">
        <v>25</v>
      </c>
      <c r="S3785" s="1">
        <v>0</v>
      </c>
      <c r="T3785" s="1">
        <v>0</v>
      </c>
      <c r="U3785" s="1">
        <v>0</v>
      </c>
      <c r="V3785" s="1" t="str">
        <f t="shared" si="706"/>
        <v>里程返程</v>
      </c>
      <c r="W3785" s="1" t="str">
        <f>"2020"</f>
        <v>2020</v>
      </c>
      <c r="X3785" s="1" t="s">
        <v>35</v>
      </c>
    </row>
    <row r="3786" spans="1:24" x14ac:dyDescent="0.3">
      <c r="A3786" s="1" t="str">
        <f t="shared" si="707"/>
        <v>59825</v>
      </c>
      <c r="B3786" s="1" t="s">
        <v>30</v>
      </c>
      <c r="C3786" s="1" t="s">
        <v>31</v>
      </c>
      <c r="D3786" s="1" t="str">
        <f t="shared" si="708"/>
        <v>9801</v>
      </c>
      <c r="E3786" s="1" t="s">
        <v>25</v>
      </c>
      <c r="F3786" s="1" t="str">
        <f>"1478557231"</f>
        <v>1478557231</v>
      </c>
      <c r="G3786" s="1" t="s">
        <v>33</v>
      </c>
      <c r="H3786" s="1" t="str">
        <f t="shared" si="709"/>
        <v>20220916</v>
      </c>
      <c r="I3786" s="1" t="str">
        <f>"114620"</f>
        <v>114620</v>
      </c>
      <c r="J3786" s="1" t="s">
        <v>45</v>
      </c>
      <c r="K3786" s="1" t="s">
        <v>45</v>
      </c>
      <c r="L3786" s="1" t="str">
        <f t="shared" si="704"/>
        <v>20220916</v>
      </c>
      <c r="M3786" s="1" t="str">
        <f>"115404"</f>
        <v>115404</v>
      </c>
      <c r="N3786" s="1" t="s">
        <v>28</v>
      </c>
      <c r="O3786" s="1" t="s">
        <v>28</v>
      </c>
      <c r="P3786" s="1" t="s">
        <v>55</v>
      </c>
      <c r="Q3786" s="1">
        <v>25</v>
      </c>
      <c r="R3786" s="1">
        <v>25</v>
      </c>
      <c r="S3786" s="1">
        <v>0</v>
      </c>
      <c r="T3786" s="1">
        <v>0</v>
      </c>
      <c r="U3786" s="1">
        <v>0</v>
      </c>
      <c r="V3786" s="1" t="str">
        <f t="shared" si="706"/>
        <v>里程返程</v>
      </c>
      <c r="W3786" s="1" t="str">
        <f>"2020"</f>
        <v>2020</v>
      </c>
      <c r="X3786" s="1" t="s">
        <v>35</v>
      </c>
    </row>
    <row r="3787" spans="1:24" x14ac:dyDescent="0.3">
      <c r="A3787" s="1" t="str">
        <f t="shared" si="707"/>
        <v>59825</v>
      </c>
      <c r="B3787" s="1" t="s">
        <v>30</v>
      </c>
      <c r="C3787" s="1" t="s">
        <v>31</v>
      </c>
      <c r="D3787" s="1" t="str">
        <f t="shared" si="708"/>
        <v>9801</v>
      </c>
      <c r="E3787" s="1" t="s">
        <v>25</v>
      </c>
      <c r="F3787" s="1" t="str">
        <f>"994369333"</f>
        <v>994369333</v>
      </c>
      <c r="G3787" s="1" t="s">
        <v>26</v>
      </c>
      <c r="H3787" s="1" t="str">
        <f t="shared" si="709"/>
        <v>20220916</v>
      </c>
      <c r="I3787" s="1" t="str">
        <f>"114622"</f>
        <v>114622</v>
      </c>
      <c r="J3787" s="1" t="s">
        <v>45</v>
      </c>
      <c r="K3787" s="1" t="s">
        <v>45</v>
      </c>
      <c r="L3787" s="1" t="str">
        <f t="shared" si="704"/>
        <v>20220916</v>
      </c>
      <c r="M3787" s="1" t="str">
        <f>"115353"</f>
        <v>115353</v>
      </c>
      <c r="N3787" s="1" t="s">
        <v>28</v>
      </c>
      <c r="O3787" s="1" t="s">
        <v>28</v>
      </c>
      <c r="P3787" s="1" t="s">
        <v>55</v>
      </c>
      <c r="Q3787" s="1">
        <v>13</v>
      </c>
      <c r="R3787" s="1">
        <v>0</v>
      </c>
      <c r="S3787" s="1">
        <v>13</v>
      </c>
      <c r="T3787" s="1">
        <v>0</v>
      </c>
      <c r="U3787" s="1">
        <v>0</v>
      </c>
      <c r="V3787" s="1" t="str">
        <f t="shared" si="706"/>
        <v>里程返程</v>
      </c>
      <c r="W3787" s="1" t="str">
        <f>"2020"</f>
        <v>2020</v>
      </c>
      <c r="X3787" s="1" t="s">
        <v>35</v>
      </c>
    </row>
    <row r="3788" spans="1:24" x14ac:dyDescent="0.3">
      <c r="A3788" s="1" t="str">
        <f t="shared" si="707"/>
        <v>59825</v>
      </c>
      <c r="B3788" s="1" t="s">
        <v>30</v>
      </c>
      <c r="C3788" s="1" t="s">
        <v>31</v>
      </c>
      <c r="D3788" s="1" t="str">
        <f t="shared" si="708"/>
        <v>9801</v>
      </c>
      <c r="E3788" s="1" t="s">
        <v>25</v>
      </c>
      <c r="F3788" s="1" t="str">
        <f>"3238479539"</f>
        <v>3238479539</v>
      </c>
      <c r="G3788" s="1" t="s">
        <v>33</v>
      </c>
      <c r="H3788" s="1" t="str">
        <f t="shared" si="709"/>
        <v>20220916</v>
      </c>
      <c r="I3788" s="1" t="str">
        <f>"114626"</f>
        <v>114626</v>
      </c>
      <c r="J3788" s="1" t="s">
        <v>45</v>
      </c>
      <c r="K3788" s="1" t="s">
        <v>45</v>
      </c>
      <c r="L3788" s="1" t="str">
        <f t="shared" si="704"/>
        <v>20220916</v>
      </c>
      <c r="M3788" s="1" t="str">
        <f>"115347"</f>
        <v>115347</v>
      </c>
      <c r="N3788" s="1" t="s">
        <v>28</v>
      </c>
      <c r="O3788" s="1" t="s">
        <v>28</v>
      </c>
      <c r="P3788" s="1" t="s">
        <v>55</v>
      </c>
      <c r="Q3788" s="1">
        <v>25</v>
      </c>
      <c r="R3788" s="1">
        <v>25</v>
      </c>
      <c r="S3788" s="1">
        <v>0</v>
      </c>
      <c r="T3788" s="1">
        <v>0</v>
      </c>
      <c r="U3788" s="1">
        <v>0</v>
      </c>
      <c r="V3788" s="1" t="str">
        <f t="shared" si="706"/>
        <v>里程返程</v>
      </c>
      <c r="W3788" s="1" t="str">
        <f>"2020"</f>
        <v>2020</v>
      </c>
      <c r="X3788" s="1" t="s">
        <v>35</v>
      </c>
    </row>
    <row r="3789" spans="1:24" x14ac:dyDescent="0.3">
      <c r="A3789" s="1" t="str">
        <f t="shared" si="707"/>
        <v>59825</v>
      </c>
      <c r="B3789" s="1" t="s">
        <v>30</v>
      </c>
      <c r="C3789" s="1" t="s">
        <v>31</v>
      </c>
      <c r="D3789" s="1" t="str">
        <f t="shared" si="708"/>
        <v>9801</v>
      </c>
      <c r="E3789" s="1" t="s">
        <v>25</v>
      </c>
      <c r="F3789" s="1" t="str">
        <f>"1000871825"</f>
        <v>1000871825</v>
      </c>
      <c r="G3789" s="1" t="s">
        <v>33</v>
      </c>
      <c r="H3789" s="1" t="str">
        <f t="shared" si="709"/>
        <v>20220916</v>
      </c>
      <c r="I3789" s="1" t="str">
        <f>"114630"</f>
        <v>114630</v>
      </c>
      <c r="J3789" s="1" t="s">
        <v>45</v>
      </c>
      <c r="K3789" s="1" t="s">
        <v>45</v>
      </c>
      <c r="L3789" s="1" t="str">
        <f t="shared" si="704"/>
        <v>20220916</v>
      </c>
      <c r="M3789" s="1" t="str">
        <f>"115355"</f>
        <v>115355</v>
      </c>
      <c r="N3789" s="1" t="s">
        <v>28</v>
      </c>
      <c r="O3789" s="1" t="s">
        <v>28</v>
      </c>
      <c r="P3789" s="1" t="s">
        <v>55</v>
      </c>
      <c r="Q3789" s="1">
        <v>25</v>
      </c>
      <c r="R3789" s="1">
        <v>25</v>
      </c>
      <c r="S3789" s="1">
        <v>0</v>
      </c>
      <c r="T3789" s="1">
        <v>0</v>
      </c>
      <c r="U3789" s="1">
        <v>0</v>
      </c>
      <c r="V3789" s="1" t="str">
        <f t="shared" si="706"/>
        <v>里程返程</v>
      </c>
      <c r="W3789" s="1" t="str">
        <f>"0620"</f>
        <v>0620</v>
      </c>
      <c r="X3789" s="1" t="s">
        <v>35</v>
      </c>
    </row>
    <row r="3790" spans="1:24" x14ac:dyDescent="0.3">
      <c r="A3790" s="1" t="str">
        <f t="shared" si="707"/>
        <v>59825</v>
      </c>
      <c r="B3790" s="1" t="s">
        <v>30</v>
      </c>
      <c r="C3790" s="1" t="s">
        <v>31</v>
      </c>
      <c r="D3790" s="1" t="str">
        <f t="shared" si="708"/>
        <v>9801</v>
      </c>
      <c r="E3790" s="1" t="s">
        <v>25</v>
      </c>
      <c r="F3790" s="1" t="str">
        <f>"1260698869"</f>
        <v>1260698869</v>
      </c>
      <c r="G3790" s="1" t="s">
        <v>26</v>
      </c>
      <c r="H3790" s="1" t="str">
        <f t="shared" si="709"/>
        <v>20220916</v>
      </c>
      <c r="I3790" s="1" t="str">
        <f>"114634"</f>
        <v>114634</v>
      </c>
      <c r="J3790" s="1" t="s">
        <v>45</v>
      </c>
      <c r="K3790" s="1" t="s">
        <v>45</v>
      </c>
      <c r="L3790" s="1" t="str">
        <f t="shared" si="704"/>
        <v>20220916</v>
      </c>
      <c r="M3790" s="1" t="str">
        <f>"115345"</f>
        <v>115345</v>
      </c>
      <c r="N3790" s="1" t="s">
        <v>28</v>
      </c>
      <c r="O3790" s="1" t="s">
        <v>28</v>
      </c>
      <c r="P3790" s="1" t="s">
        <v>55</v>
      </c>
      <c r="Q3790" s="1">
        <v>13</v>
      </c>
      <c r="R3790" s="1">
        <v>0</v>
      </c>
      <c r="S3790" s="1">
        <v>13</v>
      </c>
      <c r="T3790" s="1">
        <v>0</v>
      </c>
      <c r="U3790" s="1">
        <v>0</v>
      </c>
      <c r="V3790" s="1" t="str">
        <f t="shared" si="706"/>
        <v>里程返程</v>
      </c>
      <c r="W3790" s="1" t="str">
        <f>"2020"</f>
        <v>2020</v>
      </c>
      <c r="X3790" s="1" t="s">
        <v>35</v>
      </c>
    </row>
    <row r="3791" spans="1:24" x14ac:dyDescent="0.3">
      <c r="A3791" s="1" t="str">
        <f t="shared" si="707"/>
        <v>59825</v>
      </c>
      <c r="B3791" s="1" t="s">
        <v>30</v>
      </c>
      <c r="C3791" s="1" t="s">
        <v>31</v>
      </c>
      <c r="D3791" s="1" t="str">
        <f t="shared" si="708"/>
        <v>9801</v>
      </c>
      <c r="E3791" s="1" t="s">
        <v>25</v>
      </c>
      <c r="F3791" s="1" t="str">
        <f>"1187072229"</f>
        <v>1187072229</v>
      </c>
      <c r="G3791" s="1" t="s">
        <v>26</v>
      </c>
      <c r="H3791" s="1" t="str">
        <f t="shared" si="709"/>
        <v>20220916</v>
      </c>
      <c r="I3791" s="1" t="str">
        <f>"115435"</f>
        <v>115435</v>
      </c>
      <c r="J3791" s="1" t="s">
        <v>28</v>
      </c>
      <c r="K3791" s="1" t="s">
        <v>28</v>
      </c>
      <c r="L3791" s="1" t="str">
        <f t="shared" si="704"/>
        <v>20220916</v>
      </c>
      <c r="M3791" s="1" t="str">
        <f>"122701"</f>
        <v>122701</v>
      </c>
      <c r="N3791" s="1" t="s">
        <v>52</v>
      </c>
      <c r="O3791" s="1" t="s">
        <v>52</v>
      </c>
      <c r="P3791" s="1" t="s">
        <v>55</v>
      </c>
      <c r="Q3791" s="1">
        <v>13</v>
      </c>
      <c r="R3791" s="1">
        <v>13</v>
      </c>
      <c r="S3791" s="1">
        <v>0</v>
      </c>
      <c r="T3791" s="1">
        <v>0</v>
      </c>
      <c r="U3791" s="1">
        <v>0</v>
      </c>
      <c r="V3791" s="1" t="str">
        <f t="shared" si="706"/>
        <v>里程返程</v>
      </c>
      <c r="W3791" s="1" t="str">
        <f>"2120"</f>
        <v>2120</v>
      </c>
      <c r="X3791" s="1" t="s">
        <v>35</v>
      </c>
    </row>
    <row r="3792" spans="1:24" x14ac:dyDescent="0.3">
      <c r="A3792" s="1" t="str">
        <f t="shared" si="707"/>
        <v>59825</v>
      </c>
      <c r="B3792" s="1" t="s">
        <v>30</v>
      </c>
      <c r="C3792" s="1" t="s">
        <v>31</v>
      </c>
      <c r="D3792" s="1" t="str">
        <f t="shared" si="708"/>
        <v>9801</v>
      </c>
      <c r="E3792" s="1" t="s">
        <v>25</v>
      </c>
      <c r="F3792" s="1" t="str">
        <f>"946140101"</f>
        <v>946140101</v>
      </c>
      <c r="G3792" s="1" t="s">
        <v>33</v>
      </c>
      <c r="H3792" s="1" t="str">
        <f t="shared" si="709"/>
        <v>20220916</v>
      </c>
      <c r="I3792" s="1" t="str">
        <f>"115452"</f>
        <v>115452</v>
      </c>
      <c r="J3792" s="1" t="s">
        <v>28</v>
      </c>
      <c r="K3792" s="1" t="s">
        <v>28</v>
      </c>
      <c r="L3792" s="1" t="str">
        <f t="shared" si="704"/>
        <v>20220916</v>
      </c>
      <c r="M3792" s="1" t="str">
        <f>"121551"</f>
        <v>121551</v>
      </c>
      <c r="N3792" s="1" t="s">
        <v>65</v>
      </c>
      <c r="O3792" s="1" t="s">
        <v>52</v>
      </c>
      <c r="P3792" s="1" t="s">
        <v>55</v>
      </c>
      <c r="Q3792" s="1">
        <v>25</v>
      </c>
      <c r="R3792" s="1">
        <v>0</v>
      </c>
      <c r="S3792" s="1">
        <v>25</v>
      </c>
      <c r="T3792" s="1">
        <v>0</v>
      </c>
      <c r="U3792" s="1">
        <v>0</v>
      </c>
      <c r="V3792" s="1" t="str">
        <f t="shared" si="706"/>
        <v>里程返程</v>
      </c>
      <c r="W3792" s="1" t="str">
        <f>"0820"</f>
        <v>0820</v>
      </c>
      <c r="X3792" s="1" t="s">
        <v>35</v>
      </c>
    </row>
    <row r="3793" spans="1:24" x14ac:dyDescent="0.3">
      <c r="A3793" s="1" t="str">
        <f t="shared" si="707"/>
        <v>59825</v>
      </c>
      <c r="B3793" s="1" t="s">
        <v>30</v>
      </c>
      <c r="C3793" s="1" t="s">
        <v>31</v>
      </c>
      <c r="D3793" s="1" t="str">
        <f t="shared" si="708"/>
        <v>9801</v>
      </c>
      <c r="E3793" s="1" t="s">
        <v>25</v>
      </c>
      <c r="F3793" s="1" t="str">
        <f>"170166149"</f>
        <v>170166149</v>
      </c>
      <c r="G3793" s="1" t="s">
        <v>33</v>
      </c>
      <c r="H3793" s="1" t="str">
        <f t="shared" si="709"/>
        <v>20220916</v>
      </c>
      <c r="I3793" s="1" t="str">
        <f>"115505"</f>
        <v>115505</v>
      </c>
      <c r="J3793" s="1" t="s">
        <v>28</v>
      </c>
      <c r="K3793" s="1" t="s">
        <v>28</v>
      </c>
      <c r="L3793" s="1" t="str">
        <f t="shared" si="704"/>
        <v>20220916</v>
      </c>
      <c r="M3793" s="1" t="str">
        <f>"122705"</f>
        <v>122705</v>
      </c>
      <c r="N3793" s="1" t="s">
        <v>52</v>
      </c>
      <c r="O3793" s="1" t="s">
        <v>52</v>
      </c>
      <c r="P3793" s="1" t="s">
        <v>55</v>
      </c>
      <c r="Q3793" s="1">
        <v>25</v>
      </c>
      <c r="R3793" s="1">
        <v>25</v>
      </c>
      <c r="S3793" s="1">
        <v>0</v>
      </c>
      <c r="T3793" s="1">
        <v>0</v>
      </c>
      <c r="U3793" s="1">
        <v>0</v>
      </c>
      <c r="V3793" s="1" t="str">
        <f t="shared" si="706"/>
        <v>里程返程</v>
      </c>
      <c r="W3793" s="1" t="str">
        <f>"0320"</f>
        <v>0320</v>
      </c>
      <c r="X3793" s="1" t="s">
        <v>35</v>
      </c>
    </row>
    <row r="3794" spans="1:24" x14ac:dyDescent="0.3">
      <c r="A3794" s="1" t="str">
        <f t="shared" si="707"/>
        <v>59825</v>
      </c>
      <c r="B3794" s="1" t="s">
        <v>30</v>
      </c>
      <c r="C3794" s="1" t="s">
        <v>31</v>
      </c>
      <c r="D3794" s="1" t="str">
        <f t="shared" si="708"/>
        <v>9801</v>
      </c>
      <c r="E3794" s="1" t="s">
        <v>25</v>
      </c>
      <c r="F3794" s="1" t="str">
        <f>"1174923617"</f>
        <v>1174923617</v>
      </c>
      <c r="G3794" s="1" t="s">
        <v>33</v>
      </c>
      <c r="H3794" s="1" t="str">
        <f t="shared" si="709"/>
        <v>20220916</v>
      </c>
      <c r="I3794" s="1" t="str">
        <f>"115557"</f>
        <v>115557</v>
      </c>
      <c r="J3794" s="1" t="s">
        <v>28</v>
      </c>
      <c r="K3794" s="1" t="s">
        <v>28</v>
      </c>
      <c r="L3794" s="1" t="str">
        <f t="shared" si="704"/>
        <v>20220916</v>
      </c>
      <c r="M3794" s="1" t="str">
        <f>"122727"</f>
        <v>122727</v>
      </c>
      <c r="N3794" s="1" t="s">
        <v>52</v>
      </c>
      <c r="O3794" s="1" t="s">
        <v>52</v>
      </c>
      <c r="P3794" s="1" t="s">
        <v>55</v>
      </c>
      <c r="Q3794" s="1">
        <v>25</v>
      </c>
      <c r="R3794" s="1">
        <v>25</v>
      </c>
      <c r="S3794" s="1">
        <v>0</v>
      </c>
      <c r="T3794" s="1">
        <v>0</v>
      </c>
      <c r="U3794" s="1">
        <v>0</v>
      </c>
      <c r="V3794" s="1" t="str">
        <f t="shared" si="706"/>
        <v>里程返程</v>
      </c>
      <c r="W3794" s="1" t="str">
        <f t="shared" ref="W3794:W3799" si="710">"0120"</f>
        <v>0120</v>
      </c>
      <c r="X3794" s="1" t="s">
        <v>35</v>
      </c>
    </row>
    <row r="3795" spans="1:24" x14ac:dyDescent="0.3">
      <c r="A3795" s="1" t="str">
        <f t="shared" si="707"/>
        <v>59825</v>
      </c>
      <c r="B3795" s="1" t="s">
        <v>30</v>
      </c>
      <c r="C3795" s="1" t="s">
        <v>31</v>
      </c>
      <c r="D3795" s="1" t="str">
        <f t="shared" si="708"/>
        <v>9801</v>
      </c>
      <c r="E3795" s="1" t="s">
        <v>25</v>
      </c>
      <c r="F3795" s="1" t="str">
        <f>"1039881845"</f>
        <v>1039881845</v>
      </c>
      <c r="G3795" s="1" t="s">
        <v>33</v>
      </c>
      <c r="H3795" s="1" t="str">
        <f t="shared" si="709"/>
        <v>20220916</v>
      </c>
      <c r="I3795" s="1" t="str">
        <f>"115600"</f>
        <v>115600</v>
      </c>
      <c r="J3795" s="1" t="s">
        <v>28</v>
      </c>
      <c r="K3795" s="1" t="s">
        <v>28</v>
      </c>
      <c r="L3795" s="1" t="str">
        <f t="shared" si="704"/>
        <v>20220916</v>
      </c>
      <c r="M3795" s="1" t="str">
        <f>"122734"</f>
        <v>122734</v>
      </c>
      <c r="N3795" s="1" t="s">
        <v>52</v>
      </c>
      <c r="O3795" s="1" t="s">
        <v>52</v>
      </c>
      <c r="P3795" s="1" t="s">
        <v>55</v>
      </c>
      <c r="Q3795" s="1">
        <v>25</v>
      </c>
      <c r="R3795" s="1">
        <v>25</v>
      </c>
      <c r="S3795" s="1">
        <v>0</v>
      </c>
      <c r="T3795" s="1">
        <v>0</v>
      </c>
      <c r="U3795" s="1">
        <v>0</v>
      </c>
      <c r="V3795" s="1" t="str">
        <f t="shared" si="706"/>
        <v>里程返程</v>
      </c>
      <c r="W3795" s="1" t="str">
        <f t="shared" si="710"/>
        <v>0120</v>
      </c>
      <c r="X3795" s="1" t="s">
        <v>35</v>
      </c>
    </row>
    <row r="3796" spans="1:24" x14ac:dyDescent="0.3">
      <c r="A3796" s="1" t="str">
        <f t="shared" si="707"/>
        <v>59825</v>
      </c>
      <c r="B3796" s="1" t="s">
        <v>30</v>
      </c>
      <c r="C3796" s="1" t="s">
        <v>31</v>
      </c>
      <c r="D3796" s="1" t="str">
        <f t="shared" si="708"/>
        <v>9801</v>
      </c>
      <c r="E3796" s="1" t="s">
        <v>25</v>
      </c>
      <c r="F3796" s="1" t="str">
        <f>"1433712640"</f>
        <v>1433712640</v>
      </c>
      <c r="G3796" s="1" t="s">
        <v>33</v>
      </c>
      <c r="H3796" s="1" t="str">
        <f t="shared" si="709"/>
        <v>20220916</v>
      </c>
      <c r="I3796" s="1" t="str">
        <f>"115604"</f>
        <v>115604</v>
      </c>
      <c r="J3796" s="1" t="s">
        <v>28</v>
      </c>
      <c r="K3796" s="1" t="s">
        <v>28</v>
      </c>
      <c r="L3796" s="1" t="str">
        <f t="shared" si="704"/>
        <v>20220916</v>
      </c>
      <c r="M3796" s="1" t="str">
        <f>"122722"</f>
        <v>122722</v>
      </c>
      <c r="N3796" s="1" t="s">
        <v>52</v>
      </c>
      <c r="O3796" s="1" t="s">
        <v>52</v>
      </c>
      <c r="P3796" s="1" t="s">
        <v>55</v>
      </c>
      <c r="Q3796" s="1">
        <v>25</v>
      </c>
      <c r="R3796" s="1">
        <v>25</v>
      </c>
      <c r="S3796" s="1">
        <v>0</v>
      </c>
      <c r="T3796" s="1">
        <v>0</v>
      </c>
      <c r="U3796" s="1">
        <v>0</v>
      </c>
      <c r="V3796" s="1" t="str">
        <f t="shared" si="706"/>
        <v>里程返程</v>
      </c>
      <c r="W3796" s="1" t="str">
        <f t="shared" si="710"/>
        <v>0120</v>
      </c>
      <c r="X3796" s="1" t="s">
        <v>35</v>
      </c>
    </row>
    <row r="3797" spans="1:24" x14ac:dyDescent="0.3">
      <c r="A3797" s="1" t="str">
        <f t="shared" si="707"/>
        <v>59825</v>
      </c>
      <c r="B3797" s="1" t="s">
        <v>30</v>
      </c>
      <c r="C3797" s="1" t="s">
        <v>31</v>
      </c>
      <c r="D3797" s="1" t="str">
        <f t="shared" si="708"/>
        <v>9801</v>
      </c>
      <c r="E3797" s="1" t="s">
        <v>25</v>
      </c>
      <c r="F3797" s="1" t="str">
        <f>"1150378817"</f>
        <v>1150378817</v>
      </c>
      <c r="G3797" s="1" t="s">
        <v>33</v>
      </c>
      <c r="H3797" s="1" t="str">
        <f t="shared" si="709"/>
        <v>20220916</v>
      </c>
      <c r="I3797" s="1" t="str">
        <f>"115608"</f>
        <v>115608</v>
      </c>
      <c r="J3797" s="1" t="s">
        <v>28</v>
      </c>
      <c r="K3797" s="1" t="s">
        <v>28</v>
      </c>
      <c r="L3797" s="1" t="str">
        <f t="shared" si="704"/>
        <v>20220916</v>
      </c>
      <c r="M3797" s="1" t="str">
        <f>"122725"</f>
        <v>122725</v>
      </c>
      <c r="N3797" s="1" t="s">
        <v>52</v>
      </c>
      <c r="O3797" s="1" t="s">
        <v>52</v>
      </c>
      <c r="P3797" s="1" t="s">
        <v>55</v>
      </c>
      <c r="Q3797" s="1">
        <v>25</v>
      </c>
      <c r="R3797" s="1">
        <v>25</v>
      </c>
      <c r="S3797" s="1">
        <v>0</v>
      </c>
      <c r="T3797" s="1">
        <v>0</v>
      </c>
      <c r="U3797" s="1">
        <v>0</v>
      </c>
      <c r="V3797" s="1" t="str">
        <f t="shared" si="706"/>
        <v>里程返程</v>
      </c>
      <c r="W3797" s="1" t="str">
        <f t="shared" si="710"/>
        <v>0120</v>
      </c>
      <c r="X3797" s="1" t="s">
        <v>35</v>
      </c>
    </row>
    <row r="3798" spans="1:24" x14ac:dyDescent="0.3">
      <c r="A3798" s="1" t="str">
        <f t="shared" si="707"/>
        <v>59825</v>
      </c>
      <c r="B3798" s="1" t="s">
        <v>30</v>
      </c>
      <c r="C3798" s="1" t="s">
        <v>31</v>
      </c>
      <c r="D3798" s="1" t="str">
        <f t="shared" si="708"/>
        <v>9801</v>
      </c>
      <c r="E3798" s="1" t="s">
        <v>25</v>
      </c>
      <c r="F3798" s="1" t="str">
        <f>"946859105"</f>
        <v>946859105</v>
      </c>
      <c r="G3798" s="1" t="s">
        <v>33</v>
      </c>
      <c r="H3798" s="1" t="str">
        <f t="shared" si="709"/>
        <v>20220916</v>
      </c>
      <c r="I3798" s="1" t="str">
        <f>"115611"</f>
        <v>115611</v>
      </c>
      <c r="J3798" s="1" t="s">
        <v>28</v>
      </c>
      <c r="K3798" s="1" t="s">
        <v>28</v>
      </c>
      <c r="L3798" s="1" t="str">
        <f t="shared" si="704"/>
        <v>20220916</v>
      </c>
      <c r="M3798" s="1" t="str">
        <f>"122719"</f>
        <v>122719</v>
      </c>
      <c r="N3798" s="1" t="s">
        <v>52</v>
      </c>
      <c r="O3798" s="1" t="s">
        <v>52</v>
      </c>
      <c r="P3798" s="1" t="s">
        <v>55</v>
      </c>
      <c r="Q3798" s="1">
        <v>25</v>
      </c>
      <c r="R3798" s="1">
        <v>25</v>
      </c>
      <c r="S3798" s="1">
        <v>0</v>
      </c>
      <c r="T3798" s="1">
        <v>0</v>
      </c>
      <c r="U3798" s="1">
        <v>0</v>
      </c>
      <c r="V3798" s="1" t="str">
        <f t="shared" si="706"/>
        <v>里程返程</v>
      </c>
      <c r="W3798" s="1" t="str">
        <f t="shared" si="710"/>
        <v>0120</v>
      </c>
      <c r="X3798" s="1" t="s">
        <v>35</v>
      </c>
    </row>
    <row r="3799" spans="1:24" x14ac:dyDescent="0.3">
      <c r="A3799" s="1" t="str">
        <f t="shared" si="707"/>
        <v>59825</v>
      </c>
      <c r="B3799" s="1" t="s">
        <v>30</v>
      </c>
      <c r="C3799" s="1" t="s">
        <v>31</v>
      </c>
      <c r="D3799" s="1" t="str">
        <f t="shared" si="708"/>
        <v>9801</v>
      </c>
      <c r="E3799" s="1" t="s">
        <v>25</v>
      </c>
      <c r="F3799" s="1" t="str">
        <f>"147315445"</f>
        <v>147315445</v>
      </c>
      <c r="G3799" s="1" t="s">
        <v>33</v>
      </c>
      <c r="H3799" s="1" t="str">
        <f t="shared" si="709"/>
        <v>20220916</v>
      </c>
      <c r="I3799" s="1" t="str">
        <f>"115620"</f>
        <v>115620</v>
      </c>
      <c r="J3799" s="1" t="s">
        <v>28</v>
      </c>
      <c r="K3799" s="1" t="s">
        <v>28</v>
      </c>
      <c r="L3799" s="1" t="str">
        <f t="shared" si="704"/>
        <v>20220916</v>
      </c>
      <c r="M3799" s="1" t="str">
        <f>"122714"</f>
        <v>122714</v>
      </c>
      <c r="N3799" s="1" t="s">
        <v>52</v>
      </c>
      <c r="O3799" s="1" t="s">
        <v>52</v>
      </c>
      <c r="P3799" s="1" t="s">
        <v>55</v>
      </c>
      <c r="Q3799" s="1">
        <v>25</v>
      </c>
      <c r="R3799" s="1">
        <v>25</v>
      </c>
      <c r="S3799" s="1">
        <v>0</v>
      </c>
      <c r="T3799" s="1">
        <v>0</v>
      </c>
      <c r="U3799" s="1">
        <v>0</v>
      </c>
      <c r="V3799" s="1" t="str">
        <f t="shared" si="706"/>
        <v>里程返程</v>
      </c>
      <c r="W3799" s="1" t="str">
        <f t="shared" si="710"/>
        <v>0120</v>
      </c>
      <c r="X3799" s="1" t="s">
        <v>35</v>
      </c>
    </row>
    <row r="3800" spans="1:24" x14ac:dyDescent="0.3">
      <c r="A3800" s="1" t="str">
        <f t="shared" si="707"/>
        <v>59825</v>
      </c>
      <c r="B3800" s="1" t="s">
        <v>30</v>
      </c>
      <c r="C3800" s="1" t="s">
        <v>31</v>
      </c>
      <c r="D3800" s="1" t="str">
        <f t="shared" si="708"/>
        <v>9801</v>
      </c>
      <c r="E3800" s="1" t="s">
        <v>25</v>
      </c>
      <c r="F3800" s="1" t="str">
        <f>"1160059717"</f>
        <v>1160059717</v>
      </c>
      <c r="G3800" s="1" t="s">
        <v>33</v>
      </c>
      <c r="H3800" s="1" t="str">
        <f t="shared" si="709"/>
        <v>20220916</v>
      </c>
      <c r="I3800" s="1" t="str">
        <f>"115642"</f>
        <v>115642</v>
      </c>
      <c r="J3800" s="1" t="s">
        <v>28</v>
      </c>
      <c r="K3800" s="1" t="s">
        <v>28</v>
      </c>
      <c r="L3800" s="1" t="str">
        <f t="shared" si="704"/>
        <v>20220916</v>
      </c>
      <c r="M3800" s="1" t="str">
        <f>"121526"</f>
        <v>121526</v>
      </c>
      <c r="N3800" s="1" t="s">
        <v>65</v>
      </c>
      <c r="O3800" s="1" t="s">
        <v>52</v>
      </c>
      <c r="P3800" s="1" t="s">
        <v>55</v>
      </c>
      <c r="Q3800" s="1">
        <v>25</v>
      </c>
      <c r="R3800" s="1">
        <v>25</v>
      </c>
      <c r="S3800" s="1">
        <v>0</v>
      </c>
      <c r="T3800" s="1">
        <v>0</v>
      </c>
      <c r="U3800" s="1">
        <v>0</v>
      </c>
      <c r="V3800" s="1" t="str">
        <f t="shared" si="706"/>
        <v>里程返程</v>
      </c>
      <c r="W3800" s="1" t="str">
        <f>"0320"</f>
        <v>0320</v>
      </c>
      <c r="X3800" s="1" t="s">
        <v>35</v>
      </c>
    </row>
    <row r="3801" spans="1:24" x14ac:dyDescent="0.3">
      <c r="A3801" s="1" t="str">
        <f t="shared" si="707"/>
        <v>59825</v>
      </c>
      <c r="B3801" s="1" t="s">
        <v>30</v>
      </c>
      <c r="C3801" s="1" t="s">
        <v>31</v>
      </c>
      <c r="D3801" s="1" t="str">
        <f t="shared" ref="D3801:D3809" si="711">"9805"</f>
        <v>9805</v>
      </c>
      <c r="E3801" s="1" t="s">
        <v>57</v>
      </c>
      <c r="F3801" s="1" t="str">
        <f>"3498078952"</f>
        <v>3498078952</v>
      </c>
      <c r="G3801" s="1" t="s">
        <v>74</v>
      </c>
      <c r="H3801" s="1" t="str">
        <f t="shared" si="709"/>
        <v>20220916</v>
      </c>
      <c r="I3801" s="1" t="str">
        <f>"142731"</f>
        <v>142731</v>
      </c>
      <c r="J3801" s="1" t="s">
        <v>28</v>
      </c>
      <c r="K3801" s="1" t="s">
        <v>28</v>
      </c>
      <c r="L3801" s="1" t="str">
        <f t="shared" si="704"/>
        <v>20220916</v>
      </c>
      <c r="M3801" s="1" t="str">
        <f>"145108"</f>
        <v>145108</v>
      </c>
      <c r="N3801" s="1" t="s">
        <v>52</v>
      </c>
      <c r="O3801" s="1" t="s">
        <v>52</v>
      </c>
      <c r="P3801" s="1" t="s">
        <v>55</v>
      </c>
      <c r="Q3801" s="1">
        <v>13</v>
      </c>
      <c r="R3801" s="1">
        <v>0</v>
      </c>
      <c r="S3801" s="1">
        <v>13</v>
      </c>
      <c r="T3801" s="1">
        <v>0</v>
      </c>
      <c r="U3801" s="1">
        <v>0</v>
      </c>
      <c r="V3801" s="1" t="str">
        <f t="shared" ref="V3801:V3809" si="712">"里程去程"</f>
        <v>里程去程</v>
      </c>
      <c r="W3801" s="1" t="str">
        <f>"0820"</f>
        <v>0820</v>
      </c>
      <c r="X3801" s="1" t="s">
        <v>35</v>
      </c>
    </row>
    <row r="3802" spans="1:24" x14ac:dyDescent="0.3">
      <c r="A3802" s="1" t="str">
        <f t="shared" si="707"/>
        <v>59825</v>
      </c>
      <c r="B3802" s="1" t="s">
        <v>30</v>
      </c>
      <c r="C3802" s="1" t="s">
        <v>31</v>
      </c>
      <c r="D3802" s="1" t="str">
        <f t="shared" si="711"/>
        <v>9805</v>
      </c>
      <c r="E3802" s="1" t="s">
        <v>57</v>
      </c>
      <c r="F3802" s="1" t="str">
        <f>"1075910501"</f>
        <v>1075910501</v>
      </c>
      <c r="G3802" s="1" t="s">
        <v>38</v>
      </c>
      <c r="H3802" s="1" t="str">
        <f t="shared" si="709"/>
        <v>20220916</v>
      </c>
      <c r="I3802" s="1" t="str">
        <f>"142735"</f>
        <v>142735</v>
      </c>
      <c r="J3802" s="1" t="s">
        <v>28</v>
      </c>
      <c r="K3802" s="1" t="s">
        <v>28</v>
      </c>
      <c r="L3802" s="1" t="str">
        <f t="shared" ref="L3802:L3865" si="713">"20220916"</f>
        <v>20220916</v>
      </c>
      <c r="M3802" s="1" t="str">
        <f>"144052"</f>
        <v>144052</v>
      </c>
      <c r="N3802" s="1" t="s">
        <v>79</v>
      </c>
      <c r="O3802" s="1" t="s">
        <v>28</v>
      </c>
      <c r="P3802" s="1" t="s">
        <v>55</v>
      </c>
      <c r="Q3802" s="1">
        <v>25</v>
      </c>
      <c r="R3802" s="1">
        <v>25</v>
      </c>
      <c r="S3802" s="1">
        <v>0</v>
      </c>
      <c r="T3802" s="1">
        <v>0</v>
      </c>
      <c r="U3802" s="1">
        <v>0</v>
      </c>
      <c r="V3802" s="1" t="str">
        <f t="shared" si="712"/>
        <v>里程去程</v>
      </c>
      <c r="W3802" s="1" t="str">
        <f>"0c20"</f>
        <v>0c20</v>
      </c>
      <c r="X3802" s="1" t="s">
        <v>35</v>
      </c>
    </row>
    <row r="3803" spans="1:24" x14ac:dyDescent="0.3">
      <c r="A3803" s="1" t="str">
        <f t="shared" ref="A3803:A3824" si="714">"59825"</f>
        <v>59825</v>
      </c>
      <c r="B3803" s="1" t="s">
        <v>30</v>
      </c>
      <c r="C3803" s="1" t="s">
        <v>31</v>
      </c>
      <c r="D3803" s="1" t="str">
        <f t="shared" si="711"/>
        <v>9805</v>
      </c>
      <c r="E3803" s="1" t="s">
        <v>57</v>
      </c>
      <c r="F3803" s="1" t="str">
        <f>"1406555633"</f>
        <v>1406555633</v>
      </c>
      <c r="G3803" s="1" t="s">
        <v>26</v>
      </c>
      <c r="H3803" s="1" t="str">
        <f t="shared" si="709"/>
        <v>20220916</v>
      </c>
      <c r="I3803" s="1" t="str">
        <f>"142816"</f>
        <v>142816</v>
      </c>
      <c r="J3803" s="1" t="s">
        <v>28</v>
      </c>
      <c r="K3803" s="1" t="s">
        <v>28</v>
      </c>
      <c r="L3803" s="1" t="str">
        <f t="shared" si="713"/>
        <v>20220916</v>
      </c>
      <c r="M3803" s="1" t="str">
        <f>"144802"</f>
        <v>144802</v>
      </c>
      <c r="N3803" s="1" t="s">
        <v>62</v>
      </c>
      <c r="O3803" s="1" t="s">
        <v>28</v>
      </c>
      <c r="P3803" s="1" t="s">
        <v>55</v>
      </c>
      <c r="Q3803" s="1">
        <v>13</v>
      </c>
      <c r="R3803" s="1">
        <v>13</v>
      </c>
      <c r="S3803" s="1">
        <v>0</v>
      </c>
      <c r="T3803" s="1">
        <v>0</v>
      </c>
      <c r="U3803" s="1">
        <v>0</v>
      </c>
      <c r="V3803" s="1" t="str">
        <f t="shared" si="712"/>
        <v>里程去程</v>
      </c>
      <c r="W3803" s="1" t="str">
        <f>"0220"</f>
        <v>0220</v>
      </c>
      <c r="X3803" s="1" t="s">
        <v>35</v>
      </c>
    </row>
    <row r="3804" spans="1:24" x14ac:dyDescent="0.3">
      <c r="A3804" s="1" t="str">
        <f t="shared" si="714"/>
        <v>59825</v>
      </c>
      <c r="B3804" s="1" t="s">
        <v>30</v>
      </c>
      <c r="C3804" s="1" t="s">
        <v>31</v>
      </c>
      <c r="D3804" s="1" t="str">
        <f t="shared" si="711"/>
        <v>9805</v>
      </c>
      <c r="E3804" s="1" t="s">
        <v>57</v>
      </c>
      <c r="F3804" s="1" t="str">
        <f>"247450351"</f>
        <v>247450351</v>
      </c>
      <c r="G3804" s="1" t="s">
        <v>26</v>
      </c>
      <c r="H3804" s="1" t="str">
        <f t="shared" si="709"/>
        <v>20220916</v>
      </c>
      <c r="I3804" s="1" t="str">
        <f>"142829"</f>
        <v>142829</v>
      </c>
      <c r="J3804" s="1" t="s">
        <v>28</v>
      </c>
      <c r="K3804" s="1" t="s">
        <v>28</v>
      </c>
      <c r="L3804" s="1" t="str">
        <f t="shared" si="713"/>
        <v>20220916</v>
      </c>
      <c r="M3804" s="1" t="str">
        <f>"144753"</f>
        <v>144753</v>
      </c>
      <c r="N3804" s="1" t="s">
        <v>62</v>
      </c>
      <c r="O3804" s="1" t="s">
        <v>28</v>
      </c>
      <c r="P3804" s="1" t="s">
        <v>55</v>
      </c>
      <c r="Q3804" s="1">
        <v>13</v>
      </c>
      <c r="R3804" s="1">
        <v>13</v>
      </c>
      <c r="S3804" s="1">
        <v>0</v>
      </c>
      <c r="T3804" s="1">
        <v>0</v>
      </c>
      <c r="U3804" s="1">
        <v>0</v>
      </c>
      <c r="V3804" s="1" t="str">
        <f t="shared" si="712"/>
        <v>里程去程</v>
      </c>
      <c r="W3804" s="1" t="str">
        <f>"0920"</f>
        <v>0920</v>
      </c>
      <c r="X3804" s="1" t="s">
        <v>35</v>
      </c>
    </row>
    <row r="3805" spans="1:24" x14ac:dyDescent="0.3">
      <c r="A3805" s="1" t="str">
        <f t="shared" si="714"/>
        <v>59825</v>
      </c>
      <c r="B3805" s="1" t="s">
        <v>30</v>
      </c>
      <c r="C3805" s="1" t="s">
        <v>31</v>
      </c>
      <c r="D3805" s="1" t="str">
        <f t="shared" si="711"/>
        <v>9805</v>
      </c>
      <c r="E3805" s="1" t="s">
        <v>57</v>
      </c>
      <c r="F3805" s="1" t="str">
        <f>"251617359"</f>
        <v>251617359</v>
      </c>
      <c r="G3805" s="1" t="s">
        <v>26</v>
      </c>
      <c r="H3805" s="1" t="str">
        <f t="shared" si="709"/>
        <v>20220916</v>
      </c>
      <c r="I3805" s="1" t="str">
        <f>"142834"</f>
        <v>142834</v>
      </c>
      <c r="J3805" s="1" t="s">
        <v>28</v>
      </c>
      <c r="K3805" s="1" t="s">
        <v>28</v>
      </c>
      <c r="L3805" s="1" t="str">
        <f t="shared" si="713"/>
        <v>20220916</v>
      </c>
      <c r="M3805" s="1" t="str">
        <f>"144746"</f>
        <v>144746</v>
      </c>
      <c r="N3805" s="1" t="s">
        <v>62</v>
      </c>
      <c r="O3805" s="1" t="s">
        <v>28</v>
      </c>
      <c r="P3805" s="1" t="s">
        <v>55</v>
      </c>
      <c r="Q3805" s="1">
        <v>13</v>
      </c>
      <c r="R3805" s="1">
        <v>13</v>
      </c>
      <c r="S3805" s="1">
        <v>0</v>
      </c>
      <c r="T3805" s="1">
        <v>0</v>
      </c>
      <c r="U3805" s="1">
        <v>0</v>
      </c>
      <c r="V3805" s="1" t="str">
        <f t="shared" si="712"/>
        <v>里程去程</v>
      </c>
      <c r="W3805" s="1" t="str">
        <f>"1920"</f>
        <v>1920</v>
      </c>
      <c r="X3805" s="1" t="s">
        <v>35</v>
      </c>
    </row>
    <row r="3806" spans="1:24" x14ac:dyDescent="0.3">
      <c r="A3806" s="1" t="str">
        <f t="shared" si="714"/>
        <v>59825</v>
      </c>
      <c r="B3806" s="1" t="s">
        <v>30</v>
      </c>
      <c r="C3806" s="1" t="s">
        <v>31</v>
      </c>
      <c r="D3806" s="1" t="str">
        <f t="shared" si="711"/>
        <v>9805</v>
      </c>
      <c r="E3806" s="1" t="s">
        <v>57</v>
      </c>
      <c r="F3806" s="1" t="str">
        <f>"636797185"</f>
        <v>636797185</v>
      </c>
      <c r="G3806" s="1" t="s">
        <v>33</v>
      </c>
      <c r="H3806" s="1" t="str">
        <f t="shared" si="709"/>
        <v>20220916</v>
      </c>
      <c r="I3806" s="1" t="str">
        <f>"142844"</f>
        <v>142844</v>
      </c>
      <c r="J3806" s="1" t="s">
        <v>28</v>
      </c>
      <c r="K3806" s="1" t="s">
        <v>28</v>
      </c>
      <c r="L3806" s="1" t="str">
        <f t="shared" si="713"/>
        <v>20220916</v>
      </c>
      <c r="M3806" s="1" t="str">
        <f>"144658"</f>
        <v>144658</v>
      </c>
      <c r="N3806" s="1" t="s">
        <v>56</v>
      </c>
      <c r="O3806" s="1" t="s">
        <v>28</v>
      </c>
      <c r="P3806" s="1" t="s">
        <v>55</v>
      </c>
      <c r="Q3806" s="1">
        <v>25</v>
      </c>
      <c r="R3806" s="1">
        <v>25</v>
      </c>
      <c r="S3806" s="1">
        <v>0</v>
      </c>
      <c r="T3806" s="1">
        <v>0</v>
      </c>
      <c r="U3806" s="1">
        <v>0</v>
      </c>
      <c r="V3806" s="1" t="str">
        <f t="shared" si="712"/>
        <v>里程去程</v>
      </c>
      <c r="W3806" s="1" t="str">
        <f>"0120"</f>
        <v>0120</v>
      </c>
      <c r="X3806" s="1" t="s">
        <v>35</v>
      </c>
    </row>
    <row r="3807" spans="1:24" x14ac:dyDescent="0.3">
      <c r="A3807" s="1" t="str">
        <f t="shared" si="714"/>
        <v>59825</v>
      </c>
      <c r="B3807" s="1" t="s">
        <v>30</v>
      </c>
      <c r="C3807" s="1" t="s">
        <v>31</v>
      </c>
      <c r="D3807" s="1" t="str">
        <f t="shared" si="711"/>
        <v>9805</v>
      </c>
      <c r="E3807" s="1" t="s">
        <v>57</v>
      </c>
      <c r="F3807" s="1" t="str">
        <f>"135172513"</f>
        <v>135172513</v>
      </c>
      <c r="G3807" s="1" t="s">
        <v>33</v>
      </c>
      <c r="H3807" s="1" t="str">
        <f t="shared" si="709"/>
        <v>20220916</v>
      </c>
      <c r="I3807" s="1" t="str">
        <f>"143015"</f>
        <v>143015</v>
      </c>
      <c r="J3807" s="1" t="s">
        <v>28</v>
      </c>
      <c r="K3807" s="1" t="s">
        <v>28</v>
      </c>
      <c r="L3807" s="1" t="str">
        <f t="shared" si="713"/>
        <v>20220916</v>
      </c>
      <c r="M3807" s="1" t="str">
        <f>"143902"</f>
        <v>143902</v>
      </c>
      <c r="N3807" s="1" t="s">
        <v>70</v>
      </c>
      <c r="O3807" s="1" t="s">
        <v>28</v>
      </c>
      <c r="P3807" s="1" t="s">
        <v>55</v>
      </c>
      <c r="Q3807" s="1">
        <v>25</v>
      </c>
      <c r="R3807" s="1">
        <v>25</v>
      </c>
      <c r="S3807" s="1">
        <v>0</v>
      </c>
      <c r="T3807" s="1">
        <v>0</v>
      </c>
      <c r="U3807" s="1">
        <v>0</v>
      </c>
      <c r="V3807" s="1" t="str">
        <f t="shared" si="712"/>
        <v>里程去程</v>
      </c>
      <c r="W3807" s="1" t="str">
        <f>"0120"</f>
        <v>0120</v>
      </c>
      <c r="X3807" s="1" t="s">
        <v>35</v>
      </c>
    </row>
    <row r="3808" spans="1:24" x14ac:dyDescent="0.3">
      <c r="A3808" s="1" t="str">
        <f t="shared" si="714"/>
        <v>59825</v>
      </c>
      <c r="B3808" s="1" t="s">
        <v>30</v>
      </c>
      <c r="C3808" s="1" t="s">
        <v>31</v>
      </c>
      <c r="D3808" s="1" t="str">
        <f t="shared" si="711"/>
        <v>9805</v>
      </c>
      <c r="E3808" s="1" t="s">
        <v>57</v>
      </c>
      <c r="F3808" s="1" t="str">
        <f>"398898529"</f>
        <v>398898529</v>
      </c>
      <c r="G3808" s="1" t="s">
        <v>33</v>
      </c>
      <c r="H3808" s="1" t="str">
        <f t="shared" si="709"/>
        <v>20220916</v>
      </c>
      <c r="I3808" s="1" t="str">
        <f>"143026"</f>
        <v>143026</v>
      </c>
      <c r="J3808" s="1" t="s">
        <v>28</v>
      </c>
      <c r="K3808" s="1" t="s">
        <v>28</v>
      </c>
      <c r="L3808" s="1" t="str">
        <f t="shared" si="713"/>
        <v>20220916</v>
      </c>
      <c r="M3808" s="1" t="str">
        <f>"143904"</f>
        <v>143904</v>
      </c>
      <c r="N3808" s="1" t="s">
        <v>70</v>
      </c>
      <c r="O3808" s="1" t="s">
        <v>28</v>
      </c>
      <c r="P3808" s="1" t="s">
        <v>55</v>
      </c>
      <c r="Q3808" s="1">
        <v>25</v>
      </c>
      <c r="R3808" s="1">
        <v>25</v>
      </c>
      <c r="S3808" s="1">
        <v>0</v>
      </c>
      <c r="T3808" s="1">
        <v>0</v>
      </c>
      <c r="U3808" s="1">
        <v>0</v>
      </c>
      <c r="V3808" s="1" t="str">
        <f t="shared" si="712"/>
        <v>里程去程</v>
      </c>
      <c r="W3808" s="1" t="str">
        <f>"0120"</f>
        <v>0120</v>
      </c>
      <c r="X3808" s="1" t="s">
        <v>35</v>
      </c>
    </row>
    <row r="3809" spans="1:24" x14ac:dyDescent="0.3">
      <c r="A3809" s="1" t="str">
        <f t="shared" si="714"/>
        <v>59825</v>
      </c>
      <c r="B3809" s="1" t="s">
        <v>30</v>
      </c>
      <c r="C3809" s="1" t="s">
        <v>31</v>
      </c>
      <c r="D3809" s="1" t="str">
        <f t="shared" si="711"/>
        <v>9805</v>
      </c>
      <c r="E3809" s="1" t="s">
        <v>57</v>
      </c>
      <c r="F3809" s="1" t="str">
        <f>"691895105"</f>
        <v>691895105</v>
      </c>
      <c r="G3809" s="1" t="s">
        <v>33</v>
      </c>
      <c r="H3809" s="1" t="str">
        <f t="shared" si="709"/>
        <v>20220916</v>
      </c>
      <c r="I3809" s="1" t="str">
        <f>"143031"</f>
        <v>143031</v>
      </c>
      <c r="J3809" s="1" t="s">
        <v>28</v>
      </c>
      <c r="K3809" s="1" t="s">
        <v>28</v>
      </c>
      <c r="L3809" s="1" t="str">
        <f t="shared" si="713"/>
        <v>20220916</v>
      </c>
      <c r="M3809" s="1" t="str">
        <f>"143859"</f>
        <v>143859</v>
      </c>
      <c r="N3809" s="1" t="s">
        <v>70</v>
      </c>
      <c r="O3809" s="1" t="s">
        <v>28</v>
      </c>
      <c r="P3809" s="1" t="s">
        <v>55</v>
      </c>
      <c r="Q3809" s="1">
        <v>25</v>
      </c>
      <c r="R3809" s="1">
        <v>25</v>
      </c>
      <c r="S3809" s="1">
        <v>0</v>
      </c>
      <c r="T3809" s="1">
        <v>0</v>
      </c>
      <c r="U3809" s="1">
        <v>0</v>
      </c>
      <c r="V3809" s="1" t="str">
        <f t="shared" si="712"/>
        <v>里程去程</v>
      </c>
      <c r="W3809" s="1" t="str">
        <f>"0120"</f>
        <v>0120</v>
      </c>
      <c r="X3809" s="1" t="s">
        <v>35</v>
      </c>
    </row>
    <row r="3810" spans="1:24" x14ac:dyDescent="0.3">
      <c r="A3810" s="1" t="str">
        <f t="shared" si="714"/>
        <v>59825</v>
      </c>
      <c r="B3810" s="1" t="s">
        <v>30</v>
      </c>
      <c r="C3810" s="1" t="s">
        <v>31</v>
      </c>
      <c r="D3810" s="1" t="str">
        <f>"9803"</f>
        <v>9803</v>
      </c>
      <c r="E3810" s="1" t="s">
        <v>32</v>
      </c>
      <c r="F3810" s="1" t="str">
        <f>"1655832465"</f>
        <v>1655832465</v>
      </c>
      <c r="G3810" s="1" t="s">
        <v>33</v>
      </c>
      <c r="H3810" s="1" t="str">
        <f t="shared" si="709"/>
        <v>20220916</v>
      </c>
      <c r="I3810" s="1" t="str">
        <f>"153800"</f>
        <v>153800</v>
      </c>
      <c r="J3810" s="1" t="s">
        <v>34</v>
      </c>
      <c r="K3810" s="1" t="s">
        <v>34</v>
      </c>
      <c r="L3810" s="1" t="str">
        <f t="shared" si="713"/>
        <v>20220916</v>
      </c>
      <c r="M3810" s="1" t="str">
        <f>"160936"</f>
        <v>160936</v>
      </c>
      <c r="N3810" s="1" t="s">
        <v>28</v>
      </c>
      <c r="O3810" s="1" t="s">
        <v>28</v>
      </c>
      <c r="P3810" s="1" t="s">
        <v>55</v>
      </c>
      <c r="Q3810" s="1">
        <v>25</v>
      </c>
      <c r="R3810" s="1">
        <v>25</v>
      </c>
      <c r="S3810" s="1">
        <v>0</v>
      </c>
      <c r="T3810" s="1">
        <v>0</v>
      </c>
      <c r="U3810" s="1">
        <v>0</v>
      </c>
      <c r="V3810" s="1" t="str">
        <f>"里程返程"</f>
        <v>里程返程</v>
      </c>
      <c r="W3810" s="1" t="str">
        <f>"2020"</f>
        <v>2020</v>
      </c>
      <c r="X3810" s="1" t="s">
        <v>35</v>
      </c>
    </row>
    <row r="3811" spans="1:24" x14ac:dyDescent="0.3">
      <c r="A3811" s="1" t="str">
        <f t="shared" si="714"/>
        <v>59825</v>
      </c>
      <c r="B3811" s="1" t="s">
        <v>30</v>
      </c>
      <c r="C3811" s="1" t="s">
        <v>31</v>
      </c>
      <c r="D3811" s="1" t="str">
        <f>"9803"</f>
        <v>9803</v>
      </c>
      <c r="E3811" s="1" t="s">
        <v>32</v>
      </c>
      <c r="F3811" s="1" t="str">
        <f>"1263512021"</f>
        <v>1263512021</v>
      </c>
      <c r="G3811" s="1" t="s">
        <v>33</v>
      </c>
      <c r="H3811" s="1" t="str">
        <f t="shared" si="709"/>
        <v>20220916</v>
      </c>
      <c r="I3811" s="1" t="str">
        <f>"153858"</f>
        <v>153858</v>
      </c>
      <c r="J3811" s="1" t="s">
        <v>34</v>
      </c>
      <c r="K3811" s="1" t="s">
        <v>34</v>
      </c>
      <c r="L3811" s="1" t="str">
        <f t="shared" si="713"/>
        <v>20220916</v>
      </c>
      <c r="M3811" s="1" t="str">
        <f>"160830"</f>
        <v>160830</v>
      </c>
      <c r="N3811" s="1" t="s">
        <v>28</v>
      </c>
      <c r="O3811" s="1" t="s">
        <v>28</v>
      </c>
      <c r="P3811" s="1" t="s">
        <v>55</v>
      </c>
      <c r="Q3811" s="1">
        <v>25</v>
      </c>
      <c r="R3811" s="1">
        <v>25</v>
      </c>
      <c r="S3811" s="1">
        <v>0</v>
      </c>
      <c r="T3811" s="1">
        <v>0</v>
      </c>
      <c r="U3811" s="1">
        <v>0</v>
      </c>
      <c r="V3811" s="1" t="str">
        <f>"里程返程"</f>
        <v>里程返程</v>
      </c>
      <c r="W3811" s="1" t="str">
        <f>"2020"</f>
        <v>2020</v>
      </c>
      <c r="X3811" s="1" t="s">
        <v>35</v>
      </c>
    </row>
    <row r="3812" spans="1:24" x14ac:dyDescent="0.3">
      <c r="A3812" s="1" t="str">
        <f t="shared" si="714"/>
        <v>59825</v>
      </c>
      <c r="B3812" s="1" t="s">
        <v>30</v>
      </c>
      <c r="C3812" s="1" t="s">
        <v>31</v>
      </c>
      <c r="D3812" s="1" t="str">
        <f>"9803"</f>
        <v>9803</v>
      </c>
      <c r="E3812" s="1" t="s">
        <v>32</v>
      </c>
      <c r="F3812" s="1" t="str">
        <f>"1249891221"</f>
        <v>1249891221</v>
      </c>
      <c r="G3812" s="1" t="s">
        <v>38</v>
      </c>
      <c r="H3812" s="1" t="str">
        <f t="shared" si="709"/>
        <v>20220916</v>
      </c>
      <c r="I3812" s="1" t="str">
        <f>"153956"</f>
        <v>153956</v>
      </c>
      <c r="J3812" s="1" t="s">
        <v>34</v>
      </c>
      <c r="K3812" s="1" t="s">
        <v>34</v>
      </c>
      <c r="L3812" s="1" t="str">
        <f t="shared" si="713"/>
        <v>20220916</v>
      </c>
      <c r="M3812" s="1" t="str">
        <f>"160842"</f>
        <v>160842</v>
      </c>
      <c r="N3812" s="1" t="s">
        <v>28</v>
      </c>
      <c r="O3812" s="1" t="s">
        <v>28</v>
      </c>
      <c r="P3812" s="1" t="s">
        <v>55</v>
      </c>
      <c r="Q3812" s="1">
        <v>25</v>
      </c>
      <c r="R3812" s="1">
        <v>25</v>
      </c>
      <c r="S3812" s="1">
        <v>0</v>
      </c>
      <c r="T3812" s="1">
        <v>0</v>
      </c>
      <c r="U3812" s="1">
        <v>0</v>
      </c>
      <c r="V3812" s="1" t="str">
        <f>"里程返程"</f>
        <v>里程返程</v>
      </c>
      <c r="W3812" s="1" t="str">
        <f>"2020"</f>
        <v>2020</v>
      </c>
      <c r="X3812" s="1" t="s">
        <v>35</v>
      </c>
    </row>
    <row r="3813" spans="1:24" x14ac:dyDescent="0.3">
      <c r="A3813" s="1" t="str">
        <f t="shared" si="714"/>
        <v>59825</v>
      </c>
      <c r="B3813" s="1" t="s">
        <v>30</v>
      </c>
      <c r="C3813" s="1" t="s">
        <v>110</v>
      </c>
      <c r="D3813" s="1" t="str">
        <f>"9803"</f>
        <v>9803</v>
      </c>
      <c r="E3813" s="1" t="s">
        <v>32</v>
      </c>
      <c r="F3813" s="1" t="str">
        <f>"5317151014141292"</f>
        <v>5317151014141292</v>
      </c>
      <c r="G3813" s="1" t="s">
        <v>33</v>
      </c>
      <c r="H3813" s="1" t="str">
        <f t="shared" si="709"/>
        <v>20220916</v>
      </c>
      <c r="I3813" s="1" t="str">
        <f>"154916"</f>
        <v>154916</v>
      </c>
      <c r="J3813" s="1" t="s">
        <v>87</v>
      </c>
      <c r="K3813" s="1" t="s">
        <v>28</v>
      </c>
      <c r="L3813" s="1" t="str">
        <f t="shared" si="713"/>
        <v>20220916</v>
      </c>
      <c r="M3813" s="1" t="str">
        <f>"160836"</f>
        <v>160836</v>
      </c>
      <c r="N3813" s="1" t="s">
        <v>28</v>
      </c>
      <c r="O3813" s="1" t="s">
        <v>28</v>
      </c>
      <c r="P3813" s="1" t="s">
        <v>55</v>
      </c>
      <c r="Q3813" s="1">
        <v>25</v>
      </c>
      <c r="R3813" s="1">
        <v>25</v>
      </c>
      <c r="S3813" s="1">
        <v>0</v>
      </c>
      <c r="T3813" s="1">
        <v>0</v>
      </c>
      <c r="U3813" s="1">
        <v>0</v>
      </c>
      <c r="V3813" s="1" t="str">
        <f>"里程返程"</f>
        <v>里程返程</v>
      </c>
      <c r="W3813" s="1" t="str">
        <f>"088B"</f>
        <v>088B</v>
      </c>
      <c r="X3813" s="1" t="s">
        <v>109</v>
      </c>
    </row>
    <row r="3814" spans="1:24" x14ac:dyDescent="0.3">
      <c r="A3814" s="1" t="str">
        <f t="shared" si="714"/>
        <v>59825</v>
      </c>
      <c r="B3814" s="1" t="s">
        <v>30</v>
      </c>
      <c r="C3814" s="1" t="s">
        <v>31</v>
      </c>
      <c r="D3814" s="1" t="str">
        <f>"9806"</f>
        <v>9806</v>
      </c>
      <c r="E3814" s="1" t="s">
        <v>49</v>
      </c>
      <c r="F3814" s="1" t="str">
        <f>"1055537829"</f>
        <v>1055537829</v>
      </c>
      <c r="G3814" s="1" t="s">
        <v>33</v>
      </c>
      <c r="H3814" s="1" t="str">
        <f t="shared" si="709"/>
        <v>20220916</v>
      </c>
      <c r="I3814" s="1" t="str">
        <f>"164458"</f>
        <v>164458</v>
      </c>
      <c r="J3814" s="1" t="s">
        <v>98</v>
      </c>
      <c r="K3814" s="1" t="s">
        <v>28</v>
      </c>
      <c r="L3814" s="1" t="str">
        <f t="shared" si="713"/>
        <v>20220916</v>
      </c>
      <c r="M3814" s="1" t="str">
        <f>"165422"</f>
        <v>165422</v>
      </c>
      <c r="N3814" s="1" t="s">
        <v>28</v>
      </c>
      <c r="O3814" s="1" t="s">
        <v>28</v>
      </c>
      <c r="P3814" s="1" t="s">
        <v>55</v>
      </c>
      <c r="Q3814" s="1">
        <v>25</v>
      </c>
      <c r="R3814" s="1">
        <v>25</v>
      </c>
      <c r="S3814" s="1">
        <v>0</v>
      </c>
      <c r="T3814" s="1">
        <v>0</v>
      </c>
      <c r="U3814" s="1">
        <v>0</v>
      </c>
      <c r="V3814" s="1" t="str">
        <f>"里程去程"</f>
        <v>里程去程</v>
      </c>
      <c r="W3814" s="1" t="str">
        <f>"0820"</f>
        <v>0820</v>
      </c>
      <c r="X3814" s="1" t="s">
        <v>35</v>
      </c>
    </row>
    <row r="3815" spans="1:24" x14ac:dyDescent="0.3">
      <c r="A3815" s="1" t="str">
        <f t="shared" si="714"/>
        <v>59825</v>
      </c>
      <c r="B3815" s="1" t="s">
        <v>30</v>
      </c>
      <c r="C3815" s="1" t="s">
        <v>31</v>
      </c>
      <c r="D3815" s="1" t="str">
        <f>"9805"</f>
        <v>9805</v>
      </c>
      <c r="E3815" s="1" t="s">
        <v>57</v>
      </c>
      <c r="F3815" s="1" t="str">
        <f>"1030501089"</f>
        <v>1030501089</v>
      </c>
      <c r="G3815" s="1" t="s">
        <v>33</v>
      </c>
      <c r="H3815" s="1" t="str">
        <f t="shared" si="709"/>
        <v>20220916</v>
      </c>
      <c r="I3815" s="1" t="str">
        <f>"165452"</f>
        <v>165452</v>
      </c>
      <c r="J3815" s="1" t="s">
        <v>28</v>
      </c>
      <c r="K3815" s="1" t="s">
        <v>28</v>
      </c>
      <c r="L3815" s="1" t="str">
        <f t="shared" si="713"/>
        <v>20220916</v>
      </c>
      <c r="M3815" s="1" t="str">
        <f>"171201"</f>
        <v>171201</v>
      </c>
      <c r="N3815" s="1" t="s">
        <v>52</v>
      </c>
      <c r="O3815" s="1" t="s">
        <v>52</v>
      </c>
      <c r="P3815" s="1" t="s">
        <v>55</v>
      </c>
      <c r="Q3815" s="1">
        <v>25</v>
      </c>
      <c r="R3815" s="1">
        <v>0</v>
      </c>
      <c r="S3815" s="1">
        <v>25</v>
      </c>
      <c r="T3815" s="1">
        <v>0</v>
      </c>
      <c r="U3815" s="1">
        <v>0</v>
      </c>
      <c r="V3815" s="1" t="str">
        <f>"里程去程"</f>
        <v>里程去程</v>
      </c>
      <c r="W3815" s="1" t="str">
        <f>"0820"</f>
        <v>0820</v>
      </c>
      <c r="X3815" s="1" t="s">
        <v>35</v>
      </c>
    </row>
    <row r="3816" spans="1:24" x14ac:dyDescent="0.3">
      <c r="A3816" s="1" t="str">
        <f t="shared" si="714"/>
        <v>59825</v>
      </c>
      <c r="B3816" s="1" t="s">
        <v>30</v>
      </c>
      <c r="C3816" s="1" t="s">
        <v>31</v>
      </c>
      <c r="D3816" s="1" t="str">
        <f>"9805"</f>
        <v>9805</v>
      </c>
      <c r="E3816" s="1" t="s">
        <v>57</v>
      </c>
      <c r="F3816" s="1" t="str">
        <f>"728589185"</f>
        <v>728589185</v>
      </c>
      <c r="G3816" s="1" t="s">
        <v>33</v>
      </c>
      <c r="H3816" s="1" t="str">
        <f t="shared" si="709"/>
        <v>20220916</v>
      </c>
      <c r="I3816" s="1" t="str">
        <f>"165458"</f>
        <v>165458</v>
      </c>
      <c r="J3816" s="1" t="s">
        <v>28</v>
      </c>
      <c r="K3816" s="1" t="s">
        <v>28</v>
      </c>
      <c r="L3816" s="1" t="str">
        <f t="shared" si="713"/>
        <v>20220916</v>
      </c>
      <c r="M3816" s="1" t="str">
        <f>"171157"</f>
        <v>171157</v>
      </c>
      <c r="N3816" s="1" t="s">
        <v>52</v>
      </c>
      <c r="O3816" s="1" t="s">
        <v>52</v>
      </c>
      <c r="P3816" s="1" t="s">
        <v>55</v>
      </c>
      <c r="Q3816" s="1">
        <v>25</v>
      </c>
      <c r="R3816" s="1">
        <v>0</v>
      </c>
      <c r="S3816" s="1">
        <v>25</v>
      </c>
      <c r="T3816" s="1">
        <v>0</v>
      </c>
      <c r="U3816" s="1">
        <v>0</v>
      </c>
      <c r="V3816" s="1" t="str">
        <f>"里程去程"</f>
        <v>里程去程</v>
      </c>
      <c r="W3816" s="1" t="str">
        <f>"0820"</f>
        <v>0820</v>
      </c>
      <c r="X3816" s="1" t="s">
        <v>35</v>
      </c>
    </row>
    <row r="3817" spans="1:24" x14ac:dyDescent="0.3">
      <c r="A3817" s="1" t="str">
        <f t="shared" si="714"/>
        <v>59825</v>
      </c>
      <c r="B3817" s="1" t="s">
        <v>30</v>
      </c>
      <c r="C3817" s="1" t="s">
        <v>31</v>
      </c>
      <c r="D3817" s="1" t="str">
        <f>"9805"</f>
        <v>9805</v>
      </c>
      <c r="E3817" s="1" t="s">
        <v>57</v>
      </c>
      <c r="F3817" s="1" t="str">
        <f>"1587412529"</f>
        <v>1587412529</v>
      </c>
      <c r="G3817" s="1" t="s">
        <v>33</v>
      </c>
      <c r="H3817" s="1" t="str">
        <f t="shared" si="709"/>
        <v>20220916</v>
      </c>
      <c r="I3817" s="1" t="str">
        <f>"165522"</f>
        <v>165522</v>
      </c>
      <c r="J3817" s="1" t="s">
        <v>28</v>
      </c>
      <c r="K3817" s="1" t="s">
        <v>28</v>
      </c>
      <c r="L3817" s="1" t="str">
        <f t="shared" si="713"/>
        <v>20220916</v>
      </c>
      <c r="M3817" s="1" t="str">
        <f>"170754"</f>
        <v>170754</v>
      </c>
      <c r="N3817" s="1" t="s">
        <v>56</v>
      </c>
      <c r="O3817" s="1" t="s">
        <v>28</v>
      </c>
      <c r="P3817" s="1" t="s">
        <v>55</v>
      </c>
      <c r="Q3817" s="1">
        <v>25</v>
      </c>
      <c r="R3817" s="1">
        <v>25</v>
      </c>
      <c r="S3817" s="1">
        <v>0</v>
      </c>
      <c r="T3817" s="1">
        <v>0</v>
      </c>
      <c r="U3817" s="1">
        <v>0</v>
      </c>
      <c r="V3817" s="1" t="str">
        <f>"里程去程"</f>
        <v>里程去程</v>
      </c>
      <c r="W3817" s="1" t="str">
        <f>"0120"</f>
        <v>0120</v>
      </c>
      <c r="X3817" s="1" t="s">
        <v>35</v>
      </c>
    </row>
    <row r="3818" spans="1:24" x14ac:dyDescent="0.3">
      <c r="A3818" s="1" t="str">
        <f t="shared" si="714"/>
        <v>59825</v>
      </c>
      <c r="B3818" s="1" t="s">
        <v>30</v>
      </c>
      <c r="C3818" s="1" t="s">
        <v>31</v>
      </c>
      <c r="D3818" s="1" t="str">
        <f>"9805"</f>
        <v>9805</v>
      </c>
      <c r="E3818" s="1" t="s">
        <v>57</v>
      </c>
      <c r="F3818" s="1" t="str">
        <f>"1786194161"</f>
        <v>1786194161</v>
      </c>
      <c r="G3818" s="1" t="s">
        <v>33</v>
      </c>
      <c r="H3818" s="1" t="str">
        <f t="shared" si="709"/>
        <v>20220916</v>
      </c>
      <c r="I3818" s="1" t="str">
        <f>"165545"</f>
        <v>165545</v>
      </c>
      <c r="J3818" s="1" t="s">
        <v>28</v>
      </c>
      <c r="K3818" s="1" t="s">
        <v>28</v>
      </c>
      <c r="L3818" s="1" t="str">
        <f t="shared" si="713"/>
        <v>20220916</v>
      </c>
      <c r="M3818" s="1" t="str">
        <f>"170758"</f>
        <v>170758</v>
      </c>
      <c r="N3818" s="1" t="s">
        <v>56</v>
      </c>
      <c r="O3818" s="1" t="s">
        <v>28</v>
      </c>
      <c r="P3818" s="1" t="s">
        <v>55</v>
      </c>
      <c r="Q3818" s="1">
        <v>25</v>
      </c>
      <c r="R3818" s="1">
        <v>25</v>
      </c>
      <c r="S3818" s="1">
        <v>0</v>
      </c>
      <c r="T3818" s="1">
        <v>0</v>
      </c>
      <c r="U3818" s="1">
        <v>0</v>
      </c>
      <c r="V3818" s="1" t="str">
        <f>"里程去程"</f>
        <v>里程去程</v>
      </c>
      <c r="W3818" s="1" t="str">
        <f>"0120"</f>
        <v>0120</v>
      </c>
      <c r="X3818" s="1" t="s">
        <v>35</v>
      </c>
    </row>
    <row r="3819" spans="1:24" x14ac:dyDescent="0.3">
      <c r="A3819" s="1" t="str">
        <f t="shared" si="714"/>
        <v>59825</v>
      </c>
      <c r="B3819" s="1" t="s">
        <v>30</v>
      </c>
      <c r="C3819" s="1" t="s">
        <v>31</v>
      </c>
      <c r="D3819" s="1" t="str">
        <f>"9801"</f>
        <v>9801</v>
      </c>
      <c r="E3819" s="1" t="s">
        <v>25</v>
      </c>
      <c r="F3819" s="1" t="str">
        <f>"1311662705"</f>
        <v>1311662705</v>
      </c>
      <c r="G3819" s="1" t="s">
        <v>33</v>
      </c>
      <c r="H3819" s="1" t="str">
        <f t="shared" si="709"/>
        <v>20220916</v>
      </c>
      <c r="I3819" s="1" t="str">
        <f>"185250"</f>
        <v>185250</v>
      </c>
      <c r="J3819" s="1" t="s">
        <v>44</v>
      </c>
      <c r="K3819" s="1" t="s">
        <v>45</v>
      </c>
      <c r="L3819" s="1" t="str">
        <f t="shared" si="713"/>
        <v>20220916</v>
      </c>
      <c r="M3819" s="1" t="str">
        <f>"192604"</f>
        <v>192604</v>
      </c>
      <c r="N3819" s="1" t="s">
        <v>28</v>
      </c>
      <c r="O3819" s="1" t="s">
        <v>28</v>
      </c>
      <c r="P3819" s="1" t="s">
        <v>55</v>
      </c>
      <c r="Q3819" s="1">
        <v>25</v>
      </c>
      <c r="R3819" s="1">
        <v>25</v>
      </c>
      <c r="S3819" s="1">
        <v>0</v>
      </c>
      <c r="T3819" s="1">
        <v>0</v>
      </c>
      <c r="U3819" s="1">
        <v>0</v>
      </c>
      <c r="V3819" s="1" t="str">
        <f t="shared" ref="V3819:V3824" si="715">"里程返程"</f>
        <v>里程返程</v>
      </c>
      <c r="W3819" s="1" t="str">
        <f>"2020"</f>
        <v>2020</v>
      </c>
      <c r="X3819" s="1" t="s">
        <v>35</v>
      </c>
    </row>
    <row r="3820" spans="1:24" x14ac:dyDescent="0.3">
      <c r="A3820" s="1" t="str">
        <f t="shared" si="714"/>
        <v>59825</v>
      </c>
      <c r="B3820" s="1" t="s">
        <v>30</v>
      </c>
      <c r="C3820" s="1" t="s">
        <v>31</v>
      </c>
      <c r="D3820" s="1" t="str">
        <f>"9801"</f>
        <v>9801</v>
      </c>
      <c r="E3820" s="1" t="s">
        <v>25</v>
      </c>
      <c r="F3820" s="1" t="str">
        <f>"1278455333"</f>
        <v>1278455333</v>
      </c>
      <c r="G3820" s="1" t="s">
        <v>33</v>
      </c>
      <c r="H3820" s="1" t="str">
        <f t="shared" si="709"/>
        <v>20220916</v>
      </c>
      <c r="I3820" s="1" t="str">
        <f>"185338"</f>
        <v>185338</v>
      </c>
      <c r="J3820" s="1" t="s">
        <v>44</v>
      </c>
      <c r="K3820" s="1" t="s">
        <v>45</v>
      </c>
      <c r="L3820" s="1" t="str">
        <f t="shared" si="713"/>
        <v>20220916</v>
      </c>
      <c r="M3820" s="1" t="str">
        <f>"192607"</f>
        <v>192607</v>
      </c>
      <c r="N3820" s="1" t="s">
        <v>28</v>
      </c>
      <c r="O3820" s="1" t="s">
        <v>28</v>
      </c>
      <c r="P3820" s="1" t="s">
        <v>55</v>
      </c>
      <c r="Q3820" s="1">
        <v>25</v>
      </c>
      <c r="R3820" s="1">
        <v>25</v>
      </c>
      <c r="S3820" s="1">
        <v>0</v>
      </c>
      <c r="T3820" s="1">
        <v>0</v>
      </c>
      <c r="U3820" s="1">
        <v>0</v>
      </c>
      <c r="V3820" s="1" t="str">
        <f t="shared" si="715"/>
        <v>里程返程</v>
      </c>
      <c r="W3820" s="1" t="str">
        <f>"2120"</f>
        <v>2120</v>
      </c>
      <c r="X3820" s="1" t="s">
        <v>35</v>
      </c>
    </row>
    <row r="3821" spans="1:24" x14ac:dyDescent="0.3">
      <c r="A3821" s="1" t="str">
        <f t="shared" si="714"/>
        <v>59825</v>
      </c>
      <c r="B3821" s="1" t="s">
        <v>30</v>
      </c>
      <c r="C3821" s="1" t="s">
        <v>31</v>
      </c>
      <c r="D3821" s="1" t="str">
        <f>"9805"</f>
        <v>9805</v>
      </c>
      <c r="E3821" s="1" t="s">
        <v>57</v>
      </c>
      <c r="F3821" s="1" t="str">
        <f>"1110140901"</f>
        <v>1110140901</v>
      </c>
      <c r="G3821" s="1" t="s">
        <v>38</v>
      </c>
      <c r="H3821" s="1" t="str">
        <f t="shared" si="709"/>
        <v>20220916</v>
      </c>
      <c r="I3821" s="1" t="str">
        <f>"200807"</f>
        <v>200807</v>
      </c>
      <c r="J3821" s="1" t="s">
        <v>94</v>
      </c>
      <c r="K3821" s="1" t="s">
        <v>28</v>
      </c>
      <c r="L3821" s="1" t="str">
        <f t="shared" si="713"/>
        <v>20220916</v>
      </c>
      <c r="M3821" s="1" t="str">
        <f>"202058"</f>
        <v>202058</v>
      </c>
      <c r="N3821" s="1" t="s">
        <v>28</v>
      </c>
      <c r="O3821" s="1" t="s">
        <v>28</v>
      </c>
      <c r="P3821" s="1" t="s">
        <v>55</v>
      </c>
      <c r="Q3821" s="1">
        <v>25</v>
      </c>
      <c r="R3821" s="1">
        <v>25</v>
      </c>
      <c r="S3821" s="1">
        <v>0</v>
      </c>
      <c r="T3821" s="1">
        <v>0</v>
      </c>
      <c r="U3821" s="1">
        <v>0</v>
      </c>
      <c r="V3821" s="1" t="str">
        <f t="shared" si="715"/>
        <v>里程返程</v>
      </c>
      <c r="W3821" s="1" t="str">
        <f>"2020"</f>
        <v>2020</v>
      </c>
      <c r="X3821" s="1" t="s">
        <v>35</v>
      </c>
    </row>
    <row r="3822" spans="1:24" x14ac:dyDescent="0.3">
      <c r="A3822" s="1" t="str">
        <f t="shared" si="714"/>
        <v>59825</v>
      </c>
      <c r="B3822" s="1" t="s">
        <v>30</v>
      </c>
      <c r="C3822" s="1" t="s">
        <v>31</v>
      </c>
      <c r="D3822" s="1" t="str">
        <f>"9805"</f>
        <v>9805</v>
      </c>
      <c r="E3822" s="1" t="s">
        <v>57</v>
      </c>
      <c r="F3822" s="1" t="str">
        <f>"1019682449"</f>
        <v>1019682449</v>
      </c>
      <c r="G3822" s="1" t="s">
        <v>33</v>
      </c>
      <c r="H3822" s="1" t="str">
        <f t="shared" si="709"/>
        <v>20220916</v>
      </c>
      <c r="I3822" s="1" t="str">
        <f>"200841"</f>
        <v>200841</v>
      </c>
      <c r="J3822" s="1" t="s">
        <v>94</v>
      </c>
      <c r="K3822" s="1" t="s">
        <v>28</v>
      </c>
      <c r="L3822" s="1" t="str">
        <f t="shared" si="713"/>
        <v>20220916</v>
      </c>
      <c r="M3822" s="1" t="str">
        <f>"202110"</f>
        <v>202110</v>
      </c>
      <c r="N3822" s="1" t="s">
        <v>28</v>
      </c>
      <c r="O3822" s="1" t="s">
        <v>28</v>
      </c>
      <c r="P3822" s="1" t="s">
        <v>55</v>
      </c>
      <c r="Q3822" s="1">
        <v>25</v>
      </c>
      <c r="R3822" s="1">
        <v>25</v>
      </c>
      <c r="S3822" s="1">
        <v>0</v>
      </c>
      <c r="T3822" s="1">
        <v>0</v>
      </c>
      <c r="U3822" s="1">
        <v>0</v>
      </c>
      <c r="V3822" s="1" t="str">
        <f t="shared" si="715"/>
        <v>里程返程</v>
      </c>
      <c r="W3822" s="1" t="str">
        <f>"2120"</f>
        <v>2120</v>
      </c>
      <c r="X3822" s="1" t="s">
        <v>35</v>
      </c>
    </row>
    <row r="3823" spans="1:24" x14ac:dyDescent="0.3">
      <c r="A3823" s="1" t="str">
        <f t="shared" si="714"/>
        <v>59825</v>
      </c>
      <c r="B3823" s="1" t="s">
        <v>30</v>
      </c>
      <c r="C3823" s="1" t="s">
        <v>31</v>
      </c>
      <c r="D3823" s="1" t="str">
        <f>"9805"</f>
        <v>9805</v>
      </c>
      <c r="E3823" s="1" t="s">
        <v>57</v>
      </c>
      <c r="F3823" s="1" t="str">
        <f>"985477637"</f>
        <v>985477637</v>
      </c>
      <c r="G3823" s="1" t="s">
        <v>26</v>
      </c>
      <c r="H3823" s="1" t="str">
        <f t="shared" si="709"/>
        <v>20220916</v>
      </c>
      <c r="I3823" s="1" t="str">
        <f>"200854"</f>
        <v>200854</v>
      </c>
      <c r="J3823" s="1" t="s">
        <v>94</v>
      </c>
      <c r="K3823" s="1" t="s">
        <v>28</v>
      </c>
      <c r="L3823" s="1" t="str">
        <f t="shared" si="713"/>
        <v>20220916</v>
      </c>
      <c r="M3823" s="1" t="str">
        <f>"202105"</f>
        <v>202105</v>
      </c>
      <c r="N3823" s="1" t="s">
        <v>28</v>
      </c>
      <c r="O3823" s="1" t="s">
        <v>28</v>
      </c>
      <c r="P3823" s="1" t="s">
        <v>55</v>
      </c>
      <c r="Q3823" s="1">
        <v>13</v>
      </c>
      <c r="R3823" s="1">
        <v>13</v>
      </c>
      <c r="S3823" s="1">
        <v>0</v>
      </c>
      <c r="T3823" s="1">
        <v>0</v>
      </c>
      <c r="U3823" s="1">
        <v>0</v>
      </c>
      <c r="V3823" s="1" t="str">
        <f t="shared" si="715"/>
        <v>里程返程</v>
      </c>
      <c r="W3823" s="1" t="str">
        <f>"2120"</f>
        <v>2120</v>
      </c>
      <c r="X3823" s="1" t="s">
        <v>35</v>
      </c>
    </row>
    <row r="3824" spans="1:24" x14ac:dyDescent="0.3">
      <c r="A3824" s="1" t="str">
        <f t="shared" si="714"/>
        <v>59825</v>
      </c>
      <c r="B3824" s="1" t="s">
        <v>30</v>
      </c>
      <c r="C3824" s="1" t="s">
        <v>31</v>
      </c>
      <c r="D3824" s="1" t="str">
        <f>"9805"</f>
        <v>9805</v>
      </c>
      <c r="E3824" s="1" t="s">
        <v>57</v>
      </c>
      <c r="F3824" s="1" t="str">
        <f>"1207201253"</f>
        <v>1207201253</v>
      </c>
      <c r="G3824" s="1" t="s">
        <v>96</v>
      </c>
      <c r="H3824" s="1" t="str">
        <f t="shared" si="709"/>
        <v>20220916</v>
      </c>
      <c r="I3824" s="1" t="str">
        <f>"200907"</f>
        <v>200907</v>
      </c>
      <c r="J3824" s="1" t="s">
        <v>94</v>
      </c>
      <c r="K3824" s="1" t="s">
        <v>28</v>
      </c>
      <c r="L3824" s="1" t="str">
        <f t="shared" si="713"/>
        <v>20220916</v>
      </c>
      <c r="M3824" s="1" t="str">
        <f>"202109"</f>
        <v>202109</v>
      </c>
      <c r="N3824" s="1" t="s">
        <v>28</v>
      </c>
      <c r="O3824" s="1" t="s">
        <v>28</v>
      </c>
      <c r="P3824" s="1" t="s">
        <v>55</v>
      </c>
      <c r="Q3824" s="1">
        <v>13</v>
      </c>
      <c r="R3824" s="1">
        <v>13</v>
      </c>
      <c r="S3824" s="1">
        <v>0</v>
      </c>
      <c r="T3824" s="1">
        <v>0</v>
      </c>
      <c r="U3824" s="1">
        <v>0</v>
      </c>
      <c r="V3824" s="1" t="str">
        <f t="shared" si="715"/>
        <v>里程返程</v>
      </c>
      <c r="W3824" s="1" t="str">
        <f>"2120"</f>
        <v>2120</v>
      </c>
      <c r="X3824" s="1" t="s">
        <v>35</v>
      </c>
    </row>
    <row r="3825" spans="1:24" x14ac:dyDescent="0.3">
      <c r="A3825" s="1" t="str">
        <f t="shared" ref="A3825:A3856" si="716">"59829"</f>
        <v>59829</v>
      </c>
      <c r="B3825" s="1" t="s">
        <v>47</v>
      </c>
      <c r="C3825" s="1" t="s">
        <v>48</v>
      </c>
      <c r="D3825" s="1" t="str">
        <f t="shared" ref="D3825:D3832" si="717">"9803"</f>
        <v>9803</v>
      </c>
      <c r="E3825" s="1" t="s">
        <v>32</v>
      </c>
      <c r="F3825" s="1" t="str">
        <f>"259635713"</f>
        <v>259635713</v>
      </c>
      <c r="G3825" s="1" t="s">
        <v>33</v>
      </c>
      <c r="H3825" s="1" t="str">
        <f t="shared" si="709"/>
        <v>20220916</v>
      </c>
      <c r="I3825" s="1" t="str">
        <f>"061825"</f>
        <v>061825</v>
      </c>
      <c r="J3825" s="1" t="s">
        <v>28</v>
      </c>
      <c r="K3825" s="1" t="s">
        <v>28</v>
      </c>
      <c r="L3825" s="1" t="str">
        <f t="shared" si="713"/>
        <v>20220916</v>
      </c>
      <c r="M3825" s="1" t="str">
        <f>"063813"</f>
        <v>063813</v>
      </c>
      <c r="N3825" s="1" t="s">
        <v>34</v>
      </c>
      <c r="O3825" s="1" t="s">
        <v>34</v>
      </c>
      <c r="P3825" s="1" t="s">
        <v>55</v>
      </c>
      <c r="Q3825" s="1">
        <v>25</v>
      </c>
      <c r="R3825" s="1">
        <v>25</v>
      </c>
      <c r="S3825" s="1">
        <v>0</v>
      </c>
      <c r="T3825" s="1">
        <v>0</v>
      </c>
      <c r="U3825" s="1">
        <v>0</v>
      </c>
      <c r="V3825" s="1" t="str">
        <f t="shared" ref="V3825:V3832" si="718">"里程去程"</f>
        <v>里程去程</v>
      </c>
      <c r="W3825" s="1" t="str">
        <f>"0820"</f>
        <v>0820</v>
      </c>
      <c r="X3825" s="1" t="s">
        <v>35</v>
      </c>
    </row>
    <row r="3826" spans="1:24" x14ac:dyDescent="0.3">
      <c r="A3826" s="1" t="str">
        <f t="shared" si="716"/>
        <v>59829</v>
      </c>
      <c r="B3826" s="1" t="s">
        <v>47</v>
      </c>
      <c r="C3826" s="1" t="s">
        <v>48</v>
      </c>
      <c r="D3826" s="1" t="str">
        <f t="shared" si="717"/>
        <v>9803</v>
      </c>
      <c r="E3826" s="1" t="s">
        <v>32</v>
      </c>
      <c r="F3826" s="1" t="str">
        <f>"1745440917"</f>
        <v>1745440917</v>
      </c>
      <c r="G3826" s="1" t="s">
        <v>33</v>
      </c>
      <c r="H3826" s="1" t="str">
        <f t="shared" si="709"/>
        <v>20220916</v>
      </c>
      <c r="I3826" s="1" t="str">
        <f>"061829"</f>
        <v>061829</v>
      </c>
      <c r="J3826" s="1" t="s">
        <v>28</v>
      </c>
      <c r="K3826" s="1" t="s">
        <v>28</v>
      </c>
      <c r="L3826" s="1" t="str">
        <f t="shared" si="713"/>
        <v>20220916</v>
      </c>
      <c r="M3826" s="1" t="str">
        <f>"063805"</f>
        <v>063805</v>
      </c>
      <c r="N3826" s="1" t="s">
        <v>34</v>
      </c>
      <c r="O3826" s="1" t="s">
        <v>34</v>
      </c>
      <c r="P3826" s="1" t="s">
        <v>55</v>
      </c>
      <c r="Q3826" s="1">
        <v>25</v>
      </c>
      <c r="R3826" s="1">
        <v>25</v>
      </c>
      <c r="S3826" s="1">
        <v>0</v>
      </c>
      <c r="T3826" s="1">
        <v>0</v>
      </c>
      <c r="U3826" s="1">
        <v>0</v>
      </c>
      <c r="V3826" s="1" t="str">
        <f t="shared" si="718"/>
        <v>里程去程</v>
      </c>
      <c r="W3826" s="1" t="str">
        <f>"0820"</f>
        <v>0820</v>
      </c>
      <c r="X3826" s="1" t="s">
        <v>35</v>
      </c>
    </row>
    <row r="3827" spans="1:24" x14ac:dyDescent="0.3">
      <c r="A3827" s="1" t="str">
        <f t="shared" si="716"/>
        <v>59829</v>
      </c>
      <c r="B3827" s="1" t="s">
        <v>47</v>
      </c>
      <c r="C3827" s="1" t="s">
        <v>48</v>
      </c>
      <c r="D3827" s="1" t="str">
        <f t="shared" si="717"/>
        <v>9803</v>
      </c>
      <c r="E3827" s="1" t="s">
        <v>32</v>
      </c>
      <c r="F3827" s="1" t="str">
        <f>"1210520165"</f>
        <v>1210520165</v>
      </c>
      <c r="G3827" s="1" t="s">
        <v>38</v>
      </c>
      <c r="H3827" s="1" t="str">
        <f t="shared" si="709"/>
        <v>20220916</v>
      </c>
      <c r="I3827" s="1" t="str">
        <f>"061832"</f>
        <v>061832</v>
      </c>
      <c r="J3827" s="1" t="s">
        <v>28</v>
      </c>
      <c r="K3827" s="1" t="s">
        <v>28</v>
      </c>
      <c r="L3827" s="1" t="str">
        <f t="shared" si="713"/>
        <v>20220916</v>
      </c>
      <c r="M3827" s="1" t="str">
        <f>"063759"</f>
        <v>063759</v>
      </c>
      <c r="N3827" s="1" t="s">
        <v>34</v>
      </c>
      <c r="O3827" s="1" t="s">
        <v>34</v>
      </c>
      <c r="P3827" s="1" t="s">
        <v>55</v>
      </c>
      <c r="Q3827" s="1">
        <v>25</v>
      </c>
      <c r="R3827" s="1">
        <v>25</v>
      </c>
      <c r="S3827" s="1">
        <v>0</v>
      </c>
      <c r="T3827" s="1">
        <v>0</v>
      </c>
      <c r="U3827" s="1">
        <v>0</v>
      </c>
      <c r="V3827" s="1" t="str">
        <f t="shared" si="718"/>
        <v>里程去程</v>
      </c>
      <c r="W3827" s="1" t="str">
        <f>"0020"</f>
        <v>0020</v>
      </c>
      <c r="X3827" s="1" t="s">
        <v>35</v>
      </c>
    </row>
    <row r="3828" spans="1:24" x14ac:dyDescent="0.3">
      <c r="A3828" s="1" t="str">
        <f t="shared" si="716"/>
        <v>59829</v>
      </c>
      <c r="B3828" s="1" t="s">
        <v>47</v>
      </c>
      <c r="C3828" s="1" t="s">
        <v>48</v>
      </c>
      <c r="D3828" s="1" t="str">
        <f t="shared" si="717"/>
        <v>9803</v>
      </c>
      <c r="E3828" s="1" t="s">
        <v>32</v>
      </c>
      <c r="F3828" s="1" t="str">
        <f>"399632657"</f>
        <v>399632657</v>
      </c>
      <c r="G3828" s="1" t="s">
        <v>33</v>
      </c>
      <c r="H3828" s="1" t="str">
        <f t="shared" si="709"/>
        <v>20220916</v>
      </c>
      <c r="I3828" s="1" t="str">
        <f>"061835"</f>
        <v>061835</v>
      </c>
      <c r="J3828" s="1" t="s">
        <v>28</v>
      </c>
      <c r="K3828" s="1" t="s">
        <v>28</v>
      </c>
      <c r="L3828" s="1" t="str">
        <f t="shared" si="713"/>
        <v>20220916</v>
      </c>
      <c r="M3828" s="1" t="str">
        <f>"063810"</f>
        <v>063810</v>
      </c>
      <c r="N3828" s="1" t="s">
        <v>34</v>
      </c>
      <c r="O3828" s="1" t="s">
        <v>34</v>
      </c>
      <c r="P3828" s="1" t="s">
        <v>55</v>
      </c>
      <c r="Q3828" s="1">
        <v>25</v>
      </c>
      <c r="R3828" s="1">
        <v>25</v>
      </c>
      <c r="S3828" s="1">
        <v>0</v>
      </c>
      <c r="T3828" s="1">
        <v>0</v>
      </c>
      <c r="U3828" s="1">
        <v>0</v>
      </c>
      <c r="V3828" s="1" t="str">
        <f t="shared" si="718"/>
        <v>里程去程</v>
      </c>
      <c r="W3828" s="1" t="str">
        <f>"0220"</f>
        <v>0220</v>
      </c>
      <c r="X3828" s="1" t="s">
        <v>35</v>
      </c>
    </row>
    <row r="3829" spans="1:24" x14ac:dyDescent="0.3">
      <c r="A3829" s="1" t="str">
        <f t="shared" si="716"/>
        <v>59829</v>
      </c>
      <c r="B3829" s="1" t="s">
        <v>47</v>
      </c>
      <c r="C3829" s="1" t="s">
        <v>48</v>
      </c>
      <c r="D3829" s="1" t="str">
        <f t="shared" si="717"/>
        <v>9803</v>
      </c>
      <c r="E3829" s="1" t="s">
        <v>32</v>
      </c>
      <c r="F3829" s="1" t="str">
        <f>"1738578256"</f>
        <v>1738578256</v>
      </c>
      <c r="G3829" s="1" t="s">
        <v>33</v>
      </c>
      <c r="H3829" s="1" t="str">
        <f t="shared" si="709"/>
        <v>20220916</v>
      </c>
      <c r="I3829" s="1" t="str">
        <f>"061841"</f>
        <v>061841</v>
      </c>
      <c r="J3829" s="1" t="s">
        <v>28</v>
      </c>
      <c r="K3829" s="1" t="s">
        <v>28</v>
      </c>
      <c r="L3829" s="1" t="str">
        <f t="shared" si="713"/>
        <v>20220916</v>
      </c>
      <c r="M3829" s="1" t="str">
        <f>"063755"</f>
        <v>063755</v>
      </c>
      <c r="N3829" s="1" t="s">
        <v>34</v>
      </c>
      <c r="O3829" s="1" t="s">
        <v>34</v>
      </c>
      <c r="P3829" s="1" t="s">
        <v>55</v>
      </c>
      <c r="Q3829" s="1">
        <v>25</v>
      </c>
      <c r="R3829" s="1">
        <v>25</v>
      </c>
      <c r="S3829" s="1">
        <v>0</v>
      </c>
      <c r="T3829" s="1">
        <v>0</v>
      </c>
      <c r="U3829" s="1">
        <v>0</v>
      </c>
      <c r="V3829" s="1" t="str">
        <f t="shared" si="718"/>
        <v>里程去程</v>
      </c>
      <c r="W3829" s="1" t="str">
        <f>"0120"</f>
        <v>0120</v>
      </c>
      <c r="X3829" s="1" t="s">
        <v>35</v>
      </c>
    </row>
    <row r="3830" spans="1:24" x14ac:dyDescent="0.3">
      <c r="A3830" s="1" t="str">
        <f t="shared" si="716"/>
        <v>59829</v>
      </c>
      <c r="B3830" s="1" t="s">
        <v>47</v>
      </c>
      <c r="C3830" s="1" t="s">
        <v>48</v>
      </c>
      <c r="D3830" s="1" t="str">
        <f t="shared" si="717"/>
        <v>9803</v>
      </c>
      <c r="E3830" s="1" t="s">
        <v>32</v>
      </c>
      <c r="F3830" s="1" t="str">
        <f>"1260119269"</f>
        <v>1260119269</v>
      </c>
      <c r="G3830" s="1" t="s">
        <v>38</v>
      </c>
      <c r="H3830" s="1" t="str">
        <f t="shared" si="709"/>
        <v>20220916</v>
      </c>
      <c r="I3830" s="1" t="str">
        <f>"061849"</f>
        <v>061849</v>
      </c>
      <c r="J3830" s="1" t="s">
        <v>28</v>
      </c>
      <c r="K3830" s="1" t="s">
        <v>28</v>
      </c>
      <c r="L3830" s="1" t="str">
        <f t="shared" si="713"/>
        <v>20220916</v>
      </c>
      <c r="M3830" s="1" t="str">
        <f>"063820"</f>
        <v>063820</v>
      </c>
      <c r="N3830" s="1" t="s">
        <v>34</v>
      </c>
      <c r="O3830" s="1" t="s">
        <v>34</v>
      </c>
      <c r="P3830" s="1" t="s">
        <v>55</v>
      </c>
      <c r="Q3830" s="1">
        <v>25</v>
      </c>
      <c r="R3830" s="1">
        <v>25</v>
      </c>
      <c r="S3830" s="1">
        <v>0</v>
      </c>
      <c r="T3830" s="1">
        <v>0</v>
      </c>
      <c r="U3830" s="1">
        <v>0</v>
      </c>
      <c r="V3830" s="1" t="str">
        <f t="shared" si="718"/>
        <v>里程去程</v>
      </c>
      <c r="W3830" s="1" t="str">
        <f>"0020"</f>
        <v>0020</v>
      </c>
      <c r="X3830" s="1" t="s">
        <v>35</v>
      </c>
    </row>
    <row r="3831" spans="1:24" x14ac:dyDescent="0.3">
      <c r="A3831" s="1" t="str">
        <f t="shared" si="716"/>
        <v>59829</v>
      </c>
      <c r="B3831" s="1" t="s">
        <v>47</v>
      </c>
      <c r="C3831" s="1" t="s">
        <v>48</v>
      </c>
      <c r="D3831" s="1" t="str">
        <f t="shared" si="717"/>
        <v>9803</v>
      </c>
      <c r="E3831" s="1" t="s">
        <v>32</v>
      </c>
      <c r="F3831" s="1" t="str">
        <f>"9517171003120357"</f>
        <v>9517171003120357</v>
      </c>
      <c r="G3831" s="1" t="s">
        <v>33</v>
      </c>
      <c r="H3831" s="1" t="str">
        <f t="shared" si="709"/>
        <v>20220916</v>
      </c>
      <c r="I3831" s="1" t="str">
        <f>"061854"</f>
        <v>061854</v>
      </c>
      <c r="J3831" s="1" t="s">
        <v>28</v>
      </c>
      <c r="K3831" s="1" t="s">
        <v>28</v>
      </c>
      <c r="L3831" s="1" t="str">
        <f t="shared" si="713"/>
        <v>20220916</v>
      </c>
      <c r="M3831" s="1" t="str">
        <f>"063807"</f>
        <v>063807</v>
      </c>
      <c r="N3831" s="1" t="s">
        <v>34</v>
      </c>
      <c r="O3831" s="1" t="s">
        <v>34</v>
      </c>
      <c r="P3831" s="1" t="s">
        <v>55</v>
      </c>
      <c r="Q3831" s="1">
        <v>25</v>
      </c>
      <c r="R3831" s="1">
        <v>25</v>
      </c>
      <c r="S3831" s="1">
        <v>0</v>
      </c>
      <c r="T3831" s="1">
        <v>0</v>
      </c>
      <c r="U3831" s="1">
        <v>0</v>
      </c>
      <c r="V3831" s="1" t="str">
        <f t="shared" si="718"/>
        <v>里程去程</v>
      </c>
      <c r="W3831" s="1" t="str">
        <f>"013B"</f>
        <v>013B</v>
      </c>
      <c r="X3831" s="1" t="s">
        <v>109</v>
      </c>
    </row>
    <row r="3832" spans="1:24" x14ac:dyDescent="0.3">
      <c r="A3832" s="1" t="str">
        <f t="shared" si="716"/>
        <v>59829</v>
      </c>
      <c r="B3832" s="1" t="s">
        <v>47</v>
      </c>
      <c r="C3832" s="1" t="s">
        <v>48</v>
      </c>
      <c r="D3832" s="1" t="str">
        <f t="shared" si="717"/>
        <v>9803</v>
      </c>
      <c r="E3832" s="1" t="s">
        <v>32</v>
      </c>
      <c r="F3832" s="1" t="str">
        <f>"2494986964"</f>
        <v>2494986964</v>
      </c>
      <c r="G3832" s="1" t="s">
        <v>33</v>
      </c>
      <c r="H3832" s="1" t="str">
        <f t="shared" si="709"/>
        <v>20220916</v>
      </c>
      <c r="I3832" s="1" t="str">
        <f>"061915"</f>
        <v>061915</v>
      </c>
      <c r="J3832" s="1" t="s">
        <v>28</v>
      </c>
      <c r="K3832" s="1" t="s">
        <v>28</v>
      </c>
      <c r="L3832" s="1" t="str">
        <f t="shared" si="713"/>
        <v>20220916</v>
      </c>
      <c r="M3832" s="1" t="str">
        <f>"063802"</f>
        <v>063802</v>
      </c>
      <c r="N3832" s="1" t="s">
        <v>34</v>
      </c>
      <c r="O3832" s="1" t="s">
        <v>34</v>
      </c>
      <c r="P3832" s="1" t="s">
        <v>55</v>
      </c>
      <c r="Q3832" s="1">
        <v>25</v>
      </c>
      <c r="R3832" s="1">
        <v>25</v>
      </c>
      <c r="S3832" s="1">
        <v>0</v>
      </c>
      <c r="T3832" s="1">
        <v>0</v>
      </c>
      <c r="U3832" s="1">
        <v>0</v>
      </c>
      <c r="V3832" s="1" t="str">
        <f t="shared" si="718"/>
        <v>里程去程</v>
      </c>
      <c r="W3832" s="1" t="str">
        <f>"0620"</f>
        <v>0620</v>
      </c>
      <c r="X3832" s="1" t="s">
        <v>35</v>
      </c>
    </row>
    <row r="3833" spans="1:24" x14ac:dyDescent="0.3">
      <c r="A3833" s="1" t="str">
        <f t="shared" si="716"/>
        <v>59829</v>
      </c>
      <c r="B3833" s="1" t="s">
        <v>47</v>
      </c>
      <c r="C3833" s="1" t="s">
        <v>48</v>
      </c>
      <c r="D3833" s="1" t="str">
        <f t="shared" ref="D3833:D3845" si="719">"9806"</f>
        <v>9806</v>
      </c>
      <c r="E3833" s="1" t="s">
        <v>49</v>
      </c>
      <c r="F3833" s="1" t="str">
        <f>"7111220514006728"</f>
        <v>7111220514006728</v>
      </c>
      <c r="G3833" s="1" t="s">
        <v>33</v>
      </c>
      <c r="H3833" s="1" t="str">
        <f t="shared" si="709"/>
        <v>20220916</v>
      </c>
      <c r="I3833" s="1" t="str">
        <f>"072807"</f>
        <v>072807</v>
      </c>
      <c r="J3833" s="1" t="s">
        <v>28</v>
      </c>
      <c r="K3833" s="1" t="s">
        <v>28</v>
      </c>
      <c r="L3833" s="1" t="str">
        <f t="shared" si="713"/>
        <v>20220916</v>
      </c>
      <c r="M3833" s="1" t="str">
        <f>"074543"</f>
        <v>074543</v>
      </c>
      <c r="N3833" s="1" t="s">
        <v>99</v>
      </c>
      <c r="O3833" s="1" t="s">
        <v>28</v>
      </c>
      <c r="P3833" s="1" t="s">
        <v>55</v>
      </c>
      <c r="Q3833" s="1">
        <v>25</v>
      </c>
      <c r="R3833" s="1">
        <v>25</v>
      </c>
      <c r="S3833" s="1">
        <v>0</v>
      </c>
      <c r="T3833" s="1">
        <v>0</v>
      </c>
      <c r="U3833" s="1">
        <v>0</v>
      </c>
      <c r="V3833" s="1" t="str">
        <f t="shared" ref="V3833:V3845" si="720">"里程返程"</f>
        <v>里程返程</v>
      </c>
      <c r="W3833" s="1" t="str">
        <f>"088B"</f>
        <v>088B</v>
      </c>
      <c r="X3833" s="1" t="s">
        <v>109</v>
      </c>
    </row>
    <row r="3834" spans="1:24" x14ac:dyDescent="0.3">
      <c r="A3834" s="1" t="str">
        <f t="shared" si="716"/>
        <v>59829</v>
      </c>
      <c r="B3834" s="1" t="s">
        <v>47</v>
      </c>
      <c r="C3834" s="1" t="s">
        <v>48</v>
      </c>
      <c r="D3834" s="1" t="str">
        <f t="shared" si="719"/>
        <v>9806</v>
      </c>
      <c r="E3834" s="1" t="s">
        <v>49</v>
      </c>
      <c r="F3834" s="1" t="str">
        <f>"22861B13AC28040080CED9985D913018"</f>
        <v>22861B13AC28040080CED9985D913018</v>
      </c>
      <c r="G3834" s="1" t="s">
        <v>58</v>
      </c>
      <c r="H3834" s="1" t="str">
        <f t="shared" si="709"/>
        <v>20220916</v>
      </c>
      <c r="I3834" s="1" t="str">
        <f>"072809"</f>
        <v>072809</v>
      </c>
      <c r="J3834" s="1" t="s">
        <v>28</v>
      </c>
      <c r="K3834" s="1" t="s">
        <v>28</v>
      </c>
      <c r="L3834" s="1" t="str">
        <f t="shared" si="713"/>
        <v>20220916</v>
      </c>
      <c r="M3834" s="1" t="str">
        <f>"073813"</f>
        <v>073813</v>
      </c>
      <c r="N3834" s="1" t="s">
        <v>63</v>
      </c>
      <c r="O3834" s="1" t="s">
        <v>28</v>
      </c>
      <c r="P3834" s="1" t="s">
        <v>55</v>
      </c>
      <c r="Q3834" s="1">
        <v>25</v>
      </c>
      <c r="R3834" s="1">
        <v>0</v>
      </c>
      <c r="S3834" s="1">
        <v>25</v>
      </c>
      <c r="T3834" s="1">
        <v>0</v>
      </c>
      <c r="U3834" s="1">
        <v>0</v>
      </c>
      <c r="V3834" s="1" t="str">
        <f t="shared" si="720"/>
        <v>里程返程</v>
      </c>
      <c r="W3834" s="1" t="str">
        <f>"0620"</f>
        <v>0620</v>
      </c>
      <c r="X3834" s="1" t="s">
        <v>29</v>
      </c>
    </row>
    <row r="3835" spans="1:24" x14ac:dyDescent="0.3">
      <c r="A3835" s="1" t="str">
        <f t="shared" si="716"/>
        <v>59829</v>
      </c>
      <c r="B3835" s="1" t="s">
        <v>47</v>
      </c>
      <c r="C3835" s="1" t="s">
        <v>48</v>
      </c>
      <c r="D3835" s="1" t="str">
        <f t="shared" si="719"/>
        <v>9806</v>
      </c>
      <c r="E3835" s="1" t="s">
        <v>49</v>
      </c>
      <c r="F3835" s="1" t="str">
        <f>"1697487813"</f>
        <v>1697487813</v>
      </c>
      <c r="G3835" s="1" t="s">
        <v>33</v>
      </c>
      <c r="H3835" s="1" t="str">
        <f t="shared" si="709"/>
        <v>20220916</v>
      </c>
      <c r="I3835" s="1" t="str">
        <f>"072812"</f>
        <v>072812</v>
      </c>
      <c r="J3835" s="1" t="s">
        <v>28</v>
      </c>
      <c r="K3835" s="1" t="s">
        <v>28</v>
      </c>
      <c r="L3835" s="1" t="str">
        <f t="shared" si="713"/>
        <v>20220916</v>
      </c>
      <c r="M3835" s="1" t="str">
        <f>"074550"</f>
        <v>074550</v>
      </c>
      <c r="N3835" s="1" t="s">
        <v>99</v>
      </c>
      <c r="O3835" s="1" t="s">
        <v>28</v>
      </c>
      <c r="P3835" s="1" t="s">
        <v>55</v>
      </c>
      <c r="Q3835" s="1">
        <v>25</v>
      </c>
      <c r="R3835" s="1">
        <v>0</v>
      </c>
      <c r="S3835" s="1">
        <v>25</v>
      </c>
      <c r="T3835" s="1">
        <v>0</v>
      </c>
      <c r="U3835" s="1">
        <v>0</v>
      </c>
      <c r="V3835" s="1" t="str">
        <f t="shared" si="720"/>
        <v>里程返程</v>
      </c>
      <c r="W3835" s="1" t="str">
        <f>"0820"</f>
        <v>0820</v>
      </c>
      <c r="X3835" s="1" t="s">
        <v>35</v>
      </c>
    </row>
    <row r="3836" spans="1:24" x14ac:dyDescent="0.3">
      <c r="A3836" s="1" t="str">
        <f t="shared" si="716"/>
        <v>59829</v>
      </c>
      <c r="B3836" s="1" t="s">
        <v>47</v>
      </c>
      <c r="C3836" s="1" t="s">
        <v>48</v>
      </c>
      <c r="D3836" s="1" t="str">
        <f t="shared" si="719"/>
        <v>9806</v>
      </c>
      <c r="E3836" s="1" t="s">
        <v>49</v>
      </c>
      <c r="F3836" s="1" t="str">
        <f>"7511161863006423"</f>
        <v>7511161863006423</v>
      </c>
      <c r="G3836" s="1" t="s">
        <v>33</v>
      </c>
      <c r="H3836" s="1" t="str">
        <f t="shared" si="709"/>
        <v>20220916</v>
      </c>
      <c r="I3836" s="1" t="str">
        <f>"072815"</f>
        <v>072815</v>
      </c>
      <c r="J3836" s="1" t="s">
        <v>28</v>
      </c>
      <c r="K3836" s="1" t="s">
        <v>28</v>
      </c>
      <c r="L3836" s="1" t="str">
        <f t="shared" si="713"/>
        <v>20220916</v>
      </c>
      <c r="M3836" s="1" t="str">
        <f>"074539"</f>
        <v>074539</v>
      </c>
      <c r="N3836" s="1" t="s">
        <v>99</v>
      </c>
      <c r="O3836" s="1" t="s">
        <v>28</v>
      </c>
      <c r="P3836" s="1" t="s">
        <v>55</v>
      </c>
      <c r="Q3836" s="1">
        <v>25</v>
      </c>
      <c r="R3836" s="1">
        <v>25</v>
      </c>
      <c r="S3836" s="1">
        <v>0</v>
      </c>
      <c r="T3836" s="1">
        <v>0</v>
      </c>
      <c r="U3836" s="1">
        <v>0</v>
      </c>
      <c r="V3836" s="1" t="str">
        <f t="shared" si="720"/>
        <v>里程返程</v>
      </c>
      <c r="W3836" s="1" t="str">
        <f>"088B"</f>
        <v>088B</v>
      </c>
      <c r="X3836" s="1" t="s">
        <v>109</v>
      </c>
    </row>
    <row r="3837" spans="1:24" x14ac:dyDescent="0.3">
      <c r="A3837" s="1" t="str">
        <f t="shared" si="716"/>
        <v>59829</v>
      </c>
      <c r="B3837" s="1" t="s">
        <v>47</v>
      </c>
      <c r="C3837" s="1" t="s">
        <v>48</v>
      </c>
      <c r="D3837" s="1" t="str">
        <f t="shared" si="719"/>
        <v>9806</v>
      </c>
      <c r="E3837" s="1" t="s">
        <v>49</v>
      </c>
      <c r="F3837" s="1" t="str">
        <f>"652006485"</f>
        <v>652006485</v>
      </c>
      <c r="G3837" s="1" t="s">
        <v>33</v>
      </c>
      <c r="H3837" s="1" t="str">
        <f t="shared" ref="H3837:H3904" si="721">"20220916"</f>
        <v>20220916</v>
      </c>
      <c r="I3837" s="1" t="str">
        <f>"072818"</f>
        <v>072818</v>
      </c>
      <c r="J3837" s="1" t="s">
        <v>28</v>
      </c>
      <c r="K3837" s="1" t="s">
        <v>28</v>
      </c>
      <c r="L3837" s="1" t="str">
        <f t="shared" si="713"/>
        <v>20220916</v>
      </c>
      <c r="M3837" s="1" t="str">
        <f>"073809"</f>
        <v>073809</v>
      </c>
      <c r="N3837" s="1" t="s">
        <v>63</v>
      </c>
      <c r="O3837" s="1" t="s">
        <v>28</v>
      </c>
      <c r="P3837" s="1" t="s">
        <v>55</v>
      </c>
      <c r="Q3837" s="1">
        <v>25</v>
      </c>
      <c r="R3837" s="1">
        <v>0</v>
      </c>
      <c r="S3837" s="1">
        <v>25</v>
      </c>
      <c r="T3837" s="1">
        <v>0</v>
      </c>
      <c r="U3837" s="1">
        <v>0</v>
      </c>
      <c r="V3837" s="1" t="str">
        <f t="shared" si="720"/>
        <v>里程返程</v>
      </c>
      <c r="W3837" s="1" t="str">
        <f>"0820"</f>
        <v>0820</v>
      </c>
      <c r="X3837" s="1" t="s">
        <v>35</v>
      </c>
    </row>
    <row r="3838" spans="1:24" x14ac:dyDescent="0.3">
      <c r="A3838" s="1" t="str">
        <f t="shared" si="716"/>
        <v>59829</v>
      </c>
      <c r="B3838" s="1" t="s">
        <v>47</v>
      </c>
      <c r="C3838" s="1" t="s">
        <v>48</v>
      </c>
      <c r="D3838" s="1" t="str">
        <f t="shared" si="719"/>
        <v>9806</v>
      </c>
      <c r="E3838" s="1" t="s">
        <v>49</v>
      </c>
      <c r="F3838" s="1" t="str">
        <f>"126D55163C880400C814002000000019"</f>
        <v>126D55163C880400C814002000000019</v>
      </c>
      <c r="G3838" s="1" t="s">
        <v>59</v>
      </c>
      <c r="H3838" s="1" t="str">
        <f t="shared" si="721"/>
        <v>20220916</v>
      </c>
      <c r="I3838" s="1" t="str">
        <f>"072821"</f>
        <v>072821</v>
      </c>
      <c r="J3838" s="1" t="s">
        <v>28</v>
      </c>
      <c r="K3838" s="1" t="s">
        <v>28</v>
      </c>
      <c r="L3838" s="1" t="str">
        <f t="shared" si="713"/>
        <v>20220916</v>
      </c>
      <c r="M3838" s="1" t="str">
        <f>"073827"</f>
        <v>073827</v>
      </c>
      <c r="N3838" s="1" t="s">
        <v>63</v>
      </c>
      <c r="O3838" s="1" t="s">
        <v>28</v>
      </c>
      <c r="P3838" s="1" t="s">
        <v>55</v>
      </c>
      <c r="Q3838" s="1">
        <v>25</v>
      </c>
      <c r="R3838" s="1">
        <v>0</v>
      </c>
      <c r="S3838" s="1">
        <v>25</v>
      </c>
      <c r="T3838" s="1">
        <v>0</v>
      </c>
      <c r="U3838" s="1">
        <v>0</v>
      </c>
      <c r="V3838" s="1" t="str">
        <f t="shared" si="720"/>
        <v>里程返程</v>
      </c>
      <c r="W3838" s="1" t="str">
        <f>"0620"</f>
        <v>0620</v>
      </c>
      <c r="X3838" s="1" t="s">
        <v>29</v>
      </c>
    </row>
    <row r="3839" spans="1:24" x14ac:dyDescent="0.3">
      <c r="A3839" s="1" t="str">
        <f t="shared" si="716"/>
        <v>59829</v>
      </c>
      <c r="B3839" s="1" t="s">
        <v>47</v>
      </c>
      <c r="C3839" s="1" t="s">
        <v>48</v>
      </c>
      <c r="D3839" s="1" t="str">
        <f t="shared" si="719"/>
        <v>9806</v>
      </c>
      <c r="E3839" s="1" t="s">
        <v>49</v>
      </c>
      <c r="F3839" s="1" t="str">
        <f>"62C93D1680880400C814002000000019"</f>
        <v>62C93D1680880400C814002000000019</v>
      </c>
      <c r="G3839" s="1" t="s">
        <v>59</v>
      </c>
      <c r="H3839" s="1" t="str">
        <f t="shared" si="721"/>
        <v>20220916</v>
      </c>
      <c r="I3839" s="1" t="str">
        <f>"072823"</f>
        <v>072823</v>
      </c>
      <c r="J3839" s="1" t="s">
        <v>28</v>
      </c>
      <c r="K3839" s="1" t="s">
        <v>28</v>
      </c>
      <c r="L3839" s="1" t="str">
        <f t="shared" si="713"/>
        <v>20220916</v>
      </c>
      <c r="M3839" s="1" t="str">
        <f>"073815"</f>
        <v>073815</v>
      </c>
      <c r="N3839" s="1" t="s">
        <v>63</v>
      </c>
      <c r="O3839" s="1" t="s">
        <v>28</v>
      </c>
      <c r="P3839" s="1" t="s">
        <v>55</v>
      </c>
      <c r="Q3839" s="1">
        <v>25</v>
      </c>
      <c r="R3839" s="1">
        <v>0</v>
      </c>
      <c r="S3839" s="1">
        <v>25</v>
      </c>
      <c r="T3839" s="1">
        <v>0</v>
      </c>
      <c r="U3839" s="1">
        <v>0</v>
      </c>
      <c r="V3839" s="1" t="str">
        <f t="shared" si="720"/>
        <v>里程返程</v>
      </c>
      <c r="W3839" s="1" t="str">
        <f>"0620"</f>
        <v>0620</v>
      </c>
      <c r="X3839" s="1" t="s">
        <v>29</v>
      </c>
    </row>
    <row r="3840" spans="1:24" x14ac:dyDescent="0.3">
      <c r="A3840" s="1" t="str">
        <f t="shared" si="716"/>
        <v>59829</v>
      </c>
      <c r="B3840" s="1" t="s">
        <v>47</v>
      </c>
      <c r="C3840" s="1" t="s">
        <v>48</v>
      </c>
      <c r="D3840" s="1" t="str">
        <f t="shared" si="719"/>
        <v>9806</v>
      </c>
      <c r="E3840" s="1" t="s">
        <v>49</v>
      </c>
      <c r="F3840" s="1" t="str">
        <f>"927551509"</f>
        <v>927551509</v>
      </c>
      <c r="G3840" s="1" t="s">
        <v>38</v>
      </c>
      <c r="H3840" s="1" t="str">
        <f t="shared" si="721"/>
        <v>20220916</v>
      </c>
      <c r="I3840" s="1" t="str">
        <f>"072825"</f>
        <v>072825</v>
      </c>
      <c r="J3840" s="1" t="s">
        <v>28</v>
      </c>
      <c r="K3840" s="1" t="s">
        <v>28</v>
      </c>
      <c r="L3840" s="1" t="str">
        <f t="shared" si="713"/>
        <v>20220916</v>
      </c>
      <c r="M3840" s="1" t="str">
        <f>"073824"</f>
        <v>073824</v>
      </c>
      <c r="N3840" s="1" t="s">
        <v>63</v>
      </c>
      <c r="O3840" s="1" t="s">
        <v>28</v>
      </c>
      <c r="P3840" s="1" t="s">
        <v>55</v>
      </c>
      <c r="Q3840" s="1">
        <v>25</v>
      </c>
      <c r="R3840" s="1">
        <v>0</v>
      </c>
      <c r="S3840" s="1">
        <v>25</v>
      </c>
      <c r="T3840" s="1">
        <v>0</v>
      </c>
      <c r="U3840" s="1">
        <v>0</v>
      </c>
      <c r="V3840" s="1" t="str">
        <f t="shared" si="720"/>
        <v>里程返程</v>
      </c>
      <c r="W3840" s="1" t="str">
        <f>"0820"</f>
        <v>0820</v>
      </c>
      <c r="X3840" s="1" t="s">
        <v>35</v>
      </c>
    </row>
    <row r="3841" spans="1:24" x14ac:dyDescent="0.3">
      <c r="A3841" s="1" t="str">
        <f t="shared" si="716"/>
        <v>59829</v>
      </c>
      <c r="B3841" s="1" t="s">
        <v>47</v>
      </c>
      <c r="C3841" s="1" t="s">
        <v>48</v>
      </c>
      <c r="D3841" s="1" t="str">
        <f t="shared" si="719"/>
        <v>9806</v>
      </c>
      <c r="E3841" s="1" t="s">
        <v>49</v>
      </c>
      <c r="F3841" s="1" t="str">
        <f>"D2B4601610880400C814002000000019"</f>
        <v>D2B4601610880400C814002000000019</v>
      </c>
      <c r="G3841" s="1" t="s">
        <v>59</v>
      </c>
      <c r="H3841" s="1" t="str">
        <f t="shared" si="721"/>
        <v>20220916</v>
      </c>
      <c r="I3841" s="1" t="str">
        <f>"072835"</f>
        <v>072835</v>
      </c>
      <c r="J3841" s="1" t="s">
        <v>28</v>
      </c>
      <c r="K3841" s="1" t="s">
        <v>28</v>
      </c>
      <c r="L3841" s="1" t="str">
        <f t="shared" si="713"/>
        <v>20220916</v>
      </c>
      <c r="M3841" s="1" t="str">
        <f>"073829"</f>
        <v>073829</v>
      </c>
      <c r="N3841" s="1" t="s">
        <v>63</v>
      </c>
      <c r="O3841" s="1" t="s">
        <v>28</v>
      </c>
      <c r="P3841" s="1" t="s">
        <v>55</v>
      </c>
      <c r="Q3841" s="1">
        <v>25</v>
      </c>
      <c r="R3841" s="1">
        <v>0</v>
      </c>
      <c r="S3841" s="1">
        <v>25</v>
      </c>
      <c r="T3841" s="1">
        <v>0</v>
      </c>
      <c r="U3841" s="1">
        <v>0</v>
      </c>
      <c r="V3841" s="1" t="str">
        <f t="shared" si="720"/>
        <v>里程返程</v>
      </c>
      <c r="W3841" s="1" t="str">
        <f>"0620"</f>
        <v>0620</v>
      </c>
      <c r="X3841" s="1" t="s">
        <v>29</v>
      </c>
    </row>
    <row r="3842" spans="1:24" x14ac:dyDescent="0.3">
      <c r="A3842" s="1" t="str">
        <f t="shared" si="716"/>
        <v>59829</v>
      </c>
      <c r="B3842" s="1" t="s">
        <v>47</v>
      </c>
      <c r="C3842" s="1" t="s">
        <v>48</v>
      </c>
      <c r="D3842" s="1" t="str">
        <f t="shared" si="719"/>
        <v>9806</v>
      </c>
      <c r="E3842" s="1" t="s">
        <v>49</v>
      </c>
      <c r="F3842" s="1" t="str">
        <f>"F238370AF7880400C810002000000016"</f>
        <v>F238370AF7880400C810002000000016</v>
      </c>
      <c r="G3842" s="1" t="s">
        <v>59</v>
      </c>
      <c r="H3842" s="1" t="str">
        <f t="shared" si="721"/>
        <v>20220916</v>
      </c>
      <c r="I3842" s="1" t="str">
        <f>"072837"</f>
        <v>072837</v>
      </c>
      <c r="J3842" s="1" t="s">
        <v>28</v>
      </c>
      <c r="K3842" s="1" t="s">
        <v>28</v>
      </c>
      <c r="L3842" s="1" t="str">
        <f t="shared" si="713"/>
        <v>20220916</v>
      </c>
      <c r="M3842" s="1" t="str">
        <f>"073821"</f>
        <v>073821</v>
      </c>
      <c r="N3842" s="1" t="s">
        <v>63</v>
      </c>
      <c r="O3842" s="1" t="s">
        <v>28</v>
      </c>
      <c r="P3842" s="1" t="s">
        <v>55</v>
      </c>
      <c r="Q3842" s="1">
        <v>25</v>
      </c>
      <c r="R3842" s="1">
        <v>0</v>
      </c>
      <c r="S3842" s="1">
        <v>25</v>
      </c>
      <c r="T3842" s="1">
        <v>0</v>
      </c>
      <c r="U3842" s="1">
        <v>0</v>
      </c>
      <c r="V3842" s="1" t="str">
        <f t="shared" si="720"/>
        <v>里程返程</v>
      </c>
      <c r="W3842" s="1" t="str">
        <f>"0620"</f>
        <v>0620</v>
      </c>
      <c r="X3842" s="1" t="s">
        <v>29</v>
      </c>
    </row>
    <row r="3843" spans="1:24" x14ac:dyDescent="0.3">
      <c r="A3843" s="1" t="str">
        <f t="shared" si="716"/>
        <v>59829</v>
      </c>
      <c r="B3843" s="1" t="s">
        <v>47</v>
      </c>
      <c r="C3843" s="1" t="s">
        <v>48</v>
      </c>
      <c r="D3843" s="1" t="str">
        <f t="shared" si="719"/>
        <v>9806</v>
      </c>
      <c r="E3843" s="1" t="s">
        <v>49</v>
      </c>
      <c r="F3843" s="1" t="str">
        <f>"22C8DE1B2F880400C822002000000021"</f>
        <v>22C8DE1B2F880400C822002000000021</v>
      </c>
      <c r="G3843" s="1" t="s">
        <v>58</v>
      </c>
      <c r="H3843" s="1" t="str">
        <f t="shared" si="721"/>
        <v>20220916</v>
      </c>
      <c r="I3843" s="1" t="str">
        <f>"072844"</f>
        <v>072844</v>
      </c>
      <c r="J3843" s="1" t="s">
        <v>28</v>
      </c>
      <c r="K3843" s="1" t="s">
        <v>28</v>
      </c>
      <c r="L3843" s="1" t="str">
        <f t="shared" si="713"/>
        <v>20220916</v>
      </c>
      <c r="M3843" s="1" t="str">
        <f>"074557"</f>
        <v>074557</v>
      </c>
      <c r="N3843" s="1" t="s">
        <v>99</v>
      </c>
      <c r="O3843" s="1" t="s">
        <v>28</v>
      </c>
      <c r="P3843" s="1" t="s">
        <v>55</v>
      </c>
      <c r="Q3843" s="1">
        <v>25</v>
      </c>
      <c r="R3843" s="1">
        <v>0</v>
      </c>
      <c r="S3843" s="1">
        <v>25</v>
      </c>
      <c r="T3843" s="1">
        <v>0</v>
      </c>
      <c r="U3843" s="1">
        <v>0</v>
      </c>
      <c r="V3843" s="1" t="str">
        <f t="shared" si="720"/>
        <v>里程返程</v>
      </c>
      <c r="W3843" s="1" t="str">
        <f>"0620"</f>
        <v>0620</v>
      </c>
      <c r="X3843" s="1" t="s">
        <v>29</v>
      </c>
    </row>
    <row r="3844" spans="1:24" x14ac:dyDescent="0.3">
      <c r="A3844" s="1" t="str">
        <f t="shared" si="716"/>
        <v>59829</v>
      </c>
      <c r="B3844" s="1" t="s">
        <v>47</v>
      </c>
      <c r="C3844" s="1" t="s">
        <v>48</v>
      </c>
      <c r="D3844" s="1" t="str">
        <f t="shared" si="719"/>
        <v>9806</v>
      </c>
      <c r="E3844" s="1" t="s">
        <v>49</v>
      </c>
      <c r="F3844" s="1" t="str">
        <f>"1202E702F5880400C834002000000015"</f>
        <v>1202E702F5880400C834002000000015</v>
      </c>
      <c r="G3844" s="1" t="s">
        <v>74</v>
      </c>
      <c r="H3844" s="1" t="str">
        <f t="shared" si="721"/>
        <v>20220916</v>
      </c>
      <c r="I3844" s="1" t="str">
        <f>"073319"</f>
        <v>073319</v>
      </c>
      <c r="J3844" s="1" t="s">
        <v>101</v>
      </c>
      <c r="K3844" s="1" t="s">
        <v>28</v>
      </c>
      <c r="L3844" s="1" t="str">
        <f t="shared" si="713"/>
        <v>20220916</v>
      </c>
      <c r="M3844" s="1" t="str">
        <f>"074600"</f>
        <v>074600</v>
      </c>
      <c r="N3844" s="1" t="s">
        <v>99</v>
      </c>
      <c r="O3844" s="1" t="s">
        <v>28</v>
      </c>
      <c r="P3844" s="1" t="s">
        <v>68</v>
      </c>
      <c r="Q3844" s="1">
        <v>13</v>
      </c>
      <c r="R3844" s="1">
        <v>0</v>
      </c>
      <c r="S3844" s="1">
        <v>0</v>
      </c>
      <c r="T3844" s="1">
        <v>13</v>
      </c>
      <c r="U3844" s="1">
        <v>0</v>
      </c>
      <c r="V3844" s="1" t="str">
        <f t="shared" si="720"/>
        <v>里程返程</v>
      </c>
      <c r="W3844" s="1" t="str">
        <f>"0020"</f>
        <v>0020</v>
      </c>
      <c r="X3844" s="1" t="s">
        <v>29</v>
      </c>
    </row>
    <row r="3845" spans="1:24" x14ac:dyDescent="0.3">
      <c r="A3845" s="1" t="str">
        <f t="shared" si="716"/>
        <v>59829</v>
      </c>
      <c r="B3845" s="1" t="s">
        <v>47</v>
      </c>
      <c r="C3845" s="1" t="s">
        <v>48</v>
      </c>
      <c r="D3845" s="1" t="str">
        <f t="shared" si="719"/>
        <v>9806</v>
      </c>
      <c r="E3845" s="1" t="s">
        <v>49</v>
      </c>
      <c r="F3845" s="1" t="str">
        <f>"B205E70252880400C834002000000015"</f>
        <v>B205E70252880400C834002000000015</v>
      </c>
      <c r="G3845" s="1" t="s">
        <v>74</v>
      </c>
      <c r="H3845" s="1" t="str">
        <f t="shared" si="721"/>
        <v>20220916</v>
      </c>
      <c r="I3845" s="1" t="str">
        <f>"073322"</f>
        <v>073322</v>
      </c>
      <c r="J3845" s="1" t="s">
        <v>101</v>
      </c>
      <c r="K3845" s="1" t="s">
        <v>28</v>
      </c>
      <c r="L3845" s="1" t="str">
        <f t="shared" si="713"/>
        <v>20220916</v>
      </c>
      <c r="M3845" s="1" t="str">
        <f>"074601"</f>
        <v>074601</v>
      </c>
      <c r="N3845" s="1" t="s">
        <v>99</v>
      </c>
      <c r="O3845" s="1" t="s">
        <v>28</v>
      </c>
      <c r="P3845" s="1" t="s">
        <v>68</v>
      </c>
      <c r="Q3845" s="1">
        <v>13</v>
      </c>
      <c r="R3845" s="1">
        <v>0</v>
      </c>
      <c r="S3845" s="1">
        <v>0</v>
      </c>
      <c r="T3845" s="1">
        <v>13</v>
      </c>
      <c r="U3845" s="1">
        <v>0</v>
      </c>
      <c r="V3845" s="1" t="str">
        <f t="shared" si="720"/>
        <v>里程返程</v>
      </c>
      <c r="W3845" s="1" t="str">
        <f>"0020"</f>
        <v>0020</v>
      </c>
      <c r="X3845" s="1" t="s">
        <v>29</v>
      </c>
    </row>
    <row r="3846" spans="1:24" x14ac:dyDescent="0.3">
      <c r="A3846" s="1" t="str">
        <f t="shared" si="716"/>
        <v>59829</v>
      </c>
      <c r="B3846" s="1" t="s">
        <v>47</v>
      </c>
      <c r="C3846" s="1" t="s">
        <v>48</v>
      </c>
      <c r="D3846" s="1" t="str">
        <f t="shared" ref="D3846:D3855" si="722">"9803"</f>
        <v>9803</v>
      </c>
      <c r="E3846" s="1" t="s">
        <v>32</v>
      </c>
      <c r="F3846" s="1" t="str">
        <f>"3579373032"</f>
        <v>3579373032</v>
      </c>
      <c r="G3846" s="1" t="s">
        <v>33</v>
      </c>
      <c r="H3846" s="1" t="str">
        <f t="shared" si="721"/>
        <v>20220916</v>
      </c>
      <c r="I3846" s="1" t="str">
        <f>"081157"</f>
        <v>081157</v>
      </c>
      <c r="J3846" s="1" t="s">
        <v>28</v>
      </c>
      <c r="K3846" s="1" t="s">
        <v>28</v>
      </c>
      <c r="L3846" s="1" t="str">
        <f t="shared" si="713"/>
        <v>20220916</v>
      </c>
      <c r="M3846" s="1" t="str">
        <f>"083025"</f>
        <v>083025</v>
      </c>
      <c r="N3846" s="1" t="s">
        <v>34</v>
      </c>
      <c r="O3846" s="1" t="s">
        <v>34</v>
      </c>
      <c r="P3846" s="1" t="s">
        <v>55</v>
      </c>
      <c r="Q3846" s="1">
        <v>25</v>
      </c>
      <c r="R3846" s="1">
        <v>25</v>
      </c>
      <c r="S3846" s="1">
        <v>0</v>
      </c>
      <c r="T3846" s="1">
        <v>0</v>
      </c>
      <c r="U3846" s="1">
        <v>0</v>
      </c>
      <c r="V3846" s="1" t="str">
        <f t="shared" ref="V3846:V3877" si="723">"里程去程"</f>
        <v>里程去程</v>
      </c>
      <c r="W3846" s="1" t="str">
        <f>"1420"</f>
        <v>1420</v>
      </c>
      <c r="X3846" s="1" t="s">
        <v>35</v>
      </c>
    </row>
    <row r="3847" spans="1:24" x14ac:dyDescent="0.3">
      <c r="A3847" s="1" t="str">
        <f t="shared" si="716"/>
        <v>59829</v>
      </c>
      <c r="B3847" s="1" t="s">
        <v>47</v>
      </c>
      <c r="C3847" s="1" t="s">
        <v>48</v>
      </c>
      <c r="D3847" s="1" t="str">
        <f t="shared" si="722"/>
        <v>9803</v>
      </c>
      <c r="E3847" s="1" t="s">
        <v>32</v>
      </c>
      <c r="F3847" s="1" t="str">
        <f>"787664101"</f>
        <v>787664101</v>
      </c>
      <c r="G3847" s="1" t="s">
        <v>33</v>
      </c>
      <c r="H3847" s="1" t="str">
        <f t="shared" si="721"/>
        <v>20220916</v>
      </c>
      <c r="I3847" s="1" t="str">
        <f>"081205"</f>
        <v>081205</v>
      </c>
      <c r="J3847" s="1" t="s">
        <v>28</v>
      </c>
      <c r="K3847" s="1" t="s">
        <v>28</v>
      </c>
      <c r="L3847" s="1" t="str">
        <f t="shared" si="713"/>
        <v>20220916</v>
      </c>
      <c r="M3847" s="1" t="str">
        <f>"082945"</f>
        <v>082945</v>
      </c>
      <c r="N3847" s="1" t="s">
        <v>34</v>
      </c>
      <c r="O3847" s="1" t="s">
        <v>34</v>
      </c>
      <c r="P3847" s="1" t="s">
        <v>55</v>
      </c>
      <c r="Q3847" s="1">
        <v>25</v>
      </c>
      <c r="R3847" s="1">
        <v>25</v>
      </c>
      <c r="S3847" s="1">
        <v>0</v>
      </c>
      <c r="T3847" s="1">
        <v>0</v>
      </c>
      <c r="U3847" s="1">
        <v>0</v>
      </c>
      <c r="V3847" s="1" t="str">
        <f t="shared" si="723"/>
        <v>里程去程</v>
      </c>
      <c r="W3847" s="1" t="str">
        <f>"2020"</f>
        <v>2020</v>
      </c>
      <c r="X3847" s="1" t="s">
        <v>35</v>
      </c>
    </row>
    <row r="3848" spans="1:24" x14ac:dyDescent="0.3">
      <c r="A3848" s="1" t="str">
        <f t="shared" si="716"/>
        <v>59829</v>
      </c>
      <c r="B3848" s="1" t="s">
        <v>47</v>
      </c>
      <c r="C3848" s="1" t="s">
        <v>48</v>
      </c>
      <c r="D3848" s="1" t="str">
        <f t="shared" si="722"/>
        <v>9803</v>
      </c>
      <c r="E3848" s="1" t="s">
        <v>32</v>
      </c>
      <c r="F3848" s="1" t="str">
        <f>"1032918485"</f>
        <v>1032918485</v>
      </c>
      <c r="G3848" s="1" t="s">
        <v>38</v>
      </c>
      <c r="H3848" s="1" t="str">
        <f t="shared" si="721"/>
        <v>20220916</v>
      </c>
      <c r="I3848" s="1" t="str">
        <f>"094754"</f>
        <v>094754</v>
      </c>
      <c r="J3848" s="1" t="s">
        <v>28</v>
      </c>
      <c r="K3848" s="1" t="s">
        <v>28</v>
      </c>
      <c r="L3848" s="1" t="str">
        <f t="shared" si="713"/>
        <v>20220916</v>
      </c>
      <c r="M3848" s="1" t="str">
        <f>"100826"</f>
        <v>100826</v>
      </c>
      <c r="N3848" s="1" t="s">
        <v>34</v>
      </c>
      <c r="O3848" s="1" t="s">
        <v>34</v>
      </c>
      <c r="P3848" s="1" t="s">
        <v>55</v>
      </c>
      <c r="Q3848" s="1">
        <v>25</v>
      </c>
      <c r="R3848" s="1">
        <v>25</v>
      </c>
      <c r="S3848" s="1">
        <v>0</v>
      </c>
      <c r="T3848" s="1">
        <v>0</v>
      </c>
      <c r="U3848" s="1">
        <v>0</v>
      </c>
      <c r="V3848" s="1" t="str">
        <f t="shared" si="723"/>
        <v>里程去程</v>
      </c>
      <c r="W3848" s="1" t="str">
        <f>"0e20"</f>
        <v>0e20</v>
      </c>
      <c r="X3848" s="1" t="s">
        <v>35</v>
      </c>
    </row>
    <row r="3849" spans="1:24" x14ac:dyDescent="0.3">
      <c r="A3849" s="1" t="str">
        <f t="shared" si="716"/>
        <v>59829</v>
      </c>
      <c r="B3849" s="1" t="s">
        <v>47</v>
      </c>
      <c r="C3849" s="1" t="s">
        <v>48</v>
      </c>
      <c r="D3849" s="1" t="str">
        <f t="shared" si="722"/>
        <v>9803</v>
      </c>
      <c r="E3849" s="1" t="s">
        <v>32</v>
      </c>
      <c r="F3849" s="1" t="str">
        <f>"1719566501"</f>
        <v>1719566501</v>
      </c>
      <c r="G3849" s="1" t="s">
        <v>38</v>
      </c>
      <c r="H3849" s="1" t="str">
        <f t="shared" si="721"/>
        <v>20220916</v>
      </c>
      <c r="I3849" s="1" t="str">
        <f>"094756"</f>
        <v>094756</v>
      </c>
      <c r="J3849" s="1" t="s">
        <v>28</v>
      </c>
      <c r="K3849" s="1" t="s">
        <v>28</v>
      </c>
      <c r="L3849" s="1" t="str">
        <f t="shared" si="713"/>
        <v>20220916</v>
      </c>
      <c r="M3849" s="1" t="str">
        <f>"100823"</f>
        <v>100823</v>
      </c>
      <c r="N3849" s="1" t="s">
        <v>34</v>
      </c>
      <c r="O3849" s="1" t="s">
        <v>34</v>
      </c>
      <c r="P3849" s="1" t="s">
        <v>55</v>
      </c>
      <c r="Q3849" s="1">
        <v>25</v>
      </c>
      <c r="R3849" s="1">
        <v>25</v>
      </c>
      <c r="S3849" s="1">
        <v>0</v>
      </c>
      <c r="T3849" s="1">
        <v>0</v>
      </c>
      <c r="U3849" s="1">
        <v>0</v>
      </c>
      <c r="V3849" s="1" t="str">
        <f t="shared" si="723"/>
        <v>里程去程</v>
      </c>
      <c r="W3849" s="1" t="str">
        <f>"0e20"</f>
        <v>0e20</v>
      </c>
      <c r="X3849" s="1" t="s">
        <v>35</v>
      </c>
    </row>
    <row r="3850" spans="1:24" x14ac:dyDescent="0.3">
      <c r="A3850" s="1" t="str">
        <f t="shared" si="716"/>
        <v>59829</v>
      </c>
      <c r="B3850" s="1" t="s">
        <v>47</v>
      </c>
      <c r="C3850" s="1" t="s">
        <v>48</v>
      </c>
      <c r="D3850" s="1" t="str">
        <f t="shared" si="722"/>
        <v>9803</v>
      </c>
      <c r="E3850" s="1" t="s">
        <v>32</v>
      </c>
      <c r="F3850" s="1" t="str">
        <f>"7511200815001884"</f>
        <v>7511200815001884</v>
      </c>
      <c r="G3850" s="1" t="s">
        <v>33</v>
      </c>
      <c r="H3850" s="1" t="str">
        <f t="shared" si="721"/>
        <v>20220916</v>
      </c>
      <c r="I3850" s="1" t="str">
        <f>"094805"</f>
        <v>094805</v>
      </c>
      <c r="J3850" s="1" t="s">
        <v>28</v>
      </c>
      <c r="K3850" s="1" t="s">
        <v>28</v>
      </c>
      <c r="L3850" s="1" t="str">
        <f t="shared" si="713"/>
        <v>20220916</v>
      </c>
      <c r="M3850" s="1" t="str">
        <f>"100810"</f>
        <v>100810</v>
      </c>
      <c r="N3850" s="1" t="s">
        <v>34</v>
      </c>
      <c r="O3850" s="1" t="s">
        <v>34</v>
      </c>
      <c r="P3850" s="1" t="s">
        <v>55</v>
      </c>
      <c r="Q3850" s="1">
        <v>25</v>
      </c>
      <c r="R3850" s="1">
        <v>25</v>
      </c>
      <c r="S3850" s="1">
        <v>0</v>
      </c>
      <c r="T3850" s="1">
        <v>0</v>
      </c>
      <c r="U3850" s="1">
        <v>0</v>
      </c>
      <c r="V3850" s="1" t="str">
        <f t="shared" si="723"/>
        <v>里程去程</v>
      </c>
      <c r="W3850" s="1" t="str">
        <f>"0F3B"</f>
        <v>0F3B</v>
      </c>
      <c r="X3850" s="1" t="s">
        <v>109</v>
      </c>
    </row>
    <row r="3851" spans="1:24" x14ac:dyDescent="0.3">
      <c r="A3851" s="1" t="str">
        <f t="shared" si="716"/>
        <v>59829</v>
      </c>
      <c r="B3851" s="1" t="s">
        <v>47</v>
      </c>
      <c r="C3851" s="1" t="s">
        <v>48</v>
      </c>
      <c r="D3851" s="1" t="str">
        <f t="shared" si="722"/>
        <v>9803</v>
      </c>
      <c r="E3851" s="1" t="s">
        <v>32</v>
      </c>
      <c r="F3851" s="1" t="str">
        <f>"950902817"</f>
        <v>950902817</v>
      </c>
      <c r="G3851" s="1" t="s">
        <v>33</v>
      </c>
      <c r="H3851" s="1" t="str">
        <f t="shared" si="721"/>
        <v>20220916</v>
      </c>
      <c r="I3851" s="1" t="str">
        <f>"094820"</f>
        <v>094820</v>
      </c>
      <c r="J3851" s="1" t="s">
        <v>28</v>
      </c>
      <c r="K3851" s="1" t="s">
        <v>28</v>
      </c>
      <c r="L3851" s="1" t="str">
        <f t="shared" si="713"/>
        <v>20220916</v>
      </c>
      <c r="M3851" s="1" t="str">
        <f>"100818"</f>
        <v>100818</v>
      </c>
      <c r="N3851" s="1" t="s">
        <v>34</v>
      </c>
      <c r="O3851" s="1" t="s">
        <v>34</v>
      </c>
      <c r="P3851" s="1" t="s">
        <v>55</v>
      </c>
      <c r="Q3851" s="1">
        <v>25</v>
      </c>
      <c r="R3851" s="1">
        <v>25</v>
      </c>
      <c r="S3851" s="1">
        <v>0</v>
      </c>
      <c r="T3851" s="1">
        <v>0</v>
      </c>
      <c r="U3851" s="1">
        <v>0</v>
      </c>
      <c r="V3851" s="1" t="str">
        <f t="shared" si="723"/>
        <v>里程去程</v>
      </c>
      <c r="W3851" s="1" t="str">
        <f>"1420"</f>
        <v>1420</v>
      </c>
      <c r="X3851" s="1" t="s">
        <v>35</v>
      </c>
    </row>
    <row r="3852" spans="1:24" x14ac:dyDescent="0.3">
      <c r="A3852" s="1" t="str">
        <f t="shared" si="716"/>
        <v>59829</v>
      </c>
      <c r="B3852" s="1" t="s">
        <v>47</v>
      </c>
      <c r="C3852" s="1" t="s">
        <v>48</v>
      </c>
      <c r="D3852" s="1" t="str">
        <f t="shared" si="722"/>
        <v>9803</v>
      </c>
      <c r="E3852" s="1" t="s">
        <v>32</v>
      </c>
      <c r="F3852" s="1" t="str">
        <f>"FA003A5999880400C18514D049704512"</f>
        <v>FA003A5999880400C18514D049704512</v>
      </c>
      <c r="G3852" s="1" t="s">
        <v>58</v>
      </c>
      <c r="H3852" s="1" t="str">
        <f t="shared" si="721"/>
        <v>20220916</v>
      </c>
      <c r="I3852" s="1" t="str">
        <f>"094824"</f>
        <v>094824</v>
      </c>
      <c r="J3852" s="1" t="s">
        <v>28</v>
      </c>
      <c r="K3852" s="1" t="s">
        <v>28</v>
      </c>
      <c r="L3852" s="1" t="str">
        <f t="shared" si="713"/>
        <v>20220916</v>
      </c>
      <c r="M3852" s="1" t="str">
        <f>"100821"</f>
        <v>100821</v>
      </c>
      <c r="N3852" s="1" t="s">
        <v>34</v>
      </c>
      <c r="O3852" s="1" t="s">
        <v>34</v>
      </c>
      <c r="P3852" s="1" t="s">
        <v>55</v>
      </c>
      <c r="Q3852" s="1">
        <v>25</v>
      </c>
      <c r="R3852" s="1">
        <v>25</v>
      </c>
      <c r="S3852" s="1">
        <v>0</v>
      </c>
      <c r="T3852" s="1">
        <v>0</v>
      </c>
      <c r="U3852" s="1">
        <v>0</v>
      </c>
      <c r="V3852" s="1" t="str">
        <f t="shared" si="723"/>
        <v>里程去程</v>
      </c>
      <c r="W3852" s="1" t="str">
        <f>"0020"</f>
        <v>0020</v>
      </c>
      <c r="X3852" s="1" t="s">
        <v>29</v>
      </c>
    </row>
    <row r="3853" spans="1:24" x14ac:dyDescent="0.3">
      <c r="A3853" s="1" t="str">
        <f t="shared" si="716"/>
        <v>59829</v>
      </c>
      <c r="B3853" s="1" t="s">
        <v>47</v>
      </c>
      <c r="C3853" s="1" t="s">
        <v>48</v>
      </c>
      <c r="D3853" s="1" t="str">
        <f t="shared" si="722"/>
        <v>9803</v>
      </c>
      <c r="E3853" s="1" t="s">
        <v>32</v>
      </c>
      <c r="F3853" s="1" t="str">
        <f>"633620977"</f>
        <v>633620977</v>
      </c>
      <c r="G3853" s="1" t="s">
        <v>33</v>
      </c>
      <c r="H3853" s="1" t="str">
        <f t="shared" si="721"/>
        <v>20220916</v>
      </c>
      <c r="I3853" s="1" t="str">
        <f>"094831"</f>
        <v>094831</v>
      </c>
      <c r="J3853" s="1" t="s">
        <v>28</v>
      </c>
      <c r="K3853" s="1" t="s">
        <v>28</v>
      </c>
      <c r="L3853" s="1" t="str">
        <f t="shared" si="713"/>
        <v>20220916</v>
      </c>
      <c r="M3853" s="1" t="str">
        <f>"100840"</f>
        <v>100840</v>
      </c>
      <c r="N3853" s="1" t="s">
        <v>34</v>
      </c>
      <c r="O3853" s="1" t="s">
        <v>34</v>
      </c>
      <c r="P3853" s="1" t="s">
        <v>55</v>
      </c>
      <c r="Q3853" s="1">
        <v>25</v>
      </c>
      <c r="R3853" s="1">
        <v>25</v>
      </c>
      <c r="S3853" s="1">
        <v>0</v>
      </c>
      <c r="T3853" s="1">
        <v>0</v>
      </c>
      <c r="U3853" s="1">
        <v>0</v>
      </c>
      <c r="V3853" s="1" t="str">
        <f t="shared" si="723"/>
        <v>里程去程</v>
      </c>
      <c r="W3853" s="1" t="str">
        <f>"1120"</f>
        <v>1120</v>
      </c>
      <c r="X3853" s="1" t="s">
        <v>35</v>
      </c>
    </row>
    <row r="3854" spans="1:24" x14ac:dyDescent="0.3">
      <c r="A3854" s="1" t="str">
        <f t="shared" si="716"/>
        <v>59829</v>
      </c>
      <c r="B3854" s="1" t="s">
        <v>47</v>
      </c>
      <c r="C3854" s="1" t="s">
        <v>48</v>
      </c>
      <c r="D3854" s="1" t="str">
        <f t="shared" si="722"/>
        <v>9803</v>
      </c>
      <c r="E3854" s="1" t="s">
        <v>32</v>
      </c>
      <c r="F3854" s="1" t="str">
        <f>"F29ADD1AAF880400C816002000000021"</f>
        <v>F29ADD1AAF880400C816002000000021</v>
      </c>
      <c r="G3854" s="1" t="s">
        <v>58</v>
      </c>
      <c r="H3854" s="1" t="str">
        <f t="shared" si="721"/>
        <v>20220916</v>
      </c>
      <c r="I3854" s="1" t="str">
        <f>"094853"</f>
        <v>094853</v>
      </c>
      <c r="J3854" s="1" t="s">
        <v>28</v>
      </c>
      <c r="K3854" s="1" t="s">
        <v>28</v>
      </c>
      <c r="L3854" s="1" t="str">
        <f t="shared" si="713"/>
        <v>20220916</v>
      </c>
      <c r="M3854" s="1" t="str">
        <f>"100833"</f>
        <v>100833</v>
      </c>
      <c r="N3854" s="1" t="s">
        <v>34</v>
      </c>
      <c r="O3854" s="1" t="s">
        <v>34</v>
      </c>
      <c r="P3854" s="1" t="s">
        <v>55</v>
      </c>
      <c r="Q3854" s="1">
        <v>25</v>
      </c>
      <c r="R3854" s="1">
        <v>25</v>
      </c>
      <c r="S3854" s="1">
        <v>0</v>
      </c>
      <c r="T3854" s="1">
        <v>0</v>
      </c>
      <c r="U3854" s="1">
        <v>0</v>
      </c>
      <c r="V3854" s="1" t="str">
        <f t="shared" si="723"/>
        <v>里程去程</v>
      </c>
      <c r="W3854" s="1" t="str">
        <f>"0020"</f>
        <v>0020</v>
      </c>
      <c r="X3854" s="1" t="s">
        <v>29</v>
      </c>
    </row>
    <row r="3855" spans="1:24" x14ac:dyDescent="0.3">
      <c r="A3855" s="1" t="str">
        <f t="shared" si="716"/>
        <v>59829</v>
      </c>
      <c r="B3855" s="1" t="s">
        <v>47</v>
      </c>
      <c r="C3855" s="1" t="s">
        <v>48</v>
      </c>
      <c r="D3855" s="1" t="str">
        <f t="shared" si="722"/>
        <v>9803</v>
      </c>
      <c r="E3855" s="1" t="s">
        <v>32</v>
      </c>
      <c r="F3855" s="1" t="str">
        <f>"859424901"</f>
        <v>859424901</v>
      </c>
      <c r="G3855" s="1" t="s">
        <v>33</v>
      </c>
      <c r="H3855" s="1" t="str">
        <f t="shared" si="721"/>
        <v>20220916</v>
      </c>
      <c r="I3855" s="1" t="str">
        <f>"094859"</f>
        <v>094859</v>
      </c>
      <c r="J3855" s="1" t="s">
        <v>28</v>
      </c>
      <c r="K3855" s="1" t="s">
        <v>28</v>
      </c>
      <c r="L3855" s="1" t="str">
        <f t="shared" si="713"/>
        <v>20220916</v>
      </c>
      <c r="M3855" s="1" t="str">
        <f>"100829"</f>
        <v>100829</v>
      </c>
      <c r="N3855" s="1" t="s">
        <v>34</v>
      </c>
      <c r="O3855" s="1" t="s">
        <v>34</v>
      </c>
      <c r="P3855" s="1" t="s">
        <v>55</v>
      </c>
      <c r="Q3855" s="1">
        <v>25</v>
      </c>
      <c r="R3855" s="1">
        <v>25</v>
      </c>
      <c r="S3855" s="1">
        <v>0</v>
      </c>
      <c r="T3855" s="1">
        <v>0</v>
      </c>
      <c r="U3855" s="1">
        <v>0</v>
      </c>
      <c r="V3855" s="1" t="str">
        <f t="shared" si="723"/>
        <v>里程去程</v>
      </c>
      <c r="W3855" s="1" t="str">
        <f>"0120"</f>
        <v>0120</v>
      </c>
      <c r="X3855" s="1" t="s">
        <v>35</v>
      </c>
    </row>
    <row r="3856" spans="1:24" x14ac:dyDescent="0.3">
      <c r="A3856" s="1" t="str">
        <f t="shared" si="716"/>
        <v>59829</v>
      </c>
      <c r="B3856" s="1" t="s">
        <v>47</v>
      </c>
      <c r="C3856" s="1" t="s">
        <v>48</v>
      </c>
      <c r="D3856" s="1" t="str">
        <f t="shared" ref="D3856:D3893" si="724">"9805"</f>
        <v>9805</v>
      </c>
      <c r="E3856" s="1" t="s">
        <v>57</v>
      </c>
      <c r="F3856" s="1" t="str">
        <f>"3490409063"</f>
        <v>3490409063</v>
      </c>
      <c r="G3856" s="1" t="s">
        <v>33</v>
      </c>
      <c r="H3856" s="1" t="str">
        <f t="shared" si="721"/>
        <v>20220916</v>
      </c>
      <c r="I3856" s="1" t="str">
        <f>"120957"</f>
        <v>120957</v>
      </c>
      <c r="J3856" s="1" t="s">
        <v>28</v>
      </c>
      <c r="K3856" s="1" t="s">
        <v>28</v>
      </c>
      <c r="L3856" s="1" t="str">
        <f t="shared" si="713"/>
        <v>20220916</v>
      </c>
      <c r="M3856" s="1" t="str">
        <f>"123134"</f>
        <v>123134</v>
      </c>
      <c r="N3856" s="1" t="s">
        <v>52</v>
      </c>
      <c r="O3856" s="1" t="s">
        <v>52</v>
      </c>
      <c r="P3856" s="1" t="s">
        <v>55</v>
      </c>
      <c r="Q3856" s="1">
        <v>25</v>
      </c>
      <c r="R3856" s="1">
        <v>25</v>
      </c>
      <c r="S3856" s="1">
        <v>0</v>
      </c>
      <c r="T3856" s="1">
        <v>0</v>
      </c>
      <c r="U3856" s="1">
        <v>0</v>
      </c>
      <c r="V3856" s="1" t="str">
        <f t="shared" si="723"/>
        <v>里程去程</v>
      </c>
      <c r="W3856" s="1" t="str">
        <f>"0820"</f>
        <v>0820</v>
      </c>
      <c r="X3856" s="1" t="s">
        <v>35</v>
      </c>
    </row>
    <row r="3857" spans="1:24" x14ac:dyDescent="0.3">
      <c r="A3857" s="1" t="str">
        <f t="shared" ref="A3857:A3888" si="725">"59829"</f>
        <v>59829</v>
      </c>
      <c r="B3857" s="1" t="s">
        <v>47</v>
      </c>
      <c r="C3857" s="1" t="s">
        <v>48</v>
      </c>
      <c r="D3857" s="1" t="str">
        <f t="shared" si="724"/>
        <v>9805</v>
      </c>
      <c r="E3857" s="1" t="s">
        <v>57</v>
      </c>
      <c r="F3857" s="1" t="str">
        <f>"1029771989"</f>
        <v>1029771989</v>
      </c>
      <c r="G3857" s="1" t="s">
        <v>33</v>
      </c>
      <c r="H3857" s="1" t="str">
        <f t="shared" si="721"/>
        <v>20220916</v>
      </c>
      <c r="I3857" s="1" t="str">
        <f>"121001"</f>
        <v>121001</v>
      </c>
      <c r="J3857" s="1" t="s">
        <v>28</v>
      </c>
      <c r="K3857" s="1" t="s">
        <v>28</v>
      </c>
      <c r="L3857" s="1" t="str">
        <f t="shared" si="713"/>
        <v>20220916</v>
      </c>
      <c r="M3857" s="1" t="str">
        <f>"123130"</f>
        <v>123130</v>
      </c>
      <c r="N3857" s="1" t="s">
        <v>52</v>
      </c>
      <c r="O3857" s="1" t="s">
        <v>52</v>
      </c>
      <c r="P3857" s="1" t="s">
        <v>55</v>
      </c>
      <c r="Q3857" s="1">
        <v>25</v>
      </c>
      <c r="R3857" s="1">
        <v>25</v>
      </c>
      <c r="S3857" s="1">
        <v>0</v>
      </c>
      <c r="T3857" s="1">
        <v>0</v>
      </c>
      <c r="U3857" s="1">
        <v>0</v>
      </c>
      <c r="V3857" s="1" t="str">
        <f t="shared" si="723"/>
        <v>里程去程</v>
      </c>
      <c r="W3857" s="1" t="str">
        <f>"0820"</f>
        <v>0820</v>
      </c>
      <c r="X3857" s="1" t="s">
        <v>35</v>
      </c>
    </row>
    <row r="3858" spans="1:24" x14ac:dyDescent="0.3">
      <c r="A3858" s="1" t="str">
        <f t="shared" si="725"/>
        <v>59829</v>
      </c>
      <c r="B3858" s="1" t="s">
        <v>47</v>
      </c>
      <c r="C3858" s="1" t="s">
        <v>48</v>
      </c>
      <c r="D3858" s="1" t="str">
        <f t="shared" si="724"/>
        <v>9805</v>
      </c>
      <c r="E3858" s="1" t="s">
        <v>57</v>
      </c>
      <c r="F3858" s="1" t="str">
        <f>"257478805"</f>
        <v>257478805</v>
      </c>
      <c r="G3858" s="1" t="s">
        <v>33</v>
      </c>
      <c r="H3858" s="1" t="str">
        <f t="shared" si="721"/>
        <v>20220916</v>
      </c>
      <c r="I3858" s="1" t="str">
        <f>"121007"</f>
        <v>121007</v>
      </c>
      <c r="J3858" s="1" t="s">
        <v>28</v>
      </c>
      <c r="K3858" s="1" t="s">
        <v>28</v>
      </c>
      <c r="L3858" s="1" t="str">
        <f t="shared" si="713"/>
        <v>20220916</v>
      </c>
      <c r="M3858" s="1" t="str">
        <f>"123240"</f>
        <v>123240</v>
      </c>
      <c r="N3858" s="1" t="s">
        <v>52</v>
      </c>
      <c r="O3858" s="1" t="s">
        <v>52</v>
      </c>
      <c r="P3858" s="1" t="s">
        <v>55</v>
      </c>
      <c r="Q3858" s="1">
        <v>25</v>
      </c>
      <c r="R3858" s="1">
        <v>25</v>
      </c>
      <c r="S3858" s="1">
        <v>0</v>
      </c>
      <c r="T3858" s="1">
        <v>0</v>
      </c>
      <c r="U3858" s="1">
        <v>0</v>
      </c>
      <c r="V3858" s="1" t="str">
        <f t="shared" si="723"/>
        <v>里程去程</v>
      </c>
      <c r="W3858" s="1" t="str">
        <f>"0120"</f>
        <v>0120</v>
      </c>
      <c r="X3858" s="1" t="s">
        <v>35</v>
      </c>
    </row>
    <row r="3859" spans="1:24" x14ac:dyDescent="0.3">
      <c r="A3859" s="1" t="str">
        <f t="shared" si="725"/>
        <v>59829</v>
      </c>
      <c r="B3859" s="1" t="s">
        <v>47</v>
      </c>
      <c r="C3859" s="1" t="s">
        <v>48</v>
      </c>
      <c r="D3859" s="1" t="str">
        <f t="shared" si="724"/>
        <v>9805</v>
      </c>
      <c r="E3859" s="1" t="s">
        <v>57</v>
      </c>
      <c r="F3859" s="1" t="str">
        <f>"1848977429"</f>
        <v>1848977429</v>
      </c>
      <c r="G3859" s="1" t="s">
        <v>33</v>
      </c>
      <c r="H3859" s="1" t="str">
        <f t="shared" si="721"/>
        <v>20220916</v>
      </c>
      <c r="I3859" s="1" t="str">
        <f>"121011"</f>
        <v>121011</v>
      </c>
      <c r="J3859" s="1" t="s">
        <v>28</v>
      </c>
      <c r="K3859" s="1" t="s">
        <v>28</v>
      </c>
      <c r="L3859" s="1" t="str">
        <f t="shared" si="713"/>
        <v>20220916</v>
      </c>
      <c r="M3859" s="1" t="str">
        <f>"123244"</f>
        <v>123244</v>
      </c>
      <c r="N3859" s="1" t="s">
        <v>52</v>
      </c>
      <c r="O3859" s="1" t="s">
        <v>52</v>
      </c>
      <c r="P3859" s="1" t="s">
        <v>55</v>
      </c>
      <c r="Q3859" s="1">
        <v>25</v>
      </c>
      <c r="R3859" s="1">
        <v>25</v>
      </c>
      <c r="S3859" s="1">
        <v>0</v>
      </c>
      <c r="T3859" s="1">
        <v>0</v>
      </c>
      <c r="U3859" s="1">
        <v>0</v>
      </c>
      <c r="V3859" s="1" t="str">
        <f t="shared" si="723"/>
        <v>里程去程</v>
      </c>
      <c r="W3859" s="1" t="str">
        <f>"0020"</f>
        <v>0020</v>
      </c>
      <c r="X3859" s="1" t="s">
        <v>35</v>
      </c>
    </row>
    <row r="3860" spans="1:24" x14ac:dyDescent="0.3">
      <c r="A3860" s="1" t="str">
        <f t="shared" si="725"/>
        <v>59829</v>
      </c>
      <c r="B3860" s="1" t="s">
        <v>47</v>
      </c>
      <c r="C3860" s="1" t="s">
        <v>48</v>
      </c>
      <c r="D3860" s="1" t="str">
        <f t="shared" si="724"/>
        <v>9805</v>
      </c>
      <c r="E3860" s="1" t="s">
        <v>57</v>
      </c>
      <c r="F3860" s="1" t="str">
        <f>"861309137"</f>
        <v>861309137</v>
      </c>
      <c r="G3860" s="1" t="s">
        <v>33</v>
      </c>
      <c r="H3860" s="1" t="str">
        <f t="shared" si="721"/>
        <v>20220916</v>
      </c>
      <c r="I3860" s="1" t="str">
        <f>"121037"</f>
        <v>121037</v>
      </c>
      <c r="J3860" s="1" t="s">
        <v>28</v>
      </c>
      <c r="K3860" s="1" t="s">
        <v>28</v>
      </c>
      <c r="L3860" s="1" t="str">
        <f t="shared" si="713"/>
        <v>20220916</v>
      </c>
      <c r="M3860" s="1" t="str">
        <f>"123157"</f>
        <v>123157</v>
      </c>
      <c r="N3860" s="1" t="s">
        <v>52</v>
      </c>
      <c r="O3860" s="1" t="s">
        <v>52</v>
      </c>
      <c r="P3860" s="1" t="s">
        <v>55</v>
      </c>
      <c r="Q3860" s="1">
        <v>25</v>
      </c>
      <c r="R3860" s="1">
        <v>25</v>
      </c>
      <c r="S3860" s="1">
        <v>0</v>
      </c>
      <c r="T3860" s="1">
        <v>0</v>
      </c>
      <c r="U3860" s="1">
        <v>0</v>
      </c>
      <c r="V3860" s="1" t="str">
        <f t="shared" si="723"/>
        <v>里程去程</v>
      </c>
      <c r="W3860" s="1" t="str">
        <f>"0820"</f>
        <v>0820</v>
      </c>
      <c r="X3860" s="1" t="s">
        <v>35</v>
      </c>
    </row>
    <row r="3861" spans="1:24" x14ac:dyDescent="0.3">
      <c r="A3861" s="1" t="str">
        <f t="shared" si="725"/>
        <v>59829</v>
      </c>
      <c r="B3861" s="1" t="s">
        <v>47</v>
      </c>
      <c r="C3861" s="1" t="s">
        <v>48</v>
      </c>
      <c r="D3861" s="1" t="str">
        <f t="shared" si="724"/>
        <v>9805</v>
      </c>
      <c r="E3861" s="1" t="s">
        <v>57</v>
      </c>
      <c r="F3861" s="1" t="str">
        <f>"1660410853"</f>
        <v>1660410853</v>
      </c>
      <c r="G3861" s="1" t="s">
        <v>26</v>
      </c>
      <c r="H3861" s="1" t="str">
        <f t="shared" si="721"/>
        <v>20220916</v>
      </c>
      <c r="I3861" s="1" t="str">
        <f>"121042"</f>
        <v>121042</v>
      </c>
      <c r="J3861" s="1" t="s">
        <v>28</v>
      </c>
      <c r="K3861" s="1" t="s">
        <v>28</v>
      </c>
      <c r="L3861" s="1" t="str">
        <f t="shared" si="713"/>
        <v>20220916</v>
      </c>
      <c r="M3861" s="1" t="str">
        <f>"123153"</f>
        <v>123153</v>
      </c>
      <c r="N3861" s="1" t="s">
        <v>52</v>
      </c>
      <c r="O3861" s="1" t="s">
        <v>52</v>
      </c>
      <c r="P3861" s="1" t="s">
        <v>55</v>
      </c>
      <c r="Q3861" s="1">
        <v>13</v>
      </c>
      <c r="R3861" s="1">
        <v>13</v>
      </c>
      <c r="S3861" s="1">
        <v>0</v>
      </c>
      <c r="T3861" s="1">
        <v>0</v>
      </c>
      <c r="U3861" s="1">
        <v>0</v>
      </c>
      <c r="V3861" s="1" t="str">
        <f t="shared" si="723"/>
        <v>里程去程</v>
      </c>
      <c r="W3861" s="1" t="str">
        <f>"0920"</f>
        <v>0920</v>
      </c>
      <c r="X3861" s="1" t="s">
        <v>35</v>
      </c>
    </row>
    <row r="3862" spans="1:24" x14ac:dyDescent="0.3">
      <c r="A3862" s="1" t="str">
        <f t="shared" si="725"/>
        <v>59829</v>
      </c>
      <c r="B3862" s="1" t="s">
        <v>47</v>
      </c>
      <c r="C3862" s="1" t="s">
        <v>48</v>
      </c>
      <c r="D3862" s="1" t="str">
        <f t="shared" si="724"/>
        <v>9805</v>
      </c>
      <c r="E3862" s="1" t="s">
        <v>57</v>
      </c>
      <c r="F3862" s="1" t="str">
        <f>"6717161014065612"</f>
        <v>6717161014065612</v>
      </c>
      <c r="G3862" s="1" t="s">
        <v>33</v>
      </c>
      <c r="H3862" s="1" t="str">
        <f t="shared" si="721"/>
        <v>20220916</v>
      </c>
      <c r="I3862" s="1" t="str">
        <f>"121047"</f>
        <v>121047</v>
      </c>
      <c r="J3862" s="1" t="s">
        <v>28</v>
      </c>
      <c r="K3862" s="1" t="s">
        <v>28</v>
      </c>
      <c r="L3862" s="1" t="str">
        <f t="shared" si="713"/>
        <v>20220916</v>
      </c>
      <c r="M3862" s="1" t="str">
        <f>"122451"</f>
        <v>122451</v>
      </c>
      <c r="N3862" s="1" t="s">
        <v>61</v>
      </c>
      <c r="O3862" s="1" t="s">
        <v>28</v>
      </c>
      <c r="P3862" s="1" t="s">
        <v>55</v>
      </c>
      <c r="Q3862" s="1">
        <v>25</v>
      </c>
      <c r="R3862" s="1">
        <v>25</v>
      </c>
      <c r="S3862" s="1">
        <v>0</v>
      </c>
      <c r="T3862" s="1">
        <v>0</v>
      </c>
      <c r="U3862" s="1">
        <v>0</v>
      </c>
      <c r="V3862" s="1" t="str">
        <f t="shared" si="723"/>
        <v>里程去程</v>
      </c>
      <c r="W3862" s="1" t="str">
        <f>"013B"</f>
        <v>013B</v>
      </c>
      <c r="X3862" s="1" t="s">
        <v>109</v>
      </c>
    </row>
    <row r="3863" spans="1:24" x14ac:dyDescent="0.3">
      <c r="A3863" s="1" t="str">
        <f t="shared" si="725"/>
        <v>59829</v>
      </c>
      <c r="B3863" s="1" t="s">
        <v>47</v>
      </c>
      <c r="C3863" s="1" t="s">
        <v>48</v>
      </c>
      <c r="D3863" s="1" t="str">
        <f t="shared" si="724"/>
        <v>9805</v>
      </c>
      <c r="E3863" s="1" t="s">
        <v>57</v>
      </c>
      <c r="F3863" s="1" t="str">
        <f>"1237081237"</f>
        <v>1237081237</v>
      </c>
      <c r="G3863" s="1" t="s">
        <v>26</v>
      </c>
      <c r="H3863" s="1" t="str">
        <f t="shared" si="721"/>
        <v>20220916</v>
      </c>
      <c r="I3863" s="1" t="str">
        <f>"121049"</f>
        <v>121049</v>
      </c>
      <c r="J3863" s="1" t="s">
        <v>28</v>
      </c>
      <c r="K3863" s="1" t="s">
        <v>28</v>
      </c>
      <c r="L3863" s="1" t="str">
        <f t="shared" si="713"/>
        <v>20220916</v>
      </c>
      <c r="M3863" s="1" t="str">
        <f>"123230"</f>
        <v>123230</v>
      </c>
      <c r="N3863" s="1" t="s">
        <v>52</v>
      </c>
      <c r="O3863" s="1" t="s">
        <v>52</v>
      </c>
      <c r="P3863" s="1" t="s">
        <v>55</v>
      </c>
      <c r="Q3863" s="1">
        <v>13</v>
      </c>
      <c r="R3863" s="1">
        <v>13</v>
      </c>
      <c r="S3863" s="1">
        <v>0</v>
      </c>
      <c r="T3863" s="1">
        <v>0</v>
      </c>
      <c r="U3863" s="1">
        <v>0</v>
      </c>
      <c r="V3863" s="1" t="str">
        <f t="shared" si="723"/>
        <v>里程去程</v>
      </c>
      <c r="W3863" s="1" t="str">
        <f>"0920"</f>
        <v>0920</v>
      </c>
      <c r="X3863" s="1" t="s">
        <v>35</v>
      </c>
    </row>
    <row r="3864" spans="1:24" x14ac:dyDescent="0.3">
      <c r="A3864" s="1" t="str">
        <f t="shared" si="725"/>
        <v>59829</v>
      </c>
      <c r="B3864" s="1" t="s">
        <v>47</v>
      </c>
      <c r="C3864" s="1" t="s">
        <v>48</v>
      </c>
      <c r="D3864" s="1" t="str">
        <f t="shared" si="724"/>
        <v>9805</v>
      </c>
      <c r="E3864" s="1" t="s">
        <v>57</v>
      </c>
      <c r="F3864" s="1" t="str">
        <f>"1236978709"</f>
        <v>1236978709</v>
      </c>
      <c r="G3864" s="1" t="s">
        <v>26</v>
      </c>
      <c r="H3864" s="1" t="str">
        <f t="shared" si="721"/>
        <v>20220916</v>
      </c>
      <c r="I3864" s="1" t="str">
        <f>"121053"</f>
        <v>121053</v>
      </c>
      <c r="J3864" s="1" t="s">
        <v>28</v>
      </c>
      <c r="K3864" s="1" t="s">
        <v>28</v>
      </c>
      <c r="L3864" s="1" t="str">
        <f t="shared" si="713"/>
        <v>20220916</v>
      </c>
      <c r="M3864" s="1" t="str">
        <f>"123227"</f>
        <v>123227</v>
      </c>
      <c r="N3864" s="1" t="s">
        <v>52</v>
      </c>
      <c r="O3864" s="1" t="s">
        <v>52</v>
      </c>
      <c r="P3864" s="1" t="s">
        <v>55</v>
      </c>
      <c r="Q3864" s="1">
        <v>13</v>
      </c>
      <c r="R3864" s="1">
        <v>13</v>
      </c>
      <c r="S3864" s="1">
        <v>0</v>
      </c>
      <c r="T3864" s="1">
        <v>0</v>
      </c>
      <c r="U3864" s="1">
        <v>0</v>
      </c>
      <c r="V3864" s="1" t="str">
        <f t="shared" si="723"/>
        <v>里程去程</v>
      </c>
      <c r="W3864" s="1" t="str">
        <f>"0020"</f>
        <v>0020</v>
      </c>
      <c r="X3864" s="1" t="s">
        <v>35</v>
      </c>
    </row>
    <row r="3865" spans="1:24" x14ac:dyDescent="0.3">
      <c r="A3865" s="1" t="str">
        <f t="shared" si="725"/>
        <v>59829</v>
      </c>
      <c r="B3865" s="1" t="s">
        <v>47</v>
      </c>
      <c r="C3865" s="1" t="s">
        <v>48</v>
      </c>
      <c r="D3865" s="1" t="str">
        <f t="shared" si="724"/>
        <v>9805</v>
      </c>
      <c r="E3865" s="1" t="s">
        <v>57</v>
      </c>
      <c r="F3865" s="1" t="str">
        <f>"1653402437"</f>
        <v>1653402437</v>
      </c>
      <c r="G3865" s="1" t="s">
        <v>26</v>
      </c>
      <c r="H3865" s="1" t="str">
        <f t="shared" si="721"/>
        <v>20220916</v>
      </c>
      <c r="I3865" s="1" t="str">
        <f>"121108"</f>
        <v>121108</v>
      </c>
      <c r="J3865" s="1" t="s">
        <v>28</v>
      </c>
      <c r="K3865" s="1" t="s">
        <v>28</v>
      </c>
      <c r="L3865" s="1" t="str">
        <f t="shared" si="713"/>
        <v>20220916</v>
      </c>
      <c r="M3865" s="1" t="str">
        <f>"123219"</f>
        <v>123219</v>
      </c>
      <c r="N3865" s="1" t="s">
        <v>52</v>
      </c>
      <c r="O3865" s="1" t="s">
        <v>52</v>
      </c>
      <c r="P3865" s="1" t="s">
        <v>55</v>
      </c>
      <c r="Q3865" s="1">
        <v>13</v>
      </c>
      <c r="R3865" s="1">
        <v>13</v>
      </c>
      <c r="S3865" s="1">
        <v>0</v>
      </c>
      <c r="T3865" s="1">
        <v>0</v>
      </c>
      <c r="U3865" s="1">
        <v>0</v>
      </c>
      <c r="V3865" s="1" t="str">
        <f t="shared" si="723"/>
        <v>里程去程</v>
      </c>
      <c r="W3865" s="1" t="str">
        <f>"0920"</f>
        <v>0920</v>
      </c>
      <c r="X3865" s="1" t="s">
        <v>35</v>
      </c>
    </row>
    <row r="3866" spans="1:24" x14ac:dyDescent="0.3">
      <c r="A3866" s="1" t="str">
        <f t="shared" si="725"/>
        <v>59829</v>
      </c>
      <c r="B3866" s="1" t="s">
        <v>47</v>
      </c>
      <c r="C3866" s="1" t="s">
        <v>48</v>
      </c>
      <c r="D3866" s="1" t="str">
        <f t="shared" si="724"/>
        <v>9805</v>
      </c>
      <c r="E3866" s="1" t="s">
        <v>57</v>
      </c>
      <c r="F3866" s="1" t="str">
        <f>"1661072517"</f>
        <v>1661072517</v>
      </c>
      <c r="G3866" s="1" t="s">
        <v>26</v>
      </c>
      <c r="H3866" s="1" t="str">
        <f t="shared" si="721"/>
        <v>20220916</v>
      </c>
      <c r="I3866" s="1" t="str">
        <f>"121119"</f>
        <v>121119</v>
      </c>
      <c r="J3866" s="1" t="s">
        <v>28</v>
      </c>
      <c r="K3866" s="1" t="s">
        <v>28</v>
      </c>
      <c r="L3866" s="1" t="str">
        <f t="shared" ref="L3866:L3882" si="726">"20220916"</f>
        <v>20220916</v>
      </c>
      <c r="M3866" s="1" t="str">
        <f>"123258"</f>
        <v>123258</v>
      </c>
      <c r="N3866" s="1" t="s">
        <v>52</v>
      </c>
      <c r="O3866" s="1" t="s">
        <v>52</v>
      </c>
      <c r="P3866" s="1" t="s">
        <v>55</v>
      </c>
      <c r="Q3866" s="1">
        <v>13</v>
      </c>
      <c r="R3866" s="1">
        <v>13</v>
      </c>
      <c r="S3866" s="1">
        <v>0</v>
      </c>
      <c r="T3866" s="1">
        <v>0</v>
      </c>
      <c r="U3866" s="1">
        <v>0</v>
      </c>
      <c r="V3866" s="1" t="str">
        <f t="shared" si="723"/>
        <v>里程去程</v>
      </c>
      <c r="W3866" s="1" t="str">
        <f>"0820"</f>
        <v>0820</v>
      </c>
      <c r="X3866" s="1" t="s">
        <v>35</v>
      </c>
    </row>
    <row r="3867" spans="1:24" x14ac:dyDescent="0.3">
      <c r="A3867" s="1" t="str">
        <f t="shared" si="725"/>
        <v>59829</v>
      </c>
      <c r="B3867" s="1" t="s">
        <v>47</v>
      </c>
      <c r="C3867" s="1" t="s">
        <v>48</v>
      </c>
      <c r="D3867" s="1" t="str">
        <f t="shared" si="724"/>
        <v>9805</v>
      </c>
      <c r="E3867" s="1" t="s">
        <v>57</v>
      </c>
      <c r="F3867" s="1" t="str">
        <f>"1236946517"</f>
        <v>1236946517</v>
      </c>
      <c r="G3867" s="1" t="s">
        <v>26</v>
      </c>
      <c r="H3867" s="1" t="str">
        <f t="shared" si="721"/>
        <v>20220916</v>
      </c>
      <c r="I3867" s="1" t="str">
        <f>"121140"</f>
        <v>121140</v>
      </c>
      <c r="J3867" s="1" t="s">
        <v>28</v>
      </c>
      <c r="K3867" s="1" t="s">
        <v>28</v>
      </c>
      <c r="L3867" s="1" t="str">
        <f t="shared" si="726"/>
        <v>20220916</v>
      </c>
      <c r="M3867" s="1" t="str">
        <f>"123233"</f>
        <v>123233</v>
      </c>
      <c r="N3867" s="1" t="s">
        <v>52</v>
      </c>
      <c r="O3867" s="1" t="s">
        <v>52</v>
      </c>
      <c r="P3867" s="1" t="s">
        <v>55</v>
      </c>
      <c r="Q3867" s="1">
        <v>13</v>
      </c>
      <c r="R3867" s="1">
        <v>13</v>
      </c>
      <c r="S3867" s="1">
        <v>0</v>
      </c>
      <c r="T3867" s="1">
        <v>0</v>
      </c>
      <c r="U3867" s="1">
        <v>0</v>
      </c>
      <c r="V3867" s="1" t="str">
        <f t="shared" si="723"/>
        <v>里程去程</v>
      </c>
      <c r="W3867" s="1" t="str">
        <f>"0020"</f>
        <v>0020</v>
      </c>
      <c r="X3867" s="1" t="s">
        <v>35</v>
      </c>
    </row>
    <row r="3868" spans="1:24" x14ac:dyDescent="0.3">
      <c r="A3868" s="1" t="str">
        <f t="shared" si="725"/>
        <v>59829</v>
      </c>
      <c r="B3868" s="1" t="s">
        <v>47</v>
      </c>
      <c r="C3868" s="1" t="s">
        <v>48</v>
      </c>
      <c r="D3868" s="1" t="str">
        <f t="shared" si="724"/>
        <v>9805</v>
      </c>
      <c r="E3868" s="1" t="s">
        <v>57</v>
      </c>
      <c r="F3868" s="1" t="str">
        <f>"1653466229"</f>
        <v>1653466229</v>
      </c>
      <c r="G3868" s="1" t="s">
        <v>26</v>
      </c>
      <c r="H3868" s="1" t="str">
        <f t="shared" si="721"/>
        <v>20220916</v>
      </c>
      <c r="I3868" s="1" t="str">
        <f>"121153"</f>
        <v>121153</v>
      </c>
      <c r="J3868" s="1" t="s">
        <v>28</v>
      </c>
      <c r="K3868" s="1" t="s">
        <v>28</v>
      </c>
      <c r="L3868" s="1" t="str">
        <f t="shared" si="726"/>
        <v>20220916</v>
      </c>
      <c r="M3868" s="1" t="str">
        <f>"123213"</f>
        <v>123213</v>
      </c>
      <c r="N3868" s="1" t="s">
        <v>52</v>
      </c>
      <c r="O3868" s="1" t="s">
        <v>52</v>
      </c>
      <c r="P3868" s="1" t="s">
        <v>55</v>
      </c>
      <c r="Q3868" s="1">
        <v>13</v>
      </c>
      <c r="R3868" s="1">
        <v>13</v>
      </c>
      <c r="S3868" s="1">
        <v>0</v>
      </c>
      <c r="T3868" s="1">
        <v>0</v>
      </c>
      <c r="U3868" s="1">
        <v>0</v>
      </c>
      <c r="V3868" s="1" t="str">
        <f t="shared" si="723"/>
        <v>里程去程</v>
      </c>
      <c r="W3868" s="1" t="str">
        <f>"0820"</f>
        <v>0820</v>
      </c>
      <c r="X3868" s="1" t="s">
        <v>35</v>
      </c>
    </row>
    <row r="3869" spans="1:24" x14ac:dyDescent="0.3">
      <c r="A3869" s="1" t="str">
        <f t="shared" si="725"/>
        <v>59829</v>
      </c>
      <c r="B3869" s="1" t="s">
        <v>47</v>
      </c>
      <c r="C3869" s="1" t="s">
        <v>48</v>
      </c>
      <c r="D3869" s="1" t="str">
        <f t="shared" si="724"/>
        <v>9805</v>
      </c>
      <c r="E3869" s="1" t="s">
        <v>57</v>
      </c>
      <c r="F3869" s="1" t="str">
        <f>"1603613109"</f>
        <v>1603613109</v>
      </c>
      <c r="G3869" s="1" t="s">
        <v>33</v>
      </c>
      <c r="H3869" s="1" t="str">
        <f t="shared" si="721"/>
        <v>20220916</v>
      </c>
      <c r="I3869" s="1" t="str">
        <f>"121204"</f>
        <v>121204</v>
      </c>
      <c r="J3869" s="1" t="s">
        <v>28</v>
      </c>
      <c r="K3869" s="1" t="s">
        <v>28</v>
      </c>
      <c r="L3869" s="1" t="str">
        <f t="shared" si="726"/>
        <v>20220916</v>
      </c>
      <c r="M3869" s="1" t="str">
        <f>"123253"</f>
        <v>123253</v>
      </c>
      <c r="N3869" s="1" t="s">
        <v>52</v>
      </c>
      <c r="O3869" s="1" t="s">
        <v>52</v>
      </c>
      <c r="P3869" s="1" t="s">
        <v>55</v>
      </c>
      <c r="Q3869" s="1">
        <v>25</v>
      </c>
      <c r="R3869" s="1">
        <v>25</v>
      </c>
      <c r="S3869" s="1">
        <v>0</v>
      </c>
      <c r="T3869" s="1">
        <v>0</v>
      </c>
      <c r="U3869" s="1">
        <v>0</v>
      </c>
      <c r="V3869" s="1" t="str">
        <f t="shared" si="723"/>
        <v>里程去程</v>
      </c>
      <c r="W3869" s="1" t="str">
        <f>"0320"</f>
        <v>0320</v>
      </c>
      <c r="X3869" s="1" t="s">
        <v>35</v>
      </c>
    </row>
    <row r="3870" spans="1:24" x14ac:dyDescent="0.3">
      <c r="A3870" s="1" t="str">
        <f t="shared" si="725"/>
        <v>59829</v>
      </c>
      <c r="B3870" s="1" t="s">
        <v>47</v>
      </c>
      <c r="C3870" s="1" t="s">
        <v>48</v>
      </c>
      <c r="D3870" s="1" t="str">
        <f t="shared" si="724"/>
        <v>9805</v>
      </c>
      <c r="E3870" s="1" t="s">
        <v>57</v>
      </c>
      <c r="F3870" s="1" t="str">
        <f>"1181805989"</f>
        <v>1181805989</v>
      </c>
      <c r="G3870" s="1" t="s">
        <v>26</v>
      </c>
      <c r="H3870" s="1" t="str">
        <f t="shared" si="721"/>
        <v>20220916</v>
      </c>
      <c r="I3870" s="1" t="str">
        <f>"121207"</f>
        <v>121207</v>
      </c>
      <c r="J3870" s="1" t="s">
        <v>28</v>
      </c>
      <c r="K3870" s="1" t="s">
        <v>28</v>
      </c>
      <c r="L3870" s="1" t="str">
        <f t="shared" si="726"/>
        <v>20220916</v>
      </c>
      <c r="M3870" s="1" t="str">
        <f>"123208"</f>
        <v>123208</v>
      </c>
      <c r="N3870" s="1" t="s">
        <v>52</v>
      </c>
      <c r="O3870" s="1" t="s">
        <v>52</v>
      </c>
      <c r="P3870" s="1" t="s">
        <v>55</v>
      </c>
      <c r="Q3870" s="1">
        <v>13</v>
      </c>
      <c r="R3870" s="1">
        <v>13</v>
      </c>
      <c r="S3870" s="1">
        <v>0</v>
      </c>
      <c r="T3870" s="1">
        <v>0</v>
      </c>
      <c r="U3870" s="1">
        <v>0</v>
      </c>
      <c r="V3870" s="1" t="str">
        <f t="shared" si="723"/>
        <v>里程去程</v>
      </c>
      <c r="W3870" s="1" t="str">
        <f>"0820"</f>
        <v>0820</v>
      </c>
      <c r="X3870" s="1" t="s">
        <v>35</v>
      </c>
    </row>
    <row r="3871" spans="1:24" x14ac:dyDescent="0.3">
      <c r="A3871" s="1" t="str">
        <f t="shared" si="725"/>
        <v>59829</v>
      </c>
      <c r="B3871" s="1" t="s">
        <v>47</v>
      </c>
      <c r="C3871" s="1" t="s">
        <v>48</v>
      </c>
      <c r="D3871" s="1" t="str">
        <f t="shared" si="724"/>
        <v>9805</v>
      </c>
      <c r="E3871" s="1" t="s">
        <v>57</v>
      </c>
      <c r="F3871" s="1" t="str">
        <f>"1176423637"</f>
        <v>1176423637</v>
      </c>
      <c r="G3871" s="1" t="s">
        <v>26</v>
      </c>
      <c r="H3871" s="1" t="str">
        <f t="shared" si="721"/>
        <v>20220916</v>
      </c>
      <c r="I3871" s="1" t="str">
        <f>"121216"</f>
        <v>121216</v>
      </c>
      <c r="J3871" s="1" t="s">
        <v>28</v>
      </c>
      <c r="K3871" s="1" t="s">
        <v>28</v>
      </c>
      <c r="L3871" s="1" t="str">
        <f t="shared" si="726"/>
        <v>20220916</v>
      </c>
      <c r="M3871" s="1" t="str">
        <f>"123223"</f>
        <v>123223</v>
      </c>
      <c r="N3871" s="1" t="s">
        <v>52</v>
      </c>
      <c r="O3871" s="1" t="s">
        <v>52</v>
      </c>
      <c r="P3871" s="1" t="s">
        <v>55</v>
      </c>
      <c r="Q3871" s="1">
        <v>13</v>
      </c>
      <c r="R3871" s="1">
        <v>13</v>
      </c>
      <c r="S3871" s="1">
        <v>0</v>
      </c>
      <c r="T3871" s="1">
        <v>0</v>
      </c>
      <c r="U3871" s="1">
        <v>0</v>
      </c>
      <c r="V3871" s="1" t="str">
        <f t="shared" si="723"/>
        <v>里程去程</v>
      </c>
      <c r="W3871" s="1" t="str">
        <f>"0920"</f>
        <v>0920</v>
      </c>
      <c r="X3871" s="1" t="s">
        <v>35</v>
      </c>
    </row>
    <row r="3872" spans="1:24" x14ac:dyDescent="0.3">
      <c r="A3872" s="1" t="str">
        <f t="shared" si="725"/>
        <v>59829</v>
      </c>
      <c r="B3872" s="1" t="s">
        <v>47</v>
      </c>
      <c r="C3872" s="1" t="s">
        <v>48</v>
      </c>
      <c r="D3872" s="1" t="str">
        <f t="shared" si="724"/>
        <v>9805</v>
      </c>
      <c r="E3872" s="1" t="s">
        <v>57</v>
      </c>
      <c r="F3872" s="1" t="str">
        <f>"966734677"</f>
        <v>966734677</v>
      </c>
      <c r="G3872" s="1" t="s">
        <v>33</v>
      </c>
      <c r="H3872" s="1" t="str">
        <f t="shared" si="721"/>
        <v>20220916</v>
      </c>
      <c r="I3872" s="1" t="str">
        <f>"121231"</f>
        <v>121231</v>
      </c>
      <c r="J3872" s="1" t="s">
        <v>28</v>
      </c>
      <c r="K3872" s="1" t="s">
        <v>28</v>
      </c>
      <c r="L3872" s="1" t="str">
        <f t="shared" si="726"/>
        <v>20220916</v>
      </c>
      <c r="M3872" s="1" t="str">
        <f>"123146"</f>
        <v>123146</v>
      </c>
      <c r="N3872" s="1" t="s">
        <v>52</v>
      </c>
      <c r="O3872" s="1" t="s">
        <v>52</v>
      </c>
      <c r="P3872" s="1" t="s">
        <v>55</v>
      </c>
      <c r="Q3872" s="1">
        <v>25</v>
      </c>
      <c r="R3872" s="1">
        <v>25</v>
      </c>
      <c r="S3872" s="1">
        <v>0</v>
      </c>
      <c r="T3872" s="1">
        <v>0</v>
      </c>
      <c r="U3872" s="1">
        <v>0</v>
      </c>
      <c r="V3872" s="1" t="str">
        <f t="shared" si="723"/>
        <v>里程去程</v>
      </c>
      <c r="W3872" s="1" t="str">
        <f>"0820"</f>
        <v>0820</v>
      </c>
      <c r="X3872" s="1" t="s">
        <v>35</v>
      </c>
    </row>
    <row r="3873" spans="1:24" x14ac:dyDescent="0.3">
      <c r="A3873" s="1" t="str">
        <f t="shared" si="725"/>
        <v>59829</v>
      </c>
      <c r="B3873" s="1" t="s">
        <v>47</v>
      </c>
      <c r="C3873" s="1" t="s">
        <v>48</v>
      </c>
      <c r="D3873" s="1" t="str">
        <f t="shared" si="724"/>
        <v>9805</v>
      </c>
      <c r="E3873" s="1" t="s">
        <v>57</v>
      </c>
      <c r="F3873" s="1" t="str">
        <f>"1663564501"</f>
        <v>1663564501</v>
      </c>
      <c r="G3873" s="1" t="s">
        <v>33</v>
      </c>
      <c r="H3873" s="1" t="str">
        <f t="shared" si="721"/>
        <v>20220916</v>
      </c>
      <c r="I3873" s="1" t="str">
        <f>"121238"</f>
        <v>121238</v>
      </c>
      <c r="J3873" s="1" t="s">
        <v>28</v>
      </c>
      <c r="K3873" s="1" t="s">
        <v>28</v>
      </c>
      <c r="L3873" s="1" t="str">
        <f t="shared" si="726"/>
        <v>20220916</v>
      </c>
      <c r="M3873" s="1" t="str">
        <f>"123204"</f>
        <v>123204</v>
      </c>
      <c r="N3873" s="1" t="s">
        <v>52</v>
      </c>
      <c r="O3873" s="1" t="s">
        <v>52</v>
      </c>
      <c r="P3873" s="1" t="s">
        <v>55</v>
      </c>
      <c r="Q3873" s="1">
        <v>25</v>
      </c>
      <c r="R3873" s="1">
        <v>25</v>
      </c>
      <c r="S3873" s="1">
        <v>0</v>
      </c>
      <c r="T3873" s="1">
        <v>0</v>
      </c>
      <c r="U3873" s="1">
        <v>0</v>
      </c>
      <c r="V3873" s="1" t="str">
        <f t="shared" si="723"/>
        <v>里程去程</v>
      </c>
      <c r="W3873" s="1" t="str">
        <f>"0620"</f>
        <v>0620</v>
      </c>
      <c r="X3873" s="1" t="s">
        <v>35</v>
      </c>
    </row>
    <row r="3874" spans="1:24" x14ac:dyDescent="0.3">
      <c r="A3874" s="1" t="str">
        <f t="shared" si="725"/>
        <v>59829</v>
      </c>
      <c r="B3874" s="1" t="s">
        <v>47</v>
      </c>
      <c r="C3874" s="1" t="s">
        <v>48</v>
      </c>
      <c r="D3874" s="1" t="str">
        <f t="shared" si="724"/>
        <v>9805</v>
      </c>
      <c r="E3874" s="1" t="s">
        <v>57</v>
      </c>
      <c r="F3874" s="1" t="str">
        <f>"302427805"</f>
        <v>302427805</v>
      </c>
      <c r="G3874" s="1" t="s">
        <v>33</v>
      </c>
      <c r="H3874" s="1" t="str">
        <f t="shared" si="721"/>
        <v>20220916</v>
      </c>
      <c r="I3874" s="1" t="str">
        <f>"121242"</f>
        <v>121242</v>
      </c>
      <c r="J3874" s="1" t="s">
        <v>28</v>
      </c>
      <c r="K3874" s="1" t="s">
        <v>28</v>
      </c>
      <c r="L3874" s="1" t="str">
        <f t="shared" si="726"/>
        <v>20220916</v>
      </c>
      <c r="M3874" s="1" t="str">
        <f>"123236"</f>
        <v>123236</v>
      </c>
      <c r="N3874" s="1" t="s">
        <v>52</v>
      </c>
      <c r="O3874" s="1" t="s">
        <v>52</v>
      </c>
      <c r="P3874" s="1" t="s">
        <v>55</v>
      </c>
      <c r="Q3874" s="1">
        <v>25</v>
      </c>
      <c r="R3874" s="1">
        <v>25</v>
      </c>
      <c r="S3874" s="1">
        <v>0</v>
      </c>
      <c r="T3874" s="1">
        <v>0</v>
      </c>
      <c r="U3874" s="1">
        <v>0</v>
      </c>
      <c r="V3874" s="1" t="str">
        <f t="shared" si="723"/>
        <v>里程去程</v>
      </c>
      <c r="W3874" s="1" t="str">
        <f>"0920"</f>
        <v>0920</v>
      </c>
      <c r="X3874" s="1" t="s">
        <v>35</v>
      </c>
    </row>
    <row r="3875" spans="1:24" x14ac:dyDescent="0.3">
      <c r="A3875" s="1" t="str">
        <f t="shared" si="725"/>
        <v>59829</v>
      </c>
      <c r="B3875" s="1" t="s">
        <v>47</v>
      </c>
      <c r="C3875" s="1" t="s">
        <v>48</v>
      </c>
      <c r="D3875" s="1" t="str">
        <f t="shared" si="724"/>
        <v>9805</v>
      </c>
      <c r="E3875" s="1" t="s">
        <v>57</v>
      </c>
      <c r="F3875" s="1" t="str">
        <f>"1146993029"</f>
        <v>1146993029</v>
      </c>
      <c r="G3875" s="1" t="s">
        <v>96</v>
      </c>
      <c r="H3875" s="1" t="str">
        <f t="shared" si="721"/>
        <v>20220916</v>
      </c>
      <c r="I3875" s="1" t="str">
        <f>"121311"</f>
        <v>121311</v>
      </c>
      <c r="J3875" s="1" t="s">
        <v>28</v>
      </c>
      <c r="K3875" s="1" t="s">
        <v>28</v>
      </c>
      <c r="L3875" s="1" t="str">
        <f t="shared" si="726"/>
        <v>20220916</v>
      </c>
      <c r="M3875" s="1" t="str">
        <f>"123142"</f>
        <v>123142</v>
      </c>
      <c r="N3875" s="1" t="s">
        <v>52</v>
      </c>
      <c r="O3875" s="1" t="s">
        <v>52</v>
      </c>
      <c r="P3875" s="1" t="s">
        <v>55</v>
      </c>
      <c r="Q3875" s="1">
        <v>13</v>
      </c>
      <c r="R3875" s="1">
        <v>13</v>
      </c>
      <c r="S3875" s="1">
        <v>0</v>
      </c>
      <c r="T3875" s="1">
        <v>0</v>
      </c>
      <c r="U3875" s="1">
        <v>0</v>
      </c>
      <c r="V3875" s="1" t="str">
        <f t="shared" si="723"/>
        <v>里程去程</v>
      </c>
      <c r="W3875" s="1" t="str">
        <f>"0220"</f>
        <v>0220</v>
      </c>
      <c r="X3875" s="1" t="s">
        <v>35</v>
      </c>
    </row>
    <row r="3876" spans="1:24" x14ac:dyDescent="0.3">
      <c r="A3876" s="1" t="str">
        <f t="shared" si="725"/>
        <v>59829</v>
      </c>
      <c r="B3876" s="1" t="s">
        <v>47</v>
      </c>
      <c r="C3876" s="1" t="s">
        <v>48</v>
      </c>
      <c r="D3876" s="1" t="str">
        <f t="shared" si="724"/>
        <v>9805</v>
      </c>
      <c r="E3876" s="1" t="s">
        <v>57</v>
      </c>
      <c r="F3876" s="1" t="str">
        <f>"254894385"</f>
        <v>254894385</v>
      </c>
      <c r="G3876" s="1" t="s">
        <v>33</v>
      </c>
      <c r="H3876" s="1" t="str">
        <f t="shared" si="721"/>
        <v>20220916</v>
      </c>
      <c r="I3876" s="1" t="str">
        <f>"121455"</f>
        <v>121455</v>
      </c>
      <c r="J3876" s="1" t="s">
        <v>28</v>
      </c>
      <c r="K3876" s="1" t="s">
        <v>28</v>
      </c>
      <c r="L3876" s="1" t="str">
        <f t="shared" si="726"/>
        <v>20220916</v>
      </c>
      <c r="M3876" s="1" t="str">
        <f>"123121"</f>
        <v>123121</v>
      </c>
      <c r="N3876" s="1" t="s">
        <v>52</v>
      </c>
      <c r="O3876" s="1" t="s">
        <v>52</v>
      </c>
      <c r="P3876" s="1" t="s">
        <v>55</v>
      </c>
      <c r="Q3876" s="1">
        <v>25</v>
      </c>
      <c r="R3876" s="1">
        <v>25</v>
      </c>
      <c r="S3876" s="1">
        <v>0</v>
      </c>
      <c r="T3876" s="1">
        <v>0</v>
      </c>
      <c r="U3876" s="1">
        <v>0</v>
      </c>
      <c r="V3876" s="1" t="str">
        <f t="shared" si="723"/>
        <v>里程去程</v>
      </c>
      <c r="W3876" s="1" t="str">
        <f>"0120"</f>
        <v>0120</v>
      </c>
      <c r="X3876" s="1" t="s">
        <v>35</v>
      </c>
    </row>
    <row r="3877" spans="1:24" x14ac:dyDescent="0.3">
      <c r="A3877" s="1" t="str">
        <f t="shared" si="725"/>
        <v>59829</v>
      </c>
      <c r="B3877" s="1" t="s">
        <v>47</v>
      </c>
      <c r="C3877" s="1" t="s">
        <v>48</v>
      </c>
      <c r="D3877" s="1" t="str">
        <f t="shared" si="724"/>
        <v>9805</v>
      </c>
      <c r="E3877" s="1" t="s">
        <v>57</v>
      </c>
      <c r="F3877" s="1" t="str">
        <f>"5317153028044260"</f>
        <v>5317153028044260</v>
      </c>
      <c r="G3877" s="1" t="s">
        <v>33</v>
      </c>
      <c r="H3877" s="1" t="str">
        <f t="shared" si="721"/>
        <v>20220916</v>
      </c>
      <c r="I3877" s="1" t="str">
        <f>"121511"</f>
        <v>121511</v>
      </c>
      <c r="J3877" s="1" t="s">
        <v>28</v>
      </c>
      <c r="K3877" s="1" t="s">
        <v>28</v>
      </c>
      <c r="L3877" s="1" t="str">
        <f t="shared" si="726"/>
        <v>20220916</v>
      </c>
      <c r="M3877" s="1" t="str">
        <f>"123129"</f>
        <v>123129</v>
      </c>
      <c r="N3877" s="1" t="s">
        <v>52</v>
      </c>
      <c r="O3877" s="1" t="s">
        <v>52</v>
      </c>
      <c r="P3877" s="1" t="s">
        <v>55</v>
      </c>
      <c r="Q3877" s="1">
        <v>25</v>
      </c>
      <c r="R3877" s="1">
        <v>25</v>
      </c>
      <c r="S3877" s="1">
        <v>0</v>
      </c>
      <c r="T3877" s="1">
        <v>0</v>
      </c>
      <c r="U3877" s="1">
        <v>0</v>
      </c>
      <c r="V3877" s="1" t="str">
        <f t="shared" si="723"/>
        <v>里程去程</v>
      </c>
      <c r="W3877" s="1" t="str">
        <f>"003B"</f>
        <v>003B</v>
      </c>
      <c r="X3877" s="1" t="s">
        <v>109</v>
      </c>
    </row>
    <row r="3878" spans="1:24" x14ac:dyDescent="0.3">
      <c r="A3878" s="1" t="str">
        <f t="shared" si="725"/>
        <v>59829</v>
      </c>
      <c r="B3878" s="1" t="s">
        <v>47</v>
      </c>
      <c r="C3878" s="1" t="s">
        <v>48</v>
      </c>
      <c r="D3878" s="1" t="str">
        <f t="shared" si="724"/>
        <v>9805</v>
      </c>
      <c r="E3878" s="1" t="s">
        <v>57</v>
      </c>
      <c r="F3878" s="1" t="str">
        <f>"861309137"</f>
        <v>861309137</v>
      </c>
      <c r="G3878" s="1" t="s">
        <v>33</v>
      </c>
      <c r="H3878" s="1" t="str">
        <f t="shared" si="721"/>
        <v>20220916</v>
      </c>
      <c r="I3878" s="1" t="str">
        <f>"130924"</f>
        <v>130924</v>
      </c>
      <c r="J3878" s="1" t="s">
        <v>52</v>
      </c>
      <c r="K3878" s="1" t="s">
        <v>52</v>
      </c>
      <c r="L3878" s="1" t="str">
        <f t="shared" si="726"/>
        <v>20220916</v>
      </c>
      <c r="M3878" s="1" t="str">
        <f>"132145"</f>
        <v>132145</v>
      </c>
      <c r="N3878" s="1" t="s">
        <v>46</v>
      </c>
      <c r="O3878" s="1" t="s">
        <v>28</v>
      </c>
      <c r="P3878" s="1" t="s">
        <v>55</v>
      </c>
      <c r="Q3878" s="1">
        <v>25</v>
      </c>
      <c r="R3878" s="1">
        <v>25</v>
      </c>
      <c r="S3878" s="1">
        <v>0</v>
      </c>
      <c r="T3878" s="1">
        <v>0</v>
      </c>
      <c r="U3878" s="1">
        <v>0</v>
      </c>
      <c r="V3878" s="1" t="str">
        <f t="shared" ref="V3878:V3896" si="727">"里程返程"</f>
        <v>里程返程</v>
      </c>
      <c r="W3878" s="1" t="str">
        <f t="shared" ref="W3878:W3890" si="728">"2020"</f>
        <v>2020</v>
      </c>
      <c r="X3878" s="1" t="s">
        <v>35</v>
      </c>
    </row>
    <row r="3879" spans="1:24" x14ac:dyDescent="0.3">
      <c r="A3879" s="1" t="str">
        <f t="shared" si="725"/>
        <v>59829</v>
      </c>
      <c r="B3879" s="1" t="s">
        <v>47</v>
      </c>
      <c r="C3879" s="1" t="s">
        <v>48</v>
      </c>
      <c r="D3879" s="1" t="str">
        <f t="shared" si="724"/>
        <v>9805</v>
      </c>
      <c r="E3879" s="1" t="s">
        <v>57</v>
      </c>
      <c r="F3879" s="1" t="str">
        <f>"1181805989"</f>
        <v>1181805989</v>
      </c>
      <c r="G3879" s="1" t="s">
        <v>26</v>
      </c>
      <c r="H3879" s="1" t="str">
        <f t="shared" si="721"/>
        <v>20220916</v>
      </c>
      <c r="I3879" s="1" t="str">
        <f>"130930"</f>
        <v>130930</v>
      </c>
      <c r="J3879" s="1" t="s">
        <v>52</v>
      </c>
      <c r="K3879" s="1" t="s">
        <v>52</v>
      </c>
      <c r="L3879" s="1" t="str">
        <f t="shared" si="726"/>
        <v>20220916</v>
      </c>
      <c r="M3879" s="1" t="str">
        <f>"132112"</f>
        <v>132112</v>
      </c>
      <c r="N3879" s="1" t="s">
        <v>46</v>
      </c>
      <c r="O3879" s="1" t="s">
        <v>28</v>
      </c>
      <c r="P3879" s="1" t="s">
        <v>55</v>
      </c>
      <c r="Q3879" s="1">
        <v>13</v>
      </c>
      <c r="R3879" s="1">
        <v>13</v>
      </c>
      <c r="S3879" s="1">
        <v>0</v>
      </c>
      <c r="T3879" s="1">
        <v>0</v>
      </c>
      <c r="U3879" s="1">
        <v>0</v>
      </c>
      <c r="V3879" s="1" t="str">
        <f t="shared" si="727"/>
        <v>里程返程</v>
      </c>
      <c r="W3879" s="1" t="str">
        <f t="shared" si="728"/>
        <v>2020</v>
      </c>
      <c r="X3879" s="1" t="s">
        <v>35</v>
      </c>
    </row>
    <row r="3880" spans="1:24" x14ac:dyDescent="0.3">
      <c r="A3880" s="1" t="str">
        <f t="shared" si="725"/>
        <v>59829</v>
      </c>
      <c r="B3880" s="1" t="s">
        <v>47</v>
      </c>
      <c r="C3880" s="1" t="s">
        <v>48</v>
      </c>
      <c r="D3880" s="1" t="str">
        <f t="shared" si="724"/>
        <v>9805</v>
      </c>
      <c r="E3880" s="1" t="s">
        <v>57</v>
      </c>
      <c r="F3880" s="1" t="str">
        <f>"1176423637"</f>
        <v>1176423637</v>
      </c>
      <c r="G3880" s="1" t="s">
        <v>26</v>
      </c>
      <c r="H3880" s="1" t="str">
        <f t="shared" si="721"/>
        <v>20220916</v>
      </c>
      <c r="I3880" s="1" t="str">
        <f>"130933"</f>
        <v>130933</v>
      </c>
      <c r="J3880" s="1" t="s">
        <v>52</v>
      </c>
      <c r="K3880" s="1" t="s">
        <v>52</v>
      </c>
      <c r="L3880" s="1" t="str">
        <f t="shared" si="726"/>
        <v>20220916</v>
      </c>
      <c r="M3880" s="1" t="str">
        <f>"132102"</f>
        <v>132102</v>
      </c>
      <c r="N3880" s="1" t="s">
        <v>46</v>
      </c>
      <c r="O3880" s="1" t="s">
        <v>28</v>
      </c>
      <c r="P3880" s="1" t="s">
        <v>55</v>
      </c>
      <c r="Q3880" s="1">
        <v>13</v>
      </c>
      <c r="R3880" s="1">
        <v>13</v>
      </c>
      <c r="S3880" s="1">
        <v>0</v>
      </c>
      <c r="T3880" s="1">
        <v>0</v>
      </c>
      <c r="U3880" s="1">
        <v>0</v>
      </c>
      <c r="V3880" s="1" t="str">
        <f t="shared" si="727"/>
        <v>里程返程</v>
      </c>
      <c r="W3880" s="1" t="str">
        <f t="shared" si="728"/>
        <v>2020</v>
      </c>
      <c r="X3880" s="1" t="s">
        <v>35</v>
      </c>
    </row>
    <row r="3881" spans="1:24" x14ac:dyDescent="0.3">
      <c r="A3881" s="1" t="str">
        <f t="shared" si="725"/>
        <v>59829</v>
      </c>
      <c r="B3881" s="1" t="s">
        <v>47</v>
      </c>
      <c r="C3881" s="1" t="s">
        <v>48</v>
      </c>
      <c r="D3881" s="1" t="str">
        <f t="shared" si="724"/>
        <v>9805</v>
      </c>
      <c r="E3881" s="1" t="s">
        <v>57</v>
      </c>
      <c r="F3881" s="1" t="str">
        <f>"1237081237"</f>
        <v>1237081237</v>
      </c>
      <c r="G3881" s="1" t="s">
        <v>26</v>
      </c>
      <c r="H3881" s="1" t="str">
        <f t="shared" si="721"/>
        <v>20220916</v>
      </c>
      <c r="I3881" s="1" t="str">
        <f>"130937"</f>
        <v>130937</v>
      </c>
      <c r="J3881" s="1" t="s">
        <v>52</v>
      </c>
      <c r="K3881" s="1" t="s">
        <v>52</v>
      </c>
      <c r="L3881" s="1" t="str">
        <f t="shared" si="726"/>
        <v>20220916</v>
      </c>
      <c r="M3881" s="1" t="str">
        <f>"132151"</f>
        <v>132151</v>
      </c>
      <c r="N3881" s="1" t="s">
        <v>46</v>
      </c>
      <c r="O3881" s="1" t="s">
        <v>28</v>
      </c>
      <c r="P3881" s="1" t="s">
        <v>55</v>
      </c>
      <c r="Q3881" s="1">
        <v>13</v>
      </c>
      <c r="R3881" s="1">
        <v>13</v>
      </c>
      <c r="S3881" s="1">
        <v>0</v>
      </c>
      <c r="T3881" s="1">
        <v>0</v>
      </c>
      <c r="U3881" s="1">
        <v>0</v>
      </c>
      <c r="V3881" s="1" t="str">
        <f t="shared" si="727"/>
        <v>里程返程</v>
      </c>
      <c r="W3881" s="1" t="str">
        <f t="shared" si="728"/>
        <v>2020</v>
      </c>
      <c r="X3881" s="1" t="s">
        <v>35</v>
      </c>
    </row>
    <row r="3882" spans="1:24" x14ac:dyDescent="0.3">
      <c r="A3882" s="1" t="str">
        <f t="shared" si="725"/>
        <v>59829</v>
      </c>
      <c r="B3882" s="1" t="s">
        <v>47</v>
      </c>
      <c r="C3882" s="1" t="s">
        <v>48</v>
      </c>
      <c r="D3882" s="1" t="str">
        <f t="shared" si="724"/>
        <v>9805</v>
      </c>
      <c r="E3882" s="1" t="s">
        <v>57</v>
      </c>
      <c r="F3882" s="1" t="str">
        <f>"1236978709"</f>
        <v>1236978709</v>
      </c>
      <c r="G3882" s="1" t="s">
        <v>26</v>
      </c>
      <c r="H3882" s="1" t="str">
        <f t="shared" si="721"/>
        <v>20220916</v>
      </c>
      <c r="I3882" s="1" t="str">
        <f>"130940"</f>
        <v>130940</v>
      </c>
      <c r="J3882" s="1" t="s">
        <v>52</v>
      </c>
      <c r="K3882" s="1" t="s">
        <v>52</v>
      </c>
      <c r="L3882" s="1" t="str">
        <f t="shared" si="726"/>
        <v>20220916</v>
      </c>
      <c r="M3882" s="1" t="str">
        <f>"132148"</f>
        <v>132148</v>
      </c>
      <c r="N3882" s="1" t="s">
        <v>46</v>
      </c>
      <c r="O3882" s="1" t="s">
        <v>28</v>
      </c>
      <c r="P3882" s="1" t="s">
        <v>55</v>
      </c>
      <c r="Q3882" s="1">
        <v>13</v>
      </c>
      <c r="R3882" s="1">
        <v>13</v>
      </c>
      <c r="S3882" s="1">
        <v>0</v>
      </c>
      <c r="T3882" s="1">
        <v>0</v>
      </c>
      <c r="U3882" s="1">
        <v>0</v>
      </c>
      <c r="V3882" s="1" t="str">
        <f t="shared" si="727"/>
        <v>里程返程</v>
      </c>
      <c r="W3882" s="1" t="str">
        <f t="shared" si="728"/>
        <v>2020</v>
      </c>
      <c r="X3882" s="1" t="s">
        <v>35</v>
      </c>
    </row>
    <row r="3883" spans="1:24" x14ac:dyDescent="0.3">
      <c r="A3883" s="1" t="str">
        <f t="shared" si="725"/>
        <v>59829</v>
      </c>
      <c r="B3883" s="1" t="s">
        <v>47</v>
      </c>
      <c r="C3883" s="1" t="s">
        <v>48</v>
      </c>
      <c r="D3883" s="1" t="str">
        <f t="shared" si="724"/>
        <v>9805</v>
      </c>
      <c r="E3883" s="1" t="s">
        <v>57</v>
      </c>
      <c r="F3883" s="1" t="str">
        <f>"1603613109"</f>
        <v>1603613109</v>
      </c>
      <c r="G3883" s="1" t="s">
        <v>33</v>
      </c>
      <c r="H3883" s="1" t="str">
        <f t="shared" si="721"/>
        <v>20220916</v>
      </c>
      <c r="I3883" s="1" t="str">
        <f>"130954"</f>
        <v>130954</v>
      </c>
      <c r="J3883" s="1" t="s">
        <v>52</v>
      </c>
      <c r="K3883" s="1" t="s">
        <v>52</v>
      </c>
      <c r="L3883" s="1" t="str">
        <f>""</f>
        <v/>
      </c>
      <c r="M3883" s="1" t="str">
        <f>""</f>
        <v/>
      </c>
      <c r="P3883" s="1" t="s">
        <v>88</v>
      </c>
      <c r="Q3883" s="1">
        <v>25</v>
      </c>
      <c r="R3883" s="1">
        <v>25</v>
      </c>
      <c r="S3883" s="1">
        <v>0</v>
      </c>
      <c r="T3883" s="1">
        <v>0</v>
      </c>
      <c r="U3883" s="1">
        <v>0</v>
      </c>
      <c r="V3883" s="1" t="str">
        <f t="shared" si="727"/>
        <v>里程返程</v>
      </c>
      <c r="W3883" s="1" t="str">
        <f t="shared" si="728"/>
        <v>2020</v>
      </c>
      <c r="X3883" s="1" t="s">
        <v>35</v>
      </c>
    </row>
    <row r="3884" spans="1:24" x14ac:dyDescent="0.3">
      <c r="A3884" s="1" t="str">
        <f t="shared" si="725"/>
        <v>59829</v>
      </c>
      <c r="B3884" s="1" t="s">
        <v>47</v>
      </c>
      <c r="C3884" s="1" t="s">
        <v>48</v>
      </c>
      <c r="D3884" s="1" t="str">
        <f t="shared" si="724"/>
        <v>9805</v>
      </c>
      <c r="E3884" s="1" t="s">
        <v>57</v>
      </c>
      <c r="F3884" s="1" t="str">
        <f>"1661072517"</f>
        <v>1661072517</v>
      </c>
      <c r="G3884" s="1" t="s">
        <v>26</v>
      </c>
      <c r="H3884" s="1" t="str">
        <f t="shared" si="721"/>
        <v>20220916</v>
      </c>
      <c r="I3884" s="1" t="str">
        <f>"130956"</f>
        <v>130956</v>
      </c>
      <c r="J3884" s="1" t="s">
        <v>52</v>
      </c>
      <c r="K3884" s="1" t="s">
        <v>52</v>
      </c>
      <c r="L3884" s="1" t="str">
        <f t="shared" ref="L3884:L3904" si="729">"20220916"</f>
        <v>20220916</v>
      </c>
      <c r="M3884" s="1" t="str">
        <f>"132052"</f>
        <v>132052</v>
      </c>
      <c r="N3884" s="1" t="s">
        <v>46</v>
      </c>
      <c r="O3884" s="1" t="s">
        <v>28</v>
      </c>
      <c r="P3884" s="1" t="s">
        <v>55</v>
      </c>
      <c r="Q3884" s="1">
        <v>13</v>
      </c>
      <c r="R3884" s="1">
        <v>13</v>
      </c>
      <c r="S3884" s="1">
        <v>0</v>
      </c>
      <c r="T3884" s="1">
        <v>0</v>
      </c>
      <c r="U3884" s="1">
        <v>0</v>
      </c>
      <c r="V3884" s="1" t="str">
        <f t="shared" si="727"/>
        <v>里程返程</v>
      </c>
      <c r="W3884" s="1" t="str">
        <f t="shared" si="728"/>
        <v>2020</v>
      </c>
      <c r="X3884" s="1" t="s">
        <v>35</v>
      </c>
    </row>
    <row r="3885" spans="1:24" x14ac:dyDescent="0.3">
      <c r="A3885" s="1" t="str">
        <f t="shared" si="725"/>
        <v>59829</v>
      </c>
      <c r="B3885" s="1" t="s">
        <v>47</v>
      </c>
      <c r="C3885" s="1" t="s">
        <v>48</v>
      </c>
      <c r="D3885" s="1" t="str">
        <f t="shared" si="724"/>
        <v>9805</v>
      </c>
      <c r="E3885" s="1" t="s">
        <v>57</v>
      </c>
      <c r="F3885" s="1" t="str">
        <f>"1236946517"</f>
        <v>1236946517</v>
      </c>
      <c r="G3885" s="1" t="s">
        <v>26</v>
      </c>
      <c r="H3885" s="1" t="str">
        <f t="shared" si="721"/>
        <v>20220916</v>
      </c>
      <c r="I3885" s="1" t="str">
        <f>"131000"</f>
        <v>131000</v>
      </c>
      <c r="J3885" s="1" t="s">
        <v>52</v>
      </c>
      <c r="K3885" s="1" t="s">
        <v>52</v>
      </c>
      <c r="L3885" s="1" t="str">
        <f t="shared" si="729"/>
        <v>20220916</v>
      </c>
      <c r="M3885" s="1" t="str">
        <f>"132139"</f>
        <v>132139</v>
      </c>
      <c r="N3885" s="1" t="s">
        <v>46</v>
      </c>
      <c r="O3885" s="1" t="s">
        <v>28</v>
      </c>
      <c r="P3885" s="1" t="s">
        <v>55</v>
      </c>
      <c r="Q3885" s="1">
        <v>13</v>
      </c>
      <c r="R3885" s="1">
        <v>13</v>
      </c>
      <c r="S3885" s="1">
        <v>0</v>
      </c>
      <c r="T3885" s="1">
        <v>0</v>
      </c>
      <c r="U3885" s="1">
        <v>0</v>
      </c>
      <c r="V3885" s="1" t="str">
        <f t="shared" si="727"/>
        <v>里程返程</v>
      </c>
      <c r="W3885" s="1" t="str">
        <f t="shared" si="728"/>
        <v>2020</v>
      </c>
      <c r="X3885" s="1" t="s">
        <v>35</v>
      </c>
    </row>
    <row r="3886" spans="1:24" x14ac:dyDescent="0.3">
      <c r="A3886" s="1" t="str">
        <f t="shared" si="725"/>
        <v>59829</v>
      </c>
      <c r="B3886" s="1" t="s">
        <v>47</v>
      </c>
      <c r="C3886" s="1" t="s">
        <v>48</v>
      </c>
      <c r="D3886" s="1" t="str">
        <f t="shared" si="724"/>
        <v>9805</v>
      </c>
      <c r="E3886" s="1" t="s">
        <v>57</v>
      </c>
      <c r="F3886" s="1" t="str">
        <f>"1653402437"</f>
        <v>1653402437</v>
      </c>
      <c r="G3886" s="1" t="s">
        <v>26</v>
      </c>
      <c r="H3886" s="1" t="str">
        <f t="shared" si="721"/>
        <v>20220916</v>
      </c>
      <c r="I3886" s="1" t="str">
        <f>"131015"</f>
        <v>131015</v>
      </c>
      <c r="J3886" s="1" t="s">
        <v>52</v>
      </c>
      <c r="K3886" s="1" t="s">
        <v>52</v>
      </c>
      <c r="L3886" s="1" t="str">
        <f t="shared" si="729"/>
        <v>20220916</v>
      </c>
      <c r="M3886" s="1" t="str">
        <f>"132134"</f>
        <v>132134</v>
      </c>
      <c r="N3886" s="1" t="s">
        <v>46</v>
      </c>
      <c r="O3886" s="1" t="s">
        <v>28</v>
      </c>
      <c r="P3886" s="1" t="s">
        <v>55</v>
      </c>
      <c r="Q3886" s="1">
        <v>13</v>
      </c>
      <c r="R3886" s="1">
        <v>13</v>
      </c>
      <c r="S3886" s="1">
        <v>0</v>
      </c>
      <c r="T3886" s="1">
        <v>0</v>
      </c>
      <c r="U3886" s="1">
        <v>0</v>
      </c>
      <c r="V3886" s="1" t="str">
        <f t="shared" si="727"/>
        <v>里程返程</v>
      </c>
      <c r="W3886" s="1" t="str">
        <f t="shared" si="728"/>
        <v>2020</v>
      </c>
      <c r="X3886" s="1" t="s">
        <v>35</v>
      </c>
    </row>
    <row r="3887" spans="1:24" x14ac:dyDescent="0.3">
      <c r="A3887" s="1" t="str">
        <f t="shared" si="725"/>
        <v>59829</v>
      </c>
      <c r="B3887" s="1" t="s">
        <v>47</v>
      </c>
      <c r="C3887" s="1" t="s">
        <v>48</v>
      </c>
      <c r="D3887" s="1" t="str">
        <f t="shared" si="724"/>
        <v>9805</v>
      </c>
      <c r="E3887" s="1" t="s">
        <v>57</v>
      </c>
      <c r="F3887" s="1" t="str">
        <f>"1653466229"</f>
        <v>1653466229</v>
      </c>
      <c r="G3887" s="1" t="s">
        <v>26</v>
      </c>
      <c r="H3887" s="1" t="str">
        <f t="shared" si="721"/>
        <v>20220916</v>
      </c>
      <c r="I3887" s="1" t="str">
        <f>"131022"</f>
        <v>131022</v>
      </c>
      <c r="J3887" s="1" t="s">
        <v>52</v>
      </c>
      <c r="K3887" s="1" t="s">
        <v>52</v>
      </c>
      <c r="L3887" s="1" t="str">
        <f t="shared" si="729"/>
        <v>20220916</v>
      </c>
      <c r="M3887" s="1" t="str">
        <f>"132129"</f>
        <v>132129</v>
      </c>
      <c r="N3887" s="1" t="s">
        <v>46</v>
      </c>
      <c r="O3887" s="1" t="s">
        <v>28</v>
      </c>
      <c r="P3887" s="1" t="s">
        <v>55</v>
      </c>
      <c r="Q3887" s="1">
        <v>13</v>
      </c>
      <c r="R3887" s="1">
        <v>13</v>
      </c>
      <c r="S3887" s="1">
        <v>0</v>
      </c>
      <c r="T3887" s="1">
        <v>0</v>
      </c>
      <c r="U3887" s="1">
        <v>0</v>
      </c>
      <c r="V3887" s="1" t="str">
        <f t="shared" si="727"/>
        <v>里程返程</v>
      </c>
      <c r="W3887" s="1" t="str">
        <f t="shared" si="728"/>
        <v>2020</v>
      </c>
      <c r="X3887" s="1" t="s">
        <v>35</v>
      </c>
    </row>
    <row r="3888" spans="1:24" x14ac:dyDescent="0.3">
      <c r="A3888" s="1" t="str">
        <f t="shared" si="725"/>
        <v>59829</v>
      </c>
      <c r="B3888" s="1" t="s">
        <v>47</v>
      </c>
      <c r="C3888" s="1" t="s">
        <v>48</v>
      </c>
      <c r="D3888" s="1" t="str">
        <f t="shared" si="724"/>
        <v>9805</v>
      </c>
      <c r="E3888" s="1" t="s">
        <v>57</v>
      </c>
      <c r="F3888" s="1" t="str">
        <f>"1848977429"</f>
        <v>1848977429</v>
      </c>
      <c r="G3888" s="1" t="s">
        <v>33</v>
      </c>
      <c r="H3888" s="1" t="str">
        <f t="shared" si="721"/>
        <v>20220916</v>
      </c>
      <c r="I3888" s="1" t="str">
        <f>"131037"</f>
        <v>131037</v>
      </c>
      <c r="J3888" s="1" t="s">
        <v>52</v>
      </c>
      <c r="K3888" s="1" t="s">
        <v>52</v>
      </c>
      <c r="L3888" s="1" t="str">
        <f t="shared" si="729"/>
        <v>20220916</v>
      </c>
      <c r="M3888" s="1" t="str">
        <f>"132208"</f>
        <v>132208</v>
      </c>
      <c r="N3888" s="1" t="s">
        <v>46</v>
      </c>
      <c r="O3888" s="1" t="s">
        <v>28</v>
      </c>
      <c r="P3888" s="1" t="s">
        <v>55</v>
      </c>
      <c r="Q3888" s="1">
        <v>25</v>
      </c>
      <c r="R3888" s="1">
        <v>25</v>
      </c>
      <c r="S3888" s="1">
        <v>0</v>
      </c>
      <c r="T3888" s="1">
        <v>0</v>
      </c>
      <c r="U3888" s="1">
        <v>0</v>
      </c>
      <c r="V3888" s="1" t="str">
        <f t="shared" si="727"/>
        <v>里程返程</v>
      </c>
      <c r="W3888" s="1" t="str">
        <f t="shared" si="728"/>
        <v>2020</v>
      </c>
      <c r="X3888" s="1" t="s">
        <v>35</v>
      </c>
    </row>
    <row r="3889" spans="1:24" x14ac:dyDescent="0.3">
      <c r="A3889" s="1" t="str">
        <f t="shared" ref="A3889:A3904" si="730">"59829"</f>
        <v>59829</v>
      </c>
      <c r="B3889" s="1" t="s">
        <v>47</v>
      </c>
      <c r="C3889" s="1" t="s">
        <v>48</v>
      </c>
      <c r="D3889" s="1" t="str">
        <f t="shared" si="724"/>
        <v>9805</v>
      </c>
      <c r="E3889" s="1" t="s">
        <v>57</v>
      </c>
      <c r="F3889" s="1" t="str">
        <f>"302427805"</f>
        <v>302427805</v>
      </c>
      <c r="G3889" s="1" t="s">
        <v>33</v>
      </c>
      <c r="H3889" s="1" t="str">
        <f t="shared" si="721"/>
        <v>20220916</v>
      </c>
      <c r="I3889" s="1" t="str">
        <f>"131052"</f>
        <v>131052</v>
      </c>
      <c r="J3889" s="1" t="s">
        <v>52</v>
      </c>
      <c r="K3889" s="1" t="s">
        <v>52</v>
      </c>
      <c r="L3889" s="1" t="str">
        <f t="shared" si="729"/>
        <v>20220916</v>
      </c>
      <c r="M3889" s="1" t="str">
        <f>"132155"</f>
        <v>132155</v>
      </c>
      <c r="N3889" s="1" t="s">
        <v>46</v>
      </c>
      <c r="O3889" s="1" t="s">
        <v>28</v>
      </c>
      <c r="P3889" s="1" t="s">
        <v>55</v>
      </c>
      <c r="Q3889" s="1">
        <v>25</v>
      </c>
      <c r="R3889" s="1">
        <v>25</v>
      </c>
      <c r="S3889" s="1">
        <v>0</v>
      </c>
      <c r="T3889" s="1">
        <v>0</v>
      </c>
      <c r="U3889" s="1">
        <v>0</v>
      </c>
      <c r="V3889" s="1" t="str">
        <f t="shared" si="727"/>
        <v>里程返程</v>
      </c>
      <c r="W3889" s="1" t="str">
        <f t="shared" si="728"/>
        <v>2020</v>
      </c>
      <c r="X3889" s="1" t="s">
        <v>35</v>
      </c>
    </row>
    <row r="3890" spans="1:24" x14ac:dyDescent="0.3">
      <c r="A3890" s="1" t="str">
        <f t="shared" si="730"/>
        <v>59829</v>
      </c>
      <c r="B3890" s="1" t="s">
        <v>47</v>
      </c>
      <c r="C3890" s="1" t="s">
        <v>48</v>
      </c>
      <c r="D3890" s="1" t="str">
        <f t="shared" si="724"/>
        <v>9805</v>
      </c>
      <c r="E3890" s="1" t="s">
        <v>57</v>
      </c>
      <c r="F3890" s="1" t="str">
        <f>"1660410853"</f>
        <v>1660410853</v>
      </c>
      <c r="G3890" s="1" t="s">
        <v>26</v>
      </c>
      <c r="H3890" s="1" t="str">
        <f t="shared" si="721"/>
        <v>20220916</v>
      </c>
      <c r="I3890" s="1" t="str">
        <f>"131058"</f>
        <v>131058</v>
      </c>
      <c r="J3890" s="1" t="s">
        <v>52</v>
      </c>
      <c r="K3890" s="1" t="s">
        <v>52</v>
      </c>
      <c r="L3890" s="1" t="str">
        <f t="shared" si="729"/>
        <v>20220916</v>
      </c>
      <c r="M3890" s="1" t="str">
        <f>"132205"</f>
        <v>132205</v>
      </c>
      <c r="N3890" s="1" t="s">
        <v>46</v>
      </c>
      <c r="O3890" s="1" t="s">
        <v>28</v>
      </c>
      <c r="P3890" s="1" t="s">
        <v>55</v>
      </c>
      <c r="Q3890" s="1">
        <v>13</v>
      </c>
      <c r="R3890" s="1">
        <v>13</v>
      </c>
      <c r="S3890" s="1">
        <v>0</v>
      </c>
      <c r="T3890" s="1">
        <v>0</v>
      </c>
      <c r="U3890" s="1">
        <v>0</v>
      </c>
      <c r="V3890" s="1" t="str">
        <f t="shared" si="727"/>
        <v>里程返程</v>
      </c>
      <c r="W3890" s="1" t="str">
        <f t="shared" si="728"/>
        <v>2020</v>
      </c>
      <c r="X3890" s="1" t="s">
        <v>35</v>
      </c>
    </row>
    <row r="3891" spans="1:24" x14ac:dyDescent="0.3">
      <c r="A3891" s="1" t="str">
        <f t="shared" si="730"/>
        <v>59829</v>
      </c>
      <c r="B3891" s="1" t="s">
        <v>47</v>
      </c>
      <c r="C3891" s="1" t="s">
        <v>48</v>
      </c>
      <c r="D3891" s="1" t="str">
        <f t="shared" si="724"/>
        <v>9805</v>
      </c>
      <c r="E3891" s="1" t="s">
        <v>57</v>
      </c>
      <c r="F3891" s="1" t="str">
        <f>"2127395560"</f>
        <v>2127395560</v>
      </c>
      <c r="G3891" s="1" t="s">
        <v>74</v>
      </c>
      <c r="H3891" s="1" t="str">
        <f t="shared" si="721"/>
        <v>20220916</v>
      </c>
      <c r="I3891" s="1" t="str">
        <f>"131108"</f>
        <v>131108</v>
      </c>
      <c r="J3891" s="1" t="s">
        <v>52</v>
      </c>
      <c r="K3891" s="1" t="s">
        <v>52</v>
      </c>
      <c r="L3891" s="1" t="str">
        <f t="shared" si="729"/>
        <v>20220916</v>
      </c>
      <c r="M3891" s="1" t="str">
        <f>"132158"</f>
        <v>132158</v>
      </c>
      <c r="N3891" s="1" t="s">
        <v>46</v>
      </c>
      <c r="O3891" s="1" t="s">
        <v>28</v>
      </c>
      <c r="P3891" s="1" t="s">
        <v>55</v>
      </c>
      <c r="Q3891" s="1">
        <v>13</v>
      </c>
      <c r="R3891" s="1">
        <v>13</v>
      </c>
      <c r="S3891" s="1">
        <v>0</v>
      </c>
      <c r="T3891" s="1">
        <v>0</v>
      </c>
      <c r="U3891" s="1">
        <v>0</v>
      </c>
      <c r="V3891" s="1" t="str">
        <f t="shared" si="727"/>
        <v>里程返程</v>
      </c>
      <c r="W3891" s="1" t="str">
        <f>"1920"</f>
        <v>1920</v>
      </c>
      <c r="X3891" s="1" t="s">
        <v>35</v>
      </c>
    </row>
    <row r="3892" spans="1:24" x14ac:dyDescent="0.3">
      <c r="A3892" s="1" t="str">
        <f t="shared" si="730"/>
        <v>59829</v>
      </c>
      <c r="B3892" s="1" t="s">
        <v>47</v>
      </c>
      <c r="C3892" s="1" t="s">
        <v>48</v>
      </c>
      <c r="D3892" s="1" t="str">
        <f t="shared" si="724"/>
        <v>9805</v>
      </c>
      <c r="E3892" s="1" t="s">
        <v>57</v>
      </c>
      <c r="F3892" s="1" t="str">
        <f>"1663564501"</f>
        <v>1663564501</v>
      </c>
      <c r="G3892" s="1" t="s">
        <v>33</v>
      </c>
      <c r="H3892" s="1" t="str">
        <f t="shared" si="721"/>
        <v>20220916</v>
      </c>
      <c r="I3892" s="1" t="str">
        <f>"131111"</f>
        <v>131111</v>
      </c>
      <c r="J3892" s="1" t="s">
        <v>52</v>
      </c>
      <c r="K3892" s="1" t="s">
        <v>52</v>
      </c>
      <c r="L3892" s="1" t="str">
        <f t="shared" si="729"/>
        <v>20220916</v>
      </c>
      <c r="M3892" s="1" t="str">
        <f>"132211"</f>
        <v>132211</v>
      </c>
      <c r="N3892" s="1" t="s">
        <v>46</v>
      </c>
      <c r="O3892" s="1" t="s">
        <v>28</v>
      </c>
      <c r="P3892" s="1" t="s">
        <v>55</v>
      </c>
      <c r="Q3892" s="1">
        <v>25</v>
      </c>
      <c r="R3892" s="1">
        <v>25</v>
      </c>
      <c r="S3892" s="1">
        <v>0</v>
      </c>
      <c r="T3892" s="1">
        <v>0</v>
      </c>
      <c r="U3892" s="1">
        <v>0</v>
      </c>
      <c r="V3892" s="1" t="str">
        <f t="shared" si="727"/>
        <v>里程返程</v>
      </c>
      <c r="W3892" s="1" t="str">
        <f>"2020"</f>
        <v>2020</v>
      </c>
      <c r="X3892" s="1" t="s">
        <v>35</v>
      </c>
    </row>
    <row r="3893" spans="1:24" x14ac:dyDescent="0.3">
      <c r="A3893" s="1" t="str">
        <f t="shared" si="730"/>
        <v>59829</v>
      </c>
      <c r="B3893" s="1" t="s">
        <v>47</v>
      </c>
      <c r="C3893" s="1" t="s">
        <v>48</v>
      </c>
      <c r="D3893" s="1" t="str">
        <f t="shared" si="724"/>
        <v>9805</v>
      </c>
      <c r="E3893" s="1" t="s">
        <v>57</v>
      </c>
      <c r="F3893" s="1" t="str">
        <f>"647711585"</f>
        <v>647711585</v>
      </c>
      <c r="G3893" s="1" t="s">
        <v>33</v>
      </c>
      <c r="H3893" s="1" t="str">
        <f t="shared" si="721"/>
        <v>20220916</v>
      </c>
      <c r="I3893" s="1" t="str">
        <f>"131758"</f>
        <v>131758</v>
      </c>
      <c r="J3893" s="1" t="s">
        <v>103</v>
      </c>
      <c r="K3893" s="1" t="s">
        <v>28</v>
      </c>
      <c r="L3893" s="1" t="str">
        <f t="shared" si="729"/>
        <v>20220916</v>
      </c>
      <c r="M3893" s="1" t="str">
        <f>"132957"</f>
        <v>132957</v>
      </c>
      <c r="N3893" s="1" t="s">
        <v>28</v>
      </c>
      <c r="O3893" s="1" t="s">
        <v>28</v>
      </c>
      <c r="P3893" s="1" t="s">
        <v>55</v>
      </c>
      <c r="Q3893" s="1">
        <v>25</v>
      </c>
      <c r="R3893" s="1">
        <v>25</v>
      </c>
      <c r="S3893" s="1">
        <v>0</v>
      </c>
      <c r="T3893" s="1">
        <v>0</v>
      </c>
      <c r="U3893" s="1">
        <v>0</v>
      </c>
      <c r="V3893" s="1" t="str">
        <f t="shared" si="727"/>
        <v>里程返程</v>
      </c>
      <c r="W3893" s="1" t="str">
        <f>"2120"</f>
        <v>2120</v>
      </c>
      <c r="X3893" s="1" t="s">
        <v>35</v>
      </c>
    </row>
    <row r="3894" spans="1:24" x14ac:dyDescent="0.3">
      <c r="A3894" s="1" t="str">
        <f t="shared" si="730"/>
        <v>59829</v>
      </c>
      <c r="B3894" s="1" t="s">
        <v>47</v>
      </c>
      <c r="C3894" s="1" t="s">
        <v>48</v>
      </c>
      <c r="D3894" s="1" t="str">
        <f>"9803"</f>
        <v>9803</v>
      </c>
      <c r="E3894" s="1" t="s">
        <v>32</v>
      </c>
      <c r="F3894" s="1" t="str">
        <f>"1081568641"</f>
        <v>1081568641</v>
      </c>
      <c r="G3894" s="1" t="s">
        <v>33</v>
      </c>
      <c r="H3894" s="1" t="str">
        <f t="shared" si="721"/>
        <v>20220916</v>
      </c>
      <c r="I3894" s="1" t="str">
        <f>"135422"</f>
        <v>135422</v>
      </c>
      <c r="J3894" s="1" t="s">
        <v>34</v>
      </c>
      <c r="K3894" s="1" t="s">
        <v>34</v>
      </c>
      <c r="L3894" s="1" t="str">
        <f t="shared" si="729"/>
        <v>20220916</v>
      </c>
      <c r="M3894" s="1" t="str">
        <f>"142622"</f>
        <v>142622</v>
      </c>
      <c r="N3894" s="1" t="s">
        <v>28</v>
      </c>
      <c r="O3894" s="1" t="s">
        <v>28</v>
      </c>
      <c r="P3894" s="1" t="s">
        <v>55</v>
      </c>
      <c r="Q3894" s="1">
        <v>25</v>
      </c>
      <c r="R3894" s="1">
        <v>25</v>
      </c>
      <c r="S3894" s="1">
        <v>0</v>
      </c>
      <c r="T3894" s="1">
        <v>0</v>
      </c>
      <c r="U3894" s="1">
        <v>0</v>
      </c>
      <c r="V3894" s="1" t="str">
        <f t="shared" si="727"/>
        <v>里程返程</v>
      </c>
      <c r="W3894" s="1" t="str">
        <f>"2020"</f>
        <v>2020</v>
      </c>
      <c r="X3894" s="1" t="s">
        <v>35</v>
      </c>
    </row>
    <row r="3895" spans="1:24" x14ac:dyDescent="0.3">
      <c r="A3895" s="1" t="str">
        <f t="shared" si="730"/>
        <v>59829</v>
      </c>
      <c r="B3895" s="1" t="s">
        <v>47</v>
      </c>
      <c r="C3895" s="1" t="s">
        <v>48</v>
      </c>
      <c r="D3895" s="1" t="str">
        <f>"9803"</f>
        <v>9803</v>
      </c>
      <c r="E3895" s="1" t="s">
        <v>32</v>
      </c>
      <c r="F3895" s="1" t="str">
        <f>"1011460369"</f>
        <v>1011460369</v>
      </c>
      <c r="G3895" s="1" t="s">
        <v>33</v>
      </c>
      <c r="H3895" s="1" t="str">
        <f t="shared" si="721"/>
        <v>20220916</v>
      </c>
      <c r="I3895" s="1" t="str">
        <f>"135429"</f>
        <v>135429</v>
      </c>
      <c r="J3895" s="1" t="s">
        <v>34</v>
      </c>
      <c r="K3895" s="1" t="s">
        <v>34</v>
      </c>
      <c r="L3895" s="1" t="str">
        <f t="shared" si="729"/>
        <v>20220916</v>
      </c>
      <c r="M3895" s="1" t="str">
        <f>"141249"</f>
        <v>141249</v>
      </c>
      <c r="N3895" s="1" t="s">
        <v>46</v>
      </c>
      <c r="O3895" s="1" t="s">
        <v>28</v>
      </c>
      <c r="P3895" s="1" t="s">
        <v>55</v>
      </c>
      <c r="Q3895" s="1">
        <v>25</v>
      </c>
      <c r="R3895" s="1">
        <v>25</v>
      </c>
      <c r="S3895" s="1">
        <v>0</v>
      </c>
      <c r="T3895" s="1">
        <v>0</v>
      </c>
      <c r="U3895" s="1">
        <v>0</v>
      </c>
      <c r="V3895" s="1" t="str">
        <f t="shared" si="727"/>
        <v>里程返程</v>
      </c>
      <c r="W3895" s="1" t="str">
        <f>"2020"</f>
        <v>2020</v>
      </c>
      <c r="X3895" s="1" t="s">
        <v>35</v>
      </c>
    </row>
    <row r="3896" spans="1:24" x14ac:dyDescent="0.3">
      <c r="A3896" s="1" t="str">
        <f t="shared" si="730"/>
        <v>59829</v>
      </c>
      <c r="B3896" s="1" t="s">
        <v>47</v>
      </c>
      <c r="C3896" s="1" t="s">
        <v>48</v>
      </c>
      <c r="D3896" s="1" t="str">
        <f>"9803"</f>
        <v>9803</v>
      </c>
      <c r="E3896" s="1" t="s">
        <v>32</v>
      </c>
      <c r="F3896" s="1" t="str">
        <f>"669293109"</f>
        <v>669293109</v>
      </c>
      <c r="G3896" s="1" t="s">
        <v>33</v>
      </c>
      <c r="H3896" s="1" t="str">
        <f t="shared" si="721"/>
        <v>20220916</v>
      </c>
      <c r="I3896" s="1" t="str">
        <f>"141257"</f>
        <v>141257</v>
      </c>
      <c r="J3896" s="1" t="s">
        <v>46</v>
      </c>
      <c r="K3896" s="1" t="s">
        <v>28</v>
      </c>
      <c r="L3896" s="1" t="str">
        <f t="shared" si="729"/>
        <v>20220916</v>
      </c>
      <c r="M3896" s="1" t="str">
        <f>"142643"</f>
        <v>142643</v>
      </c>
      <c r="N3896" s="1" t="s">
        <v>28</v>
      </c>
      <c r="O3896" s="1" t="s">
        <v>28</v>
      </c>
      <c r="P3896" s="1" t="s">
        <v>55</v>
      </c>
      <c r="Q3896" s="1">
        <v>25</v>
      </c>
      <c r="R3896" s="1">
        <v>0</v>
      </c>
      <c r="S3896" s="1">
        <v>25</v>
      </c>
      <c r="T3896" s="1">
        <v>0</v>
      </c>
      <c r="U3896" s="1">
        <v>0</v>
      </c>
      <c r="V3896" s="1" t="str">
        <f t="shared" si="727"/>
        <v>里程返程</v>
      </c>
      <c r="W3896" s="1" t="str">
        <f>"2120"</f>
        <v>2120</v>
      </c>
      <c r="X3896" s="1" t="s">
        <v>35</v>
      </c>
    </row>
    <row r="3897" spans="1:24" x14ac:dyDescent="0.3">
      <c r="A3897" s="1" t="str">
        <f t="shared" si="730"/>
        <v>59829</v>
      </c>
      <c r="B3897" s="1" t="s">
        <v>47</v>
      </c>
      <c r="C3897" s="1" t="s">
        <v>48</v>
      </c>
      <c r="D3897" s="1" t="str">
        <f>"9805"</f>
        <v>9805</v>
      </c>
      <c r="E3897" s="1" t="s">
        <v>57</v>
      </c>
      <c r="F3897" s="1" t="str">
        <f>"399519777"</f>
        <v>399519777</v>
      </c>
      <c r="G3897" s="1" t="s">
        <v>33</v>
      </c>
      <c r="H3897" s="1" t="str">
        <f t="shared" si="721"/>
        <v>20220916</v>
      </c>
      <c r="I3897" s="1" t="str">
        <f>"151738"</f>
        <v>151738</v>
      </c>
      <c r="J3897" s="1" t="s">
        <v>28</v>
      </c>
      <c r="K3897" s="1" t="s">
        <v>28</v>
      </c>
      <c r="L3897" s="1" t="str">
        <f t="shared" si="729"/>
        <v>20220916</v>
      </c>
      <c r="M3897" s="1" t="str">
        <f>"153639"</f>
        <v>153639</v>
      </c>
      <c r="N3897" s="1" t="s">
        <v>52</v>
      </c>
      <c r="O3897" s="1" t="s">
        <v>52</v>
      </c>
      <c r="P3897" s="1" t="s">
        <v>55</v>
      </c>
      <c r="Q3897" s="1">
        <v>25</v>
      </c>
      <c r="R3897" s="1">
        <v>0</v>
      </c>
      <c r="S3897" s="1">
        <v>25</v>
      </c>
      <c r="T3897" s="1">
        <v>0</v>
      </c>
      <c r="U3897" s="1">
        <v>0</v>
      </c>
      <c r="V3897" s="1" t="str">
        <f>"里程去程"</f>
        <v>里程去程</v>
      </c>
      <c r="W3897" s="1" t="str">
        <f>"2120"</f>
        <v>2120</v>
      </c>
      <c r="X3897" s="1" t="s">
        <v>35</v>
      </c>
    </row>
    <row r="3898" spans="1:24" x14ac:dyDescent="0.3">
      <c r="A3898" s="1" t="str">
        <f t="shared" si="730"/>
        <v>59829</v>
      </c>
      <c r="B3898" s="1" t="s">
        <v>47</v>
      </c>
      <c r="C3898" s="1" t="s">
        <v>48</v>
      </c>
      <c r="D3898" s="1" t="str">
        <f>"9805"</f>
        <v>9805</v>
      </c>
      <c r="E3898" s="1" t="s">
        <v>57</v>
      </c>
      <c r="F3898" s="1" t="str">
        <f>"1610416881"</f>
        <v>1610416881</v>
      </c>
      <c r="G3898" s="1" t="s">
        <v>33</v>
      </c>
      <c r="H3898" s="1" t="str">
        <f t="shared" si="721"/>
        <v>20220916</v>
      </c>
      <c r="I3898" s="1" t="str">
        <f>"151802"</f>
        <v>151802</v>
      </c>
      <c r="J3898" s="1" t="s">
        <v>28</v>
      </c>
      <c r="K3898" s="1" t="s">
        <v>28</v>
      </c>
      <c r="L3898" s="1" t="str">
        <f t="shared" si="729"/>
        <v>20220916</v>
      </c>
      <c r="M3898" s="1" t="str">
        <f>"153643"</f>
        <v>153643</v>
      </c>
      <c r="N3898" s="1" t="s">
        <v>52</v>
      </c>
      <c r="O3898" s="1" t="s">
        <v>52</v>
      </c>
      <c r="P3898" s="1" t="s">
        <v>55</v>
      </c>
      <c r="Q3898" s="1">
        <v>25</v>
      </c>
      <c r="R3898" s="1">
        <v>25</v>
      </c>
      <c r="S3898" s="1">
        <v>0</v>
      </c>
      <c r="T3898" s="1">
        <v>0</v>
      </c>
      <c r="U3898" s="1">
        <v>0</v>
      </c>
      <c r="V3898" s="1" t="str">
        <f>"里程去程"</f>
        <v>里程去程</v>
      </c>
      <c r="W3898" s="1" t="str">
        <f>"0620"</f>
        <v>0620</v>
      </c>
      <c r="X3898" s="1" t="s">
        <v>35</v>
      </c>
    </row>
    <row r="3899" spans="1:24" x14ac:dyDescent="0.3">
      <c r="A3899" s="1" t="str">
        <f t="shared" si="730"/>
        <v>59829</v>
      </c>
      <c r="B3899" s="1" t="s">
        <v>47</v>
      </c>
      <c r="C3899" s="1" t="s">
        <v>48</v>
      </c>
      <c r="D3899" s="1" t="str">
        <f>"9805"</f>
        <v>9805</v>
      </c>
      <c r="E3899" s="1" t="s">
        <v>57</v>
      </c>
      <c r="F3899" s="1" t="str">
        <f>"660537722"</f>
        <v>660537722</v>
      </c>
      <c r="G3899" s="1" t="s">
        <v>74</v>
      </c>
      <c r="H3899" s="1" t="str">
        <f t="shared" si="721"/>
        <v>20220916</v>
      </c>
      <c r="I3899" s="1" t="str">
        <f>"151807"</f>
        <v>151807</v>
      </c>
      <c r="J3899" s="1" t="s">
        <v>28</v>
      </c>
      <c r="K3899" s="1" t="s">
        <v>28</v>
      </c>
      <c r="L3899" s="1" t="str">
        <f t="shared" si="729"/>
        <v>20220916</v>
      </c>
      <c r="M3899" s="1" t="str">
        <f>"153222"</f>
        <v>153222</v>
      </c>
      <c r="N3899" s="1" t="s">
        <v>56</v>
      </c>
      <c r="O3899" s="1" t="s">
        <v>28</v>
      </c>
      <c r="P3899" s="1" t="s">
        <v>55</v>
      </c>
      <c r="Q3899" s="1">
        <v>13</v>
      </c>
      <c r="R3899" s="1">
        <v>13</v>
      </c>
      <c r="S3899" s="1">
        <v>0</v>
      </c>
      <c r="T3899" s="1">
        <v>0</v>
      </c>
      <c r="U3899" s="1">
        <v>0</v>
      </c>
      <c r="V3899" s="1" t="str">
        <f>"里程去程"</f>
        <v>里程去程</v>
      </c>
      <c r="W3899" s="1" t="str">
        <f>"0120"</f>
        <v>0120</v>
      </c>
      <c r="X3899" s="1" t="s">
        <v>35</v>
      </c>
    </row>
    <row r="3900" spans="1:24" x14ac:dyDescent="0.3">
      <c r="A3900" s="1" t="str">
        <f t="shared" si="730"/>
        <v>59829</v>
      </c>
      <c r="B3900" s="1" t="s">
        <v>47</v>
      </c>
      <c r="C3900" s="1" t="s">
        <v>48</v>
      </c>
      <c r="D3900" s="1" t="str">
        <f>"9805"</f>
        <v>9805</v>
      </c>
      <c r="E3900" s="1" t="s">
        <v>57</v>
      </c>
      <c r="F3900" s="1" t="str">
        <f>"1193725937"</f>
        <v>1193725937</v>
      </c>
      <c r="G3900" s="1" t="s">
        <v>33</v>
      </c>
      <c r="H3900" s="1" t="str">
        <f t="shared" si="721"/>
        <v>20220916</v>
      </c>
      <c r="I3900" s="1" t="str">
        <f>"154606"</f>
        <v>154606</v>
      </c>
      <c r="J3900" s="1" t="s">
        <v>103</v>
      </c>
      <c r="K3900" s="1" t="s">
        <v>28</v>
      </c>
      <c r="L3900" s="1" t="str">
        <f t="shared" si="729"/>
        <v>20220916</v>
      </c>
      <c r="M3900" s="1" t="str">
        <f>"155807"</f>
        <v>155807</v>
      </c>
      <c r="N3900" s="1" t="s">
        <v>28</v>
      </c>
      <c r="O3900" s="1" t="s">
        <v>28</v>
      </c>
      <c r="P3900" s="1" t="s">
        <v>55</v>
      </c>
      <c r="Q3900" s="1">
        <v>25</v>
      </c>
      <c r="R3900" s="1">
        <v>25</v>
      </c>
      <c r="S3900" s="1">
        <v>0</v>
      </c>
      <c r="T3900" s="1">
        <v>0</v>
      </c>
      <c r="U3900" s="1">
        <v>0</v>
      </c>
      <c r="V3900" s="1" t="str">
        <f>"里程返程"</f>
        <v>里程返程</v>
      </c>
      <c r="W3900" s="1" t="str">
        <f>"0620"</f>
        <v>0620</v>
      </c>
      <c r="X3900" s="1" t="s">
        <v>35</v>
      </c>
    </row>
    <row r="3901" spans="1:24" x14ac:dyDescent="0.3">
      <c r="A3901" s="1" t="str">
        <f t="shared" si="730"/>
        <v>59829</v>
      </c>
      <c r="B3901" s="1" t="s">
        <v>47</v>
      </c>
      <c r="C3901" s="1" t="s">
        <v>48</v>
      </c>
      <c r="D3901" s="1" t="str">
        <f>"9806"</f>
        <v>9806</v>
      </c>
      <c r="E3901" s="1" t="s">
        <v>49</v>
      </c>
      <c r="F3901" s="1" t="str">
        <f>"1027075861"</f>
        <v>1027075861</v>
      </c>
      <c r="G3901" s="1" t="s">
        <v>33</v>
      </c>
      <c r="H3901" s="1" t="str">
        <f t="shared" si="721"/>
        <v>20220916</v>
      </c>
      <c r="I3901" s="1" t="str">
        <f>"172248"</f>
        <v>172248</v>
      </c>
      <c r="J3901" s="1" t="s">
        <v>76</v>
      </c>
      <c r="K3901" s="1" t="s">
        <v>28</v>
      </c>
      <c r="L3901" s="1" t="str">
        <f t="shared" si="729"/>
        <v>20220916</v>
      </c>
      <c r="M3901" s="1" t="str">
        <f>"174036"</f>
        <v>174036</v>
      </c>
      <c r="N3901" s="1" t="s">
        <v>28</v>
      </c>
      <c r="O3901" s="1" t="s">
        <v>28</v>
      </c>
      <c r="P3901" s="1" t="s">
        <v>55</v>
      </c>
      <c r="Q3901" s="1">
        <v>25</v>
      </c>
      <c r="R3901" s="1">
        <v>25</v>
      </c>
      <c r="S3901" s="1">
        <v>0</v>
      </c>
      <c r="T3901" s="1">
        <v>0</v>
      </c>
      <c r="U3901" s="1">
        <v>0</v>
      </c>
      <c r="V3901" s="1" t="str">
        <f>"里程去程"</f>
        <v>里程去程</v>
      </c>
      <c r="W3901" s="1" t="str">
        <f>"0820"</f>
        <v>0820</v>
      </c>
      <c r="X3901" s="1" t="s">
        <v>35</v>
      </c>
    </row>
    <row r="3902" spans="1:24" x14ac:dyDescent="0.3">
      <c r="A3902" s="1" t="str">
        <f t="shared" si="730"/>
        <v>59829</v>
      </c>
      <c r="B3902" s="1" t="s">
        <v>47</v>
      </c>
      <c r="C3902" s="1" t="s">
        <v>48</v>
      </c>
      <c r="D3902" s="1" t="str">
        <f>"9803"</f>
        <v>9803</v>
      </c>
      <c r="E3902" s="1" t="s">
        <v>32</v>
      </c>
      <c r="F3902" s="1" t="str">
        <f>"1746203749"</f>
        <v>1746203749</v>
      </c>
      <c r="G3902" s="1" t="s">
        <v>33</v>
      </c>
      <c r="H3902" s="1" t="str">
        <f t="shared" si="721"/>
        <v>20220916</v>
      </c>
      <c r="I3902" s="1" t="str">
        <f>"174108"</f>
        <v>174108</v>
      </c>
      <c r="J3902" s="1" t="s">
        <v>28</v>
      </c>
      <c r="K3902" s="1" t="s">
        <v>28</v>
      </c>
      <c r="L3902" s="1" t="str">
        <f t="shared" si="729"/>
        <v>20220916</v>
      </c>
      <c r="M3902" s="1" t="str">
        <f>"175417"</f>
        <v>175417</v>
      </c>
      <c r="N3902" s="1" t="s">
        <v>93</v>
      </c>
      <c r="O3902" s="1" t="s">
        <v>28</v>
      </c>
      <c r="P3902" s="1" t="s">
        <v>55</v>
      </c>
      <c r="Q3902" s="1">
        <v>25</v>
      </c>
      <c r="R3902" s="1">
        <v>0</v>
      </c>
      <c r="S3902" s="1">
        <v>25</v>
      </c>
      <c r="T3902" s="1">
        <v>0</v>
      </c>
      <c r="U3902" s="1">
        <v>0</v>
      </c>
      <c r="V3902" s="1" t="str">
        <f>"里程去程"</f>
        <v>里程去程</v>
      </c>
      <c r="W3902" s="1" t="str">
        <f>"0820"</f>
        <v>0820</v>
      </c>
      <c r="X3902" s="1" t="s">
        <v>35</v>
      </c>
    </row>
    <row r="3903" spans="1:24" x14ac:dyDescent="0.3">
      <c r="A3903" s="1" t="str">
        <f t="shared" si="730"/>
        <v>59829</v>
      </c>
      <c r="B3903" s="1" t="s">
        <v>47</v>
      </c>
      <c r="C3903" s="1" t="s">
        <v>48</v>
      </c>
      <c r="D3903" s="1" t="str">
        <f>"9803"</f>
        <v>9803</v>
      </c>
      <c r="E3903" s="1" t="s">
        <v>32</v>
      </c>
      <c r="F3903" s="1" t="str">
        <f>"1723311861"</f>
        <v>1723311861</v>
      </c>
      <c r="G3903" s="1" t="s">
        <v>96</v>
      </c>
      <c r="H3903" s="1" t="str">
        <f t="shared" si="721"/>
        <v>20220916</v>
      </c>
      <c r="I3903" s="1" t="str">
        <f>"174110"</f>
        <v>174110</v>
      </c>
      <c r="J3903" s="1" t="s">
        <v>28</v>
      </c>
      <c r="K3903" s="1" t="s">
        <v>28</v>
      </c>
      <c r="L3903" s="1" t="str">
        <f t="shared" si="729"/>
        <v>20220916</v>
      </c>
      <c r="M3903" s="1" t="str">
        <f>"175411"</f>
        <v>175411</v>
      </c>
      <c r="N3903" s="1" t="s">
        <v>93</v>
      </c>
      <c r="O3903" s="1" t="s">
        <v>28</v>
      </c>
      <c r="P3903" s="1" t="s">
        <v>55</v>
      </c>
      <c r="Q3903" s="1">
        <v>13</v>
      </c>
      <c r="R3903" s="1">
        <v>0</v>
      </c>
      <c r="S3903" s="1">
        <v>13</v>
      </c>
      <c r="T3903" s="1">
        <v>0</v>
      </c>
      <c r="U3903" s="1">
        <v>0</v>
      </c>
      <c r="V3903" s="1" t="str">
        <f>"里程去程"</f>
        <v>里程去程</v>
      </c>
      <c r="W3903" s="1" t="str">
        <f>"0820"</f>
        <v>0820</v>
      </c>
      <c r="X3903" s="1" t="s">
        <v>35</v>
      </c>
    </row>
    <row r="3904" spans="1:24" x14ac:dyDescent="0.3">
      <c r="A3904" s="1" t="str">
        <f t="shared" si="730"/>
        <v>59829</v>
      </c>
      <c r="B3904" s="1" t="s">
        <v>47</v>
      </c>
      <c r="C3904" s="1" t="s">
        <v>48</v>
      </c>
      <c r="D3904" s="1" t="str">
        <f>"9803"</f>
        <v>9803</v>
      </c>
      <c r="E3904" s="1" t="s">
        <v>32</v>
      </c>
      <c r="F3904" s="1" t="str">
        <f>"827000229"</f>
        <v>827000229</v>
      </c>
      <c r="G3904" s="1" t="s">
        <v>33</v>
      </c>
      <c r="H3904" s="1" t="str">
        <f t="shared" si="721"/>
        <v>20220916</v>
      </c>
      <c r="I3904" s="1" t="str">
        <f>"180243"</f>
        <v>180243</v>
      </c>
      <c r="J3904" s="1" t="s">
        <v>34</v>
      </c>
      <c r="K3904" s="1" t="s">
        <v>34</v>
      </c>
      <c r="L3904" s="1" t="str">
        <f t="shared" si="729"/>
        <v>20220916</v>
      </c>
      <c r="M3904" s="1" t="str">
        <f>"183652"</f>
        <v>183652</v>
      </c>
      <c r="N3904" s="1" t="s">
        <v>28</v>
      </c>
      <c r="O3904" s="1" t="s">
        <v>28</v>
      </c>
      <c r="P3904" s="1" t="s">
        <v>55</v>
      </c>
      <c r="Q3904" s="1">
        <v>25</v>
      </c>
      <c r="R3904" s="1">
        <v>25</v>
      </c>
      <c r="S3904" s="1">
        <v>0</v>
      </c>
      <c r="T3904" s="1">
        <v>0</v>
      </c>
      <c r="U3904" s="1">
        <v>0</v>
      </c>
      <c r="V3904" s="1" t="str">
        <f t="shared" ref="V3904:V3912" si="731">"里程返程"</f>
        <v>里程返程</v>
      </c>
      <c r="W3904" s="1" t="str">
        <f>"2020"</f>
        <v>2020</v>
      </c>
      <c r="X3904" s="1" t="s">
        <v>35</v>
      </c>
    </row>
    <row r="3905" spans="1:24" x14ac:dyDescent="0.3">
      <c r="A3905" s="1" t="str">
        <f t="shared" ref="A3905:A3942" si="732">"59809"</f>
        <v>59809</v>
      </c>
      <c r="B3905" s="1" t="s">
        <v>42</v>
      </c>
      <c r="C3905" s="1" t="s">
        <v>43</v>
      </c>
      <c r="D3905" s="1" t="str">
        <f t="shared" ref="D3905:D3942" si="733">"9801"</f>
        <v>9801</v>
      </c>
      <c r="E3905" s="1" t="s">
        <v>25</v>
      </c>
      <c r="F3905" s="1" t="str">
        <f>"881131265"</f>
        <v>881131265</v>
      </c>
      <c r="G3905" s="1" t="s">
        <v>33</v>
      </c>
      <c r="H3905" s="1" t="str">
        <f t="shared" ref="H3905:H3968" si="734">"20220917"</f>
        <v>20220917</v>
      </c>
      <c r="I3905" s="1" t="str">
        <f>"062100"</f>
        <v>062100</v>
      </c>
      <c r="J3905" s="1" t="s">
        <v>28</v>
      </c>
      <c r="K3905" s="1" t="s">
        <v>28</v>
      </c>
      <c r="L3905" s="1" t="str">
        <f t="shared" ref="L3905:L3968" si="735">"20220917"</f>
        <v>20220917</v>
      </c>
      <c r="M3905" s="1" t="str">
        <f>"065845"</f>
        <v>065845</v>
      </c>
      <c r="N3905" s="1" t="s">
        <v>52</v>
      </c>
      <c r="O3905" s="1" t="s">
        <v>52</v>
      </c>
      <c r="P3905" s="1" t="s">
        <v>55</v>
      </c>
      <c r="Q3905" s="1">
        <v>25</v>
      </c>
      <c r="R3905" s="1">
        <v>25</v>
      </c>
      <c r="S3905" s="1">
        <v>0</v>
      </c>
      <c r="T3905" s="1">
        <v>0</v>
      </c>
      <c r="U3905" s="1">
        <v>0</v>
      </c>
      <c r="V3905" s="1" t="str">
        <f t="shared" si="731"/>
        <v>里程返程</v>
      </c>
      <c r="W3905" s="1" t="str">
        <f>"1c20"</f>
        <v>1c20</v>
      </c>
      <c r="X3905" s="1" t="s">
        <v>35</v>
      </c>
    </row>
    <row r="3906" spans="1:24" x14ac:dyDescent="0.3">
      <c r="A3906" s="1" t="str">
        <f t="shared" si="732"/>
        <v>59809</v>
      </c>
      <c r="B3906" s="1" t="s">
        <v>42</v>
      </c>
      <c r="C3906" s="1" t="s">
        <v>43</v>
      </c>
      <c r="D3906" s="1" t="str">
        <f t="shared" si="733"/>
        <v>9801</v>
      </c>
      <c r="E3906" s="1" t="s">
        <v>25</v>
      </c>
      <c r="F3906" s="1" t="str">
        <f>"42BCB90245880400C834002000000015"</f>
        <v>42BCB90245880400C834002000000015</v>
      </c>
      <c r="G3906" s="1" t="s">
        <v>26</v>
      </c>
      <c r="H3906" s="1" t="str">
        <f t="shared" si="734"/>
        <v>20220917</v>
      </c>
      <c r="I3906" s="1" t="str">
        <f>"062117"</f>
        <v>062117</v>
      </c>
      <c r="J3906" s="1" t="s">
        <v>28</v>
      </c>
      <c r="K3906" s="1" t="s">
        <v>28</v>
      </c>
      <c r="L3906" s="1" t="str">
        <f t="shared" si="735"/>
        <v>20220917</v>
      </c>
      <c r="M3906" s="1" t="str">
        <f>"064827"</f>
        <v>064827</v>
      </c>
      <c r="N3906" s="1" t="s">
        <v>80</v>
      </c>
      <c r="O3906" s="1" t="s">
        <v>52</v>
      </c>
      <c r="P3906" s="1" t="s">
        <v>68</v>
      </c>
      <c r="Q3906" s="1">
        <v>13</v>
      </c>
      <c r="R3906" s="1">
        <v>0</v>
      </c>
      <c r="S3906" s="1">
        <v>0</v>
      </c>
      <c r="T3906" s="1">
        <v>13</v>
      </c>
      <c r="U3906" s="1">
        <v>0</v>
      </c>
      <c r="V3906" s="1" t="str">
        <f t="shared" si="731"/>
        <v>里程返程</v>
      </c>
      <c r="W3906" s="1" t="str">
        <f>"0020"</f>
        <v>0020</v>
      </c>
      <c r="X3906" s="1" t="s">
        <v>29</v>
      </c>
    </row>
    <row r="3907" spans="1:24" x14ac:dyDescent="0.3">
      <c r="A3907" s="1" t="str">
        <f t="shared" si="732"/>
        <v>59809</v>
      </c>
      <c r="B3907" s="1" t="s">
        <v>42</v>
      </c>
      <c r="C3907" s="1" t="s">
        <v>43</v>
      </c>
      <c r="D3907" s="1" t="str">
        <f t="shared" si="733"/>
        <v>9801</v>
      </c>
      <c r="E3907" s="1" t="s">
        <v>25</v>
      </c>
      <c r="F3907" s="1" t="str">
        <f>"2073901531"</f>
        <v>2073901531</v>
      </c>
      <c r="G3907" s="1" t="s">
        <v>33</v>
      </c>
      <c r="H3907" s="1" t="str">
        <f t="shared" si="734"/>
        <v>20220917</v>
      </c>
      <c r="I3907" s="1" t="str">
        <f>"062438"</f>
        <v>062438</v>
      </c>
      <c r="J3907" s="1" t="s">
        <v>28</v>
      </c>
      <c r="K3907" s="1" t="s">
        <v>28</v>
      </c>
      <c r="L3907" s="1" t="str">
        <f t="shared" si="735"/>
        <v>20220917</v>
      </c>
      <c r="M3907" s="1" t="str">
        <f>"065904"</f>
        <v>065904</v>
      </c>
      <c r="N3907" s="1" t="s">
        <v>52</v>
      </c>
      <c r="O3907" s="1" t="s">
        <v>52</v>
      </c>
      <c r="P3907" s="1" t="s">
        <v>55</v>
      </c>
      <c r="Q3907" s="1">
        <v>25</v>
      </c>
      <c r="R3907" s="1">
        <v>25</v>
      </c>
      <c r="S3907" s="1">
        <v>0</v>
      </c>
      <c r="T3907" s="1">
        <v>0</v>
      </c>
      <c r="U3907" s="1">
        <v>0</v>
      </c>
      <c r="V3907" s="1" t="str">
        <f t="shared" si="731"/>
        <v>里程返程</v>
      </c>
      <c r="W3907" s="1" t="str">
        <f>"0120"</f>
        <v>0120</v>
      </c>
      <c r="X3907" s="1" t="s">
        <v>35</v>
      </c>
    </row>
    <row r="3908" spans="1:24" x14ac:dyDescent="0.3">
      <c r="A3908" s="1" t="str">
        <f t="shared" si="732"/>
        <v>59809</v>
      </c>
      <c r="B3908" s="1" t="s">
        <v>42</v>
      </c>
      <c r="C3908" s="1" t="s">
        <v>43</v>
      </c>
      <c r="D3908" s="1" t="str">
        <f t="shared" si="733"/>
        <v>9801</v>
      </c>
      <c r="E3908" s="1" t="s">
        <v>25</v>
      </c>
      <c r="F3908" s="1" t="str">
        <f>"F282E40195880400C821002000000015"</f>
        <v>F282E40195880400C821002000000015</v>
      </c>
      <c r="G3908" s="1" t="s">
        <v>58</v>
      </c>
      <c r="H3908" s="1" t="str">
        <f t="shared" si="734"/>
        <v>20220917</v>
      </c>
      <c r="I3908" s="1" t="str">
        <f>"062751"</f>
        <v>062751</v>
      </c>
      <c r="J3908" s="1" t="s">
        <v>28</v>
      </c>
      <c r="K3908" s="1" t="s">
        <v>28</v>
      </c>
      <c r="L3908" s="1" t="str">
        <f t="shared" si="735"/>
        <v>20220917</v>
      </c>
      <c r="M3908" s="1" t="str">
        <f>"065144"</f>
        <v>065144</v>
      </c>
      <c r="N3908" s="1" t="s">
        <v>65</v>
      </c>
      <c r="O3908" s="1" t="s">
        <v>52</v>
      </c>
      <c r="P3908" s="1" t="s">
        <v>55</v>
      </c>
      <c r="Q3908" s="1">
        <v>25</v>
      </c>
      <c r="R3908" s="1">
        <v>0</v>
      </c>
      <c r="S3908" s="1">
        <v>25</v>
      </c>
      <c r="T3908" s="1">
        <v>0</v>
      </c>
      <c r="U3908" s="1">
        <v>0</v>
      </c>
      <c r="V3908" s="1" t="str">
        <f t="shared" si="731"/>
        <v>里程返程</v>
      </c>
      <c r="W3908" s="1" t="str">
        <f>"0620"</f>
        <v>0620</v>
      </c>
      <c r="X3908" s="1" t="s">
        <v>29</v>
      </c>
    </row>
    <row r="3909" spans="1:24" x14ac:dyDescent="0.3">
      <c r="A3909" s="1" t="str">
        <f t="shared" si="732"/>
        <v>59809</v>
      </c>
      <c r="B3909" s="1" t="s">
        <v>42</v>
      </c>
      <c r="C3909" s="1" t="s">
        <v>43</v>
      </c>
      <c r="D3909" s="1" t="str">
        <f t="shared" si="733"/>
        <v>9801</v>
      </c>
      <c r="E3909" s="1" t="s">
        <v>25</v>
      </c>
      <c r="F3909" s="1" t="str">
        <f>"1062258245"</f>
        <v>1062258245</v>
      </c>
      <c r="G3909" s="1" t="s">
        <v>26</v>
      </c>
      <c r="H3909" s="1" t="str">
        <f t="shared" si="734"/>
        <v>20220917</v>
      </c>
      <c r="I3909" s="1" t="str">
        <f>"062916"</f>
        <v>062916</v>
      </c>
      <c r="J3909" s="1" t="s">
        <v>28</v>
      </c>
      <c r="K3909" s="1" t="s">
        <v>28</v>
      </c>
      <c r="L3909" s="1" t="str">
        <f t="shared" si="735"/>
        <v>20220917</v>
      </c>
      <c r="M3909" s="1" t="str">
        <f>"065242"</f>
        <v>065242</v>
      </c>
      <c r="N3909" s="1" t="s">
        <v>72</v>
      </c>
      <c r="O3909" s="1" t="s">
        <v>52</v>
      </c>
      <c r="P3909" s="1" t="s">
        <v>55</v>
      </c>
      <c r="Q3909" s="1">
        <v>13</v>
      </c>
      <c r="R3909" s="1">
        <v>13</v>
      </c>
      <c r="S3909" s="1">
        <v>0</v>
      </c>
      <c r="T3909" s="1">
        <v>0</v>
      </c>
      <c r="U3909" s="1">
        <v>0</v>
      </c>
      <c r="V3909" s="1" t="str">
        <f t="shared" si="731"/>
        <v>里程返程</v>
      </c>
      <c r="W3909" s="1" t="str">
        <f>"0820"</f>
        <v>0820</v>
      </c>
      <c r="X3909" s="1" t="s">
        <v>35</v>
      </c>
    </row>
    <row r="3910" spans="1:24" x14ac:dyDescent="0.3">
      <c r="A3910" s="1" t="str">
        <f t="shared" si="732"/>
        <v>59809</v>
      </c>
      <c r="B3910" s="1" t="s">
        <v>42</v>
      </c>
      <c r="C3910" s="1" t="s">
        <v>43</v>
      </c>
      <c r="D3910" s="1" t="str">
        <f t="shared" si="733"/>
        <v>9801</v>
      </c>
      <c r="E3910" s="1" t="s">
        <v>25</v>
      </c>
      <c r="F3910" s="1" t="str">
        <f>"660537722"</f>
        <v>660537722</v>
      </c>
      <c r="G3910" s="1" t="s">
        <v>74</v>
      </c>
      <c r="H3910" s="1" t="str">
        <f t="shared" si="734"/>
        <v>20220917</v>
      </c>
      <c r="I3910" s="1" t="str">
        <f>"071306"</f>
        <v>071306</v>
      </c>
      <c r="J3910" s="1" t="s">
        <v>56</v>
      </c>
      <c r="K3910" s="1" t="s">
        <v>45</v>
      </c>
      <c r="L3910" s="1" t="str">
        <f t="shared" si="735"/>
        <v>20220917</v>
      </c>
      <c r="M3910" s="1" t="str">
        <f>"072321"</f>
        <v>072321</v>
      </c>
      <c r="N3910" s="1" t="s">
        <v>28</v>
      </c>
      <c r="O3910" s="1" t="s">
        <v>28</v>
      </c>
      <c r="P3910" s="1" t="s">
        <v>55</v>
      </c>
      <c r="Q3910" s="1">
        <v>13</v>
      </c>
      <c r="R3910" s="1">
        <v>13</v>
      </c>
      <c r="S3910" s="1">
        <v>0</v>
      </c>
      <c r="T3910" s="1">
        <v>0</v>
      </c>
      <c r="U3910" s="1">
        <v>0</v>
      </c>
      <c r="V3910" s="1" t="str">
        <f t="shared" si="731"/>
        <v>里程返程</v>
      </c>
      <c r="W3910" s="1" t="str">
        <f>"2020"</f>
        <v>2020</v>
      </c>
      <c r="X3910" s="1" t="s">
        <v>35</v>
      </c>
    </row>
    <row r="3911" spans="1:24" x14ac:dyDescent="0.3">
      <c r="A3911" s="1" t="str">
        <f t="shared" si="732"/>
        <v>59809</v>
      </c>
      <c r="B3911" s="1" t="s">
        <v>42</v>
      </c>
      <c r="C3911" s="1" t="s">
        <v>43</v>
      </c>
      <c r="D3911" s="1" t="str">
        <f t="shared" si="733"/>
        <v>9801</v>
      </c>
      <c r="E3911" s="1" t="s">
        <v>25</v>
      </c>
      <c r="F3911" s="1" t="str">
        <f>"D257BD023A880400C834002000000015"</f>
        <v>D257BD023A880400C834002000000015</v>
      </c>
      <c r="G3911" s="1" t="s">
        <v>74</v>
      </c>
      <c r="H3911" s="1" t="str">
        <f t="shared" si="734"/>
        <v>20220917</v>
      </c>
      <c r="I3911" s="1" t="str">
        <f>"072329"</f>
        <v>072329</v>
      </c>
      <c r="J3911" s="1" t="s">
        <v>28</v>
      </c>
      <c r="K3911" s="1" t="s">
        <v>28</v>
      </c>
      <c r="L3911" s="1" t="str">
        <f t="shared" si="735"/>
        <v>20220917</v>
      </c>
      <c r="M3911" s="1" t="str">
        <f>"073139"</f>
        <v>073139</v>
      </c>
      <c r="N3911" s="1" t="s">
        <v>67</v>
      </c>
      <c r="O3911" s="1" t="s">
        <v>52</v>
      </c>
      <c r="P3911" s="1" t="s">
        <v>68</v>
      </c>
      <c r="Q3911" s="1">
        <v>13</v>
      </c>
      <c r="R3911" s="1">
        <v>0</v>
      </c>
      <c r="S3911" s="1">
        <v>0</v>
      </c>
      <c r="T3911" s="1">
        <v>13</v>
      </c>
      <c r="U3911" s="1">
        <v>0</v>
      </c>
      <c r="V3911" s="1" t="str">
        <f t="shared" si="731"/>
        <v>里程返程</v>
      </c>
      <c r="W3911" s="1" t="str">
        <f>"0020"</f>
        <v>0020</v>
      </c>
      <c r="X3911" s="1" t="s">
        <v>29</v>
      </c>
    </row>
    <row r="3912" spans="1:24" x14ac:dyDescent="0.3">
      <c r="A3912" s="1" t="str">
        <f t="shared" si="732"/>
        <v>59809</v>
      </c>
      <c r="B3912" s="1" t="s">
        <v>42</v>
      </c>
      <c r="C3912" s="1" t="s">
        <v>43</v>
      </c>
      <c r="D3912" s="1" t="str">
        <f t="shared" si="733"/>
        <v>9801</v>
      </c>
      <c r="E3912" s="1" t="s">
        <v>25</v>
      </c>
      <c r="F3912" s="1" t="str">
        <f>"800192897"</f>
        <v>800192897</v>
      </c>
      <c r="G3912" s="1" t="s">
        <v>33</v>
      </c>
      <c r="H3912" s="1" t="str">
        <f t="shared" si="734"/>
        <v>20220917</v>
      </c>
      <c r="I3912" s="1" t="str">
        <f>"072333"</f>
        <v>072333</v>
      </c>
      <c r="J3912" s="1" t="s">
        <v>28</v>
      </c>
      <c r="K3912" s="1" t="s">
        <v>28</v>
      </c>
      <c r="L3912" s="1" t="str">
        <f t="shared" si="735"/>
        <v>20220917</v>
      </c>
      <c r="M3912" s="1" t="str">
        <f>"073843"</f>
        <v>073843</v>
      </c>
      <c r="N3912" s="1" t="s">
        <v>80</v>
      </c>
      <c r="O3912" s="1" t="s">
        <v>52</v>
      </c>
      <c r="P3912" s="1" t="s">
        <v>55</v>
      </c>
      <c r="Q3912" s="1">
        <v>25</v>
      </c>
      <c r="R3912" s="1">
        <v>0</v>
      </c>
      <c r="S3912" s="1">
        <v>25</v>
      </c>
      <c r="T3912" s="1">
        <v>0</v>
      </c>
      <c r="U3912" s="1">
        <v>0</v>
      </c>
      <c r="V3912" s="1" t="str">
        <f t="shared" si="731"/>
        <v>里程返程</v>
      </c>
      <c r="W3912" s="1" t="str">
        <f>"0820"</f>
        <v>0820</v>
      </c>
      <c r="X3912" s="1" t="s">
        <v>35</v>
      </c>
    </row>
    <row r="3913" spans="1:24" x14ac:dyDescent="0.3">
      <c r="A3913" s="1" t="str">
        <f t="shared" si="732"/>
        <v>59809</v>
      </c>
      <c r="B3913" s="1" t="s">
        <v>42</v>
      </c>
      <c r="C3913" s="1" t="s">
        <v>43</v>
      </c>
      <c r="D3913" s="1" t="str">
        <f t="shared" si="733"/>
        <v>9801</v>
      </c>
      <c r="E3913" s="1" t="s">
        <v>25</v>
      </c>
      <c r="F3913" s="1" t="str">
        <f>"1030853493"</f>
        <v>1030853493</v>
      </c>
      <c r="G3913" s="1" t="s">
        <v>38</v>
      </c>
      <c r="H3913" s="1" t="str">
        <f t="shared" si="734"/>
        <v>20220917</v>
      </c>
      <c r="I3913" s="1" t="str">
        <f>"082710"</f>
        <v>082710</v>
      </c>
      <c r="J3913" s="1" t="s">
        <v>27</v>
      </c>
      <c r="K3913" s="1" t="s">
        <v>28</v>
      </c>
      <c r="L3913" s="1" t="str">
        <f t="shared" si="735"/>
        <v>20220917</v>
      </c>
      <c r="M3913" s="1" t="str">
        <f>"085616"</f>
        <v>085616</v>
      </c>
      <c r="N3913" s="1" t="s">
        <v>44</v>
      </c>
      <c r="O3913" s="1" t="s">
        <v>45</v>
      </c>
      <c r="P3913" s="1" t="s">
        <v>55</v>
      </c>
      <c r="Q3913" s="1">
        <v>25</v>
      </c>
      <c r="R3913" s="1">
        <v>25</v>
      </c>
      <c r="S3913" s="1">
        <v>0</v>
      </c>
      <c r="T3913" s="1">
        <v>0</v>
      </c>
      <c r="U3913" s="1">
        <v>0</v>
      </c>
      <c r="V3913" s="1" t="str">
        <f>"里程去程"</f>
        <v>里程去程</v>
      </c>
      <c r="W3913" s="1" t="str">
        <f>"0120"</f>
        <v>0120</v>
      </c>
      <c r="X3913" s="1" t="s">
        <v>35</v>
      </c>
    </row>
    <row r="3914" spans="1:24" x14ac:dyDescent="0.3">
      <c r="A3914" s="1" t="str">
        <f t="shared" si="732"/>
        <v>59809</v>
      </c>
      <c r="B3914" s="1" t="s">
        <v>42</v>
      </c>
      <c r="C3914" s="1" t="s">
        <v>43</v>
      </c>
      <c r="D3914" s="1" t="str">
        <f t="shared" si="733"/>
        <v>9801</v>
      </c>
      <c r="E3914" s="1" t="s">
        <v>25</v>
      </c>
      <c r="F3914" s="1" t="str">
        <f>"32780D0344880400C834002000000015"</f>
        <v>32780D0344880400C834002000000015</v>
      </c>
      <c r="G3914" s="1" t="s">
        <v>26</v>
      </c>
      <c r="H3914" s="1" t="str">
        <f t="shared" si="734"/>
        <v>20220917</v>
      </c>
      <c r="I3914" s="1" t="str">
        <f>"083621"</f>
        <v>083621</v>
      </c>
      <c r="J3914" s="1" t="s">
        <v>27</v>
      </c>
      <c r="K3914" s="1" t="s">
        <v>28</v>
      </c>
      <c r="L3914" s="1" t="str">
        <f t="shared" si="735"/>
        <v>20220917</v>
      </c>
      <c r="M3914" s="1" t="str">
        <f>"084233"</f>
        <v>084233</v>
      </c>
      <c r="N3914" s="1" t="s">
        <v>79</v>
      </c>
      <c r="O3914" s="1" t="s">
        <v>45</v>
      </c>
      <c r="P3914" s="1" t="s">
        <v>68</v>
      </c>
      <c r="Q3914" s="1">
        <v>13</v>
      </c>
      <c r="R3914" s="1">
        <v>0</v>
      </c>
      <c r="S3914" s="1">
        <v>0</v>
      </c>
      <c r="T3914" s="1">
        <v>13</v>
      </c>
      <c r="U3914" s="1">
        <v>0</v>
      </c>
      <c r="V3914" s="1" t="str">
        <f>"里程去程"</f>
        <v>里程去程</v>
      </c>
      <c r="W3914" s="1" t="str">
        <f>"0020"</f>
        <v>0020</v>
      </c>
      <c r="X3914" s="1" t="s">
        <v>29</v>
      </c>
    </row>
    <row r="3915" spans="1:24" x14ac:dyDescent="0.3">
      <c r="A3915" s="1" t="str">
        <f t="shared" si="732"/>
        <v>59809</v>
      </c>
      <c r="B3915" s="1" t="s">
        <v>42</v>
      </c>
      <c r="C3915" s="1" t="s">
        <v>43</v>
      </c>
      <c r="D3915" s="1" t="str">
        <f t="shared" si="733"/>
        <v>9801</v>
      </c>
      <c r="E3915" s="1" t="s">
        <v>25</v>
      </c>
      <c r="F3915" s="1" t="str">
        <f>"32780D0344880400C834002000000015"</f>
        <v>32780D0344880400C834002000000015</v>
      </c>
      <c r="G3915" s="1" t="s">
        <v>26</v>
      </c>
      <c r="H3915" s="1" t="str">
        <f t="shared" si="734"/>
        <v>20220917</v>
      </c>
      <c r="I3915" s="1" t="str">
        <f>"084449"</f>
        <v>084449</v>
      </c>
      <c r="J3915" s="1" t="s">
        <v>45</v>
      </c>
      <c r="K3915" s="1" t="s">
        <v>45</v>
      </c>
      <c r="L3915" s="1" t="str">
        <f t="shared" si="735"/>
        <v>20220917</v>
      </c>
      <c r="M3915" s="1" t="str">
        <f>"084648"</f>
        <v>084648</v>
      </c>
      <c r="N3915" s="1" t="s">
        <v>56</v>
      </c>
      <c r="O3915" s="1" t="s">
        <v>45</v>
      </c>
      <c r="P3915" s="1" t="s">
        <v>68</v>
      </c>
      <c r="Q3915" s="1">
        <v>13</v>
      </c>
      <c r="R3915" s="1">
        <v>0</v>
      </c>
      <c r="S3915" s="1">
        <v>0</v>
      </c>
      <c r="T3915" s="1">
        <v>13</v>
      </c>
      <c r="U3915" s="1">
        <v>0</v>
      </c>
      <c r="V3915" s="1" t="str">
        <f>"里程去程"</f>
        <v>里程去程</v>
      </c>
      <c r="W3915" s="1" t="str">
        <f>"0020"</f>
        <v>0020</v>
      </c>
      <c r="X3915" s="1" t="s">
        <v>29</v>
      </c>
    </row>
    <row r="3916" spans="1:24" x14ac:dyDescent="0.3">
      <c r="A3916" s="1" t="str">
        <f t="shared" si="732"/>
        <v>59809</v>
      </c>
      <c r="B3916" s="1" t="s">
        <v>42</v>
      </c>
      <c r="C3916" s="1" t="s">
        <v>43</v>
      </c>
      <c r="D3916" s="1" t="str">
        <f t="shared" si="733"/>
        <v>9801</v>
      </c>
      <c r="E3916" s="1" t="s">
        <v>25</v>
      </c>
      <c r="F3916" s="1" t="str">
        <f>"1636928213"</f>
        <v>1636928213</v>
      </c>
      <c r="G3916" s="1" t="s">
        <v>33</v>
      </c>
      <c r="H3916" s="1" t="str">
        <f t="shared" si="734"/>
        <v>20220917</v>
      </c>
      <c r="I3916" s="1" t="str">
        <f>"091905"</f>
        <v>091905</v>
      </c>
      <c r="J3916" s="1" t="s">
        <v>69</v>
      </c>
      <c r="K3916" s="1" t="s">
        <v>52</v>
      </c>
      <c r="L3916" s="1" t="str">
        <f t="shared" si="735"/>
        <v>20220917</v>
      </c>
      <c r="M3916" s="1" t="str">
        <f>"092948"</f>
        <v>092948</v>
      </c>
      <c r="N3916" s="1" t="s">
        <v>70</v>
      </c>
      <c r="O3916" s="1" t="s">
        <v>28</v>
      </c>
      <c r="P3916" s="1" t="s">
        <v>55</v>
      </c>
      <c r="Q3916" s="1">
        <v>25</v>
      </c>
      <c r="R3916" s="1">
        <v>25</v>
      </c>
      <c r="S3916" s="1">
        <v>0</v>
      </c>
      <c r="T3916" s="1">
        <v>0</v>
      </c>
      <c r="U3916" s="1">
        <v>0</v>
      </c>
      <c r="V3916" s="1" t="str">
        <f>"里程去程"</f>
        <v>里程去程</v>
      </c>
      <c r="W3916" s="1" t="str">
        <f>"2120"</f>
        <v>2120</v>
      </c>
      <c r="X3916" s="1" t="s">
        <v>35</v>
      </c>
    </row>
    <row r="3917" spans="1:24" x14ac:dyDescent="0.3">
      <c r="A3917" s="1" t="str">
        <f t="shared" si="732"/>
        <v>59809</v>
      </c>
      <c r="B3917" s="1" t="s">
        <v>42</v>
      </c>
      <c r="C3917" s="1" t="s">
        <v>43</v>
      </c>
      <c r="D3917" s="1" t="str">
        <f t="shared" si="733"/>
        <v>9801</v>
      </c>
      <c r="E3917" s="1" t="s">
        <v>25</v>
      </c>
      <c r="F3917" s="1" t="str">
        <f>"E213BD024E880400C834002000000015"</f>
        <v>E213BD024E880400C834002000000015</v>
      </c>
      <c r="G3917" s="1" t="s">
        <v>74</v>
      </c>
      <c r="H3917" s="1" t="str">
        <f t="shared" si="734"/>
        <v>20220917</v>
      </c>
      <c r="I3917" s="1" t="str">
        <f>"093007"</f>
        <v>093007</v>
      </c>
      <c r="J3917" s="1" t="s">
        <v>27</v>
      </c>
      <c r="K3917" s="1" t="s">
        <v>28</v>
      </c>
      <c r="L3917" s="1" t="str">
        <f t="shared" si="735"/>
        <v>20220917</v>
      </c>
      <c r="M3917" s="1" t="str">
        <f>"094349"</f>
        <v>094349</v>
      </c>
      <c r="N3917" s="1" t="s">
        <v>61</v>
      </c>
      <c r="O3917" s="1" t="s">
        <v>45</v>
      </c>
      <c r="P3917" s="1" t="s">
        <v>68</v>
      </c>
      <c r="Q3917" s="1">
        <v>13</v>
      </c>
      <c r="R3917" s="1">
        <v>0</v>
      </c>
      <c r="S3917" s="1">
        <v>0</v>
      </c>
      <c r="T3917" s="1">
        <v>13</v>
      </c>
      <c r="U3917" s="1">
        <v>0</v>
      </c>
      <c r="V3917" s="1" t="str">
        <f>"里程去程"</f>
        <v>里程去程</v>
      </c>
      <c r="W3917" s="1" t="str">
        <f>"0020"</f>
        <v>0020</v>
      </c>
      <c r="X3917" s="1" t="s">
        <v>29</v>
      </c>
    </row>
    <row r="3918" spans="1:24" x14ac:dyDescent="0.3">
      <c r="A3918" s="1" t="str">
        <f t="shared" si="732"/>
        <v>59809</v>
      </c>
      <c r="B3918" s="1" t="s">
        <v>42</v>
      </c>
      <c r="C3918" s="1" t="s">
        <v>43</v>
      </c>
      <c r="D3918" s="1" t="str">
        <f t="shared" si="733"/>
        <v>9801</v>
      </c>
      <c r="E3918" s="1" t="s">
        <v>25</v>
      </c>
      <c r="F3918" s="1" t="str">
        <f>"C7EB943A82280400F700000000000000"</f>
        <v>C7EB943A82280400F700000000000000</v>
      </c>
      <c r="G3918" s="1" t="s">
        <v>58</v>
      </c>
      <c r="H3918" s="1" t="str">
        <f t="shared" si="734"/>
        <v>20220917</v>
      </c>
      <c r="I3918" s="1" t="str">
        <f>"122347"</f>
        <v>122347</v>
      </c>
      <c r="J3918" s="1" t="s">
        <v>44</v>
      </c>
      <c r="K3918" s="1" t="s">
        <v>45</v>
      </c>
      <c r="L3918" s="1" t="str">
        <f t="shared" si="735"/>
        <v>20220917</v>
      </c>
      <c r="M3918" s="1" t="str">
        <f>"125023"</f>
        <v>125023</v>
      </c>
      <c r="N3918" s="1" t="s">
        <v>28</v>
      </c>
      <c r="O3918" s="1" t="s">
        <v>28</v>
      </c>
      <c r="P3918" s="1" t="s">
        <v>55</v>
      </c>
      <c r="Q3918" s="1">
        <v>25</v>
      </c>
      <c r="R3918" s="1">
        <v>25</v>
      </c>
      <c r="S3918" s="1">
        <v>0</v>
      </c>
      <c r="T3918" s="1">
        <v>0</v>
      </c>
      <c r="U3918" s="1">
        <v>0</v>
      </c>
      <c r="V3918" s="1" t="str">
        <f t="shared" ref="V3918:V3944" si="736">"里程返程"</f>
        <v>里程返程</v>
      </c>
      <c r="W3918" s="1" t="str">
        <f>"0020"</f>
        <v>0020</v>
      </c>
      <c r="X3918" s="1" t="s">
        <v>29</v>
      </c>
    </row>
    <row r="3919" spans="1:24" x14ac:dyDescent="0.3">
      <c r="A3919" s="1" t="str">
        <f t="shared" si="732"/>
        <v>59809</v>
      </c>
      <c r="B3919" s="1" t="s">
        <v>42</v>
      </c>
      <c r="C3919" s="1" t="s">
        <v>111</v>
      </c>
      <c r="D3919" s="1" t="str">
        <f t="shared" si="733"/>
        <v>9801</v>
      </c>
      <c r="E3919" s="1" t="s">
        <v>25</v>
      </c>
      <c r="F3919" s="1" t="str">
        <f>"7311150214007183"</f>
        <v>7311150214007183</v>
      </c>
      <c r="G3919" s="1" t="s">
        <v>33</v>
      </c>
      <c r="H3919" s="1" t="str">
        <f t="shared" si="734"/>
        <v>20220917</v>
      </c>
      <c r="I3919" s="1" t="str">
        <f>"123349"</f>
        <v>123349</v>
      </c>
      <c r="J3919" s="1" t="s">
        <v>100</v>
      </c>
      <c r="K3919" s="1" t="s">
        <v>45</v>
      </c>
      <c r="L3919" s="1" t="str">
        <f t="shared" si="735"/>
        <v>20220917</v>
      </c>
      <c r="M3919" s="1" t="str">
        <f>"125020"</f>
        <v>125020</v>
      </c>
      <c r="N3919" s="1" t="s">
        <v>28</v>
      </c>
      <c r="O3919" s="1" t="s">
        <v>28</v>
      </c>
      <c r="P3919" s="1" t="s">
        <v>55</v>
      </c>
      <c r="Q3919" s="1">
        <v>25</v>
      </c>
      <c r="R3919" s="1">
        <v>25</v>
      </c>
      <c r="S3919" s="1">
        <v>0</v>
      </c>
      <c r="T3919" s="1">
        <v>0</v>
      </c>
      <c r="U3919" s="1">
        <v>0</v>
      </c>
      <c r="V3919" s="1" t="str">
        <f t="shared" si="736"/>
        <v>里程返程</v>
      </c>
      <c r="W3919" s="1" t="str">
        <f>"3B8B"</f>
        <v>3B8B</v>
      </c>
      <c r="X3919" s="1" t="s">
        <v>109</v>
      </c>
    </row>
    <row r="3920" spans="1:24" x14ac:dyDescent="0.3">
      <c r="A3920" s="1" t="str">
        <f t="shared" si="732"/>
        <v>59809</v>
      </c>
      <c r="B3920" s="1" t="s">
        <v>42</v>
      </c>
      <c r="C3920" s="1" t="s">
        <v>43</v>
      </c>
      <c r="D3920" s="1" t="str">
        <f t="shared" si="733"/>
        <v>9801</v>
      </c>
      <c r="E3920" s="1" t="s">
        <v>25</v>
      </c>
      <c r="F3920" s="1" t="str">
        <f>"1147356277"</f>
        <v>1147356277</v>
      </c>
      <c r="G3920" s="1" t="s">
        <v>26</v>
      </c>
      <c r="H3920" s="1" t="str">
        <f t="shared" si="734"/>
        <v>20220917</v>
      </c>
      <c r="I3920" s="1" t="str">
        <f>"124109"</f>
        <v>124109</v>
      </c>
      <c r="J3920" s="1" t="s">
        <v>61</v>
      </c>
      <c r="K3920" s="1" t="s">
        <v>45</v>
      </c>
      <c r="L3920" s="1" t="str">
        <f t="shared" si="735"/>
        <v>20220917</v>
      </c>
      <c r="M3920" s="1" t="str">
        <f>"125015"</f>
        <v>125015</v>
      </c>
      <c r="N3920" s="1" t="s">
        <v>28</v>
      </c>
      <c r="O3920" s="1" t="s">
        <v>28</v>
      </c>
      <c r="P3920" s="1" t="s">
        <v>55</v>
      </c>
      <c r="Q3920" s="1">
        <v>13</v>
      </c>
      <c r="R3920" s="1">
        <v>13</v>
      </c>
      <c r="S3920" s="1">
        <v>0</v>
      </c>
      <c r="T3920" s="1">
        <v>0</v>
      </c>
      <c r="U3920" s="1">
        <v>0</v>
      </c>
      <c r="V3920" s="1" t="str">
        <f t="shared" si="736"/>
        <v>里程返程</v>
      </c>
      <c r="W3920" s="1" t="str">
        <f>"2020"</f>
        <v>2020</v>
      </c>
      <c r="X3920" s="1" t="s">
        <v>35</v>
      </c>
    </row>
    <row r="3921" spans="1:24" x14ac:dyDescent="0.3">
      <c r="A3921" s="1" t="str">
        <f t="shared" si="732"/>
        <v>59809</v>
      </c>
      <c r="B3921" s="1" t="s">
        <v>42</v>
      </c>
      <c r="C3921" s="1" t="s">
        <v>43</v>
      </c>
      <c r="D3921" s="1" t="str">
        <f t="shared" si="733"/>
        <v>9801</v>
      </c>
      <c r="E3921" s="1" t="s">
        <v>25</v>
      </c>
      <c r="F3921" s="1" t="str">
        <f>"52524D165B880400C814002000000019"</f>
        <v>52524D165B880400C814002000000019</v>
      </c>
      <c r="G3921" s="1" t="s">
        <v>26</v>
      </c>
      <c r="H3921" s="1" t="str">
        <f t="shared" si="734"/>
        <v>20220917</v>
      </c>
      <c r="I3921" s="1" t="str">
        <f>"124425"</f>
        <v>124425</v>
      </c>
      <c r="J3921" s="1" t="s">
        <v>79</v>
      </c>
      <c r="K3921" s="1" t="s">
        <v>45</v>
      </c>
      <c r="L3921" s="1" t="str">
        <f t="shared" si="735"/>
        <v>20220917</v>
      </c>
      <c r="M3921" s="1" t="str">
        <f>"125012"</f>
        <v>125012</v>
      </c>
      <c r="N3921" s="1" t="s">
        <v>28</v>
      </c>
      <c r="O3921" s="1" t="s">
        <v>28</v>
      </c>
      <c r="P3921" s="1" t="s">
        <v>55</v>
      </c>
      <c r="Q3921" s="1">
        <v>13</v>
      </c>
      <c r="R3921" s="1">
        <v>13</v>
      </c>
      <c r="S3921" s="1">
        <v>0</v>
      </c>
      <c r="T3921" s="1">
        <v>0</v>
      </c>
      <c r="U3921" s="1">
        <v>0</v>
      </c>
      <c r="V3921" s="1" t="str">
        <f t="shared" si="736"/>
        <v>里程返程</v>
      </c>
      <c r="W3921" s="1" t="str">
        <f>"0020"</f>
        <v>0020</v>
      </c>
      <c r="X3921" s="1" t="s">
        <v>29</v>
      </c>
    </row>
    <row r="3922" spans="1:24" x14ac:dyDescent="0.3">
      <c r="A3922" s="1" t="str">
        <f t="shared" si="732"/>
        <v>59809</v>
      </c>
      <c r="B3922" s="1" t="s">
        <v>42</v>
      </c>
      <c r="C3922" s="1" t="s">
        <v>43</v>
      </c>
      <c r="D3922" s="1" t="str">
        <f t="shared" si="733"/>
        <v>9801</v>
      </c>
      <c r="E3922" s="1" t="s">
        <v>25</v>
      </c>
      <c r="F3922" s="1" t="str">
        <f>"B211381B80880400C817002000000021"</f>
        <v>B211381B80880400C817002000000021</v>
      </c>
      <c r="G3922" s="1" t="s">
        <v>59</v>
      </c>
      <c r="H3922" s="1" t="str">
        <f t="shared" si="734"/>
        <v>20220917</v>
      </c>
      <c r="I3922" s="1" t="str">
        <f>"125029"</f>
        <v>125029</v>
      </c>
      <c r="J3922" s="1" t="s">
        <v>28</v>
      </c>
      <c r="K3922" s="1" t="s">
        <v>28</v>
      </c>
      <c r="L3922" s="1" t="str">
        <f t="shared" si="735"/>
        <v>20220917</v>
      </c>
      <c r="M3922" s="1" t="str">
        <f>"131528"</f>
        <v>131528</v>
      </c>
      <c r="N3922" s="1" t="s">
        <v>71</v>
      </c>
      <c r="O3922" s="1" t="s">
        <v>52</v>
      </c>
      <c r="P3922" s="1" t="s">
        <v>55</v>
      </c>
      <c r="Q3922" s="1">
        <v>25</v>
      </c>
      <c r="R3922" s="1">
        <v>0</v>
      </c>
      <c r="S3922" s="1">
        <v>25</v>
      </c>
      <c r="T3922" s="1">
        <v>0</v>
      </c>
      <c r="U3922" s="1">
        <v>0</v>
      </c>
      <c r="V3922" s="1" t="str">
        <f t="shared" si="736"/>
        <v>里程返程</v>
      </c>
      <c r="W3922" s="1" t="str">
        <f>"0620"</f>
        <v>0620</v>
      </c>
      <c r="X3922" s="1" t="s">
        <v>29</v>
      </c>
    </row>
    <row r="3923" spans="1:24" x14ac:dyDescent="0.3">
      <c r="A3923" s="1" t="str">
        <f t="shared" si="732"/>
        <v>59809</v>
      </c>
      <c r="B3923" s="1" t="s">
        <v>42</v>
      </c>
      <c r="C3923" s="1" t="s">
        <v>43</v>
      </c>
      <c r="D3923" s="1" t="str">
        <f t="shared" si="733"/>
        <v>9801</v>
      </c>
      <c r="E3923" s="1" t="s">
        <v>25</v>
      </c>
      <c r="F3923" s="1" t="str">
        <f>"52FF35168E880400C814002000000019"</f>
        <v>52FF35168E880400C814002000000019</v>
      </c>
      <c r="G3923" s="1" t="s">
        <v>64</v>
      </c>
      <c r="H3923" s="1" t="str">
        <f t="shared" si="734"/>
        <v>20220917</v>
      </c>
      <c r="I3923" s="1" t="str">
        <f>"125050"</f>
        <v>125050</v>
      </c>
      <c r="J3923" s="1" t="s">
        <v>28</v>
      </c>
      <c r="K3923" s="1" t="s">
        <v>28</v>
      </c>
      <c r="L3923" s="1" t="str">
        <f t="shared" si="735"/>
        <v>20220917</v>
      </c>
      <c r="M3923" s="1" t="str">
        <f>"132235"</f>
        <v>132235</v>
      </c>
      <c r="N3923" s="1" t="s">
        <v>52</v>
      </c>
      <c r="O3923" s="1" t="s">
        <v>52</v>
      </c>
      <c r="P3923" s="1" t="s">
        <v>55</v>
      </c>
      <c r="Q3923" s="1">
        <v>13</v>
      </c>
      <c r="R3923" s="1">
        <v>13</v>
      </c>
      <c r="S3923" s="1">
        <v>0</v>
      </c>
      <c r="T3923" s="1">
        <v>0</v>
      </c>
      <c r="U3923" s="1">
        <v>0</v>
      </c>
      <c r="V3923" s="1" t="str">
        <f t="shared" si="736"/>
        <v>里程返程</v>
      </c>
      <c r="W3923" s="1" t="str">
        <f>"0020"</f>
        <v>0020</v>
      </c>
      <c r="X3923" s="1" t="s">
        <v>29</v>
      </c>
    </row>
    <row r="3924" spans="1:24" x14ac:dyDescent="0.3">
      <c r="A3924" s="1" t="str">
        <f t="shared" si="732"/>
        <v>59809</v>
      </c>
      <c r="B3924" s="1" t="s">
        <v>42</v>
      </c>
      <c r="C3924" s="1" t="s">
        <v>43</v>
      </c>
      <c r="D3924" s="1" t="str">
        <f t="shared" si="733"/>
        <v>9801</v>
      </c>
      <c r="E3924" s="1" t="s">
        <v>25</v>
      </c>
      <c r="F3924" s="1" t="str">
        <f>"A239F5056B880400C838002000000015"</f>
        <v>A239F5056B880400C838002000000015</v>
      </c>
      <c r="G3924" s="1" t="s">
        <v>26</v>
      </c>
      <c r="H3924" s="1" t="str">
        <f t="shared" si="734"/>
        <v>20220917</v>
      </c>
      <c r="I3924" s="1" t="str">
        <f>"130327"</f>
        <v>130327</v>
      </c>
      <c r="J3924" s="1" t="s">
        <v>67</v>
      </c>
      <c r="K3924" s="1" t="s">
        <v>52</v>
      </c>
      <c r="L3924" s="1" t="str">
        <f t="shared" si="735"/>
        <v>20220917</v>
      </c>
      <c r="M3924" s="1" t="str">
        <f>"131946"</f>
        <v>131946</v>
      </c>
      <c r="N3924" s="1" t="s">
        <v>86</v>
      </c>
      <c r="O3924" s="1" t="s">
        <v>52</v>
      </c>
      <c r="P3924" s="1" t="s">
        <v>68</v>
      </c>
      <c r="Q3924" s="1">
        <v>13</v>
      </c>
      <c r="R3924" s="1">
        <v>0</v>
      </c>
      <c r="S3924" s="1">
        <v>0</v>
      </c>
      <c r="T3924" s="1">
        <v>13</v>
      </c>
      <c r="U3924" s="1">
        <v>0</v>
      </c>
      <c r="V3924" s="1" t="str">
        <f t="shared" si="736"/>
        <v>里程返程</v>
      </c>
      <c r="W3924" s="1" t="str">
        <f>"0020"</f>
        <v>0020</v>
      </c>
      <c r="X3924" s="1" t="s">
        <v>29</v>
      </c>
    </row>
    <row r="3925" spans="1:24" x14ac:dyDescent="0.3">
      <c r="A3925" s="1" t="str">
        <f t="shared" si="732"/>
        <v>59809</v>
      </c>
      <c r="B3925" s="1" t="s">
        <v>42</v>
      </c>
      <c r="C3925" s="1" t="s">
        <v>43</v>
      </c>
      <c r="D3925" s="1" t="str">
        <f t="shared" si="733"/>
        <v>9801</v>
      </c>
      <c r="E3925" s="1" t="s">
        <v>25</v>
      </c>
      <c r="F3925" s="1" t="str">
        <f>"1764161189"</f>
        <v>1764161189</v>
      </c>
      <c r="G3925" s="1" t="s">
        <v>33</v>
      </c>
      <c r="H3925" s="1" t="str">
        <f t="shared" si="734"/>
        <v>20220917</v>
      </c>
      <c r="I3925" s="1" t="str">
        <f>"143205"</f>
        <v>143205</v>
      </c>
      <c r="J3925" s="1" t="s">
        <v>44</v>
      </c>
      <c r="K3925" s="1" t="s">
        <v>45</v>
      </c>
      <c r="L3925" s="1" t="str">
        <f t="shared" si="735"/>
        <v>20220917</v>
      </c>
      <c r="M3925" s="1" t="str">
        <f>"144155"</f>
        <v>144155</v>
      </c>
      <c r="N3925" s="1" t="s">
        <v>45</v>
      </c>
      <c r="O3925" s="1" t="s">
        <v>45</v>
      </c>
      <c r="P3925" s="1" t="s">
        <v>55</v>
      </c>
      <c r="Q3925" s="1">
        <v>25</v>
      </c>
      <c r="R3925" s="1">
        <v>0</v>
      </c>
      <c r="S3925" s="1">
        <v>25</v>
      </c>
      <c r="T3925" s="1">
        <v>0</v>
      </c>
      <c r="U3925" s="1">
        <v>0</v>
      </c>
      <c r="V3925" s="1" t="str">
        <f t="shared" si="736"/>
        <v>里程返程</v>
      </c>
      <c r="W3925" s="1" t="str">
        <f>"2020"</f>
        <v>2020</v>
      </c>
      <c r="X3925" s="1" t="s">
        <v>35</v>
      </c>
    </row>
    <row r="3926" spans="1:24" x14ac:dyDescent="0.3">
      <c r="A3926" s="1" t="str">
        <f t="shared" si="732"/>
        <v>59809</v>
      </c>
      <c r="B3926" s="1" t="s">
        <v>42</v>
      </c>
      <c r="C3926" s="1" t="s">
        <v>43</v>
      </c>
      <c r="D3926" s="1" t="str">
        <f t="shared" si="733"/>
        <v>9801</v>
      </c>
      <c r="E3926" s="1" t="s">
        <v>25</v>
      </c>
      <c r="F3926" s="1" t="str">
        <f>"D204451784880400C814002000000019"</f>
        <v>D204451784880400C814002000000019</v>
      </c>
      <c r="G3926" s="1" t="s">
        <v>58</v>
      </c>
      <c r="H3926" s="1" t="str">
        <f t="shared" si="734"/>
        <v>20220917</v>
      </c>
      <c r="I3926" s="1" t="str">
        <f>"143208"</f>
        <v>143208</v>
      </c>
      <c r="J3926" s="1" t="s">
        <v>44</v>
      </c>
      <c r="K3926" s="1" t="s">
        <v>45</v>
      </c>
      <c r="L3926" s="1" t="str">
        <f t="shared" si="735"/>
        <v>20220917</v>
      </c>
      <c r="M3926" s="1" t="str">
        <f>"144153"</f>
        <v>144153</v>
      </c>
      <c r="N3926" s="1" t="s">
        <v>45</v>
      </c>
      <c r="O3926" s="1" t="s">
        <v>45</v>
      </c>
      <c r="P3926" s="1" t="s">
        <v>55</v>
      </c>
      <c r="Q3926" s="1">
        <v>25</v>
      </c>
      <c r="R3926" s="1">
        <v>0</v>
      </c>
      <c r="S3926" s="1">
        <v>25</v>
      </c>
      <c r="T3926" s="1">
        <v>0</v>
      </c>
      <c r="U3926" s="1">
        <v>0</v>
      </c>
      <c r="V3926" s="1" t="str">
        <f t="shared" si="736"/>
        <v>里程返程</v>
      </c>
      <c r="W3926" s="1" t="str">
        <f>"2020"</f>
        <v>2020</v>
      </c>
      <c r="X3926" s="1" t="s">
        <v>29</v>
      </c>
    </row>
    <row r="3927" spans="1:24" x14ac:dyDescent="0.3">
      <c r="A3927" s="1" t="str">
        <f t="shared" si="732"/>
        <v>59809</v>
      </c>
      <c r="B3927" s="1" t="s">
        <v>42</v>
      </c>
      <c r="C3927" s="1" t="s">
        <v>43</v>
      </c>
      <c r="D3927" s="1" t="str">
        <f t="shared" si="733"/>
        <v>9801</v>
      </c>
      <c r="E3927" s="1" t="s">
        <v>25</v>
      </c>
      <c r="F3927" s="1" t="str">
        <f>"448798945"</f>
        <v>448798945</v>
      </c>
      <c r="G3927" s="1" t="s">
        <v>33</v>
      </c>
      <c r="H3927" s="1" t="str">
        <f t="shared" si="734"/>
        <v>20220917</v>
      </c>
      <c r="I3927" s="1" t="str">
        <f>"143214"</f>
        <v>143214</v>
      </c>
      <c r="J3927" s="1" t="s">
        <v>44</v>
      </c>
      <c r="K3927" s="1" t="s">
        <v>45</v>
      </c>
      <c r="L3927" s="1" t="str">
        <f t="shared" si="735"/>
        <v>20220917</v>
      </c>
      <c r="M3927" s="1" t="str">
        <f>"144955"</f>
        <v>144955</v>
      </c>
      <c r="N3927" s="1" t="s">
        <v>28</v>
      </c>
      <c r="O3927" s="1" t="s">
        <v>28</v>
      </c>
      <c r="P3927" s="1" t="s">
        <v>55</v>
      </c>
      <c r="Q3927" s="1">
        <v>25</v>
      </c>
      <c r="R3927" s="1">
        <v>0</v>
      </c>
      <c r="S3927" s="1">
        <v>25</v>
      </c>
      <c r="T3927" s="1">
        <v>0</v>
      </c>
      <c r="U3927" s="1">
        <v>0</v>
      </c>
      <c r="V3927" s="1" t="str">
        <f t="shared" si="736"/>
        <v>里程返程</v>
      </c>
      <c r="W3927" s="1" t="str">
        <f>"2120"</f>
        <v>2120</v>
      </c>
      <c r="X3927" s="1" t="s">
        <v>35</v>
      </c>
    </row>
    <row r="3928" spans="1:24" x14ac:dyDescent="0.3">
      <c r="A3928" s="1" t="str">
        <f t="shared" si="732"/>
        <v>59809</v>
      </c>
      <c r="B3928" s="1" t="s">
        <v>42</v>
      </c>
      <c r="C3928" s="1" t="s">
        <v>43</v>
      </c>
      <c r="D3928" s="1" t="str">
        <f t="shared" si="733"/>
        <v>9801</v>
      </c>
      <c r="E3928" s="1" t="s">
        <v>25</v>
      </c>
      <c r="F3928" s="1" t="str">
        <f>"1797755489"</f>
        <v>1797755489</v>
      </c>
      <c r="G3928" s="1" t="s">
        <v>33</v>
      </c>
      <c r="H3928" s="1" t="str">
        <f t="shared" si="734"/>
        <v>20220917</v>
      </c>
      <c r="I3928" s="1" t="str">
        <f>"143746"</f>
        <v>143746</v>
      </c>
      <c r="J3928" s="1" t="s">
        <v>75</v>
      </c>
      <c r="K3928" s="1" t="s">
        <v>45</v>
      </c>
      <c r="L3928" s="1" t="str">
        <f t="shared" si="735"/>
        <v>20220917</v>
      </c>
      <c r="M3928" s="1" t="str">
        <f>"144947"</f>
        <v>144947</v>
      </c>
      <c r="N3928" s="1" t="s">
        <v>28</v>
      </c>
      <c r="O3928" s="1" t="s">
        <v>28</v>
      </c>
      <c r="P3928" s="1" t="s">
        <v>55</v>
      </c>
      <c r="Q3928" s="1">
        <v>25</v>
      </c>
      <c r="R3928" s="1">
        <v>0</v>
      </c>
      <c r="S3928" s="1">
        <v>25</v>
      </c>
      <c r="T3928" s="1">
        <v>0</v>
      </c>
      <c r="U3928" s="1">
        <v>0</v>
      </c>
      <c r="V3928" s="1" t="str">
        <f t="shared" si="736"/>
        <v>里程返程</v>
      </c>
      <c r="W3928" s="1" t="str">
        <f>"2020"</f>
        <v>2020</v>
      </c>
      <c r="X3928" s="1" t="s">
        <v>35</v>
      </c>
    </row>
    <row r="3929" spans="1:24" x14ac:dyDescent="0.3">
      <c r="A3929" s="1" t="str">
        <f t="shared" si="732"/>
        <v>59809</v>
      </c>
      <c r="B3929" s="1" t="s">
        <v>42</v>
      </c>
      <c r="C3929" s="1" t="s">
        <v>43</v>
      </c>
      <c r="D3929" s="1" t="str">
        <f t="shared" si="733"/>
        <v>9801</v>
      </c>
      <c r="E3929" s="1" t="s">
        <v>25</v>
      </c>
      <c r="F3929" s="1" t="str">
        <f>"1777612965"</f>
        <v>1777612965</v>
      </c>
      <c r="G3929" s="1" t="s">
        <v>33</v>
      </c>
      <c r="H3929" s="1" t="str">
        <f t="shared" si="734"/>
        <v>20220917</v>
      </c>
      <c r="I3929" s="1" t="str">
        <f>"143749"</f>
        <v>143749</v>
      </c>
      <c r="J3929" s="1" t="s">
        <v>75</v>
      </c>
      <c r="K3929" s="1" t="s">
        <v>45</v>
      </c>
      <c r="L3929" s="1" t="str">
        <f t="shared" si="735"/>
        <v>20220917</v>
      </c>
      <c r="M3929" s="1" t="str">
        <f>"144953"</f>
        <v>144953</v>
      </c>
      <c r="N3929" s="1" t="s">
        <v>28</v>
      </c>
      <c r="O3929" s="1" t="s">
        <v>28</v>
      </c>
      <c r="P3929" s="1" t="s">
        <v>55</v>
      </c>
      <c r="Q3929" s="1">
        <v>25</v>
      </c>
      <c r="R3929" s="1">
        <v>0</v>
      </c>
      <c r="S3929" s="1">
        <v>25</v>
      </c>
      <c r="T3929" s="1">
        <v>0</v>
      </c>
      <c r="U3929" s="1">
        <v>0</v>
      </c>
      <c r="V3929" s="1" t="str">
        <f t="shared" si="736"/>
        <v>里程返程</v>
      </c>
      <c r="W3929" s="1" t="str">
        <f>"2020"</f>
        <v>2020</v>
      </c>
      <c r="X3929" s="1" t="s">
        <v>35</v>
      </c>
    </row>
    <row r="3930" spans="1:24" x14ac:dyDescent="0.3">
      <c r="A3930" s="1" t="str">
        <f t="shared" si="732"/>
        <v>59809</v>
      </c>
      <c r="B3930" s="1" t="s">
        <v>42</v>
      </c>
      <c r="C3930" s="1" t="s">
        <v>43</v>
      </c>
      <c r="D3930" s="1" t="str">
        <f t="shared" si="733"/>
        <v>9801</v>
      </c>
      <c r="E3930" s="1" t="s">
        <v>25</v>
      </c>
      <c r="F3930" s="1" t="str">
        <f>"720364869"</f>
        <v>720364869</v>
      </c>
      <c r="G3930" s="1" t="s">
        <v>33</v>
      </c>
      <c r="H3930" s="1" t="str">
        <f t="shared" si="734"/>
        <v>20220917</v>
      </c>
      <c r="I3930" s="1" t="str">
        <f>"143752"</f>
        <v>143752</v>
      </c>
      <c r="J3930" s="1" t="s">
        <v>75</v>
      </c>
      <c r="K3930" s="1" t="s">
        <v>45</v>
      </c>
      <c r="L3930" s="1" t="str">
        <f t="shared" si="735"/>
        <v>20220917</v>
      </c>
      <c r="M3930" s="1" t="str">
        <f>"144951"</f>
        <v>144951</v>
      </c>
      <c r="N3930" s="1" t="s">
        <v>28</v>
      </c>
      <c r="O3930" s="1" t="s">
        <v>28</v>
      </c>
      <c r="P3930" s="1" t="s">
        <v>55</v>
      </c>
      <c r="Q3930" s="1">
        <v>25</v>
      </c>
      <c r="R3930" s="1">
        <v>0</v>
      </c>
      <c r="S3930" s="1">
        <v>25</v>
      </c>
      <c r="T3930" s="1">
        <v>0</v>
      </c>
      <c r="U3930" s="1">
        <v>0</v>
      </c>
      <c r="V3930" s="1" t="str">
        <f t="shared" si="736"/>
        <v>里程返程</v>
      </c>
      <c r="W3930" s="1" t="str">
        <f>"2020"</f>
        <v>2020</v>
      </c>
      <c r="X3930" s="1" t="s">
        <v>35</v>
      </c>
    </row>
    <row r="3931" spans="1:24" x14ac:dyDescent="0.3">
      <c r="A3931" s="1" t="str">
        <f t="shared" si="732"/>
        <v>59809</v>
      </c>
      <c r="B3931" s="1" t="s">
        <v>42</v>
      </c>
      <c r="C3931" s="1" t="s">
        <v>43</v>
      </c>
      <c r="D3931" s="1" t="str">
        <f t="shared" si="733"/>
        <v>9801</v>
      </c>
      <c r="E3931" s="1" t="s">
        <v>25</v>
      </c>
      <c r="F3931" s="1" t="str">
        <f>"993888817"</f>
        <v>993888817</v>
      </c>
      <c r="G3931" s="1" t="s">
        <v>33</v>
      </c>
      <c r="H3931" s="1" t="str">
        <f t="shared" si="734"/>
        <v>20220917</v>
      </c>
      <c r="I3931" s="1" t="str">
        <f>"145027"</f>
        <v>145027</v>
      </c>
      <c r="J3931" s="1" t="s">
        <v>28</v>
      </c>
      <c r="K3931" s="1" t="s">
        <v>28</v>
      </c>
      <c r="L3931" s="1" t="str">
        <f t="shared" si="735"/>
        <v>20220917</v>
      </c>
      <c r="M3931" s="1" t="str">
        <f>"150730"</f>
        <v>150730</v>
      </c>
      <c r="N3931" s="1" t="s">
        <v>69</v>
      </c>
      <c r="O3931" s="1" t="s">
        <v>52</v>
      </c>
      <c r="P3931" s="1" t="s">
        <v>55</v>
      </c>
      <c r="Q3931" s="1">
        <v>25</v>
      </c>
      <c r="R3931" s="1">
        <v>0</v>
      </c>
      <c r="S3931" s="1">
        <v>25</v>
      </c>
      <c r="T3931" s="1">
        <v>0</v>
      </c>
      <c r="U3931" s="1">
        <v>0</v>
      </c>
      <c r="V3931" s="1" t="str">
        <f t="shared" si="736"/>
        <v>里程返程</v>
      </c>
      <c r="W3931" s="1" t="str">
        <f>"2120"</f>
        <v>2120</v>
      </c>
      <c r="X3931" s="1" t="s">
        <v>35</v>
      </c>
    </row>
    <row r="3932" spans="1:24" x14ac:dyDescent="0.3">
      <c r="A3932" s="1" t="str">
        <f t="shared" si="732"/>
        <v>59809</v>
      </c>
      <c r="B3932" s="1" t="s">
        <v>42</v>
      </c>
      <c r="C3932" s="1" t="s">
        <v>43</v>
      </c>
      <c r="D3932" s="1" t="str">
        <f t="shared" si="733"/>
        <v>9801</v>
      </c>
      <c r="E3932" s="1" t="s">
        <v>25</v>
      </c>
      <c r="F3932" s="1" t="str">
        <f>"11C61656972804001C00000000000000"</f>
        <v>11C61656972804001C00000000000000</v>
      </c>
      <c r="G3932" s="1" t="s">
        <v>58</v>
      </c>
      <c r="H3932" s="1" t="str">
        <f t="shared" si="734"/>
        <v>20220917</v>
      </c>
      <c r="I3932" s="1" t="str">
        <f>"145107"</f>
        <v>145107</v>
      </c>
      <c r="J3932" s="1" t="s">
        <v>28</v>
      </c>
      <c r="K3932" s="1" t="s">
        <v>28</v>
      </c>
      <c r="L3932" s="1" t="str">
        <f t="shared" si="735"/>
        <v>20220917</v>
      </c>
      <c r="M3932" s="1" t="str">
        <f>"152211"</f>
        <v>152211</v>
      </c>
      <c r="N3932" s="1" t="s">
        <v>86</v>
      </c>
      <c r="O3932" s="1" t="s">
        <v>52</v>
      </c>
      <c r="P3932" s="1" t="s">
        <v>55</v>
      </c>
      <c r="Q3932" s="1">
        <v>25</v>
      </c>
      <c r="R3932" s="1">
        <v>25</v>
      </c>
      <c r="S3932" s="1">
        <v>0</v>
      </c>
      <c r="T3932" s="1">
        <v>0</v>
      </c>
      <c r="U3932" s="1">
        <v>0</v>
      </c>
      <c r="V3932" s="1" t="str">
        <f t="shared" si="736"/>
        <v>里程返程</v>
      </c>
      <c r="W3932" s="1" t="str">
        <f>"0020"</f>
        <v>0020</v>
      </c>
      <c r="X3932" s="1" t="s">
        <v>29</v>
      </c>
    </row>
    <row r="3933" spans="1:24" x14ac:dyDescent="0.3">
      <c r="A3933" s="1" t="str">
        <f t="shared" si="732"/>
        <v>59809</v>
      </c>
      <c r="B3933" s="1" t="s">
        <v>42</v>
      </c>
      <c r="C3933" s="1" t="s">
        <v>43</v>
      </c>
      <c r="D3933" s="1" t="str">
        <f t="shared" si="733"/>
        <v>9801</v>
      </c>
      <c r="E3933" s="1" t="s">
        <v>25</v>
      </c>
      <c r="F3933" s="1" t="str">
        <f>"1352916257"</f>
        <v>1352916257</v>
      </c>
      <c r="G3933" s="1" t="s">
        <v>33</v>
      </c>
      <c r="H3933" s="1" t="str">
        <f t="shared" si="734"/>
        <v>20220917</v>
      </c>
      <c r="I3933" s="1" t="str">
        <f>"145110"</f>
        <v>145110</v>
      </c>
      <c r="J3933" s="1" t="s">
        <v>28</v>
      </c>
      <c r="K3933" s="1" t="s">
        <v>28</v>
      </c>
      <c r="L3933" s="1" t="str">
        <f t="shared" si="735"/>
        <v>20220917</v>
      </c>
      <c r="M3933" s="1" t="str">
        <f>"152209"</f>
        <v>152209</v>
      </c>
      <c r="N3933" s="1" t="s">
        <v>86</v>
      </c>
      <c r="O3933" s="1" t="s">
        <v>52</v>
      </c>
      <c r="P3933" s="1" t="s">
        <v>55</v>
      </c>
      <c r="Q3933" s="1">
        <v>25</v>
      </c>
      <c r="R3933" s="1">
        <v>25</v>
      </c>
      <c r="S3933" s="1">
        <v>0</v>
      </c>
      <c r="T3933" s="1">
        <v>0</v>
      </c>
      <c r="U3933" s="1">
        <v>0</v>
      </c>
      <c r="V3933" s="1" t="str">
        <f t="shared" si="736"/>
        <v>里程返程</v>
      </c>
      <c r="W3933" s="1" t="str">
        <f>"0120"</f>
        <v>0120</v>
      </c>
      <c r="X3933" s="1" t="s">
        <v>35</v>
      </c>
    </row>
    <row r="3934" spans="1:24" x14ac:dyDescent="0.3">
      <c r="A3934" s="1" t="str">
        <f t="shared" si="732"/>
        <v>59809</v>
      </c>
      <c r="B3934" s="1" t="s">
        <v>42</v>
      </c>
      <c r="C3934" s="1" t="s">
        <v>43</v>
      </c>
      <c r="D3934" s="1" t="str">
        <f t="shared" si="733"/>
        <v>9801</v>
      </c>
      <c r="E3934" s="1" t="s">
        <v>25</v>
      </c>
      <c r="F3934" s="1" t="str">
        <f>"780393601"</f>
        <v>780393601</v>
      </c>
      <c r="G3934" s="1" t="s">
        <v>33</v>
      </c>
      <c r="H3934" s="1" t="str">
        <f t="shared" si="734"/>
        <v>20220917</v>
      </c>
      <c r="I3934" s="1" t="str">
        <f>"145114"</f>
        <v>145114</v>
      </c>
      <c r="J3934" s="1" t="s">
        <v>28</v>
      </c>
      <c r="K3934" s="1" t="s">
        <v>28</v>
      </c>
      <c r="L3934" s="1" t="str">
        <f t="shared" si="735"/>
        <v>20220917</v>
      </c>
      <c r="M3934" s="1" t="str">
        <f>"152206"</f>
        <v>152206</v>
      </c>
      <c r="N3934" s="1" t="s">
        <v>86</v>
      </c>
      <c r="O3934" s="1" t="s">
        <v>52</v>
      </c>
      <c r="P3934" s="1" t="s">
        <v>55</v>
      </c>
      <c r="Q3934" s="1">
        <v>25</v>
      </c>
      <c r="R3934" s="1">
        <v>25</v>
      </c>
      <c r="S3934" s="1">
        <v>0</v>
      </c>
      <c r="T3934" s="1">
        <v>0</v>
      </c>
      <c r="U3934" s="1">
        <v>0</v>
      </c>
      <c r="V3934" s="1" t="str">
        <f t="shared" si="736"/>
        <v>里程返程</v>
      </c>
      <c r="W3934" s="1" t="str">
        <f>"0120"</f>
        <v>0120</v>
      </c>
      <c r="X3934" s="1" t="s">
        <v>35</v>
      </c>
    </row>
    <row r="3935" spans="1:24" x14ac:dyDescent="0.3">
      <c r="A3935" s="1" t="str">
        <f t="shared" si="732"/>
        <v>59809</v>
      </c>
      <c r="B3935" s="1" t="s">
        <v>42</v>
      </c>
      <c r="C3935" s="1" t="s">
        <v>43</v>
      </c>
      <c r="D3935" s="1" t="str">
        <f t="shared" si="733"/>
        <v>9801</v>
      </c>
      <c r="E3935" s="1" t="s">
        <v>25</v>
      </c>
      <c r="F3935" s="1" t="str">
        <f>"1699395637"</f>
        <v>1699395637</v>
      </c>
      <c r="G3935" s="1" t="s">
        <v>33</v>
      </c>
      <c r="H3935" s="1" t="str">
        <f t="shared" si="734"/>
        <v>20220917</v>
      </c>
      <c r="I3935" s="1" t="str">
        <f>"153621"</f>
        <v>153621</v>
      </c>
      <c r="J3935" s="1" t="s">
        <v>91</v>
      </c>
      <c r="K3935" s="1" t="s">
        <v>45</v>
      </c>
      <c r="L3935" s="1" t="str">
        <f t="shared" si="735"/>
        <v>20220917</v>
      </c>
      <c r="M3935" s="1" t="str">
        <f>"154928"</f>
        <v>154928</v>
      </c>
      <c r="N3935" s="1" t="s">
        <v>28</v>
      </c>
      <c r="O3935" s="1" t="s">
        <v>28</v>
      </c>
      <c r="P3935" s="1" t="s">
        <v>55</v>
      </c>
      <c r="Q3935" s="1">
        <v>25</v>
      </c>
      <c r="R3935" s="1">
        <v>25</v>
      </c>
      <c r="S3935" s="1">
        <v>0</v>
      </c>
      <c r="T3935" s="1">
        <v>0</v>
      </c>
      <c r="U3935" s="1">
        <v>0</v>
      </c>
      <c r="V3935" s="1" t="str">
        <f t="shared" si="736"/>
        <v>里程返程</v>
      </c>
      <c r="W3935" s="1" t="str">
        <f>"2020"</f>
        <v>2020</v>
      </c>
      <c r="X3935" s="1" t="s">
        <v>35</v>
      </c>
    </row>
    <row r="3936" spans="1:24" x14ac:dyDescent="0.3">
      <c r="A3936" s="1" t="str">
        <f t="shared" si="732"/>
        <v>59809</v>
      </c>
      <c r="B3936" s="1" t="s">
        <v>42</v>
      </c>
      <c r="C3936" s="1" t="s">
        <v>43</v>
      </c>
      <c r="D3936" s="1" t="str">
        <f t="shared" si="733"/>
        <v>9801</v>
      </c>
      <c r="E3936" s="1" t="s">
        <v>25</v>
      </c>
      <c r="F3936" s="1" t="str">
        <f>"452063217"</f>
        <v>452063217</v>
      </c>
      <c r="G3936" s="1" t="s">
        <v>33</v>
      </c>
      <c r="H3936" s="1" t="str">
        <f t="shared" si="734"/>
        <v>20220917</v>
      </c>
      <c r="I3936" s="1" t="str">
        <f>"154127"</f>
        <v>154127</v>
      </c>
      <c r="J3936" s="1" t="s">
        <v>45</v>
      </c>
      <c r="K3936" s="1" t="s">
        <v>45</v>
      </c>
      <c r="L3936" s="1" t="str">
        <f t="shared" si="735"/>
        <v>20220917</v>
      </c>
      <c r="M3936" s="1" t="str">
        <f>"154931"</f>
        <v>154931</v>
      </c>
      <c r="N3936" s="1" t="s">
        <v>28</v>
      </c>
      <c r="O3936" s="1" t="s">
        <v>28</v>
      </c>
      <c r="P3936" s="1" t="s">
        <v>55</v>
      </c>
      <c r="Q3936" s="1">
        <v>25</v>
      </c>
      <c r="R3936" s="1">
        <v>25</v>
      </c>
      <c r="S3936" s="1">
        <v>0</v>
      </c>
      <c r="T3936" s="1">
        <v>0</v>
      </c>
      <c r="U3936" s="1">
        <v>0</v>
      </c>
      <c r="V3936" s="1" t="str">
        <f t="shared" si="736"/>
        <v>里程返程</v>
      </c>
      <c r="W3936" s="1" t="str">
        <f>"1c20"</f>
        <v>1c20</v>
      </c>
      <c r="X3936" s="1" t="s">
        <v>35</v>
      </c>
    </row>
    <row r="3937" spans="1:24" x14ac:dyDescent="0.3">
      <c r="A3937" s="1" t="str">
        <f t="shared" si="732"/>
        <v>59809</v>
      </c>
      <c r="B3937" s="1" t="s">
        <v>42</v>
      </c>
      <c r="C3937" s="1" t="s">
        <v>43</v>
      </c>
      <c r="D3937" s="1" t="str">
        <f t="shared" si="733"/>
        <v>9801</v>
      </c>
      <c r="E3937" s="1" t="s">
        <v>25</v>
      </c>
      <c r="F3937" s="1" t="str">
        <f>"E220D10211880400C834002000000015"</f>
        <v>E220D10211880400C834002000000015</v>
      </c>
      <c r="G3937" s="1" t="s">
        <v>74</v>
      </c>
      <c r="H3937" s="1" t="str">
        <f t="shared" si="734"/>
        <v>20220917</v>
      </c>
      <c r="I3937" s="1" t="str">
        <f>"161009"</f>
        <v>161009</v>
      </c>
      <c r="J3937" s="1" t="s">
        <v>80</v>
      </c>
      <c r="K3937" s="1" t="s">
        <v>52</v>
      </c>
      <c r="L3937" s="1" t="str">
        <f t="shared" si="735"/>
        <v>20220917</v>
      </c>
      <c r="M3937" s="1" t="str">
        <f>"161322"</f>
        <v>161322</v>
      </c>
      <c r="N3937" s="1" t="s">
        <v>65</v>
      </c>
      <c r="O3937" s="1" t="s">
        <v>52</v>
      </c>
      <c r="P3937" s="1" t="s">
        <v>68</v>
      </c>
      <c r="Q3937" s="1">
        <v>13</v>
      </c>
      <c r="R3937" s="1">
        <v>0</v>
      </c>
      <c r="S3937" s="1">
        <v>0</v>
      </c>
      <c r="T3937" s="1">
        <v>13</v>
      </c>
      <c r="U3937" s="1">
        <v>0</v>
      </c>
      <c r="V3937" s="1" t="str">
        <f t="shared" si="736"/>
        <v>里程返程</v>
      </c>
      <c r="W3937" s="1" t="str">
        <f>"0020"</f>
        <v>0020</v>
      </c>
      <c r="X3937" s="1" t="s">
        <v>29</v>
      </c>
    </row>
    <row r="3938" spans="1:24" x14ac:dyDescent="0.3">
      <c r="A3938" s="1" t="str">
        <f t="shared" si="732"/>
        <v>59809</v>
      </c>
      <c r="B3938" s="1" t="s">
        <v>42</v>
      </c>
      <c r="C3938" s="1" t="s">
        <v>43</v>
      </c>
      <c r="D3938" s="1" t="str">
        <f t="shared" si="733"/>
        <v>9801</v>
      </c>
      <c r="E3938" s="1" t="s">
        <v>25</v>
      </c>
      <c r="F3938" s="1" t="str">
        <f>"1737963496"</f>
        <v>1737963496</v>
      </c>
      <c r="G3938" s="1" t="s">
        <v>33</v>
      </c>
      <c r="H3938" s="1" t="str">
        <f t="shared" si="734"/>
        <v>20220917</v>
      </c>
      <c r="I3938" s="1" t="str">
        <f>"163510"</f>
        <v>163510</v>
      </c>
      <c r="J3938" s="1" t="s">
        <v>100</v>
      </c>
      <c r="K3938" s="1" t="s">
        <v>45</v>
      </c>
      <c r="L3938" s="1" t="str">
        <f t="shared" si="735"/>
        <v>20220917</v>
      </c>
      <c r="M3938" s="1" t="str">
        <f>"165420"</f>
        <v>165420</v>
      </c>
      <c r="N3938" s="1" t="s">
        <v>28</v>
      </c>
      <c r="O3938" s="1" t="s">
        <v>28</v>
      </c>
      <c r="P3938" s="1" t="s">
        <v>55</v>
      </c>
      <c r="Q3938" s="1">
        <v>25</v>
      </c>
      <c r="R3938" s="1">
        <v>25</v>
      </c>
      <c r="S3938" s="1">
        <v>0</v>
      </c>
      <c r="T3938" s="1">
        <v>0</v>
      </c>
      <c r="U3938" s="1">
        <v>0</v>
      </c>
      <c r="V3938" s="1" t="str">
        <f t="shared" si="736"/>
        <v>里程返程</v>
      </c>
      <c r="W3938" s="1" t="str">
        <f>"0320"</f>
        <v>0320</v>
      </c>
      <c r="X3938" s="1" t="s">
        <v>35</v>
      </c>
    </row>
    <row r="3939" spans="1:24" x14ac:dyDescent="0.3">
      <c r="A3939" s="1" t="str">
        <f t="shared" si="732"/>
        <v>59809</v>
      </c>
      <c r="B3939" s="1" t="s">
        <v>42</v>
      </c>
      <c r="C3939" s="1" t="s">
        <v>43</v>
      </c>
      <c r="D3939" s="1" t="str">
        <f t="shared" si="733"/>
        <v>9801</v>
      </c>
      <c r="E3939" s="1" t="s">
        <v>25</v>
      </c>
      <c r="F3939" s="1" t="str">
        <f>"612034191"</f>
        <v>612034191</v>
      </c>
      <c r="G3939" s="1" t="s">
        <v>33</v>
      </c>
      <c r="H3939" s="1" t="str">
        <f t="shared" si="734"/>
        <v>20220917</v>
      </c>
      <c r="I3939" s="1" t="str">
        <f>"163739"</f>
        <v>163739</v>
      </c>
      <c r="J3939" s="1" t="s">
        <v>91</v>
      </c>
      <c r="K3939" s="1" t="s">
        <v>45</v>
      </c>
      <c r="L3939" s="1" t="str">
        <f t="shared" si="735"/>
        <v>20220917</v>
      </c>
      <c r="M3939" s="1" t="str">
        <f>"171918"</f>
        <v>171918</v>
      </c>
      <c r="N3939" s="1" t="s">
        <v>86</v>
      </c>
      <c r="O3939" s="1" t="s">
        <v>52</v>
      </c>
      <c r="P3939" s="1" t="s">
        <v>55</v>
      </c>
      <c r="Q3939" s="1">
        <v>50</v>
      </c>
      <c r="R3939" s="1">
        <v>25</v>
      </c>
      <c r="S3939" s="1">
        <v>25</v>
      </c>
      <c r="T3939" s="1">
        <v>0</v>
      </c>
      <c r="U3939" s="1">
        <v>0</v>
      </c>
      <c r="V3939" s="1" t="str">
        <f t="shared" si="736"/>
        <v>里程返程</v>
      </c>
      <c r="W3939" s="1" t="str">
        <f>"2120"</f>
        <v>2120</v>
      </c>
      <c r="X3939" s="1" t="s">
        <v>35</v>
      </c>
    </row>
    <row r="3940" spans="1:24" x14ac:dyDescent="0.3">
      <c r="A3940" s="1" t="str">
        <f t="shared" si="732"/>
        <v>59809</v>
      </c>
      <c r="B3940" s="1" t="s">
        <v>42</v>
      </c>
      <c r="C3940" s="1" t="s">
        <v>43</v>
      </c>
      <c r="D3940" s="1" t="str">
        <f t="shared" si="733"/>
        <v>9801</v>
      </c>
      <c r="E3940" s="1" t="s">
        <v>25</v>
      </c>
      <c r="F3940" s="1" t="str">
        <f>"2122891334"</f>
        <v>2122891334</v>
      </c>
      <c r="G3940" s="1" t="s">
        <v>33</v>
      </c>
      <c r="H3940" s="1" t="str">
        <f t="shared" si="734"/>
        <v>20220917</v>
      </c>
      <c r="I3940" s="1" t="str">
        <f>"163742"</f>
        <v>163742</v>
      </c>
      <c r="J3940" s="1" t="s">
        <v>91</v>
      </c>
      <c r="K3940" s="1" t="s">
        <v>45</v>
      </c>
      <c r="L3940" s="1" t="str">
        <f t="shared" si="735"/>
        <v>20220917</v>
      </c>
      <c r="M3940" s="1" t="str">
        <f>"171923"</f>
        <v>171923</v>
      </c>
      <c r="N3940" s="1" t="s">
        <v>86</v>
      </c>
      <c r="O3940" s="1" t="s">
        <v>52</v>
      </c>
      <c r="P3940" s="1" t="s">
        <v>55</v>
      </c>
      <c r="Q3940" s="1">
        <v>50</v>
      </c>
      <c r="R3940" s="1">
        <v>25</v>
      </c>
      <c r="S3940" s="1">
        <v>25</v>
      </c>
      <c r="T3940" s="1">
        <v>0</v>
      </c>
      <c r="U3940" s="1">
        <v>0</v>
      </c>
      <c r="V3940" s="1" t="str">
        <f t="shared" si="736"/>
        <v>里程返程</v>
      </c>
      <c r="W3940" s="1" t="str">
        <f>"2120"</f>
        <v>2120</v>
      </c>
      <c r="X3940" s="1" t="s">
        <v>35</v>
      </c>
    </row>
    <row r="3941" spans="1:24" x14ac:dyDescent="0.3">
      <c r="A3941" s="1" t="str">
        <f t="shared" si="732"/>
        <v>59809</v>
      </c>
      <c r="B3941" s="1" t="s">
        <v>42</v>
      </c>
      <c r="C3941" s="1" t="s">
        <v>43</v>
      </c>
      <c r="D3941" s="1" t="str">
        <f t="shared" si="733"/>
        <v>9801</v>
      </c>
      <c r="E3941" s="1" t="s">
        <v>25</v>
      </c>
      <c r="F3941" s="1" t="str">
        <f>"1144178677"</f>
        <v>1144178677</v>
      </c>
      <c r="G3941" s="1" t="s">
        <v>33</v>
      </c>
      <c r="H3941" s="1" t="str">
        <f t="shared" si="734"/>
        <v>20220917</v>
      </c>
      <c r="I3941" s="1" t="str">
        <f>"163745"</f>
        <v>163745</v>
      </c>
      <c r="J3941" s="1" t="s">
        <v>91</v>
      </c>
      <c r="K3941" s="1" t="s">
        <v>45</v>
      </c>
      <c r="L3941" s="1" t="str">
        <f t="shared" si="735"/>
        <v>20220917</v>
      </c>
      <c r="M3941" s="1" t="str">
        <f>"171926"</f>
        <v>171926</v>
      </c>
      <c r="N3941" s="1" t="s">
        <v>86</v>
      </c>
      <c r="O3941" s="1" t="s">
        <v>52</v>
      </c>
      <c r="P3941" s="1" t="s">
        <v>55</v>
      </c>
      <c r="Q3941" s="1">
        <v>50</v>
      </c>
      <c r="R3941" s="1">
        <v>25</v>
      </c>
      <c r="S3941" s="1">
        <v>25</v>
      </c>
      <c r="T3941" s="1">
        <v>0</v>
      </c>
      <c r="U3941" s="1">
        <v>0</v>
      </c>
      <c r="V3941" s="1" t="str">
        <f t="shared" si="736"/>
        <v>里程返程</v>
      </c>
      <c r="W3941" s="1" t="str">
        <f>"2120"</f>
        <v>2120</v>
      </c>
      <c r="X3941" s="1" t="s">
        <v>35</v>
      </c>
    </row>
    <row r="3942" spans="1:24" x14ac:dyDescent="0.3">
      <c r="A3942" s="1" t="str">
        <f t="shared" si="732"/>
        <v>59809</v>
      </c>
      <c r="B3942" s="1" t="s">
        <v>42</v>
      </c>
      <c r="C3942" s="1" t="s">
        <v>43</v>
      </c>
      <c r="D3942" s="1" t="str">
        <f t="shared" si="733"/>
        <v>9801</v>
      </c>
      <c r="E3942" s="1" t="s">
        <v>25</v>
      </c>
      <c r="F3942" s="1" t="str">
        <f>"128903873"</f>
        <v>128903873</v>
      </c>
      <c r="G3942" s="1" t="s">
        <v>33</v>
      </c>
      <c r="H3942" s="1" t="str">
        <f t="shared" si="734"/>
        <v>20220917</v>
      </c>
      <c r="I3942" s="1" t="str">
        <f>"165441"</f>
        <v>165441</v>
      </c>
      <c r="J3942" s="1" t="s">
        <v>28</v>
      </c>
      <c r="K3942" s="1" t="s">
        <v>28</v>
      </c>
      <c r="L3942" s="1" t="str">
        <f t="shared" si="735"/>
        <v>20220917</v>
      </c>
      <c r="M3942" s="1" t="str">
        <f>"170617"</f>
        <v>170617</v>
      </c>
      <c r="N3942" s="1" t="s">
        <v>77</v>
      </c>
      <c r="O3942" s="1" t="s">
        <v>52</v>
      </c>
      <c r="P3942" s="1" t="s">
        <v>55</v>
      </c>
      <c r="Q3942" s="1">
        <v>25</v>
      </c>
      <c r="R3942" s="1">
        <v>25</v>
      </c>
      <c r="S3942" s="1">
        <v>0</v>
      </c>
      <c r="T3942" s="1">
        <v>0</v>
      </c>
      <c r="U3942" s="1">
        <v>0</v>
      </c>
      <c r="V3942" s="1" t="str">
        <f t="shared" si="736"/>
        <v>里程返程</v>
      </c>
      <c r="W3942" s="1" t="str">
        <f>"0e20"</f>
        <v>0e20</v>
      </c>
      <c r="X3942" s="1" t="s">
        <v>35</v>
      </c>
    </row>
    <row r="3943" spans="1:24" x14ac:dyDescent="0.3">
      <c r="A3943" s="1" t="str">
        <f t="shared" ref="A3943:A3974" si="737">"59820"</f>
        <v>59820</v>
      </c>
      <c r="B3943" s="1" t="s">
        <v>53</v>
      </c>
      <c r="C3943" s="1" t="s">
        <v>54</v>
      </c>
      <c r="D3943" s="1" t="str">
        <f>"9806"</f>
        <v>9806</v>
      </c>
      <c r="E3943" s="1" t="s">
        <v>49</v>
      </c>
      <c r="F3943" s="1" t="str">
        <f>"190403512"</f>
        <v>190403512</v>
      </c>
      <c r="G3943" s="1" t="s">
        <v>33</v>
      </c>
      <c r="H3943" s="1" t="str">
        <f t="shared" si="734"/>
        <v>20220917</v>
      </c>
      <c r="I3943" s="1" t="str">
        <f>"064945"</f>
        <v>064945</v>
      </c>
      <c r="J3943" s="1" t="s">
        <v>28</v>
      </c>
      <c r="K3943" s="1" t="s">
        <v>28</v>
      </c>
      <c r="L3943" s="1" t="str">
        <f t="shared" si="735"/>
        <v>20220917</v>
      </c>
      <c r="M3943" s="1" t="str">
        <f>"070941"</f>
        <v>070941</v>
      </c>
      <c r="N3943" s="1" t="s">
        <v>50</v>
      </c>
      <c r="O3943" s="1" t="s">
        <v>50</v>
      </c>
      <c r="P3943" s="1" t="s">
        <v>55</v>
      </c>
      <c r="Q3943" s="1">
        <v>25</v>
      </c>
      <c r="R3943" s="1">
        <v>25</v>
      </c>
      <c r="S3943" s="1">
        <v>0</v>
      </c>
      <c r="T3943" s="1">
        <v>0</v>
      </c>
      <c r="U3943" s="1">
        <v>0</v>
      </c>
      <c r="V3943" s="1" t="str">
        <f t="shared" si="736"/>
        <v>里程返程</v>
      </c>
      <c r="W3943" s="1" t="str">
        <f>"0320"</f>
        <v>0320</v>
      </c>
      <c r="X3943" s="1" t="s">
        <v>35</v>
      </c>
    </row>
    <row r="3944" spans="1:24" x14ac:dyDescent="0.3">
      <c r="A3944" s="1" t="str">
        <f t="shared" si="737"/>
        <v>59820</v>
      </c>
      <c r="B3944" s="1" t="s">
        <v>53</v>
      </c>
      <c r="C3944" s="1" t="s">
        <v>54</v>
      </c>
      <c r="D3944" s="1" t="str">
        <f>"9806"</f>
        <v>9806</v>
      </c>
      <c r="E3944" s="1" t="s">
        <v>49</v>
      </c>
      <c r="F3944" s="1" t="str">
        <f>"1747961173"</f>
        <v>1747961173</v>
      </c>
      <c r="G3944" s="1" t="s">
        <v>33</v>
      </c>
      <c r="H3944" s="1" t="str">
        <f t="shared" si="734"/>
        <v>20220917</v>
      </c>
      <c r="I3944" s="1" t="str">
        <f>"065056"</f>
        <v>065056</v>
      </c>
      <c r="J3944" s="1" t="s">
        <v>28</v>
      </c>
      <c r="K3944" s="1" t="s">
        <v>28</v>
      </c>
      <c r="L3944" s="1" t="str">
        <f t="shared" si="735"/>
        <v>20220917</v>
      </c>
      <c r="M3944" s="1" t="str">
        <f>"070840"</f>
        <v>070840</v>
      </c>
      <c r="N3944" s="1" t="s">
        <v>50</v>
      </c>
      <c r="O3944" s="1" t="s">
        <v>50</v>
      </c>
      <c r="P3944" s="1" t="s">
        <v>55</v>
      </c>
      <c r="Q3944" s="1">
        <v>25</v>
      </c>
      <c r="R3944" s="1">
        <v>25</v>
      </c>
      <c r="S3944" s="1">
        <v>0</v>
      </c>
      <c r="T3944" s="1">
        <v>0</v>
      </c>
      <c r="U3944" s="1">
        <v>0</v>
      </c>
      <c r="V3944" s="1" t="str">
        <f t="shared" si="736"/>
        <v>里程返程</v>
      </c>
      <c r="W3944" s="1" t="str">
        <f>"0120"</f>
        <v>0120</v>
      </c>
      <c r="X3944" s="1" t="s">
        <v>35</v>
      </c>
    </row>
    <row r="3945" spans="1:24" x14ac:dyDescent="0.3">
      <c r="A3945" s="1" t="str">
        <f t="shared" si="737"/>
        <v>59820</v>
      </c>
      <c r="B3945" s="1" t="s">
        <v>53</v>
      </c>
      <c r="C3945" s="1" t="s">
        <v>54</v>
      </c>
      <c r="D3945" s="1" t="str">
        <f t="shared" ref="D3945:D3976" si="738">"9803"</f>
        <v>9803</v>
      </c>
      <c r="E3945" s="1" t="s">
        <v>32</v>
      </c>
      <c r="F3945" s="1" t="str">
        <f>"1703028837"</f>
        <v>1703028837</v>
      </c>
      <c r="G3945" s="1" t="s">
        <v>33</v>
      </c>
      <c r="H3945" s="1" t="str">
        <f t="shared" si="734"/>
        <v>20220917</v>
      </c>
      <c r="I3945" s="1" t="str">
        <f>"102757"</f>
        <v>102757</v>
      </c>
      <c r="J3945" s="1" t="s">
        <v>28</v>
      </c>
      <c r="K3945" s="1" t="s">
        <v>28</v>
      </c>
      <c r="L3945" s="1" t="str">
        <f t="shared" si="735"/>
        <v>20220917</v>
      </c>
      <c r="M3945" s="1" t="str">
        <f>"105008"</f>
        <v>105008</v>
      </c>
      <c r="N3945" s="1" t="s">
        <v>34</v>
      </c>
      <c r="O3945" s="1" t="s">
        <v>34</v>
      </c>
      <c r="P3945" s="1" t="s">
        <v>55</v>
      </c>
      <c r="Q3945" s="1">
        <v>25</v>
      </c>
      <c r="R3945" s="1">
        <v>0</v>
      </c>
      <c r="S3945" s="1">
        <v>25</v>
      </c>
      <c r="T3945" s="1">
        <v>0</v>
      </c>
      <c r="U3945" s="1">
        <v>0</v>
      </c>
      <c r="V3945" s="1" t="str">
        <f t="shared" ref="V3945:V3978" si="739">"里程去程"</f>
        <v>里程去程</v>
      </c>
      <c r="W3945" s="1" t="str">
        <f>"0820"</f>
        <v>0820</v>
      </c>
      <c r="X3945" s="1" t="s">
        <v>35</v>
      </c>
    </row>
    <row r="3946" spans="1:24" x14ac:dyDescent="0.3">
      <c r="A3946" s="1" t="str">
        <f t="shared" si="737"/>
        <v>59820</v>
      </c>
      <c r="B3946" s="1" t="s">
        <v>53</v>
      </c>
      <c r="C3946" s="1" t="s">
        <v>54</v>
      </c>
      <c r="D3946" s="1" t="str">
        <f t="shared" si="738"/>
        <v>9803</v>
      </c>
      <c r="E3946" s="1" t="s">
        <v>32</v>
      </c>
      <c r="F3946" s="1" t="str">
        <f>"32CC1B13F628040080CED9985D913018"</f>
        <v>32CC1B13F628040080CED9985D913018</v>
      </c>
      <c r="G3946" s="1" t="s">
        <v>58</v>
      </c>
      <c r="H3946" s="1" t="str">
        <f t="shared" si="734"/>
        <v>20220917</v>
      </c>
      <c r="I3946" s="1" t="str">
        <f>"102759"</f>
        <v>102759</v>
      </c>
      <c r="J3946" s="1" t="s">
        <v>28</v>
      </c>
      <c r="K3946" s="1" t="s">
        <v>28</v>
      </c>
      <c r="L3946" s="1" t="str">
        <f t="shared" si="735"/>
        <v>20220917</v>
      </c>
      <c r="M3946" s="1" t="str">
        <f>"104948"</f>
        <v>104948</v>
      </c>
      <c r="N3946" s="1" t="s">
        <v>34</v>
      </c>
      <c r="O3946" s="1" t="s">
        <v>34</v>
      </c>
      <c r="P3946" s="1" t="s">
        <v>55</v>
      </c>
      <c r="Q3946" s="1">
        <v>25</v>
      </c>
      <c r="R3946" s="1">
        <v>0</v>
      </c>
      <c r="S3946" s="1">
        <v>25</v>
      </c>
      <c r="T3946" s="1">
        <v>0</v>
      </c>
      <c r="U3946" s="1">
        <v>0</v>
      </c>
      <c r="V3946" s="1" t="str">
        <f t="shared" si="739"/>
        <v>里程去程</v>
      </c>
      <c r="W3946" s="1" t="str">
        <f>"0620"</f>
        <v>0620</v>
      </c>
      <c r="X3946" s="1" t="s">
        <v>29</v>
      </c>
    </row>
    <row r="3947" spans="1:24" x14ac:dyDescent="0.3">
      <c r="A3947" s="1" t="str">
        <f t="shared" si="737"/>
        <v>59820</v>
      </c>
      <c r="B3947" s="1" t="s">
        <v>53</v>
      </c>
      <c r="C3947" s="1" t="s">
        <v>54</v>
      </c>
      <c r="D3947" s="1" t="str">
        <f t="shared" si="738"/>
        <v>9803</v>
      </c>
      <c r="E3947" s="1" t="s">
        <v>32</v>
      </c>
      <c r="F3947" s="1" t="str">
        <f>"1070567493"</f>
        <v>1070567493</v>
      </c>
      <c r="G3947" s="1" t="s">
        <v>33</v>
      </c>
      <c r="H3947" s="1" t="str">
        <f t="shared" si="734"/>
        <v>20220917</v>
      </c>
      <c r="I3947" s="1" t="str">
        <f>"102804"</f>
        <v>102804</v>
      </c>
      <c r="J3947" s="1" t="s">
        <v>28</v>
      </c>
      <c r="K3947" s="1" t="s">
        <v>28</v>
      </c>
      <c r="L3947" s="1" t="str">
        <f t="shared" si="735"/>
        <v>20220917</v>
      </c>
      <c r="M3947" s="1" t="str">
        <f>"104921"</f>
        <v>104921</v>
      </c>
      <c r="N3947" s="1" t="s">
        <v>89</v>
      </c>
      <c r="O3947" s="1" t="s">
        <v>28</v>
      </c>
      <c r="P3947" s="1" t="s">
        <v>55</v>
      </c>
      <c r="Q3947" s="1">
        <v>25</v>
      </c>
      <c r="R3947" s="1">
        <v>25</v>
      </c>
      <c r="S3947" s="1">
        <v>0</v>
      </c>
      <c r="T3947" s="1">
        <v>0</v>
      </c>
      <c r="U3947" s="1">
        <v>0</v>
      </c>
      <c r="V3947" s="1" t="str">
        <f t="shared" si="739"/>
        <v>里程去程</v>
      </c>
      <c r="W3947" s="1" t="str">
        <f>"0e20"</f>
        <v>0e20</v>
      </c>
      <c r="X3947" s="1" t="s">
        <v>35</v>
      </c>
    </row>
    <row r="3948" spans="1:24" x14ac:dyDescent="0.3">
      <c r="A3948" s="1" t="str">
        <f t="shared" si="737"/>
        <v>59820</v>
      </c>
      <c r="B3948" s="1" t="s">
        <v>53</v>
      </c>
      <c r="C3948" s="1" t="s">
        <v>54</v>
      </c>
      <c r="D3948" s="1" t="str">
        <f t="shared" si="738"/>
        <v>9803</v>
      </c>
      <c r="E3948" s="1" t="s">
        <v>32</v>
      </c>
      <c r="F3948" s="1" t="str">
        <f>"2793123663"</f>
        <v>2793123663</v>
      </c>
      <c r="G3948" s="1" t="s">
        <v>33</v>
      </c>
      <c r="H3948" s="1" t="str">
        <f t="shared" si="734"/>
        <v>20220917</v>
      </c>
      <c r="I3948" s="1" t="str">
        <f>"102831"</f>
        <v>102831</v>
      </c>
      <c r="J3948" s="1" t="s">
        <v>28</v>
      </c>
      <c r="K3948" s="1" t="s">
        <v>28</v>
      </c>
      <c r="L3948" s="1" t="str">
        <f t="shared" si="735"/>
        <v>20220917</v>
      </c>
      <c r="M3948" s="1" t="str">
        <f>"104953"</f>
        <v>104953</v>
      </c>
      <c r="N3948" s="1" t="s">
        <v>34</v>
      </c>
      <c r="O3948" s="1" t="s">
        <v>34</v>
      </c>
      <c r="P3948" s="1" t="s">
        <v>55</v>
      </c>
      <c r="Q3948" s="1">
        <v>25</v>
      </c>
      <c r="R3948" s="1">
        <v>25</v>
      </c>
      <c r="S3948" s="1">
        <v>0</v>
      </c>
      <c r="T3948" s="1">
        <v>0</v>
      </c>
      <c r="U3948" s="1">
        <v>0</v>
      </c>
      <c r="V3948" s="1" t="str">
        <f t="shared" si="739"/>
        <v>里程去程</v>
      </c>
      <c r="W3948" s="1" t="str">
        <f>"0b20"</f>
        <v>0b20</v>
      </c>
      <c r="X3948" s="1" t="s">
        <v>35</v>
      </c>
    </row>
    <row r="3949" spans="1:24" x14ac:dyDescent="0.3">
      <c r="A3949" s="1" t="str">
        <f t="shared" si="737"/>
        <v>59820</v>
      </c>
      <c r="B3949" s="1" t="s">
        <v>53</v>
      </c>
      <c r="C3949" s="1" t="s">
        <v>54</v>
      </c>
      <c r="D3949" s="1" t="str">
        <f t="shared" si="738"/>
        <v>9803</v>
      </c>
      <c r="E3949" s="1" t="s">
        <v>32</v>
      </c>
      <c r="F3949" s="1" t="str">
        <f>"121CE216FA880400C814002000000019"</f>
        <v>121CE216FA880400C814002000000019</v>
      </c>
      <c r="G3949" s="1" t="s">
        <v>59</v>
      </c>
      <c r="H3949" s="1" t="str">
        <f t="shared" si="734"/>
        <v>20220917</v>
      </c>
      <c r="I3949" s="1" t="str">
        <f>"102835"</f>
        <v>102835</v>
      </c>
      <c r="J3949" s="1" t="s">
        <v>28</v>
      </c>
      <c r="K3949" s="1" t="s">
        <v>28</v>
      </c>
      <c r="L3949" s="1" t="str">
        <f t="shared" si="735"/>
        <v>20220917</v>
      </c>
      <c r="M3949" s="1" t="str">
        <f>"104955"</f>
        <v>104955</v>
      </c>
      <c r="N3949" s="1" t="s">
        <v>34</v>
      </c>
      <c r="O3949" s="1" t="s">
        <v>34</v>
      </c>
      <c r="P3949" s="1" t="s">
        <v>55</v>
      </c>
      <c r="Q3949" s="1">
        <v>25</v>
      </c>
      <c r="R3949" s="1">
        <v>25</v>
      </c>
      <c r="S3949" s="1">
        <v>0</v>
      </c>
      <c r="T3949" s="1">
        <v>0</v>
      </c>
      <c r="U3949" s="1">
        <v>0</v>
      </c>
      <c r="V3949" s="1" t="str">
        <f t="shared" si="739"/>
        <v>里程去程</v>
      </c>
      <c r="W3949" s="1" t="str">
        <f>"0020"</f>
        <v>0020</v>
      </c>
      <c r="X3949" s="1" t="s">
        <v>29</v>
      </c>
    </row>
    <row r="3950" spans="1:24" x14ac:dyDescent="0.3">
      <c r="A3950" s="1" t="str">
        <f t="shared" si="737"/>
        <v>59820</v>
      </c>
      <c r="B3950" s="1" t="s">
        <v>53</v>
      </c>
      <c r="C3950" s="1" t="s">
        <v>54</v>
      </c>
      <c r="D3950" s="1" t="str">
        <f t="shared" si="738"/>
        <v>9803</v>
      </c>
      <c r="E3950" s="1" t="s">
        <v>32</v>
      </c>
      <c r="F3950" s="1" t="str">
        <f>"3570747763"</f>
        <v>3570747763</v>
      </c>
      <c r="G3950" s="1" t="s">
        <v>33</v>
      </c>
      <c r="H3950" s="1" t="str">
        <f t="shared" si="734"/>
        <v>20220917</v>
      </c>
      <c r="I3950" s="1" t="str">
        <f>"102844"</f>
        <v>102844</v>
      </c>
      <c r="J3950" s="1" t="s">
        <v>28</v>
      </c>
      <c r="K3950" s="1" t="s">
        <v>28</v>
      </c>
      <c r="L3950" s="1" t="str">
        <f t="shared" si="735"/>
        <v>20220917</v>
      </c>
      <c r="M3950" s="1" t="str">
        <f>"104844"</f>
        <v>104844</v>
      </c>
      <c r="N3950" s="1" t="s">
        <v>89</v>
      </c>
      <c r="O3950" s="1" t="s">
        <v>28</v>
      </c>
      <c r="P3950" s="1" t="s">
        <v>55</v>
      </c>
      <c r="Q3950" s="1">
        <v>25</v>
      </c>
      <c r="R3950" s="1">
        <v>25</v>
      </c>
      <c r="S3950" s="1">
        <v>0</v>
      </c>
      <c r="T3950" s="1">
        <v>0</v>
      </c>
      <c r="U3950" s="1">
        <v>0</v>
      </c>
      <c r="V3950" s="1" t="str">
        <f t="shared" si="739"/>
        <v>里程去程</v>
      </c>
      <c r="W3950" s="1" t="str">
        <f>"0220"</f>
        <v>0220</v>
      </c>
      <c r="X3950" s="1" t="s">
        <v>35</v>
      </c>
    </row>
    <row r="3951" spans="1:24" x14ac:dyDescent="0.3">
      <c r="A3951" s="1" t="str">
        <f t="shared" si="737"/>
        <v>59820</v>
      </c>
      <c r="B3951" s="1" t="s">
        <v>53</v>
      </c>
      <c r="C3951" s="1" t="s">
        <v>54</v>
      </c>
      <c r="D3951" s="1" t="str">
        <f t="shared" si="738"/>
        <v>9803</v>
      </c>
      <c r="E3951" s="1" t="s">
        <v>32</v>
      </c>
      <c r="F3951" s="1" t="str">
        <f>"227472784"</f>
        <v>227472784</v>
      </c>
      <c r="G3951" s="1" t="s">
        <v>33</v>
      </c>
      <c r="H3951" s="1" t="str">
        <f t="shared" si="734"/>
        <v>20220917</v>
      </c>
      <c r="I3951" s="1" t="str">
        <f>"102848"</f>
        <v>102848</v>
      </c>
      <c r="J3951" s="1" t="s">
        <v>28</v>
      </c>
      <c r="K3951" s="1" t="s">
        <v>28</v>
      </c>
      <c r="L3951" s="1" t="str">
        <f t="shared" si="735"/>
        <v>20220917</v>
      </c>
      <c r="M3951" s="1" t="str">
        <f>"104635"</f>
        <v>104635</v>
      </c>
      <c r="N3951" s="1" t="s">
        <v>89</v>
      </c>
      <c r="O3951" s="1" t="s">
        <v>28</v>
      </c>
      <c r="P3951" s="1" t="s">
        <v>55</v>
      </c>
      <c r="Q3951" s="1">
        <v>25</v>
      </c>
      <c r="R3951" s="1">
        <v>25</v>
      </c>
      <c r="S3951" s="1">
        <v>0</v>
      </c>
      <c r="T3951" s="1">
        <v>0</v>
      </c>
      <c r="U3951" s="1">
        <v>0</v>
      </c>
      <c r="V3951" s="1" t="str">
        <f t="shared" si="739"/>
        <v>里程去程</v>
      </c>
      <c r="W3951" s="1" t="str">
        <f>"0c20"</f>
        <v>0c20</v>
      </c>
      <c r="X3951" s="1" t="s">
        <v>35</v>
      </c>
    </row>
    <row r="3952" spans="1:24" x14ac:dyDescent="0.3">
      <c r="A3952" s="1" t="str">
        <f t="shared" si="737"/>
        <v>59820</v>
      </c>
      <c r="B3952" s="1" t="s">
        <v>53</v>
      </c>
      <c r="C3952" s="1" t="s">
        <v>54</v>
      </c>
      <c r="D3952" s="1" t="str">
        <f t="shared" si="738"/>
        <v>9803</v>
      </c>
      <c r="E3952" s="1" t="s">
        <v>32</v>
      </c>
      <c r="F3952" s="1" t="str">
        <f>"C1B30E5A262804001C00000000000000"</f>
        <v>C1B30E5A262804001C00000000000000</v>
      </c>
      <c r="G3952" s="1" t="s">
        <v>58</v>
      </c>
      <c r="H3952" s="1" t="str">
        <f t="shared" si="734"/>
        <v>20220917</v>
      </c>
      <c r="I3952" s="1" t="str">
        <f>"102853"</f>
        <v>102853</v>
      </c>
      <c r="J3952" s="1" t="s">
        <v>28</v>
      </c>
      <c r="K3952" s="1" t="s">
        <v>28</v>
      </c>
      <c r="L3952" s="1" t="str">
        <f t="shared" si="735"/>
        <v>20220917</v>
      </c>
      <c r="M3952" s="1" t="str">
        <f>"105004"</f>
        <v>105004</v>
      </c>
      <c r="N3952" s="1" t="s">
        <v>34</v>
      </c>
      <c r="O3952" s="1" t="s">
        <v>34</v>
      </c>
      <c r="P3952" s="1" t="s">
        <v>55</v>
      </c>
      <c r="Q3952" s="1">
        <v>25</v>
      </c>
      <c r="R3952" s="1">
        <v>25</v>
      </c>
      <c r="S3952" s="1">
        <v>0</v>
      </c>
      <c r="T3952" s="1">
        <v>0</v>
      </c>
      <c r="U3952" s="1">
        <v>0</v>
      </c>
      <c r="V3952" s="1" t="str">
        <f t="shared" si="739"/>
        <v>里程去程</v>
      </c>
      <c r="W3952" s="1" t="str">
        <f>"0020"</f>
        <v>0020</v>
      </c>
      <c r="X3952" s="1" t="s">
        <v>29</v>
      </c>
    </row>
    <row r="3953" spans="1:24" x14ac:dyDescent="0.3">
      <c r="A3953" s="1" t="str">
        <f t="shared" si="737"/>
        <v>59820</v>
      </c>
      <c r="B3953" s="1" t="s">
        <v>53</v>
      </c>
      <c r="C3953" s="1" t="s">
        <v>54</v>
      </c>
      <c r="D3953" s="1" t="str">
        <f t="shared" si="738"/>
        <v>9803</v>
      </c>
      <c r="E3953" s="1" t="s">
        <v>32</v>
      </c>
      <c r="F3953" s="1" t="str">
        <f>"945992049"</f>
        <v>945992049</v>
      </c>
      <c r="G3953" s="1" t="s">
        <v>33</v>
      </c>
      <c r="H3953" s="1" t="str">
        <f t="shared" si="734"/>
        <v>20220917</v>
      </c>
      <c r="I3953" s="1" t="str">
        <f>"102858"</f>
        <v>102858</v>
      </c>
      <c r="J3953" s="1" t="s">
        <v>28</v>
      </c>
      <c r="K3953" s="1" t="s">
        <v>28</v>
      </c>
      <c r="L3953" s="1" t="str">
        <f t="shared" si="735"/>
        <v>20220917</v>
      </c>
      <c r="M3953" s="1" t="str">
        <f>"105001"</f>
        <v>105001</v>
      </c>
      <c r="N3953" s="1" t="s">
        <v>34</v>
      </c>
      <c r="O3953" s="1" t="s">
        <v>34</v>
      </c>
      <c r="P3953" s="1" t="s">
        <v>55</v>
      </c>
      <c r="Q3953" s="1">
        <v>25</v>
      </c>
      <c r="R3953" s="1">
        <v>25</v>
      </c>
      <c r="S3953" s="1">
        <v>0</v>
      </c>
      <c r="T3953" s="1">
        <v>0</v>
      </c>
      <c r="U3953" s="1">
        <v>0</v>
      </c>
      <c r="V3953" s="1" t="str">
        <f t="shared" si="739"/>
        <v>里程去程</v>
      </c>
      <c r="W3953" s="1" t="str">
        <f>"0120"</f>
        <v>0120</v>
      </c>
      <c r="X3953" s="1" t="s">
        <v>35</v>
      </c>
    </row>
    <row r="3954" spans="1:24" x14ac:dyDescent="0.3">
      <c r="A3954" s="1" t="str">
        <f t="shared" si="737"/>
        <v>59820</v>
      </c>
      <c r="B3954" s="1" t="s">
        <v>53</v>
      </c>
      <c r="C3954" s="1" t="s">
        <v>54</v>
      </c>
      <c r="D3954" s="1" t="str">
        <f t="shared" si="738"/>
        <v>9803</v>
      </c>
      <c r="E3954" s="1" t="s">
        <v>32</v>
      </c>
      <c r="F3954" s="1" t="str">
        <f>"113223317"</f>
        <v>113223317</v>
      </c>
      <c r="G3954" s="1" t="s">
        <v>33</v>
      </c>
      <c r="H3954" s="1" t="str">
        <f t="shared" si="734"/>
        <v>20220917</v>
      </c>
      <c r="I3954" s="1" t="str">
        <f>"102902"</f>
        <v>102902</v>
      </c>
      <c r="J3954" s="1" t="s">
        <v>28</v>
      </c>
      <c r="K3954" s="1" t="s">
        <v>28</v>
      </c>
      <c r="L3954" s="1" t="str">
        <f t="shared" si="735"/>
        <v>20220917</v>
      </c>
      <c r="M3954" s="1" t="str">
        <f>"105022"</f>
        <v>105022</v>
      </c>
      <c r="N3954" s="1" t="s">
        <v>34</v>
      </c>
      <c r="O3954" s="1" t="s">
        <v>34</v>
      </c>
      <c r="P3954" s="1" t="s">
        <v>55</v>
      </c>
      <c r="Q3954" s="1">
        <v>25</v>
      </c>
      <c r="R3954" s="1">
        <v>0</v>
      </c>
      <c r="S3954" s="1">
        <v>25</v>
      </c>
      <c r="T3954" s="1">
        <v>0</v>
      </c>
      <c r="U3954" s="1">
        <v>0</v>
      </c>
      <c r="V3954" s="1" t="str">
        <f t="shared" si="739"/>
        <v>里程去程</v>
      </c>
      <c r="W3954" s="1" t="str">
        <f>"0820"</f>
        <v>0820</v>
      </c>
      <c r="X3954" s="1" t="s">
        <v>35</v>
      </c>
    </row>
    <row r="3955" spans="1:24" x14ac:dyDescent="0.3">
      <c r="A3955" s="1" t="str">
        <f t="shared" si="737"/>
        <v>59820</v>
      </c>
      <c r="B3955" s="1" t="s">
        <v>53</v>
      </c>
      <c r="C3955" s="1" t="s">
        <v>54</v>
      </c>
      <c r="D3955" s="1" t="str">
        <f t="shared" si="738"/>
        <v>9803</v>
      </c>
      <c r="E3955" s="1" t="s">
        <v>32</v>
      </c>
      <c r="F3955" s="1" t="str">
        <f>"3760011783"</f>
        <v>3760011783</v>
      </c>
      <c r="G3955" s="1" t="s">
        <v>33</v>
      </c>
      <c r="H3955" s="1" t="str">
        <f t="shared" si="734"/>
        <v>20220917</v>
      </c>
      <c r="I3955" s="1" t="str">
        <f>"102906"</f>
        <v>102906</v>
      </c>
      <c r="J3955" s="1" t="s">
        <v>28</v>
      </c>
      <c r="K3955" s="1" t="s">
        <v>28</v>
      </c>
      <c r="L3955" s="1" t="str">
        <f t="shared" si="735"/>
        <v>20220917</v>
      </c>
      <c r="M3955" s="1" t="str">
        <f>"105015"</f>
        <v>105015</v>
      </c>
      <c r="N3955" s="1" t="s">
        <v>34</v>
      </c>
      <c r="O3955" s="1" t="s">
        <v>34</v>
      </c>
      <c r="P3955" s="1" t="s">
        <v>55</v>
      </c>
      <c r="Q3955" s="1">
        <v>25</v>
      </c>
      <c r="R3955" s="1">
        <v>0</v>
      </c>
      <c r="S3955" s="1">
        <v>25</v>
      </c>
      <c r="T3955" s="1">
        <v>0</v>
      </c>
      <c r="U3955" s="1">
        <v>0</v>
      </c>
      <c r="V3955" s="1" t="str">
        <f t="shared" si="739"/>
        <v>里程去程</v>
      </c>
      <c r="W3955" s="1" t="str">
        <f>"0820"</f>
        <v>0820</v>
      </c>
      <c r="X3955" s="1" t="s">
        <v>35</v>
      </c>
    </row>
    <row r="3956" spans="1:24" x14ac:dyDescent="0.3">
      <c r="A3956" s="1" t="str">
        <f t="shared" si="737"/>
        <v>59820</v>
      </c>
      <c r="B3956" s="1" t="s">
        <v>53</v>
      </c>
      <c r="C3956" s="1" t="s">
        <v>54</v>
      </c>
      <c r="D3956" s="1" t="str">
        <f t="shared" si="738"/>
        <v>9803</v>
      </c>
      <c r="E3956" s="1" t="s">
        <v>32</v>
      </c>
      <c r="F3956" s="1" t="str">
        <f>"1205891845"</f>
        <v>1205891845</v>
      </c>
      <c r="G3956" s="1" t="s">
        <v>38</v>
      </c>
      <c r="H3956" s="1" t="str">
        <f t="shared" si="734"/>
        <v>20220917</v>
      </c>
      <c r="I3956" s="1" t="str">
        <f>"102910"</f>
        <v>102910</v>
      </c>
      <c r="J3956" s="1" t="s">
        <v>28</v>
      </c>
      <c r="K3956" s="1" t="s">
        <v>28</v>
      </c>
      <c r="L3956" s="1" t="str">
        <f t="shared" si="735"/>
        <v>20220917</v>
      </c>
      <c r="M3956" s="1" t="str">
        <f>"105012"</f>
        <v>105012</v>
      </c>
      <c r="N3956" s="1" t="s">
        <v>34</v>
      </c>
      <c r="O3956" s="1" t="s">
        <v>34</v>
      </c>
      <c r="P3956" s="1" t="s">
        <v>55</v>
      </c>
      <c r="Q3956" s="1">
        <v>25</v>
      </c>
      <c r="R3956" s="1">
        <v>25</v>
      </c>
      <c r="S3956" s="1">
        <v>0</v>
      </c>
      <c r="T3956" s="1">
        <v>0</v>
      </c>
      <c r="U3956" s="1">
        <v>0</v>
      </c>
      <c r="V3956" s="1" t="str">
        <f t="shared" si="739"/>
        <v>里程去程</v>
      </c>
      <c r="W3956" s="1" t="str">
        <f>"0220"</f>
        <v>0220</v>
      </c>
      <c r="X3956" s="1" t="s">
        <v>35</v>
      </c>
    </row>
    <row r="3957" spans="1:24" x14ac:dyDescent="0.3">
      <c r="A3957" s="1" t="str">
        <f t="shared" si="737"/>
        <v>59820</v>
      </c>
      <c r="B3957" s="1" t="s">
        <v>53</v>
      </c>
      <c r="C3957" s="1" t="s">
        <v>54</v>
      </c>
      <c r="D3957" s="1" t="str">
        <f t="shared" si="738"/>
        <v>9803</v>
      </c>
      <c r="E3957" s="1" t="s">
        <v>32</v>
      </c>
      <c r="F3957" s="1" t="str">
        <f>"1770658357"</f>
        <v>1770658357</v>
      </c>
      <c r="G3957" s="1" t="s">
        <v>33</v>
      </c>
      <c r="H3957" s="1" t="str">
        <f t="shared" si="734"/>
        <v>20220917</v>
      </c>
      <c r="I3957" s="1" t="str">
        <f>"102916"</f>
        <v>102916</v>
      </c>
      <c r="J3957" s="1" t="s">
        <v>28</v>
      </c>
      <c r="K3957" s="1" t="s">
        <v>28</v>
      </c>
      <c r="L3957" s="1" t="str">
        <f t="shared" si="735"/>
        <v>20220917</v>
      </c>
      <c r="M3957" s="1" t="str">
        <f>"104927"</f>
        <v>104927</v>
      </c>
      <c r="N3957" s="1" t="s">
        <v>34</v>
      </c>
      <c r="O3957" s="1" t="s">
        <v>34</v>
      </c>
      <c r="P3957" s="1" t="s">
        <v>55</v>
      </c>
      <c r="Q3957" s="1">
        <v>25</v>
      </c>
      <c r="R3957" s="1">
        <v>25</v>
      </c>
      <c r="S3957" s="1">
        <v>0</v>
      </c>
      <c r="T3957" s="1">
        <v>0</v>
      </c>
      <c r="U3957" s="1">
        <v>0</v>
      </c>
      <c r="V3957" s="1" t="str">
        <f t="shared" si="739"/>
        <v>里程去程</v>
      </c>
      <c r="W3957" s="1" t="str">
        <f>"0120"</f>
        <v>0120</v>
      </c>
      <c r="X3957" s="1" t="s">
        <v>35</v>
      </c>
    </row>
    <row r="3958" spans="1:24" x14ac:dyDescent="0.3">
      <c r="A3958" s="1" t="str">
        <f t="shared" si="737"/>
        <v>59820</v>
      </c>
      <c r="B3958" s="1" t="s">
        <v>53</v>
      </c>
      <c r="C3958" s="1" t="s">
        <v>54</v>
      </c>
      <c r="D3958" s="1" t="str">
        <f t="shared" si="738"/>
        <v>9803</v>
      </c>
      <c r="E3958" s="1" t="s">
        <v>32</v>
      </c>
      <c r="F3958" s="1" t="str">
        <f>"460017089"</f>
        <v>460017089</v>
      </c>
      <c r="G3958" s="1" t="s">
        <v>26</v>
      </c>
      <c r="H3958" s="1" t="str">
        <f t="shared" si="734"/>
        <v>20220917</v>
      </c>
      <c r="I3958" s="1" t="str">
        <f>"102957"</f>
        <v>102957</v>
      </c>
      <c r="J3958" s="1" t="s">
        <v>28</v>
      </c>
      <c r="K3958" s="1" t="s">
        <v>28</v>
      </c>
      <c r="L3958" s="1" t="str">
        <f t="shared" si="735"/>
        <v>20220917</v>
      </c>
      <c r="M3958" s="1" t="str">
        <f>"103810"</f>
        <v>103810</v>
      </c>
      <c r="N3958" s="1" t="s">
        <v>46</v>
      </c>
      <c r="O3958" s="1" t="s">
        <v>28</v>
      </c>
      <c r="P3958" s="1" t="s">
        <v>55</v>
      </c>
      <c r="Q3958" s="1">
        <v>13</v>
      </c>
      <c r="R3958" s="1">
        <v>13</v>
      </c>
      <c r="S3958" s="1">
        <v>0</v>
      </c>
      <c r="T3958" s="1">
        <v>0</v>
      </c>
      <c r="U3958" s="1">
        <v>0</v>
      </c>
      <c r="V3958" s="1" t="str">
        <f t="shared" si="739"/>
        <v>里程去程</v>
      </c>
      <c r="W3958" s="1" t="str">
        <f>"1a20"</f>
        <v>1a20</v>
      </c>
      <c r="X3958" s="1" t="s">
        <v>35</v>
      </c>
    </row>
    <row r="3959" spans="1:24" x14ac:dyDescent="0.3">
      <c r="A3959" s="1" t="str">
        <f t="shared" si="737"/>
        <v>59820</v>
      </c>
      <c r="B3959" s="1" t="s">
        <v>53</v>
      </c>
      <c r="C3959" s="1" t="s">
        <v>54</v>
      </c>
      <c r="D3959" s="1" t="str">
        <f t="shared" si="738"/>
        <v>9803</v>
      </c>
      <c r="E3959" s="1" t="s">
        <v>32</v>
      </c>
      <c r="F3959" s="1" t="str">
        <f>"F2D4DC02F8880400C834002000000015"</f>
        <v>F2D4DC02F8880400C834002000000015</v>
      </c>
      <c r="G3959" s="1" t="s">
        <v>58</v>
      </c>
      <c r="H3959" s="1" t="str">
        <f t="shared" si="734"/>
        <v>20220917</v>
      </c>
      <c r="I3959" s="1" t="str">
        <f>"102958"</f>
        <v>102958</v>
      </c>
      <c r="J3959" s="1" t="s">
        <v>28</v>
      </c>
      <c r="K3959" s="1" t="s">
        <v>28</v>
      </c>
      <c r="L3959" s="1" t="str">
        <f t="shared" si="735"/>
        <v>20220917</v>
      </c>
      <c r="M3959" s="1" t="str">
        <f>"103951"</f>
        <v>103951</v>
      </c>
      <c r="N3959" s="1" t="s">
        <v>46</v>
      </c>
      <c r="O3959" s="1" t="s">
        <v>28</v>
      </c>
      <c r="P3959" s="1" t="s">
        <v>55</v>
      </c>
      <c r="Q3959" s="1">
        <v>25</v>
      </c>
      <c r="R3959" s="1">
        <v>25</v>
      </c>
      <c r="S3959" s="1">
        <v>0</v>
      </c>
      <c r="T3959" s="1">
        <v>0</v>
      </c>
      <c r="U3959" s="1">
        <v>0</v>
      </c>
      <c r="V3959" s="1" t="str">
        <f t="shared" si="739"/>
        <v>里程去程</v>
      </c>
      <c r="W3959" s="1" t="str">
        <f>"0020"</f>
        <v>0020</v>
      </c>
      <c r="X3959" s="1" t="s">
        <v>29</v>
      </c>
    </row>
    <row r="3960" spans="1:24" x14ac:dyDescent="0.3">
      <c r="A3960" s="1" t="str">
        <f t="shared" si="737"/>
        <v>59820</v>
      </c>
      <c r="B3960" s="1" t="s">
        <v>53</v>
      </c>
      <c r="C3960" s="1" t="s">
        <v>54</v>
      </c>
      <c r="D3960" s="1" t="str">
        <f t="shared" si="738"/>
        <v>9803</v>
      </c>
      <c r="E3960" s="1" t="s">
        <v>32</v>
      </c>
      <c r="F3960" s="1" t="str">
        <f>"634144948"</f>
        <v>634144948</v>
      </c>
      <c r="G3960" s="1" t="s">
        <v>33</v>
      </c>
      <c r="H3960" s="1" t="str">
        <f t="shared" si="734"/>
        <v>20220917</v>
      </c>
      <c r="I3960" s="1" t="str">
        <f>"103003"</f>
        <v>103003</v>
      </c>
      <c r="J3960" s="1" t="s">
        <v>28</v>
      </c>
      <c r="K3960" s="1" t="s">
        <v>28</v>
      </c>
      <c r="L3960" s="1" t="str">
        <f t="shared" si="735"/>
        <v>20220917</v>
      </c>
      <c r="M3960" s="1" t="str">
        <f>"103836"</f>
        <v>103836</v>
      </c>
      <c r="N3960" s="1" t="s">
        <v>46</v>
      </c>
      <c r="O3960" s="1" t="s">
        <v>28</v>
      </c>
      <c r="P3960" s="1" t="s">
        <v>55</v>
      </c>
      <c r="Q3960" s="1">
        <v>25</v>
      </c>
      <c r="R3960" s="1">
        <v>25</v>
      </c>
      <c r="S3960" s="1">
        <v>0</v>
      </c>
      <c r="T3960" s="1">
        <v>0</v>
      </c>
      <c r="U3960" s="1">
        <v>0</v>
      </c>
      <c r="V3960" s="1" t="str">
        <f t="shared" si="739"/>
        <v>里程去程</v>
      </c>
      <c r="W3960" s="1" t="str">
        <f>"1d20"</f>
        <v>1d20</v>
      </c>
      <c r="X3960" s="1" t="s">
        <v>35</v>
      </c>
    </row>
    <row r="3961" spans="1:24" x14ac:dyDescent="0.3">
      <c r="A3961" s="1" t="str">
        <f t="shared" si="737"/>
        <v>59820</v>
      </c>
      <c r="B3961" s="1" t="s">
        <v>53</v>
      </c>
      <c r="C3961" s="1" t="s">
        <v>54</v>
      </c>
      <c r="D3961" s="1" t="str">
        <f t="shared" si="738"/>
        <v>9803</v>
      </c>
      <c r="E3961" s="1" t="s">
        <v>32</v>
      </c>
      <c r="F3961" s="1" t="str">
        <f>"728268497"</f>
        <v>728268497</v>
      </c>
      <c r="G3961" s="1" t="s">
        <v>33</v>
      </c>
      <c r="H3961" s="1" t="str">
        <f t="shared" si="734"/>
        <v>20220917</v>
      </c>
      <c r="I3961" s="1" t="str">
        <f>"112942"</f>
        <v>112942</v>
      </c>
      <c r="J3961" s="1" t="s">
        <v>28</v>
      </c>
      <c r="K3961" s="1" t="s">
        <v>28</v>
      </c>
      <c r="L3961" s="1" t="str">
        <f t="shared" si="735"/>
        <v>20220917</v>
      </c>
      <c r="M3961" s="1" t="str">
        <f>"115130"</f>
        <v>115130</v>
      </c>
      <c r="N3961" s="1" t="s">
        <v>34</v>
      </c>
      <c r="O3961" s="1" t="s">
        <v>34</v>
      </c>
      <c r="P3961" s="1" t="s">
        <v>55</v>
      </c>
      <c r="Q3961" s="1">
        <v>25</v>
      </c>
      <c r="R3961" s="1">
        <v>25</v>
      </c>
      <c r="S3961" s="1">
        <v>0</v>
      </c>
      <c r="T3961" s="1">
        <v>0</v>
      </c>
      <c r="U3961" s="1">
        <v>0</v>
      </c>
      <c r="V3961" s="1" t="str">
        <f t="shared" si="739"/>
        <v>里程去程</v>
      </c>
      <c r="W3961" s="1" t="str">
        <f>"0120"</f>
        <v>0120</v>
      </c>
      <c r="X3961" s="1" t="s">
        <v>35</v>
      </c>
    </row>
    <row r="3962" spans="1:24" x14ac:dyDescent="0.3">
      <c r="A3962" s="1" t="str">
        <f t="shared" si="737"/>
        <v>59820</v>
      </c>
      <c r="B3962" s="1" t="s">
        <v>53</v>
      </c>
      <c r="C3962" s="1" t="s">
        <v>54</v>
      </c>
      <c r="D3962" s="1" t="str">
        <f t="shared" si="738"/>
        <v>9803</v>
      </c>
      <c r="E3962" s="1" t="s">
        <v>32</v>
      </c>
      <c r="F3962" s="1" t="str">
        <f>"842166833"</f>
        <v>842166833</v>
      </c>
      <c r="G3962" s="1" t="s">
        <v>33</v>
      </c>
      <c r="H3962" s="1" t="str">
        <f t="shared" si="734"/>
        <v>20220917</v>
      </c>
      <c r="I3962" s="1" t="str">
        <f>"112945"</f>
        <v>112945</v>
      </c>
      <c r="J3962" s="1" t="s">
        <v>28</v>
      </c>
      <c r="K3962" s="1" t="s">
        <v>28</v>
      </c>
      <c r="L3962" s="1" t="str">
        <f t="shared" si="735"/>
        <v>20220917</v>
      </c>
      <c r="M3962" s="1" t="str">
        <f>"115126"</f>
        <v>115126</v>
      </c>
      <c r="N3962" s="1" t="s">
        <v>34</v>
      </c>
      <c r="O3962" s="1" t="s">
        <v>34</v>
      </c>
      <c r="P3962" s="1" t="s">
        <v>55</v>
      </c>
      <c r="Q3962" s="1">
        <v>25</v>
      </c>
      <c r="R3962" s="1">
        <v>25</v>
      </c>
      <c r="S3962" s="1">
        <v>0</v>
      </c>
      <c r="T3962" s="1">
        <v>0</v>
      </c>
      <c r="U3962" s="1">
        <v>0</v>
      </c>
      <c r="V3962" s="1" t="str">
        <f t="shared" si="739"/>
        <v>里程去程</v>
      </c>
      <c r="W3962" s="1" t="str">
        <f>"1920"</f>
        <v>1920</v>
      </c>
      <c r="X3962" s="1" t="s">
        <v>35</v>
      </c>
    </row>
    <row r="3963" spans="1:24" x14ac:dyDescent="0.3">
      <c r="A3963" s="1" t="str">
        <f t="shared" si="737"/>
        <v>59820</v>
      </c>
      <c r="B3963" s="1" t="s">
        <v>53</v>
      </c>
      <c r="C3963" s="1" t="s">
        <v>54</v>
      </c>
      <c r="D3963" s="1" t="str">
        <f t="shared" si="738"/>
        <v>9803</v>
      </c>
      <c r="E3963" s="1" t="s">
        <v>32</v>
      </c>
      <c r="F3963" s="1" t="str">
        <f>"1225585313"</f>
        <v>1225585313</v>
      </c>
      <c r="G3963" s="1" t="s">
        <v>33</v>
      </c>
      <c r="H3963" s="1" t="str">
        <f t="shared" si="734"/>
        <v>20220917</v>
      </c>
      <c r="I3963" s="1" t="str">
        <f>"112952"</f>
        <v>112952</v>
      </c>
      <c r="J3963" s="1" t="s">
        <v>28</v>
      </c>
      <c r="K3963" s="1" t="s">
        <v>28</v>
      </c>
      <c r="L3963" s="1" t="str">
        <f t="shared" si="735"/>
        <v>20220917</v>
      </c>
      <c r="M3963" s="1" t="str">
        <f>"115040"</f>
        <v>115040</v>
      </c>
      <c r="N3963" s="1" t="s">
        <v>34</v>
      </c>
      <c r="O3963" s="1" t="s">
        <v>34</v>
      </c>
      <c r="P3963" s="1" t="s">
        <v>55</v>
      </c>
      <c r="Q3963" s="1">
        <v>25</v>
      </c>
      <c r="R3963" s="1">
        <v>25</v>
      </c>
      <c r="S3963" s="1">
        <v>0</v>
      </c>
      <c r="T3963" s="1">
        <v>0</v>
      </c>
      <c r="U3963" s="1">
        <v>0</v>
      </c>
      <c r="V3963" s="1" t="str">
        <f t="shared" si="739"/>
        <v>里程去程</v>
      </c>
      <c r="W3963" s="1" t="str">
        <f>"0220"</f>
        <v>0220</v>
      </c>
      <c r="X3963" s="1" t="s">
        <v>35</v>
      </c>
    </row>
    <row r="3964" spans="1:24" x14ac:dyDescent="0.3">
      <c r="A3964" s="1" t="str">
        <f t="shared" si="737"/>
        <v>59820</v>
      </c>
      <c r="B3964" s="1" t="s">
        <v>53</v>
      </c>
      <c r="C3964" s="1" t="s">
        <v>54</v>
      </c>
      <c r="D3964" s="1" t="str">
        <f t="shared" si="738"/>
        <v>9803</v>
      </c>
      <c r="E3964" s="1" t="s">
        <v>32</v>
      </c>
      <c r="F3964" s="1" t="str">
        <f>"1685593429"</f>
        <v>1685593429</v>
      </c>
      <c r="G3964" s="1" t="s">
        <v>33</v>
      </c>
      <c r="H3964" s="1" t="str">
        <f t="shared" si="734"/>
        <v>20220917</v>
      </c>
      <c r="I3964" s="1" t="str">
        <f>"112955"</f>
        <v>112955</v>
      </c>
      <c r="J3964" s="1" t="s">
        <v>28</v>
      </c>
      <c r="K3964" s="1" t="s">
        <v>28</v>
      </c>
      <c r="L3964" s="1" t="str">
        <f t="shared" si="735"/>
        <v>20220917</v>
      </c>
      <c r="M3964" s="1" t="str">
        <f>"115027"</f>
        <v>115027</v>
      </c>
      <c r="N3964" s="1" t="s">
        <v>34</v>
      </c>
      <c r="O3964" s="1" t="s">
        <v>34</v>
      </c>
      <c r="P3964" s="1" t="s">
        <v>55</v>
      </c>
      <c r="Q3964" s="1">
        <v>25</v>
      </c>
      <c r="R3964" s="1">
        <v>25</v>
      </c>
      <c r="S3964" s="1">
        <v>0</v>
      </c>
      <c r="T3964" s="1">
        <v>0</v>
      </c>
      <c r="U3964" s="1">
        <v>0</v>
      </c>
      <c r="V3964" s="1" t="str">
        <f t="shared" si="739"/>
        <v>里程去程</v>
      </c>
      <c r="W3964" s="1" t="str">
        <f>"0120"</f>
        <v>0120</v>
      </c>
      <c r="X3964" s="1" t="s">
        <v>35</v>
      </c>
    </row>
    <row r="3965" spans="1:24" x14ac:dyDescent="0.3">
      <c r="A3965" s="1" t="str">
        <f t="shared" si="737"/>
        <v>59820</v>
      </c>
      <c r="B3965" s="1" t="s">
        <v>53</v>
      </c>
      <c r="C3965" s="1" t="s">
        <v>54</v>
      </c>
      <c r="D3965" s="1" t="str">
        <f t="shared" si="738"/>
        <v>9803</v>
      </c>
      <c r="E3965" s="1" t="s">
        <v>32</v>
      </c>
      <c r="F3965" s="1" t="str">
        <f>"1269026625"</f>
        <v>1269026625</v>
      </c>
      <c r="G3965" s="1" t="s">
        <v>33</v>
      </c>
      <c r="H3965" s="1" t="str">
        <f t="shared" si="734"/>
        <v>20220917</v>
      </c>
      <c r="I3965" s="1" t="str">
        <f>"113009"</f>
        <v>113009</v>
      </c>
      <c r="J3965" s="1" t="s">
        <v>28</v>
      </c>
      <c r="K3965" s="1" t="s">
        <v>28</v>
      </c>
      <c r="L3965" s="1" t="str">
        <f t="shared" si="735"/>
        <v>20220917</v>
      </c>
      <c r="M3965" s="1" t="str">
        <f>"115110"</f>
        <v>115110</v>
      </c>
      <c r="N3965" s="1" t="s">
        <v>34</v>
      </c>
      <c r="O3965" s="1" t="s">
        <v>34</v>
      </c>
      <c r="P3965" s="1" t="s">
        <v>55</v>
      </c>
      <c r="Q3965" s="1">
        <v>25</v>
      </c>
      <c r="R3965" s="1">
        <v>25</v>
      </c>
      <c r="S3965" s="1">
        <v>0</v>
      </c>
      <c r="T3965" s="1">
        <v>0</v>
      </c>
      <c r="U3965" s="1">
        <v>0</v>
      </c>
      <c r="V3965" s="1" t="str">
        <f t="shared" si="739"/>
        <v>里程去程</v>
      </c>
      <c r="W3965" s="1" t="str">
        <f>"0e20"</f>
        <v>0e20</v>
      </c>
      <c r="X3965" s="1" t="s">
        <v>35</v>
      </c>
    </row>
    <row r="3966" spans="1:24" x14ac:dyDescent="0.3">
      <c r="A3966" s="1" t="str">
        <f t="shared" si="737"/>
        <v>59820</v>
      </c>
      <c r="B3966" s="1" t="s">
        <v>53</v>
      </c>
      <c r="C3966" s="1" t="s">
        <v>54</v>
      </c>
      <c r="D3966" s="1" t="str">
        <f t="shared" si="738"/>
        <v>9803</v>
      </c>
      <c r="E3966" s="1" t="s">
        <v>32</v>
      </c>
      <c r="F3966" s="1" t="str">
        <f>"256970833"</f>
        <v>256970833</v>
      </c>
      <c r="G3966" s="1" t="s">
        <v>33</v>
      </c>
      <c r="H3966" s="1" t="str">
        <f t="shared" si="734"/>
        <v>20220917</v>
      </c>
      <c r="I3966" s="1" t="str">
        <f>"113013"</f>
        <v>113013</v>
      </c>
      <c r="J3966" s="1" t="s">
        <v>28</v>
      </c>
      <c r="K3966" s="1" t="s">
        <v>28</v>
      </c>
      <c r="L3966" s="1" t="str">
        <f t="shared" si="735"/>
        <v>20220917</v>
      </c>
      <c r="M3966" s="1" t="str">
        <f>"115105"</f>
        <v>115105</v>
      </c>
      <c r="N3966" s="1" t="s">
        <v>34</v>
      </c>
      <c r="O3966" s="1" t="s">
        <v>34</v>
      </c>
      <c r="P3966" s="1" t="s">
        <v>55</v>
      </c>
      <c r="Q3966" s="1">
        <v>25</v>
      </c>
      <c r="R3966" s="1">
        <v>25</v>
      </c>
      <c r="S3966" s="1">
        <v>0</v>
      </c>
      <c r="T3966" s="1">
        <v>0</v>
      </c>
      <c r="U3966" s="1">
        <v>0</v>
      </c>
      <c r="V3966" s="1" t="str">
        <f t="shared" si="739"/>
        <v>里程去程</v>
      </c>
      <c r="W3966" s="1" t="str">
        <f>"0c20"</f>
        <v>0c20</v>
      </c>
      <c r="X3966" s="1" t="s">
        <v>35</v>
      </c>
    </row>
    <row r="3967" spans="1:24" x14ac:dyDescent="0.3">
      <c r="A3967" s="1" t="str">
        <f t="shared" si="737"/>
        <v>59820</v>
      </c>
      <c r="B3967" s="1" t="s">
        <v>53</v>
      </c>
      <c r="C3967" s="1" t="s">
        <v>54</v>
      </c>
      <c r="D3967" s="1" t="str">
        <f t="shared" si="738"/>
        <v>9803</v>
      </c>
      <c r="E3967" s="1" t="s">
        <v>32</v>
      </c>
      <c r="F3967" s="1" t="str">
        <f>"972193073"</f>
        <v>972193073</v>
      </c>
      <c r="G3967" s="1" t="s">
        <v>33</v>
      </c>
      <c r="H3967" s="1" t="str">
        <f t="shared" si="734"/>
        <v>20220917</v>
      </c>
      <c r="I3967" s="1" t="str">
        <f>"113022"</f>
        <v>113022</v>
      </c>
      <c r="J3967" s="1" t="s">
        <v>28</v>
      </c>
      <c r="K3967" s="1" t="s">
        <v>28</v>
      </c>
      <c r="L3967" s="1" t="str">
        <f t="shared" si="735"/>
        <v>20220917</v>
      </c>
      <c r="M3967" s="1" t="str">
        <f>"115149"</f>
        <v>115149</v>
      </c>
      <c r="N3967" s="1" t="s">
        <v>34</v>
      </c>
      <c r="O3967" s="1" t="s">
        <v>34</v>
      </c>
      <c r="P3967" s="1" t="s">
        <v>55</v>
      </c>
      <c r="Q3967" s="1">
        <v>25</v>
      </c>
      <c r="R3967" s="1">
        <v>25</v>
      </c>
      <c r="S3967" s="1">
        <v>0</v>
      </c>
      <c r="T3967" s="1">
        <v>0</v>
      </c>
      <c r="U3967" s="1">
        <v>0</v>
      </c>
      <c r="V3967" s="1" t="str">
        <f t="shared" si="739"/>
        <v>里程去程</v>
      </c>
      <c r="W3967" s="1" t="str">
        <f>"0120"</f>
        <v>0120</v>
      </c>
      <c r="X3967" s="1" t="s">
        <v>35</v>
      </c>
    </row>
    <row r="3968" spans="1:24" x14ac:dyDescent="0.3">
      <c r="A3968" s="1" t="str">
        <f t="shared" si="737"/>
        <v>59820</v>
      </c>
      <c r="B3968" s="1" t="s">
        <v>53</v>
      </c>
      <c r="C3968" s="1" t="s">
        <v>54</v>
      </c>
      <c r="D3968" s="1" t="str">
        <f t="shared" si="738"/>
        <v>9803</v>
      </c>
      <c r="E3968" s="1" t="s">
        <v>32</v>
      </c>
      <c r="F3968" s="1" t="str">
        <f>"615618416E280400F700000000000000"</f>
        <v>615618416E280400F700000000000000</v>
      </c>
      <c r="G3968" s="1" t="s">
        <v>58</v>
      </c>
      <c r="H3968" s="1" t="str">
        <f t="shared" si="734"/>
        <v>20220917</v>
      </c>
      <c r="I3968" s="1" t="str">
        <f>"113042"</f>
        <v>113042</v>
      </c>
      <c r="J3968" s="1" t="s">
        <v>28</v>
      </c>
      <c r="K3968" s="1" t="s">
        <v>28</v>
      </c>
      <c r="L3968" s="1" t="str">
        <f t="shared" si="735"/>
        <v>20220917</v>
      </c>
      <c r="M3968" s="1" t="str">
        <f>"115006"</f>
        <v>115006</v>
      </c>
      <c r="N3968" s="1" t="s">
        <v>34</v>
      </c>
      <c r="O3968" s="1" t="s">
        <v>34</v>
      </c>
      <c r="P3968" s="1" t="s">
        <v>55</v>
      </c>
      <c r="Q3968" s="1">
        <v>25</v>
      </c>
      <c r="R3968" s="1">
        <v>25</v>
      </c>
      <c r="S3968" s="1">
        <v>0</v>
      </c>
      <c r="T3968" s="1">
        <v>0</v>
      </c>
      <c r="U3968" s="1">
        <v>0</v>
      </c>
      <c r="V3968" s="1" t="str">
        <f t="shared" si="739"/>
        <v>里程去程</v>
      </c>
      <c r="W3968" s="1" t="str">
        <f>"0020"</f>
        <v>0020</v>
      </c>
      <c r="X3968" s="1" t="s">
        <v>29</v>
      </c>
    </row>
    <row r="3969" spans="1:24" x14ac:dyDescent="0.3">
      <c r="A3969" s="1" t="str">
        <f t="shared" si="737"/>
        <v>59820</v>
      </c>
      <c r="B3969" s="1" t="s">
        <v>53</v>
      </c>
      <c r="C3969" s="1" t="s">
        <v>54</v>
      </c>
      <c r="D3969" s="1" t="str">
        <f t="shared" si="738"/>
        <v>9803</v>
      </c>
      <c r="E3969" s="1" t="s">
        <v>32</v>
      </c>
      <c r="F3969" s="1" t="str">
        <f>"1301716769"</f>
        <v>1301716769</v>
      </c>
      <c r="G3969" s="1" t="s">
        <v>33</v>
      </c>
      <c r="H3969" s="1" t="str">
        <f t="shared" ref="H3969:H4032" si="740">"20220917"</f>
        <v>20220917</v>
      </c>
      <c r="I3969" s="1" t="str">
        <f>"113045"</f>
        <v>113045</v>
      </c>
      <c r="J3969" s="1" t="s">
        <v>28</v>
      </c>
      <c r="K3969" s="1" t="s">
        <v>28</v>
      </c>
      <c r="L3969" s="1" t="str">
        <f t="shared" ref="L3969:L4032" si="741">"20220917"</f>
        <v>20220917</v>
      </c>
      <c r="M3969" s="1" t="str">
        <f>"115002"</f>
        <v>115002</v>
      </c>
      <c r="N3969" s="1" t="s">
        <v>34</v>
      </c>
      <c r="O3969" s="1" t="s">
        <v>34</v>
      </c>
      <c r="P3969" s="1" t="s">
        <v>55</v>
      </c>
      <c r="Q3969" s="1">
        <v>25</v>
      </c>
      <c r="R3969" s="1">
        <v>25</v>
      </c>
      <c r="S3969" s="1">
        <v>0</v>
      </c>
      <c r="T3969" s="1">
        <v>0</v>
      </c>
      <c r="U3969" s="1">
        <v>0</v>
      </c>
      <c r="V3969" s="1" t="str">
        <f t="shared" si="739"/>
        <v>里程去程</v>
      </c>
      <c r="W3969" s="1" t="str">
        <f>"0e20"</f>
        <v>0e20</v>
      </c>
      <c r="X3969" s="1" t="s">
        <v>35</v>
      </c>
    </row>
    <row r="3970" spans="1:24" x14ac:dyDescent="0.3">
      <c r="A3970" s="1" t="str">
        <f t="shared" si="737"/>
        <v>59820</v>
      </c>
      <c r="B3970" s="1" t="s">
        <v>53</v>
      </c>
      <c r="C3970" s="1" t="s">
        <v>54</v>
      </c>
      <c r="D3970" s="1" t="str">
        <f t="shared" si="738"/>
        <v>9803</v>
      </c>
      <c r="E3970" s="1" t="s">
        <v>32</v>
      </c>
      <c r="F3970" s="1" t="str">
        <f>"E1B1643501280400F700000000000000"</f>
        <v>E1B1643501280400F700000000000000</v>
      </c>
      <c r="G3970" s="1" t="s">
        <v>58</v>
      </c>
      <c r="H3970" s="1" t="str">
        <f t="shared" si="740"/>
        <v>20220917</v>
      </c>
      <c r="I3970" s="1" t="str">
        <f>"113054"</f>
        <v>113054</v>
      </c>
      <c r="J3970" s="1" t="s">
        <v>28</v>
      </c>
      <c r="K3970" s="1" t="s">
        <v>28</v>
      </c>
      <c r="L3970" s="1" t="str">
        <f t="shared" si="741"/>
        <v>20220917</v>
      </c>
      <c r="M3970" s="1" t="str">
        <f>"115152"</f>
        <v>115152</v>
      </c>
      <c r="N3970" s="1" t="s">
        <v>34</v>
      </c>
      <c r="O3970" s="1" t="s">
        <v>34</v>
      </c>
      <c r="P3970" s="1" t="s">
        <v>55</v>
      </c>
      <c r="Q3970" s="1">
        <v>25</v>
      </c>
      <c r="R3970" s="1">
        <v>25</v>
      </c>
      <c r="S3970" s="1">
        <v>0</v>
      </c>
      <c r="T3970" s="1">
        <v>0</v>
      </c>
      <c r="U3970" s="1">
        <v>0</v>
      </c>
      <c r="V3970" s="1" t="str">
        <f t="shared" si="739"/>
        <v>里程去程</v>
      </c>
      <c r="W3970" s="1" t="str">
        <f>"0020"</f>
        <v>0020</v>
      </c>
      <c r="X3970" s="1" t="s">
        <v>29</v>
      </c>
    </row>
    <row r="3971" spans="1:24" x14ac:dyDescent="0.3">
      <c r="A3971" s="1" t="str">
        <f t="shared" si="737"/>
        <v>59820</v>
      </c>
      <c r="B3971" s="1" t="s">
        <v>53</v>
      </c>
      <c r="C3971" s="1" t="s">
        <v>54</v>
      </c>
      <c r="D3971" s="1" t="str">
        <f t="shared" si="738"/>
        <v>9803</v>
      </c>
      <c r="E3971" s="1" t="s">
        <v>32</v>
      </c>
      <c r="F3971" s="1" t="str">
        <f>"1010104625"</f>
        <v>1010104625</v>
      </c>
      <c r="G3971" s="1" t="s">
        <v>33</v>
      </c>
      <c r="H3971" s="1" t="str">
        <f t="shared" si="740"/>
        <v>20220917</v>
      </c>
      <c r="I3971" s="1" t="str">
        <f>"113107"</f>
        <v>113107</v>
      </c>
      <c r="J3971" s="1" t="s">
        <v>28</v>
      </c>
      <c r="K3971" s="1" t="s">
        <v>28</v>
      </c>
      <c r="L3971" s="1" t="str">
        <f t="shared" si="741"/>
        <v>20220917</v>
      </c>
      <c r="M3971" s="1" t="str">
        <f>"115121"</f>
        <v>115121</v>
      </c>
      <c r="N3971" s="1" t="s">
        <v>34</v>
      </c>
      <c r="O3971" s="1" t="s">
        <v>34</v>
      </c>
      <c r="P3971" s="1" t="s">
        <v>55</v>
      </c>
      <c r="Q3971" s="1">
        <v>25</v>
      </c>
      <c r="R3971" s="1">
        <v>25</v>
      </c>
      <c r="S3971" s="1">
        <v>0</v>
      </c>
      <c r="T3971" s="1">
        <v>0</v>
      </c>
      <c r="U3971" s="1">
        <v>0</v>
      </c>
      <c r="V3971" s="1" t="str">
        <f t="shared" si="739"/>
        <v>里程去程</v>
      </c>
      <c r="W3971" s="1" t="str">
        <f>"0820"</f>
        <v>0820</v>
      </c>
      <c r="X3971" s="1" t="s">
        <v>35</v>
      </c>
    </row>
    <row r="3972" spans="1:24" x14ac:dyDescent="0.3">
      <c r="A3972" s="1" t="str">
        <f t="shared" si="737"/>
        <v>59820</v>
      </c>
      <c r="B3972" s="1" t="s">
        <v>53</v>
      </c>
      <c r="C3972" s="1" t="s">
        <v>54</v>
      </c>
      <c r="D3972" s="1" t="str">
        <f t="shared" si="738"/>
        <v>9803</v>
      </c>
      <c r="E3972" s="1" t="s">
        <v>32</v>
      </c>
      <c r="F3972" s="1" t="str">
        <f>"1238947413"</f>
        <v>1238947413</v>
      </c>
      <c r="G3972" s="1" t="s">
        <v>33</v>
      </c>
      <c r="H3972" s="1" t="str">
        <f t="shared" si="740"/>
        <v>20220917</v>
      </c>
      <c r="I3972" s="1" t="str">
        <f>"113113"</f>
        <v>113113</v>
      </c>
      <c r="J3972" s="1" t="s">
        <v>28</v>
      </c>
      <c r="K3972" s="1" t="s">
        <v>28</v>
      </c>
      <c r="L3972" s="1" t="str">
        <f t="shared" si="741"/>
        <v>20220917</v>
      </c>
      <c r="M3972" s="1" t="str">
        <f>"115134"</f>
        <v>115134</v>
      </c>
      <c r="N3972" s="1" t="s">
        <v>34</v>
      </c>
      <c r="O3972" s="1" t="s">
        <v>34</v>
      </c>
      <c r="P3972" s="1" t="s">
        <v>55</v>
      </c>
      <c r="Q3972" s="1">
        <v>25</v>
      </c>
      <c r="R3972" s="1">
        <v>25</v>
      </c>
      <c r="S3972" s="1">
        <v>0</v>
      </c>
      <c r="T3972" s="1">
        <v>0</v>
      </c>
      <c r="U3972" s="1">
        <v>0</v>
      </c>
      <c r="V3972" s="1" t="str">
        <f t="shared" si="739"/>
        <v>里程去程</v>
      </c>
      <c r="W3972" s="1" t="str">
        <f>"0120"</f>
        <v>0120</v>
      </c>
      <c r="X3972" s="1" t="s">
        <v>35</v>
      </c>
    </row>
    <row r="3973" spans="1:24" x14ac:dyDescent="0.3">
      <c r="A3973" s="1" t="str">
        <f t="shared" si="737"/>
        <v>59820</v>
      </c>
      <c r="B3973" s="1" t="s">
        <v>53</v>
      </c>
      <c r="C3973" s="1" t="s">
        <v>54</v>
      </c>
      <c r="D3973" s="1" t="str">
        <f t="shared" si="738"/>
        <v>9803</v>
      </c>
      <c r="E3973" s="1" t="s">
        <v>32</v>
      </c>
      <c r="F3973" s="1" t="str">
        <f>"230413312"</f>
        <v>230413312</v>
      </c>
      <c r="G3973" s="1" t="s">
        <v>33</v>
      </c>
      <c r="H3973" s="1" t="str">
        <f t="shared" si="740"/>
        <v>20220917</v>
      </c>
      <c r="I3973" s="1" t="str">
        <f>"113121"</f>
        <v>113121</v>
      </c>
      <c r="J3973" s="1" t="s">
        <v>28</v>
      </c>
      <c r="K3973" s="1" t="s">
        <v>28</v>
      </c>
      <c r="L3973" s="1" t="str">
        <f t="shared" si="741"/>
        <v>20220917</v>
      </c>
      <c r="M3973" s="1" t="str">
        <f>"115047"</f>
        <v>115047</v>
      </c>
      <c r="N3973" s="1" t="s">
        <v>34</v>
      </c>
      <c r="O3973" s="1" t="s">
        <v>34</v>
      </c>
      <c r="P3973" s="1" t="s">
        <v>55</v>
      </c>
      <c r="Q3973" s="1">
        <v>25</v>
      </c>
      <c r="R3973" s="1">
        <v>25</v>
      </c>
      <c r="S3973" s="1">
        <v>0</v>
      </c>
      <c r="T3973" s="1">
        <v>0</v>
      </c>
      <c r="U3973" s="1">
        <v>0</v>
      </c>
      <c r="V3973" s="1" t="str">
        <f t="shared" si="739"/>
        <v>里程去程</v>
      </c>
      <c r="W3973" s="1" t="str">
        <f>"0620"</f>
        <v>0620</v>
      </c>
      <c r="X3973" s="1" t="s">
        <v>35</v>
      </c>
    </row>
    <row r="3974" spans="1:24" x14ac:dyDescent="0.3">
      <c r="A3974" s="1" t="str">
        <f t="shared" si="737"/>
        <v>59820</v>
      </c>
      <c r="B3974" s="1" t="s">
        <v>53</v>
      </c>
      <c r="C3974" s="1" t="s">
        <v>54</v>
      </c>
      <c r="D3974" s="1" t="str">
        <f t="shared" si="738"/>
        <v>9803</v>
      </c>
      <c r="E3974" s="1" t="s">
        <v>32</v>
      </c>
      <c r="F3974" s="1" t="str">
        <f>"1751589717"</f>
        <v>1751589717</v>
      </c>
      <c r="G3974" s="1" t="s">
        <v>33</v>
      </c>
      <c r="H3974" s="1" t="str">
        <f t="shared" si="740"/>
        <v>20220917</v>
      </c>
      <c r="I3974" s="1" t="str">
        <f>"113152"</f>
        <v>113152</v>
      </c>
      <c r="J3974" s="1" t="s">
        <v>28</v>
      </c>
      <c r="K3974" s="1" t="s">
        <v>28</v>
      </c>
      <c r="L3974" s="1" t="str">
        <f t="shared" si="741"/>
        <v>20220917</v>
      </c>
      <c r="M3974" s="1" t="str">
        <f>"115114"</f>
        <v>115114</v>
      </c>
      <c r="N3974" s="1" t="s">
        <v>34</v>
      </c>
      <c r="O3974" s="1" t="s">
        <v>34</v>
      </c>
      <c r="P3974" s="1" t="s">
        <v>55</v>
      </c>
      <c r="Q3974" s="1">
        <v>25</v>
      </c>
      <c r="R3974" s="1">
        <v>25</v>
      </c>
      <c r="S3974" s="1">
        <v>0</v>
      </c>
      <c r="T3974" s="1">
        <v>0</v>
      </c>
      <c r="U3974" s="1">
        <v>0</v>
      </c>
      <c r="V3974" s="1" t="str">
        <f t="shared" si="739"/>
        <v>里程去程</v>
      </c>
      <c r="W3974" s="1" t="str">
        <f>"0120"</f>
        <v>0120</v>
      </c>
      <c r="X3974" s="1" t="s">
        <v>35</v>
      </c>
    </row>
    <row r="3975" spans="1:24" x14ac:dyDescent="0.3">
      <c r="A3975" s="1" t="str">
        <f t="shared" ref="A3975:A4008" si="742">"59820"</f>
        <v>59820</v>
      </c>
      <c r="B3975" s="1" t="s">
        <v>53</v>
      </c>
      <c r="C3975" s="1" t="s">
        <v>54</v>
      </c>
      <c r="D3975" s="1" t="str">
        <f t="shared" si="738"/>
        <v>9803</v>
      </c>
      <c r="E3975" s="1" t="s">
        <v>32</v>
      </c>
      <c r="F3975" s="1" t="str">
        <f>"815227089"</f>
        <v>815227089</v>
      </c>
      <c r="G3975" s="1" t="s">
        <v>33</v>
      </c>
      <c r="H3975" s="1" t="str">
        <f t="shared" si="740"/>
        <v>20220917</v>
      </c>
      <c r="I3975" s="1" t="str">
        <f>"113221"</f>
        <v>113221</v>
      </c>
      <c r="J3975" s="1" t="s">
        <v>28</v>
      </c>
      <c r="K3975" s="1" t="s">
        <v>28</v>
      </c>
      <c r="L3975" s="1" t="str">
        <f t="shared" si="741"/>
        <v>20220917</v>
      </c>
      <c r="M3975" s="1" t="str">
        <f>"115052"</f>
        <v>115052</v>
      </c>
      <c r="N3975" s="1" t="s">
        <v>34</v>
      </c>
      <c r="O3975" s="1" t="s">
        <v>34</v>
      </c>
      <c r="P3975" s="1" t="s">
        <v>55</v>
      </c>
      <c r="Q3975" s="1">
        <v>25</v>
      </c>
      <c r="R3975" s="1">
        <v>25</v>
      </c>
      <c r="S3975" s="1">
        <v>0</v>
      </c>
      <c r="T3975" s="1">
        <v>0</v>
      </c>
      <c r="U3975" s="1">
        <v>0</v>
      </c>
      <c r="V3975" s="1" t="str">
        <f t="shared" si="739"/>
        <v>里程去程</v>
      </c>
      <c r="W3975" s="1" t="str">
        <f>"0220"</f>
        <v>0220</v>
      </c>
      <c r="X3975" s="1" t="s">
        <v>35</v>
      </c>
    </row>
    <row r="3976" spans="1:24" x14ac:dyDescent="0.3">
      <c r="A3976" s="1" t="str">
        <f t="shared" si="742"/>
        <v>59820</v>
      </c>
      <c r="B3976" s="1" t="s">
        <v>53</v>
      </c>
      <c r="C3976" s="1" t="s">
        <v>54</v>
      </c>
      <c r="D3976" s="1" t="str">
        <f t="shared" si="738"/>
        <v>9803</v>
      </c>
      <c r="E3976" s="1" t="s">
        <v>32</v>
      </c>
      <c r="F3976" s="1" t="str">
        <f>"1108786785"</f>
        <v>1108786785</v>
      </c>
      <c r="G3976" s="1" t="s">
        <v>33</v>
      </c>
      <c r="H3976" s="1" t="str">
        <f t="shared" si="740"/>
        <v>20220917</v>
      </c>
      <c r="I3976" s="1" t="str">
        <f>"113227"</f>
        <v>113227</v>
      </c>
      <c r="J3976" s="1" t="s">
        <v>28</v>
      </c>
      <c r="K3976" s="1" t="s">
        <v>28</v>
      </c>
      <c r="L3976" s="1" t="str">
        <f t="shared" si="741"/>
        <v>20220917</v>
      </c>
      <c r="M3976" s="1" t="str">
        <f>"115037"</f>
        <v>115037</v>
      </c>
      <c r="N3976" s="1" t="s">
        <v>34</v>
      </c>
      <c r="O3976" s="1" t="s">
        <v>34</v>
      </c>
      <c r="P3976" s="1" t="s">
        <v>55</v>
      </c>
      <c r="Q3976" s="1">
        <v>25</v>
      </c>
      <c r="R3976" s="1">
        <v>25</v>
      </c>
      <c r="S3976" s="1">
        <v>0</v>
      </c>
      <c r="T3976" s="1">
        <v>0</v>
      </c>
      <c r="U3976" s="1">
        <v>0</v>
      </c>
      <c r="V3976" s="1" t="str">
        <f t="shared" si="739"/>
        <v>里程去程</v>
      </c>
      <c r="W3976" s="1" t="str">
        <f>"0120"</f>
        <v>0120</v>
      </c>
      <c r="X3976" s="1" t="s">
        <v>35</v>
      </c>
    </row>
    <row r="3977" spans="1:24" x14ac:dyDescent="0.3">
      <c r="A3977" s="1" t="str">
        <f t="shared" si="742"/>
        <v>59820</v>
      </c>
      <c r="B3977" s="1" t="s">
        <v>53</v>
      </c>
      <c r="C3977" s="1" t="s">
        <v>54</v>
      </c>
      <c r="D3977" s="1" t="str">
        <f t="shared" ref="D3977:D4007" si="743">"9803"</f>
        <v>9803</v>
      </c>
      <c r="E3977" s="1" t="s">
        <v>32</v>
      </c>
      <c r="F3977" s="1" t="str">
        <f>"1019682449"</f>
        <v>1019682449</v>
      </c>
      <c r="G3977" s="1" t="s">
        <v>33</v>
      </c>
      <c r="H3977" s="1" t="str">
        <f t="shared" si="740"/>
        <v>20220917</v>
      </c>
      <c r="I3977" s="1" t="str">
        <f>"113304"</f>
        <v>113304</v>
      </c>
      <c r="J3977" s="1" t="s">
        <v>28</v>
      </c>
      <c r="K3977" s="1" t="s">
        <v>28</v>
      </c>
      <c r="L3977" s="1" t="str">
        <f t="shared" si="741"/>
        <v>20220917</v>
      </c>
      <c r="M3977" s="1" t="str">
        <f>"115009"</f>
        <v>115009</v>
      </c>
      <c r="N3977" s="1" t="s">
        <v>34</v>
      </c>
      <c r="O3977" s="1" t="s">
        <v>34</v>
      </c>
      <c r="P3977" s="1" t="s">
        <v>55</v>
      </c>
      <c r="Q3977" s="1">
        <v>25</v>
      </c>
      <c r="R3977" s="1">
        <v>25</v>
      </c>
      <c r="S3977" s="1">
        <v>0</v>
      </c>
      <c r="T3977" s="1">
        <v>0</v>
      </c>
      <c r="U3977" s="1">
        <v>0</v>
      </c>
      <c r="V3977" s="1" t="str">
        <f t="shared" si="739"/>
        <v>里程去程</v>
      </c>
      <c r="W3977" s="1" t="str">
        <f>"2020"</f>
        <v>2020</v>
      </c>
      <c r="X3977" s="1" t="s">
        <v>35</v>
      </c>
    </row>
    <row r="3978" spans="1:24" x14ac:dyDescent="0.3">
      <c r="A3978" s="1" t="str">
        <f t="shared" si="742"/>
        <v>59820</v>
      </c>
      <c r="B3978" s="1" t="s">
        <v>53</v>
      </c>
      <c r="C3978" s="1" t="s">
        <v>54</v>
      </c>
      <c r="D3978" s="1" t="str">
        <f t="shared" si="743"/>
        <v>9803</v>
      </c>
      <c r="E3978" s="1" t="s">
        <v>32</v>
      </c>
      <c r="F3978" s="1" t="str">
        <f>"1207201253"</f>
        <v>1207201253</v>
      </c>
      <c r="G3978" s="1" t="s">
        <v>96</v>
      </c>
      <c r="H3978" s="1" t="str">
        <f t="shared" si="740"/>
        <v>20220917</v>
      </c>
      <c r="I3978" s="1" t="str">
        <f>"113311"</f>
        <v>113311</v>
      </c>
      <c r="J3978" s="1" t="s">
        <v>28</v>
      </c>
      <c r="K3978" s="1" t="s">
        <v>28</v>
      </c>
      <c r="L3978" s="1" t="str">
        <f t="shared" si="741"/>
        <v>20220917</v>
      </c>
      <c r="M3978" s="1" t="str">
        <f>"115012"</f>
        <v>115012</v>
      </c>
      <c r="N3978" s="1" t="s">
        <v>34</v>
      </c>
      <c r="O3978" s="1" t="s">
        <v>34</v>
      </c>
      <c r="P3978" s="1" t="s">
        <v>55</v>
      </c>
      <c r="Q3978" s="1">
        <v>13</v>
      </c>
      <c r="R3978" s="1">
        <v>13</v>
      </c>
      <c r="S3978" s="1">
        <v>0</v>
      </c>
      <c r="T3978" s="1">
        <v>0</v>
      </c>
      <c r="U3978" s="1">
        <v>0</v>
      </c>
      <c r="V3978" s="1" t="str">
        <f t="shared" si="739"/>
        <v>里程去程</v>
      </c>
      <c r="W3978" s="1" t="str">
        <f>"2020"</f>
        <v>2020</v>
      </c>
      <c r="X3978" s="1" t="s">
        <v>35</v>
      </c>
    </row>
    <row r="3979" spans="1:24" x14ac:dyDescent="0.3">
      <c r="A3979" s="1" t="str">
        <f t="shared" si="742"/>
        <v>59820</v>
      </c>
      <c r="B3979" s="1" t="s">
        <v>53</v>
      </c>
      <c r="C3979" s="1" t="s">
        <v>54</v>
      </c>
      <c r="D3979" s="1" t="str">
        <f t="shared" si="743"/>
        <v>9803</v>
      </c>
      <c r="E3979" s="1" t="s">
        <v>32</v>
      </c>
      <c r="F3979" s="1" t="str">
        <f>"F12003499B2804001C00000000000000"</f>
        <v>F12003499B2804001C00000000000000</v>
      </c>
      <c r="G3979" s="1" t="s">
        <v>58</v>
      </c>
      <c r="H3979" s="1" t="str">
        <f t="shared" si="740"/>
        <v>20220917</v>
      </c>
      <c r="I3979" s="1" t="str">
        <f>"120057"</f>
        <v>120057</v>
      </c>
      <c r="J3979" s="1" t="s">
        <v>34</v>
      </c>
      <c r="K3979" s="1" t="s">
        <v>34</v>
      </c>
      <c r="L3979" s="1" t="str">
        <f t="shared" si="741"/>
        <v>20220917</v>
      </c>
      <c r="M3979" s="1" t="str">
        <f>"122737"</f>
        <v>122737</v>
      </c>
      <c r="N3979" s="1" t="s">
        <v>28</v>
      </c>
      <c r="O3979" s="1" t="s">
        <v>28</v>
      </c>
      <c r="P3979" s="1" t="s">
        <v>55</v>
      </c>
      <c r="Q3979" s="1">
        <v>25</v>
      </c>
      <c r="R3979" s="1">
        <v>25</v>
      </c>
      <c r="S3979" s="1">
        <v>0</v>
      </c>
      <c r="T3979" s="1">
        <v>0</v>
      </c>
      <c r="U3979" s="1">
        <v>0</v>
      </c>
      <c r="V3979" s="1" t="str">
        <f t="shared" ref="V3979:V3986" si="744">"里程返程"</f>
        <v>里程返程</v>
      </c>
      <c r="W3979" s="1" t="str">
        <f>"0020"</f>
        <v>0020</v>
      </c>
      <c r="X3979" s="1" t="s">
        <v>29</v>
      </c>
    </row>
    <row r="3980" spans="1:24" x14ac:dyDescent="0.3">
      <c r="A3980" s="1" t="str">
        <f t="shared" si="742"/>
        <v>59820</v>
      </c>
      <c r="B3980" s="1" t="s">
        <v>53</v>
      </c>
      <c r="C3980" s="1" t="s">
        <v>54</v>
      </c>
      <c r="D3980" s="1" t="str">
        <f t="shared" si="743"/>
        <v>9803</v>
      </c>
      <c r="E3980" s="1" t="s">
        <v>32</v>
      </c>
      <c r="F3980" s="1" t="str">
        <f>"1207201253"</f>
        <v>1207201253</v>
      </c>
      <c r="G3980" s="1" t="s">
        <v>96</v>
      </c>
      <c r="H3980" s="1" t="str">
        <f t="shared" si="740"/>
        <v>20220917</v>
      </c>
      <c r="I3980" s="1" t="str">
        <f>"120106"</f>
        <v>120106</v>
      </c>
      <c r="J3980" s="1" t="s">
        <v>34</v>
      </c>
      <c r="K3980" s="1" t="s">
        <v>34</v>
      </c>
      <c r="L3980" s="1" t="str">
        <f t="shared" si="741"/>
        <v>20220917</v>
      </c>
      <c r="M3980" s="1" t="str">
        <f>"120934"</f>
        <v>120934</v>
      </c>
      <c r="N3980" s="1" t="s">
        <v>46</v>
      </c>
      <c r="O3980" s="1" t="s">
        <v>28</v>
      </c>
      <c r="P3980" s="1" t="s">
        <v>55</v>
      </c>
      <c r="Q3980" s="1">
        <v>13</v>
      </c>
      <c r="R3980" s="1">
        <v>13</v>
      </c>
      <c r="S3980" s="1">
        <v>0</v>
      </c>
      <c r="T3980" s="1">
        <v>0</v>
      </c>
      <c r="U3980" s="1">
        <v>0</v>
      </c>
      <c r="V3980" s="1" t="str">
        <f t="shared" si="744"/>
        <v>里程返程</v>
      </c>
      <c r="W3980" s="1" t="str">
        <f>"2020"</f>
        <v>2020</v>
      </c>
      <c r="X3980" s="1" t="s">
        <v>35</v>
      </c>
    </row>
    <row r="3981" spans="1:24" x14ac:dyDescent="0.3">
      <c r="A3981" s="1" t="str">
        <f t="shared" si="742"/>
        <v>59820</v>
      </c>
      <c r="B3981" s="1" t="s">
        <v>53</v>
      </c>
      <c r="C3981" s="1" t="s">
        <v>54</v>
      </c>
      <c r="D3981" s="1" t="str">
        <f t="shared" si="743"/>
        <v>9803</v>
      </c>
      <c r="E3981" s="1" t="s">
        <v>32</v>
      </c>
      <c r="F3981" s="1" t="str">
        <f>"1019682449"</f>
        <v>1019682449</v>
      </c>
      <c r="G3981" s="1" t="s">
        <v>33</v>
      </c>
      <c r="H3981" s="1" t="str">
        <f t="shared" si="740"/>
        <v>20220917</v>
      </c>
      <c r="I3981" s="1" t="str">
        <f>"120109"</f>
        <v>120109</v>
      </c>
      <c r="J3981" s="1" t="s">
        <v>34</v>
      </c>
      <c r="K3981" s="1" t="s">
        <v>34</v>
      </c>
      <c r="L3981" s="1" t="str">
        <f t="shared" si="741"/>
        <v>20220917</v>
      </c>
      <c r="M3981" s="1" t="str">
        <f>"120936"</f>
        <v>120936</v>
      </c>
      <c r="N3981" s="1" t="s">
        <v>46</v>
      </c>
      <c r="O3981" s="1" t="s">
        <v>28</v>
      </c>
      <c r="P3981" s="1" t="s">
        <v>55</v>
      </c>
      <c r="Q3981" s="1">
        <v>25</v>
      </c>
      <c r="R3981" s="1">
        <v>25</v>
      </c>
      <c r="S3981" s="1">
        <v>0</v>
      </c>
      <c r="T3981" s="1">
        <v>0</v>
      </c>
      <c r="U3981" s="1">
        <v>0</v>
      </c>
      <c r="V3981" s="1" t="str">
        <f t="shared" si="744"/>
        <v>里程返程</v>
      </c>
      <c r="W3981" s="1" t="str">
        <f>"2020"</f>
        <v>2020</v>
      </c>
      <c r="X3981" s="1" t="s">
        <v>35</v>
      </c>
    </row>
    <row r="3982" spans="1:24" x14ac:dyDescent="0.3">
      <c r="A3982" s="1" t="str">
        <f t="shared" si="742"/>
        <v>59820</v>
      </c>
      <c r="B3982" s="1" t="s">
        <v>53</v>
      </c>
      <c r="C3982" s="1" t="s">
        <v>54</v>
      </c>
      <c r="D3982" s="1" t="str">
        <f t="shared" si="743"/>
        <v>9803</v>
      </c>
      <c r="E3982" s="1" t="s">
        <v>32</v>
      </c>
      <c r="F3982" s="1" t="str">
        <f>"866053873"</f>
        <v>866053873</v>
      </c>
      <c r="G3982" s="1" t="s">
        <v>33</v>
      </c>
      <c r="H3982" s="1" t="str">
        <f t="shared" si="740"/>
        <v>20220917</v>
      </c>
      <c r="I3982" s="1" t="str">
        <f>"120112"</f>
        <v>120112</v>
      </c>
      <c r="J3982" s="1" t="s">
        <v>34</v>
      </c>
      <c r="K3982" s="1" t="s">
        <v>34</v>
      </c>
      <c r="L3982" s="1" t="str">
        <f t="shared" si="741"/>
        <v>20220917</v>
      </c>
      <c r="M3982" s="1" t="str">
        <f>"122731"</f>
        <v>122731</v>
      </c>
      <c r="N3982" s="1" t="s">
        <v>28</v>
      </c>
      <c r="O3982" s="1" t="s">
        <v>28</v>
      </c>
      <c r="P3982" s="1" t="s">
        <v>55</v>
      </c>
      <c r="Q3982" s="1">
        <v>25</v>
      </c>
      <c r="R3982" s="1">
        <v>25</v>
      </c>
      <c r="S3982" s="1">
        <v>0</v>
      </c>
      <c r="T3982" s="1">
        <v>0</v>
      </c>
      <c r="U3982" s="1">
        <v>0</v>
      </c>
      <c r="V3982" s="1" t="str">
        <f t="shared" si="744"/>
        <v>里程返程</v>
      </c>
      <c r="W3982" s="1" t="str">
        <f>"0320"</f>
        <v>0320</v>
      </c>
      <c r="X3982" s="1" t="s">
        <v>35</v>
      </c>
    </row>
    <row r="3983" spans="1:24" x14ac:dyDescent="0.3">
      <c r="A3983" s="1" t="str">
        <f t="shared" si="742"/>
        <v>59820</v>
      </c>
      <c r="B3983" s="1" t="s">
        <v>53</v>
      </c>
      <c r="C3983" s="1" t="s">
        <v>54</v>
      </c>
      <c r="D3983" s="1" t="str">
        <f t="shared" si="743"/>
        <v>9803</v>
      </c>
      <c r="E3983" s="1" t="s">
        <v>32</v>
      </c>
      <c r="F3983" s="1" t="str">
        <f>"1723311861"</f>
        <v>1723311861</v>
      </c>
      <c r="G3983" s="1" t="s">
        <v>96</v>
      </c>
      <c r="H3983" s="1" t="str">
        <f t="shared" si="740"/>
        <v>20220917</v>
      </c>
      <c r="I3983" s="1" t="str">
        <f>"120830"</f>
        <v>120830</v>
      </c>
      <c r="J3983" s="1" t="s">
        <v>87</v>
      </c>
      <c r="K3983" s="1" t="s">
        <v>28</v>
      </c>
      <c r="L3983" s="1" t="str">
        <f t="shared" si="741"/>
        <v>20220917</v>
      </c>
      <c r="M3983" s="1" t="str">
        <f>"122745"</f>
        <v>122745</v>
      </c>
      <c r="N3983" s="1" t="s">
        <v>28</v>
      </c>
      <c r="O3983" s="1" t="s">
        <v>28</v>
      </c>
      <c r="P3983" s="1" t="s">
        <v>55</v>
      </c>
      <c r="Q3983" s="1">
        <v>13</v>
      </c>
      <c r="R3983" s="1">
        <v>13</v>
      </c>
      <c r="S3983" s="1">
        <v>0</v>
      </c>
      <c r="T3983" s="1">
        <v>0</v>
      </c>
      <c r="U3983" s="1">
        <v>0</v>
      </c>
      <c r="V3983" s="1" t="str">
        <f t="shared" si="744"/>
        <v>里程返程</v>
      </c>
      <c r="W3983" s="1" t="str">
        <f>"2020"</f>
        <v>2020</v>
      </c>
      <c r="X3983" s="1" t="s">
        <v>35</v>
      </c>
    </row>
    <row r="3984" spans="1:24" x14ac:dyDescent="0.3">
      <c r="A3984" s="1" t="str">
        <f t="shared" si="742"/>
        <v>59820</v>
      </c>
      <c r="B3984" s="1" t="s">
        <v>53</v>
      </c>
      <c r="C3984" s="1" t="s">
        <v>54</v>
      </c>
      <c r="D3984" s="1" t="str">
        <f t="shared" si="743"/>
        <v>9803</v>
      </c>
      <c r="E3984" s="1" t="s">
        <v>32</v>
      </c>
      <c r="F3984" s="1" t="str">
        <f>"1746203749"</f>
        <v>1746203749</v>
      </c>
      <c r="G3984" s="1" t="s">
        <v>33</v>
      </c>
      <c r="H3984" s="1" t="str">
        <f t="shared" si="740"/>
        <v>20220917</v>
      </c>
      <c r="I3984" s="1" t="str">
        <f>"120832"</f>
        <v>120832</v>
      </c>
      <c r="J3984" s="1" t="s">
        <v>87</v>
      </c>
      <c r="K3984" s="1" t="s">
        <v>28</v>
      </c>
      <c r="L3984" s="1" t="str">
        <f t="shared" si="741"/>
        <v>20220917</v>
      </c>
      <c r="M3984" s="1" t="str">
        <f>"122748"</f>
        <v>122748</v>
      </c>
      <c r="N3984" s="1" t="s">
        <v>28</v>
      </c>
      <c r="O3984" s="1" t="s">
        <v>28</v>
      </c>
      <c r="P3984" s="1" t="s">
        <v>55</v>
      </c>
      <c r="Q3984" s="1">
        <v>25</v>
      </c>
      <c r="R3984" s="1">
        <v>25</v>
      </c>
      <c r="S3984" s="1">
        <v>0</v>
      </c>
      <c r="T3984" s="1">
        <v>0</v>
      </c>
      <c r="U3984" s="1">
        <v>0</v>
      </c>
      <c r="V3984" s="1" t="str">
        <f t="shared" si="744"/>
        <v>里程返程</v>
      </c>
      <c r="W3984" s="1" t="str">
        <f>"2020"</f>
        <v>2020</v>
      </c>
      <c r="X3984" s="1" t="s">
        <v>35</v>
      </c>
    </row>
    <row r="3985" spans="1:24" x14ac:dyDescent="0.3">
      <c r="A3985" s="1" t="str">
        <f t="shared" si="742"/>
        <v>59820</v>
      </c>
      <c r="B3985" s="1" t="s">
        <v>53</v>
      </c>
      <c r="C3985" s="1" t="s">
        <v>54</v>
      </c>
      <c r="D3985" s="1" t="str">
        <f t="shared" si="743"/>
        <v>9803</v>
      </c>
      <c r="E3985" s="1" t="s">
        <v>32</v>
      </c>
      <c r="F3985" s="1" t="str">
        <f>"D1799B00338804004324714D0018080E"</f>
        <v>D1799B00338804004324714D0018080E</v>
      </c>
      <c r="G3985" s="1" t="s">
        <v>58</v>
      </c>
      <c r="H3985" s="1" t="str">
        <f t="shared" si="740"/>
        <v>20220917</v>
      </c>
      <c r="I3985" s="1" t="str">
        <f>"122205"</f>
        <v>122205</v>
      </c>
      <c r="J3985" s="1" t="s">
        <v>81</v>
      </c>
      <c r="K3985" s="1" t="s">
        <v>28</v>
      </c>
      <c r="L3985" s="1" t="str">
        <f t="shared" si="741"/>
        <v>20220917</v>
      </c>
      <c r="M3985" s="1" t="str">
        <f>"122727"</f>
        <v>122727</v>
      </c>
      <c r="N3985" s="1" t="s">
        <v>28</v>
      </c>
      <c r="O3985" s="1" t="s">
        <v>28</v>
      </c>
      <c r="P3985" s="1" t="s">
        <v>55</v>
      </c>
      <c r="Q3985" s="1">
        <v>25</v>
      </c>
      <c r="R3985" s="1">
        <v>25</v>
      </c>
      <c r="S3985" s="1">
        <v>0</v>
      </c>
      <c r="T3985" s="1">
        <v>0</v>
      </c>
      <c r="U3985" s="1">
        <v>0</v>
      </c>
      <c r="V3985" s="1" t="str">
        <f t="shared" si="744"/>
        <v>里程返程</v>
      </c>
      <c r="W3985" s="1" t="str">
        <f>"0020"</f>
        <v>0020</v>
      </c>
      <c r="X3985" s="1" t="s">
        <v>29</v>
      </c>
    </row>
    <row r="3986" spans="1:24" x14ac:dyDescent="0.3">
      <c r="A3986" s="1" t="str">
        <f t="shared" si="742"/>
        <v>59820</v>
      </c>
      <c r="B3986" s="1" t="s">
        <v>53</v>
      </c>
      <c r="C3986" s="1" t="s">
        <v>54</v>
      </c>
      <c r="D3986" s="1" t="str">
        <f t="shared" si="743"/>
        <v>9803</v>
      </c>
      <c r="E3986" s="1" t="s">
        <v>32</v>
      </c>
      <c r="F3986" s="1" t="str">
        <f>"224D01006E880400C831002000000014"</f>
        <v>224D01006E880400C831002000000014</v>
      </c>
      <c r="G3986" s="1" t="s">
        <v>58</v>
      </c>
      <c r="H3986" s="1" t="str">
        <f t="shared" si="740"/>
        <v>20220917</v>
      </c>
      <c r="I3986" s="1" t="str">
        <f>"122208"</f>
        <v>122208</v>
      </c>
      <c r="J3986" s="1" t="s">
        <v>81</v>
      </c>
      <c r="K3986" s="1" t="s">
        <v>28</v>
      </c>
      <c r="L3986" s="1" t="str">
        <f t="shared" si="741"/>
        <v>20220917</v>
      </c>
      <c r="M3986" s="1" t="str">
        <f>"122724"</f>
        <v>122724</v>
      </c>
      <c r="N3986" s="1" t="s">
        <v>28</v>
      </c>
      <c r="O3986" s="1" t="s">
        <v>28</v>
      </c>
      <c r="P3986" s="1" t="s">
        <v>55</v>
      </c>
      <c r="Q3986" s="1">
        <v>25</v>
      </c>
      <c r="R3986" s="1">
        <v>25</v>
      </c>
      <c r="S3986" s="1">
        <v>0</v>
      </c>
      <c r="T3986" s="1">
        <v>0</v>
      </c>
      <c r="U3986" s="1">
        <v>0</v>
      </c>
      <c r="V3986" s="1" t="str">
        <f t="shared" si="744"/>
        <v>里程返程</v>
      </c>
      <c r="W3986" s="1" t="str">
        <f>"0020"</f>
        <v>0020</v>
      </c>
      <c r="X3986" s="1" t="s">
        <v>29</v>
      </c>
    </row>
    <row r="3987" spans="1:24" x14ac:dyDescent="0.3">
      <c r="A3987" s="1" t="str">
        <f t="shared" si="742"/>
        <v>59820</v>
      </c>
      <c r="B3987" s="1" t="s">
        <v>53</v>
      </c>
      <c r="C3987" s="1" t="s">
        <v>54</v>
      </c>
      <c r="D3987" s="1" t="str">
        <f t="shared" si="743"/>
        <v>9803</v>
      </c>
      <c r="E3987" s="1" t="s">
        <v>32</v>
      </c>
      <c r="F3987" s="1" t="str">
        <f>"716049265"</f>
        <v>716049265</v>
      </c>
      <c r="G3987" s="1" t="s">
        <v>33</v>
      </c>
      <c r="H3987" s="1" t="str">
        <f t="shared" si="740"/>
        <v>20220917</v>
      </c>
      <c r="I3987" s="1" t="str">
        <f>"122814"</f>
        <v>122814</v>
      </c>
      <c r="J3987" s="1" t="s">
        <v>28</v>
      </c>
      <c r="K3987" s="1" t="s">
        <v>28</v>
      </c>
      <c r="L3987" s="1" t="str">
        <f t="shared" si="741"/>
        <v>20220917</v>
      </c>
      <c r="M3987" s="1" t="str">
        <f>"124727"</f>
        <v>124727</v>
      </c>
      <c r="N3987" s="1" t="s">
        <v>34</v>
      </c>
      <c r="O3987" s="1" t="s">
        <v>34</v>
      </c>
      <c r="P3987" s="1" t="s">
        <v>55</v>
      </c>
      <c r="Q3987" s="1">
        <v>25</v>
      </c>
      <c r="R3987" s="1">
        <v>25</v>
      </c>
      <c r="S3987" s="1">
        <v>0</v>
      </c>
      <c r="T3987" s="1">
        <v>0</v>
      </c>
      <c r="U3987" s="1">
        <v>0</v>
      </c>
      <c r="V3987" s="1" t="str">
        <f t="shared" ref="V3987:V3994" si="745">"里程去程"</f>
        <v>里程去程</v>
      </c>
      <c r="W3987" s="1" t="str">
        <f>"0820"</f>
        <v>0820</v>
      </c>
      <c r="X3987" s="1" t="s">
        <v>35</v>
      </c>
    </row>
    <row r="3988" spans="1:24" x14ac:dyDescent="0.3">
      <c r="A3988" s="1" t="str">
        <f t="shared" si="742"/>
        <v>59820</v>
      </c>
      <c r="B3988" s="1" t="s">
        <v>53</v>
      </c>
      <c r="C3988" s="1" t="s">
        <v>54</v>
      </c>
      <c r="D3988" s="1" t="str">
        <f t="shared" si="743"/>
        <v>9803</v>
      </c>
      <c r="E3988" s="1" t="s">
        <v>32</v>
      </c>
      <c r="F3988" s="1" t="str">
        <f>"762474677"</f>
        <v>762474677</v>
      </c>
      <c r="G3988" s="1" t="s">
        <v>33</v>
      </c>
      <c r="H3988" s="1" t="str">
        <f t="shared" si="740"/>
        <v>20220917</v>
      </c>
      <c r="I3988" s="1" t="str">
        <f>"122819"</f>
        <v>122819</v>
      </c>
      <c r="J3988" s="1" t="s">
        <v>28</v>
      </c>
      <c r="K3988" s="1" t="s">
        <v>28</v>
      </c>
      <c r="L3988" s="1" t="str">
        <f t="shared" si="741"/>
        <v>20220917</v>
      </c>
      <c r="M3988" s="1" t="str">
        <f>"124740"</f>
        <v>124740</v>
      </c>
      <c r="N3988" s="1" t="s">
        <v>34</v>
      </c>
      <c r="O3988" s="1" t="s">
        <v>34</v>
      </c>
      <c r="P3988" s="1" t="s">
        <v>55</v>
      </c>
      <c r="Q3988" s="1">
        <v>25</v>
      </c>
      <c r="R3988" s="1">
        <v>25</v>
      </c>
      <c r="S3988" s="1">
        <v>0</v>
      </c>
      <c r="T3988" s="1">
        <v>0</v>
      </c>
      <c r="U3988" s="1">
        <v>0</v>
      </c>
      <c r="V3988" s="1" t="str">
        <f t="shared" si="745"/>
        <v>里程去程</v>
      </c>
      <c r="W3988" s="1" t="str">
        <f>"0120"</f>
        <v>0120</v>
      </c>
      <c r="X3988" s="1" t="s">
        <v>35</v>
      </c>
    </row>
    <row r="3989" spans="1:24" x14ac:dyDescent="0.3">
      <c r="A3989" s="1" t="str">
        <f t="shared" si="742"/>
        <v>59820</v>
      </c>
      <c r="B3989" s="1" t="s">
        <v>53</v>
      </c>
      <c r="C3989" s="1" t="s">
        <v>54</v>
      </c>
      <c r="D3989" s="1" t="str">
        <f t="shared" si="743"/>
        <v>9803</v>
      </c>
      <c r="E3989" s="1" t="s">
        <v>32</v>
      </c>
      <c r="F3989" s="1" t="str">
        <f>"824222101"</f>
        <v>824222101</v>
      </c>
      <c r="G3989" s="1" t="s">
        <v>33</v>
      </c>
      <c r="H3989" s="1" t="str">
        <f t="shared" si="740"/>
        <v>20220917</v>
      </c>
      <c r="I3989" s="1" t="str">
        <f>"122825"</f>
        <v>122825</v>
      </c>
      <c r="J3989" s="1" t="s">
        <v>28</v>
      </c>
      <c r="K3989" s="1" t="s">
        <v>28</v>
      </c>
      <c r="L3989" s="1" t="str">
        <f t="shared" si="741"/>
        <v>20220917</v>
      </c>
      <c r="M3989" s="1" t="str">
        <f>"124701"</f>
        <v>124701</v>
      </c>
      <c r="N3989" s="1" t="s">
        <v>34</v>
      </c>
      <c r="O3989" s="1" t="s">
        <v>34</v>
      </c>
      <c r="P3989" s="1" t="s">
        <v>55</v>
      </c>
      <c r="Q3989" s="1">
        <v>25</v>
      </c>
      <c r="R3989" s="1">
        <v>25</v>
      </c>
      <c r="S3989" s="1">
        <v>0</v>
      </c>
      <c r="T3989" s="1">
        <v>0</v>
      </c>
      <c r="U3989" s="1">
        <v>0</v>
      </c>
      <c r="V3989" s="1" t="str">
        <f t="shared" si="745"/>
        <v>里程去程</v>
      </c>
      <c r="W3989" s="1" t="str">
        <f>"0220"</f>
        <v>0220</v>
      </c>
      <c r="X3989" s="1" t="s">
        <v>35</v>
      </c>
    </row>
    <row r="3990" spans="1:24" x14ac:dyDescent="0.3">
      <c r="A3990" s="1" t="str">
        <f t="shared" si="742"/>
        <v>59820</v>
      </c>
      <c r="B3990" s="1" t="s">
        <v>53</v>
      </c>
      <c r="C3990" s="1" t="s">
        <v>54</v>
      </c>
      <c r="D3990" s="1" t="str">
        <f t="shared" si="743"/>
        <v>9803</v>
      </c>
      <c r="E3990" s="1" t="s">
        <v>32</v>
      </c>
      <c r="F3990" s="1" t="str">
        <f>"1273384667"</f>
        <v>1273384667</v>
      </c>
      <c r="G3990" s="1" t="s">
        <v>33</v>
      </c>
      <c r="H3990" s="1" t="str">
        <f t="shared" si="740"/>
        <v>20220917</v>
      </c>
      <c r="I3990" s="1" t="str">
        <f>"122829"</f>
        <v>122829</v>
      </c>
      <c r="J3990" s="1" t="s">
        <v>28</v>
      </c>
      <c r="K3990" s="1" t="s">
        <v>28</v>
      </c>
      <c r="L3990" s="1" t="str">
        <f t="shared" si="741"/>
        <v>20220917</v>
      </c>
      <c r="M3990" s="1" t="str">
        <f>"124659"</f>
        <v>124659</v>
      </c>
      <c r="N3990" s="1" t="s">
        <v>34</v>
      </c>
      <c r="O3990" s="1" t="s">
        <v>34</v>
      </c>
      <c r="P3990" s="1" t="s">
        <v>55</v>
      </c>
      <c r="Q3990" s="1">
        <v>25</v>
      </c>
      <c r="R3990" s="1">
        <v>25</v>
      </c>
      <c r="S3990" s="1">
        <v>0</v>
      </c>
      <c r="T3990" s="1">
        <v>0</v>
      </c>
      <c r="U3990" s="1">
        <v>0</v>
      </c>
      <c r="V3990" s="1" t="str">
        <f t="shared" si="745"/>
        <v>里程去程</v>
      </c>
      <c r="W3990" s="1" t="str">
        <f>"0e20"</f>
        <v>0e20</v>
      </c>
      <c r="X3990" s="1" t="s">
        <v>35</v>
      </c>
    </row>
    <row r="3991" spans="1:24" x14ac:dyDescent="0.3">
      <c r="A3991" s="1" t="str">
        <f t="shared" si="742"/>
        <v>59820</v>
      </c>
      <c r="B3991" s="1" t="s">
        <v>53</v>
      </c>
      <c r="C3991" s="1" t="s">
        <v>54</v>
      </c>
      <c r="D3991" s="1" t="str">
        <f t="shared" si="743"/>
        <v>9803</v>
      </c>
      <c r="E3991" s="1" t="s">
        <v>32</v>
      </c>
      <c r="F3991" s="1" t="str">
        <f>"1160294401"</f>
        <v>1160294401</v>
      </c>
      <c r="G3991" s="1" t="s">
        <v>33</v>
      </c>
      <c r="H3991" s="1" t="str">
        <f t="shared" si="740"/>
        <v>20220917</v>
      </c>
      <c r="I3991" s="1" t="str">
        <f>"122857"</f>
        <v>122857</v>
      </c>
      <c r="J3991" s="1" t="s">
        <v>28</v>
      </c>
      <c r="K3991" s="1" t="s">
        <v>28</v>
      </c>
      <c r="L3991" s="1" t="str">
        <f t="shared" si="741"/>
        <v>20220917</v>
      </c>
      <c r="M3991" s="1" t="str">
        <f>"124656"</f>
        <v>124656</v>
      </c>
      <c r="N3991" s="1" t="s">
        <v>34</v>
      </c>
      <c r="O3991" s="1" t="s">
        <v>34</v>
      </c>
      <c r="P3991" s="1" t="s">
        <v>55</v>
      </c>
      <c r="Q3991" s="1">
        <v>25</v>
      </c>
      <c r="R3991" s="1">
        <v>25</v>
      </c>
      <c r="S3991" s="1">
        <v>0</v>
      </c>
      <c r="T3991" s="1">
        <v>0</v>
      </c>
      <c r="U3991" s="1">
        <v>0</v>
      </c>
      <c r="V3991" s="1" t="str">
        <f t="shared" si="745"/>
        <v>里程去程</v>
      </c>
      <c r="W3991" s="1" t="str">
        <f>"0320"</f>
        <v>0320</v>
      </c>
      <c r="X3991" s="1" t="s">
        <v>35</v>
      </c>
    </row>
    <row r="3992" spans="1:24" x14ac:dyDescent="0.3">
      <c r="A3992" s="1" t="str">
        <f t="shared" si="742"/>
        <v>59820</v>
      </c>
      <c r="B3992" s="1" t="s">
        <v>53</v>
      </c>
      <c r="C3992" s="1" t="s">
        <v>54</v>
      </c>
      <c r="D3992" s="1" t="str">
        <f t="shared" si="743"/>
        <v>9803</v>
      </c>
      <c r="E3992" s="1" t="s">
        <v>32</v>
      </c>
      <c r="F3992" s="1" t="str">
        <f>"1383914945"</f>
        <v>1383914945</v>
      </c>
      <c r="G3992" s="1" t="s">
        <v>33</v>
      </c>
      <c r="H3992" s="1" t="str">
        <f t="shared" si="740"/>
        <v>20220917</v>
      </c>
      <c r="I3992" s="1" t="str">
        <f>"122908"</f>
        <v>122908</v>
      </c>
      <c r="J3992" s="1" t="s">
        <v>28</v>
      </c>
      <c r="K3992" s="1" t="s">
        <v>28</v>
      </c>
      <c r="L3992" s="1" t="str">
        <f t="shared" si="741"/>
        <v>20220917</v>
      </c>
      <c r="M3992" s="1" t="str">
        <f>"124652"</f>
        <v>124652</v>
      </c>
      <c r="N3992" s="1" t="s">
        <v>34</v>
      </c>
      <c r="O3992" s="1" t="s">
        <v>34</v>
      </c>
      <c r="P3992" s="1" t="s">
        <v>55</v>
      </c>
      <c r="Q3992" s="1">
        <v>25</v>
      </c>
      <c r="R3992" s="1">
        <v>25</v>
      </c>
      <c r="S3992" s="1">
        <v>0</v>
      </c>
      <c r="T3992" s="1">
        <v>0</v>
      </c>
      <c r="U3992" s="1">
        <v>0</v>
      </c>
      <c r="V3992" s="1" t="str">
        <f t="shared" si="745"/>
        <v>里程去程</v>
      </c>
      <c r="W3992" s="1" t="str">
        <f>"1420"</f>
        <v>1420</v>
      </c>
      <c r="X3992" s="1" t="s">
        <v>35</v>
      </c>
    </row>
    <row r="3993" spans="1:24" x14ac:dyDescent="0.3">
      <c r="A3993" s="1" t="str">
        <f t="shared" si="742"/>
        <v>59820</v>
      </c>
      <c r="B3993" s="1" t="s">
        <v>53</v>
      </c>
      <c r="C3993" s="1" t="s">
        <v>54</v>
      </c>
      <c r="D3993" s="1" t="str">
        <f t="shared" si="743"/>
        <v>9803</v>
      </c>
      <c r="E3993" s="1" t="s">
        <v>32</v>
      </c>
      <c r="F3993" s="1" t="str">
        <f>"C1031046942804001C00000000000000"</f>
        <v>C1031046942804001C00000000000000</v>
      </c>
      <c r="G3993" s="1" t="s">
        <v>58</v>
      </c>
      <c r="H3993" s="1" t="str">
        <f t="shared" si="740"/>
        <v>20220917</v>
      </c>
      <c r="I3993" s="1" t="str">
        <f>"123014"</f>
        <v>123014</v>
      </c>
      <c r="J3993" s="1" t="s">
        <v>28</v>
      </c>
      <c r="K3993" s="1" t="s">
        <v>28</v>
      </c>
      <c r="L3993" s="1" t="str">
        <f t="shared" si="741"/>
        <v>20220917</v>
      </c>
      <c r="M3993" s="1" t="str">
        <f>"124704"</f>
        <v>124704</v>
      </c>
      <c r="N3993" s="1" t="s">
        <v>34</v>
      </c>
      <c r="O3993" s="1" t="s">
        <v>34</v>
      </c>
      <c r="P3993" s="1" t="s">
        <v>55</v>
      </c>
      <c r="Q3993" s="1">
        <v>25</v>
      </c>
      <c r="R3993" s="1">
        <v>25</v>
      </c>
      <c r="S3993" s="1">
        <v>0</v>
      </c>
      <c r="T3993" s="1">
        <v>0</v>
      </c>
      <c r="U3993" s="1">
        <v>0</v>
      </c>
      <c r="V3993" s="1" t="str">
        <f t="shared" si="745"/>
        <v>里程去程</v>
      </c>
      <c r="W3993" s="1" t="str">
        <f>"0020"</f>
        <v>0020</v>
      </c>
      <c r="X3993" s="1" t="s">
        <v>29</v>
      </c>
    </row>
    <row r="3994" spans="1:24" x14ac:dyDescent="0.3">
      <c r="A3994" s="1" t="str">
        <f t="shared" si="742"/>
        <v>59820</v>
      </c>
      <c r="B3994" s="1" t="s">
        <v>53</v>
      </c>
      <c r="C3994" s="1" t="s">
        <v>54</v>
      </c>
      <c r="D3994" s="1" t="str">
        <f t="shared" si="743"/>
        <v>9803</v>
      </c>
      <c r="E3994" s="1" t="s">
        <v>32</v>
      </c>
      <c r="F3994" s="1" t="str">
        <f>"1071193441"</f>
        <v>1071193441</v>
      </c>
      <c r="G3994" s="1" t="s">
        <v>33</v>
      </c>
      <c r="H3994" s="1" t="str">
        <f t="shared" si="740"/>
        <v>20220917</v>
      </c>
      <c r="I3994" s="1" t="str">
        <f>"123016"</f>
        <v>123016</v>
      </c>
      <c r="J3994" s="1" t="s">
        <v>28</v>
      </c>
      <c r="K3994" s="1" t="s">
        <v>28</v>
      </c>
      <c r="L3994" s="1" t="str">
        <f t="shared" si="741"/>
        <v>20220917</v>
      </c>
      <c r="M3994" s="1" t="str">
        <f>"124706"</f>
        <v>124706</v>
      </c>
      <c r="N3994" s="1" t="s">
        <v>34</v>
      </c>
      <c r="O3994" s="1" t="s">
        <v>34</v>
      </c>
      <c r="P3994" s="1" t="s">
        <v>55</v>
      </c>
      <c r="Q3994" s="1">
        <v>25</v>
      </c>
      <c r="R3994" s="1">
        <v>25</v>
      </c>
      <c r="S3994" s="1">
        <v>0</v>
      </c>
      <c r="T3994" s="1">
        <v>0</v>
      </c>
      <c r="U3994" s="1">
        <v>0</v>
      </c>
      <c r="V3994" s="1" t="str">
        <f t="shared" si="745"/>
        <v>里程去程</v>
      </c>
      <c r="W3994" s="1" t="str">
        <f>"0620"</f>
        <v>0620</v>
      </c>
      <c r="X3994" s="1" t="s">
        <v>35</v>
      </c>
    </row>
    <row r="3995" spans="1:24" x14ac:dyDescent="0.3">
      <c r="A3995" s="1" t="str">
        <f t="shared" si="742"/>
        <v>59820</v>
      </c>
      <c r="B3995" s="1" t="s">
        <v>53</v>
      </c>
      <c r="C3995" s="1" t="s">
        <v>54</v>
      </c>
      <c r="D3995" s="1" t="str">
        <f t="shared" si="743"/>
        <v>9803</v>
      </c>
      <c r="E3995" s="1" t="s">
        <v>32</v>
      </c>
      <c r="F3995" s="1" t="str">
        <f>"3763048855"</f>
        <v>3763048855</v>
      </c>
      <c r="G3995" s="1" t="s">
        <v>33</v>
      </c>
      <c r="H3995" s="1" t="str">
        <f t="shared" si="740"/>
        <v>20220917</v>
      </c>
      <c r="I3995" s="1" t="str">
        <f>"131928"</f>
        <v>131928</v>
      </c>
      <c r="J3995" s="1" t="s">
        <v>46</v>
      </c>
      <c r="K3995" s="1" t="s">
        <v>28</v>
      </c>
      <c r="L3995" s="1" t="str">
        <f t="shared" si="741"/>
        <v>20220917</v>
      </c>
      <c r="M3995" s="1" t="str">
        <f>"132821"</f>
        <v>132821</v>
      </c>
      <c r="N3995" s="1" t="s">
        <v>28</v>
      </c>
      <c r="O3995" s="1" t="s">
        <v>28</v>
      </c>
      <c r="P3995" s="1" t="s">
        <v>55</v>
      </c>
      <c r="Q3995" s="1">
        <v>25</v>
      </c>
      <c r="R3995" s="1">
        <v>0</v>
      </c>
      <c r="S3995" s="1">
        <v>25</v>
      </c>
      <c r="T3995" s="1">
        <v>0</v>
      </c>
      <c r="U3995" s="1">
        <v>0</v>
      </c>
      <c r="V3995" s="1" t="str">
        <f t="shared" ref="V3995:V4026" si="746">"里程返程"</f>
        <v>里程返程</v>
      </c>
      <c r="W3995" s="1" t="str">
        <f>"0820"</f>
        <v>0820</v>
      </c>
      <c r="X3995" s="1" t="s">
        <v>35</v>
      </c>
    </row>
    <row r="3996" spans="1:24" x14ac:dyDescent="0.3">
      <c r="A3996" s="1" t="str">
        <f t="shared" si="742"/>
        <v>59820</v>
      </c>
      <c r="B3996" s="1" t="s">
        <v>53</v>
      </c>
      <c r="C3996" s="1" t="s">
        <v>54</v>
      </c>
      <c r="D3996" s="1" t="str">
        <f t="shared" si="743"/>
        <v>9803</v>
      </c>
      <c r="E3996" s="1" t="s">
        <v>32</v>
      </c>
      <c r="F3996" s="1" t="str">
        <f>"1298053073"</f>
        <v>1298053073</v>
      </c>
      <c r="G3996" s="1" t="s">
        <v>33</v>
      </c>
      <c r="H3996" s="1" t="str">
        <f t="shared" si="740"/>
        <v>20220917</v>
      </c>
      <c r="I3996" s="1" t="str">
        <f>"161032"</f>
        <v>161032</v>
      </c>
      <c r="J3996" s="1" t="s">
        <v>34</v>
      </c>
      <c r="K3996" s="1" t="s">
        <v>34</v>
      </c>
      <c r="L3996" s="1" t="str">
        <f t="shared" si="741"/>
        <v>20220917</v>
      </c>
      <c r="M3996" s="1" t="str">
        <f>"163821"</f>
        <v>163821</v>
      </c>
      <c r="N3996" s="1" t="s">
        <v>28</v>
      </c>
      <c r="O3996" s="1" t="s">
        <v>28</v>
      </c>
      <c r="P3996" s="1" t="s">
        <v>55</v>
      </c>
      <c r="Q3996" s="1">
        <v>25</v>
      </c>
      <c r="R3996" s="1">
        <v>25</v>
      </c>
      <c r="S3996" s="1">
        <v>0</v>
      </c>
      <c r="T3996" s="1">
        <v>0</v>
      </c>
      <c r="U3996" s="1">
        <v>0</v>
      </c>
      <c r="V3996" s="1" t="str">
        <f t="shared" si="746"/>
        <v>里程返程</v>
      </c>
      <c r="W3996" s="1" t="str">
        <f>"2120"</f>
        <v>2120</v>
      </c>
      <c r="X3996" s="1" t="s">
        <v>35</v>
      </c>
    </row>
    <row r="3997" spans="1:24" x14ac:dyDescent="0.3">
      <c r="A3997" s="1" t="str">
        <f t="shared" si="742"/>
        <v>59820</v>
      </c>
      <c r="B3997" s="1" t="s">
        <v>53</v>
      </c>
      <c r="C3997" s="1" t="s">
        <v>54</v>
      </c>
      <c r="D3997" s="1" t="str">
        <f t="shared" si="743"/>
        <v>9803</v>
      </c>
      <c r="E3997" s="1" t="s">
        <v>32</v>
      </c>
      <c r="F3997" s="1" t="str">
        <f>"1654394117"</f>
        <v>1654394117</v>
      </c>
      <c r="G3997" s="1" t="s">
        <v>26</v>
      </c>
      <c r="H3997" s="1" t="str">
        <f t="shared" si="740"/>
        <v>20220917</v>
      </c>
      <c r="I3997" s="1" t="str">
        <f>"162524"</f>
        <v>162524</v>
      </c>
      <c r="J3997" s="1" t="s">
        <v>46</v>
      </c>
      <c r="K3997" s="1" t="s">
        <v>28</v>
      </c>
      <c r="L3997" s="1" t="str">
        <f t="shared" si="741"/>
        <v>20220917</v>
      </c>
      <c r="M3997" s="1" t="str">
        <f>"163811"</f>
        <v>163811</v>
      </c>
      <c r="N3997" s="1" t="s">
        <v>28</v>
      </c>
      <c r="O3997" s="1" t="s">
        <v>28</v>
      </c>
      <c r="P3997" s="1" t="s">
        <v>55</v>
      </c>
      <c r="Q3997" s="1">
        <v>13</v>
      </c>
      <c r="R3997" s="1">
        <v>0</v>
      </c>
      <c r="S3997" s="1">
        <v>13</v>
      </c>
      <c r="T3997" s="1">
        <v>0</v>
      </c>
      <c r="U3997" s="1">
        <v>0</v>
      </c>
      <c r="V3997" s="1" t="str">
        <f t="shared" si="746"/>
        <v>里程返程</v>
      </c>
      <c r="W3997" s="1" t="str">
        <f t="shared" ref="W3997:W4004" si="747">"2020"</f>
        <v>2020</v>
      </c>
      <c r="X3997" s="1" t="s">
        <v>35</v>
      </c>
    </row>
    <row r="3998" spans="1:24" x14ac:dyDescent="0.3">
      <c r="A3998" s="1" t="str">
        <f t="shared" si="742"/>
        <v>59820</v>
      </c>
      <c r="B3998" s="1" t="s">
        <v>53</v>
      </c>
      <c r="C3998" s="1" t="s">
        <v>54</v>
      </c>
      <c r="D3998" s="1" t="str">
        <f t="shared" si="743"/>
        <v>9803</v>
      </c>
      <c r="E3998" s="1" t="s">
        <v>32</v>
      </c>
      <c r="F3998" s="1" t="str">
        <f>"853720757"</f>
        <v>853720757</v>
      </c>
      <c r="G3998" s="1" t="s">
        <v>26</v>
      </c>
      <c r="H3998" s="1" t="str">
        <f t="shared" si="740"/>
        <v>20220917</v>
      </c>
      <c r="I3998" s="1" t="str">
        <f>"162529"</f>
        <v>162529</v>
      </c>
      <c r="J3998" s="1" t="s">
        <v>46</v>
      </c>
      <c r="K3998" s="1" t="s">
        <v>28</v>
      </c>
      <c r="L3998" s="1" t="str">
        <f t="shared" si="741"/>
        <v>20220917</v>
      </c>
      <c r="M3998" s="1" t="str">
        <f>"163804"</f>
        <v>163804</v>
      </c>
      <c r="N3998" s="1" t="s">
        <v>28</v>
      </c>
      <c r="O3998" s="1" t="s">
        <v>28</v>
      </c>
      <c r="P3998" s="1" t="s">
        <v>55</v>
      </c>
      <c r="Q3998" s="1">
        <v>13</v>
      </c>
      <c r="R3998" s="1">
        <v>0</v>
      </c>
      <c r="S3998" s="1">
        <v>13</v>
      </c>
      <c r="T3998" s="1">
        <v>0</v>
      </c>
      <c r="U3998" s="1">
        <v>0</v>
      </c>
      <c r="V3998" s="1" t="str">
        <f t="shared" si="746"/>
        <v>里程返程</v>
      </c>
      <c r="W3998" s="1" t="str">
        <f t="shared" si="747"/>
        <v>2020</v>
      </c>
      <c r="X3998" s="1" t="s">
        <v>35</v>
      </c>
    </row>
    <row r="3999" spans="1:24" x14ac:dyDescent="0.3">
      <c r="A3999" s="1" t="str">
        <f t="shared" si="742"/>
        <v>59820</v>
      </c>
      <c r="B3999" s="1" t="s">
        <v>53</v>
      </c>
      <c r="C3999" s="1" t="s">
        <v>54</v>
      </c>
      <c r="D3999" s="1" t="str">
        <f t="shared" si="743"/>
        <v>9803</v>
      </c>
      <c r="E3999" s="1" t="s">
        <v>32</v>
      </c>
      <c r="F3999" s="1" t="str">
        <f>"2918603341"</f>
        <v>2918603341</v>
      </c>
      <c r="G3999" s="1" t="s">
        <v>26</v>
      </c>
      <c r="H3999" s="1" t="str">
        <f t="shared" si="740"/>
        <v>20220917</v>
      </c>
      <c r="I3999" s="1" t="str">
        <f>"162531"</f>
        <v>162531</v>
      </c>
      <c r="J3999" s="1" t="s">
        <v>46</v>
      </c>
      <c r="K3999" s="1" t="s">
        <v>28</v>
      </c>
      <c r="L3999" s="1" t="str">
        <f t="shared" si="741"/>
        <v>20220917</v>
      </c>
      <c r="M3999" s="1" t="str">
        <f>"163754"</f>
        <v>163754</v>
      </c>
      <c r="N3999" s="1" t="s">
        <v>28</v>
      </c>
      <c r="O3999" s="1" t="s">
        <v>28</v>
      </c>
      <c r="P3999" s="1" t="s">
        <v>55</v>
      </c>
      <c r="Q3999" s="1">
        <v>13</v>
      </c>
      <c r="R3999" s="1">
        <v>0</v>
      </c>
      <c r="S3999" s="1">
        <v>13</v>
      </c>
      <c r="T3999" s="1">
        <v>0</v>
      </c>
      <c r="U3999" s="1">
        <v>0</v>
      </c>
      <c r="V3999" s="1" t="str">
        <f t="shared" si="746"/>
        <v>里程返程</v>
      </c>
      <c r="W3999" s="1" t="str">
        <f t="shared" si="747"/>
        <v>2020</v>
      </c>
      <c r="X3999" s="1" t="s">
        <v>35</v>
      </c>
    </row>
    <row r="4000" spans="1:24" x14ac:dyDescent="0.3">
      <c r="A4000" s="1" t="str">
        <f t="shared" si="742"/>
        <v>59820</v>
      </c>
      <c r="B4000" s="1" t="s">
        <v>53</v>
      </c>
      <c r="C4000" s="1" t="s">
        <v>54</v>
      </c>
      <c r="D4000" s="1" t="str">
        <f t="shared" si="743"/>
        <v>9803</v>
      </c>
      <c r="E4000" s="1" t="s">
        <v>32</v>
      </c>
      <c r="F4000" s="1" t="str">
        <f>"1706739877"</f>
        <v>1706739877</v>
      </c>
      <c r="G4000" s="1" t="s">
        <v>26</v>
      </c>
      <c r="H4000" s="1" t="str">
        <f t="shared" si="740"/>
        <v>20220917</v>
      </c>
      <c r="I4000" s="1" t="str">
        <f>"162535"</f>
        <v>162535</v>
      </c>
      <c r="J4000" s="1" t="s">
        <v>46</v>
      </c>
      <c r="K4000" s="1" t="s">
        <v>28</v>
      </c>
      <c r="L4000" s="1" t="str">
        <f t="shared" si="741"/>
        <v>20220917</v>
      </c>
      <c r="M4000" s="1" t="str">
        <f>"163814"</f>
        <v>163814</v>
      </c>
      <c r="N4000" s="1" t="s">
        <v>28</v>
      </c>
      <c r="O4000" s="1" t="s">
        <v>28</v>
      </c>
      <c r="P4000" s="1" t="s">
        <v>55</v>
      </c>
      <c r="Q4000" s="1">
        <v>13</v>
      </c>
      <c r="R4000" s="1">
        <v>0</v>
      </c>
      <c r="S4000" s="1">
        <v>13</v>
      </c>
      <c r="T4000" s="1">
        <v>0</v>
      </c>
      <c r="U4000" s="1">
        <v>0</v>
      </c>
      <c r="V4000" s="1" t="str">
        <f t="shared" si="746"/>
        <v>里程返程</v>
      </c>
      <c r="W4000" s="1" t="str">
        <f t="shared" si="747"/>
        <v>2020</v>
      </c>
      <c r="X4000" s="1" t="s">
        <v>35</v>
      </c>
    </row>
    <row r="4001" spans="1:24" x14ac:dyDescent="0.3">
      <c r="A4001" s="1" t="str">
        <f t="shared" si="742"/>
        <v>59820</v>
      </c>
      <c r="B4001" s="1" t="s">
        <v>53</v>
      </c>
      <c r="C4001" s="1" t="s">
        <v>54</v>
      </c>
      <c r="D4001" s="1" t="str">
        <f t="shared" si="743"/>
        <v>9803</v>
      </c>
      <c r="E4001" s="1" t="s">
        <v>32</v>
      </c>
      <c r="F4001" s="1" t="str">
        <f>"261550694"</f>
        <v>261550694</v>
      </c>
      <c r="G4001" s="1" t="s">
        <v>26</v>
      </c>
      <c r="H4001" s="1" t="str">
        <f t="shared" si="740"/>
        <v>20220917</v>
      </c>
      <c r="I4001" s="1" t="str">
        <f>"162537"</f>
        <v>162537</v>
      </c>
      <c r="J4001" s="1" t="s">
        <v>46</v>
      </c>
      <c r="K4001" s="1" t="s">
        <v>28</v>
      </c>
      <c r="L4001" s="1" t="str">
        <f t="shared" si="741"/>
        <v>20220917</v>
      </c>
      <c r="M4001" s="1" t="str">
        <f>"163808"</f>
        <v>163808</v>
      </c>
      <c r="N4001" s="1" t="s">
        <v>28</v>
      </c>
      <c r="O4001" s="1" t="s">
        <v>28</v>
      </c>
      <c r="P4001" s="1" t="s">
        <v>55</v>
      </c>
      <c r="Q4001" s="1">
        <v>13</v>
      </c>
      <c r="R4001" s="1">
        <v>0</v>
      </c>
      <c r="S4001" s="1">
        <v>13</v>
      </c>
      <c r="T4001" s="1">
        <v>0</v>
      </c>
      <c r="U4001" s="1">
        <v>0</v>
      </c>
      <c r="V4001" s="1" t="str">
        <f t="shared" si="746"/>
        <v>里程返程</v>
      </c>
      <c r="W4001" s="1" t="str">
        <f t="shared" si="747"/>
        <v>2020</v>
      </c>
      <c r="X4001" s="1" t="s">
        <v>35</v>
      </c>
    </row>
    <row r="4002" spans="1:24" x14ac:dyDescent="0.3">
      <c r="A4002" s="1" t="str">
        <f t="shared" si="742"/>
        <v>59820</v>
      </c>
      <c r="B4002" s="1" t="s">
        <v>53</v>
      </c>
      <c r="C4002" s="1" t="s">
        <v>54</v>
      </c>
      <c r="D4002" s="1" t="str">
        <f t="shared" si="743"/>
        <v>9803</v>
      </c>
      <c r="E4002" s="1" t="s">
        <v>32</v>
      </c>
      <c r="F4002" s="1" t="str">
        <f>"946658677"</f>
        <v>946658677</v>
      </c>
      <c r="G4002" s="1" t="s">
        <v>26</v>
      </c>
      <c r="H4002" s="1" t="str">
        <f t="shared" si="740"/>
        <v>20220917</v>
      </c>
      <c r="I4002" s="1" t="str">
        <f>"162542"</f>
        <v>162542</v>
      </c>
      <c r="J4002" s="1" t="s">
        <v>46</v>
      </c>
      <c r="K4002" s="1" t="s">
        <v>28</v>
      </c>
      <c r="L4002" s="1" t="str">
        <f t="shared" si="741"/>
        <v>20220917</v>
      </c>
      <c r="M4002" s="1" t="str">
        <f>"163817"</f>
        <v>163817</v>
      </c>
      <c r="N4002" s="1" t="s">
        <v>28</v>
      </c>
      <c r="O4002" s="1" t="s">
        <v>28</v>
      </c>
      <c r="P4002" s="1" t="s">
        <v>55</v>
      </c>
      <c r="Q4002" s="1">
        <v>13</v>
      </c>
      <c r="R4002" s="1">
        <v>0</v>
      </c>
      <c r="S4002" s="1">
        <v>13</v>
      </c>
      <c r="T4002" s="1">
        <v>0</v>
      </c>
      <c r="U4002" s="1">
        <v>0</v>
      </c>
      <c r="V4002" s="1" t="str">
        <f t="shared" si="746"/>
        <v>里程返程</v>
      </c>
      <c r="W4002" s="1" t="str">
        <f t="shared" si="747"/>
        <v>2020</v>
      </c>
      <c r="X4002" s="1" t="s">
        <v>35</v>
      </c>
    </row>
    <row r="4003" spans="1:24" x14ac:dyDescent="0.3">
      <c r="A4003" s="1" t="str">
        <f t="shared" si="742"/>
        <v>59820</v>
      </c>
      <c r="B4003" s="1" t="s">
        <v>53</v>
      </c>
      <c r="C4003" s="1" t="s">
        <v>54</v>
      </c>
      <c r="D4003" s="1" t="str">
        <f t="shared" si="743"/>
        <v>9803</v>
      </c>
      <c r="E4003" s="1" t="s">
        <v>32</v>
      </c>
      <c r="F4003" s="1" t="str">
        <f>"1047105909"</f>
        <v>1047105909</v>
      </c>
      <c r="G4003" s="1" t="s">
        <v>26</v>
      </c>
      <c r="H4003" s="1" t="str">
        <f t="shared" si="740"/>
        <v>20220917</v>
      </c>
      <c r="I4003" s="1" t="str">
        <f>"162546"</f>
        <v>162546</v>
      </c>
      <c r="J4003" s="1" t="s">
        <v>46</v>
      </c>
      <c r="K4003" s="1" t="s">
        <v>28</v>
      </c>
      <c r="L4003" s="1" t="str">
        <f t="shared" si="741"/>
        <v>20220917</v>
      </c>
      <c r="M4003" s="1" t="str">
        <f>"163801"</f>
        <v>163801</v>
      </c>
      <c r="N4003" s="1" t="s">
        <v>28</v>
      </c>
      <c r="O4003" s="1" t="s">
        <v>28</v>
      </c>
      <c r="P4003" s="1" t="s">
        <v>55</v>
      </c>
      <c r="Q4003" s="1">
        <v>13</v>
      </c>
      <c r="R4003" s="1">
        <v>0</v>
      </c>
      <c r="S4003" s="1">
        <v>13</v>
      </c>
      <c r="T4003" s="1">
        <v>0</v>
      </c>
      <c r="U4003" s="1">
        <v>0</v>
      </c>
      <c r="V4003" s="1" t="str">
        <f t="shared" si="746"/>
        <v>里程返程</v>
      </c>
      <c r="W4003" s="1" t="str">
        <f t="shared" si="747"/>
        <v>2020</v>
      </c>
      <c r="X4003" s="1" t="s">
        <v>35</v>
      </c>
    </row>
    <row r="4004" spans="1:24" x14ac:dyDescent="0.3">
      <c r="A4004" s="1" t="str">
        <f t="shared" si="742"/>
        <v>59820</v>
      </c>
      <c r="B4004" s="1" t="s">
        <v>53</v>
      </c>
      <c r="C4004" s="1" t="s">
        <v>54</v>
      </c>
      <c r="D4004" s="1" t="str">
        <f t="shared" si="743"/>
        <v>9803</v>
      </c>
      <c r="E4004" s="1" t="s">
        <v>32</v>
      </c>
      <c r="F4004" s="1" t="str">
        <f>"1709069061"</f>
        <v>1709069061</v>
      </c>
      <c r="G4004" s="1" t="s">
        <v>33</v>
      </c>
      <c r="H4004" s="1" t="str">
        <f t="shared" si="740"/>
        <v>20220917</v>
      </c>
      <c r="I4004" s="1" t="str">
        <f>"172934"</f>
        <v>172934</v>
      </c>
      <c r="J4004" s="1" t="s">
        <v>34</v>
      </c>
      <c r="K4004" s="1" t="s">
        <v>34</v>
      </c>
      <c r="L4004" s="1" t="str">
        <f t="shared" si="741"/>
        <v>20220917</v>
      </c>
      <c r="M4004" s="1" t="str">
        <f>"174334"</f>
        <v>174334</v>
      </c>
      <c r="N4004" s="1" t="s">
        <v>46</v>
      </c>
      <c r="O4004" s="1" t="s">
        <v>28</v>
      </c>
      <c r="P4004" s="1" t="s">
        <v>55</v>
      </c>
      <c r="Q4004" s="1">
        <v>25</v>
      </c>
      <c r="R4004" s="1">
        <v>25</v>
      </c>
      <c r="S4004" s="1">
        <v>0</v>
      </c>
      <c r="T4004" s="1">
        <v>0</v>
      </c>
      <c r="U4004" s="1">
        <v>0</v>
      </c>
      <c r="V4004" s="1" t="str">
        <f t="shared" si="746"/>
        <v>里程返程</v>
      </c>
      <c r="W4004" s="1" t="str">
        <f t="shared" si="747"/>
        <v>2020</v>
      </c>
      <c r="X4004" s="1" t="s">
        <v>35</v>
      </c>
    </row>
    <row r="4005" spans="1:24" x14ac:dyDescent="0.3">
      <c r="A4005" s="1" t="str">
        <f t="shared" si="742"/>
        <v>59820</v>
      </c>
      <c r="B4005" s="1" t="s">
        <v>53</v>
      </c>
      <c r="C4005" s="1" t="s">
        <v>54</v>
      </c>
      <c r="D4005" s="1" t="str">
        <f t="shared" si="743"/>
        <v>9803</v>
      </c>
      <c r="E4005" s="1" t="s">
        <v>32</v>
      </c>
      <c r="F4005" s="1" t="str">
        <f>"985684133"</f>
        <v>985684133</v>
      </c>
      <c r="G4005" s="1" t="s">
        <v>33</v>
      </c>
      <c r="H4005" s="1" t="str">
        <f t="shared" si="740"/>
        <v>20220917</v>
      </c>
      <c r="I4005" s="1" t="str">
        <f>"172939"</f>
        <v>172939</v>
      </c>
      <c r="J4005" s="1" t="s">
        <v>34</v>
      </c>
      <c r="K4005" s="1" t="s">
        <v>34</v>
      </c>
      <c r="L4005" s="1" t="str">
        <f t="shared" si="741"/>
        <v>20220917</v>
      </c>
      <c r="M4005" s="1" t="str">
        <f>"174339"</f>
        <v>174339</v>
      </c>
      <c r="N4005" s="1" t="s">
        <v>46</v>
      </c>
      <c r="O4005" s="1" t="s">
        <v>28</v>
      </c>
      <c r="P4005" s="1" t="s">
        <v>55</v>
      </c>
      <c r="Q4005" s="1">
        <v>25</v>
      </c>
      <c r="R4005" s="1">
        <v>25</v>
      </c>
      <c r="S4005" s="1">
        <v>0</v>
      </c>
      <c r="T4005" s="1">
        <v>0</v>
      </c>
      <c r="U4005" s="1">
        <v>0</v>
      </c>
      <c r="V4005" s="1" t="str">
        <f t="shared" si="746"/>
        <v>里程返程</v>
      </c>
      <c r="W4005" s="1" t="str">
        <f>"2120"</f>
        <v>2120</v>
      </c>
      <c r="X4005" s="1" t="s">
        <v>35</v>
      </c>
    </row>
    <row r="4006" spans="1:24" x14ac:dyDescent="0.3">
      <c r="A4006" s="1" t="str">
        <f t="shared" si="742"/>
        <v>59820</v>
      </c>
      <c r="B4006" s="1" t="s">
        <v>53</v>
      </c>
      <c r="C4006" s="1" t="s">
        <v>54</v>
      </c>
      <c r="D4006" s="1" t="str">
        <f t="shared" si="743"/>
        <v>9803</v>
      </c>
      <c r="E4006" s="1" t="s">
        <v>32</v>
      </c>
      <c r="F4006" s="1" t="str">
        <f>"1632636128"</f>
        <v>1632636128</v>
      </c>
      <c r="G4006" s="1" t="s">
        <v>33</v>
      </c>
      <c r="H4006" s="1" t="str">
        <f t="shared" si="740"/>
        <v>20220917</v>
      </c>
      <c r="I4006" s="1" t="str">
        <f>"174346"</f>
        <v>174346</v>
      </c>
      <c r="J4006" s="1" t="s">
        <v>46</v>
      </c>
      <c r="K4006" s="1" t="s">
        <v>28</v>
      </c>
      <c r="L4006" s="1" t="str">
        <f t="shared" si="741"/>
        <v>20220917</v>
      </c>
      <c r="M4006" s="1" t="str">
        <f>"175924"</f>
        <v>175924</v>
      </c>
      <c r="N4006" s="1" t="s">
        <v>28</v>
      </c>
      <c r="O4006" s="1" t="s">
        <v>28</v>
      </c>
      <c r="P4006" s="1" t="s">
        <v>55</v>
      </c>
      <c r="Q4006" s="1">
        <v>25</v>
      </c>
      <c r="R4006" s="1">
        <v>25</v>
      </c>
      <c r="S4006" s="1">
        <v>0</v>
      </c>
      <c r="T4006" s="1">
        <v>0</v>
      </c>
      <c r="U4006" s="1">
        <v>0</v>
      </c>
      <c r="V4006" s="1" t="str">
        <f t="shared" si="746"/>
        <v>里程返程</v>
      </c>
      <c r="W4006" s="1" t="str">
        <f>"2020"</f>
        <v>2020</v>
      </c>
      <c r="X4006" s="1" t="s">
        <v>35</v>
      </c>
    </row>
    <row r="4007" spans="1:24" x14ac:dyDescent="0.3">
      <c r="A4007" s="1" t="str">
        <f t="shared" si="742"/>
        <v>59820</v>
      </c>
      <c r="B4007" s="1" t="s">
        <v>53</v>
      </c>
      <c r="C4007" s="1" t="s">
        <v>54</v>
      </c>
      <c r="D4007" s="1" t="str">
        <f t="shared" si="743"/>
        <v>9803</v>
      </c>
      <c r="E4007" s="1" t="s">
        <v>32</v>
      </c>
      <c r="F4007" s="1" t="str">
        <f>"F2D4DC02F8880400C834002000000015"</f>
        <v>F2D4DC02F8880400C834002000000015</v>
      </c>
      <c r="G4007" s="1" t="s">
        <v>58</v>
      </c>
      <c r="H4007" s="1" t="str">
        <f t="shared" si="740"/>
        <v>20220917</v>
      </c>
      <c r="I4007" s="1" t="str">
        <f>"174348"</f>
        <v>174348</v>
      </c>
      <c r="J4007" s="1" t="s">
        <v>46</v>
      </c>
      <c r="K4007" s="1" t="s">
        <v>28</v>
      </c>
      <c r="L4007" s="1" t="str">
        <f t="shared" si="741"/>
        <v>20220917</v>
      </c>
      <c r="M4007" s="1" t="str">
        <f>"175759"</f>
        <v>175759</v>
      </c>
      <c r="N4007" s="1" t="s">
        <v>95</v>
      </c>
      <c r="O4007" s="1" t="s">
        <v>28</v>
      </c>
      <c r="P4007" s="1" t="s">
        <v>55</v>
      </c>
      <c r="Q4007" s="1">
        <v>25</v>
      </c>
      <c r="R4007" s="1">
        <v>25</v>
      </c>
      <c r="S4007" s="1">
        <v>0</v>
      </c>
      <c r="T4007" s="1">
        <v>0</v>
      </c>
      <c r="U4007" s="1">
        <v>0</v>
      </c>
      <c r="V4007" s="1" t="str">
        <f t="shared" si="746"/>
        <v>里程返程</v>
      </c>
      <c r="W4007" s="1" t="str">
        <f>"0020"</f>
        <v>0020</v>
      </c>
      <c r="X4007" s="1" t="s">
        <v>29</v>
      </c>
    </row>
    <row r="4008" spans="1:24" x14ac:dyDescent="0.3">
      <c r="A4008" s="1" t="str">
        <f t="shared" si="742"/>
        <v>59820</v>
      </c>
      <c r="B4008" s="1" t="s">
        <v>53</v>
      </c>
      <c r="C4008" s="1" t="s">
        <v>54</v>
      </c>
      <c r="D4008" s="1" t="str">
        <f>"9805"</f>
        <v>9805</v>
      </c>
      <c r="E4008" s="1" t="s">
        <v>57</v>
      </c>
      <c r="F4008" s="1" t="str">
        <f>"B211381B80880400C817002000000021"</f>
        <v>B211381B80880400C817002000000021</v>
      </c>
      <c r="G4008" s="1" t="s">
        <v>59</v>
      </c>
      <c r="H4008" s="1" t="str">
        <f t="shared" si="740"/>
        <v>20220917</v>
      </c>
      <c r="I4008" s="1" t="str">
        <f>"181631"</f>
        <v>181631</v>
      </c>
      <c r="J4008" s="1" t="s">
        <v>52</v>
      </c>
      <c r="K4008" s="1" t="s">
        <v>52</v>
      </c>
      <c r="L4008" s="1" t="str">
        <f t="shared" si="741"/>
        <v>20220917</v>
      </c>
      <c r="M4008" s="1" t="str">
        <f>"183838"</f>
        <v>183838</v>
      </c>
      <c r="N4008" s="1" t="s">
        <v>28</v>
      </c>
      <c r="O4008" s="1" t="s">
        <v>28</v>
      </c>
      <c r="P4008" s="1" t="s">
        <v>55</v>
      </c>
      <c r="Q4008" s="1">
        <v>25</v>
      </c>
      <c r="R4008" s="1">
        <v>0</v>
      </c>
      <c r="S4008" s="1">
        <v>25</v>
      </c>
      <c r="T4008" s="1">
        <v>0</v>
      </c>
      <c r="U4008" s="1">
        <v>0</v>
      </c>
      <c r="V4008" s="1" t="str">
        <f t="shared" si="746"/>
        <v>里程返程</v>
      </c>
      <c r="W4008" s="1" t="str">
        <f>"2020"</f>
        <v>2020</v>
      </c>
      <c r="X4008" s="1" t="s">
        <v>29</v>
      </c>
    </row>
    <row r="4009" spans="1:24" x14ac:dyDescent="0.3">
      <c r="A4009" s="1" t="str">
        <f t="shared" ref="A4009:A4040" si="748">"59825"</f>
        <v>59825</v>
      </c>
      <c r="B4009" s="1" t="s">
        <v>30</v>
      </c>
      <c r="C4009" s="1" t="s">
        <v>31</v>
      </c>
      <c r="D4009" s="1" t="str">
        <f t="shared" ref="D4009:D4040" si="749">"9801"</f>
        <v>9801</v>
      </c>
      <c r="E4009" s="1" t="s">
        <v>25</v>
      </c>
      <c r="F4009" s="1" t="str">
        <f>"832913249"</f>
        <v>832913249</v>
      </c>
      <c r="G4009" s="1" t="s">
        <v>33</v>
      </c>
      <c r="H4009" s="1" t="str">
        <f t="shared" si="740"/>
        <v>20220917</v>
      </c>
      <c r="I4009" s="1" t="str">
        <f>"085639"</f>
        <v>085639</v>
      </c>
      <c r="J4009" s="1" t="s">
        <v>28</v>
      </c>
      <c r="K4009" s="1" t="s">
        <v>28</v>
      </c>
      <c r="L4009" s="1" t="str">
        <f t="shared" si="741"/>
        <v>20220917</v>
      </c>
      <c r="M4009" s="1" t="str">
        <f>"090455"</f>
        <v>090455</v>
      </c>
      <c r="N4009" s="1" t="s">
        <v>67</v>
      </c>
      <c r="O4009" s="1" t="s">
        <v>52</v>
      </c>
      <c r="P4009" s="1" t="s">
        <v>55</v>
      </c>
      <c r="Q4009" s="1">
        <v>25</v>
      </c>
      <c r="R4009" s="1">
        <v>25</v>
      </c>
      <c r="S4009" s="1">
        <v>0</v>
      </c>
      <c r="T4009" s="1">
        <v>0</v>
      </c>
      <c r="U4009" s="1">
        <v>0</v>
      </c>
      <c r="V4009" s="1" t="str">
        <f t="shared" si="746"/>
        <v>里程返程</v>
      </c>
      <c r="W4009" s="1" t="str">
        <f>"0320"</f>
        <v>0320</v>
      </c>
      <c r="X4009" s="1" t="s">
        <v>35</v>
      </c>
    </row>
    <row r="4010" spans="1:24" x14ac:dyDescent="0.3">
      <c r="A4010" s="1" t="str">
        <f t="shared" si="748"/>
        <v>59825</v>
      </c>
      <c r="B4010" s="1" t="s">
        <v>30</v>
      </c>
      <c r="C4010" s="1" t="s">
        <v>31</v>
      </c>
      <c r="D4010" s="1" t="str">
        <f t="shared" si="749"/>
        <v>9801</v>
      </c>
      <c r="E4010" s="1" t="s">
        <v>25</v>
      </c>
      <c r="F4010" s="1" t="str">
        <f>"C2E1D306F6880400C838002000000015"</f>
        <v>C2E1D306F6880400C838002000000015</v>
      </c>
      <c r="G4010" s="1" t="s">
        <v>26</v>
      </c>
      <c r="H4010" s="1" t="str">
        <f t="shared" si="740"/>
        <v>20220917</v>
      </c>
      <c r="I4010" s="1" t="str">
        <f>"085646"</f>
        <v>085646</v>
      </c>
      <c r="J4010" s="1" t="s">
        <v>28</v>
      </c>
      <c r="K4010" s="1" t="s">
        <v>28</v>
      </c>
      <c r="L4010" s="1" t="str">
        <f t="shared" si="741"/>
        <v>20220917</v>
      </c>
      <c r="M4010" s="1" t="str">
        <f>"092040"</f>
        <v>092040</v>
      </c>
      <c r="N4010" s="1" t="s">
        <v>60</v>
      </c>
      <c r="O4010" s="1" t="s">
        <v>52</v>
      </c>
      <c r="P4010" s="1" t="s">
        <v>68</v>
      </c>
      <c r="Q4010" s="1">
        <v>13</v>
      </c>
      <c r="R4010" s="1">
        <v>0</v>
      </c>
      <c r="S4010" s="1">
        <v>0</v>
      </c>
      <c r="T4010" s="1">
        <v>13</v>
      </c>
      <c r="U4010" s="1">
        <v>0</v>
      </c>
      <c r="V4010" s="1" t="str">
        <f t="shared" si="746"/>
        <v>里程返程</v>
      </c>
      <c r="W4010" s="1" t="str">
        <f>"0020"</f>
        <v>0020</v>
      </c>
      <c r="X4010" s="1" t="s">
        <v>29</v>
      </c>
    </row>
    <row r="4011" spans="1:24" x14ac:dyDescent="0.3">
      <c r="A4011" s="1" t="str">
        <f t="shared" si="748"/>
        <v>59825</v>
      </c>
      <c r="B4011" s="1" t="s">
        <v>30</v>
      </c>
      <c r="C4011" s="1" t="s">
        <v>31</v>
      </c>
      <c r="D4011" s="1" t="str">
        <f t="shared" si="749"/>
        <v>9801</v>
      </c>
      <c r="E4011" s="1" t="s">
        <v>25</v>
      </c>
      <c r="F4011" s="1" t="str">
        <f>"D2BD0A187D880400C814002000000019"</f>
        <v>D2BD0A187D880400C814002000000019</v>
      </c>
      <c r="G4011" s="1" t="s">
        <v>59</v>
      </c>
      <c r="H4011" s="1" t="str">
        <f t="shared" si="740"/>
        <v>20220917</v>
      </c>
      <c r="I4011" s="1" t="str">
        <f>"092746"</f>
        <v>092746</v>
      </c>
      <c r="J4011" s="1" t="s">
        <v>44</v>
      </c>
      <c r="K4011" s="1" t="s">
        <v>45</v>
      </c>
      <c r="L4011" s="1" t="str">
        <f t="shared" si="741"/>
        <v>20220917</v>
      </c>
      <c r="M4011" s="1" t="str">
        <f>"095501"</f>
        <v>095501</v>
      </c>
      <c r="N4011" s="1" t="s">
        <v>28</v>
      </c>
      <c r="O4011" s="1" t="s">
        <v>28</v>
      </c>
      <c r="P4011" s="1" t="s">
        <v>55</v>
      </c>
      <c r="Q4011" s="1">
        <v>25</v>
      </c>
      <c r="R4011" s="1">
        <v>0</v>
      </c>
      <c r="S4011" s="1">
        <v>25</v>
      </c>
      <c r="T4011" s="1">
        <v>0</v>
      </c>
      <c r="U4011" s="1">
        <v>0</v>
      </c>
      <c r="V4011" s="1" t="str">
        <f t="shared" si="746"/>
        <v>里程返程</v>
      </c>
      <c r="W4011" s="1" t="str">
        <f>"1120"</f>
        <v>1120</v>
      </c>
      <c r="X4011" s="1" t="s">
        <v>29</v>
      </c>
    </row>
    <row r="4012" spans="1:24" x14ac:dyDescent="0.3">
      <c r="A4012" s="1" t="str">
        <f t="shared" si="748"/>
        <v>59825</v>
      </c>
      <c r="B4012" s="1" t="s">
        <v>30</v>
      </c>
      <c r="C4012" s="1" t="s">
        <v>31</v>
      </c>
      <c r="D4012" s="1" t="str">
        <f t="shared" si="749"/>
        <v>9801</v>
      </c>
      <c r="E4012" s="1" t="s">
        <v>25</v>
      </c>
      <c r="F4012" s="1" t="str">
        <f>"22151E173E880400C814002000000019"</f>
        <v>22151E173E880400C814002000000019</v>
      </c>
      <c r="G4012" s="1" t="s">
        <v>58</v>
      </c>
      <c r="H4012" s="1" t="str">
        <f t="shared" si="740"/>
        <v>20220917</v>
      </c>
      <c r="I4012" s="1" t="str">
        <f>"092748"</f>
        <v>092748</v>
      </c>
      <c r="J4012" s="1" t="s">
        <v>44</v>
      </c>
      <c r="K4012" s="1" t="s">
        <v>45</v>
      </c>
      <c r="L4012" s="1" t="str">
        <f t="shared" si="741"/>
        <v>20220917</v>
      </c>
      <c r="M4012" s="1" t="str">
        <f>"095504"</f>
        <v>095504</v>
      </c>
      <c r="N4012" s="1" t="s">
        <v>28</v>
      </c>
      <c r="O4012" s="1" t="s">
        <v>28</v>
      </c>
      <c r="P4012" s="1" t="s">
        <v>55</v>
      </c>
      <c r="Q4012" s="1">
        <v>25</v>
      </c>
      <c r="R4012" s="1">
        <v>0</v>
      </c>
      <c r="S4012" s="1">
        <v>25</v>
      </c>
      <c r="T4012" s="1">
        <v>0</v>
      </c>
      <c r="U4012" s="1">
        <v>0</v>
      </c>
      <c r="V4012" s="1" t="str">
        <f t="shared" si="746"/>
        <v>里程返程</v>
      </c>
      <c r="W4012" s="1" t="str">
        <f>"1120"</f>
        <v>1120</v>
      </c>
      <c r="X4012" s="1" t="s">
        <v>29</v>
      </c>
    </row>
    <row r="4013" spans="1:24" x14ac:dyDescent="0.3">
      <c r="A4013" s="1" t="str">
        <f t="shared" si="748"/>
        <v>59825</v>
      </c>
      <c r="B4013" s="1" t="s">
        <v>30</v>
      </c>
      <c r="C4013" s="1" t="s">
        <v>31</v>
      </c>
      <c r="D4013" s="1" t="str">
        <f t="shared" si="749"/>
        <v>9801</v>
      </c>
      <c r="E4013" s="1" t="s">
        <v>25</v>
      </c>
      <c r="F4013" s="1" t="str">
        <f>"201021253"</f>
        <v>201021253</v>
      </c>
      <c r="G4013" s="1" t="s">
        <v>33</v>
      </c>
      <c r="H4013" s="1" t="str">
        <f t="shared" si="740"/>
        <v>20220917</v>
      </c>
      <c r="I4013" s="1" t="str">
        <f>"092753"</f>
        <v>092753</v>
      </c>
      <c r="J4013" s="1" t="s">
        <v>44</v>
      </c>
      <c r="K4013" s="1" t="s">
        <v>45</v>
      </c>
      <c r="L4013" s="1" t="str">
        <f t="shared" si="741"/>
        <v>20220917</v>
      </c>
      <c r="M4013" s="1" t="str">
        <f>"094455"</f>
        <v>094455</v>
      </c>
      <c r="N4013" s="1" t="s">
        <v>45</v>
      </c>
      <c r="O4013" s="1" t="s">
        <v>45</v>
      </c>
      <c r="P4013" s="1" t="s">
        <v>55</v>
      </c>
      <c r="Q4013" s="1">
        <v>25</v>
      </c>
      <c r="R4013" s="1">
        <v>25</v>
      </c>
      <c r="S4013" s="1">
        <v>0</v>
      </c>
      <c r="T4013" s="1">
        <v>0</v>
      </c>
      <c r="U4013" s="1">
        <v>0</v>
      </c>
      <c r="V4013" s="1" t="str">
        <f t="shared" si="746"/>
        <v>里程返程</v>
      </c>
      <c r="W4013" s="1" t="str">
        <f>"0120"</f>
        <v>0120</v>
      </c>
      <c r="X4013" s="1" t="s">
        <v>35</v>
      </c>
    </row>
    <row r="4014" spans="1:24" x14ac:dyDescent="0.3">
      <c r="A4014" s="1" t="str">
        <f t="shared" si="748"/>
        <v>59825</v>
      </c>
      <c r="B4014" s="1" t="s">
        <v>30</v>
      </c>
      <c r="C4014" s="1" t="s">
        <v>31</v>
      </c>
      <c r="D4014" s="1" t="str">
        <f t="shared" si="749"/>
        <v>9801</v>
      </c>
      <c r="E4014" s="1" t="s">
        <v>25</v>
      </c>
      <c r="F4014" s="1" t="str">
        <f>"780851553"</f>
        <v>780851553</v>
      </c>
      <c r="G4014" s="1" t="s">
        <v>26</v>
      </c>
      <c r="H4014" s="1" t="str">
        <f t="shared" si="740"/>
        <v>20220917</v>
      </c>
      <c r="I4014" s="1" t="str">
        <f>"092757"</f>
        <v>092757</v>
      </c>
      <c r="J4014" s="1" t="s">
        <v>44</v>
      </c>
      <c r="K4014" s="1" t="s">
        <v>45</v>
      </c>
      <c r="L4014" s="1" t="str">
        <f t="shared" si="741"/>
        <v>20220917</v>
      </c>
      <c r="M4014" s="1" t="str">
        <f>"094331"</f>
        <v>094331</v>
      </c>
      <c r="N4014" s="1" t="s">
        <v>45</v>
      </c>
      <c r="O4014" s="1" t="s">
        <v>45</v>
      </c>
      <c r="P4014" s="1" t="s">
        <v>55</v>
      </c>
      <c r="Q4014" s="1">
        <v>13</v>
      </c>
      <c r="R4014" s="1">
        <v>13</v>
      </c>
      <c r="S4014" s="1">
        <v>0</v>
      </c>
      <c r="T4014" s="1">
        <v>0</v>
      </c>
      <c r="U4014" s="1">
        <v>0</v>
      </c>
      <c r="V4014" s="1" t="str">
        <f t="shared" si="746"/>
        <v>里程返程</v>
      </c>
      <c r="W4014" s="1" t="str">
        <f>"0120"</f>
        <v>0120</v>
      </c>
      <c r="X4014" s="1" t="s">
        <v>35</v>
      </c>
    </row>
    <row r="4015" spans="1:24" x14ac:dyDescent="0.3">
      <c r="A4015" s="1" t="str">
        <f t="shared" si="748"/>
        <v>59825</v>
      </c>
      <c r="B4015" s="1" t="s">
        <v>30</v>
      </c>
      <c r="C4015" s="1" t="s">
        <v>31</v>
      </c>
      <c r="D4015" s="1" t="str">
        <f t="shared" si="749"/>
        <v>9801</v>
      </c>
      <c r="E4015" s="1" t="s">
        <v>25</v>
      </c>
      <c r="F4015" s="1" t="str">
        <f>"1745389445"</f>
        <v>1745389445</v>
      </c>
      <c r="G4015" s="1" t="s">
        <v>74</v>
      </c>
      <c r="H4015" s="1" t="str">
        <f t="shared" si="740"/>
        <v>20220917</v>
      </c>
      <c r="I4015" s="1" t="str">
        <f>"092801"</f>
        <v>092801</v>
      </c>
      <c r="J4015" s="1" t="s">
        <v>44</v>
      </c>
      <c r="K4015" s="1" t="s">
        <v>45</v>
      </c>
      <c r="L4015" s="1" t="str">
        <f t="shared" si="741"/>
        <v>20220917</v>
      </c>
      <c r="M4015" s="1" t="str">
        <f>"095506"</f>
        <v>095506</v>
      </c>
      <c r="N4015" s="1" t="s">
        <v>28</v>
      </c>
      <c r="O4015" s="1" t="s">
        <v>28</v>
      </c>
      <c r="P4015" s="1" t="s">
        <v>55</v>
      </c>
      <c r="Q4015" s="1">
        <v>13</v>
      </c>
      <c r="R4015" s="1">
        <v>13</v>
      </c>
      <c r="S4015" s="1">
        <v>0</v>
      </c>
      <c r="T4015" s="1">
        <v>0</v>
      </c>
      <c r="U4015" s="1">
        <v>0</v>
      </c>
      <c r="V4015" s="1" t="str">
        <f t="shared" si="746"/>
        <v>里程返程</v>
      </c>
      <c r="W4015" s="1" t="str">
        <f>"2020"</f>
        <v>2020</v>
      </c>
      <c r="X4015" s="1" t="s">
        <v>35</v>
      </c>
    </row>
    <row r="4016" spans="1:24" x14ac:dyDescent="0.3">
      <c r="A4016" s="1" t="str">
        <f t="shared" si="748"/>
        <v>59825</v>
      </c>
      <c r="B4016" s="1" t="s">
        <v>30</v>
      </c>
      <c r="C4016" s="1" t="s">
        <v>31</v>
      </c>
      <c r="D4016" s="1" t="str">
        <f t="shared" si="749"/>
        <v>9801</v>
      </c>
      <c r="E4016" s="1" t="s">
        <v>25</v>
      </c>
      <c r="F4016" s="1" t="str">
        <f>"F13B475DD08804004325C3F9000E0C0F"</f>
        <v>F13B475DD08804004325C3F9000E0C0F</v>
      </c>
      <c r="G4016" s="1" t="s">
        <v>64</v>
      </c>
      <c r="H4016" s="1" t="str">
        <f t="shared" si="740"/>
        <v>20220917</v>
      </c>
      <c r="I4016" s="1" t="str">
        <f>"095515"</f>
        <v>095515</v>
      </c>
      <c r="J4016" s="1" t="s">
        <v>28</v>
      </c>
      <c r="K4016" s="1" t="s">
        <v>28</v>
      </c>
      <c r="L4016" s="1" t="str">
        <f t="shared" si="741"/>
        <v>20220917</v>
      </c>
      <c r="M4016" s="1" t="str">
        <f>"101714"</f>
        <v>101714</v>
      </c>
      <c r="N4016" s="1" t="s">
        <v>65</v>
      </c>
      <c r="O4016" s="1" t="s">
        <v>52</v>
      </c>
      <c r="P4016" s="1" t="s">
        <v>55</v>
      </c>
      <c r="Q4016" s="1">
        <v>13</v>
      </c>
      <c r="R4016" s="1">
        <v>13</v>
      </c>
      <c r="S4016" s="1">
        <v>0</v>
      </c>
      <c r="T4016" s="1">
        <v>0</v>
      </c>
      <c r="U4016" s="1">
        <v>0</v>
      </c>
      <c r="V4016" s="1" t="str">
        <f t="shared" si="746"/>
        <v>里程返程</v>
      </c>
      <c r="W4016" s="1" t="str">
        <f t="shared" ref="W4016:W4021" si="750">"0020"</f>
        <v>0020</v>
      </c>
      <c r="X4016" s="1" t="s">
        <v>29</v>
      </c>
    </row>
    <row r="4017" spans="1:24" x14ac:dyDescent="0.3">
      <c r="A4017" s="1" t="str">
        <f t="shared" si="748"/>
        <v>59825</v>
      </c>
      <c r="B4017" s="1" t="s">
        <v>30</v>
      </c>
      <c r="C4017" s="1" t="s">
        <v>31</v>
      </c>
      <c r="D4017" s="1" t="str">
        <f t="shared" si="749"/>
        <v>9801</v>
      </c>
      <c r="E4017" s="1" t="s">
        <v>25</v>
      </c>
      <c r="F4017" s="1" t="str">
        <f>"92643E18D0880400C819002000000019"</f>
        <v>92643E18D0880400C819002000000019</v>
      </c>
      <c r="G4017" s="1" t="s">
        <v>64</v>
      </c>
      <c r="H4017" s="1" t="str">
        <f t="shared" si="740"/>
        <v>20220917</v>
      </c>
      <c r="I4017" s="1" t="str">
        <f>"095520"</f>
        <v>095520</v>
      </c>
      <c r="J4017" s="1" t="s">
        <v>28</v>
      </c>
      <c r="K4017" s="1" t="s">
        <v>28</v>
      </c>
      <c r="L4017" s="1" t="str">
        <f t="shared" si="741"/>
        <v>20220917</v>
      </c>
      <c r="M4017" s="1" t="str">
        <f>"102348"</f>
        <v>102348</v>
      </c>
      <c r="N4017" s="1" t="s">
        <v>60</v>
      </c>
      <c r="O4017" s="1" t="s">
        <v>52</v>
      </c>
      <c r="P4017" s="1" t="s">
        <v>55</v>
      </c>
      <c r="Q4017" s="1">
        <v>13</v>
      </c>
      <c r="R4017" s="1">
        <v>13</v>
      </c>
      <c r="S4017" s="1">
        <v>0</v>
      </c>
      <c r="T4017" s="1">
        <v>0</v>
      </c>
      <c r="U4017" s="1">
        <v>0</v>
      </c>
      <c r="V4017" s="1" t="str">
        <f t="shared" si="746"/>
        <v>里程返程</v>
      </c>
      <c r="W4017" s="1" t="str">
        <f t="shared" si="750"/>
        <v>0020</v>
      </c>
      <c r="X4017" s="1" t="s">
        <v>29</v>
      </c>
    </row>
    <row r="4018" spans="1:24" x14ac:dyDescent="0.3">
      <c r="A4018" s="1" t="str">
        <f t="shared" si="748"/>
        <v>59825</v>
      </c>
      <c r="B4018" s="1" t="s">
        <v>30</v>
      </c>
      <c r="C4018" s="1" t="s">
        <v>31</v>
      </c>
      <c r="D4018" s="1" t="str">
        <f t="shared" si="749"/>
        <v>9801</v>
      </c>
      <c r="E4018" s="1" t="s">
        <v>25</v>
      </c>
      <c r="F4018" s="1" t="str">
        <f>"8221E70246880400C834002000000015"</f>
        <v>8221E70246880400C834002000000015</v>
      </c>
      <c r="G4018" s="1" t="s">
        <v>74</v>
      </c>
      <c r="H4018" s="1" t="str">
        <f t="shared" si="740"/>
        <v>20220917</v>
      </c>
      <c r="I4018" s="1" t="str">
        <f>"095536"</f>
        <v>095536</v>
      </c>
      <c r="J4018" s="1" t="s">
        <v>28</v>
      </c>
      <c r="K4018" s="1" t="s">
        <v>28</v>
      </c>
      <c r="L4018" s="1" t="str">
        <f t="shared" si="741"/>
        <v>20220917</v>
      </c>
      <c r="M4018" s="1" t="str">
        <f>"102410"</f>
        <v>102410</v>
      </c>
      <c r="N4018" s="1" t="s">
        <v>60</v>
      </c>
      <c r="O4018" s="1" t="s">
        <v>52</v>
      </c>
      <c r="P4018" s="1" t="s">
        <v>68</v>
      </c>
      <c r="Q4018" s="1">
        <v>13</v>
      </c>
      <c r="R4018" s="1">
        <v>0</v>
      </c>
      <c r="S4018" s="1">
        <v>0</v>
      </c>
      <c r="T4018" s="1">
        <v>13</v>
      </c>
      <c r="U4018" s="1">
        <v>0</v>
      </c>
      <c r="V4018" s="1" t="str">
        <f t="shared" si="746"/>
        <v>里程返程</v>
      </c>
      <c r="W4018" s="1" t="str">
        <f t="shared" si="750"/>
        <v>0020</v>
      </c>
      <c r="X4018" s="1" t="s">
        <v>29</v>
      </c>
    </row>
    <row r="4019" spans="1:24" x14ac:dyDescent="0.3">
      <c r="A4019" s="1" t="str">
        <f t="shared" si="748"/>
        <v>59825</v>
      </c>
      <c r="B4019" s="1" t="s">
        <v>30</v>
      </c>
      <c r="C4019" s="1" t="s">
        <v>31</v>
      </c>
      <c r="D4019" s="1" t="str">
        <f t="shared" si="749"/>
        <v>9801</v>
      </c>
      <c r="E4019" s="1" t="s">
        <v>25</v>
      </c>
      <c r="F4019" s="1" t="str">
        <f>"6170065D4A8804004325C3F900040C0F"</f>
        <v>6170065D4A8804004325C3F900040C0F</v>
      </c>
      <c r="G4019" s="1" t="s">
        <v>64</v>
      </c>
      <c r="H4019" s="1" t="str">
        <f t="shared" si="740"/>
        <v>20220917</v>
      </c>
      <c r="I4019" s="1" t="str">
        <f>"095544"</f>
        <v>095544</v>
      </c>
      <c r="J4019" s="1" t="s">
        <v>28</v>
      </c>
      <c r="K4019" s="1" t="s">
        <v>28</v>
      </c>
      <c r="L4019" s="1" t="str">
        <f t="shared" si="741"/>
        <v>20220917</v>
      </c>
      <c r="M4019" s="1" t="str">
        <f>"101135"</f>
        <v>101135</v>
      </c>
      <c r="N4019" s="1" t="s">
        <v>77</v>
      </c>
      <c r="O4019" s="1" t="s">
        <v>52</v>
      </c>
      <c r="P4019" s="1" t="s">
        <v>55</v>
      </c>
      <c r="Q4019" s="1">
        <v>13</v>
      </c>
      <c r="R4019" s="1">
        <v>13</v>
      </c>
      <c r="S4019" s="1">
        <v>0</v>
      </c>
      <c r="T4019" s="1">
        <v>0</v>
      </c>
      <c r="U4019" s="1">
        <v>0</v>
      </c>
      <c r="V4019" s="1" t="str">
        <f t="shared" si="746"/>
        <v>里程返程</v>
      </c>
      <c r="W4019" s="1" t="str">
        <f t="shared" si="750"/>
        <v>0020</v>
      </c>
      <c r="X4019" s="1" t="s">
        <v>29</v>
      </c>
    </row>
    <row r="4020" spans="1:24" x14ac:dyDescent="0.3">
      <c r="A4020" s="1" t="str">
        <f t="shared" si="748"/>
        <v>59825</v>
      </c>
      <c r="B4020" s="1" t="s">
        <v>30</v>
      </c>
      <c r="C4020" s="1" t="s">
        <v>31</v>
      </c>
      <c r="D4020" s="1" t="str">
        <f t="shared" si="749"/>
        <v>9801</v>
      </c>
      <c r="E4020" s="1" t="s">
        <v>25</v>
      </c>
      <c r="F4020" s="1" t="str">
        <f>"C1263F65BD8804004325CC9400040C0F"</f>
        <v>C1263F65BD8804004325CC9400040C0F</v>
      </c>
      <c r="G4020" s="1" t="s">
        <v>64</v>
      </c>
      <c r="H4020" s="1" t="str">
        <f t="shared" si="740"/>
        <v>20220917</v>
      </c>
      <c r="I4020" s="1" t="str">
        <f>"095548"</f>
        <v>095548</v>
      </c>
      <c r="J4020" s="1" t="s">
        <v>28</v>
      </c>
      <c r="K4020" s="1" t="s">
        <v>28</v>
      </c>
      <c r="L4020" s="1" t="str">
        <f t="shared" si="741"/>
        <v>20220917</v>
      </c>
      <c r="M4020" s="1" t="str">
        <f>"101128"</f>
        <v>101128</v>
      </c>
      <c r="N4020" s="1" t="s">
        <v>77</v>
      </c>
      <c r="O4020" s="1" t="s">
        <v>52</v>
      </c>
      <c r="P4020" s="1" t="s">
        <v>55</v>
      </c>
      <c r="Q4020" s="1">
        <v>13</v>
      </c>
      <c r="R4020" s="1">
        <v>13</v>
      </c>
      <c r="S4020" s="1">
        <v>0</v>
      </c>
      <c r="T4020" s="1">
        <v>0</v>
      </c>
      <c r="U4020" s="1">
        <v>0</v>
      </c>
      <c r="V4020" s="1" t="str">
        <f t="shared" si="746"/>
        <v>里程返程</v>
      </c>
      <c r="W4020" s="1" t="str">
        <f t="shared" si="750"/>
        <v>0020</v>
      </c>
      <c r="X4020" s="1" t="s">
        <v>29</v>
      </c>
    </row>
    <row r="4021" spans="1:24" x14ac:dyDescent="0.3">
      <c r="A4021" s="1" t="str">
        <f t="shared" si="748"/>
        <v>59825</v>
      </c>
      <c r="B4021" s="1" t="s">
        <v>30</v>
      </c>
      <c r="C4021" s="1" t="s">
        <v>31</v>
      </c>
      <c r="D4021" s="1" t="str">
        <f t="shared" si="749"/>
        <v>9801</v>
      </c>
      <c r="E4021" s="1" t="s">
        <v>25</v>
      </c>
      <c r="F4021" s="1" t="str">
        <f>"A239F5056B880400C838002000000015"</f>
        <v>A239F5056B880400C838002000000015</v>
      </c>
      <c r="G4021" s="1" t="s">
        <v>26</v>
      </c>
      <c r="H4021" s="1" t="str">
        <f t="shared" si="740"/>
        <v>20220917</v>
      </c>
      <c r="I4021" s="1" t="str">
        <f>"100641"</f>
        <v>100641</v>
      </c>
      <c r="J4021" s="1" t="s">
        <v>67</v>
      </c>
      <c r="K4021" s="1" t="s">
        <v>52</v>
      </c>
      <c r="L4021" s="1" t="str">
        <f t="shared" si="741"/>
        <v>20220917</v>
      </c>
      <c r="M4021" s="1" t="str">
        <f>"102638"</f>
        <v>102638</v>
      </c>
      <c r="N4021" s="1" t="s">
        <v>86</v>
      </c>
      <c r="O4021" s="1" t="s">
        <v>52</v>
      </c>
      <c r="P4021" s="1" t="s">
        <v>68</v>
      </c>
      <c r="Q4021" s="1">
        <v>13</v>
      </c>
      <c r="R4021" s="1">
        <v>0</v>
      </c>
      <c r="S4021" s="1">
        <v>0</v>
      </c>
      <c r="T4021" s="1">
        <v>13</v>
      </c>
      <c r="U4021" s="1">
        <v>0</v>
      </c>
      <c r="V4021" s="1" t="str">
        <f t="shared" si="746"/>
        <v>里程返程</v>
      </c>
      <c r="W4021" s="1" t="str">
        <f t="shared" si="750"/>
        <v>0020</v>
      </c>
      <c r="X4021" s="1" t="s">
        <v>29</v>
      </c>
    </row>
    <row r="4022" spans="1:24" x14ac:dyDescent="0.3">
      <c r="A4022" s="1" t="str">
        <f t="shared" si="748"/>
        <v>59825</v>
      </c>
      <c r="B4022" s="1" t="s">
        <v>30</v>
      </c>
      <c r="C4022" s="1" t="s">
        <v>31</v>
      </c>
      <c r="D4022" s="1" t="str">
        <f t="shared" si="749"/>
        <v>9801</v>
      </c>
      <c r="E4022" s="1" t="s">
        <v>25</v>
      </c>
      <c r="F4022" s="1" t="str">
        <f>"788224705"</f>
        <v>788224705</v>
      </c>
      <c r="G4022" s="1" t="s">
        <v>33</v>
      </c>
      <c r="H4022" s="1" t="str">
        <f t="shared" si="740"/>
        <v>20220917</v>
      </c>
      <c r="I4022" s="1" t="str">
        <f>"103550"</f>
        <v>103550</v>
      </c>
      <c r="J4022" s="1" t="s">
        <v>100</v>
      </c>
      <c r="K4022" s="1" t="s">
        <v>45</v>
      </c>
      <c r="L4022" s="1" t="str">
        <f t="shared" si="741"/>
        <v>20220917</v>
      </c>
      <c r="M4022" s="1" t="str">
        <f>"105346"</f>
        <v>105346</v>
      </c>
      <c r="N4022" s="1" t="s">
        <v>28</v>
      </c>
      <c r="O4022" s="1" t="s">
        <v>28</v>
      </c>
      <c r="P4022" s="1" t="s">
        <v>55</v>
      </c>
      <c r="Q4022" s="1">
        <v>25</v>
      </c>
      <c r="R4022" s="1">
        <v>25</v>
      </c>
      <c r="S4022" s="1">
        <v>0</v>
      </c>
      <c r="T4022" s="1">
        <v>0</v>
      </c>
      <c r="U4022" s="1">
        <v>0</v>
      </c>
      <c r="V4022" s="1" t="str">
        <f t="shared" si="746"/>
        <v>里程返程</v>
      </c>
      <c r="W4022" s="1" t="str">
        <f>"1920"</f>
        <v>1920</v>
      </c>
      <c r="X4022" s="1" t="s">
        <v>35</v>
      </c>
    </row>
    <row r="4023" spans="1:24" x14ac:dyDescent="0.3">
      <c r="A4023" s="1" t="str">
        <f t="shared" si="748"/>
        <v>59825</v>
      </c>
      <c r="B4023" s="1" t="s">
        <v>30</v>
      </c>
      <c r="C4023" s="1" t="s">
        <v>31</v>
      </c>
      <c r="D4023" s="1" t="str">
        <f t="shared" si="749"/>
        <v>9801</v>
      </c>
      <c r="E4023" s="1" t="s">
        <v>25</v>
      </c>
      <c r="F4023" s="1" t="str">
        <f>"E2B89917D4880400C814002000000019"</f>
        <v>E2B89917D4880400C814002000000019</v>
      </c>
      <c r="G4023" s="1" t="s">
        <v>59</v>
      </c>
      <c r="H4023" s="1" t="str">
        <f t="shared" si="740"/>
        <v>20220917</v>
      </c>
      <c r="I4023" s="1" t="str">
        <f>"105353"</f>
        <v>105353</v>
      </c>
      <c r="J4023" s="1" t="s">
        <v>28</v>
      </c>
      <c r="K4023" s="1" t="s">
        <v>28</v>
      </c>
      <c r="L4023" s="1" t="str">
        <f t="shared" si="741"/>
        <v>20220917</v>
      </c>
      <c r="M4023" s="1" t="str">
        <f>"112345"</f>
        <v>112345</v>
      </c>
      <c r="N4023" s="1" t="s">
        <v>52</v>
      </c>
      <c r="O4023" s="1" t="s">
        <v>52</v>
      </c>
      <c r="P4023" s="1" t="s">
        <v>55</v>
      </c>
      <c r="Q4023" s="1">
        <v>25</v>
      </c>
      <c r="R4023" s="1">
        <v>25</v>
      </c>
      <c r="S4023" s="1">
        <v>0</v>
      </c>
      <c r="T4023" s="1">
        <v>0</v>
      </c>
      <c r="U4023" s="1">
        <v>0</v>
      </c>
      <c r="V4023" s="1" t="str">
        <f t="shared" si="746"/>
        <v>里程返程</v>
      </c>
      <c r="W4023" s="1" t="str">
        <f>"0020"</f>
        <v>0020</v>
      </c>
      <c r="X4023" s="1" t="s">
        <v>29</v>
      </c>
    </row>
    <row r="4024" spans="1:24" x14ac:dyDescent="0.3">
      <c r="A4024" s="1" t="str">
        <f t="shared" si="748"/>
        <v>59825</v>
      </c>
      <c r="B4024" s="1" t="s">
        <v>30</v>
      </c>
      <c r="C4024" s="1" t="s">
        <v>31</v>
      </c>
      <c r="D4024" s="1" t="str">
        <f t="shared" si="749"/>
        <v>9801</v>
      </c>
      <c r="E4024" s="1" t="s">
        <v>25</v>
      </c>
      <c r="F4024" s="1" t="str">
        <f>"02B9E6025F880400C834002000000015"</f>
        <v>02B9E6025F880400C834002000000015</v>
      </c>
      <c r="G4024" s="1" t="s">
        <v>74</v>
      </c>
      <c r="H4024" s="1" t="str">
        <f t="shared" si="740"/>
        <v>20220917</v>
      </c>
      <c r="I4024" s="1" t="str">
        <f>"105401"</f>
        <v>105401</v>
      </c>
      <c r="J4024" s="1" t="s">
        <v>28</v>
      </c>
      <c r="K4024" s="1" t="s">
        <v>28</v>
      </c>
      <c r="L4024" s="1" t="str">
        <f t="shared" si="741"/>
        <v>20220917</v>
      </c>
      <c r="M4024" s="1" t="str">
        <f>"112341"</f>
        <v>112341</v>
      </c>
      <c r="N4024" s="1" t="s">
        <v>52</v>
      </c>
      <c r="O4024" s="1" t="s">
        <v>52</v>
      </c>
      <c r="P4024" s="1" t="s">
        <v>68</v>
      </c>
      <c r="Q4024" s="1">
        <v>13</v>
      </c>
      <c r="R4024" s="1">
        <v>0</v>
      </c>
      <c r="S4024" s="1">
        <v>0</v>
      </c>
      <c r="T4024" s="1">
        <v>13</v>
      </c>
      <c r="U4024" s="1">
        <v>0</v>
      </c>
      <c r="V4024" s="1" t="str">
        <f t="shared" si="746"/>
        <v>里程返程</v>
      </c>
      <c r="W4024" s="1" t="str">
        <f>"0020"</f>
        <v>0020</v>
      </c>
      <c r="X4024" s="1" t="s">
        <v>29</v>
      </c>
    </row>
    <row r="4025" spans="1:24" x14ac:dyDescent="0.3">
      <c r="A4025" s="1" t="str">
        <f t="shared" si="748"/>
        <v>59825</v>
      </c>
      <c r="B4025" s="1" t="s">
        <v>30</v>
      </c>
      <c r="C4025" s="1" t="s">
        <v>31</v>
      </c>
      <c r="D4025" s="1" t="str">
        <f t="shared" si="749"/>
        <v>9801</v>
      </c>
      <c r="E4025" s="1" t="s">
        <v>25</v>
      </c>
      <c r="F4025" s="1" t="str">
        <f>"1580264113"</f>
        <v>1580264113</v>
      </c>
      <c r="G4025" s="1" t="s">
        <v>33</v>
      </c>
      <c r="H4025" s="1" t="str">
        <f t="shared" si="740"/>
        <v>20220917</v>
      </c>
      <c r="I4025" s="1" t="str">
        <f>"105455"</f>
        <v>105455</v>
      </c>
      <c r="J4025" s="1" t="s">
        <v>28</v>
      </c>
      <c r="K4025" s="1" t="s">
        <v>28</v>
      </c>
      <c r="L4025" s="1" t="str">
        <f t="shared" si="741"/>
        <v>20220917</v>
      </c>
      <c r="M4025" s="1" t="str">
        <f>"112348"</f>
        <v>112348</v>
      </c>
      <c r="N4025" s="1" t="s">
        <v>52</v>
      </c>
      <c r="O4025" s="1" t="s">
        <v>52</v>
      </c>
      <c r="P4025" s="1" t="s">
        <v>55</v>
      </c>
      <c r="Q4025" s="1">
        <v>25</v>
      </c>
      <c r="R4025" s="1">
        <v>0</v>
      </c>
      <c r="S4025" s="1">
        <v>25</v>
      </c>
      <c r="T4025" s="1">
        <v>0</v>
      </c>
      <c r="U4025" s="1">
        <v>0</v>
      </c>
      <c r="V4025" s="1" t="str">
        <f t="shared" si="746"/>
        <v>里程返程</v>
      </c>
      <c r="W4025" s="1" t="str">
        <f>"0820"</f>
        <v>0820</v>
      </c>
      <c r="X4025" s="1" t="s">
        <v>35</v>
      </c>
    </row>
    <row r="4026" spans="1:24" x14ac:dyDescent="0.3">
      <c r="A4026" s="1" t="str">
        <f t="shared" si="748"/>
        <v>59825</v>
      </c>
      <c r="B4026" s="1" t="s">
        <v>30</v>
      </c>
      <c r="C4026" s="1" t="s">
        <v>31</v>
      </c>
      <c r="D4026" s="1" t="str">
        <f t="shared" si="749"/>
        <v>9801</v>
      </c>
      <c r="E4026" s="1" t="s">
        <v>25</v>
      </c>
      <c r="F4026" s="1" t="str">
        <f>"136278501"</f>
        <v>136278501</v>
      </c>
      <c r="G4026" s="1" t="s">
        <v>33</v>
      </c>
      <c r="H4026" s="1" t="str">
        <f t="shared" si="740"/>
        <v>20220917</v>
      </c>
      <c r="I4026" s="1" t="str">
        <f>"105550"</f>
        <v>105550</v>
      </c>
      <c r="J4026" s="1" t="s">
        <v>28</v>
      </c>
      <c r="K4026" s="1" t="s">
        <v>28</v>
      </c>
      <c r="L4026" s="1" t="str">
        <f t="shared" si="741"/>
        <v>20220917</v>
      </c>
      <c r="M4026" s="1" t="str">
        <f>"112350"</f>
        <v>112350</v>
      </c>
      <c r="N4026" s="1" t="s">
        <v>52</v>
      </c>
      <c r="O4026" s="1" t="s">
        <v>52</v>
      </c>
      <c r="P4026" s="1" t="s">
        <v>55</v>
      </c>
      <c r="Q4026" s="1">
        <v>25</v>
      </c>
      <c r="R4026" s="1">
        <v>0</v>
      </c>
      <c r="S4026" s="1">
        <v>25</v>
      </c>
      <c r="T4026" s="1">
        <v>0</v>
      </c>
      <c r="U4026" s="1">
        <v>0</v>
      </c>
      <c r="V4026" s="1" t="str">
        <f t="shared" si="746"/>
        <v>里程返程</v>
      </c>
      <c r="W4026" s="1" t="str">
        <f>"0820"</f>
        <v>0820</v>
      </c>
      <c r="X4026" s="1" t="s">
        <v>35</v>
      </c>
    </row>
    <row r="4027" spans="1:24" x14ac:dyDescent="0.3">
      <c r="A4027" s="1" t="str">
        <f t="shared" si="748"/>
        <v>59825</v>
      </c>
      <c r="B4027" s="1" t="s">
        <v>30</v>
      </c>
      <c r="C4027" s="1" t="s">
        <v>31</v>
      </c>
      <c r="D4027" s="1" t="str">
        <f t="shared" si="749"/>
        <v>9801</v>
      </c>
      <c r="E4027" s="1" t="s">
        <v>25</v>
      </c>
      <c r="F4027" s="1" t="str">
        <f>"189465861"</f>
        <v>189465861</v>
      </c>
      <c r="G4027" s="1" t="s">
        <v>33</v>
      </c>
      <c r="H4027" s="1" t="str">
        <f t="shared" si="740"/>
        <v>20220917</v>
      </c>
      <c r="I4027" s="1" t="str">
        <f>"105552"</f>
        <v>105552</v>
      </c>
      <c r="J4027" s="1" t="s">
        <v>28</v>
      </c>
      <c r="K4027" s="1" t="s">
        <v>28</v>
      </c>
      <c r="L4027" s="1" t="str">
        <f t="shared" si="741"/>
        <v>20220917</v>
      </c>
      <c r="M4027" s="1" t="str">
        <f>"112353"</f>
        <v>112353</v>
      </c>
      <c r="N4027" s="1" t="s">
        <v>52</v>
      </c>
      <c r="O4027" s="1" t="s">
        <v>52</v>
      </c>
      <c r="P4027" s="1" t="s">
        <v>55</v>
      </c>
      <c r="Q4027" s="1">
        <v>25</v>
      </c>
      <c r="R4027" s="1">
        <v>0</v>
      </c>
      <c r="S4027" s="1">
        <v>25</v>
      </c>
      <c r="T4027" s="1">
        <v>0</v>
      </c>
      <c r="U4027" s="1">
        <v>0</v>
      </c>
      <c r="V4027" s="1" t="str">
        <f t="shared" ref="V4027:V4043" si="751">"里程返程"</f>
        <v>里程返程</v>
      </c>
      <c r="W4027" s="1" t="str">
        <f>"0820"</f>
        <v>0820</v>
      </c>
      <c r="X4027" s="1" t="s">
        <v>35</v>
      </c>
    </row>
    <row r="4028" spans="1:24" x14ac:dyDescent="0.3">
      <c r="A4028" s="1" t="str">
        <f t="shared" si="748"/>
        <v>59825</v>
      </c>
      <c r="B4028" s="1" t="s">
        <v>30</v>
      </c>
      <c r="C4028" s="1" t="s">
        <v>31</v>
      </c>
      <c r="D4028" s="1" t="str">
        <f t="shared" si="749"/>
        <v>9801</v>
      </c>
      <c r="E4028" s="1" t="s">
        <v>25</v>
      </c>
      <c r="F4028" s="1" t="str">
        <f>"92643E18D0880400C819002000000019"</f>
        <v>92643E18D0880400C819002000000019</v>
      </c>
      <c r="G4028" s="1" t="s">
        <v>64</v>
      </c>
      <c r="H4028" s="1" t="str">
        <f t="shared" si="740"/>
        <v>20220917</v>
      </c>
      <c r="I4028" s="1" t="str">
        <f>"112421"</f>
        <v>112421</v>
      </c>
      <c r="J4028" s="1" t="s">
        <v>44</v>
      </c>
      <c r="K4028" s="1" t="s">
        <v>45</v>
      </c>
      <c r="L4028" s="1" t="str">
        <f t="shared" si="741"/>
        <v>20220917</v>
      </c>
      <c r="M4028" s="1" t="str">
        <f>"115323"</f>
        <v>115323</v>
      </c>
      <c r="N4028" s="1" t="s">
        <v>28</v>
      </c>
      <c r="O4028" s="1" t="s">
        <v>28</v>
      </c>
      <c r="P4028" s="1" t="s">
        <v>55</v>
      </c>
      <c r="Q4028" s="1">
        <v>13</v>
      </c>
      <c r="R4028" s="1">
        <v>13</v>
      </c>
      <c r="S4028" s="1">
        <v>0</v>
      </c>
      <c r="T4028" s="1">
        <v>0</v>
      </c>
      <c r="U4028" s="1">
        <v>0</v>
      </c>
      <c r="V4028" s="1" t="str">
        <f t="shared" si="751"/>
        <v>里程返程</v>
      </c>
      <c r="W4028" s="1" t="str">
        <f>"0020"</f>
        <v>0020</v>
      </c>
      <c r="X4028" s="1" t="s">
        <v>29</v>
      </c>
    </row>
    <row r="4029" spans="1:24" x14ac:dyDescent="0.3">
      <c r="A4029" s="1" t="str">
        <f t="shared" si="748"/>
        <v>59825</v>
      </c>
      <c r="B4029" s="1" t="s">
        <v>30</v>
      </c>
      <c r="C4029" s="1" t="s">
        <v>31</v>
      </c>
      <c r="D4029" s="1" t="str">
        <f t="shared" si="749"/>
        <v>9801</v>
      </c>
      <c r="E4029" s="1" t="s">
        <v>25</v>
      </c>
      <c r="F4029" s="1" t="str">
        <f>"32780D0344880400C834002000000015"</f>
        <v>32780D0344880400C834002000000015</v>
      </c>
      <c r="G4029" s="1" t="s">
        <v>26</v>
      </c>
      <c r="H4029" s="1" t="str">
        <f t="shared" si="740"/>
        <v>20220917</v>
      </c>
      <c r="I4029" s="1" t="str">
        <f>"112916"</f>
        <v>112916</v>
      </c>
      <c r="J4029" s="1" t="s">
        <v>44</v>
      </c>
      <c r="K4029" s="1" t="s">
        <v>45</v>
      </c>
      <c r="L4029" s="1" t="str">
        <f t="shared" si="741"/>
        <v>20220917</v>
      </c>
      <c r="M4029" s="1" t="str">
        <f>"115104"</f>
        <v>115104</v>
      </c>
      <c r="N4029" s="1" t="s">
        <v>95</v>
      </c>
      <c r="O4029" s="1" t="s">
        <v>28</v>
      </c>
      <c r="P4029" s="1" t="s">
        <v>68</v>
      </c>
      <c r="Q4029" s="1">
        <v>13</v>
      </c>
      <c r="R4029" s="1">
        <v>0</v>
      </c>
      <c r="S4029" s="1">
        <v>0</v>
      </c>
      <c r="T4029" s="1">
        <v>13</v>
      </c>
      <c r="U4029" s="1">
        <v>0</v>
      </c>
      <c r="V4029" s="1" t="str">
        <f t="shared" si="751"/>
        <v>里程返程</v>
      </c>
      <c r="W4029" s="1" t="str">
        <f>"0020"</f>
        <v>0020</v>
      </c>
      <c r="X4029" s="1" t="s">
        <v>29</v>
      </c>
    </row>
    <row r="4030" spans="1:24" x14ac:dyDescent="0.3">
      <c r="A4030" s="1" t="str">
        <f t="shared" si="748"/>
        <v>59825</v>
      </c>
      <c r="B4030" s="1" t="s">
        <v>30</v>
      </c>
      <c r="C4030" s="1" t="s">
        <v>31</v>
      </c>
      <c r="D4030" s="1" t="str">
        <f t="shared" si="749"/>
        <v>9801</v>
      </c>
      <c r="E4030" s="1" t="s">
        <v>25</v>
      </c>
      <c r="F4030" s="1" t="str">
        <f>"278233073"</f>
        <v>278233073</v>
      </c>
      <c r="G4030" s="1" t="s">
        <v>33</v>
      </c>
      <c r="H4030" s="1" t="str">
        <f t="shared" si="740"/>
        <v>20220917</v>
      </c>
      <c r="I4030" s="1" t="str">
        <f>"113915"</f>
        <v>113915</v>
      </c>
      <c r="J4030" s="1" t="s">
        <v>75</v>
      </c>
      <c r="K4030" s="1" t="s">
        <v>45</v>
      </c>
      <c r="L4030" s="1" t="str">
        <f t="shared" si="741"/>
        <v>20220917</v>
      </c>
      <c r="M4030" s="1" t="str">
        <f>"115327"</f>
        <v>115327</v>
      </c>
      <c r="N4030" s="1" t="s">
        <v>28</v>
      </c>
      <c r="O4030" s="1" t="s">
        <v>28</v>
      </c>
      <c r="P4030" s="1" t="s">
        <v>55</v>
      </c>
      <c r="Q4030" s="1">
        <v>25</v>
      </c>
      <c r="R4030" s="1">
        <v>25</v>
      </c>
      <c r="S4030" s="1">
        <v>0</v>
      </c>
      <c r="T4030" s="1">
        <v>0</v>
      </c>
      <c r="U4030" s="1">
        <v>0</v>
      </c>
      <c r="V4030" s="1" t="str">
        <f t="shared" si="751"/>
        <v>里程返程</v>
      </c>
      <c r="W4030" s="1" t="str">
        <f>"2120"</f>
        <v>2120</v>
      </c>
      <c r="X4030" s="1" t="s">
        <v>35</v>
      </c>
    </row>
    <row r="4031" spans="1:24" x14ac:dyDescent="0.3">
      <c r="A4031" s="1" t="str">
        <f t="shared" si="748"/>
        <v>59825</v>
      </c>
      <c r="B4031" s="1" t="s">
        <v>30</v>
      </c>
      <c r="C4031" s="1" t="s">
        <v>31</v>
      </c>
      <c r="D4031" s="1" t="str">
        <f t="shared" si="749"/>
        <v>9801</v>
      </c>
      <c r="E4031" s="1" t="s">
        <v>25</v>
      </c>
      <c r="F4031" s="1" t="str">
        <f>"81DCC741DB280400F700000000000000"</f>
        <v>81DCC741DB280400F700000000000000</v>
      </c>
      <c r="G4031" s="1" t="s">
        <v>58</v>
      </c>
      <c r="H4031" s="1" t="str">
        <f t="shared" si="740"/>
        <v>20220917</v>
      </c>
      <c r="I4031" s="1" t="str">
        <f>"113924"</f>
        <v>113924</v>
      </c>
      <c r="J4031" s="1" t="s">
        <v>75</v>
      </c>
      <c r="K4031" s="1" t="s">
        <v>45</v>
      </c>
      <c r="L4031" s="1" t="str">
        <f t="shared" si="741"/>
        <v>20220917</v>
      </c>
      <c r="M4031" s="1" t="str">
        <f>"115315"</f>
        <v>115315</v>
      </c>
      <c r="N4031" s="1" t="s">
        <v>28</v>
      </c>
      <c r="O4031" s="1" t="s">
        <v>28</v>
      </c>
      <c r="P4031" s="1" t="s">
        <v>55</v>
      </c>
      <c r="Q4031" s="1">
        <v>25</v>
      </c>
      <c r="R4031" s="1">
        <v>25</v>
      </c>
      <c r="S4031" s="1">
        <v>0</v>
      </c>
      <c r="T4031" s="1">
        <v>0</v>
      </c>
      <c r="U4031" s="1">
        <v>0</v>
      </c>
      <c r="V4031" s="1" t="str">
        <f t="shared" si="751"/>
        <v>里程返程</v>
      </c>
      <c r="W4031" s="1" t="str">
        <f>"0020"</f>
        <v>0020</v>
      </c>
      <c r="X4031" s="1" t="s">
        <v>29</v>
      </c>
    </row>
    <row r="4032" spans="1:24" x14ac:dyDescent="0.3">
      <c r="A4032" s="1" t="str">
        <f t="shared" si="748"/>
        <v>59825</v>
      </c>
      <c r="B4032" s="1" t="s">
        <v>30</v>
      </c>
      <c r="C4032" s="1" t="s">
        <v>31</v>
      </c>
      <c r="D4032" s="1" t="str">
        <f t="shared" si="749"/>
        <v>9801</v>
      </c>
      <c r="E4032" s="1" t="s">
        <v>25</v>
      </c>
      <c r="F4032" s="1" t="str">
        <f>"832216785"</f>
        <v>832216785</v>
      </c>
      <c r="G4032" s="1" t="s">
        <v>33</v>
      </c>
      <c r="H4032" s="1" t="str">
        <f t="shared" si="740"/>
        <v>20220917</v>
      </c>
      <c r="I4032" s="1" t="str">
        <f>"115349"</f>
        <v>115349</v>
      </c>
      <c r="J4032" s="1" t="s">
        <v>28</v>
      </c>
      <c r="K4032" s="1" t="s">
        <v>28</v>
      </c>
      <c r="L4032" s="1" t="str">
        <f t="shared" si="741"/>
        <v>20220917</v>
      </c>
      <c r="M4032" s="1" t="str">
        <f>"123009"</f>
        <v>123009</v>
      </c>
      <c r="N4032" s="1" t="s">
        <v>52</v>
      </c>
      <c r="O4032" s="1" t="s">
        <v>52</v>
      </c>
      <c r="P4032" s="1" t="s">
        <v>55</v>
      </c>
      <c r="Q4032" s="1">
        <v>25</v>
      </c>
      <c r="R4032" s="1">
        <v>25</v>
      </c>
      <c r="S4032" s="1">
        <v>0</v>
      </c>
      <c r="T4032" s="1">
        <v>0</v>
      </c>
      <c r="U4032" s="1">
        <v>0</v>
      </c>
      <c r="V4032" s="1" t="str">
        <f t="shared" si="751"/>
        <v>里程返程</v>
      </c>
      <c r="W4032" s="1" t="str">
        <f>"0620"</f>
        <v>0620</v>
      </c>
      <c r="X4032" s="1" t="s">
        <v>35</v>
      </c>
    </row>
    <row r="4033" spans="1:24" x14ac:dyDescent="0.3">
      <c r="A4033" s="1" t="str">
        <f t="shared" si="748"/>
        <v>59825</v>
      </c>
      <c r="B4033" s="1" t="s">
        <v>30</v>
      </c>
      <c r="C4033" s="1" t="s">
        <v>31</v>
      </c>
      <c r="D4033" s="1" t="str">
        <f t="shared" si="749"/>
        <v>9801</v>
      </c>
      <c r="E4033" s="1" t="s">
        <v>25</v>
      </c>
      <c r="F4033" s="1" t="str">
        <f>"692808005"</f>
        <v>692808005</v>
      </c>
      <c r="G4033" s="1" t="s">
        <v>33</v>
      </c>
      <c r="H4033" s="1" t="str">
        <f t="shared" ref="H4033:H4096" si="752">"20220917"</f>
        <v>20220917</v>
      </c>
      <c r="I4033" s="1" t="str">
        <f>"115353"</f>
        <v>115353</v>
      </c>
      <c r="J4033" s="1" t="s">
        <v>28</v>
      </c>
      <c r="K4033" s="1" t="s">
        <v>28</v>
      </c>
      <c r="L4033" s="1" t="str">
        <f t="shared" ref="L4033:L4096" si="753">"20220917"</f>
        <v>20220917</v>
      </c>
      <c r="M4033" s="1" t="str">
        <f>"122946"</f>
        <v>122946</v>
      </c>
      <c r="N4033" s="1" t="s">
        <v>52</v>
      </c>
      <c r="O4033" s="1" t="s">
        <v>52</v>
      </c>
      <c r="P4033" s="1" t="s">
        <v>55</v>
      </c>
      <c r="Q4033" s="1">
        <v>25</v>
      </c>
      <c r="R4033" s="1">
        <v>25</v>
      </c>
      <c r="S4033" s="1">
        <v>0</v>
      </c>
      <c r="T4033" s="1">
        <v>0</v>
      </c>
      <c r="U4033" s="1">
        <v>0</v>
      </c>
      <c r="V4033" s="1" t="str">
        <f t="shared" si="751"/>
        <v>里程返程</v>
      </c>
      <c r="W4033" s="1" t="str">
        <f>"0e20"</f>
        <v>0e20</v>
      </c>
      <c r="X4033" s="1" t="s">
        <v>35</v>
      </c>
    </row>
    <row r="4034" spans="1:24" x14ac:dyDescent="0.3">
      <c r="A4034" s="1" t="str">
        <f t="shared" si="748"/>
        <v>59825</v>
      </c>
      <c r="B4034" s="1" t="s">
        <v>30</v>
      </c>
      <c r="C4034" s="1" t="s">
        <v>31</v>
      </c>
      <c r="D4034" s="1" t="str">
        <f t="shared" si="749"/>
        <v>9801</v>
      </c>
      <c r="E4034" s="1" t="s">
        <v>25</v>
      </c>
      <c r="F4034" s="1" t="str">
        <f>"E1EFC1408F280400F700000000000000"</f>
        <v>E1EFC1408F280400F700000000000000</v>
      </c>
      <c r="G4034" s="1" t="s">
        <v>58</v>
      </c>
      <c r="H4034" s="1" t="str">
        <f t="shared" si="752"/>
        <v>20220917</v>
      </c>
      <c r="I4034" s="1" t="str">
        <f>"115359"</f>
        <v>115359</v>
      </c>
      <c r="J4034" s="1" t="s">
        <v>28</v>
      </c>
      <c r="K4034" s="1" t="s">
        <v>28</v>
      </c>
      <c r="L4034" s="1" t="str">
        <f t="shared" si="753"/>
        <v>20220917</v>
      </c>
      <c r="M4034" s="1" t="str">
        <f>"120400"</f>
        <v>120400</v>
      </c>
      <c r="N4034" s="1" t="s">
        <v>83</v>
      </c>
      <c r="O4034" s="1" t="s">
        <v>52</v>
      </c>
      <c r="P4034" s="1" t="s">
        <v>55</v>
      </c>
      <c r="Q4034" s="1">
        <v>25</v>
      </c>
      <c r="R4034" s="1">
        <v>25</v>
      </c>
      <c r="S4034" s="1">
        <v>0</v>
      </c>
      <c r="T4034" s="1">
        <v>0</v>
      </c>
      <c r="U4034" s="1">
        <v>0</v>
      </c>
      <c r="V4034" s="1" t="str">
        <f t="shared" si="751"/>
        <v>里程返程</v>
      </c>
      <c r="W4034" s="1" t="str">
        <f>"0020"</f>
        <v>0020</v>
      </c>
      <c r="X4034" s="1" t="s">
        <v>29</v>
      </c>
    </row>
    <row r="4035" spans="1:24" x14ac:dyDescent="0.3">
      <c r="A4035" s="1" t="str">
        <f t="shared" si="748"/>
        <v>59825</v>
      </c>
      <c r="B4035" s="1" t="s">
        <v>30</v>
      </c>
      <c r="C4035" s="1" t="s">
        <v>31</v>
      </c>
      <c r="D4035" s="1" t="str">
        <f t="shared" si="749"/>
        <v>9801</v>
      </c>
      <c r="E4035" s="1" t="s">
        <v>25</v>
      </c>
      <c r="F4035" s="1" t="str">
        <f>"219525765"</f>
        <v>219525765</v>
      </c>
      <c r="G4035" s="1" t="s">
        <v>33</v>
      </c>
      <c r="H4035" s="1" t="str">
        <f t="shared" si="752"/>
        <v>20220917</v>
      </c>
      <c r="I4035" s="1" t="str">
        <f>"115403"</f>
        <v>115403</v>
      </c>
      <c r="J4035" s="1" t="s">
        <v>28</v>
      </c>
      <c r="K4035" s="1" t="s">
        <v>28</v>
      </c>
      <c r="L4035" s="1" t="str">
        <f t="shared" si="753"/>
        <v>20220917</v>
      </c>
      <c r="M4035" s="1" t="str">
        <f>"123003"</f>
        <v>123003</v>
      </c>
      <c r="N4035" s="1" t="s">
        <v>52</v>
      </c>
      <c r="O4035" s="1" t="s">
        <v>52</v>
      </c>
      <c r="P4035" s="1" t="s">
        <v>55</v>
      </c>
      <c r="Q4035" s="1">
        <v>25</v>
      </c>
      <c r="R4035" s="1">
        <v>25</v>
      </c>
      <c r="S4035" s="1">
        <v>0</v>
      </c>
      <c r="T4035" s="1">
        <v>0</v>
      </c>
      <c r="U4035" s="1">
        <v>0</v>
      </c>
      <c r="V4035" s="1" t="str">
        <f t="shared" si="751"/>
        <v>里程返程</v>
      </c>
      <c r="W4035" s="1" t="str">
        <f>"0820"</f>
        <v>0820</v>
      </c>
      <c r="X4035" s="1" t="s">
        <v>35</v>
      </c>
    </row>
    <row r="4036" spans="1:24" x14ac:dyDescent="0.3">
      <c r="A4036" s="1" t="str">
        <f t="shared" si="748"/>
        <v>59825</v>
      </c>
      <c r="B4036" s="1" t="s">
        <v>30</v>
      </c>
      <c r="C4036" s="1" t="s">
        <v>31</v>
      </c>
      <c r="D4036" s="1" t="str">
        <f t="shared" si="749"/>
        <v>9801</v>
      </c>
      <c r="E4036" s="1" t="s">
        <v>25</v>
      </c>
      <c r="F4036" s="1" t="str">
        <f>"599725265"</f>
        <v>599725265</v>
      </c>
      <c r="G4036" s="1" t="s">
        <v>33</v>
      </c>
      <c r="H4036" s="1" t="str">
        <f t="shared" si="752"/>
        <v>20220917</v>
      </c>
      <c r="I4036" s="1" t="str">
        <f>"115406"</f>
        <v>115406</v>
      </c>
      <c r="J4036" s="1" t="s">
        <v>28</v>
      </c>
      <c r="K4036" s="1" t="s">
        <v>28</v>
      </c>
      <c r="L4036" s="1" t="str">
        <f t="shared" si="753"/>
        <v>20220917</v>
      </c>
      <c r="M4036" s="1" t="str">
        <f>"122958"</f>
        <v>122958</v>
      </c>
      <c r="N4036" s="1" t="s">
        <v>52</v>
      </c>
      <c r="O4036" s="1" t="s">
        <v>52</v>
      </c>
      <c r="P4036" s="1" t="s">
        <v>55</v>
      </c>
      <c r="Q4036" s="1">
        <v>25</v>
      </c>
      <c r="R4036" s="1">
        <v>25</v>
      </c>
      <c r="S4036" s="1">
        <v>0</v>
      </c>
      <c r="T4036" s="1">
        <v>0</v>
      </c>
      <c r="U4036" s="1">
        <v>0</v>
      </c>
      <c r="V4036" s="1" t="str">
        <f t="shared" si="751"/>
        <v>里程返程</v>
      </c>
      <c r="W4036" s="1" t="str">
        <f>"0320"</f>
        <v>0320</v>
      </c>
      <c r="X4036" s="1" t="s">
        <v>35</v>
      </c>
    </row>
    <row r="4037" spans="1:24" x14ac:dyDescent="0.3">
      <c r="A4037" s="1" t="str">
        <f t="shared" si="748"/>
        <v>59825</v>
      </c>
      <c r="B4037" s="1" t="s">
        <v>30</v>
      </c>
      <c r="C4037" s="1" t="s">
        <v>31</v>
      </c>
      <c r="D4037" s="1" t="str">
        <f t="shared" si="749"/>
        <v>9801</v>
      </c>
      <c r="E4037" s="1" t="s">
        <v>25</v>
      </c>
      <c r="F4037" s="1" t="str">
        <f>"E2AB7C1A2F880400C816002000000021"</f>
        <v>E2AB7C1A2F880400C816002000000021</v>
      </c>
      <c r="G4037" s="1" t="s">
        <v>64</v>
      </c>
      <c r="H4037" s="1" t="str">
        <f t="shared" si="752"/>
        <v>20220917</v>
      </c>
      <c r="I4037" s="1" t="str">
        <f>"115446"</f>
        <v>115446</v>
      </c>
      <c r="J4037" s="1" t="s">
        <v>28</v>
      </c>
      <c r="K4037" s="1" t="s">
        <v>28</v>
      </c>
      <c r="L4037" s="1" t="str">
        <f t="shared" si="753"/>
        <v>20220917</v>
      </c>
      <c r="M4037" s="1" t="str">
        <f>"122949"</f>
        <v>122949</v>
      </c>
      <c r="N4037" s="1" t="s">
        <v>52</v>
      </c>
      <c r="O4037" s="1" t="s">
        <v>52</v>
      </c>
      <c r="P4037" s="1" t="s">
        <v>55</v>
      </c>
      <c r="Q4037" s="1">
        <v>13</v>
      </c>
      <c r="R4037" s="1">
        <v>13</v>
      </c>
      <c r="S4037" s="1">
        <v>0</v>
      </c>
      <c r="T4037" s="1">
        <v>0</v>
      </c>
      <c r="U4037" s="1">
        <v>0</v>
      </c>
      <c r="V4037" s="1" t="str">
        <f t="shared" si="751"/>
        <v>里程返程</v>
      </c>
      <c r="W4037" s="1" t="str">
        <f>"0020"</f>
        <v>0020</v>
      </c>
      <c r="X4037" s="1" t="s">
        <v>29</v>
      </c>
    </row>
    <row r="4038" spans="1:24" x14ac:dyDescent="0.3">
      <c r="A4038" s="1" t="str">
        <f t="shared" si="748"/>
        <v>59825</v>
      </c>
      <c r="B4038" s="1" t="s">
        <v>30</v>
      </c>
      <c r="C4038" s="1" t="s">
        <v>31</v>
      </c>
      <c r="D4038" s="1" t="str">
        <f t="shared" si="749"/>
        <v>9801</v>
      </c>
      <c r="E4038" s="1" t="s">
        <v>25</v>
      </c>
      <c r="F4038" s="1" t="str">
        <f>"837396997"</f>
        <v>837396997</v>
      </c>
      <c r="G4038" s="1" t="s">
        <v>33</v>
      </c>
      <c r="H4038" s="1" t="str">
        <f t="shared" si="752"/>
        <v>20220917</v>
      </c>
      <c r="I4038" s="1" t="str">
        <f>"115448"</f>
        <v>115448</v>
      </c>
      <c r="J4038" s="1" t="s">
        <v>28</v>
      </c>
      <c r="K4038" s="1" t="s">
        <v>28</v>
      </c>
      <c r="L4038" s="1" t="str">
        <f t="shared" si="753"/>
        <v>20220917</v>
      </c>
      <c r="M4038" s="1" t="str">
        <f>"122953"</f>
        <v>122953</v>
      </c>
      <c r="N4038" s="1" t="s">
        <v>52</v>
      </c>
      <c r="O4038" s="1" t="s">
        <v>52</v>
      </c>
      <c r="P4038" s="1" t="s">
        <v>55</v>
      </c>
      <c r="Q4038" s="1">
        <v>25</v>
      </c>
      <c r="R4038" s="1">
        <v>25</v>
      </c>
      <c r="S4038" s="1">
        <v>0</v>
      </c>
      <c r="T4038" s="1">
        <v>0</v>
      </c>
      <c r="U4038" s="1">
        <v>0</v>
      </c>
      <c r="V4038" s="1" t="str">
        <f t="shared" si="751"/>
        <v>里程返程</v>
      </c>
      <c r="W4038" s="1" t="str">
        <f>"1420"</f>
        <v>1420</v>
      </c>
      <c r="X4038" s="1" t="s">
        <v>35</v>
      </c>
    </row>
    <row r="4039" spans="1:24" x14ac:dyDescent="0.3">
      <c r="A4039" s="1" t="str">
        <f t="shared" si="748"/>
        <v>59825</v>
      </c>
      <c r="B4039" s="1" t="s">
        <v>30</v>
      </c>
      <c r="C4039" s="1" t="s">
        <v>31</v>
      </c>
      <c r="D4039" s="1" t="str">
        <f t="shared" si="749"/>
        <v>9801</v>
      </c>
      <c r="E4039" s="1" t="s">
        <v>25</v>
      </c>
      <c r="F4039" s="1" t="str">
        <f>"6207DB1AA4880400C816002000000021"</f>
        <v>6207DB1AA4880400C816002000000021</v>
      </c>
      <c r="G4039" s="1" t="s">
        <v>58</v>
      </c>
      <c r="H4039" s="1" t="str">
        <f t="shared" si="752"/>
        <v>20220917</v>
      </c>
      <c r="I4039" s="1" t="str">
        <f>"115807"</f>
        <v>115807</v>
      </c>
      <c r="J4039" s="1" t="s">
        <v>41</v>
      </c>
      <c r="K4039" s="1" t="s">
        <v>28</v>
      </c>
      <c r="L4039" s="1" t="str">
        <f t="shared" si="753"/>
        <v>20220917</v>
      </c>
      <c r="M4039" s="1" t="str">
        <f>"122934"</f>
        <v>122934</v>
      </c>
      <c r="N4039" s="1" t="s">
        <v>52</v>
      </c>
      <c r="O4039" s="1" t="s">
        <v>52</v>
      </c>
      <c r="P4039" s="1" t="s">
        <v>55</v>
      </c>
      <c r="Q4039" s="1">
        <v>25</v>
      </c>
      <c r="R4039" s="1">
        <v>25</v>
      </c>
      <c r="S4039" s="1">
        <v>0</v>
      </c>
      <c r="T4039" s="1">
        <v>0</v>
      </c>
      <c r="U4039" s="1">
        <v>0</v>
      </c>
      <c r="V4039" s="1" t="str">
        <f t="shared" si="751"/>
        <v>里程返程</v>
      </c>
      <c r="W4039" s="1" t="str">
        <f>"0020"</f>
        <v>0020</v>
      </c>
      <c r="X4039" s="1" t="s">
        <v>29</v>
      </c>
    </row>
    <row r="4040" spans="1:24" x14ac:dyDescent="0.3">
      <c r="A4040" s="1" t="str">
        <f t="shared" si="748"/>
        <v>59825</v>
      </c>
      <c r="B4040" s="1" t="s">
        <v>30</v>
      </c>
      <c r="C4040" s="1" t="s">
        <v>31</v>
      </c>
      <c r="D4040" s="1" t="str">
        <f t="shared" si="749"/>
        <v>9801</v>
      </c>
      <c r="E4040" s="1" t="s">
        <v>25</v>
      </c>
      <c r="F4040" s="1" t="str">
        <f>"385207976"</f>
        <v>385207976</v>
      </c>
      <c r="G4040" s="1" t="s">
        <v>33</v>
      </c>
      <c r="H4040" s="1" t="str">
        <f t="shared" si="752"/>
        <v>20220917</v>
      </c>
      <c r="I4040" s="1" t="str">
        <f>"115833"</f>
        <v>115833</v>
      </c>
      <c r="J4040" s="1" t="s">
        <v>41</v>
      </c>
      <c r="K4040" s="1" t="s">
        <v>28</v>
      </c>
      <c r="L4040" s="1" t="str">
        <f t="shared" si="753"/>
        <v>20220917</v>
      </c>
      <c r="M4040" s="1" t="str">
        <f>"122941"</f>
        <v>122941</v>
      </c>
      <c r="N4040" s="1" t="s">
        <v>52</v>
      </c>
      <c r="O4040" s="1" t="s">
        <v>52</v>
      </c>
      <c r="P4040" s="1" t="s">
        <v>55</v>
      </c>
      <c r="Q4040" s="1">
        <v>25</v>
      </c>
      <c r="R4040" s="1">
        <v>25</v>
      </c>
      <c r="S4040" s="1">
        <v>0</v>
      </c>
      <c r="T4040" s="1">
        <v>0</v>
      </c>
      <c r="U4040" s="1">
        <v>0</v>
      </c>
      <c r="V4040" s="1" t="str">
        <f t="shared" si="751"/>
        <v>里程返程</v>
      </c>
      <c r="W4040" s="1" t="str">
        <f>"1e20"</f>
        <v>1e20</v>
      </c>
      <c r="X4040" s="1" t="s">
        <v>35</v>
      </c>
    </row>
    <row r="4041" spans="1:24" x14ac:dyDescent="0.3">
      <c r="A4041" s="1" t="str">
        <f t="shared" ref="A4041:A4072" si="754">"59825"</f>
        <v>59825</v>
      </c>
      <c r="B4041" s="1" t="s">
        <v>30</v>
      </c>
      <c r="C4041" s="1" t="s">
        <v>31</v>
      </c>
      <c r="D4041" s="1" t="str">
        <f t="shared" ref="D4041:D4059" si="755">"9805"</f>
        <v>9805</v>
      </c>
      <c r="E4041" s="1" t="s">
        <v>57</v>
      </c>
      <c r="F4041" s="1" t="str">
        <f>"837396997"</f>
        <v>837396997</v>
      </c>
      <c r="G4041" s="1" t="s">
        <v>33</v>
      </c>
      <c r="H4041" s="1" t="str">
        <f t="shared" si="752"/>
        <v>20220917</v>
      </c>
      <c r="I4041" s="1" t="str">
        <f>"133107"</f>
        <v>133107</v>
      </c>
      <c r="J4041" s="1" t="s">
        <v>52</v>
      </c>
      <c r="K4041" s="1" t="s">
        <v>52</v>
      </c>
      <c r="L4041" s="1" t="str">
        <f t="shared" si="753"/>
        <v>20220917</v>
      </c>
      <c r="M4041" s="1" t="str">
        <f>"134919"</f>
        <v>134919</v>
      </c>
      <c r="N4041" s="1" t="s">
        <v>28</v>
      </c>
      <c r="O4041" s="1" t="s">
        <v>28</v>
      </c>
      <c r="P4041" s="1" t="s">
        <v>55</v>
      </c>
      <c r="Q4041" s="1">
        <v>25</v>
      </c>
      <c r="R4041" s="1">
        <v>0</v>
      </c>
      <c r="S4041" s="1">
        <v>25</v>
      </c>
      <c r="T4041" s="1">
        <v>0</v>
      </c>
      <c r="U4041" s="1">
        <v>0</v>
      </c>
      <c r="V4041" s="1" t="str">
        <f t="shared" si="751"/>
        <v>里程返程</v>
      </c>
      <c r="W4041" s="1" t="str">
        <f>"2020"</f>
        <v>2020</v>
      </c>
      <c r="X4041" s="1" t="s">
        <v>35</v>
      </c>
    </row>
    <row r="4042" spans="1:24" x14ac:dyDescent="0.3">
      <c r="A4042" s="1" t="str">
        <f t="shared" si="754"/>
        <v>59825</v>
      </c>
      <c r="B4042" s="1" t="s">
        <v>30</v>
      </c>
      <c r="C4042" s="1" t="s">
        <v>31</v>
      </c>
      <c r="D4042" s="1" t="str">
        <f t="shared" si="755"/>
        <v>9805</v>
      </c>
      <c r="E4042" s="1" t="s">
        <v>57</v>
      </c>
      <c r="F4042" s="1" t="str">
        <f>"E2AB7C1A2F880400C816002000000021"</f>
        <v>E2AB7C1A2F880400C816002000000021</v>
      </c>
      <c r="G4042" s="1" t="s">
        <v>64</v>
      </c>
      <c r="H4042" s="1" t="str">
        <f t="shared" si="752"/>
        <v>20220917</v>
      </c>
      <c r="I4042" s="1" t="str">
        <f>"133112"</f>
        <v>133112</v>
      </c>
      <c r="J4042" s="1" t="s">
        <v>52</v>
      </c>
      <c r="K4042" s="1" t="s">
        <v>52</v>
      </c>
      <c r="L4042" s="1" t="str">
        <f t="shared" si="753"/>
        <v>20220917</v>
      </c>
      <c r="M4042" s="1" t="str">
        <f>"134916"</f>
        <v>134916</v>
      </c>
      <c r="N4042" s="1" t="s">
        <v>28</v>
      </c>
      <c r="O4042" s="1" t="s">
        <v>28</v>
      </c>
      <c r="P4042" s="1" t="s">
        <v>55</v>
      </c>
      <c r="Q4042" s="1">
        <v>13</v>
      </c>
      <c r="R4042" s="1">
        <v>0</v>
      </c>
      <c r="S4042" s="1">
        <v>13</v>
      </c>
      <c r="T4042" s="1">
        <v>0</v>
      </c>
      <c r="U4042" s="1">
        <v>0</v>
      </c>
      <c r="V4042" s="1" t="str">
        <f t="shared" si="751"/>
        <v>里程返程</v>
      </c>
      <c r="W4042" s="1" t="str">
        <f>"2020"</f>
        <v>2020</v>
      </c>
      <c r="X4042" s="1" t="s">
        <v>29</v>
      </c>
    </row>
    <row r="4043" spans="1:24" x14ac:dyDescent="0.3">
      <c r="A4043" s="1" t="str">
        <f t="shared" si="754"/>
        <v>59825</v>
      </c>
      <c r="B4043" s="1" t="s">
        <v>30</v>
      </c>
      <c r="C4043" s="1" t="s">
        <v>31</v>
      </c>
      <c r="D4043" s="1" t="str">
        <f t="shared" si="755"/>
        <v>9805</v>
      </c>
      <c r="E4043" s="1" t="s">
        <v>57</v>
      </c>
      <c r="F4043" s="1" t="str">
        <f>"91D079320A2804001C00000000000000"</f>
        <v>91D079320A2804001C00000000000000</v>
      </c>
      <c r="G4043" s="1" t="s">
        <v>58</v>
      </c>
      <c r="H4043" s="1" t="str">
        <f t="shared" si="752"/>
        <v>20220917</v>
      </c>
      <c r="I4043" s="1" t="str">
        <f>"133727"</f>
        <v>133727</v>
      </c>
      <c r="J4043" s="1" t="s">
        <v>94</v>
      </c>
      <c r="K4043" s="1" t="s">
        <v>28</v>
      </c>
      <c r="L4043" s="1" t="str">
        <f t="shared" si="753"/>
        <v>20220917</v>
      </c>
      <c r="M4043" s="1" t="str">
        <f>"134912"</f>
        <v>134912</v>
      </c>
      <c r="N4043" s="1" t="s">
        <v>28</v>
      </c>
      <c r="O4043" s="1" t="s">
        <v>28</v>
      </c>
      <c r="P4043" s="1" t="s">
        <v>55</v>
      </c>
      <c r="Q4043" s="1">
        <v>25</v>
      </c>
      <c r="R4043" s="1">
        <v>25</v>
      </c>
      <c r="S4043" s="1">
        <v>0</v>
      </c>
      <c r="T4043" s="1">
        <v>0</v>
      </c>
      <c r="U4043" s="1">
        <v>0</v>
      </c>
      <c r="V4043" s="1" t="str">
        <f t="shared" si="751"/>
        <v>里程返程</v>
      </c>
      <c r="W4043" s="1" t="str">
        <f>"0020"</f>
        <v>0020</v>
      </c>
      <c r="X4043" s="1" t="s">
        <v>29</v>
      </c>
    </row>
    <row r="4044" spans="1:24" x14ac:dyDescent="0.3">
      <c r="A4044" s="1" t="str">
        <f t="shared" si="754"/>
        <v>59825</v>
      </c>
      <c r="B4044" s="1" t="s">
        <v>30</v>
      </c>
      <c r="C4044" s="1" t="s">
        <v>31</v>
      </c>
      <c r="D4044" s="1" t="str">
        <f t="shared" si="755"/>
        <v>9805</v>
      </c>
      <c r="E4044" s="1" t="s">
        <v>57</v>
      </c>
      <c r="F4044" s="1" t="str">
        <f>"C2A441183F880400C819002000000019"</f>
        <v>C2A441183F880400C819002000000019</v>
      </c>
      <c r="G4044" s="1" t="s">
        <v>64</v>
      </c>
      <c r="H4044" s="1" t="str">
        <f t="shared" si="752"/>
        <v>20220917</v>
      </c>
      <c r="I4044" s="1" t="str">
        <f>"142832"</f>
        <v>142832</v>
      </c>
      <c r="J4044" s="1" t="s">
        <v>28</v>
      </c>
      <c r="K4044" s="1" t="s">
        <v>28</v>
      </c>
      <c r="L4044" s="1" t="str">
        <f t="shared" si="753"/>
        <v>20220917</v>
      </c>
      <c r="M4044" s="1" t="str">
        <f>"144749"</f>
        <v>144749</v>
      </c>
      <c r="N4044" s="1" t="s">
        <v>52</v>
      </c>
      <c r="O4044" s="1" t="s">
        <v>52</v>
      </c>
      <c r="P4044" s="1" t="s">
        <v>55</v>
      </c>
      <c r="Q4044" s="1">
        <v>13</v>
      </c>
      <c r="R4044" s="1">
        <v>0</v>
      </c>
      <c r="S4044" s="1">
        <v>13</v>
      </c>
      <c r="T4044" s="1">
        <v>0</v>
      </c>
      <c r="U4044" s="1">
        <v>0</v>
      </c>
      <c r="V4044" s="1" t="str">
        <f t="shared" ref="V4044:V4056" si="756">"里程去程"</f>
        <v>里程去程</v>
      </c>
      <c r="W4044" s="1" t="str">
        <f>"0620"</f>
        <v>0620</v>
      </c>
      <c r="X4044" s="1" t="s">
        <v>29</v>
      </c>
    </row>
    <row r="4045" spans="1:24" x14ac:dyDescent="0.3">
      <c r="A4045" s="1" t="str">
        <f t="shared" si="754"/>
        <v>59825</v>
      </c>
      <c r="B4045" s="1" t="s">
        <v>30</v>
      </c>
      <c r="C4045" s="1" t="s">
        <v>31</v>
      </c>
      <c r="D4045" s="1" t="str">
        <f t="shared" si="755"/>
        <v>9805</v>
      </c>
      <c r="E4045" s="1" t="s">
        <v>57</v>
      </c>
      <c r="F4045" s="1" t="str">
        <f>"B2CBD118B0880400C821002000000019"</f>
        <v>B2CBD118B0880400C821002000000019</v>
      </c>
      <c r="G4045" s="1" t="s">
        <v>58</v>
      </c>
      <c r="H4045" s="1" t="str">
        <f t="shared" si="752"/>
        <v>20220917</v>
      </c>
      <c r="I4045" s="1" t="str">
        <f>"142837"</f>
        <v>142837</v>
      </c>
      <c r="J4045" s="1" t="s">
        <v>28</v>
      </c>
      <c r="K4045" s="1" t="s">
        <v>28</v>
      </c>
      <c r="L4045" s="1" t="str">
        <f t="shared" si="753"/>
        <v>20220917</v>
      </c>
      <c r="M4045" s="1" t="str">
        <f>"144754"</f>
        <v>144754</v>
      </c>
      <c r="N4045" s="1" t="s">
        <v>52</v>
      </c>
      <c r="O4045" s="1" t="s">
        <v>52</v>
      </c>
      <c r="P4045" s="1" t="s">
        <v>55</v>
      </c>
      <c r="Q4045" s="1">
        <v>25</v>
      </c>
      <c r="R4045" s="1">
        <v>25</v>
      </c>
      <c r="S4045" s="1">
        <v>0</v>
      </c>
      <c r="T4045" s="1">
        <v>0</v>
      </c>
      <c r="U4045" s="1">
        <v>0</v>
      </c>
      <c r="V4045" s="1" t="str">
        <f t="shared" si="756"/>
        <v>里程去程</v>
      </c>
      <c r="W4045" s="1" t="str">
        <f>"0020"</f>
        <v>0020</v>
      </c>
      <c r="X4045" s="1" t="s">
        <v>29</v>
      </c>
    </row>
    <row r="4046" spans="1:24" x14ac:dyDescent="0.3">
      <c r="A4046" s="1" t="str">
        <f t="shared" si="754"/>
        <v>59825</v>
      </c>
      <c r="B4046" s="1" t="s">
        <v>30</v>
      </c>
      <c r="C4046" s="1" t="s">
        <v>31</v>
      </c>
      <c r="D4046" s="1" t="str">
        <f t="shared" si="755"/>
        <v>9805</v>
      </c>
      <c r="E4046" s="1" t="s">
        <v>57</v>
      </c>
      <c r="F4046" s="1" t="str">
        <f>"652006485"</f>
        <v>652006485</v>
      </c>
      <c r="G4046" s="1" t="s">
        <v>33</v>
      </c>
      <c r="H4046" s="1" t="str">
        <f t="shared" si="752"/>
        <v>20220917</v>
      </c>
      <c r="I4046" s="1" t="str">
        <f>"142839"</f>
        <v>142839</v>
      </c>
      <c r="J4046" s="1" t="s">
        <v>28</v>
      </c>
      <c r="K4046" s="1" t="s">
        <v>28</v>
      </c>
      <c r="L4046" s="1" t="str">
        <f t="shared" si="753"/>
        <v>20220917</v>
      </c>
      <c r="M4046" s="1" t="str">
        <f>"144756"</f>
        <v>144756</v>
      </c>
      <c r="N4046" s="1" t="s">
        <v>52</v>
      </c>
      <c r="O4046" s="1" t="s">
        <v>52</v>
      </c>
      <c r="P4046" s="1" t="s">
        <v>55</v>
      </c>
      <c r="Q4046" s="1">
        <v>25</v>
      </c>
      <c r="R4046" s="1">
        <v>25</v>
      </c>
      <c r="S4046" s="1">
        <v>0</v>
      </c>
      <c r="T4046" s="1">
        <v>0</v>
      </c>
      <c r="U4046" s="1">
        <v>0</v>
      </c>
      <c r="V4046" s="1" t="str">
        <f t="shared" si="756"/>
        <v>里程去程</v>
      </c>
      <c r="W4046" s="1" t="str">
        <f>"2020"</f>
        <v>2020</v>
      </c>
      <c r="X4046" s="1" t="s">
        <v>35</v>
      </c>
    </row>
    <row r="4047" spans="1:24" x14ac:dyDescent="0.3">
      <c r="A4047" s="1" t="str">
        <f t="shared" si="754"/>
        <v>59825</v>
      </c>
      <c r="B4047" s="1" t="s">
        <v>30</v>
      </c>
      <c r="C4047" s="1" t="s">
        <v>31</v>
      </c>
      <c r="D4047" s="1" t="str">
        <f t="shared" si="755"/>
        <v>9805</v>
      </c>
      <c r="E4047" s="1" t="s">
        <v>57</v>
      </c>
      <c r="F4047" s="1" t="str">
        <f>"00926643B78804004885149345002111"</f>
        <v>00926643B78804004885149345002111</v>
      </c>
      <c r="G4047" s="1" t="s">
        <v>58</v>
      </c>
      <c r="H4047" s="1" t="str">
        <f t="shared" si="752"/>
        <v>20220917</v>
      </c>
      <c r="I4047" s="1" t="str">
        <f>"142848"</f>
        <v>142848</v>
      </c>
      <c r="J4047" s="1" t="s">
        <v>28</v>
      </c>
      <c r="K4047" s="1" t="s">
        <v>28</v>
      </c>
      <c r="L4047" s="1" t="str">
        <f t="shared" si="753"/>
        <v>20220917</v>
      </c>
      <c r="M4047" s="1" t="str">
        <f>"144743"</f>
        <v>144743</v>
      </c>
      <c r="N4047" s="1" t="s">
        <v>52</v>
      </c>
      <c r="O4047" s="1" t="s">
        <v>52</v>
      </c>
      <c r="P4047" s="1" t="s">
        <v>55</v>
      </c>
      <c r="Q4047" s="1">
        <v>25</v>
      </c>
      <c r="R4047" s="1">
        <v>0</v>
      </c>
      <c r="S4047" s="1">
        <v>25</v>
      </c>
      <c r="T4047" s="1">
        <v>0</v>
      </c>
      <c r="U4047" s="1">
        <v>0</v>
      </c>
      <c r="V4047" s="1" t="str">
        <f t="shared" si="756"/>
        <v>里程去程</v>
      </c>
      <c r="W4047" s="1" t="str">
        <f>"0620"</f>
        <v>0620</v>
      </c>
      <c r="X4047" s="1" t="s">
        <v>29</v>
      </c>
    </row>
    <row r="4048" spans="1:24" x14ac:dyDescent="0.3">
      <c r="A4048" s="1" t="str">
        <f t="shared" si="754"/>
        <v>59825</v>
      </c>
      <c r="B4048" s="1" t="s">
        <v>30</v>
      </c>
      <c r="C4048" s="1" t="s">
        <v>31</v>
      </c>
      <c r="D4048" s="1" t="str">
        <f t="shared" si="755"/>
        <v>9805</v>
      </c>
      <c r="E4048" s="1" t="s">
        <v>57</v>
      </c>
      <c r="F4048" s="1" t="str">
        <f>"A0F06643758804004885149345002111"</f>
        <v>A0F06643758804004885149345002111</v>
      </c>
      <c r="G4048" s="1" t="s">
        <v>58</v>
      </c>
      <c r="H4048" s="1" t="str">
        <f t="shared" si="752"/>
        <v>20220917</v>
      </c>
      <c r="I4048" s="1" t="str">
        <f>"142859"</f>
        <v>142859</v>
      </c>
      <c r="J4048" s="1" t="s">
        <v>28</v>
      </c>
      <c r="K4048" s="1" t="s">
        <v>28</v>
      </c>
      <c r="L4048" s="1" t="str">
        <f t="shared" si="753"/>
        <v>20220917</v>
      </c>
      <c r="M4048" s="1" t="str">
        <f>"144737"</f>
        <v>144737</v>
      </c>
      <c r="N4048" s="1" t="s">
        <v>52</v>
      </c>
      <c r="O4048" s="1" t="s">
        <v>52</v>
      </c>
      <c r="P4048" s="1" t="s">
        <v>55</v>
      </c>
      <c r="Q4048" s="1">
        <v>25</v>
      </c>
      <c r="R4048" s="1">
        <v>0</v>
      </c>
      <c r="S4048" s="1">
        <v>25</v>
      </c>
      <c r="T4048" s="1">
        <v>0</v>
      </c>
      <c r="U4048" s="1">
        <v>0</v>
      </c>
      <c r="V4048" s="1" t="str">
        <f t="shared" si="756"/>
        <v>里程去程</v>
      </c>
      <c r="W4048" s="1" t="str">
        <f>"0620"</f>
        <v>0620</v>
      </c>
      <c r="X4048" s="1" t="s">
        <v>29</v>
      </c>
    </row>
    <row r="4049" spans="1:24" x14ac:dyDescent="0.3">
      <c r="A4049" s="1" t="str">
        <f t="shared" si="754"/>
        <v>59825</v>
      </c>
      <c r="B4049" s="1" t="s">
        <v>30</v>
      </c>
      <c r="C4049" s="1" t="s">
        <v>31</v>
      </c>
      <c r="D4049" s="1" t="str">
        <f t="shared" si="755"/>
        <v>9805</v>
      </c>
      <c r="E4049" s="1" t="s">
        <v>57</v>
      </c>
      <c r="F4049" s="1" t="str">
        <f>"853720757"</f>
        <v>853720757</v>
      </c>
      <c r="G4049" s="1" t="s">
        <v>26</v>
      </c>
      <c r="H4049" s="1" t="str">
        <f t="shared" si="752"/>
        <v>20220917</v>
      </c>
      <c r="I4049" s="1" t="str">
        <f>"142902"</f>
        <v>142902</v>
      </c>
      <c r="J4049" s="1" t="s">
        <v>28</v>
      </c>
      <c r="K4049" s="1" t="s">
        <v>28</v>
      </c>
      <c r="L4049" s="1" t="str">
        <f t="shared" si="753"/>
        <v>20220917</v>
      </c>
      <c r="M4049" s="1" t="str">
        <f>"144115"</f>
        <v>144115</v>
      </c>
      <c r="N4049" s="1" t="s">
        <v>46</v>
      </c>
      <c r="O4049" s="1" t="s">
        <v>28</v>
      </c>
      <c r="P4049" s="1" t="s">
        <v>55</v>
      </c>
      <c r="Q4049" s="1">
        <v>13</v>
      </c>
      <c r="R4049" s="1">
        <v>0</v>
      </c>
      <c r="S4049" s="1">
        <v>13</v>
      </c>
      <c r="T4049" s="1">
        <v>0</v>
      </c>
      <c r="U4049" s="1">
        <v>0</v>
      </c>
      <c r="V4049" s="1" t="str">
        <f t="shared" si="756"/>
        <v>里程去程</v>
      </c>
      <c r="W4049" s="1" t="str">
        <f t="shared" ref="W4049:W4056" si="757">"0820"</f>
        <v>0820</v>
      </c>
      <c r="X4049" s="1" t="s">
        <v>35</v>
      </c>
    </row>
    <row r="4050" spans="1:24" x14ac:dyDescent="0.3">
      <c r="A4050" s="1" t="str">
        <f t="shared" si="754"/>
        <v>59825</v>
      </c>
      <c r="B4050" s="1" t="s">
        <v>30</v>
      </c>
      <c r="C4050" s="1" t="s">
        <v>31</v>
      </c>
      <c r="D4050" s="1" t="str">
        <f t="shared" si="755"/>
        <v>9805</v>
      </c>
      <c r="E4050" s="1" t="s">
        <v>57</v>
      </c>
      <c r="F4050" s="1" t="str">
        <f>"261550694"</f>
        <v>261550694</v>
      </c>
      <c r="G4050" s="1" t="s">
        <v>26</v>
      </c>
      <c r="H4050" s="1" t="str">
        <f t="shared" si="752"/>
        <v>20220917</v>
      </c>
      <c r="I4050" s="1" t="str">
        <f>"142907"</f>
        <v>142907</v>
      </c>
      <c r="J4050" s="1" t="s">
        <v>28</v>
      </c>
      <c r="K4050" s="1" t="s">
        <v>28</v>
      </c>
      <c r="L4050" s="1" t="str">
        <f t="shared" si="753"/>
        <v>20220917</v>
      </c>
      <c r="M4050" s="1" t="str">
        <f>"144111"</f>
        <v>144111</v>
      </c>
      <c r="N4050" s="1" t="s">
        <v>46</v>
      </c>
      <c r="O4050" s="1" t="s">
        <v>28</v>
      </c>
      <c r="P4050" s="1" t="s">
        <v>55</v>
      </c>
      <c r="Q4050" s="1">
        <v>13</v>
      </c>
      <c r="R4050" s="1">
        <v>0</v>
      </c>
      <c r="S4050" s="1">
        <v>13</v>
      </c>
      <c r="T4050" s="1">
        <v>0</v>
      </c>
      <c r="U4050" s="1">
        <v>0</v>
      </c>
      <c r="V4050" s="1" t="str">
        <f t="shared" si="756"/>
        <v>里程去程</v>
      </c>
      <c r="W4050" s="1" t="str">
        <f t="shared" si="757"/>
        <v>0820</v>
      </c>
      <c r="X4050" s="1" t="s">
        <v>35</v>
      </c>
    </row>
    <row r="4051" spans="1:24" x14ac:dyDescent="0.3">
      <c r="A4051" s="1" t="str">
        <f t="shared" si="754"/>
        <v>59825</v>
      </c>
      <c r="B4051" s="1" t="s">
        <v>30</v>
      </c>
      <c r="C4051" s="1" t="s">
        <v>31</v>
      </c>
      <c r="D4051" s="1" t="str">
        <f t="shared" si="755"/>
        <v>9805</v>
      </c>
      <c r="E4051" s="1" t="s">
        <v>57</v>
      </c>
      <c r="F4051" s="1" t="str">
        <f>"1047105909"</f>
        <v>1047105909</v>
      </c>
      <c r="G4051" s="1" t="s">
        <v>26</v>
      </c>
      <c r="H4051" s="1" t="str">
        <f t="shared" si="752"/>
        <v>20220917</v>
      </c>
      <c r="I4051" s="1" t="str">
        <f>"142913"</f>
        <v>142913</v>
      </c>
      <c r="J4051" s="1" t="s">
        <v>28</v>
      </c>
      <c r="K4051" s="1" t="s">
        <v>28</v>
      </c>
      <c r="L4051" s="1" t="str">
        <f t="shared" si="753"/>
        <v>20220917</v>
      </c>
      <c r="M4051" s="1" t="str">
        <f>"144121"</f>
        <v>144121</v>
      </c>
      <c r="N4051" s="1" t="s">
        <v>46</v>
      </c>
      <c r="O4051" s="1" t="s">
        <v>28</v>
      </c>
      <c r="P4051" s="1" t="s">
        <v>55</v>
      </c>
      <c r="Q4051" s="1">
        <v>13</v>
      </c>
      <c r="R4051" s="1">
        <v>0</v>
      </c>
      <c r="S4051" s="1">
        <v>13</v>
      </c>
      <c r="T4051" s="1">
        <v>0</v>
      </c>
      <c r="U4051" s="1">
        <v>0</v>
      </c>
      <c r="V4051" s="1" t="str">
        <f t="shared" si="756"/>
        <v>里程去程</v>
      </c>
      <c r="W4051" s="1" t="str">
        <f t="shared" si="757"/>
        <v>0820</v>
      </c>
      <c r="X4051" s="1" t="s">
        <v>35</v>
      </c>
    </row>
    <row r="4052" spans="1:24" x14ac:dyDescent="0.3">
      <c r="A4052" s="1" t="str">
        <f t="shared" si="754"/>
        <v>59825</v>
      </c>
      <c r="B4052" s="1" t="s">
        <v>30</v>
      </c>
      <c r="C4052" s="1" t="s">
        <v>31</v>
      </c>
      <c r="D4052" s="1" t="str">
        <f t="shared" si="755"/>
        <v>9805</v>
      </c>
      <c r="E4052" s="1" t="s">
        <v>57</v>
      </c>
      <c r="F4052" s="1" t="str">
        <f>"1654394117"</f>
        <v>1654394117</v>
      </c>
      <c r="G4052" s="1" t="s">
        <v>26</v>
      </c>
      <c r="H4052" s="1" t="str">
        <f t="shared" si="752"/>
        <v>20220917</v>
      </c>
      <c r="I4052" s="1" t="str">
        <f>"142915"</f>
        <v>142915</v>
      </c>
      <c r="J4052" s="1" t="s">
        <v>28</v>
      </c>
      <c r="K4052" s="1" t="s">
        <v>28</v>
      </c>
      <c r="L4052" s="1" t="str">
        <f t="shared" si="753"/>
        <v>20220917</v>
      </c>
      <c r="M4052" s="1" t="str">
        <f>"144118"</f>
        <v>144118</v>
      </c>
      <c r="N4052" s="1" t="s">
        <v>46</v>
      </c>
      <c r="O4052" s="1" t="s">
        <v>28</v>
      </c>
      <c r="P4052" s="1" t="s">
        <v>55</v>
      </c>
      <c r="Q4052" s="1">
        <v>13</v>
      </c>
      <c r="R4052" s="1">
        <v>0</v>
      </c>
      <c r="S4052" s="1">
        <v>13</v>
      </c>
      <c r="T4052" s="1">
        <v>0</v>
      </c>
      <c r="U4052" s="1">
        <v>0</v>
      </c>
      <c r="V4052" s="1" t="str">
        <f t="shared" si="756"/>
        <v>里程去程</v>
      </c>
      <c r="W4052" s="1" t="str">
        <f t="shared" si="757"/>
        <v>0820</v>
      </c>
      <c r="X4052" s="1" t="s">
        <v>35</v>
      </c>
    </row>
    <row r="4053" spans="1:24" x14ac:dyDescent="0.3">
      <c r="A4053" s="1" t="str">
        <f t="shared" si="754"/>
        <v>59825</v>
      </c>
      <c r="B4053" s="1" t="s">
        <v>30</v>
      </c>
      <c r="C4053" s="1" t="s">
        <v>31</v>
      </c>
      <c r="D4053" s="1" t="str">
        <f t="shared" si="755"/>
        <v>9805</v>
      </c>
      <c r="E4053" s="1" t="s">
        <v>57</v>
      </c>
      <c r="F4053" s="1" t="str">
        <f>"946658677"</f>
        <v>946658677</v>
      </c>
      <c r="G4053" s="1" t="s">
        <v>26</v>
      </c>
      <c r="H4053" s="1" t="str">
        <f t="shared" si="752"/>
        <v>20220917</v>
      </c>
      <c r="I4053" s="1" t="str">
        <f>"142920"</f>
        <v>142920</v>
      </c>
      <c r="J4053" s="1" t="s">
        <v>28</v>
      </c>
      <c r="K4053" s="1" t="s">
        <v>28</v>
      </c>
      <c r="L4053" s="1" t="str">
        <f t="shared" si="753"/>
        <v>20220917</v>
      </c>
      <c r="M4053" s="1" t="str">
        <f>"144107"</f>
        <v>144107</v>
      </c>
      <c r="N4053" s="1" t="s">
        <v>46</v>
      </c>
      <c r="O4053" s="1" t="s">
        <v>28</v>
      </c>
      <c r="P4053" s="1" t="s">
        <v>55</v>
      </c>
      <c r="Q4053" s="1">
        <v>13</v>
      </c>
      <c r="R4053" s="1">
        <v>0</v>
      </c>
      <c r="S4053" s="1">
        <v>13</v>
      </c>
      <c r="T4053" s="1">
        <v>0</v>
      </c>
      <c r="U4053" s="1">
        <v>0</v>
      </c>
      <c r="V4053" s="1" t="str">
        <f t="shared" si="756"/>
        <v>里程去程</v>
      </c>
      <c r="W4053" s="1" t="str">
        <f t="shared" si="757"/>
        <v>0820</v>
      </c>
      <c r="X4053" s="1" t="s">
        <v>35</v>
      </c>
    </row>
    <row r="4054" spans="1:24" x14ac:dyDescent="0.3">
      <c r="A4054" s="1" t="str">
        <f t="shared" si="754"/>
        <v>59825</v>
      </c>
      <c r="B4054" s="1" t="s">
        <v>30</v>
      </c>
      <c r="C4054" s="1" t="s">
        <v>31</v>
      </c>
      <c r="D4054" s="1" t="str">
        <f t="shared" si="755"/>
        <v>9805</v>
      </c>
      <c r="E4054" s="1" t="s">
        <v>57</v>
      </c>
      <c r="F4054" s="1" t="str">
        <f>"2918603341"</f>
        <v>2918603341</v>
      </c>
      <c r="G4054" s="1" t="s">
        <v>26</v>
      </c>
      <c r="H4054" s="1" t="str">
        <f t="shared" si="752"/>
        <v>20220917</v>
      </c>
      <c r="I4054" s="1" t="str">
        <f>"142924"</f>
        <v>142924</v>
      </c>
      <c r="J4054" s="1" t="s">
        <v>28</v>
      </c>
      <c r="K4054" s="1" t="s">
        <v>28</v>
      </c>
      <c r="L4054" s="1" t="str">
        <f t="shared" si="753"/>
        <v>20220917</v>
      </c>
      <c r="M4054" s="1" t="str">
        <f>"144103"</f>
        <v>144103</v>
      </c>
      <c r="N4054" s="1" t="s">
        <v>46</v>
      </c>
      <c r="O4054" s="1" t="s">
        <v>28</v>
      </c>
      <c r="P4054" s="1" t="s">
        <v>55</v>
      </c>
      <c r="Q4054" s="1">
        <v>13</v>
      </c>
      <c r="R4054" s="1">
        <v>0</v>
      </c>
      <c r="S4054" s="1">
        <v>13</v>
      </c>
      <c r="T4054" s="1">
        <v>0</v>
      </c>
      <c r="U4054" s="1">
        <v>0</v>
      </c>
      <c r="V4054" s="1" t="str">
        <f t="shared" si="756"/>
        <v>里程去程</v>
      </c>
      <c r="W4054" s="1" t="str">
        <f t="shared" si="757"/>
        <v>0820</v>
      </c>
      <c r="X4054" s="1" t="s">
        <v>35</v>
      </c>
    </row>
    <row r="4055" spans="1:24" x14ac:dyDescent="0.3">
      <c r="A4055" s="1" t="str">
        <f t="shared" si="754"/>
        <v>59825</v>
      </c>
      <c r="B4055" s="1" t="s">
        <v>30</v>
      </c>
      <c r="C4055" s="1" t="s">
        <v>31</v>
      </c>
      <c r="D4055" s="1" t="str">
        <f t="shared" si="755"/>
        <v>9805</v>
      </c>
      <c r="E4055" s="1" t="s">
        <v>57</v>
      </c>
      <c r="F4055" s="1" t="str">
        <f>"1706739877"</f>
        <v>1706739877</v>
      </c>
      <c r="G4055" s="1" t="s">
        <v>26</v>
      </c>
      <c r="H4055" s="1" t="str">
        <f t="shared" si="752"/>
        <v>20220917</v>
      </c>
      <c r="I4055" s="1" t="str">
        <f>"142930"</f>
        <v>142930</v>
      </c>
      <c r="J4055" s="1" t="s">
        <v>28</v>
      </c>
      <c r="K4055" s="1" t="s">
        <v>28</v>
      </c>
      <c r="L4055" s="1" t="str">
        <f t="shared" si="753"/>
        <v>20220917</v>
      </c>
      <c r="M4055" s="1" t="str">
        <f>"144124"</f>
        <v>144124</v>
      </c>
      <c r="N4055" s="1" t="s">
        <v>46</v>
      </c>
      <c r="O4055" s="1" t="s">
        <v>28</v>
      </c>
      <c r="P4055" s="1" t="s">
        <v>55</v>
      </c>
      <c r="Q4055" s="1">
        <v>13</v>
      </c>
      <c r="R4055" s="1">
        <v>0</v>
      </c>
      <c r="S4055" s="1">
        <v>13</v>
      </c>
      <c r="T4055" s="1">
        <v>0</v>
      </c>
      <c r="U4055" s="1">
        <v>0</v>
      </c>
      <c r="V4055" s="1" t="str">
        <f t="shared" si="756"/>
        <v>里程去程</v>
      </c>
      <c r="W4055" s="1" t="str">
        <f t="shared" si="757"/>
        <v>0820</v>
      </c>
      <c r="X4055" s="1" t="s">
        <v>35</v>
      </c>
    </row>
    <row r="4056" spans="1:24" x14ac:dyDescent="0.3">
      <c r="A4056" s="1" t="str">
        <f t="shared" si="754"/>
        <v>59825</v>
      </c>
      <c r="B4056" s="1" t="s">
        <v>30</v>
      </c>
      <c r="C4056" s="1" t="s">
        <v>31</v>
      </c>
      <c r="D4056" s="1" t="str">
        <f t="shared" si="755"/>
        <v>9805</v>
      </c>
      <c r="E4056" s="1" t="s">
        <v>57</v>
      </c>
      <c r="F4056" s="1" t="str">
        <f>"1074827233"</f>
        <v>1074827233</v>
      </c>
      <c r="G4056" s="1" t="s">
        <v>33</v>
      </c>
      <c r="H4056" s="1" t="str">
        <f t="shared" si="752"/>
        <v>20220917</v>
      </c>
      <c r="I4056" s="1" t="str">
        <f>"142941"</f>
        <v>142941</v>
      </c>
      <c r="J4056" s="1" t="s">
        <v>28</v>
      </c>
      <c r="K4056" s="1" t="s">
        <v>28</v>
      </c>
      <c r="L4056" s="1" t="str">
        <f t="shared" si="753"/>
        <v>20220917</v>
      </c>
      <c r="M4056" s="1" t="str">
        <f>"144535"</f>
        <v>144535</v>
      </c>
      <c r="N4056" s="1" t="s">
        <v>62</v>
      </c>
      <c r="O4056" s="1" t="s">
        <v>28</v>
      </c>
      <c r="P4056" s="1" t="s">
        <v>55</v>
      </c>
      <c r="Q4056" s="1">
        <v>25</v>
      </c>
      <c r="R4056" s="1">
        <v>0</v>
      </c>
      <c r="S4056" s="1">
        <v>25</v>
      </c>
      <c r="T4056" s="1">
        <v>0</v>
      </c>
      <c r="U4056" s="1">
        <v>0</v>
      </c>
      <c r="V4056" s="1" t="str">
        <f t="shared" si="756"/>
        <v>里程去程</v>
      </c>
      <c r="W4056" s="1" t="str">
        <f t="shared" si="757"/>
        <v>0820</v>
      </c>
      <c r="X4056" s="1" t="s">
        <v>35</v>
      </c>
    </row>
    <row r="4057" spans="1:24" x14ac:dyDescent="0.3">
      <c r="A4057" s="1" t="str">
        <f t="shared" si="754"/>
        <v>59825</v>
      </c>
      <c r="B4057" s="1" t="s">
        <v>30</v>
      </c>
      <c r="C4057" s="1" t="s">
        <v>31</v>
      </c>
      <c r="D4057" s="1" t="str">
        <f t="shared" si="755"/>
        <v>9805</v>
      </c>
      <c r="E4057" s="1" t="s">
        <v>57</v>
      </c>
      <c r="F4057" s="1" t="str">
        <f>"715407157"</f>
        <v>715407157</v>
      </c>
      <c r="G4057" s="1" t="s">
        <v>33</v>
      </c>
      <c r="H4057" s="1" t="str">
        <f t="shared" si="752"/>
        <v>20220917</v>
      </c>
      <c r="I4057" s="1" t="str">
        <f>"144833"</f>
        <v>144833</v>
      </c>
      <c r="J4057" s="1" t="s">
        <v>52</v>
      </c>
      <c r="K4057" s="1" t="s">
        <v>52</v>
      </c>
      <c r="L4057" s="1" t="str">
        <f t="shared" si="753"/>
        <v>20220917</v>
      </c>
      <c r="M4057" s="1" t="str">
        <f>"151031"</f>
        <v>151031</v>
      </c>
      <c r="N4057" s="1" t="s">
        <v>28</v>
      </c>
      <c r="O4057" s="1" t="s">
        <v>28</v>
      </c>
      <c r="P4057" s="1" t="s">
        <v>55</v>
      </c>
      <c r="Q4057" s="1">
        <v>25</v>
      </c>
      <c r="R4057" s="1">
        <v>0</v>
      </c>
      <c r="S4057" s="1">
        <v>25</v>
      </c>
      <c r="T4057" s="1">
        <v>0</v>
      </c>
      <c r="U4057" s="1">
        <v>0</v>
      </c>
      <c r="V4057" s="1" t="str">
        <f t="shared" ref="V4057:V4069" si="758">"里程返程"</f>
        <v>里程返程</v>
      </c>
      <c r="W4057" s="1" t="str">
        <f>"2120"</f>
        <v>2120</v>
      </c>
      <c r="X4057" s="1" t="s">
        <v>35</v>
      </c>
    </row>
    <row r="4058" spans="1:24" x14ac:dyDescent="0.3">
      <c r="A4058" s="1" t="str">
        <f t="shared" si="754"/>
        <v>59825</v>
      </c>
      <c r="B4058" s="1" t="s">
        <v>30</v>
      </c>
      <c r="C4058" s="1" t="s">
        <v>31</v>
      </c>
      <c r="D4058" s="1" t="str">
        <f t="shared" si="755"/>
        <v>9805</v>
      </c>
      <c r="E4058" s="1" t="s">
        <v>57</v>
      </c>
      <c r="F4058" s="1" t="str">
        <f>"4077305364"</f>
        <v>4077305364</v>
      </c>
      <c r="G4058" s="1" t="s">
        <v>33</v>
      </c>
      <c r="H4058" s="1" t="str">
        <f t="shared" si="752"/>
        <v>20220917</v>
      </c>
      <c r="I4058" s="1" t="str">
        <f>"144838"</f>
        <v>144838</v>
      </c>
      <c r="J4058" s="1" t="s">
        <v>52</v>
      </c>
      <c r="K4058" s="1" t="s">
        <v>52</v>
      </c>
      <c r="L4058" s="1" t="str">
        <f t="shared" si="753"/>
        <v>20220917</v>
      </c>
      <c r="M4058" s="1" t="str">
        <f>"151035"</f>
        <v>151035</v>
      </c>
      <c r="N4058" s="1" t="s">
        <v>28</v>
      </c>
      <c r="O4058" s="1" t="s">
        <v>28</v>
      </c>
      <c r="P4058" s="1" t="s">
        <v>55</v>
      </c>
      <c r="Q4058" s="1">
        <v>25</v>
      </c>
      <c r="R4058" s="1">
        <v>0</v>
      </c>
      <c r="S4058" s="1">
        <v>25</v>
      </c>
      <c r="T4058" s="1">
        <v>0</v>
      </c>
      <c r="U4058" s="1">
        <v>0</v>
      </c>
      <c r="V4058" s="1" t="str">
        <f t="shared" si="758"/>
        <v>里程返程</v>
      </c>
      <c r="W4058" s="1" t="str">
        <f>"2120"</f>
        <v>2120</v>
      </c>
      <c r="X4058" s="1" t="s">
        <v>35</v>
      </c>
    </row>
    <row r="4059" spans="1:24" x14ac:dyDescent="0.3">
      <c r="A4059" s="1" t="str">
        <f t="shared" si="754"/>
        <v>59825</v>
      </c>
      <c r="B4059" s="1" t="s">
        <v>30</v>
      </c>
      <c r="C4059" s="1" t="s">
        <v>31</v>
      </c>
      <c r="D4059" s="1" t="str">
        <f t="shared" si="755"/>
        <v>9805</v>
      </c>
      <c r="E4059" s="1" t="s">
        <v>57</v>
      </c>
      <c r="F4059" s="1" t="str">
        <f>"96594849"</f>
        <v>96594849</v>
      </c>
      <c r="G4059" s="1" t="s">
        <v>33</v>
      </c>
      <c r="H4059" s="1" t="str">
        <f t="shared" si="752"/>
        <v>20220917</v>
      </c>
      <c r="I4059" s="1" t="str">
        <f>"144844"</f>
        <v>144844</v>
      </c>
      <c r="J4059" s="1" t="s">
        <v>52</v>
      </c>
      <c r="K4059" s="1" t="s">
        <v>52</v>
      </c>
      <c r="L4059" s="1" t="str">
        <f t="shared" si="753"/>
        <v>20220917</v>
      </c>
      <c r="M4059" s="1" t="str">
        <f>"151037"</f>
        <v>151037</v>
      </c>
      <c r="N4059" s="1" t="s">
        <v>28</v>
      </c>
      <c r="O4059" s="1" t="s">
        <v>28</v>
      </c>
      <c r="P4059" s="1" t="s">
        <v>55</v>
      </c>
      <c r="Q4059" s="1">
        <v>25</v>
      </c>
      <c r="R4059" s="1">
        <v>0</v>
      </c>
      <c r="S4059" s="1">
        <v>25</v>
      </c>
      <c r="T4059" s="1">
        <v>0</v>
      </c>
      <c r="U4059" s="1">
        <v>0</v>
      </c>
      <c r="V4059" s="1" t="str">
        <f t="shared" si="758"/>
        <v>里程返程</v>
      </c>
      <c r="W4059" s="1" t="str">
        <f>"2020"</f>
        <v>2020</v>
      </c>
      <c r="X4059" s="1" t="s">
        <v>35</v>
      </c>
    </row>
    <row r="4060" spans="1:24" x14ac:dyDescent="0.3">
      <c r="A4060" s="1" t="str">
        <f t="shared" si="754"/>
        <v>59825</v>
      </c>
      <c r="B4060" s="1" t="s">
        <v>30</v>
      </c>
      <c r="C4060" s="1" t="s">
        <v>31</v>
      </c>
      <c r="D4060" s="1" t="str">
        <f t="shared" ref="D4060:D4069" si="759">"9803"</f>
        <v>9803</v>
      </c>
      <c r="E4060" s="1" t="s">
        <v>32</v>
      </c>
      <c r="F4060" s="1" t="str">
        <f>"1635100277"</f>
        <v>1635100277</v>
      </c>
      <c r="G4060" s="1" t="s">
        <v>33</v>
      </c>
      <c r="H4060" s="1" t="str">
        <f t="shared" si="752"/>
        <v>20220917</v>
      </c>
      <c r="I4060" s="1" t="str">
        <f>"153326"</f>
        <v>153326</v>
      </c>
      <c r="J4060" s="1" t="s">
        <v>34</v>
      </c>
      <c r="K4060" s="1" t="s">
        <v>34</v>
      </c>
      <c r="L4060" s="1" t="str">
        <f t="shared" si="753"/>
        <v>20220917</v>
      </c>
      <c r="M4060" s="1" t="str">
        <f>"160827"</f>
        <v>160827</v>
      </c>
      <c r="N4060" s="1" t="s">
        <v>28</v>
      </c>
      <c r="O4060" s="1" t="s">
        <v>28</v>
      </c>
      <c r="P4060" s="1" t="s">
        <v>55</v>
      </c>
      <c r="Q4060" s="1">
        <v>25</v>
      </c>
      <c r="R4060" s="1">
        <v>25</v>
      </c>
      <c r="S4060" s="1">
        <v>0</v>
      </c>
      <c r="T4060" s="1">
        <v>0</v>
      </c>
      <c r="U4060" s="1">
        <v>0</v>
      </c>
      <c r="V4060" s="1" t="str">
        <f t="shared" si="758"/>
        <v>里程返程</v>
      </c>
      <c r="W4060" s="1" t="str">
        <f>"2020"</f>
        <v>2020</v>
      </c>
      <c r="X4060" s="1" t="s">
        <v>35</v>
      </c>
    </row>
    <row r="4061" spans="1:24" x14ac:dyDescent="0.3">
      <c r="A4061" s="1" t="str">
        <f t="shared" si="754"/>
        <v>59825</v>
      </c>
      <c r="B4061" s="1" t="s">
        <v>30</v>
      </c>
      <c r="C4061" s="1" t="s">
        <v>31</v>
      </c>
      <c r="D4061" s="1" t="str">
        <f t="shared" si="759"/>
        <v>9803</v>
      </c>
      <c r="E4061" s="1" t="s">
        <v>32</v>
      </c>
      <c r="F4061" s="1" t="str">
        <f>"1607714817"</f>
        <v>1607714817</v>
      </c>
      <c r="G4061" s="1" t="s">
        <v>33</v>
      </c>
      <c r="H4061" s="1" t="str">
        <f t="shared" si="752"/>
        <v>20220917</v>
      </c>
      <c r="I4061" s="1" t="str">
        <f>"153406"</f>
        <v>153406</v>
      </c>
      <c r="J4061" s="1" t="s">
        <v>34</v>
      </c>
      <c r="K4061" s="1" t="s">
        <v>34</v>
      </c>
      <c r="L4061" s="1" t="str">
        <f t="shared" si="753"/>
        <v>20220917</v>
      </c>
      <c r="M4061" s="1" t="str">
        <f>"160802"</f>
        <v>160802</v>
      </c>
      <c r="N4061" s="1" t="s">
        <v>28</v>
      </c>
      <c r="O4061" s="1" t="s">
        <v>28</v>
      </c>
      <c r="P4061" s="1" t="s">
        <v>55</v>
      </c>
      <c r="Q4061" s="1">
        <v>25</v>
      </c>
      <c r="R4061" s="1">
        <v>25</v>
      </c>
      <c r="S4061" s="1">
        <v>0</v>
      </c>
      <c r="T4061" s="1">
        <v>0</v>
      </c>
      <c r="U4061" s="1">
        <v>0</v>
      </c>
      <c r="V4061" s="1" t="str">
        <f t="shared" si="758"/>
        <v>里程返程</v>
      </c>
      <c r="W4061" s="1" t="str">
        <f>"2020"</f>
        <v>2020</v>
      </c>
      <c r="X4061" s="1" t="s">
        <v>35</v>
      </c>
    </row>
    <row r="4062" spans="1:24" x14ac:dyDescent="0.3">
      <c r="A4062" s="1" t="str">
        <f t="shared" si="754"/>
        <v>59825</v>
      </c>
      <c r="B4062" s="1" t="s">
        <v>30</v>
      </c>
      <c r="C4062" s="1" t="s">
        <v>31</v>
      </c>
      <c r="D4062" s="1" t="str">
        <f t="shared" si="759"/>
        <v>9803</v>
      </c>
      <c r="E4062" s="1" t="s">
        <v>32</v>
      </c>
      <c r="F4062" s="1" t="str">
        <f>"3105B440C0280400F700000000000000"</f>
        <v>3105B440C0280400F700000000000000</v>
      </c>
      <c r="G4062" s="1" t="s">
        <v>58</v>
      </c>
      <c r="H4062" s="1" t="str">
        <f t="shared" si="752"/>
        <v>20220917</v>
      </c>
      <c r="I4062" s="1" t="str">
        <f>"153408"</f>
        <v>153408</v>
      </c>
      <c r="J4062" s="1" t="s">
        <v>34</v>
      </c>
      <c r="K4062" s="1" t="s">
        <v>34</v>
      </c>
      <c r="L4062" s="1" t="str">
        <f t="shared" si="753"/>
        <v>20220917</v>
      </c>
      <c r="M4062" s="1" t="str">
        <f>"160758"</f>
        <v>160758</v>
      </c>
      <c r="N4062" s="1" t="s">
        <v>95</v>
      </c>
      <c r="O4062" s="1" t="s">
        <v>28</v>
      </c>
      <c r="P4062" s="1" t="s">
        <v>55</v>
      </c>
      <c r="Q4062" s="1">
        <v>25</v>
      </c>
      <c r="R4062" s="1">
        <v>25</v>
      </c>
      <c r="S4062" s="1">
        <v>0</v>
      </c>
      <c r="T4062" s="1">
        <v>0</v>
      </c>
      <c r="U4062" s="1">
        <v>0</v>
      </c>
      <c r="V4062" s="1" t="str">
        <f t="shared" si="758"/>
        <v>里程返程</v>
      </c>
      <c r="W4062" s="1" t="str">
        <f>"0020"</f>
        <v>0020</v>
      </c>
      <c r="X4062" s="1" t="s">
        <v>29</v>
      </c>
    </row>
    <row r="4063" spans="1:24" x14ac:dyDescent="0.3">
      <c r="A4063" s="1" t="str">
        <f t="shared" si="754"/>
        <v>59825</v>
      </c>
      <c r="B4063" s="1" t="s">
        <v>30</v>
      </c>
      <c r="C4063" s="1" t="s">
        <v>31</v>
      </c>
      <c r="D4063" s="1" t="str">
        <f t="shared" si="759"/>
        <v>9803</v>
      </c>
      <c r="E4063" s="1" t="s">
        <v>32</v>
      </c>
      <c r="F4063" s="1" t="str">
        <f>"1616940757"</f>
        <v>1616940757</v>
      </c>
      <c r="G4063" s="1" t="s">
        <v>33</v>
      </c>
      <c r="H4063" s="1" t="str">
        <f t="shared" si="752"/>
        <v>20220917</v>
      </c>
      <c r="I4063" s="1" t="str">
        <f>"153801"</f>
        <v>153801</v>
      </c>
      <c r="J4063" s="1" t="s">
        <v>34</v>
      </c>
      <c r="K4063" s="1" t="s">
        <v>34</v>
      </c>
      <c r="L4063" s="1" t="str">
        <f t="shared" si="753"/>
        <v>20220917</v>
      </c>
      <c r="M4063" s="1" t="str">
        <f>"160847"</f>
        <v>160847</v>
      </c>
      <c r="N4063" s="1" t="s">
        <v>28</v>
      </c>
      <c r="O4063" s="1" t="s">
        <v>28</v>
      </c>
      <c r="P4063" s="1" t="s">
        <v>55</v>
      </c>
      <c r="Q4063" s="1">
        <v>25</v>
      </c>
      <c r="R4063" s="1">
        <v>25</v>
      </c>
      <c r="S4063" s="1">
        <v>0</v>
      </c>
      <c r="T4063" s="1">
        <v>0</v>
      </c>
      <c r="U4063" s="1">
        <v>0</v>
      </c>
      <c r="V4063" s="1" t="str">
        <f t="shared" si="758"/>
        <v>里程返程</v>
      </c>
      <c r="W4063" s="1" t="str">
        <f>"2020"</f>
        <v>2020</v>
      </c>
      <c r="X4063" s="1" t="s">
        <v>35</v>
      </c>
    </row>
    <row r="4064" spans="1:24" x14ac:dyDescent="0.3">
      <c r="A4064" s="1" t="str">
        <f t="shared" si="754"/>
        <v>59825</v>
      </c>
      <c r="B4064" s="1" t="s">
        <v>30</v>
      </c>
      <c r="C4064" s="1" t="s">
        <v>31</v>
      </c>
      <c r="D4064" s="1" t="str">
        <f t="shared" si="759"/>
        <v>9803</v>
      </c>
      <c r="E4064" s="1" t="s">
        <v>32</v>
      </c>
      <c r="F4064" s="1" t="str">
        <f>"121D3F0232880400C821002000000015"</f>
        <v>121D3F0232880400C821002000000015</v>
      </c>
      <c r="G4064" s="1" t="s">
        <v>58</v>
      </c>
      <c r="H4064" s="1" t="str">
        <f t="shared" si="752"/>
        <v>20220917</v>
      </c>
      <c r="I4064" s="1" t="str">
        <f>"153848"</f>
        <v>153848</v>
      </c>
      <c r="J4064" s="1" t="s">
        <v>34</v>
      </c>
      <c r="K4064" s="1" t="s">
        <v>34</v>
      </c>
      <c r="L4064" s="1" t="str">
        <f t="shared" si="753"/>
        <v>20220917</v>
      </c>
      <c r="M4064" s="1" t="str">
        <f>"160842"</f>
        <v>160842</v>
      </c>
      <c r="N4064" s="1" t="s">
        <v>28</v>
      </c>
      <c r="O4064" s="1" t="s">
        <v>28</v>
      </c>
      <c r="P4064" s="1" t="s">
        <v>55</v>
      </c>
      <c r="Q4064" s="1">
        <v>25</v>
      </c>
      <c r="R4064" s="1">
        <v>25</v>
      </c>
      <c r="S4064" s="1">
        <v>0</v>
      </c>
      <c r="T4064" s="1">
        <v>0</v>
      </c>
      <c r="U4064" s="1">
        <v>0</v>
      </c>
      <c r="V4064" s="1" t="str">
        <f t="shared" si="758"/>
        <v>里程返程</v>
      </c>
      <c r="W4064" s="1" t="str">
        <f>"0020"</f>
        <v>0020</v>
      </c>
      <c r="X4064" s="1" t="s">
        <v>29</v>
      </c>
    </row>
    <row r="4065" spans="1:24" x14ac:dyDescent="0.3">
      <c r="A4065" s="1" t="str">
        <f t="shared" si="754"/>
        <v>59825</v>
      </c>
      <c r="B4065" s="1" t="s">
        <v>30</v>
      </c>
      <c r="C4065" s="1" t="s">
        <v>31</v>
      </c>
      <c r="D4065" s="1" t="str">
        <f t="shared" si="759"/>
        <v>9803</v>
      </c>
      <c r="E4065" s="1" t="s">
        <v>32</v>
      </c>
      <c r="F4065" s="1" t="str">
        <f>"C1541E29A2280400F700000000000000"</f>
        <v>C1541E29A2280400F700000000000000</v>
      </c>
      <c r="G4065" s="1" t="s">
        <v>58</v>
      </c>
      <c r="H4065" s="1" t="str">
        <f t="shared" si="752"/>
        <v>20220917</v>
      </c>
      <c r="I4065" s="1" t="str">
        <f>"154056"</f>
        <v>154056</v>
      </c>
      <c r="J4065" s="1" t="s">
        <v>34</v>
      </c>
      <c r="K4065" s="1" t="s">
        <v>34</v>
      </c>
      <c r="L4065" s="1" t="str">
        <f t="shared" si="753"/>
        <v>20220917</v>
      </c>
      <c r="M4065" s="1" t="str">
        <f>"160834"</f>
        <v>160834</v>
      </c>
      <c r="N4065" s="1" t="s">
        <v>28</v>
      </c>
      <c r="O4065" s="1" t="s">
        <v>28</v>
      </c>
      <c r="P4065" s="1" t="s">
        <v>55</v>
      </c>
      <c r="Q4065" s="1">
        <v>25</v>
      </c>
      <c r="R4065" s="1">
        <v>25</v>
      </c>
      <c r="S4065" s="1">
        <v>0</v>
      </c>
      <c r="T4065" s="1">
        <v>0</v>
      </c>
      <c r="U4065" s="1">
        <v>0</v>
      </c>
      <c r="V4065" s="1" t="str">
        <f t="shared" si="758"/>
        <v>里程返程</v>
      </c>
      <c r="W4065" s="1" t="str">
        <f>"0020"</f>
        <v>0020</v>
      </c>
      <c r="X4065" s="1" t="s">
        <v>29</v>
      </c>
    </row>
    <row r="4066" spans="1:24" x14ac:dyDescent="0.3">
      <c r="A4066" s="1" t="str">
        <f t="shared" si="754"/>
        <v>59825</v>
      </c>
      <c r="B4066" s="1" t="s">
        <v>30</v>
      </c>
      <c r="C4066" s="1" t="s">
        <v>110</v>
      </c>
      <c r="D4066" s="1" t="str">
        <f t="shared" si="759"/>
        <v>9803</v>
      </c>
      <c r="E4066" s="1" t="s">
        <v>32</v>
      </c>
      <c r="F4066" s="1" t="str">
        <f>"7311210498002798"</f>
        <v>7311210498002798</v>
      </c>
      <c r="G4066" s="1" t="s">
        <v>33</v>
      </c>
      <c r="H4066" s="1" t="str">
        <f t="shared" si="752"/>
        <v>20220917</v>
      </c>
      <c r="I4066" s="1" t="str">
        <f>"154147"</f>
        <v>154147</v>
      </c>
      <c r="J4066" s="1" t="s">
        <v>34</v>
      </c>
      <c r="K4066" s="1" t="s">
        <v>34</v>
      </c>
      <c r="L4066" s="1" t="str">
        <f t="shared" si="753"/>
        <v>20220917</v>
      </c>
      <c r="M4066" s="1" t="str">
        <f>"160839"</f>
        <v>160839</v>
      </c>
      <c r="N4066" s="1" t="s">
        <v>28</v>
      </c>
      <c r="O4066" s="1" t="s">
        <v>28</v>
      </c>
      <c r="P4066" s="1" t="s">
        <v>55</v>
      </c>
      <c r="Q4066" s="1">
        <v>25</v>
      </c>
      <c r="R4066" s="1">
        <v>25</v>
      </c>
      <c r="S4066" s="1">
        <v>0</v>
      </c>
      <c r="T4066" s="1">
        <v>0</v>
      </c>
      <c r="U4066" s="1">
        <v>0</v>
      </c>
      <c r="V4066" s="1" t="str">
        <f t="shared" si="758"/>
        <v>里程返程</v>
      </c>
      <c r="W4066" s="1" t="str">
        <f>"003B"</f>
        <v>003B</v>
      </c>
      <c r="X4066" s="1" t="s">
        <v>109</v>
      </c>
    </row>
    <row r="4067" spans="1:24" x14ac:dyDescent="0.3">
      <c r="A4067" s="1" t="str">
        <f t="shared" si="754"/>
        <v>59825</v>
      </c>
      <c r="B4067" s="1" t="s">
        <v>30</v>
      </c>
      <c r="C4067" s="1" t="s">
        <v>31</v>
      </c>
      <c r="D4067" s="1" t="str">
        <f t="shared" si="759"/>
        <v>9803</v>
      </c>
      <c r="E4067" s="1" t="s">
        <v>32</v>
      </c>
      <c r="F4067" s="1" t="str">
        <f>"1892873755"</f>
        <v>1892873755</v>
      </c>
      <c r="G4067" s="1" t="s">
        <v>33</v>
      </c>
      <c r="H4067" s="1" t="str">
        <f t="shared" si="752"/>
        <v>20220917</v>
      </c>
      <c r="I4067" s="1" t="str">
        <f>"154201"</f>
        <v>154201</v>
      </c>
      <c r="J4067" s="1" t="s">
        <v>34</v>
      </c>
      <c r="K4067" s="1" t="s">
        <v>34</v>
      </c>
      <c r="L4067" s="1" t="str">
        <f t="shared" si="753"/>
        <v>20220917</v>
      </c>
      <c r="M4067" s="1" t="str">
        <f>"160823"</f>
        <v>160823</v>
      </c>
      <c r="N4067" s="1" t="s">
        <v>28</v>
      </c>
      <c r="O4067" s="1" t="s">
        <v>28</v>
      </c>
      <c r="P4067" s="1" t="s">
        <v>55</v>
      </c>
      <c r="Q4067" s="1">
        <v>25</v>
      </c>
      <c r="R4067" s="1">
        <v>0</v>
      </c>
      <c r="S4067" s="1">
        <v>25</v>
      </c>
      <c r="T4067" s="1">
        <v>0</v>
      </c>
      <c r="U4067" s="1">
        <v>0</v>
      </c>
      <c r="V4067" s="1" t="str">
        <f t="shared" si="758"/>
        <v>里程返程</v>
      </c>
      <c r="W4067" s="1" t="str">
        <f>"2120"</f>
        <v>2120</v>
      </c>
      <c r="X4067" s="1" t="s">
        <v>35</v>
      </c>
    </row>
    <row r="4068" spans="1:24" x14ac:dyDescent="0.3">
      <c r="A4068" s="1" t="str">
        <f t="shared" si="754"/>
        <v>59825</v>
      </c>
      <c r="B4068" s="1" t="s">
        <v>30</v>
      </c>
      <c r="C4068" s="1" t="s">
        <v>31</v>
      </c>
      <c r="D4068" s="1" t="str">
        <f t="shared" si="759"/>
        <v>9803</v>
      </c>
      <c r="E4068" s="1" t="s">
        <v>32</v>
      </c>
      <c r="F4068" s="1" t="str">
        <f>"792283269"</f>
        <v>792283269</v>
      </c>
      <c r="G4068" s="1" t="s">
        <v>33</v>
      </c>
      <c r="H4068" s="1" t="str">
        <f t="shared" si="752"/>
        <v>20220917</v>
      </c>
      <c r="I4068" s="1" t="str">
        <f>"155929"</f>
        <v>155929</v>
      </c>
      <c r="J4068" s="1" t="s">
        <v>46</v>
      </c>
      <c r="K4068" s="1" t="s">
        <v>28</v>
      </c>
      <c r="L4068" s="1" t="str">
        <f t="shared" si="753"/>
        <v>20220917</v>
      </c>
      <c r="M4068" s="1" t="str">
        <f>"160901"</f>
        <v>160901</v>
      </c>
      <c r="N4068" s="1" t="s">
        <v>28</v>
      </c>
      <c r="O4068" s="1" t="s">
        <v>28</v>
      </c>
      <c r="P4068" s="1" t="s">
        <v>55</v>
      </c>
      <c r="Q4068" s="1">
        <v>25</v>
      </c>
      <c r="R4068" s="1">
        <v>25</v>
      </c>
      <c r="S4068" s="1">
        <v>0</v>
      </c>
      <c r="T4068" s="1">
        <v>0</v>
      </c>
      <c r="U4068" s="1">
        <v>0</v>
      </c>
      <c r="V4068" s="1" t="str">
        <f t="shared" si="758"/>
        <v>里程返程</v>
      </c>
      <c r="W4068" s="1" t="str">
        <f>"2020"</f>
        <v>2020</v>
      </c>
      <c r="X4068" s="1" t="s">
        <v>35</v>
      </c>
    </row>
    <row r="4069" spans="1:24" x14ac:dyDescent="0.3">
      <c r="A4069" s="1" t="str">
        <f t="shared" si="754"/>
        <v>59825</v>
      </c>
      <c r="B4069" s="1" t="s">
        <v>30</v>
      </c>
      <c r="C4069" s="1" t="s">
        <v>31</v>
      </c>
      <c r="D4069" s="1" t="str">
        <f t="shared" si="759"/>
        <v>9803</v>
      </c>
      <c r="E4069" s="1" t="s">
        <v>32</v>
      </c>
      <c r="F4069" s="1" t="str">
        <f>"1014064501"</f>
        <v>1014064501</v>
      </c>
      <c r="G4069" s="1" t="s">
        <v>33</v>
      </c>
      <c r="H4069" s="1" t="str">
        <f t="shared" si="752"/>
        <v>20220917</v>
      </c>
      <c r="I4069" s="1" t="str">
        <f>"155931"</f>
        <v>155931</v>
      </c>
      <c r="J4069" s="1" t="s">
        <v>46</v>
      </c>
      <c r="K4069" s="1" t="s">
        <v>28</v>
      </c>
      <c r="L4069" s="1" t="str">
        <f t="shared" si="753"/>
        <v>20220917</v>
      </c>
      <c r="M4069" s="1" t="str">
        <f>"160900"</f>
        <v>160900</v>
      </c>
      <c r="N4069" s="1" t="s">
        <v>28</v>
      </c>
      <c r="O4069" s="1" t="s">
        <v>28</v>
      </c>
      <c r="P4069" s="1" t="s">
        <v>55</v>
      </c>
      <c r="Q4069" s="1">
        <v>25</v>
      </c>
      <c r="R4069" s="1">
        <v>25</v>
      </c>
      <c r="S4069" s="1">
        <v>0</v>
      </c>
      <c r="T4069" s="1">
        <v>0</v>
      </c>
      <c r="U4069" s="1">
        <v>0</v>
      </c>
      <c r="V4069" s="1" t="str">
        <f t="shared" si="758"/>
        <v>里程返程</v>
      </c>
      <c r="W4069" s="1" t="str">
        <f>"2020"</f>
        <v>2020</v>
      </c>
      <c r="X4069" s="1" t="s">
        <v>35</v>
      </c>
    </row>
    <row r="4070" spans="1:24" x14ac:dyDescent="0.3">
      <c r="A4070" s="1" t="str">
        <f t="shared" si="754"/>
        <v>59825</v>
      </c>
      <c r="B4070" s="1" t="s">
        <v>30</v>
      </c>
      <c r="C4070" s="1" t="s">
        <v>31</v>
      </c>
      <c r="D4070" s="1" t="str">
        <f>"9806"</f>
        <v>9806</v>
      </c>
      <c r="E4070" s="1" t="s">
        <v>49</v>
      </c>
      <c r="F4070" s="1" t="str">
        <f>"3191A52C29280400F700000000000000"</f>
        <v>3191A52C29280400F700000000000000</v>
      </c>
      <c r="G4070" s="1" t="s">
        <v>58</v>
      </c>
      <c r="H4070" s="1" t="str">
        <f t="shared" si="752"/>
        <v>20220917</v>
      </c>
      <c r="I4070" s="1" t="str">
        <f>"162936"</f>
        <v>162936</v>
      </c>
      <c r="J4070" s="1" t="s">
        <v>50</v>
      </c>
      <c r="K4070" s="1" t="s">
        <v>50</v>
      </c>
      <c r="L4070" s="1" t="str">
        <f t="shared" si="753"/>
        <v>20220917</v>
      </c>
      <c r="M4070" s="1" t="str">
        <f>"164520"</f>
        <v>164520</v>
      </c>
      <c r="N4070" s="1" t="s">
        <v>28</v>
      </c>
      <c r="O4070" s="1" t="s">
        <v>28</v>
      </c>
      <c r="P4070" s="1" t="s">
        <v>55</v>
      </c>
      <c r="Q4070" s="1">
        <v>25</v>
      </c>
      <c r="R4070" s="1">
        <v>25</v>
      </c>
      <c r="S4070" s="1">
        <v>0</v>
      </c>
      <c r="T4070" s="1">
        <v>0</v>
      </c>
      <c r="U4070" s="1">
        <v>0</v>
      </c>
      <c r="V4070" s="1" t="str">
        <f>"里程去程"</f>
        <v>里程去程</v>
      </c>
      <c r="W4070" s="1" t="str">
        <f>"0020"</f>
        <v>0020</v>
      </c>
      <c r="X4070" s="1" t="s">
        <v>29</v>
      </c>
    </row>
    <row r="4071" spans="1:24" x14ac:dyDescent="0.3">
      <c r="A4071" s="1" t="str">
        <f t="shared" si="754"/>
        <v>59825</v>
      </c>
      <c r="B4071" s="1" t="s">
        <v>30</v>
      </c>
      <c r="C4071" s="1" t="s">
        <v>31</v>
      </c>
      <c r="D4071" s="1" t="str">
        <f>"9805"</f>
        <v>9805</v>
      </c>
      <c r="E4071" s="1" t="s">
        <v>57</v>
      </c>
      <c r="F4071" s="1" t="str">
        <f>"1272F30E9D880400C820002000000018"</f>
        <v>1272F30E9D880400C820002000000018</v>
      </c>
      <c r="G4071" s="1" t="s">
        <v>59</v>
      </c>
      <c r="H4071" s="1" t="str">
        <f t="shared" si="752"/>
        <v>20220917</v>
      </c>
      <c r="I4071" s="1" t="str">
        <f>"164630"</f>
        <v>164630</v>
      </c>
      <c r="J4071" s="1" t="s">
        <v>28</v>
      </c>
      <c r="K4071" s="1" t="s">
        <v>28</v>
      </c>
      <c r="L4071" s="1" t="str">
        <f t="shared" si="753"/>
        <v>20220917</v>
      </c>
      <c r="M4071" s="1" t="str">
        <f>"170301"</f>
        <v>170301</v>
      </c>
      <c r="N4071" s="1" t="s">
        <v>61</v>
      </c>
      <c r="O4071" s="1" t="s">
        <v>28</v>
      </c>
      <c r="P4071" s="1" t="s">
        <v>55</v>
      </c>
      <c r="Q4071" s="1">
        <v>25</v>
      </c>
      <c r="R4071" s="1">
        <v>0</v>
      </c>
      <c r="S4071" s="1">
        <v>25</v>
      </c>
      <c r="T4071" s="1">
        <v>0</v>
      </c>
      <c r="U4071" s="1">
        <v>0</v>
      </c>
      <c r="V4071" s="1" t="str">
        <f>"里程去程"</f>
        <v>里程去程</v>
      </c>
      <c r="W4071" s="1" t="str">
        <f>"0620"</f>
        <v>0620</v>
      </c>
      <c r="X4071" s="1" t="s">
        <v>29</v>
      </c>
    </row>
    <row r="4072" spans="1:24" x14ac:dyDescent="0.3">
      <c r="A4072" s="1" t="str">
        <f t="shared" si="754"/>
        <v>59825</v>
      </c>
      <c r="B4072" s="1" t="s">
        <v>30</v>
      </c>
      <c r="C4072" s="1" t="s">
        <v>31</v>
      </c>
      <c r="D4072" s="1" t="str">
        <f>"9805"</f>
        <v>9805</v>
      </c>
      <c r="E4072" s="1" t="s">
        <v>57</v>
      </c>
      <c r="F4072" s="1" t="str">
        <f>"797384545"</f>
        <v>797384545</v>
      </c>
      <c r="G4072" s="1" t="s">
        <v>33</v>
      </c>
      <c r="H4072" s="1" t="str">
        <f t="shared" si="752"/>
        <v>20220917</v>
      </c>
      <c r="I4072" s="1" t="str">
        <f>"165107"</f>
        <v>165107</v>
      </c>
      <c r="J4072" s="1" t="s">
        <v>28</v>
      </c>
      <c r="K4072" s="1" t="s">
        <v>28</v>
      </c>
      <c r="L4072" s="1" t="str">
        <f t="shared" si="753"/>
        <v>20220917</v>
      </c>
      <c r="M4072" s="1" t="str">
        <f>"170538"</f>
        <v>170538</v>
      </c>
      <c r="N4072" s="1" t="s">
        <v>62</v>
      </c>
      <c r="O4072" s="1" t="s">
        <v>28</v>
      </c>
      <c r="P4072" s="1" t="s">
        <v>55</v>
      </c>
      <c r="Q4072" s="1">
        <v>25</v>
      </c>
      <c r="R4072" s="1">
        <v>25</v>
      </c>
      <c r="S4072" s="1">
        <v>0</v>
      </c>
      <c r="T4072" s="1">
        <v>0</v>
      </c>
      <c r="U4072" s="1">
        <v>0</v>
      </c>
      <c r="V4072" s="1" t="str">
        <f>"里程去程"</f>
        <v>里程去程</v>
      </c>
      <c r="W4072" s="1" t="str">
        <f>"1120"</f>
        <v>1120</v>
      </c>
      <c r="X4072" s="1" t="s">
        <v>35</v>
      </c>
    </row>
    <row r="4073" spans="1:24" x14ac:dyDescent="0.3">
      <c r="A4073" s="1" t="str">
        <f t="shared" ref="A4073:A4082" si="760">"59825"</f>
        <v>59825</v>
      </c>
      <c r="B4073" s="1" t="s">
        <v>30</v>
      </c>
      <c r="C4073" s="1" t="s">
        <v>31</v>
      </c>
      <c r="D4073" s="1" t="str">
        <f>"9805"</f>
        <v>9805</v>
      </c>
      <c r="E4073" s="1" t="s">
        <v>57</v>
      </c>
      <c r="F4073" s="1" t="str">
        <f>"D204451784880400C814002000000019"</f>
        <v>D204451784880400C814002000000019</v>
      </c>
      <c r="G4073" s="1" t="s">
        <v>58</v>
      </c>
      <c r="H4073" s="1" t="str">
        <f t="shared" si="752"/>
        <v>20220917</v>
      </c>
      <c r="I4073" s="1" t="str">
        <f>"170105"</f>
        <v>170105</v>
      </c>
      <c r="J4073" s="1" t="s">
        <v>46</v>
      </c>
      <c r="K4073" s="1" t="s">
        <v>28</v>
      </c>
      <c r="L4073" s="1" t="str">
        <f t="shared" si="753"/>
        <v>20220917</v>
      </c>
      <c r="M4073" s="1" t="str">
        <f>"170549"</f>
        <v>170549</v>
      </c>
      <c r="N4073" s="1" t="s">
        <v>62</v>
      </c>
      <c r="O4073" s="1" t="s">
        <v>28</v>
      </c>
      <c r="P4073" s="1" t="s">
        <v>55</v>
      </c>
      <c r="Q4073" s="1">
        <v>25</v>
      </c>
      <c r="R4073" s="1">
        <v>0</v>
      </c>
      <c r="S4073" s="1">
        <v>25</v>
      </c>
      <c r="T4073" s="1">
        <v>0</v>
      </c>
      <c r="U4073" s="1">
        <v>0</v>
      </c>
      <c r="V4073" s="1" t="str">
        <f>"里程去程"</f>
        <v>里程去程</v>
      </c>
      <c r="W4073" s="1" t="str">
        <f>"2020"</f>
        <v>2020</v>
      </c>
      <c r="X4073" s="1" t="s">
        <v>29</v>
      </c>
    </row>
    <row r="4074" spans="1:24" x14ac:dyDescent="0.3">
      <c r="A4074" s="1" t="str">
        <f t="shared" si="760"/>
        <v>59825</v>
      </c>
      <c r="B4074" s="1" t="s">
        <v>30</v>
      </c>
      <c r="C4074" s="1" t="s">
        <v>31</v>
      </c>
      <c r="D4074" s="1" t="str">
        <f>"9805"</f>
        <v>9805</v>
      </c>
      <c r="E4074" s="1" t="s">
        <v>57</v>
      </c>
      <c r="F4074" s="1" t="str">
        <f>"1764161189"</f>
        <v>1764161189</v>
      </c>
      <c r="G4074" s="1" t="s">
        <v>33</v>
      </c>
      <c r="H4074" s="1" t="str">
        <f t="shared" si="752"/>
        <v>20220917</v>
      </c>
      <c r="I4074" s="1" t="str">
        <f>"170108"</f>
        <v>170108</v>
      </c>
      <c r="J4074" s="1" t="s">
        <v>46</v>
      </c>
      <c r="K4074" s="1" t="s">
        <v>28</v>
      </c>
      <c r="L4074" s="1" t="str">
        <f t="shared" si="753"/>
        <v>20220917</v>
      </c>
      <c r="M4074" s="1" t="str">
        <f>"170542"</f>
        <v>170542</v>
      </c>
      <c r="N4074" s="1" t="s">
        <v>62</v>
      </c>
      <c r="O4074" s="1" t="s">
        <v>28</v>
      </c>
      <c r="P4074" s="1" t="s">
        <v>55</v>
      </c>
      <c r="Q4074" s="1">
        <v>25</v>
      </c>
      <c r="R4074" s="1">
        <v>0</v>
      </c>
      <c r="S4074" s="1">
        <v>25</v>
      </c>
      <c r="T4074" s="1">
        <v>0</v>
      </c>
      <c r="U4074" s="1">
        <v>0</v>
      </c>
      <c r="V4074" s="1" t="str">
        <f>"里程去程"</f>
        <v>里程去程</v>
      </c>
      <c r="W4074" s="1" t="str">
        <f>"2020"</f>
        <v>2020</v>
      </c>
      <c r="X4074" s="1" t="s">
        <v>35</v>
      </c>
    </row>
    <row r="4075" spans="1:24" x14ac:dyDescent="0.3">
      <c r="A4075" s="1" t="str">
        <f t="shared" si="760"/>
        <v>59825</v>
      </c>
      <c r="B4075" s="1" t="s">
        <v>30</v>
      </c>
      <c r="C4075" s="1" t="s">
        <v>31</v>
      </c>
      <c r="D4075" s="1" t="str">
        <f>"9801"</f>
        <v>9801</v>
      </c>
      <c r="E4075" s="1" t="s">
        <v>25</v>
      </c>
      <c r="F4075" s="1" t="str">
        <f>"A1F7042F7D88040043288DA200010912"</f>
        <v>A1F7042F7D88040043288DA200010912</v>
      </c>
      <c r="G4075" s="1" t="s">
        <v>82</v>
      </c>
      <c r="H4075" s="1" t="str">
        <f t="shared" si="752"/>
        <v>20220917</v>
      </c>
      <c r="I4075" s="1" t="str">
        <f>"185918"</f>
        <v>185918</v>
      </c>
      <c r="J4075" s="1" t="s">
        <v>44</v>
      </c>
      <c r="K4075" s="1" t="s">
        <v>45</v>
      </c>
      <c r="L4075" s="1" t="str">
        <f t="shared" si="753"/>
        <v>20220917</v>
      </c>
      <c r="M4075" s="1" t="str">
        <f>"192828"</f>
        <v>192828</v>
      </c>
      <c r="N4075" s="1" t="s">
        <v>28</v>
      </c>
      <c r="O4075" s="1" t="s">
        <v>28</v>
      </c>
      <c r="P4075" s="1" t="s">
        <v>55</v>
      </c>
      <c r="Q4075" s="1">
        <v>13</v>
      </c>
      <c r="R4075" s="1">
        <v>0</v>
      </c>
      <c r="S4075" s="1">
        <v>13</v>
      </c>
      <c r="T4075" s="1">
        <v>0</v>
      </c>
      <c r="U4075" s="1">
        <v>0</v>
      </c>
      <c r="V4075" s="1" t="str">
        <f t="shared" ref="V4075:V4082" si="761">"里程返程"</f>
        <v>里程返程</v>
      </c>
      <c r="W4075" s="1" t="str">
        <f>"1120"</f>
        <v>1120</v>
      </c>
      <c r="X4075" s="1" t="s">
        <v>29</v>
      </c>
    </row>
    <row r="4076" spans="1:24" x14ac:dyDescent="0.3">
      <c r="A4076" s="1" t="str">
        <f t="shared" si="760"/>
        <v>59825</v>
      </c>
      <c r="B4076" s="1" t="s">
        <v>30</v>
      </c>
      <c r="C4076" s="1" t="s">
        <v>31</v>
      </c>
      <c r="D4076" s="1" t="str">
        <f>"9801"</f>
        <v>9801</v>
      </c>
      <c r="E4076" s="1" t="s">
        <v>25</v>
      </c>
      <c r="F4076" s="1" t="str">
        <f>"82314219E8880400C821002000000019"</f>
        <v>82314219E8880400C821002000000019</v>
      </c>
      <c r="G4076" s="1" t="s">
        <v>64</v>
      </c>
      <c r="H4076" s="1" t="str">
        <f t="shared" si="752"/>
        <v>20220917</v>
      </c>
      <c r="I4076" s="1" t="str">
        <f>"185920"</f>
        <v>185920</v>
      </c>
      <c r="J4076" s="1" t="s">
        <v>44</v>
      </c>
      <c r="K4076" s="1" t="s">
        <v>45</v>
      </c>
      <c r="L4076" s="1" t="str">
        <f t="shared" si="753"/>
        <v>20220917</v>
      </c>
      <c r="M4076" s="1" t="str">
        <f>"192830"</f>
        <v>192830</v>
      </c>
      <c r="N4076" s="1" t="s">
        <v>28</v>
      </c>
      <c r="O4076" s="1" t="s">
        <v>28</v>
      </c>
      <c r="P4076" s="1" t="s">
        <v>55</v>
      </c>
      <c r="Q4076" s="1">
        <v>13</v>
      </c>
      <c r="R4076" s="1">
        <v>0</v>
      </c>
      <c r="S4076" s="1">
        <v>13</v>
      </c>
      <c r="T4076" s="1">
        <v>0</v>
      </c>
      <c r="U4076" s="1">
        <v>0</v>
      </c>
      <c r="V4076" s="1" t="str">
        <f t="shared" si="761"/>
        <v>里程返程</v>
      </c>
      <c r="W4076" s="1" t="str">
        <f>"1120"</f>
        <v>1120</v>
      </c>
      <c r="X4076" s="1" t="s">
        <v>29</v>
      </c>
    </row>
    <row r="4077" spans="1:24" x14ac:dyDescent="0.3">
      <c r="A4077" s="1" t="str">
        <f t="shared" si="760"/>
        <v>59825</v>
      </c>
      <c r="B4077" s="1" t="s">
        <v>30</v>
      </c>
      <c r="C4077" s="1" t="s">
        <v>31</v>
      </c>
      <c r="D4077" s="1" t="str">
        <f t="shared" ref="D4077:D4082" si="762">"9805"</f>
        <v>9805</v>
      </c>
      <c r="E4077" s="1" t="s">
        <v>57</v>
      </c>
      <c r="F4077" s="1" t="str">
        <f>"556361745"</f>
        <v>556361745</v>
      </c>
      <c r="G4077" s="1" t="s">
        <v>33</v>
      </c>
      <c r="H4077" s="1" t="str">
        <f t="shared" si="752"/>
        <v>20220917</v>
      </c>
      <c r="I4077" s="1" t="str">
        <f>"195635"</f>
        <v>195635</v>
      </c>
      <c r="J4077" s="1" t="s">
        <v>52</v>
      </c>
      <c r="K4077" s="1" t="s">
        <v>52</v>
      </c>
      <c r="L4077" s="1" t="str">
        <f t="shared" si="753"/>
        <v>20220917</v>
      </c>
      <c r="M4077" s="1" t="str">
        <f>"202050"</f>
        <v>202050</v>
      </c>
      <c r="N4077" s="1" t="s">
        <v>28</v>
      </c>
      <c r="O4077" s="1" t="s">
        <v>28</v>
      </c>
      <c r="P4077" s="1" t="s">
        <v>55</v>
      </c>
      <c r="Q4077" s="1">
        <v>25</v>
      </c>
      <c r="R4077" s="1">
        <v>25</v>
      </c>
      <c r="S4077" s="1">
        <v>0</v>
      </c>
      <c r="T4077" s="1">
        <v>0</v>
      </c>
      <c r="U4077" s="1">
        <v>0</v>
      </c>
      <c r="V4077" s="1" t="str">
        <f t="shared" si="761"/>
        <v>里程返程</v>
      </c>
      <c r="W4077" s="1" t="str">
        <f>"0120"</f>
        <v>0120</v>
      </c>
      <c r="X4077" s="1" t="s">
        <v>35</v>
      </c>
    </row>
    <row r="4078" spans="1:24" x14ac:dyDescent="0.3">
      <c r="A4078" s="1" t="str">
        <f t="shared" si="760"/>
        <v>59825</v>
      </c>
      <c r="B4078" s="1" t="s">
        <v>30</v>
      </c>
      <c r="C4078" s="1" t="s">
        <v>31</v>
      </c>
      <c r="D4078" s="1" t="str">
        <f t="shared" si="762"/>
        <v>9805</v>
      </c>
      <c r="E4078" s="1" t="s">
        <v>57</v>
      </c>
      <c r="F4078" s="1" t="str">
        <f>"1043340401"</f>
        <v>1043340401</v>
      </c>
      <c r="G4078" s="1" t="s">
        <v>33</v>
      </c>
      <c r="H4078" s="1" t="str">
        <f t="shared" si="752"/>
        <v>20220917</v>
      </c>
      <c r="I4078" s="1" t="str">
        <f>"195638"</f>
        <v>195638</v>
      </c>
      <c r="J4078" s="1" t="s">
        <v>52</v>
      </c>
      <c r="K4078" s="1" t="s">
        <v>52</v>
      </c>
      <c r="L4078" s="1" t="str">
        <f t="shared" si="753"/>
        <v>20220917</v>
      </c>
      <c r="M4078" s="1" t="str">
        <f>"202045"</f>
        <v>202045</v>
      </c>
      <c r="N4078" s="1" t="s">
        <v>28</v>
      </c>
      <c r="O4078" s="1" t="s">
        <v>28</v>
      </c>
      <c r="P4078" s="1" t="s">
        <v>55</v>
      </c>
      <c r="Q4078" s="1">
        <v>25</v>
      </c>
      <c r="R4078" s="1">
        <v>25</v>
      </c>
      <c r="S4078" s="1">
        <v>0</v>
      </c>
      <c r="T4078" s="1">
        <v>0</v>
      </c>
      <c r="U4078" s="1">
        <v>0</v>
      </c>
      <c r="V4078" s="1" t="str">
        <f t="shared" si="761"/>
        <v>里程返程</v>
      </c>
      <c r="W4078" s="1" t="str">
        <f>"0120"</f>
        <v>0120</v>
      </c>
      <c r="X4078" s="1" t="s">
        <v>35</v>
      </c>
    </row>
    <row r="4079" spans="1:24" x14ac:dyDescent="0.3">
      <c r="A4079" s="1" t="str">
        <f t="shared" si="760"/>
        <v>59825</v>
      </c>
      <c r="B4079" s="1" t="s">
        <v>30</v>
      </c>
      <c r="C4079" s="1" t="s">
        <v>31</v>
      </c>
      <c r="D4079" s="1" t="str">
        <f t="shared" si="762"/>
        <v>9805</v>
      </c>
      <c r="E4079" s="1" t="s">
        <v>57</v>
      </c>
      <c r="F4079" s="1" t="str">
        <f>"1704733937"</f>
        <v>1704733937</v>
      </c>
      <c r="G4079" s="1" t="s">
        <v>33</v>
      </c>
      <c r="H4079" s="1" t="str">
        <f t="shared" si="752"/>
        <v>20220917</v>
      </c>
      <c r="I4079" s="1" t="str">
        <f>"195651"</f>
        <v>195651</v>
      </c>
      <c r="J4079" s="1" t="s">
        <v>52</v>
      </c>
      <c r="K4079" s="1" t="s">
        <v>52</v>
      </c>
      <c r="L4079" s="1" t="str">
        <f t="shared" si="753"/>
        <v>20220917</v>
      </c>
      <c r="M4079" s="1" t="str">
        <f>"202042"</f>
        <v>202042</v>
      </c>
      <c r="N4079" s="1" t="s">
        <v>28</v>
      </c>
      <c r="O4079" s="1" t="s">
        <v>28</v>
      </c>
      <c r="P4079" s="1" t="s">
        <v>55</v>
      </c>
      <c r="Q4079" s="1">
        <v>25</v>
      </c>
      <c r="R4079" s="1">
        <v>25</v>
      </c>
      <c r="S4079" s="1">
        <v>0</v>
      </c>
      <c r="T4079" s="1">
        <v>0</v>
      </c>
      <c r="U4079" s="1">
        <v>0</v>
      </c>
      <c r="V4079" s="1" t="str">
        <f t="shared" si="761"/>
        <v>里程返程</v>
      </c>
      <c r="W4079" s="1" t="str">
        <f>"2020"</f>
        <v>2020</v>
      </c>
      <c r="X4079" s="1" t="s">
        <v>35</v>
      </c>
    </row>
    <row r="4080" spans="1:24" x14ac:dyDescent="0.3">
      <c r="A4080" s="1" t="str">
        <f t="shared" si="760"/>
        <v>59825</v>
      </c>
      <c r="B4080" s="1" t="s">
        <v>30</v>
      </c>
      <c r="C4080" s="1" t="s">
        <v>31</v>
      </c>
      <c r="D4080" s="1" t="str">
        <f t="shared" si="762"/>
        <v>9805</v>
      </c>
      <c r="E4080" s="1" t="s">
        <v>57</v>
      </c>
      <c r="F4080" s="1" t="str">
        <f>"A25BBF0046880400C801002000000015"</f>
        <v>A25BBF0046880400C801002000000015</v>
      </c>
      <c r="G4080" s="1" t="s">
        <v>64</v>
      </c>
      <c r="H4080" s="1" t="str">
        <f t="shared" si="752"/>
        <v>20220917</v>
      </c>
      <c r="I4080" s="1" t="str">
        <f>"195838"</f>
        <v>195838</v>
      </c>
      <c r="J4080" s="1" t="s">
        <v>52</v>
      </c>
      <c r="K4080" s="1" t="s">
        <v>52</v>
      </c>
      <c r="L4080" s="1" t="str">
        <f t="shared" si="753"/>
        <v>20220917</v>
      </c>
      <c r="M4080" s="1" t="str">
        <f>"202035"</f>
        <v>202035</v>
      </c>
      <c r="N4080" s="1" t="s">
        <v>28</v>
      </c>
      <c r="O4080" s="1" t="s">
        <v>28</v>
      </c>
      <c r="P4080" s="1" t="s">
        <v>55</v>
      </c>
      <c r="Q4080" s="1">
        <v>13</v>
      </c>
      <c r="R4080" s="1">
        <v>0</v>
      </c>
      <c r="S4080" s="1">
        <v>13</v>
      </c>
      <c r="T4080" s="1">
        <v>0</v>
      </c>
      <c r="U4080" s="1">
        <v>0</v>
      </c>
      <c r="V4080" s="1" t="str">
        <f t="shared" si="761"/>
        <v>里程返程</v>
      </c>
      <c r="W4080" s="1" t="str">
        <f>"2020"</f>
        <v>2020</v>
      </c>
      <c r="X4080" s="1" t="s">
        <v>29</v>
      </c>
    </row>
    <row r="4081" spans="1:24" x14ac:dyDescent="0.3">
      <c r="A4081" s="1" t="str">
        <f t="shared" si="760"/>
        <v>59825</v>
      </c>
      <c r="B4081" s="1" t="s">
        <v>30</v>
      </c>
      <c r="C4081" s="1" t="s">
        <v>31</v>
      </c>
      <c r="D4081" s="1" t="str">
        <f t="shared" si="762"/>
        <v>9805</v>
      </c>
      <c r="E4081" s="1" t="s">
        <v>57</v>
      </c>
      <c r="F4081" s="1" t="str">
        <f>"3023489202"</f>
        <v>3023489202</v>
      </c>
      <c r="G4081" s="1" t="s">
        <v>33</v>
      </c>
      <c r="H4081" s="1" t="str">
        <f t="shared" si="752"/>
        <v>20220917</v>
      </c>
      <c r="I4081" s="1" t="str">
        <f>"195842"</f>
        <v>195842</v>
      </c>
      <c r="J4081" s="1" t="s">
        <v>52</v>
      </c>
      <c r="K4081" s="1" t="s">
        <v>52</v>
      </c>
      <c r="L4081" s="1" t="str">
        <f t="shared" si="753"/>
        <v>20220917</v>
      </c>
      <c r="M4081" s="1" t="str">
        <f>"202032"</f>
        <v>202032</v>
      </c>
      <c r="N4081" s="1" t="s">
        <v>28</v>
      </c>
      <c r="O4081" s="1" t="s">
        <v>28</v>
      </c>
      <c r="P4081" s="1" t="s">
        <v>55</v>
      </c>
      <c r="Q4081" s="1">
        <v>25</v>
      </c>
      <c r="R4081" s="1">
        <v>0</v>
      </c>
      <c r="S4081" s="1">
        <v>25</v>
      </c>
      <c r="T4081" s="1">
        <v>0</v>
      </c>
      <c r="U4081" s="1">
        <v>0</v>
      </c>
      <c r="V4081" s="1" t="str">
        <f t="shared" si="761"/>
        <v>里程返程</v>
      </c>
      <c r="W4081" s="1" t="str">
        <f>"2020"</f>
        <v>2020</v>
      </c>
      <c r="X4081" s="1" t="s">
        <v>35</v>
      </c>
    </row>
    <row r="4082" spans="1:24" x14ac:dyDescent="0.3">
      <c r="A4082" s="1" t="str">
        <f t="shared" si="760"/>
        <v>59825</v>
      </c>
      <c r="B4082" s="1" t="s">
        <v>30</v>
      </c>
      <c r="C4082" s="1" t="s">
        <v>31</v>
      </c>
      <c r="D4082" s="1" t="str">
        <f t="shared" si="762"/>
        <v>9805</v>
      </c>
      <c r="E4082" s="1" t="s">
        <v>57</v>
      </c>
      <c r="F4082" s="1" t="str">
        <f>"1819996581"</f>
        <v>1819996581</v>
      </c>
      <c r="G4082" s="1" t="s">
        <v>38</v>
      </c>
      <c r="H4082" s="1" t="str">
        <f t="shared" si="752"/>
        <v>20220917</v>
      </c>
      <c r="I4082" s="1" t="str">
        <f>"200525"</f>
        <v>200525</v>
      </c>
      <c r="J4082" s="1" t="s">
        <v>62</v>
      </c>
      <c r="K4082" s="1" t="s">
        <v>28</v>
      </c>
      <c r="L4082" s="1" t="str">
        <f t="shared" si="753"/>
        <v>20220917</v>
      </c>
      <c r="M4082" s="1" t="str">
        <f>"202053"</f>
        <v>202053</v>
      </c>
      <c r="N4082" s="1" t="s">
        <v>28</v>
      </c>
      <c r="O4082" s="1" t="s">
        <v>28</v>
      </c>
      <c r="P4082" s="1" t="s">
        <v>55</v>
      </c>
      <c r="Q4082" s="1">
        <v>25</v>
      </c>
      <c r="R4082" s="1">
        <v>25</v>
      </c>
      <c r="S4082" s="1">
        <v>0</v>
      </c>
      <c r="T4082" s="1">
        <v>0</v>
      </c>
      <c r="U4082" s="1">
        <v>0</v>
      </c>
      <c r="V4082" s="1" t="str">
        <f t="shared" si="761"/>
        <v>里程返程</v>
      </c>
      <c r="W4082" s="1" t="str">
        <f>"2120"</f>
        <v>2120</v>
      </c>
      <c r="X4082" s="1" t="s">
        <v>35</v>
      </c>
    </row>
    <row r="4083" spans="1:24" x14ac:dyDescent="0.3">
      <c r="A4083" s="1" t="str">
        <f t="shared" ref="A4083:A4121" si="763">"59828"</f>
        <v>59828</v>
      </c>
      <c r="B4083" s="1" t="s">
        <v>23</v>
      </c>
      <c r="C4083" s="1" t="s">
        <v>24</v>
      </c>
      <c r="D4083" s="1" t="str">
        <f t="shared" ref="D4083:D4121" si="764">"9801"</f>
        <v>9801</v>
      </c>
      <c r="E4083" s="1" t="s">
        <v>25</v>
      </c>
      <c r="F4083" s="1" t="str">
        <f>"A239F5056B880400C838002000000015"</f>
        <v>A239F5056B880400C838002000000015</v>
      </c>
      <c r="G4083" s="1" t="s">
        <v>26</v>
      </c>
      <c r="H4083" s="1" t="str">
        <f t="shared" si="752"/>
        <v>20220917</v>
      </c>
      <c r="I4083" s="1" t="str">
        <f>"110941"</f>
        <v>110941</v>
      </c>
      <c r="J4083" s="1" t="s">
        <v>51</v>
      </c>
      <c r="K4083" s="1" t="s">
        <v>52</v>
      </c>
      <c r="L4083" s="1" t="str">
        <f t="shared" si="753"/>
        <v>20220917</v>
      </c>
      <c r="M4083" s="1" t="str">
        <f>"112502"</f>
        <v>112502</v>
      </c>
      <c r="N4083" s="1" t="s">
        <v>67</v>
      </c>
      <c r="O4083" s="1" t="s">
        <v>52</v>
      </c>
      <c r="P4083" s="1" t="s">
        <v>68</v>
      </c>
      <c r="Q4083" s="1">
        <v>13</v>
      </c>
      <c r="R4083" s="1">
        <v>0</v>
      </c>
      <c r="S4083" s="1">
        <v>0</v>
      </c>
      <c r="T4083" s="1">
        <v>13</v>
      </c>
      <c r="U4083" s="1">
        <v>0</v>
      </c>
      <c r="V4083" s="1" t="str">
        <f t="shared" ref="V4083:V4111" si="765">"里程去程"</f>
        <v>里程去程</v>
      </c>
      <c r="W4083" s="1" t="str">
        <f>"0020"</f>
        <v>0020</v>
      </c>
      <c r="X4083" s="1" t="s">
        <v>29</v>
      </c>
    </row>
    <row r="4084" spans="1:24" x14ac:dyDescent="0.3">
      <c r="A4084" s="1" t="str">
        <f t="shared" si="763"/>
        <v>59828</v>
      </c>
      <c r="B4084" s="1" t="s">
        <v>23</v>
      </c>
      <c r="C4084" s="1" t="s">
        <v>24</v>
      </c>
      <c r="D4084" s="1" t="str">
        <f t="shared" si="764"/>
        <v>9801</v>
      </c>
      <c r="E4084" s="1" t="s">
        <v>25</v>
      </c>
      <c r="F4084" s="1" t="str">
        <f>"715596933"</f>
        <v>715596933</v>
      </c>
      <c r="G4084" s="1" t="s">
        <v>33</v>
      </c>
      <c r="H4084" s="1" t="str">
        <f t="shared" si="752"/>
        <v>20220917</v>
      </c>
      <c r="I4084" s="1" t="str">
        <f>"121716"</f>
        <v>121716</v>
      </c>
      <c r="J4084" s="1" t="s">
        <v>80</v>
      </c>
      <c r="K4084" s="1" t="s">
        <v>52</v>
      </c>
      <c r="L4084" s="1" t="str">
        <f t="shared" si="753"/>
        <v>20220917</v>
      </c>
      <c r="M4084" s="1" t="str">
        <f>"123318"</f>
        <v>123318</v>
      </c>
      <c r="N4084" s="1" t="s">
        <v>70</v>
      </c>
      <c r="O4084" s="1" t="s">
        <v>28</v>
      </c>
      <c r="P4084" s="1" t="s">
        <v>55</v>
      </c>
      <c r="Q4084" s="1">
        <v>25</v>
      </c>
      <c r="R4084" s="1">
        <v>25</v>
      </c>
      <c r="S4084" s="1">
        <v>0</v>
      </c>
      <c r="T4084" s="1">
        <v>0</v>
      </c>
      <c r="U4084" s="1">
        <v>0</v>
      </c>
      <c r="V4084" s="1" t="str">
        <f t="shared" si="765"/>
        <v>里程去程</v>
      </c>
      <c r="W4084" s="1" t="str">
        <f>"2120"</f>
        <v>2120</v>
      </c>
      <c r="X4084" s="1" t="s">
        <v>35</v>
      </c>
    </row>
    <row r="4085" spans="1:24" x14ac:dyDescent="0.3">
      <c r="A4085" s="1" t="str">
        <f t="shared" si="763"/>
        <v>59828</v>
      </c>
      <c r="B4085" s="1" t="s">
        <v>23</v>
      </c>
      <c r="C4085" s="1" t="s">
        <v>24</v>
      </c>
      <c r="D4085" s="1" t="str">
        <f t="shared" si="764"/>
        <v>9801</v>
      </c>
      <c r="E4085" s="1" t="s">
        <v>25</v>
      </c>
      <c r="F4085" s="1" t="str">
        <f>"32AA6002FA880400C821002000000015"</f>
        <v>32AA6002FA880400C821002000000015</v>
      </c>
      <c r="G4085" s="1" t="s">
        <v>58</v>
      </c>
      <c r="H4085" s="1" t="str">
        <f t="shared" si="752"/>
        <v>20220917</v>
      </c>
      <c r="I4085" s="1" t="str">
        <f>"122256"</f>
        <v>122256</v>
      </c>
      <c r="J4085" s="1" t="s">
        <v>69</v>
      </c>
      <c r="K4085" s="1" t="s">
        <v>52</v>
      </c>
      <c r="L4085" s="1" t="str">
        <f t="shared" si="753"/>
        <v>20220917</v>
      </c>
      <c r="M4085" s="1" t="str">
        <f>"123324"</f>
        <v>123324</v>
      </c>
      <c r="N4085" s="1" t="s">
        <v>70</v>
      </c>
      <c r="O4085" s="1" t="s">
        <v>28</v>
      </c>
      <c r="P4085" s="1" t="s">
        <v>55</v>
      </c>
      <c r="Q4085" s="1">
        <v>25</v>
      </c>
      <c r="R4085" s="1">
        <v>25</v>
      </c>
      <c r="S4085" s="1">
        <v>0</v>
      </c>
      <c r="T4085" s="1">
        <v>0</v>
      </c>
      <c r="U4085" s="1">
        <v>0</v>
      </c>
      <c r="V4085" s="1" t="str">
        <f t="shared" si="765"/>
        <v>里程去程</v>
      </c>
      <c r="W4085" s="1" t="str">
        <f>"0020"</f>
        <v>0020</v>
      </c>
      <c r="X4085" s="1" t="s">
        <v>29</v>
      </c>
    </row>
    <row r="4086" spans="1:24" x14ac:dyDescent="0.3">
      <c r="A4086" s="1" t="str">
        <f t="shared" si="763"/>
        <v>59828</v>
      </c>
      <c r="B4086" s="1" t="s">
        <v>23</v>
      </c>
      <c r="C4086" s="1" t="s">
        <v>24</v>
      </c>
      <c r="D4086" s="1" t="str">
        <f t="shared" si="764"/>
        <v>9801</v>
      </c>
      <c r="E4086" s="1" t="s">
        <v>25</v>
      </c>
      <c r="F4086" s="1" t="str">
        <f>"1240765621"</f>
        <v>1240765621</v>
      </c>
      <c r="G4086" s="1" t="s">
        <v>26</v>
      </c>
      <c r="H4086" s="1" t="str">
        <f t="shared" si="752"/>
        <v>20220917</v>
      </c>
      <c r="I4086" s="1" t="str">
        <f>"123330"</f>
        <v>123330</v>
      </c>
      <c r="J4086" s="1" t="s">
        <v>27</v>
      </c>
      <c r="K4086" s="1" t="s">
        <v>28</v>
      </c>
      <c r="L4086" s="1" t="str">
        <f t="shared" si="753"/>
        <v>20220917</v>
      </c>
      <c r="M4086" s="1" t="str">
        <f>"124432"</f>
        <v>124432</v>
      </c>
      <c r="N4086" s="1" t="s">
        <v>61</v>
      </c>
      <c r="O4086" s="1" t="s">
        <v>45</v>
      </c>
      <c r="P4086" s="1" t="s">
        <v>55</v>
      </c>
      <c r="Q4086" s="1">
        <v>13</v>
      </c>
      <c r="R4086" s="1">
        <v>13</v>
      </c>
      <c r="S4086" s="1">
        <v>0</v>
      </c>
      <c r="T4086" s="1">
        <v>0</v>
      </c>
      <c r="U4086" s="1">
        <v>0</v>
      </c>
      <c r="V4086" s="1" t="str">
        <f t="shared" si="765"/>
        <v>里程去程</v>
      </c>
      <c r="W4086" s="1" t="str">
        <f>"0120"</f>
        <v>0120</v>
      </c>
      <c r="X4086" s="1" t="s">
        <v>35</v>
      </c>
    </row>
    <row r="4087" spans="1:24" x14ac:dyDescent="0.3">
      <c r="A4087" s="1" t="str">
        <f t="shared" si="763"/>
        <v>59828</v>
      </c>
      <c r="B4087" s="1" t="s">
        <v>23</v>
      </c>
      <c r="C4087" s="1" t="s">
        <v>24</v>
      </c>
      <c r="D4087" s="1" t="str">
        <f t="shared" si="764"/>
        <v>9801</v>
      </c>
      <c r="E4087" s="1" t="s">
        <v>25</v>
      </c>
      <c r="F4087" s="1" t="str">
        <f>"976682245"</f>
        <v>976682245</v>
      </c>
      <c r="G4087" s="1" t="s">
        <v>33</v>
      </c>
      <c r="H4087" s="1" t="str">
        <f t="shared" si="752"/>
        <v>20220917</v>
      </c>
      <c r="I4087" s="1" t="str">
        <f>"123334"</f>
        <v>123334</v>
      </c>
      <c r="J4087" s="1" t="s">
        <v>27</v>
      </c>
      <c r="K4087" s="1" t="s">
        <v>28</v>
      </c>
      <c r="L4087" s="1" t="str">
        <f t="shared" si="753"/>
        <v>20220917</v>
      </c>
      <c r="M4087" s="1" t="str">
        <f>"124429"</f>
        <v>124429</v>
      </c>
      <c r="N4087" s="1" t="s">
        <v>61</v>
      </c>
      <c r="O4087" s="1" t="s">
        <v>45</v>
      </c>
      <c r="P4087" s="1" t="s">
        <v>55</v>
      </c>
      <c r="Q4087" s="1">
        <v>25</v>
      </c>
      <c r="R4087" s="1">
        <v>25</v>
      </c>
      <c r="S4087" s="1">
        <v>0</v>
      </c>
      <c r="T4087" s="1">
        <v>0</v>
      </c>
      <c r="U4087" s="1">
        <v>0</v>
      </c>
      <c r="V4087" s="1" t="str">
        <f t="shared" si="765"/>
        <v>里程去程</v>
      </c>
      <c r="W4087" s="1" t="str">
        <f>"0120"</f>
        <v>0120</v>
      </c>
      <c r="X4087" s="1" t="s">
        <v>35</v>
      </c>
    </row>
    <row r="4088" spans="1:24" x14ac:dyDescent="0.3">
      <c r="A4088" s="1" t="str">
        <f t="shared" si="763"/>
        <v>59828</v>
      </c>
      <c r="B4088" s="1" t="s">
        <v>23</v>
      </c>
      <c r="C4088" s="1" t="s">
        <v>24</v>
      </c>
      <c r="D4088" s="1" t="str">
        <f t="shared" si="764"/>
        <v>9801</v>
      </c>
      <c r="E4088" s="1" t="s">
        <v>25</v>
      </c>
      <c r="F4088" s="1" t="str">
        <f>"2E750CA0F788040047C1365743F02810"</f>
        <v>2E750CA0F788040047C1365743F02810</v>
      </c>
      <c r="G4088" s="1" t="s">
        <v>58</v>
      </c>
      <c r="H4088" s="1" t="str">
        <f t="shared" si="752"/>
        <v>20220917</v>
      </c>
      <c r="I4088" s="1" t="str">
        <f>"123350"</f>
        <v>123350</v>
      </c>
      <c r="J4088" s="1" t="s">
        <v>27</v>
      </c>
      <c r="K4088" s="1" t="s">
        <v>28</v>
      </c>
      <c r="L4088" s="1" t="str">
        <f t="shared" si="753"/>
        <v>20220917</v>
      </c>
      <c r="M4088" s="1" t="str">
        <f>"125415"</f>
        <v>125415</v>
      </c>
      <c r="N4088" s="1" t="s">
        <v>44</v>
      </c>
      <c r="O4088" s="1" t="s">
        <v>45</v>
      </c>
      <c r="P4088" s="1" t="s">
        <v>55</v>
      </c>
      <c r="Q4088" s="1">
        <v>25</v>
      </c>
      <c r="R4088" s="1">
        <v>25</v>
      </c>
      <c r="S4088" s="1">
        <v>0</v>
      </c>
      <c r="T4088" s="1">
        <v>0</v>
      </c>
      <c r="U4088" s="1">
        <v>0</v>
      </c>
      <c r="V4088" s="1" t="str">
        <f t="shared" si="765"/>
        <v>里程去程</v>
      </c>
      <c r="W4088" s="1" t="str">
        <f>"0020"</f>
        <v>0020</v>
      </c>
      <c r="X4088" s="1" t="s">
        <v>29</v>
      </c>
    </row>
    <row r="4089" spans="1:24" x14ac:dyDescent="0.3">
      <c r="A4089" s="1" t="str">
        <f t="shared" si="763"/>
        <v>59828</v>
      </c>
      <c r="B4089" s="1" t="s">
        <v>23</v>
      </c>
      <c r="C4089" s="1" t="s">
        <v>24</v>
      </c>
      <c r="D4089" s="1" t="str">
        <f t="shared" si="764"/>
        <v>9801</v>
      </c>
      <c r="E4089" s="1" t="s">
        <v>25</v>
      </c>
      <c r="F4089" s="1" t="str">
        <f>"E2927D0508880400C838002000000015"</f>
        <v>E2927D0508880400C838002000000015</v>
      </c>
      <c r="G4089" s="1" t="s">
        <v>58</v>
      </c>
      <c r="H4089" s="1" t="str">
        <f t="shared" si="752"/>
        <v>20220917</v>
      </c>
      <c r="I4089" s="1" t="str">
        <f>"123352"</f>
        <v>123352</v>
      </c>
      <c r="J4089" s="1" t="s">
        <v>27</v>
      </c>
      <c r="K4089" s="1" t="s">
        <v>28</v>
      </c>
      <c r="L4089" s="1" t="str">
        <f t="shared" si="753"/>
        <v>20220917</v>
      </c>
      <c r="M4089" s="1" t="str">
        <f>"125419"</f>
        <v>125419</v>
      </c>
      <c r="N4089" s="1" t="s">
        <v>44</v>
      </c>
      <c r="O4089" s="1" t="s">
        <v>45</v>
      </c>
      <c r="P4089" s="1" t="s">
        <v>55</v>
      </c>
      <c r="Q4089" s="1">
        <v>25</v>
      </c>
      <c r="R4089" s="1">
        <v>25</v>
      </c>
      <c r="S4089" s="1">
        <v>0</v>
      </c>
      <c r="T4089" s="1">
        <v>0</v>
      </c>
      <c r="U4089" s="1">
        <v>0</v>
      </c>
      <c r="V4089" s="1" t="str">
        <f t="shared" si="765"/>
        <v>里程去程</v>
      </c>
      <c r="W4089" s="1" t="str">
        <f>"0020"</f>
        <v>0020</v>
      </c>
      <c r="X4089" s="1" t="s">
        <v>29</v>
      </c>
    </row>
    <row r="4090" spans="1:24" x14ac:dyDescent="0.3">
      <c r="A4090" s="1" t="str">
        <f t="shared" si="763"/>
        <v>59828</v>
      </c>
      <c r="B4090" s="1" t="s">
        <v>23</v>
      </c>
      <c r="C4090" s="1" t="s">
        <v>24</v>
      </c>
      <c r="D4090" s="1" t="str">
        <f t="shared" si="764"/>
        <v>9801</v>
      </c>
      <c r="E4090" s="1" t="s">
        <v>25</v>
      </c>
      <c r="F4090" s="1" t="str">
        <f>"96594849"</f>
        <v>96594849</v>
      </c>
      <c r="G4090" s="1" t="s">
        <v>33</v>
      </c>
      <c r="H4090" s="1" t="str">
        <f t="shared" si="752"/>
        <v>20220917</v>
      </c>
      <c r="I4090" s="1" t="str">
        <f>"123357"</f>
        <v>123357</v>
      </c>
      <c r="J4090" s="1" t="s">
        <v>27</v>
      </c>
      <c r="K4090" s="1" t="s">
        <v>28</v>
      </c>
      <c r="L4090" s="1" t="str">
        <f t="shared" si="753"/>
        <v>20220917</v>
      </c>
      <c r="M4090" s="1" t="str">
        <f>"125717"</f>
        <v>125717</v>
      </c>
      <c r="N4090" s="1" t="s">
        <v>44</v>
      </c>
      <c r="O4090" s="1" t="s">
        <v>45</v>
      </c>
      <c r="P4090" s="1" t="s">
        <v>55</v>
      </c>
      <c r="Q4090" s="1">
        <v>25</v>
      </c>
      <c r="R4090" s="1">
        <v>25</v>
      </c>
      <c r="S4090" s="1">
        <v>0</v>
      </c>
      <c r="T4090" s="1">
        <v>0</v>
      </c>
      <c r="U4090" s="1">
        <v>0</v>
      </c>
      <c r="V4090" s="1" t="str">
        <f t="shared" si="765"/>
        <v>里程去程</v>
      </c>
      <c r="W4090" s="1" t="str">
        <f>"0c20"</f>
        <v>0c20</v>
      </c>
      <c r="X4090" s="1" t="s">
        <v>35</v>
      </c>
    </row>
    <row r="4091" spans="1:24" x14ac:dyDescent="0.3">
      <c r="A4091" s="1" t="str">
        <f t="shared" si="763"/>
        <v>59828</v>
      </c>
      <c r="B4091" s="1" t="s">
        <v>23</v>
      </c>
      <c r="C4091" s="1" t="s">
        <v>24</v>
      </c>
      <c r="D4091" s="1" t="str">
        <f t="shared" si="764"/>
        <v>9801</v>
      </c>
      <c r="E4091" s="1" t="s">
        <v>25</v>
      </c>
      <c r="F4091" s="1" t="str">
        <f>"1699395637"</f>
        <v>1699395637</v>
      </c>
      <c r="G4091" s="1" t="s">
        <v>33</v>
      </c>
      <c r="H4091" s="1" t="str">
        <f t="shared" si="752"/>
        <v>20220917</v>
      </c>
      <c r="I4091" s="1" t="str">
        <f>"123505"</f>
        <v>123505</v>
      </c>
      <c r="J4091" s="1" t="s">
        <v>27</v>
      </c>
      <c r="K4091" s="1" t="s">
        <v>28</v>
      </c>
      <c r="L4091" s="1" t="str">
        <f t="shared" si="753"/>
        <v>20220917</v>
      </c>
      <c r="M4091" s="1" t="str">
        <f>"125004"</f>
        <v>125004</v>
      </c>
      <c r="N4091" s="1" t="s">
        <v>91</v>
      </c>
      <c r="O4091" s="1" t="s">
        <v>45</v>
      </c>
      <c r="P4091" s="1" t="s">
        <v>55</v>
      </c>
      <c r="Q4091" s="1">
        <v>25</v>
      </c>
      <c r="R4091" s="1">
        <v>25</v>
      </c>
      <c r="S4091" s="1">
        <v>0</v>
      </c>
      <c r="T4091" s="1">
        <v>0</v>
      </c>
      <c r="U4091" s="1">
        <v>0</v>
      </c>
      <c r="V4091" s="1" t="str">
        <f t="shared" si="765"/>
        <v>里程去程</v>
      </c>
      <c r="W4091" s="1" t="str">
        <f>"0820"</f>
        <v>0820</v>
      </c>
      <c r="X4091" s="1" t="s">
        <v>35</v>
      </c>
    </row>
    <row r="4092" spans="1:24" x14ac:dyDescent="0.3">
      <c r="A4092" s="1" t="str">
        <f t="shared" si="763"/>
        <v>59828</v>
      </c>
      <c r="B4092" s="1" t="s">
        <v>23</v>
      </c>
      <c r="C4092" s="1" t="s">
        <v>24</v>
      </c>
      <c r="D4092" s="1" t="str">
        <f t="shared" si="764"/>
        <v>9801</v>
      </c>
      <c r="E4092" s="1" t="s">
        <v>25</v>
      </c>
      <c r="F4092" s="1" t="str">
        <f>"F13B475DD08804004325C3F9000E0C0F"</f>
        <v>F13B475DD08804004325C3F9000E0C0F</v>
      </c>
      <c r="G4092" s="1" t="s">
        <v>64</v>
      </c>
      <c r="H4092" s="1" t="str">
        <f t="shared" si="752"/>
        <v>20220917</v>
      </c>
      <c r="I4092" s="1" t="str">
        <f>"125816"</f>
        <v>125816</v>
      </c>
      <c r="J4092" s="1" t="s">
        <v>52</v>
      </c>
      <c r="K4092" s="1" t="s">
        <v>52</v>
      </c>
      <c r="L4092" s="1" t="str">
        <f t="shared" si="753"/>
        <v>20220917</v>
      </c>
      <c r="M4092" s="1" t="str">
        <f>"132513"</f>
        <v>132513</v>
      </c>
      <c r="N4092" s="1" t="s">
        <v>70</v>
      </c>
      <c r="O4092" s="1" t="s">
        <v>28</v>
      </c>
      <c r="P4092" s="1" t="s">
        <v>55</v>
      </c>
      <c r="Q4092" s="1">
        <v>13</v>
      </c>
      <c r="R4092" s="1">
        <v>13</v>
      </c>
      <c r="S4092" s="1">
        <v>0</v>
      </c>
      <c r="T4092" s="1">
        <v>0</v>
      </c>
      <c r="U4092" s="1">
        <v>0</v>
      </c>
      <c r="V4092" s="1" t="str">
        <f t="shared" si="765"/>
        <v>里程去程</v>
      </c>
      <c r="W4092" s="1" t="str">
        <f>"0020"</f>
        <v>0020</v>
      </c>
      <c r="X4092" s="1" t="s">
        <v>29</v>
      </c>
    </row>
    <row r="4093" spans="1:24" x14ac:dyDescent="0.3">
      <c r="A4093" s="1" t="str">
        <f t="shared" si="763"/>
        <v>59828</v>
      </c>
      <c r="B4093" s="1" t="s">
        <v>23</v>
      </c>
      <c r="C4093" s="1" t="s">
        <v>24</v>
      </c>
      <c r="D4093" s="1" t="str">
        <f t="shared" si="764"/>
        <v>9801</v>
      </c>
      <c r="E4093" s="1" t="s">
        <v>25</v>
      </c>
      <c r="F4093" s="1" t="str">
        <f>"667801365"</f>
        <v>667801365</v>
      </c>
      <c r="G4093" s="1" t="s">
        <v>33</v>
      </c>
      <c r="H4093" s="1" t="str">
        <f t="shared" si="752"/>
        <v>20220917</v>
      </c>
      <c r="I4093" s="1" t="str">
        <f>"130018"</f>
        <v>130018</v>
      </c>
      <c r="J4093" s="1" t="s">
        <v>52</v>
      </c>
      <c r="K4093" s="1" t="s">
        <v>52</v>
      </c>
      <c r="L4093" s="1" t="str">
        <f t="shared" si="753"/>
        <v>20220917</v>
      </c>
      <c r="M4093" s="1" t="str">
        <f>"132452"</f>
        <v>132452</v>
      </c>
      <c r="N4093" s="1" t="s">
        <v>70</v>
      </c>
      <c r="O4093" s="1" t="s">
        <v>28</v>
      </c>
      <c r="P4093" s="1" t="s">
        <v>55</v>
      </c>
      <c r="Q4093" s="1">
        <v>25</v>
      </c>
      <c r="R4093" s="1">
        <v>25</v>
      </c>
      <c r="S4093" s="1">
        <v>0</v>
      </c>
      <c r="T4093" s="1">
        <v>0</v>
      </c>
      <c r="U4093" s="1">
        <v>0</v>
      </c>
      <c r="V4093" s="1" t="str">
        <f t="shared" si="765"/>
        <v>里程去程</v>
      </c>
      <c r="W4093" s="1" t="str">
        <f>"2020"</f>
        <v>2020</v>
      </c>
      <c r="X4093" s="1" t="s">
        <v>35</v>
      </c>
    </row>
    <row r="4094" spans="1:24" x14ac:dyDescent="0.3">
      <c r="A4094" s="1" t="str">
        <f t="shared" si="763"/>
        <v>59828</v>
      </c>
      <c r="B4094" s="1" t="s">
        <v>23</v>
      </c>
      <c r="C4094" s="1" t="s">
        <v>24</v>
      </c>
      <c r="D4094" s="1" t="str">
        <f t="shared" si="764"/>
        <v>9801</v>
      </c>
      <c r="E4094" s="1" t="s">
        <v>25</v>
      </c>
      <c r="F4094" s="1" t="str">
        <f>"7311150203009510"</f>
        <v>7311150203009510</v>
      </c>
      <c r="G4094" s="1" t="s">
        <v>33</v>
      </c>
      <c r="H4094" s="1" t="str">
        <f t="shared" si="752"/>
        <v>20220917</v>
      </c>
      <c r="I4094" s="1" t="str">
        <f>"130024"</f>
        <v>130024</v>
      </c>
      <c r="J4094" s="1" t="s">
        <v>52</v>
      </c>
      <c r="K4094" s="1" t="s">
        <v>52</v>
      </c>
      <c r="L4094" s="1" t="str">
        <f t="shared" si="753"/>
        <v>20220917</v>
      </c>
      <c r="M4094" s="1" t="str">
        <f>"132501"</f>
        <v>132501</v>
      </c>
      <c r="N4094" s="1" t="s">
        <v>70</v>
      </c>
      <c r="O4094" s="1" t="s">
        <v>28</v>
      </c>
      <c r="P4094" s="1" t="s">
        <v>55</v>
      </c>
      <c r="Q4094" s="1">
        <v>25</v>
      </c>
      <c r="R4094" s="1">
        <v>25</v>
      </c>
      <c r="S4094" s="1">
        <v>0</v>
      </c>
      <c r="T4094" s="1">
        <v>0</v>
      </c>
      <c r="U4094" s="1">
        <v>0</v>
      </c>
      <c r="V4094" s="1" t="str">
        <f t="shared" si="765"/>
        <v>里程去程</v>
      </c>
      <c r="W4094" s="1" t="str">
        <f>"083B"</f>
        <v>083B</v>
      </c>
      <c r="X4094" s="1" t="s">
        <v>109</v>
      </c>
    </row>
    <row r="4095" spans="1:24" x14ac:dyDescent="0.3">
      <c r="A4095" s="1" t="str">
        <f t="shared" si="763"/>
        <v>59828</v>
      </c>
      <c r="B4095" s="1" t="s">
        <v>23</v>
      </c>
      <c r="C4095" s="1" t="s">
        <v>24</v>
      </c>
      <c r="D4095" s="1" t="str">
        <f t="shared" si="764"/>
        <v>9801</v>
      </c>
      <c r="E4095" s="1" t="s">
        <v>25</v>
      </c>
      <c r="F4095" s="1" t="str">
        <f>"3229192931"</f>
        <v>3229192931</v>
      </c>
      <c r="G4095" s="1" t="s">
        <v>33</v>
      </c>
      <c r="H4095" s="1" t="str">
        <f t="shared" si="752"/>
        <v>20220917</v>
      </c>
      <c r="I4095" s="1" t="str">
        <f>"130031"</f>
        <v>130031</v>
      </c>
      <c r="J4095" s="1" t="s">
        <v>52</v>
      </c>
      <c r="K4095" s="1" t="s">
        <v>52</v>
      </c>
      <c r="L4095" s="1" t="str">
        <f t="shared" si="753"/>
        <v>20220917</v>
      </c>
      <c r="M4095" s="1" t="str">
        <f>"132458"</f>
        <v>132458</v>
      </c>
      <c r="N4095" s="1" t="s">
        <v>70</v>
      </c>
      <c r="O4095" s="1" t="s">
        <v>28</v>
      </c>
      <c r="P4095" s="1" t="s">
        <v>55</v>
      </c>
      <c r="Q4095" s="1">
        <v>25</v>
      </c>
      <c r="R4095" s="1">
        <v>25</v>
      </c>
      <c r="S4095" s="1">
        <v>0</v>
      </c>
      <c r="T4095" s="1">
        <v>0</v>
      </c>
      <c r="U4095" s="1">
        <v>0</v>
      </c>
      <c r="V4095" s="1" t="str">
        <f t="shared" si="765"/>
        <v>里程去程</v>
      </c>
      <c r="W4095" s="1" t="str">
        <f>"2020"</f>
        <v>2020</v>
      </c>
      <c r="X4095" s="1" t="s">
        <v>35</v>
      </c>
    </row>
    <row r="4096" spans="1:24" x14ac:dyDescent="0.3">
      <c r="A4096" s="1" t="str">
        <f t="shared" si="763"/>
        <v>59828</v>
      </c>
      <c r="B4096" s="1" t="s">
        <v>23</v>
      </c>
      <c r="C4096" s="1" t="s">
        <v>24</v>
      </c>
      <c r="D4096" s="1" t="str">
        <f t="shared" si="764"/>
        <v>9801</v>
      </c>
      <c r="E4096" s="1" t="s">
        <v>25</v>
      </c>
      <c r="F4096" s="1" t="str">
        <f>"566236449"</f>
        <v>566236449</v>
      </c>
      <c r="G4096" s="1" t="s">
        <v>33</v>
      </c>
      <c r="H4096" s="1" t="str">
        <f t="shared" si="752"/>
        <v>20220917</v>
      </c>
      <c r="I4096" s="1" t="str">
        <f>"130035"</f>
        <v>130035</v>
      </c>
      <c r="J4096" s="1" t="s">
        <v>52</v>
      </c>
      <c r="K4096" s="1" t="s">
        <v>52</v>
      </c>
      <c r="L4096" s="1" t="str">
        <f t="shared" si="753"/>
        <v>20220917</v>
      </c>
      <c r="M4096" s="1" t="str">
        <f>"132456"</f>
        <v>132456</v>
      </c>
      <c r="N4096" s="1" t="s">
        <v>70</v>
      </c>
      <c r="O4096" s="1" t="s">
        <v>28</v>
      </c>
      <c r="P4096" s="1" t="s">
        <v>55</v>
      </c>
      <c r="Q4096" s="1">
        <v>25</v>
      </c>
      <c r="R4096" s="1">
        <v>25</v>
      </c>
      <c r="S4096" s="1">
        <v>0</v>
      </c>
      <c r="T4096" s="1">
        <v>0</v>
      </c>
      <c r="U4096" s="1">
        <v>0</v>
      </c>
      <c r="V4096" s="1" t="str">
        <f t="shared" si="765"/>
        <v>里程去程</v>
      </c>
      <c r="W4096" s="1" t="str">
        <f>"2020"</f>
        <v>2020</v>
      </c>
      <c r="X4096" s="1" t="s">
        <v>35</v>
      </c>
    </row>
    <row r="4097" spans="1:24" x14ac:dyDescent="0.3">
      <c r="A4097" s="1" t="str">
        <f t="shared" si="763"/>
        <v>59828</v>
      </c>
      <c r="B4097" s="1" t="s">
        <v>23</v>
      </c>
      <c r="C4097" s="1" t="s">
        <v>24</v>
      </c>
      <c r="D4097" s="1" t="str">
        <f t="shared" si="764"/>
        <v>9801</v>
      </c>
      <c r="E4097" s="1" t="s">
        <v>25</v>
      </c>
      <c r="F4097" s="1" t="str">
        <f>"1030853493"</f>
        <v>1030853493</v>
      </c>
      <c r="G4097" s="1" t="s">
        <v>38</v>
      </c>
      <c r="H4097" s="1" t="str">
        <f t="shared" ref="H4097:H4160" si="766">"20220917"</f>
        <v>20220917</v>
      </c>
      <c r="I4097" s="1" t="str">
        <f>"130755"</f>
        <v>130755</v>
      </c>
      <c r="J4097" s="1" t="s">
        <v>51</v>
      </c>
      <c r="K4097" s="1" t="s">
        <v>52</v>
      </c>
      <c r="L4097" s="1" t="str">
        <f t="shared" ref="L4097:L4160" si="767">"20220917"</f>
        <v>20220917</v>
      </c>
      <c r="M4097" s="1" t="str">
        <f>"132537"</f>
        <v>132537</v>
      </c>
      <c r="N4097" s="1" t="s">
        <v>70</v>
      </c>
      <c r="O4097" s="1" t="s">
        <v>28</v>
      </c>
      <c r="P4097" s="1" t="s">
        <v>55</v>
      </c>
      <c r="Q4097" s="1">
        <v>25</v>
      </c>
      <c r="R4097" s="1">
        <v>25</v>
      </c>
      <c r="S4097" s="1">
        <v>0</v>
      </c>
      <c r="T4097" s="1">
        <v>0</v>
      </c>
      <c r="U4097" s="1">
        <v>0</v>
      </c>
      <c r="V4097" s="1" t="str">
        <f t="shared" si="765"/>
        <v>里程去程</v>
      </c>
      <c r="W4097" s="1" t="str">
        <f>"2020"</f>
        <v>2020</v>
      </c>
      <c r="X4097" s="1" t="s">
        <v>35</v>
      </c>
    </row>
    <row r="4098" spans="1:24" x14ac:dyDescent="0.3">
      <c r="A4098" s="1" t="str">
        <f t="shared" si="763"/>
        <v>59828</v>
      </c>
      <c r="B4098" s="1" t="s">
        <v>23</v>
      </c>
      <c r="C4098" s="1" t="s">
        <v>24</v>
      </c>
      <c r="D4098" s="1" t="str">
        <f t="shared" si="764"/>
        <v>9801</v>
      </c>
      <c r="E4098" s="1" t="s">
        <v>25</v>
      </c>
      <c r="F4098" s="1" t="str">
        <f>"2698035450"</f>
        <v>2698035450</v>
      </c>
      <c r="G4098" s="1" t="s">
        <v>33</v>
      </c>
      <c r="H4098" s="1" t="str">
        <f t="shared" si="766"/>
        <v>20220917</v>
      </c>
      <c r="I4098" s="1" t="str">
        <f>"130919"</f>
        <v>130919</v>
      </c>
      <c r="J4098" s="1" t="s">
        <v>72</v>
      </c>
      <c r="K4098" s="1" t="s">
        <v>52</v>
      </c>
      <c r="L4098" s="1" t="str">
        <f t="shared" si="767"/>
        <v>20220917</v>
      </c>
      <c r="M4098" s="1" t="str">
        <f>"132529"</f>
        <v>132529</v>
      </c>
      <c r="N4098" s="1" t="s">
        <v>70</v>
      </c>
      <c r="O4098" s="1" t="s">
        <v>28</v>
      </c>
      <c r="P4098" s="1" t="s">
        <v>55</v>
      </c>
      <c r="Q4098" s="1">
        <v>25</v>
      </c>
      <c r="R4098" s="1">
        <v>25</v>
      </c>
      <c r="S4098" s="1">
        <v>0</v>
      </c>
      <c r="T4098" s="1">
        <v>0</v>
      </c>
      <c r="U4098" s="1">
        <v>0</v>
      </c>
      <c r="V4098" s="1" t="str">
        <f t="shared" si="765"/>
        <v>里程去程</v>
      </c>
      <c r="W4098" s="1" t="str">
        <f>"2020"</f>
        <v>2020</v>
      </c>
      <c r="X4098" s="1" t="s">
        <v>35</v>
      </c>
    </row>
    <row r="4099" spans="1:24" x14ac:dyDescent="0.3">
      <c r="A4099" s="1" t="str">
        <f t="shared" si="763"/>
        <v>59828</v>
      </c>
      <c r="B4099" s="1" t="s">
        <v>23</v>
      </c>
      <c r="C4099" s="1" t="s">
        <v>24</v>
      </c>
      <c r="D4099" s="1" t="str">
        <f t="shared" si="764"/>
        <v>9801</v>
      </c>
      <c r="E4099" s="1" t="s">
        <v>25</v>
      </c>
      <c r="F4099" s="1" t="str">
        <f>"1711532037"</f>
        <v>1711532037</v>
      </c>
      <c r="G4099" s="1" t="s">
        <v>33</v>
      </c>
      <c r="H4099" s="1" t="str">
        <f t="shared" si="766"/>
        <v>20220917</v>
      </c>
      <c r="I4099" s="1" t="str">
        <f>"131728"</f>
        <v>131728</v>
      </c>
      <c r="J4099" s="1" t="s">
        <v>78</v>
      </c>
      <c r="K4099" s="1" t="s">
        <v>52</v>
      </c>
      <c r="L4099" s="1" t="str">
        <f t="shared" si="767"/>
        <v>20220917</v>
      </c>
      <c r="M4099" s="1" t="str">
        <f>"132535"</f>
        <v>132535</v>
      </c>
      <c r="N4099" s="1" t="s">
        <v>70</v>
      </c>
      <c r="O4099" s="1" t="s">
        <v>28</v>
      </c>
      <c r="P4099" s="1" t="s">
        <v>55</v>
      </c>
      <c r="Q4099" s="1">
        <v>25</v>
      </c>
      <c r="R4099" s="1">
        <v>0</v>
      </c>
      <c r="S4099" s="1">
        <v>25</v>
      </c>
      <c r="T4099" s="1">
        <v>0</v>
      </c>
      <c r="U4099" s="1">
        <v>0</v>
      </c>
      <c r="V4099" s="1" t="str">
        <f t="shared" si="765"/>
        <v>里程去程</v>
      </c>
      <c r="W4099" s="1" t="str">
        <f>"2120"</f>
        <v>2120</v>
      </c>
      <c r="X4099" s="1" t="s">
        <v>35</v>
      </c>
    </row>
    <row r="4100" spans="1:24" x14ac:dyDescent="0.3">
      <c r="A4100" s="1" t="str">
        <f t="shared" si="763"/>
        <v>59828</v>
      </c>
      <c r="B4100" s="1" t="s">
        <v>23</v>
      </c>
      <c r="C4100" s="1" t="s">
        <v>24</v>
      </c>
      <c r="D4100" s="1" t="str">
        <f t="shared" si="764"/>
        <v>9801</v>
      </c>
      <c r="E4100" s="1" t="s">
        <v>25</v>
      </c>
      <c r="F4100" s="1" t="str">
        <f>"2071028406"</f>
        <v>2071028406</v>
      </c>
      <c r="G4100" s="1" t="s">
        <v>33</v>
      </c>
      <c r="H4100" s="1" t="str">
        <f t="shared" si="766"/>
        <v>20220917</v>
      </c>
      <c r="I4100" s="1" t="str">
        <f>"131730"</f>
        <v>131730</v>
      </c>
      <c r="J4100" s="1" t="s">
        <v>78</v>
      </c>
      <c r="K4100" s="1" t="s">
        <v>52</v>
      </c>
      <c r="L4100" s="1" t="str">
        <f t="shared" si="767"/>
        <v>20220917</v>
      </c>
      <c r="M4100" s="1" t="str">
        <f>"132532"</f>
        <v>132532</v>
      </c>
      <c r="N4100" s="1" t="s">
        <v>70</v>
      </c>
      <c r="O4100" s="1" t="s">
        <v>28</v>
      </c>
      <c r="P4100" s="1" t="s">
        <v>55</v>
      </c>
      <c r="Q4100" s="1">
        <v>25</v>
      </c>
      <c r="R4100" s="1">
        <v>0</v>
      </c>
      <c r="S4100" s="1">
        <v>25</v>
      </c>
      <c r="T4100" s="1">
        <v>0</v>
      </c>
      <c r="U4100" s="1">
        <v>0</v>
      </c>
      <c r="V4100" s="1" t="str">
        <f t="shared" si="765"/>
        <v>里程去程</v>
      </c>
      <c r="W4100" s="1" t="str">
        <f>"2120"</f>
        <v>2120</v>
      </c>
      <c r="X4100" s="1" t="s">
        <v>35</v>
      </c>
    </row>
    <row r="4101" spans="1:24" x14ac:dyDescent="0.3">
      <c r="A4101" s="1" t="str">
        <f t="shared" si="763"/>
        <v>59828</v>
      </c>
      <c r="B4101" s="1" t="s">
        <v>23</v>
      </c>
      <c r="C4101" s="1" t="s">
        <v>24</v>
      </c>
      <c r="D4101" s="1" t="str">
        <f t="shared" si="764"/>
        <v>9801</v>
      </c>
      <c r="E4101" s="1" t="s">
        <v>25</v>
      </c>
      <c r="F4101" s="1" t="str">
        <f>"C200FE023E880400C834002000000015"</f>
        <v>C200FE023E880400C834002000000015</v>
      </c>
      <c r="G4101" s="1" t="s">
        <v>26</v>
      </c>
      <c r="H4101" s="1" t="str">
        <f t="shared" si="766"/>
        <v>20220917</v>
      </c>
      <c r="I4101" s="1" t="str">
        <f>"132857"</f>
        <v>132857</v>
      </c>
      <c r="J4101" s="1" t="s">
        <v>27</v>
      </c>
      <c r="K4101" s="1" t="s">
        <v>28</v>
      </c>
      <c r="L4101" s="1" t="str">
        <f t="shared" si="767"/>
        <v>20220917</v>
      </c>
      <c r="M4101" s="1" t="str">
        <f>"134520"</f>
        <v>134520</v>
      </c>
      <c r="N4101" s="1" t="s">
        <v>61</v>
      </c>
      <c r="O4101" s="1" t="s">
        <v>45</v>
      </c>
      <c r="P4101" s="1" t="s">
        <v>68</v>
      </c>
      <c r="Q4101" s="1">
        <v>13</v>
      </c>
      <c r="R4101" s="1">
        <v>0</v>
      </c>
      <c r="S4101" s="1">
        <v>0</v>
      </c>
      <c r="T4101" s="1">
        <v>13</v>
      </c>
      <c r="U4101" s="1">
        <v>0</v>
      </c>
      <c r="V4101" s="1" t="str">
        <f t="shared" si="765"/>
        <v>里程去程</v>
      </c>
      <c r="W4101" s="1" t="str">
        <f>"0020"</f>
        <v>0020</v>
      </c>
      <c r="X4101" s="1" t="s">
        <v>29</v>
      </c>
    </row>
    <row r="4102" spans="1:24" x14ac:dyDescent="0.3">
      <c r="A4102" s="1" t="str">
        <f t="shared" si="763"/>
        <v>59828</v>
      </c>
      <c r="B4102" s="1" t="s">
        <v>23</v>
      </c>
      <c r="C4102" s="1" t="s">
        <v>24</v>
      </c>
      <c r="D4102" s="1" t="str">
        <f t="shared" si="764"/>
        <v>9801</v>
      </c>
      <c r="E4102" s="1" t="s">
        <v>25</v>
      </c>
      <c r="F4102" s="1" t="str">
        <f>"1073212389"</f>
        <v>1073212389</v>
      </c>
      <c r="G4102" s="1" t="s">
        <v>33</v>
      </c>
      <c r="H4102" s="1" t="str">
        <f t="shared" si="766"/>
        <v>20220917</v>
      </c>
      <c r="I4102" s="1" t="str">
        <f>"132905"</f>
        <v>132905</v>
      </c>
      <c r="J4102" s="1" t="s">
        <v>27</v>
      </c>
      <c r="K4102" s="1" t="s">
        <v>28</v>
      </c>
      <c r="L4102" s="1" t="str">
        <f t="shared" si="767"/>
        <v>20220917</v>
      </c>
      <c r="M4102" s="1" t="str">
        <f>"135743"</f>
        <v>135743</v>
      </c>
      <c r="N4102" s="1" t="s">
        <v>44</v>
      </c>
      <c r="O4102" s="1" t="s">
        <v>45</v>
      </c>
      <c r="P4102" s="1" t="s">
        <v>55</v>
      </c>
      <c r="Q4102" s="1">
        <v>25</v>
      </c>
      <c r="R4102" s="1">
        <v>25</v>
      </c>
      <c r="S4102" s="1">
        <v>0</v>
      </c>
      <c r="T4102" s="1">
        <v>0</v>
      </c>
      <c r="U4102" s="1">
        <v>0</v>
      </c>
      <c r="V4102" s="1" t="str">
        <f t="shared" si="765"/>
        <v>里程去程</v>
      </c>
      <c r="W4102" s="1" t="str">
        <f>"2120"</f>
        <v>2120</v>
      </c>
      <c r="X4102" s="1" t="s">
        <v>35</v>
      </c>
    </row>
    <row r="4103" spans="1:24" x14ac:dyDescent="0.3">
      <c r="A4103" s="1" t="str">
        <f t="shared" si="763"/>
        <v>59828</v>
      </c>
      <c r="B4103" s="1" t="s">
        <v>23</v>
      </c>
      <c r="C4103" s="1" t="s">
        <v>24</v>
      </c>
      <c r="D4103" s="1" t="str">
        <f t="shared" si="764"/>
        <v>9801</v>
      </c>
      <c r="E4103" s="1" t="s">
        <v>25</v>
      </c>
      <c r="F4103" s="1" t="str">
        <f>"1072282901"</f>
        <v>1072282901</v>
      </c>
      <c r="G4103" s="1" t="s">
        <v>33</v>
      </c>
      <c r="H4103" s="1" t="str">
        <f t="shared" si="766"/>
        <v>20220917</v>
      </c>
      <c r="I4103" s="1" t="str">
        <f>"132907"</f>
        <v>132907</v>
      </c>
      <c r="J4103" s="1" t="s">
        <v>27</v>
      </c>
      <c r="K4103" s="1" t="s">
        <v>28</v>
      </c>
      <c r="L4103" s="1" t="str">
        <f t="shared" si="767"/>
        <v>20220917</v>
      </c>
      <c r="M4103" s="1" t="str">
        <f>"135748"</f>
        <v>135748</v>
      </c>
      <c r="N4103" s="1" t="s">
        <v>44</v>
      </c>
      <c r="O4103" s="1" t="s">
        <v>45</v>
      </c>
      <c r="P4103" s="1" t="s">
        <v>55</v>
      </c>
      <c r="Q4103" s="1">
        <v>25</v>
      </c>
      <c r="R4103" s="1">
        <v>25</v>
      </c>
      <c r="S4103" s="1">
        <v>0</v>
      </c>
      <c r="T4103" s="1">
        <v>0</v>
      </c>
      <c r="U4103" s="1">
        <v>0</v>
      </c>
      <c r="V4103" s="1" t="str">
        <f t="shared" si="765"/>
        <v>里程去程</v>
      </c>
      <c r="W4103" s="1" t="str">
        <f>"2120"</f>
        <v>2120</v>
      </c>
      <c r="X4103" s="1" t="s">
        <v>35</v>
      </c>
    </row>
    <row r="4104" spans="1:24" x14ac:dyDescent="0.3">
      <c r="A4104" s="1" t="str">
        <f t="shared" si="763"/>
        <v>59828</v>
      </c>
      <c r="B4104" s="1" t="s">
        <v>23</v>
      </c>
      <c r="C4104" s="1" t="s">
        <v>24</v>
      </c>
      <c r="D4104" s="1" t="str">
        <f t="shared" si="764"/>
        <v>9801</v>
      </c>
      <c r="E4104" s="1" t="s">
        <v>25</v>
      </c>
      <c r="F4104" s="1" t="str">
        <f>"5283B41B7E880400C822002000000021"</f>
        <v>5283B41B7E880400C822002000000021</v>
      </c>
      <c r="G4104" s="1" t="s">
        <v>59</v>
      </c>
      <c r="H4104" s="1" t="str">
        <f t="shared" si="766"/>
        <v>20220917</v>
      </c>
      <c r="I4104" s="1" t="str">
        <f>"132913"</f>
        <v>132913</v>
      </c>
      <c r="J4104" s="1" t="s">
        <v>27</v>
      </c>
      <c r="K4104" s="1" t="s">
        <v>28</v>
      </c>
      <c r="L4104" s="1" t="str">
        <f t="shared" si="767"/>
        <v>20220917</v>
      </c>
      <c r="M4104" s="1" t="str">
        <f>"134803"</f>
        <v>134803</v>
      </c>
      <c r="N4104" s="1" t="s">
        <v>75</v>
      </c>
      <c r="O4104" s="1" t="s">
        <v>45</v>
      </c>
      <c r="P4104" s="1" t="s">
        <v>55</v>
      </c>
      <c r="Q4104" s="1">
        <v>25</v>
      </c>
      <c r="R4104" s="1">
        <v>25</v>
      </c>
      <c r="S4104" s="1">
        <v>0</v>
      </c>
      <c r="T4104" s="1">
        <v>0</v>
      </c>
      <c r="U4104" s="1">
        <v>0</v>
      </c>
      <c r="V4104" s="1" t="str">
        <f t="shared" si="765"/>
        <v>里程去程</v>
      </c>
      <c r="W4104" s="1" t="str">
        <f>"0020"</f>
        <v>0020</v>
      </c>
      <c r="X4104" s="1" t="s">
        <v>29</v>
      </c>
    </row>
    <row r="4105" spans="1:24" x14ac:dyDescent="0.3">
      <c r="A4105" s="1" t="str">
        <f t="shared" si="763"/>
        <v>59828</v>
      </c>
      <c r="B4105" s="1" t="s">
        <v>23</v>
      </c>
      <c r="C4105" s="1" t="s">
        <v>24</v>
      </c>
      <c r="D4105" s="1" t="str">
        <f t="shared" si="764"/>
        <v>9801</v>
      </c>
      <c r="E4105" s="1" t="s">
        <v>25</v>
      </c>
      <c r="F4105" s="1" t="str">
        <f>"461273873"</f>
        <v>461273873</v>
      </c>
      <c r="G4105" s="1" t="s">
        <v>38</v>
      </c>
      <c r="H4105" s="1" t="str">
        <f t="shared" si="766"/>
        <v>20220917</v>
      </c>
      <c r="I4105" s="1" t="str">
        <f>"132916"</f>
        <v>132916</v>
      </c>
      <c r="J4105" s="1" t="s">
        <v>27</v>
      </c>
      <c r="K4105" s="1" t="s">
        <v>28</v>
      </c>
      <c r="L4105" s="1" t="str">
        <f t="shared" si="767"/>
        <v>20220917</v>
      </c>
      <c r="M4105" s="1" t="str">
        <f>"135739"</f>
        <v>135739</v>
      </c>
      <c r="N4105" s="1" t="s">
        <v>44</v>
      </c>
      <c r="O4105" s="1" t="s">
        <v>45</v>
      </c>
      <c r="P4105" s="1" t="s">
        <v>55</v>
      </c>
      <c r="Q4105" s="1">
        <v>25</v>
      </c>
      <c r="R4105" s="1">
        <v>25</v>
      </c>
      <c r="S4105" s="1">
        <v>0</v>
      </c>
      <c r="T4105" s="1">
        <v>0</v>
      </c>
      <c r="U4105" s="1">
        <v>0</v>
      </c>
      <c r="V4105" s="1" t="str">
        <f t="shared" si="765"/>
        <v>里程去程</v>
      </c>
      <c r="W4105" s="1" t="str">
        <f>"0920"</f>
        <v>0920</v>
      </c>
      <c r="X4105" s="1" t="s">
        <v>35</v>
      </c>
    </row>
    <row r="4106" spans="1:24" x14ac:dyDescent="0.3">
      <c r="A4106" s="1" t="str">
        <f t="shared" si="763"/>
        <v>59828</v>
      </c>
      <c r="B4106" s="1" t="s">
        <v>23</v>
      </c>
      <c r="C4106" s="1" t="s">
        <v>24</v>
      </c>
      <c r="D4106" s="1" t="str">
        <f t="shared" si="764"/>
        <v>9801</v>
      </c>
      <c r="E4106" s="1" t="s">
        <v>25</v>
      </c>
      <c r="F4106" s="1" t="str">
        <f>"461273873"</f>
        <v>461273873</v>
      </c>
      <c r="G4106" s="1" t="s">
        <v>38</v>
      </c>
      <c r="H4106" s="1" t="str">
        <f t="shared" si="766"/>
        <v>20220917</v>
      </c>
      <c r="I4106" s="1" t="str">
        <f>"145616"</f>
        <v>145616</v>
      </c>
      <c r="J4106" s="1" t="s">
        <v>52</v>
      </c>
      <c r="K4106" s="1" t="s">
        <v>52</v>
      </c>
      <c r="L4106" s="1" t="str">
        <f t="shared" si="767"/>
        <v>20220917</v>
      </c>
      <c r="M4106" s="1" t="str">
        <f>"153540"</f>
        <v>153540</v>
      </c>
      <c r="N4106" s="1" t="s">
        <v>70</v>
      </c>
      <c r="O4106" s="1" t="s">
        <v>28</v>
      </c>
      <c r="P4106" s="1" t="s">
        <v>55</v>
      </c>
      <c r="Q4106" s="1">
        <v>25</v>
      </c>
      <c r="R4106" s="1">
        <v>25</v>
      </c>
      <c r="S4106" s="1">
        <v>0</v>
      </c>
      <c r="T4106" s="1">
        <v>0</v>
      </c>
      <c r="U4106" s="1">
        <v>0</v>
      </c>
      <c r="V4106" s="1" t="str">
        <f t="shared" si="765"/>
        <v>里程去程</v>
      </c>
      <c r="W4106" s="1" t="str">
        <f>"2020"</f>
        <v>2020</v>
      </c>
      <c r="X4106" s="1" t="s">
        <v>35</v>
      </c>
    </row>
    <row r="4107" spans="1:24" x14ac:dyDescent="0.3">
      <c r="A4107" s="1" t="str">
        <f t="shared" si="763"/>
        <v>59828</v>
      </c>
      <c r="B4107" s="1" t="s">
        <v>23</v>
      </c>
      <c r="C4107" s="1" t="s">
        <v>24</v>
      </c>
      <c r="D4107" s="1" t="str">
        <f t="shared" si="764"/>
        <v>9801</v>
      </c>
      <c r="E4107" s="1" t="s">
        <v>25</v>
      </c>
      <c r="F4107" s="1" t="str">
        <f>"F27CE6026A880400C834002000000015"</f>
        <v>F27CE6026A880400C834002000000015</v>
      </c>
      <c r="G4107" s="1" t="s">
        <v>74</v>
      </c>
      <c r="H4107" s="1" t="str">
        <f t="shared" si="766"/>
        <v>20220917</v>
      </c>
      <c r="I4107" s="1" t="str">
        <f>"145653"</f>
        <v>145653</v>
      </c>
      <c r="J4107" s="1" t="s">
        <v>52</v>
      </c>
      <c r="K4107" s="1" t="s">
        <v>52</v>
      </c>
      <c r="L4107" s="1" t="str">
        <f t="shared" si="767"/>
        <v>20220917</v>
      </c>
      <c r="M4107" s="1" t="str">
        <f>"150849"</f>
        <v>150849</v>
      </c>
      <c r="N4107" s="1" t="s">
        <v>60</v>
      </c>
      <c r="O4107" s="1" t="s">
        <v>52</v>
      </c>
      <c r="P4107" s="1" t="s">
        <v>68</v>
      </c>
      <c r="Q4107" s="1">
        <v>13</v>
      </c>
      <c r="R4107" s="1">
        <v>0</v>
      </c>
      <c r="S4107" s="1">
        <v>0</v>
      </c>
      <c r="T4107" s="1">
        <v>13</v>
      </c>
      <c r="U4107" s="1">
        <v>0</v>
      </c>
      <c r="V4107" s="1" t="str">
        <f t="shared" si="765"/>
        <v>里程去程</v>
      </c>
      <c r="W4107" s="1" t="str">
        <f>"0020"</f>
        <v>0020</v>
      </c>
      <c r="X4107" s="1" t="s">
        <v>29</v>
      </c>
    </row>
    <row r="4108" spans="1:24" x14ac:dyDescent="0.3">
      <c r="A4108" s="1" t="str">
        <f t="shared" si="763"/>
        <v>59828</v>
      </c>
      <c r="B4108" s="1" t="s">
        <v>23</v>
      </c>
      <c r="C4108" s="1" t="s">
        <v>24</v>
      </c>
      <c r="D4108" s="1" t="str">
        <f t="shared" si="764"/>
        <v>9801</v>
      </c>
      <c r="E4108" s="1" t="s">
        <v>25</v>
      </c>
      <c r="F4108" s="1" t="str">
        <f>"C2F219032A880400C834002000000015"</f>
        <v>C2F219032A880400C834002000000015</v>
      </c>
      <c r="G4108" s="1" t="s">
        <v>26</v>
      </c>
      <c r="H4108" s="1" t="str">
        <f t="shared" si="766"/>
        <v>20220917</v>
      </c>
      <c r="I4108" s="1" t="str">
        <f>"150622"</f>
        <v>150622</v>
      </c>
      <c r="J4108" s="1" t="s">
        <v>86</v>
      </c>
      <c r="K4108" s="1" t="s">
        <v>52</v>
      </c>
      <c r="L4108" s="1" t="str">
        <f t="shared" si="767"/>
        <v>20220917</v>
      </c>
      <c r="M4108" s="1" t="str">
        <f>"151116"</f>
        <v>151116</v>
      </c>
      <c r="N4108" s="1" t="s">
        <v>51</v>
      </c>
      <c r="O4108" s="1" t="s">
        <v>52</v>
      </c>
      <c r="P4108" s="1" t="s">
        <v>68</v>
      </c>
      <c r="Q4108" s="1">
        <v>13</v>
      </c>
      <c r="R4108" s="1">
        <v>0</v>
      </c>
      <c r="S4108" s="1">
        <v>0</v>
      </c>
      <c r="T4108" s="1">
        <v>13</v>
      </c>
      <c r="U4108" s="1">
        <v>0</v>
      </c>
      <c r="V4108" s="1" t="str">
        <f t="shared" si="765"/>
        <v>里程去程</v>
      </c>
      <c r="W4108" s="1" t="str">
        <f>"0020"</f>
        <v>0020</v>
      </c>
      <c r="X4108" s="1" t="s">
        <v>29</v>
      </c>
    </row>
    <row r="4109" spans="1:24" x14ac:dyDescent="0.3">
      <c r="A4109" s="1" t="str">
        <f t="shared" si="763"/>
        <v>59828</v>
      </c>
      <c r="B4109" s="1" t="s">
        <v>23</v>
      </c>
      <c r="C4109" s="1" t="s">
        <v>24</v>
      </c>
      <c r="D4109" s="1" t="str">
        <f t="shared" si="764"/>
        <v>9801</v>
      </c>
      <c r="E4109" s="1" t="s">
        <v>25</v>
      </c>
      <c r="F4109" s="1" t="str">
        <f>"832913249"</f>
        <v>832913249</v>
      </c>
      <c r="G4109" s="1" t="s">
        <v>33</v>
      </c>
      <c r="H4109" s="1" t="str">
        <f t="shared" si="766"/>
        <v>20220917</v>
      </c>
      <c r="I4109" s="1" t="str">
        <f>"162911"</f>
        <v>162911</v>
      </c>
      <c r="J4109" s="1" t="s">
        <v>67</v>
      </c>
      <c r="K4109" s="1" t="s">
        <v>52</v>
      </c>
      <c r="L4109" s="1" t="str">
        <f t="shared" si="767"/>
        <v>20220917</v>
      </c>
      <c r="M4109" s="1" t="str">
        <f>"163626"</f>
        <v>163626</v>
      </c>
      <c r="N4109" s="1" t="s">
        <v>70</v>
      </c>
      <c r="O4109" s="1" t="s">
        <v>28</v>
      </c>
      <c r="P4109" s="1" t="s">
        <v>55</v>
      </c>
      <c r="Q4109" s="1">
        <v>25</v>
      </c>
      <c r="R4109" s="1">
        <v>25</v>
      </c>
      <c r="S4109" s="1">
        <v>0</v>
      </c>
      <c r="T4109" s="1">
        <v>0</v>
      </c>
      <c r="U4109" s="1">
        <v>0</v>
      </c>
      <c r="V4109" s="1" t="str">
        <f t="shared" si="765"/>
        <v>里程去程</v>
      </c>
      <c r="W4109" s="1" t="str">
        <f>"2020"</f>
        <v>2020</v>
      </c>
      <c r="X4109" s="1" t="s">
        <v>35</v>
      </c>
    </row>
    <row r="4110" spans="1:24" x14ac:dyDescent="0.3">
      <c r="A4110" s="1" t="str">
        <f t="shared" si="763"/>
        <v>59828</v>
      </c>
      <c r="B4110" s="1" t="s">
        <v>23</v>
      </c>
      <c r="C4110" s="1" t="s">
        <v>24</v>
      </c>
      <c r="D4110" s="1" t="str">
        <f t="shared" si="764"/>
        <v>9801</v>
      </c>
      <c r="E4110" s="1" t="s">
        <v>25</v>
      </c>
      <c r="F4110" s="1" t="str">
        <f>"1480457519"</f>
        <v>1480457519</v>
      </c>
      <c r="G4110" s="1" t="s">
        <v>33</v>
      </c>
      <c r="H4110" s="1" t="str">
        <f t="shared" si="766"/>
        <v>20220917</v>
      </c>
      <c r="I4110" s="1" t="str">
        <f>"163651"</f>
        <v>163651</v>
      </c>
      <c r="J4110" s="1" t="s">
        <v>27</v>
      </c>
      <c r="K4110" s="1" t="s">
        <v>28</v>
      </c>
      <c r="L4110" s="1" t="str">
        <f t="shared" si="767"/>
        <v>20220917</v>
      </c>
      <c r="M4110" s="1" t="str">
        <f>"165744"</f>
        <v>165744</v>
      </c>
      <c r="N4110" s="1" t="s">
        <v>44</v>
      </c>
      <c r="O4110" s="1" t="s">
        <v>45</v>
      </c>
      <c r="P4110" s="1" t="s">
        <v>55</v>
      </c>
      <c r="Q4110" s="1">
        <v>25</v>
      </c>
      <c r="R4110" s="1">
        <v>25</v>
      </c>
      <c r="S4110" s="1">
        <v>0</v>
      </c>
      <c r="T4110" s="1">
        <v>0</v>
      </c>
      <c r="U4110" s="1">
        <v>0</v>
      </c>
      <c r="V4110" s="1" t="str">
        <f t="shared" si="765"/>
        <v>里程去程</v>
      </c>
      <c r="W4110" s="1" t="str">
        <f>"0c20"</f>
        <v>0c20</v>
      </c>
      <c r="X4110" s="1" t="s">
        <v>35</v>
      </c>
    </row>
    <row r="4111" spans="1:24" x14ac:dyDescent="0.3">
      <c r="A4111" s="1" t="str">
        <f t="shared" si="763"/>
        <v>59828</v>
      </c>
      <c r="B4111" s="1" t="s">
        <v>23</v>
      </c>
      <c r="C4111" s="1" t="s">
        <v>24</v>
      </c>
      <c r="D4111" s="1" t="str">
        <f t="shared" si="764"/>
        <v>9801</v>
      </c>
      <c r="E4111" s="1" t="s">
        <v>25</v>
      </c>
      <c r="F4111" s="1" t="str">
        <f>"42601B033A880400C834002000000015"</f>
        <v>42601B033A880400C834002000000015</v>
      </c>
      <c r="G4111" s="1" t="s">
        <v>26</v>
      </c>
      <c r="H4111" s="1" t="str">
        <f t="shared" si="766"/>
        <v>20220917</v>
      </c>
      <c r="I4111" s="1" t="str">
        <f>"163702"</f>
        <v>163702</v>
      </c>
      <c r="J4111" s="1" t="s">
        <v>27</v>
      </c>
      <c r="K4111" s="1" t="s">
        <v>28</v>
      </c>
      <c r="L4111" s="1" t="str">
        <f t="shared" si="767"/>
        <v>20220917</v>
      </c>
      <c r="M4111" s="1" t="str">
        <f>"170051"</f>
        <v>170051</v>
      </c>
      <c r="N4111" s="1" t="s">
        <v>44</v>
      </c>
      <c r="O4111" s="1" t="s">
        <v>45</v>
      </c>
      <c r="P4111" s="1" t="s">
        <v>68</v>
      </c>
      <c r="Q4111" s="1">
        <v>13</v>
      </c>
      <c r="R4111" s="1">
        <v>0</v>
      </c>
      <c r="S4111" s="1">
        <v>0</v>
      </c>
      <c r="T4111" s="1">
        <v>13</v>
      </c>
      <c r="U4111" s="1">
        <v>0</v>
      </c>
      <c r="V4111" s="1" t="str">
        <f t="shared" si="765"/>
        <v>里程去程</v>
      </c>
      <c r="W4111" s="1" t="str">
        <f>"0020"</f>
        <v>0020</v>
      </c>
      <c r="X4111" s="1" t="s">
        <v>29</v>
      </c>
    </row>
    <row r="4112" spans="1:24" x14ac:dyDescent="0.3">
      <c r="A4112" s="1" t="str">
        <f t="shared" si="763"/>
        <v>59828</v>
      </c>
      <c r="B4112" s="1" t="s">
        <v>23</v>
      </c>
      <c r="C4112" s="1" t="s">
        <v>24</v>
      </c>
      <c r="D4112" s="1" t="str">
        <f t="shared" si="764"/>
        <v>9801</v>
      </c>
      <c r="E4112" s="1" t="s">
        <v>25</v>
      </c>
      <c r="F4112" s="1" t="str">
        <f>"985167637"</f>
        <v>985167637</v>
      </c>
      <c r="G4112" s="1" t="s">
        <v>33</v>
      </c>
      <c r="H4112" s="1" t="str">
        <f t="shared" si="766"/>
        <v>20220917</v>
      </c>
      <c r="I4112" s="1" t="str">
        <f>"172647"</f>
        <v>172647</v>
      </c>
      <c r="J4112" s="1" t="s">
        <v>44</v>
      </c>
      <c r="K4112" s="1" t="s">
        <v>45</v>
      </c>
      <c r="L4112" s="1" t="str">
        <f t="shared" si="767"/>
        <v>20220917</v>
      </c>
      <c r="M4112" s="1" t="str">
        <f>"173348"</f>
        <v>173348</v>
      </c>
      <c r="N4112" s="1" t="s">
        <v>100</v>
      </c>
      <c r="O4112" s="1" t="s">
        <v>45</v>
      </c>
      <c r="P4112" s="1" t="s">
        <v>55</v>
      </c>
      <c r="Q4112" s="1">
        <v>25</v>
      </c>
      <c r="R4112" s="1">
        <v>25</v>
      </c>
      <c r="S4112" s="1">
        <v>0</v>
      </c>
      <c r="T4112" s="1">
        <v>0</v>
      </c>
      <c r="U4112" s="1">
        <v>0</v>
      </c>
      <c r="V4112" s="1" t="str">
        <f t="shared" ref="V4112:V4120" si="768">"里程返程"</f>
        <v>里程返程</v>
      </c>
      <c r="W4112" s="1" t="str">
        <f>"0820"</f>
        <v>0820</v>
      </c>
      <c r="X4112" s="1" t="s">
        <v>35</v>
      </c>
    </row>
    <row r="4113" spans="1:24" x14ac:dyDescent="0.3">
      <c r="A4113" s="1" t="str">
        <f t="shared" si="763"/>
        <v>59828</v>
      </c>
      <c r="B4113" s="1" t="s">
        <v>23</v>
      </c>
      <c r="C4113" s="1" t="s">
        <v>24</v>
      </c>
      <c r="D4113" s="1" t="str">
        <f t="shared" si="764"/>
        <v>9801</v>
      </c>
      <c r="E4113" s="1" t="s">
        <v>25</v>
      </c>
      <c r="F4113" s="1" t="str">
        <f>"769E22CC0688040047C114F795002104"</f>
        <v>769E22CC0688040047C114F795002104</v>
      </c>
      <c r="G4113" s="1" t="s">
        <v>58</v>
      </c>
      <c r="H4113" s="1" t="str">
        <f t="shared" si="766"/>
        <v>20220917</v>
      </c>
      <c r="I4113" s="1" t="str">
        <f>"173341"</f>
        <v>173341</v>
      </c>
      <c r="J4113" s="1" t="s">
        <v>100</v>
      </c>
      <c r="K4113" s="1" t="s">
        <v>45</v>
      </c>
      <c r="L4113" s="1" t="str">
        <f t="shared" si="767"/>
        <v>20220917</v>
      </c>
      <c r="M4113" s="1" t="str">
        <f>"175502"</f>
        <v>175502</v>
      </c>
      <c r="N4113" s="1" t="s">
        <v>28</v>
      </c>
      <c r="O4113" s="1" t="s">
        <v>28</v>
      </c>
      <c r="P4113" s="1" t="s">
        <v>55</v>
      </c>
      <c r="Q4113" s="1">
        <v>25</v>
      </c>
      <c r="R4113" s="1">
        <v>25</v>
      </c>
      <c r="S4113" s="1">
        <v>0</v>
      </c>
      <c r="T4113" s="1">
        <v>0</v>
      </c>
      <c r="U4113" s="1">
        <v>0</v>
      </c>
      <c r="V4113" s="1" t="str">
        <f t="shared" si="768"/>
        <v>里程返程</v>
      </c>
      <c r="W4113" s="1" t="str">
        <f>"0020"</f>
        <v>0020</v>
      </c>
      <c r="X4113" s="1" t="s">
        <v>29</v>
      </c>
    </row>
    <row r="4114" spans="1:24" x14ac:dyDescent="0.3">
      <c r="A4114" s="1" t="str">
        <f t="shared" si="763"/>
        <v>59828</v>
      </c>
      <c r="B4114" s="1" t="s">
        <v>23</v>
      </c>
      <c r="C4114" s="1" t="s">
        <v>24</v>
      </c>
      <c r="D4114" s="1" t="str">
        <f t="shared" si="764"/>
        <v>9801</v>
      </c>
      <c r="E4114" s="1" t="s">
        <v>25</v>
      </c>
      <c r="F4114" s="1" t="str">
        <f>"667191281"</f>
        <v>667191281</v>
      </c>
      <c r="G4114" s="1" t="s">
        <v>33</v>
      </c>
      <c r="H4114" s="1" t="str">
        <f t="shared" si="766"/>
        <v>20220917</v>
      </c>
      <c r="I4114" s="1" t="str">
        <f>"175511"</f>
        <v>175511</v>
      </c>
      <c r="J4114" s="1" t="s">
        <v>28</v>
      </c>
      <c r="K4114" s="1" t="s">
        <v>28</v>
      </c>
      <c r="L4114" s="1" t="str">
        <f t="shared" si="767"/>
        <v>20220917</v>
      </c>
      <c r="M4114" s="1" t="str">
        <f>"182407"</f>
        <v>182407</v>
      </c>
      <c r="N4114" s="1" t="s">
        <v>60</v>
      </c>
      <c r="O4114" s="1" t="s">
        <v>52</v>
      </c>
      <c r="P4114" s="1" t="s">
        <v>55</v>
      </c>
      <c r="Q4114" s="1">
        <v>25</v>
      </c>
      <c r="R4114" s="1">
        <v>25</v>
      </c>
      <c r="S4114" s="1">
        <v>0</v>
      </c>
      <c r="T4114" s="1">
        <v>0</v>
      </c>
      <c r="U4114" s="1">
        <v>0</v>
      </c>
      <c r="V4114" s="1" t="str">
        <f t="shared" si="768"/>
        <v>里程返程</v>
      </c>
      <c r="W4114" s="1" t="str">
        <f>"0120"</f>
        <v>0120</v>
      </c>
      <c r="X4114" s="1" t="s">
        <v>35</v>
      </c>
    </row>
    <row r="4115" spans="1:24" x14ac:dyDescent="0.3">
      <c r="A4115" s="1" t="str">
        <f t="shared" si="763"/>
        <v>59828</v>
      </c>
      <c r="B4115" s="1" t="s">
        <v>23</v>
      </c>
      <c r="C4115" s="1" t="s">
        <v>24</v>
      </c>
      <c r="D4115" s="1" t="str">
        <f t="shared" si="764"/>
        <v>9801</v>
      </c>
      <c r="E4115" s="1" t="s">
        <v>25</v>
      </c>
      <c r="F4115" s="1" t="str">
        <f>"A25BBF0046880400C801002000000015"</f>
        <v>A25BBF0046880400C801002000000015</v>
      </c>
      <c r="G4115" s="1" t="s">
        <v>64</v>
      </c>
      <c r="H4115" s="1" t="str">
        <f t="shared" si="766"/>
        <v>20220917</v>
      </c>
      <c r="I4115" s="1" t="str">
        <f>"175522"</f>
        <v>175522</v>
      </c>
      <c r="J4115" s="1" t="s">
        <v>28</v>
      </c>
      <c r="K4115" s="1" t="s">
        <v>28</v>
      </c>
      <c r="L4115" s="1" t="str">
        <f t="shared" si="767"/>
        <v>20220917</v>
      </c>
      <c r="M4115" s="1" t="str">
        <f>"182617"</f>
        <v>182617</v>
      </c>
      <c r="N4115" s="1" t="s">
        <v>86</v>
      </c>
      <c r="O4115" s="1" t="s">
        <v>52</v>
      </c>
      <c r="P4115" s="1" t="s">
        <v>55</v>
      </c>
      <c r="Q4115" s="1">
        <v>13</v>
      </c>
      <c r="R4115" s="1">
        <v>13</v>
      </c>
      <c r="S4115" s="1">
        <v>0</v>
      </c>
      <c r="T4115" s="1">
        <v>0</v>
      </c>
      <c r="U4115" s="1">
        <v>0</v>
      </c>
      <c r="V4115" s="1" t="str">
        <f t="shared" si="768"/>
        <v>里程返程</v>
      </c>
      <c r="W4115" s="1" t="str">
        <f>"0020"</f>
        <v>0020</v>
      </c>
      <c r="X4115" s="1" t="s">
        <v>29</v>
      </c>
    </row>
    <row r="4116" spans="1:24" x14ac:dyDescent="0.3">
      <c r="A4116" s="1" t="str">
        <f t="shared" si="763"/>
        <v>59828</v>
      </c>
      <c r="B4116" s="1" t="s">
        <v>23</v>
      </c>
      <c r="C4116" s="1" t="s">
        <v>24</v>
      </c>
      <c r="D4116" s="1" t="str">
        <f t="shared" si="764"/>
        <v>9801</v>
      </c>
      <c r="E4116" s="1" t="s">
        <v>25</v>
      </c>
      <c r="F4116" s="1" t="str">
        <f>"3023489202"</f>
        <v>3023489202</v>
      </c>
      <c r="G4116" s="1" t="s">
        <v>33</v>
      </c>
      <c r="H4116" s="1" t="str">
        <f t="shared" si="766"/>
        <v>20220917</v>
      </c>
      <c r="I4116" s="1" t="str">
        <f>"175525"</f>
        <v>175525</v>
      </c>
      <c r="J4116" s="1" t="s">
        <v>28</v>
      </c>
      <c r="K4116" s="1" t="s">
        <v>28</v>
      </c>
      <c r="L4116" s="1" t="str">
        <f t="shared" si="767"/>
        <v>20220917</v>
      </c>
      <c r="M4116" s="1" t="str">
        <f>"182619"</f>
        <v>182619</v>
      </c>
      <c r="N4116" s="1" t="s">
        <v>86</v>
      </c>
      <c r="O4116" s="1" t="s">
        <v>52</v>
      </c>
      <c r="P4116" s="1" t="s">
        <v>55</v>
      </c>
      <c r="Q4116" s="1">
        <v>25</v>
      </c>
      <c r="R4116" s="1">
        <v>25</v>
      </c>
      <c r="S4116" s="1">
        <v>0</v>
      </c>
      <c r="T4116" s="1">
        <v>0</v>
      </c>
      <c r="U4116" s="1">
        <v>0</v>
      </c>
      <c r="V4116" s="1" t="str">
        <f t="shared" si="768"/>
        <v>里程返程</v>
      </c>
      <c r="W4116" s="1" t="str">
        <f>"0120"</f>
        <v>0120</v>
      </c>
      <c r="X4116" s="1" t="s">
        <v>35</v>
      </c>
    </row>
    <row r="4117" spans="1:24" x14ac:dyDescent="0.3">
      <c r="A4117" s="1" t="str">
        <f t="shared" si="763"/>
        <v>59828</v>
      </c>
      <c r="B4117" s="1" t="s">
        <v>23</v>
      </c>
      <c r="C4117" s="1" t="s">
        <v>24</v>
      </c>
      <c r="D4117" s="1" t="str">
        <f t="shared" si="764"/>
        <v>9801</v>
      </c>
      <c r="E4117" s="1" t="s">
        <v>25</v>
      </c>
      <c r="F4117" s="1" t="str">
        <f>"1005165685"</f>
        <v>1005165685</v>
      </c>
      <c r="G4117" s="1" t="s">
        <v>33</v>
      </c>
      <c r="H4117" s="1" t="str">
        <f t="shared" si="766"/>
        <v>20220917</v>
      </c>
      <c r="I4117" s="1" t="str">
        <f>"175910"</f>
        <v>175910</v>
      </c>
      <c r="J4117" s="1" t="s">
        <v>85</v>
      </c>
      <c r="K4117" s="1" t="s">
        <v>28</v>
      </c>
      <c r="L4117" s="1" t="str">
        <f t="shared" si="767"/>
        <v>20220917</v>
      </c>
      <c r="M4117" s="1" t="str">
        <f>"182622"</f>
        <v>182622</v>
      </c>
      <c r="N4117" s="1" t="s">
        <v>86</v>
      </c>
      <c r="O4117" s="1" t="s">
        <v>52</v>
      </c>
      <c r="P4117" s="1" t="s">
        <v>55</v>
      </c>
      <c r="Q4117" s="1">
        <v>25</v>
      </c>
      <c r="R4117" s="1">
        <v>25</v>
      </c>
      <c r="S4117" s="1">
        <v>0</v>
      </c>
      <c r="T4117" s="1">
        <v>0</v>
      </c>
      <c r="U4117" s="1">
        <v>0</v>
      </c>
      <c r="V4117" s="1" t="str">
        <f t="shared" si="768"/>
        <v>里程返程</v>
      </c>
      <c r="W4117" s="1" t="str">
        <f>"0e20"</f>
        <v>0e20</v>
      </c>
      <c r="X4117" s="1" t="s">
        <v>35</v>
      </c>
    </row>
    <row r="4118" spans="1:24" x14ac:dyDescent="0.3">
      <c r="A4118" s="1" t="str">
        <f t="shared" si="763"/>
        <v>59828</v>
      </c>
      <c r="B4118" s="1" t="s">
        <v>23</v>
      </c>
      <c r="C4118" s="1" t="s">
        <v>24</v>
      </c>
      <c r="D4118" s="1" t="str">
        <f t="shared" si="764"/>
        <v>9801</v>
      </c>
      <c r="E4118" s="1" t="s">
        <v>25</v>
      </c>
      <c r="F4118" s="1" t="str">
        <f>"184815969"</f>
        <v>184815969</v>
      </c>
      <c r="G4118" s="1" t="s">
        <v>26</v>
      </c>
      <c r="H4118" s="1" t="str">
        <f t="shared" si="766"/>
        <v>20220917</v>
      </c>
      <c r="I4118" s="1" t="str">
        <f>"185331"</f>
        <v>185331</v>
      </c>
      <c r="J4118" s="1" t="s">
        <v>28</v>
      </c>
      <c r="K4118" s="1" t="s">
        <v>28</v>
      </c>
      <c r="L4118" s="1" t="str">
        <f t="shared" si="767"/>
        <v>20220917</v>
      </c>
      <c r="M4118" s="1" t="str">
        <f>"190338"</f>
        <v>190338</v>
      </c>
      <c r="N4118" s="1" t="s">
        <v>67</v>
      </c>
      <c r="O4118" s="1" t="s">
        <v>52</v>
      </c>
      <c r="P4118" s="1" t="s">
        <v>55</v>
      </c>
      <c r="Q4118" s="1">
        <v>13</v>
      </c>
      <c r="R4118" s="1">
        <v>0</v>
      </c>
      <c r="S4118" s="1">
        <v>13</v>
      </c>
      <c r="T4118" s="1">
        <v>0</v>
      </c>
      <c r="U4118" s="1">
        <v>0</v>
      </c>
      <c r="V4118" s="1" t="str">
        <f t="shared" si="768"/>
        <v>里程返程</v>
      </c>
      <c r="W4118" s="1" t="str">
        <f>"0820"</f>
        <v>0820</v>
      </c>
      <c r="X4118" s="1" t="s">
        <v>35</v>
      </c>
    </row>
    <row r="4119" spans="1:24" x14ac:dyDescent="0.3">
      <c r="A4119" s="1" t="str">
        <f t="shared" si="763"/>
        <v>59828</v>
      </c>
      <c r="B4119" s="1" t="s">
        <v>23</v>
      </c>
      <c r="C4119" s="1" t="s">
        <v>24</v>
      </c>
      <c r="D4119" s="1" t="str">
        <f t="shared" si="764"/>
        <v>9801</v>
      </c>
      <c r="E4119" s="1" t="s">
        <v>25</v>
      </c>
      <c r="F4119" s="1" t="str">
        <f>"1002206673"</f>
        <v>1002206673</v>
      </c>
      <c r="G4119" s="1" t="s">
        <v>33</v>
      </c>
      <c r="H4119" s="1" t="str">
        <f t="shared" si="766"/>
        <v>20220917</v>
      </c>
      <c r="I4119" s="1" t="str">
        <f>"185352"</f>
        <v>185352</v>
      </c>
      <c r="J4119" s="1" t="s">
        <v>28</v>
      </c>
      <c r="K4119" s="1" t="s">
        <v>28</v>
      </c>
      <c r="L4119" s="1" t="str">
        <f t="shared" si="767"/>
        <v>20220917</v>
      </c>
      <c r="M4119" s="1" t="str">
        <f>"192658"</f>
        <v>192658</v>
      </c>
      <c r="N4119" s="1" t="s">
        <v>52</v>
      </c>
      <c r="O4119" s="1" t="s">
        <v>52</v>
      </c>
      <c r="P4119" s="1" t="s">
        <v>55</v>
      </c>
      <c r="Q4119" s="1">
        <v>25</v>
      </c>
      <c r="R4119" s="1">
        <v>25</v>
      </c>
      <c r="S4119" s="1">
        <v>0</v>
      </c>
      <c r="T4119" s="1">
        <v>0</v>
      </c>
      <c r="U4119" s="1">
        <v>0</v>
      </c>
      <c r="V4119" s="1" t="str">
        <f t="shared" si="768"/>
        <v>里程返程</v>
      </c>
      <c r="W4119" s="1" t="str">
        <f>"2120"</f>
        <v>2120</v>
      </c>
      <c r="X4119" s="1" t="s">
        <v>35</v>
      </c>
    </row>
    <row r="4120" spans="1:24" x14ac:dyDescent="0.3">
      <c r="A4120" s="1" t="str">
        <f t="shared" si="763"/>
        <v>59828</v>
      </c>
      <c r="B4120" s="1" t="s">
        <v>23</v>
      </c>
      <c r="C4120" s="1" t="s">
        <v>24</v>
      </c>
      <c r="D4120" s="1" t="str">
        <f t="shared" si="764"/>
        <v>9801</v>
      </c>
      <c r="E4120" s="1" t="s">
        <v>25</v>
      </c>
      <c r="F4120" s="1" t="str">
        <f>"1846258149"</f>
        <v>1846258149</v>
      </c>
      <c r="G4120" s="1" t="s">
        <v>33</v>
      </c>
      <c r="H4120" s="1" t="str">
        <f t="shared" si="766"/>
        <v>20220917</v>
      </c>
      <c r="I4120" s="1" t="str">
        <f>"185353"</f>
        <v>185353</v>
      </c>
      <c r="J4120" s="1" t="s">
        <v>28</v>
      </c>
      <c r="K4120" s="1" t="s">
        <v>28</v>
      </c>
      <c r="L4120" s="1" t="str">
        <f t="shared" si="767"/>
        <v>20220917</v>
      </c>
      <c r="M4120" s="1" t="str">
        <f>"192701"</f>
        <v>192701</v>
      </c>
      <c r="N4120" s="1" t="s">
        <v>52</v>
      </c>
      <c r="O4120" s="1" t="s">
        <v>52</v>
      </c>
      <c r="P4120" s="1" t="s">
        <v>55</v>
      </c>
      <c r="Q4120" s="1">
        <v>25</v>
      </c>
      <c r="R4120" s="1">
        <v>25</v>
      </c>
      <c r="S4120" s="1">
        <v>0</v>
      </c>
      <c r="T4120" s="1">
        <v>0</v>
      </c>
      <c r="U4120" s="1">
        <v>0</v>
      </c>
      <c r="V4120" s="1" t="str">
        <f t="shared" si="768"/>
        <v>里程返程</v>
      </c>
      <c r="W4120" s="1" t="str">
        <f>"2120"</f>
        <v>2120</v>
      </c>
      <c r="X4120" s="1" t="s">
        <v>35</v>
      </c>
    </row>
    <row r="4121" spans="1:24" x14ac:dyDescent="0.3">
      <c r="A4121" s="1" t="str">
        <f t="shared" si="763"/>
        <v>59828</v>
      </c>
      <c r="B4121" s="1" t="s">
        <v>23</v>
      </c>
      <c r="C4121" s="1" t="s">
        <v>24</v>
      </c>
      <c r="D4121" s="1" t="str">
        <f t="shared" si="764"/>
        <v>9801</v>
      </c>
      <c r="E4121" s="1" t="s">
        <v>25</v>
      </c>
      <c r="F4121" s="1" t="str">
        <f>"1737963496"</f>
        <v>1737963496</v>
      </c>
      <c r="G4121" s="1" t="s">
        <v>33</v>
      </c>
      <c r="H4121" s="1" t="str">
        <f t="shared" si="766"/>
        <v>20220917</v>
      </c>
      <c r="I4121" s="1" t="str">
        <f>"203517"</f>
        <v>203517</v>
      </c>
      <c r="J4121" s="1" t="s">
        <v>27</v>
      </c>
      <c r="K4121" s="1" t="s">
        <v>28</v>
      </c>
      <c r="L4121" s="1" t="str">
        <f t="shared" si="767"/>
        <v>20220917</v>
      </c>
      <c r="M4121" s="1" t="str">
        <f>"205118"</f>
        <v>205118</v>
      </c>
      <c r="N4121" s="1" t="s">
        <v>91</v>
      </c>
      <c r="O4121" s="1" t="s">
        <v>45</v>
      </c>
      <c r="P4121" s="1" t="s">
        <v>55</v>
      </c>
      <c r="Q4121" s="1">
        <v>25</v>
      </c>
      <c r="R4121" s="1">
        <v>25</v>
      </c>
      <c r="S4121" s="1">
        <v>0</v>
      </c>
      <c r="T4121" s="1">
        <v>0</v>
      </c>
      <c r="U4121" s="1">
        <v>0</v>
      </c>
      <c r="V4121" s="1" t="str">
        <f t="shared" ref="V4121:V4155" si="769">"里程去程"</f>
        <v>里程去程</v>
      </c>
      <c r="W4121" s="1" t="str">
        <f>"2020"</f>
        <v>2020</v>
      </c>
      <c r="X4121" s="1" t="s">
        <v>35</v>
      </c>
    </row>
    <row r="4122" spans="1:24" x14ac:dyDescent="0.3">
      <c r="A4122" s="1" t="str">
        <f t="shared" ref="A4122:A4153" si="770">"59829"</f>
        <v>59829</v>
      </c>
      <c r="B4122" s="1" t="s">
        <v>47</v>
      </c>
      <c r="C4122" s="1" t="s">
        <v>48</v>
      </c>
      <c r="D4122" s="1" t="str">
        <f t="shared" ref="D4122:D4146" si="771">"9803"</f>
        <v>9803</v>
      </c>
      <c r="E4122" s="1" t="s">
        <v>32</v>
      </c>
      <c r="F4122" s="1" t="str">
        <f>"A12A6254BD2804001C00000000000000"</f>
        <v>A12A6254BD2804001C00000000000000</v>
      </c>
      <c r="G4122" s="1" t="s">
        <v>58</v>
      </c>
      <c r="H4122" s="1" t="str">
        <f t="shared" si="766"/>
        <v>20220917</v>
      </c>
      <c r="I4122" s="1" t="str">
        <f>"062233"</f>
        <v>062233</v>
      </c>
      <c r="J4122" s="1" t="s">
        <v>28</v>
      </c>
      <c r="K4122" s="1" t="s">
        <v>28</v>
      </c>
      <c r="L4122" s="1" t="str">
        <f t="shared" si="767"/>
        <v>20220917</v>
      </c>
      <c r="M4122" s="1" t="str">
        <f>"064013"</f>
        <v>064013</v>
      </c>
      <c r="N4122" s="1" t="s">
        <v>34</v>
      </c>
      <c r="O4122" s="1" t="s">
        <v>34</v>
      </c>
      <c r="P4122" s="1" t="s">
        <v>55</v>
      </c>
      <c r="Q4122" s="1">
        <v>25</v>
      </c>
      <c r="R4122" s="1">
        <v>25</v>
      </c>
      <c r="S4122" s="1">
        <v>0</v>
      </c>
      <c r="T4122" s="1">
        <v>0</v>
      </c>
      <c r="U4122" s="1">
        <v>0</v>
      </c>
      <c r="V4122" s="1" t="str">
        <f t="shared" si="769"/>
        <v>里程去程</v>
      </c>
      <c r="W4122" s="1" t="str">
        <f>"0020"</f>
        <v>0020</v>
      </c>
      <c r="X4122" s="1" t="s">
        <v>29</v>
      </c>
    </row>
    <row r="4123" spans="1:24" x14ac:dyDescent="0.3">
      <c r="A4123" s="1" t="str">
        <f t="shared" si="770"/>
        <v>59829</v>
      </c>
      <c r="B4123" s="1" t="s">
        <v>47</v>
      </c>
      <c r="C4123" s="1" t="s">
        <v>48</v>
      </c>
      <c r="D4123" s="1" t="str">
        <f t="shared" si="771"/>
        <v>9803</v>
      </c>
      <c r="E4123" s="1" t="s">
        <v>32</v>
      </c>
      <c r="F4123" s="1" t="str">
        <f>"247619407"</f>
        <v>247619407</v>
      </c>
      <c r="G4123" s="1" t="s">
        <v>26</v>
      </c>
      <c r="H4123" s="1" t="str">
        <f t="shared" si="766"/>
        <v>20220917</v>
      </c>
      <c r="I4123" s="1" t="str">
        <f>"062236"</f>
        <v>062236</v>
      </c>
      <c r="J4123" s="1" t="s">
        <v>28</v>
      </c>
      <c r="K4123" s="1" t="s">
        <v>28</v>
      </c>
      <c r="L4123" s="1" t="str">
        <f t="shared" si="767"/>
        <v>20220917</v>
      </c>
      <c r="M4123" s="1" t="str">
        <f>"064003"</f>
        <v>064003</v>
      </c>
      <c r="N4123" s="1" t="s">
        <v>34</v>
      </c>
      <c r="O4123" s="1" t="s">
        <v>34</v>
      </c>
      <c r="P4123" s="1" t="s">
        <v>55</v>
      </c>
      <c r="Q4123" s="1">
        <v>13</v>
      </c>
      <c r="R4123" s="1">
        <v>13</v>
      </c>
      <c r="S4123" s="1">
        <v>0</v>
      </c>
      <c r="T4123" s="1">
        <v>0</v>
      </c>
      <c r="U4123" s="1">
        <v>0</v>
      </c>
      <c r="V4123" s="1" t="str">
        <f t="shared" si="769"/>
        <v>里程去程</v>
      </c>
      <c r="W4123" s="1" t="str">
        <f>"2520"</f>
        <v>2520</v>
      </c>
      <c r="X4123" s="1" t="s">
        <v>35</v>
      </c>
    </row>
    <row r="4124" spans="1:24" x14ac:dyDescent="0.3">
      <c r="A4124" s="1" t="str">
        <f t="shared" si="770"/>
        <v>59829</v>
      </c>
      <c r="B4124" s="1" t="s">
        <v>47</v>
      </c>
      <c r="C4124" s="1" t="s">
        <v>48</v>
      </c>
      <c r="D4124" s="1" t="str">
        <f t="shared" si="771"/>
        <v>9803</v>
      </c>
      <c r="E4124" s="1" t="s">
        <v>32</v>
      </c>
      <c r="F4124" s="1" t="str">
        <f>"1311161713"</f>
        <v>1311161713</v>
      </c>
      <c r="G4124" s="1" t="s">
        <v>26</v>
      </c>
      <c r="H4124" s="1" t="str">
        <f t="shared" si="766"/>
        <v>20220917</v>
      </c>
      <c r="I4124" s="1" t="str">
        <f>"062239"</f>
        <v>062239</v>
      </c>
      <c r="J4124" s="1" t="s">
        <v>28</v>
      </c>
      <c r="K4124" s="1" t="s">
        <v>28</v>
      </c>
      <c r="L4124" s="1" t="str">
        <f t="shared" si="767"/>
        <v>20220917</v>
      </c>
      <c r="M4124" s="1" t="str">
        <f>"063956"</f>
        <v>063956</v>
      </c>
      <c r="N4124" s="1" t="s">
        <v>34</v>
      </c>
      <c r="O4124" s="1" t="s">
        <v>34</v>
      </c>
      <c r="P4124" s="1" t="s">
        <v>55</v>
      </c>
      <c r="Q4124" s="1">
        <v>13</v>
      </c>
      <c r="R4124" s="1">
        <v>13</v>
      </c>
      <c r="S4124" s="1">
        <v>0</v>
      </c>
      <c r="T4124" s="1">
        <v>0</v>
      </c>
      <c r="U4124" s="1">
        <v>0</v>
      </c>
      <c r="V4124" s="1" t="str">
        <f t="shared" si="769"/>
        <v>里程去程</v>
      </c>
      <c r="W4124" s="1" t="str">
        <f>"2520"</f>
        <v>2520</v>
      </c>
      <c r="X4124" s="1" t="s">
        <v>35</v>
      </c>
    </row>
    <row r="4125" spans="1:24" x14ac:dyDescent="0.3">
      <c r="A4125" s="1" t="str">
        <f t="shared" si="770"/>
        <v>59829</v>
      </c>
      <c r="B4125" s="1" t="s">
        <v>47</v>
      </c>
      <c r="C4125" s="1" t="s">
        <v>48</v>
      </c>
      <c r="D4125" s="1" t="str">
        <f t="shared" si="771"/>
        <v>9803</v>
      </c>
      <c r="E4125" s="1" t="s">
        <v>32</v>
      </c>
      <c r="F4125" s="1" t="str">
        <f>"912375697"</f>
        <v>912375697</v>
      </c>
      <c r="G4125" s="1" t="s">
        <v>33</v>
      </c>
      <c r="H4125" s="1" t="str">
        <f t="shared" si="766"/>
        <v>20220917</v>
      </c>
      <c r="I4125" s="1" t="str">
        <f>"062245"</f>
        <v>062245</v>
      </c>
      <c r="J4125" s="1" t="s">
        <v>28</v>
      </c>
      <c r="K4125" s="1" t="s">
        <v>28</v>
      </c>
      <c r="L4125" s="1" t="str">
        <f t="shared" si="767"/>
        <v>20220917</v>
      </c>
      <c r="M4125" s="1" t="str">
        <f>"064047"</f>
        <v>064047</v>
      </c>
      <c r="N4125" s="1" t="s">
        <v>34</v>
      </c>
      <c r="O4125" s="1" t="s">
        <v>34</v>
      </c>
      <c r="P4125" s="1" t="s">
        <v>55</v>
      </c>
      <c r="Q4125" s="1">
        <v>25</v>
      </c>
      <c r="R4125" s="1">
        <v>25</v>
      </c>
      <c r="S4125" s="1">
        <v>0</v>
      </c>
      <c r="T4125" s="1">
        <v>0</v>
      </c>
      <c r="U4125" s="1">
        <v>0</v>
      </c>
      <c r="V4125" s="1" t="str">
        <f t="shared" si="769"/>
        <v>里程去程</v>
      </c>
      <c r="W4125" s="1" t="str">
        <f>"0e20"</f>
        <v>0e20</v>
      </c>
      <c r="X4125" s="1" t="s">
        <v>35</v>
      </c>
    </row>
    <row r="4126" spans="1:24" x14ac:dyDescent="0.3">
      <c r="A4126" s="1" t="str">
        <f t="shared" si="770"/>
        <v>59829</v>
      </c>
      <c r="B4126" s="1" t="s">
        <v>47</v>
      </c>
      <c r="C4126" s="1" t="s">
        <v>48</v>
      </c>
      <c r="D4126" s="1" t="str">
        <f t="shared" si="771"/>
        <v>9803</v>
      </c>
      <c r="E4126" s="1" t="s">
        <v>32</v>
      </c>
      <c r="F4126" s="1" t="str">
        <f>"652963535"</f>
        <v>652963535</v>
      </c>
      <c r="G4126" s="1" t="s">
        <v>33</v>
      </c>
      <c r="H4126" s="1" t="str">
        <f t="shared" si="766"/>
        <v>20220917</v>
      </c>
      <c r="I4126" s="1" t="str">
        <f>"062258"</f>
        <v>062258</v>
      </c>
      <c r="J4126" s="1" t="s">
        <v>28</v>
      </c>
      <c r="K4126" s="1" t="s">
        <v>28</v>
      </c>
      <c r="L4126" s="1" t="str">
        <f t="shared" si="767"/>
        <v>20220917</v>
      </c>
      <c r="M4126" s="1" t="str">
        <f>"064115"</f>
        <v>064115</v>
      </c>
      <c r="N4126" s="1" t="s">
        <v>34</v>
      </c>
      <c r="O4126" s="1" t="s">
        <v>34</v>
      </c>
      <c r="P4126" s="1" t="s">
        <v>55</v>
      </c>
      <c r="Q4126" s="1">
        <v>25</v>
      </c>
      <c r="R4126" s="1">
        <v>25</v>
      </c>
      <c r="S4126" s="1">
        <v>0</v>
      </c>
      <c r="T4126" s="1">
        <v>0</v>
      </c>
      <c r="U4126" s="1">
        <v>0</v>
      </c>
      <c r="V4126" s="1" t="str">
        <f t="shared" si="769"/>
        <v>里程去程</v>
      </c>
      <c r="W4126" s="1" t="str">
        <f>"0620"</f>
        <v>0620</v>
      </c>
      <c r="X4126" s="1" t="s">
        <v>35</v>
      </c>
    </row>
    <row r="4127" spans="1:24" x14ac:dyDescent="0.3">
      <c r="A4127" s="1" t="str">
        <f t="shared" si="770"/>
        <v>59829</v>
      </c>
      <c r="B4127" s="1" t="s">
        <v>47</v>
      </c>
      <c r="C4127" s="1" t="s">
        <v>48</v>
      </c>
      <c r="D4127" s="1" t="str">
        <f t="shared" si="771"/>
        <v>9803</v>
      </c>
      <c r="E4127" s="1" t="s">
        <v>32</v>
      </c>
      <c r="F4127" s="1" t="str">
        <f>"664640533"</f>
        <v>664640533</v>
      </c>
      <c r="G4127" s="1" t="s">
        <v>33</v>
      </c>
      <c r="H4127" s="1" t="str">
        <f t="shared" si="766"/>
        <v>20220917</v>
      </c>
      <c r="I4127" s="1" t="str">
        <f>"062327"</f>
        <v>062327</v>
      </c>
      <c r="J4127" s="1" t="s">
        <v>28</v>
      </c>
      <c r="K4127" s="1" t="s">
        <v>28</v>
      </c>
      <c r="L4127" s="1" t="str">
        <f t="shared" si="767"/>
        <v>20220917</v>
      </c>
      <c r="M4127" s="1" t="str">
        <f>"064055"</f>
        <v>064055</v>
      </c>
      <c r="N4127" s="1" t="s">
        <v>34</v>
      </c>
      <c r="O4127" s="1" t="s">
        <v>34</v>
      </c>
      <c r="P4127" s="1" t="s">
        <v>55</v>
      </c>
      <c r="Q4127" s="1">
        <v>25</v>
      </c>
      <c r="R4127" s="1">
        <v>25</v>
      </c>
      <c r="S4127" s="1">
        <v>0</v>
      </c>
      <c r="T4127" s="1">
        <v>0</v>
      </c>
      <c r="U4127" s="1">
        <v>0</v>
      </c>
      <c r="V4127" s="1" t="str">
        <f t="shared" si="769"/>
        <v>里程去程</v>
      </c>
      <c r="W4127" s="1" t="str">
        <f>"0120"</f>
        <v>0120</v>
      </c>
      <c r="X4127" s="1" t="s">
        <v>35</v>
      </c>
    </row>
    <row r="4128" spans="1:24" x14ac:dyDescent="0.3">
      <c r="A4128" s="1" t="str">
        <f t="shared" si="770"/>
        <v>59829</v>
      </c>
      <c r="B4128" s="1" t="s">
        <v>47</v>
      </c>
      <c r="C4128" s="1" t="s">
        <v>48</v>
      </c>
      <c r="D4128" s="1" t="str">
        <f t="shared" si="771"/>
        <v>9803</v>
      </c>
      <c r="E4128" s="1" t="s">
        <v>32</v>
      </c>
      <c r="F4128" s="1" t="str">
        <f>"1050586725"</f>
        <v>1050586725</v>
      </c>
      <c r="G4128" s="1" t="s">
        <v>33</v>
      </c>
      <c r="H4128" s="1" t="str">
        <f t="shared" si="766"/>
        <v>20220917</v>
      </c>
      <c r="I4128" s="1" t="str">
        <f>"062339"</f>
        <v>062339</v>
      </c>
      <c r="J4128" s="1" t="s">
        <v>28</v>
      </c>
      <c r="K4128" s="1" t="s">
        <v>28</v>
      </c>
      <c r="L4128" s="1" t="str">
        <f t="shared" si="767"/>
        <v>20220917</v>
      </c>
      <c r="M4128" s="1" t="str">
        <f>"064030"</f>
        <v>064030</v>
      </c>
      <c r="N4128" s="1" t="s">
        <v>34</v>
      </c>
      <c r="O4128" s="1" t="s">
        <v>34</v>
      </c>
      <c r="P4128" s="1" t="s">
        <v>55</v>
      </c>
      <c r="Q4128" s="1">
        <v>25</v>
      </c>
      <c r="R4128" s="1">
        <v>25</v>
      </c>
      <c r="S4128" s="1">
        <v>0</v>
      </c>
      <c r="T4128" s="1">
        <v>0</v>
      </c>
      <c r="U4128" s="1">
        <v>0</v>
      </c>
      <c r="V4128" s="1" t="str">
        <f t="shared" si="769"/>
        <v>里程去程</v>
      </c>
      <c r="W4128" s="1" t="str">
        <f>"0120"</f>
        <v>0120</v>
      </c>
      <c r="X4128" s="1" t="s">
        <v>35</v>
      </c>
    </row>
    <row r="4129" spans="1:24" x14ac:dyDescent="0.3">
      <c r="A4129" s="1" t="str">
        <f t="shared" si="770"/>
        <v>59829</v>
      </c>
      <c r="B4129" s="1" t="s">
        <v>47</v>
      </c>
      <c r="C4129" s="1" t="s">
        <v>48</v>
      </c>
      <c r="D4129" s="1" t="str">
        <f t="shared" si="771"/>
        <v>9803</v>
      </c>
      <c r="E4129" s="1" t="s">
        <v>32</v>
      </c>
      <c r="F4129" s="1" t="str">
        <f>"1169170753"</f>
        <v>1169170753</v>
      </c>
      <c r="G4129" s="1" t="s">
        <v>33</v>
      </c>
      <c r="H4129" s="1" t="str">
        <f t="shared" si="766"/>
        <v>20220917</v>
      </c>
      <c r="I4129" s="1" t="str">
        <f>"062344"</f>
        <v>062344</v>
      </c>
      <c r="J4129" s="1" t="s">
        <v>28</v>
      </c>
      <c r="K4129" s="1" t="s">
        <v>28</v>
      </c>
      <c r="L4129" s="1" t="str">
        <f t="shared" si="767"/>
        <v>20220917</v>
      </c>
      <c r="M4129" s="1" t="str">
        <f>"064035"</f>
        <v>064035</v>
      </c>
      <c r="N4129" s="1" t="s">
        <v>34</v>
      </c>
      <c r="O4129" s="1" t="s">
        <v>34</v>
      </c>
      <c r="P4129" s="1" t="s">
        <v>55</v>
      </c>
      <c r="Q4129" s="1">
        <v>25</v>
      </c>
      <c r="R4129" s="1">
        <v>25</v>
      </c>
      <c r="S4129" s="1">
        <v>0</v>
      </c>
      <c r="T4129" s="1">
        <v>0</v>
      </c>
      <c r="U4129" s="1">
        <v>0</v>
      </c>
      <c r="V4129" s="1" t="str">
        <f t="shared" si="769"/>
        <v>里程去程</v>
      </c>
      <c r="W4129" s="1" t="str">
        <f>"1920"</f>
        <v>1920</v>
      </c>
      <c r="X4129" s="1" t="s">
        <v>35</v>
      </c>
    </row>
    <row r="4130" spans="1:24" x14ac:dyDescent="0.3">
      <c r="A4130" s="1" t="str">
        <f t="shared" si="770"/>
        <v>59829</v>
      </c>
      <c r="B4130" s="1" t="s">
        <v>47</v>
      </c>
      <c r="C4130" s="1" t="s">
        <v>48</v>
      </c>
      <c r="D4130" s="1" t="str">
        <f t="shared" si="771"/>
        <v>9803</v>
      </c>
      <c r="E4130" s="1" t="s">
        <v>32</v>
      </c>
      <c r="F4130" s="1" t="str">
        <f>"1031303941"</f>
        <v>1031303941</v>
      </c>
      <c r="G4130" s="1" t="s">
        <v>38</v>
      </c>
      <c r="H4130" s="1" t="str">
        <f t="shared" si="766"/>
        <v>20220917</v>
      </c>
      <c r="I4130" s="1" t="str">
        <f>"062354"</f>
        <v>062354</v>
      </c>
      <c r="J4130" s="1" t="s">
        <v>28</v>
      </c>
      <c r="K4130" s="1" t="s">
        <v>28</v>
      </c>
      <c r="L4130" s="1" t="str">
        <f t="shared" si="767"/>
        <v>20220917</v>
      </c>
      <c r="M4130" s="1" t="str">
        <f>"064038"</f>
        <v>064038</v>
      </c>
      <c r="N4130" s="1" t="s">
        <v>34</v>
      </c>
      <c r="O4130" s="1" t="s">
        <v>34</v>
      </c>
      <c r="P4130" s="1" t="s">
        <v>55</v>
      </c>
      <c r="Q4130" s="1">
        <v>25</v>
      </c>
      <c r="R4130" s="1">
        <v>25</v>
      </c>
      <c r="S4130" s="1">
        <v>0</v>
      </c>
      <c r="T4130" s="1">
        <v>0</v>
      </c>
      <c r="U4130" s="1">
        <v>0</v>
      </c>
      <c r="V4130" s="1" t="str">
        <f t="shared" si="769"/>
        <v>里程去程</v>
      </c>
      <c r="W4130" s="1" t="str">
        <f>"0120"</f>
        <v>0120</v>
      </c>
      <c r="X4130" s="1" t="s">
        <v>35</v>
      </c>
    </row>
    <row r="4131" spans="1:24" x14ac:dyDescent="0.3">
      <c r="A4131" s="1" t="str">
        <f t="shared" si="770"/>
        <v>59829</v>
      </c>
      <c r="B4131" s="1" t="s">
        <v>47</v>
      </c>
      <c r="C4131" s="1" t="s">
        <v>48</v>
      </c>
      <c r="D4131" s="1" t="str">
        <f t="shared" si="771"/>
        <v>9803</v>
      </c>
      <c r="E4131" s="1" t="s">
        <v>32</v>
      </c>
      <c r="F4131" s="1" t="str">
        <f>"4278603382"</f>
        <v>4278603382</v>
      </c>
      <c r="G4131" s="1" t="s">
        <v>33</v>
      </c>
      <c r="H4131" s="1" t="str">
        <f t="shared" si="766"/>
        <v>20220917</v>
      </c>
      <c r="I4131" s="1" t="str">
        <f>"062413"</f>
        <v>062413</v>
      </c>
      <c r="J4131" s="1" t="s">
        <v>28</v>
      </c>
      <c r="K4131" s="1" t="s">
        <v>28</v>
      </c>
      <c r="L4131" s="1" t="str">
        <f t="shared" si="767"/>
        <v>20220917</v>
      </c>
      <c r="M4131" s="1" t="str">
        <f>"064024"</f>
        <v>064024</v>
      </c>
      <c r="N4131" s="1" t="s">
        <v>34</v>
      </c>
      <c r="O4131" s="1" t="s">
        <v>34</v>
      </c>
      <c r="P4131" s="1" t="s">
        <v>55</v>
      </c>
      <c r="Q4131" s="1">
        <v>25</v>
      </c>
      <c r="R4131" s="1">
        <v>25</v>
      </c>
      <c r="S4131" s="1">
        <v>0</v>
      </c>
      <c r="T4131" s="1">
        <v>0</v>
      </c>
      <c r="U4131" s="1">
        <v>0</v>
      </c>
      <c r="V4131" s="1" t="str">
        <f t="shared" si="769"/>
        <v>里程去程</v>
      </c>
      <c r="W4131" s="1" t="str">
        <f>"0820"</f>
        <v>0820</v>
      </c>
      <c r="X4131" s="1" t="s">
        <v>35</v>
      </c>
    </row>
    <row r="4132" spans="1:24" x14ac:dyDescent="0.3">
      <c r="A4132" s="1" t="str">
        <f t="shared" si="770"/>
        <v>59829</v>
      </c>
      <c r="B4132" s="1" t="s">
        <v>47</v>
      </c>
      <c r="C4132" s="1" t="s">
        <v>48</v>
      </c>
      <c r="D4132" s="1" t="str">
        <f t="shared" si="771"/>
        <v>9803</v>
      </c>
      <c r="E4132" s="1" t="s">
        <v>32</v>
      </c>
      <c r="F4132" s="1" t="str">
        <f>"1713926597"</f>
        <v>1713926597</v>
      </c>
      <c r="G4132" s="1" t="s">
        <v>33</v>
      </c>
      <c r="H4132" s="1" t="str">
        <f t="shared" si="766"/>
        <v>20220917</v>
      </c>
      <c r="I4132" s="1" t="str">
        <f>"062417"</f>
        <v>062417</v>
      </c>
      <c r="J4132" s="1" t="s">
        <v>28</v>
      </c>
      <c r="K4132" s="1" t="s">
        <v>28</v>
      </c>
      <c r="L4132" s="1" t="str">
        <f t="shared" si="767"/>
        <v>20220917</v>
      </c>
      <c r="M4132" s="1" t="str">
        <f>"064017"</f>
        <v>064017</v>
      </c>
      <c r="N4132" s="1" t="s">
        <v>34</v>
      </c>
      <c r="O4132" s="1" t="s">
        <v>34</v>
      </c>
      <c r="P4132" s="1" t="s">
        <v>55</v>
      </c>
      <c r="Q4132" s="1">
        <v>25</v>
      </c>
      <c r="R4132" s="1">
        <v>25</v>
      </c>
      <c r="S4132" s="1">
        <v>0</v>
      </c>
      <c r="T4132" s="1">
        <v>0</v>
      </c>
      <c r="U4132" s="1">
        <v>0</v>
      </c>
      <c r="V4132" s="1" t="str">
        <f t="shared" si="769"/>
        <v>里程去程</v>
      </c>
      <c r="W4132" s="1" t="str">
        <f>"0820"</f>
        <v>0820</v>
      </c>
      <c r="X4132" s="1" t="s">
        <v>35</v>
      </c>
    </row>
    <row r="4133" spans="1:24" x14ac:dyDescent="0.3">
      <c r="A4133" s="1" t="str">
        <f t="shared" si="770"/>
        <v>59829</v>
      </c>
      <c r="B4133" s="1" t="s">
        <v>47</v>
      </c>
      <c r="C4133" s="1" t="s">
        <v>48</v>
      </c>
      <c r="D4133" s="1" t="str">
        <f t="shared" si="771"/>
        <v>9803</v>
      </c>
      <c r="E4133" s="1" t="s">
        <v>32</v>
      </c>
      <c r="F4133" s="1" t="str">
        <f>"929517457"</f>
        <v>929517457</v>
      </c>
      <c r="G4133" s="1" t="s">
        <v>33</v>
      </c>
      <c r="H4133" s="1" t="str">
        <f t="shared" si="766"/>
        <v>20220917</v>
      </c>
      <c r="I4133" s="1" t="str">
        <f>"062453"</f>
        <v>062453</v>
      </c>
      <c r="J4133" s="1" t="s">
        <v>28</v>
      </c>
      <c r="K4133" s="1" t="s">
        <v>28</v>
      </c>
      <c r="L4133" s="1" t="str">
        <f t="shared" si="767"/>
        <v>20220917</v>
      </c>
      <c r="M4133" s="1" t="str">
        <f>"064028"</f>
        <v>064028</v>
      </c>
      <c r="N4133" s="1" t="s">
        <v>34</v>
      </c>
      <c r="O4133" s="1" t="s">
        <v>34</v>
      </c>
      <c r="P4133" s="1" t="s">
        <v>55</v>
      </c>
      <c r="Q4133" s="1">
        <v>25</v>
      </c>
      <c r="R4133" s="1">
        <v>25</v>
      </c>
      <c r="S4133" s="1">
        <v>0</v>
      </c>
      <c r="T4133" s="1">
        <v>0</v>
      </c>
      <c r="U4133" s="1">
        <v>0</v>
      </c>
      <c r="V4133" s="1" t="str">
        <f t="shared" si="769"/>
        <v>里程去程</v>
      </c>
      <c r="W4133" s="1" t="str">
        <f>"0120"</f>
        <v>0120</v>
      </c>
      <c r="X4133" s="1" t="s">
        <v>35</v>
      </c>
    </row>
    <row r="4134" spans="1:24" x14ac:dyDescent="0.3">
      <c r="A4134" s="1" t="str">
        <f t="shared" si="770"/>
        <v>59829</v>
      </c>
      <c r="B4134" s="1" t="s">
        <v>47</v>
      </c>
      <c r="C4134" s="1" t="s">
        <v>48</v>
      </c>
      <c r="D4134" s="1" t="str">
        <f t="shared" si="771"/>
        <v>9803</v>
      </c>
      <c r="E4134" s="1" t="s">
        <v>32</v>
      </c>
      <c r="F4134" s="1" t="str">
        <f>"896760213"</f>
        <v>896760213</v>
      </c>
      <c r="G4134" s="1" t="s">
        <v>33</v>
      </c>
      <c r="H4134" s="1" t="str">
        <f t="shared" si="766"/>
        <v>20220917</v>
      </c>
      <c r="I4134" s="1" t="str">
        <f>"062457"</f>
        <v>062457</v>
      </c>
      <c r="J4134" s="1" t="s">
        <v>28</v>
      </c>
      <c r="K4134" s="1" t="s">
        <v>28</v>
      </c>
      <c r="L4134" s="1" t="str">
        <f t="shared" si="767"/>
        <v>20220917</v>
      </c>
      <c r="M4134" s="1" t="str">
        <f>"064006"</f>
        <v>064006</v>
      </c>
      <c r="N4134" s="1" t="s">
        <v>34</v>
      </c>
      <c r="O4134" s="1" t="s">
        <v>34</v>
      </c>
      <c r="P4134" s="1" t="s">
        <v>55</v>
      </c>
      <c r="Q4134" s="1">
        <v>25</v>
      </c>
      <c r="R4134" s="1">
        <v>25</v>
      </c>
      <c r="S4134" s="1">
        <v>0</v>
      </c>
      <c r="T4134" s="1">
        <v>0</v>
      </c>
      <c r="U4134" s="1">
        <v>0</v>
      </c>
      <c r="V4134" s="1" t="str">
        <f t="shared" si="769"/>
        <v>里程去程</v>
      </c>
      <c r="W4134" s="1" t="str">
        <f>"0120"</f>
        <v>0120</v>
      </c>
      <c r="X4134" s="1" t="s">
        <v>35</v>
      </c>
    </row>
    <row r="4135" spans="1:24" x14ac:dyDescent="0.3">
      <c r="A4135" s="1" t="str">
        <f t="shared" si="770"/>
        <v>59829</v>
      </c>
      <c r="B4135" s="1" t="s">
        <v>47</v>
      </c>
      <c r="C4135" s="1" t="s">
        <v>48</v>
      </c>
      <c r="D4135" s="1" t="str">
        <f t="shared" si="771"/>
        <v>9803</v>
      </c>
      <c r="E4135" s="1" t="s">
        <v>32</v>
      </c>
      <c r="F4135" s="1" t="str">
        <f>"1719424501"</f>
        <v>1719424501</v>
      </c>
      <c r="G4135" s="1" t="s">
        <v>33</v>
      </c>
      <c r="H4135" s="1" t="str">
        <f t="shared" si="766"/>
        <v>20220917</v>
      </c>
      <c r="I4135" s="1" t="str">
        <f>"081105"</f>
        <v>081105</v>
      </c>
      <c r="J4135" s="1" t="s">
        <v>28</v>
      </c>
      <c r="K4135" s="1" t="s">
        <v>28</v>
      </c>
      <c r="L4135" s="1" t="str">
        <f t="shared" si="767"/>
        <v>20220917</v>
      </c>
      <c r="M4135" s="1" t="str">
        <f>"082654"</f>
        <v>082654</v>
      </c>
      <c r="N4135" s="1" t="s">
        <v>34</v>
      </c>
      <c r="O4135" s="1" t="s">
        <v>34</v>
      </c>
      <c r="P4135" s="1" t="s">
        <v>55</v>
      </c>
      <c r="Q4135" s="1">
        <v>25</v>
      </c>
      <c r="R4135" s="1">
        <v>25</v>
      </c>
      <c r="S4135" s="1">
        <v>0</v>
      </c>
      <c r="T4135" s="1">
        <v>0</v>
      </c>
      <c r="U4135" s="1">
        <v>0</v>
      </c>
      <c r="V4135" s="1" t="str">
        <f t="shared" si="769"/>
        <v>里程去程</v>
      </c>
      <c r="W4135" s="1" t="str">
        <f>"0120"</f>
        <v>0120</v>
      </c>
      <c r="X4135" s="1" t="s">
        <v>35</v>
      </c>
    </row>
    <row r="4136" spans="1:24" x14ac:dyDescent="0.3">
      <c r="A4136" s="1" t="str">
        <f t="shared" si="770"/>
        <v>59829</v>
      </c>
      <c r="B4136" s="1" t="s">
        <v>47</v>
      </c>
      <c r="C4136" s="1" t="s">
        <v>48</v>
      </c>
      <c r="D4136" s="1" t="str">
        <f t="shared" si="771"/>
        <v>9803</v>
      </c>
      <c r="E4136" s="1" t="s">
        <v>32</v>
      </c>
      <c r="F4136" s="1" t="str">
        <f>"1200209825"</f>
        <v>1200209825</v>
      </c>
      <c r="G4136" s="1" t="s">
        <v>33</v>
      </c>
      <c r="H4136" s="1" t="str">
        <f t="shared" si="766"/>
        <v>20220917</v>
      </c>
      <c r="I4136" s="1" t="str">
        <f>"081109"</f>
        <v>081109</v>
      </c>
      <c r="J4136" s="1" t="s">
        <v>28</v>
      </c>
      <c r="K4136" s="1" t="s">
        <v>28</v>
      </c>
      <c r="L4136" s="1" t="str">
        <f t="shared" si="767"/>
        <v>20220917</v>
      </c>
      <c r="M4136" s="1" t="str">
        <f>"082651"</f>
        <v>082651</v>
      </c>
      <c r="N4136" s="1" t="s">
        <v>34</v>
      </c>
      <c r="O4136" s="1" t="s">
        <v>34</v>
      </c>
      <c r="P4136" s="1" t="s">
        <v>55</v>
      </c>
      <c r="Q4136" s="1">
        <v>25</v>
      </c>
      <c r="R4136" s="1">
        <v>25</v>
      </c>
      <c r="S4136" s="1">
        <v>0</v>
      </c>
      <c r="T4136" s="1">
        <v>0</v>
      </c>
      <c r="U4136" s="1">
        <v>0</v>
      </c>
      <c r="V4136" s="1" t="str">
        <f t="shared" si="769"/>
        <v>里程去程</v>
      </c>
      <c r="W4136" s="1" t="str">
        <f>"0220"</f>
        <v>0220</v>
      </c>
      <c r="X4136" s="1" t="s">
        <v>35</v>
      </c>
    </row>
    <row r="4137" spans="1:24" x14ac:dyDescent="0.3">
      <c r="A4137" s="1" t="str">
        <f t="shared" si="770"/>
        <v>59829</v>
      </c>
      <c r="B4137" s="1" t="s">
        <v>47</v>
      </c>
      <c r="C4137" s="1" t="s">
        <v>48</v>
      </c>
      <c r="D4137" s="1" t="str">
        <f t="shared" si="771"/>
        <v>9803</v>
      </c>
      <c r="E4137" s="1" t="s">
        <v>32</v>
      </c>
      <c r="F4137" s="1" t="str">
        <f>"4106FA49F4280400F700000000000000"</f>
        <v>4106FA49F4280400F700000000000000</v>
      </c>
      <c r="G4137" s="1" t="s">
        <v>58</v>
      </c>
      <c r="H4137" s="1" t="str">
        <f t="shared" si="766"/>
        <v>20220917</v>
      </c>
      <c r="I4137" s="1" t="str">
        <f>"081112"</f>
        <v>081112</v>
      </c>
      <c r="J4137" s="1" t="s">
        <v>28</v>
      </c>
      <c r="K4137" s="1" t="s">
        <v>28</v>
      </c>
      <c r="L4137" s="1" t="str">
        <f t="shared" si="767"/>
        <v>20220917</v>
      </c>
      <c r="M4137" s="1" t="str">
        <f>"082645"</f>
        <v>082645</v>
      </c>
      <c r="N4137" s="1" t="s">
        <v>34</v>
      </c>
      <c r="O4137" s="1" t="s">
        <v>34</v>
      </c>
      <c r="P4137" s="1" t="s">
        <v>55</v>
      </c>
      <c r="Q4137" s="1">
        <v>25</v>
      </c>
      <c r="R4137" s="1">
        <v>25</v>
      </c>
      <c r="S4137" s="1">
        <v>0</v>
      </c>
      <c r="T4137" s="1">
        <v>0</v>
      </c>
      <c r="U4137" s="1">
        <v>0</v>
      </c>
      <c r="V4137" s="1" t="str">
        <f t="shared" si="769"/>
        <v>里程去程</v>
      </c>
      <c r="W4137" s="1" t="str">
        <f>"0020"</f>
        <v>0020</v>
      </c>
      <c r="X4137" s="1" t="s">
        <v>29</v>
      </c>
    </row>
    <row r="4138" spans="1:24" x14ac:dyDescent="0.3">
      <c r="A4138" s="1" t="str">
        <f t="shared" si="770"/>
        <v>59829</v>
      </c>
      <c r="B4138" s="1" t="s">
        <v>47</v>
      </c>
      <c r="C4138" s="1" t="s">
        <v>48</v>
      </c>
      <c r="D4138" s="1" t="str">
        <f t="shared" si="771"/>
        <v>9803</v>
      </c>
      <c r="E4138" s="1" t="s">
        <v>32</v>
      </c>
      <c r="F4138" s="1" t="str">
        <f>"1103914213"</f>
        <v>1103914213</v>
      </c>
      <c r="G4138" s="1" t="s">
        <v>38</v>
      </c>
      <c r="H4138" s="1" t="str">
        <f t="shared" si="766"/>
        <v>20220917</v>
      </c>
      <c r="I4138" s="1" t="str">
        <f>"094701"</f>
        <v>094701</v>
      </c>
      <c r="J4138" s="1" t="s">
        <v>28</v>
      </c>
      <c r="K4138" s="1" t="s">
        <v>28</v>
      </c>
      <c r="L4138" s="1" t="str">
        <f t="shared" si="767"/>
        <v>20220917</v>
      </c>
      <c r="M4138" s="1" t="str">
        <f>"100633"</f>
        <v>100633</v>
      </c>
      <c r="N4138" s="1" t="s">
        <v>34</v>
      </c>
      <c r="O4138" s="1" t="s">
        <v>34</v>
      </c>
      <c r="P4138" s="1" t="s">
        <v>55</v>
      </c>
      <c r="Q4138" s="1">
        <v>25</v>
      </c>
      <c r="R4138" s="1">
        <v>25</v>
      </c>
      <c r="S4138" s="1">
        <v>0</v>
      </c>
      <c r="T4138" s="1">
        <v>0</v>
      </c>
      <c r="U4138" s="1">
        <v>0</v>
      </c>
      <c r="V4138" s="1" t="str">
        <f t="shared" si="769"/>
        <v>里程去程</v>
      </c>
      <c r="W4138" s="1" t="str">
        <f>"0120"</f>
        <v>0120</v>
      </c>
      <c r="X4138" s="1" t="s">
        <v>35</v>
      </c>
    </row>
    <row r="4139" spans="1:24" x14ac:dyDescent="0.3">
      <c r="A4139" s="1" t="str">
        <f t="shared" si="770"/>
        <v>59829</v>
      </c>
      <c r="B4139" s="1" t="s">
        <v>47</v>
      </c>
      <c r="C4139" s="1" t="s">
        <v>48</v>
      </c>
      <c r="D4139" s="1" t="str">
        <f t="shared" si="771"/>
        <v>9803</v>
      </c>
      <c r="E4139" s="1" t="s">
        <v>32</v>
      </c>
      <c r="F4139" s="1" t="str">
        <f>"1652225265"</f>
        <v>1652225265</v>
      </c>
      <c r="G4139" s="1" t="s">
        <v>33</v>
      </c>
      <c r="H4139" s="1" t="str">
        <f t="shared" si="766"/>
        <v>20220917</v>
      </c>
      <c r="I4139" s="1" t="str">
        <f>"094705"</f>
        <v>094705</v>
      </c>
      <c r="J4139" s="1" t="s">
        <v>28</v>
      </c>
      <c r="K4139" s="1" t="s">
        <v>28</v>
      </c>
      <c r="L4139" s="1" t="str">
        <f t="shared" si="767"/>
        <v>20220917</v>
      </c>
      <c r="M4139" s="1" t="str">
        <f>"100636"</f>
        <v>100636</v>
      </c>
      <c r="N4139" s="1" t="s">
        <v>34</v>
      </c>
      <c r="O4139" s="1" t="s">
        <v>34</v>
      </c>
      <c r="P4139" s="1" t="s">
        <v>55</v>
      </c>
      <c r="Q4139" s="1">
        <v>25</v>
      </c>
      <c r="R4139" s="1">
        <v>25</v>
      </c>
      <c r="S4139" s="1">
        <v>0</v>
      </c>
      <c r="T4139" s="1">
        <v>0</v>
      </c>
      <c r="U4139" s="1">
        <v>0</v>
      </c>
      <c r="V4139" s="1" t="str">
        <f t="shared" si="769"/>
        <v>里程去程</v>
      </c>
      <c r="W4139" s="1" t="str">
        <f>"0120"</f>
        <v>0120</v>
      </c>
      <c r="X4139" s="1" t="s">
        <v>35</v>
      </c>
    </row>
    <row r="4140" spans="1:24" x14ac:dyDescent="0.3">
      <c r="A4140" s="1" t="str">
        <f t="shared" si="770"/>
        <v>59829</v>
      </c>
      <c r="B4140" s="1" t="s">
        <v>47</v>
      </c>
      <c r="C4140" s="1" t="s">
        <v>48</v>
      </c>
      <c r="D4140" s="1" t="str">
        <f t="shared" si="771"/>
        <v>9803</v>
      </c>
      <c r="E4140" s="1" t="s">
        <v>32</v>
      </c>
      <c r="F4140" s="1" t="str">
        <f>"589767823"</f>
        <v>589767823</v>
      </c>
      <c r="G4140" s="1" t="s">
        <v>33</v>
      </c>
      <c r="H4140" s="1" t="str">
        <f t="shared" si="766"/>
        <v>20220917</v>
      </c>
      <c r="I4140" s="1" t="str">
        <f>"094708"</f>
        <v>094708</v>
      </c>
      <c r="J4140" s="1" t="s">
        <v>28</v>
      </c>
      <c r="K4140" s="1" t="s">
        <v>28</v>
      </c>
      <c r="L4140" s="1" t="str">
        <f t="shared" si="767"/>
        <v>20220917</v>
      </c>
      <c r="M4140" s="1" t="str">
        <f>"100632"</f>
        <v>100632</v>
      </c>
      <c r="N4140" s="1" t="s">
        <v>34</v>
      </c>
      <c r="O4140" s="1" t="s">
        <v>34</v>
      </c>
      <c r="P4140" s="1" t="s">
        <v>55</v>
      </c>
      <c r="Q4140" s="1">
        <v>25</v>
      </c>
      <c r="R4140" s="1">
        <v>25</v>
      </c>
      <c r="S4140" s="1">
        <v>0</v>
      </c>
      <c r="T4140" s="1">
        <v>0</v>
      </c>
      <c r="U4140" s="1">
        <v>0</v>
      </c>
      <c r="V4140" s="1" t="str">
        <f t="shared" si="769"/>
        <v>里程去程</v>
      </c>
      <c r="W4140" s="1" t="str">
        <f>"0220"</f>
        <v>0220</v>
      </c>
      <c r="X4140" s="1" t="s">
        <v>35</v>
      </c>
    </row>
    <row r="4141" spans="1:24" x14ac:dyDescent="0.3">
      <c r="A4141" s="1" t="str">
        <f t="shared" si="770"/>
        <v>59829</v>
      </c>
      <c r="B4141" s="1" t="s">
        <v>47</v>
      </c>
      <c r="C4141" s="1" t="s">
        <v>48</v>
      </c>
      <c r="D4141" s="1" t="str">
        <f t="shared" si="771"/>
        <v>9803</v>
      </c>
      <c r="E4141" s="1" t="s">
        <v>32</v>
      </c>
      <c r="F4141" s="1" t="str">
        <f>"155345221"</f>
        <v>155345221</v>
      </c>
      <c r="G4141" s="1" t="s">
        <v>33</v>
      </c>
      <c r="H4141" s="1" t="str">
        <f t="shared" si="766"/>
        <v>20220917</v>
      </c>
      <c r="I4141" s="1" t="str">
        <f>"094745"</f>
        <v>094745</v>
      </c>
      <c r="J4141" s="1" t="s">
        <v>28</v>
      </c>
      <c r="K4141" s="1" t="s">
        <v>28</v>
      </c>
      <c r="L4141" s="1" t="str">
        <f t="shared" si="767"/>
        <v>20220917</v>
      </c>
      <c r="M4141" s="1" t="str">
        <f>"100647"</f>
        <v>100647</v>
      </c>
      <c r="N4141" s="1" t="s">
        <v>34</v>
      </c>
      <c r="O4141" s="1" t="s">
        <v>34</v>
      </c>
      <c r="P4141" s="1" t="s">
        <v>55</v>
      </c>
      <c r="Q4141" s="1">
        <v>25</v>
      </c>
      <c r="R4141" s="1">
        <v>25</v>
      </c>
      <c r="S4141" s="1">
        <v>0</v>
      </c>
      <c r="T4141" s="1">
        <v>0</v>
      </c>
      <c r="U4141" s="1">
        <v>0</v>
      </c>
      <c r="V4141" s="1" t="str">
        <f t="shared" si="769"/>
        <v>里程去程</v>
      </c>
      <c r="W4141" s="1" t="str">
        <f>"1420"</f>
        <v>1420</v>
      </c>
      <c r="X4141" s="1" t="s">
        <v>35</v>
      </c>
    </row>
    <row r="4142" spans="1:24" x14ac:dyDescent="0.3">
      <c r="A4142" s="1" t="str">
        <f t="shared" si="770"/>
        <v>59829</v>
      </c>
      <c r="B4142" s="1" t="s">
        <v>47</v>
      </c>
      <c r="C4142" s="1" t="s">
        <v>48</v>
      </c>
      <c r="D4142" s="1" t="str">
        <f t="shared" si="771"/>
        <v>9803</v>
      </c>
      <c r="E4142" s="1" t="s">
        <v>32</v>
      </c>
      <c r="F4142" s="1" t="str">
        <f>"7311150243002620"</f>
        <v>7311150243002620</v>
      </c>
      <c r="G4142" s="1" t="s">
        <v>33</v>
      </c>
      <c r="H4142" s="1" t="str">
        <f t="shared" si="766"/>
        <v>20220917</v>
      </c>
      <c r="I4142" s="1" t="str">
        <f>"094748"</f>
        <v>094748</v>
      </c>
      <c r="J4142" s="1" t="s">
        <v>28</v>
      </c>
      <c r="K4142" s="1" t="s">
        <v>28</v>
      </c>
      <c r="L4142" s="1" t="str">
        <f t="shared" si="767"/>
        <v>20220917</v>
      </c>
      <c r="M4142" s="1" t="str">
        <f>"100652"</f>
        <v>100652</v>
      </c>
      <c r="N4142" s="1" t="s">
        <v>34</v>
      </c>
      <c r="O4142" s="1" t="s">
        <v>34</v>
      </c>
      <c r="P4142" s="1" t="s">
        <v>55</v>
      </c>
      <c r="Q4142" s="1">
        <v>25</v>
      </c>
      <c r="R4142" s="1">
        <v>25</v>
      </c>
      <c r="S4142" s="1">
        <v>0</v>
      </c>
      <c r="T4142" s="1">
        <v>0</v>
      </c>
      <c r="U4142" s="1">
        <v>0</v>
      </c>
      <c r="V4142" s="1" t="str">
        <f t="shared" si="769"/>
        <v>里程去程</v>
      </c>
      <c r="W4142" s="1" t="str">
        <f>"0F3B"</f>
        <v>0F3B</v>
      </c>
      <c r="X4142" s="1" t="s">
        <v>109</v>
      </c>
    </row>
    <row r="4143" spans="1:24" x14ac:dyDescent="0.3">
      <c r="A4143" s="1" t="str">
        <f t="shared" si="770"/>
        <v>59829</v>
      </c>
      <c r="B4143" s="1" t="s">
        <v>47</v>
      </c>
      <c r="C4143" s="1" t="s">
        <v>48</v>
      </c>
      <c r="D4143" s="1" t="str">
        <f t="shared" si="771"/>
        <v>9803</v>
      </c>
      <c r="E4143" s="1" t="s">
        <v>32</v>
      </c>
      <c r="F4143" s="1" t="str">
        <f>"1060261585"</f>
        <v>1060261585</v>
      </c>
      <c r="G4143" s="1" t="s">
        <v>33</v>
      </c>
      <c r="H4143" s="1" t="str">
        <f t="shared" si="766"/>
        <v>20220917</v>
      </c>
      <c r="I4143" s="1" t="str">
        <f>"094754"</f>
        <v>094754</v>
      </c>
      <c r="J4143" s="1" t="s">
        <v>28</v>
      </c>
      <c r="K4143" s="1" t="s">
        <v>28</v>
      </c>
      <c r="L4143" s="1" t="str">
        <f t="shared" si="767"/>
        <v>20220917</v>
      </c>
      <c r="M4143" s="1" t="str">
        <f>"100639"</f>
        <v>100639</v>
      </c>
      <c r="N4143" s="1" t="s">
        <v>34</v>
      </c>
      <c r="O4143" s="1" t="s">
        <v>34</v>
      </c>
      <c r="P4143" s="1" t="s">
        <v>55</v>
      </c>
      <c r="Q4143" s="1">
        <v>25</v>
      </c>
      <c r="R4143" s="1">
        <v>0</v>
      </c>
      <c r="S4143" s="1">
        <v>25</v>
      </c>
      <c r="T4143" s="1">
        <v>0</v>
      </c>
      <c r="U4143" s="1">
        <v>0</v>
      </c>
      <c r="V4143" s="1" t="str">
        <f t="shared" si="769"/>
        <v>里程去程</v>
      </c>
      <c r="W4143" s="1" t="str">
        <f>"0820"</f>
        <v>0820</v>
      </c>
      <c r="X4143" s="1" t="s">
        <v>35</v>
      </c>
    </row>
    <row r="4144" spans="1:24" x14ac:dyDescent="0.3">
      <c r="A4144" s="1" t="str">
        <f t="shared" si="770"/>
        <v>59829</v>
      </c>
      <c r="B4144" s="1" t="s">
        <v>47</v>
      </c>
      <c r="C4144" s="1" t="s">
        <v>48</v>
      </c>
      <c r="D4144" s="1" t="str">
        <f t="shared" si="771"/>
        <v>9803</v>
      </c>
      <c r="E4144" s="1" t="s">
        <v>32</v>
      </c>
      <c r="F4144" s="1" t="str">
        <f>"1760705765"</f>
        <v>1760705765</v>
      </c>
      <c r="G4144" s="1" t="s">
        <v>33</v>
      </c>
      <c r="H4144" s="1" t="str">
        <f t="shared" si="766"/>
        <v>20220917</v>
      </c>
      <c r="I4144" s="1" t="str">
        <f>"094801"</f>
        <v>094801</v>
      </c>
      <c r="J4144" s="1" t="s">
        <v>28</v>
      </c>
      <c r="K4144" s="1" t="s">
        <v>28</v>
      </c>
      <c r="L4144" s="1" t="str">
        <f t="shared" si="767"/>
        <v>20220917</v>
      </c>
      <c r="M4144" s="1" t="str">
        <f>"100640"</f>
        <v>100640</v>
      </c>
      <c r="N4144" s="1" t="s">
        <v>34</v>
      </c>
      <c r="O4144" s="1" t="s">
        <v>34</v>
      </c>
      <c r="P4144" s="1" t="s">
        <v>55</v>
      </c>
      <c r="Q4144" s="1">
        <v>25</v>
      </c>
      <c r="R4144" s="1">
        <v>0</v>
      </c>
      <c r="S4144" s="1">
        <v>25</v>
      </c>
      <c r="T4144" s="1">
        <v>0</v>
      </c>
      <c r="U4144" s="1">
        <v>0</v>
      </c>
      <c r="V4144" s="1" t="str">
        <f t="shared" si="769"/>
        <v>里程去程</v>
      </c>
      <c r="W4144" s="1" t="str">
        <f>"0820"</f>
        <v>0820</v>
      </c>
      <c r="X4144" s="1" t="s">
        <v>35</v>
      </c>
    </row>
    <row r="4145" spans="1:24" x14ac:dyDescent="0.3">
      <c r="A4145" s="1" t="str">
        <f t="shared" si="770"/>
        <v>59829</v>
      </c>
      <c r="B4145" s="1" t="s">
        <v>47</v>
      </c>
      <c r="C4145" s="1" t="s">
        <v>48</v>
      </c>
      <c r="D4145" s="1" t="str">
        <f t="shared" si="771"/>
        <v>9803</v>
      </c>
      <c r="E4145" s="1" t="s">
        <v>32</v>
      </c>
      <c r="F4145" s="1" t="str">
        <f>"212205617"</f>
        <v>212205617</v>
      </c>
      <c r="G4145" s="1" t="s">
        <v>33</v>
      </c>
      <c r="H4145" s="1" t="str">
        <f t="shared" si="766"/>
        <v>20220917</v>
      </c>
      <c r="I4145" s="1" t="str">
        <f>"094835"</f>
        <v>094835</v>
      </c>
      <c r="J4145" s="1" t="s">
        <v>28</v>
      </c>
      <c r="K4145" s="1" t="s">
        <v>28</v>
      </c>
      <c r="L4145" s="1" t="str">
        <f t="shared" si="767"/>
        <v>20220917</v>
      </c>
      <c r="M4145" s="1" t="str">
        <f>"100703"</f>
        <v>100703</v>
      </c>
      <c r="N4145" s="1" t="s">
        <v>34</v>
      </c>
      <c r="O4145" s="1" t="s">
        <v>34</v>
      </c>
      <c r="P4145" s="1" t="s">
        <v>55</v>
      </c>
      <c r="Q4145" s="1">
        <v>25</v>
      </c>
      <c r="R4145" s="1">
        <v>25</v>
      </c>
      <c r="S4145" s="1">
        <v>0</v>
      </c>
      <c r="T4145" s="1">
        <v>0</v>
      </c>
      <c r="U4145" s="1">
        <v>0</v>
      </c>
      <c r="V4145" s="1" t="str">
        <f t="shared" si="769"/>
        <v>里程去程</v>
      </c>
      <c r="W4145" s="1" t="str">
        <f>"1420"</f>
        <v>1420</v>
      </c>
      <c r="X4145" s="1" t="s">
        <v>35</v>
      </c>
    </row>
    <row r="4146" spans="1:24" x14ac:dyDescent="0.3">
      <c r="A4146" s="1" t="str">
        <f t="shared" si="770"/>
        <v>59829</v>
      </c>
      <c r="B4146" s="1" t="s">
        <v>47</v>
      </c>
      <c r="C4146" s="1" t="s">
        <v>48</v>
      </c>
      <c r="D4146" s="1" t="str">
        <f t="shared" si="771"/>
        <v>9803</v>
      </c>
      <c r="E4146" s="1" t="s">
        <v>32</v>
      </c>
      <c r="F4146" s="1" t="str">
        <f>"1598139386"</f>
        <v>1598139386</v>
      </c>
      <c r="G4146" s="1" t="s">
        <v>33</v>
      </c>
      <c r="H4146" s="1" t="str">
        <f t="shared" si="766"/>
        <v>20220917</v>
      </c>
      <c r="I4146" s="1" t="str">
        <f>"094849"</f>
        <v>094849</v>
      </c>
      <c r="J4146" s="1" t="s">
        <v>28</v>
      </c>
      <c r="K4146" s="1" t="s">
        <v>28</v>
      </c>
      <c r="L4146" s="1" t="str">
        <f t="shared" si="767"/>
        <v>20220917</v>
      </c>
      <c r="M4146" s="1" t="str">
        <f>"100701"</f>
        <v>100701</v>
      </c>
      <c r="N4146" s="1" t="s">
        <v>34</v>
      </c>
      <c r="O4146" s="1" t="s">
        <v>34</v>
      </c>
      <c r="P4146" s="1" t="s">
        <v>55</v>
      </c>
      <c r="Q4146" s="1">
        <v>25</v>
      </c>
      <c r="R4146" s="1">
        <v>25</v>
      </c>
      <c r="S4146" s="1">
        <v>0</v>
      </c>
      <c r="T4146" s="1">
        <v>0</v>
      </c>
      <c r="U4146" s="1">
        <v>0</v>
      </c>
      <c r="V4146" s="1" t="str">
        <f t="shared" si="769"/>
        <v>里程去程</v>
      </c>
      <c r="W4146" s="1" t="str">
        <f>"1420"</f>
        <v>1420</v>
      </c>
      <c r="X4146" s="1" t="s">
        <v>35</v>
      </c>
    </row>
    <row r="4147" spans="1:24" x14ac:dyDescent="0.3">
      <c r="A4147" s="1" t="str">
        <f t="shared" si="770"/>
        <v>59829</v>
      </c>
      <c r="B4147" s="1" t="s">
        <v>47</v>
      </c>
      <c r="C4147" s="1" t="s">
        <v>48</v>
      </c>
      <c r="D4147" s="1" t="str">
        <f t="shared" ref="D4147:D4157" si="772">"9805"</f>
        <v>9805</v>
      </c>
      <c r="E4147" s="1" t="s">
        <v>57</v>
      </c>
      <c r="F4147" s="1" t="str">
        <f>"1777612965"</f>
        <v>1777612965</v>
      </c>
      <c r="G4147" s="1" t="s">
        <v>33</v>
      </c>
      <c r="H4147" s="1" t="str">
        <f t="shared" si="766"/>
        <v>20220917</v>
      </c>
      <c r="I4147" s="1" t="str">
        <f>"121100"</f>
        <v>121100</v>
      </c>
      <c r="J4147" s="1" t="s">
        <v>28</v>
      </c>
      <c r="K4147" s="1" t="s">
        <v>28</v>
      </c>
      <c r="L4147" s="1" t="str">
        <f t="shared" si="767"/>
        <v>20220917</v>
      </c>
      <c r="M4147" s="1" t="str">
        <f>"122147"</f>
        <v>122147</v>
      </c>
      <c r="N4147" s="1" t="s">
        <v>46</v>
      </c>
      <c r="O4147" s="1" t="s">
        <v>28</v>
      </c>
      <c r="P4147" s="1" t="s">
        <v>55</v>
      </c>
      <c r="Q4147" s="1">
        <v>25</v>
      </c>
      <c r="R4147" s="1">
        <v>0</v>
      </c>
      <c r="S4147" s="1">
        <v>25</v>
      </c>
      <c r="T4147" s="1">
        <v>0</v>
      </c>
      <c r="U4147" s="1">
        <v>0</v>
      </c>
      <c r="V4147" s="1" t="str">
        <f t="shared" si="769"/>
        <v>里程去程</v>
      </c>
      <c r="W4147" s="1" t="str">
        <f>"0820"</f>
        <v>0820</v>
      </c>
      <c r="X4147" s="1" t="s">
        <v>35</v>
      </c>
    </row>
    <row r="4148" spans="1:24" x14ac:dyDescent="0.3">
      <c r="A4148" s="1" t="str">
        <f t="shared" si="770"/>
        <v>59829</v>
      </c>
      <c r="B4148" s="1" t="s">
        <v>47</v>
      </c>
      <c r="C4148" s="1" t="s">
        <v>48</v>
      </c>
      <c r="D4148" s="1" t="str">
        <f t="shared" si="772"/>
        <v>9805</v>
      </c>
      <c r="E4148" s="1" t="s">
        <v>57</v>
      </c>
      <c r="F4148" s="1" t="str">
        <f>"720364869"</f>
        <v>720364869</v>
      </c>
      <c r="G4148" s="1" t="s">
        <v>33</v>
      </c>
      <c r="H4148" s="1" t="str">
        <f t="shared" si="766"/>
        <v>20220917</v>
      </c>
      <c r="I4148" s="1" t="str">
        <f>"121104"</f>
        <v>121104</v>
      </c>
      <c r="J4148" s="1" t="s">
        <v>28</v>
      </c>
      <c r="K4148" s="1" t="s">
        <v>28</v>
      </c>
      <c r="L4148" s="1" t="str">
        <f t="shared" si="767"/>
        <v>20220917</v>
      </c>
      <c r="M4148" s="1" t="str">
        <f>"122141"</f>
        <v>122141</v>
      </c>
      <c r="N4148" s="1" t="s">
        <v>46</v>
      </c>
      <c r="O4148" s="1" t="s">
        <v>28</v>
      </c>
      <c r="P4148" s="1" t="s">
        <v>55</v>
      </c>
      <c r="Q4148" s="1">
        <v>25</v>
      </c>
      <c r="R4148" s="1">
        <v>0</v>
      </c>
      <c r="S4148" s="1">
        <v>25</v>
      </c>
      <c r="T4148" s="1">
        <v>0</v>
      </c>
      <c r="U4148" s="1">
        <v>0</v>
      </c>
      <c r="V4148" s="1" t="str">
        <f t="shared" si="769"/>
        <v>里程去程</v>
      </c>
      <c r="W4148" s="1" t="str">
        <f>"0820"</f>
        <v>0820</v>
      </c>
      <c r="X4148" s="1" t="s">
        <v>35</v>
      </c>
    </row>
    <row r="4149" spans="1:24" x14ac:dyDescent="0.3">
      <c r="A4149" s="1" t="str">
        <f t="shared" si="770"/>
        <v>59829</v>
      </c>
      <c r="B4149" s="1" t="s">
        <v>47</v>
      </c>
      <c r="C4149" s="1" t="s">
        <v>48</v>
      </c>
      <c r="D4149" s="1" t="str">
        <f t="shared" si="772"/>
        <v>9805</v>
      </c>
      <c r="E4149" s="1" t="s">
        <v>57</v>
      </c>
      <c r="F4149" s="1" t="str">
        <f>"1797755489"</f>
        <v>1797755489</v>
      </c>
      <c r="G4149" s="1" t="s">
        <v>33</v>
      </c>
      <c r="H4149" s="1" t="str">
        <f t="shared" si="766"/>
        <v>20220917</v>
      </c>
      <c r="I4149" s="1" t="str">
        <f>"121107"</f>
        <v>121107</v>
      </c>
      <c r="J4149" s="1" t="s">
        <v>28</v>
      </c>
      <c r="K4149" s="1" t="s">
        <v>28</v>
      </c>
      <c r="L4149" s="1" t="str">
        <f t="shared" si="767"/>
        <v>20220917</v>
      </c>
      <c r="M4149" s="1" t="str">
        <f>"122145"</f>
        <v>122145</v>
      </c>
      <c r="N4149" s="1" t="s">
        <v>46</v>
      </c>
      <c r="O4149" s="1" t="s">
        <v>28</v>
      </c>
      <c r="P4149" s="1" t="s">
        <v>55</v>
      </c>
      <c r="Q4149" s="1">
        <v>25</v>
      </c>
      <c r="R4149" s="1">
        <v>0</v>
      </c>
      <c r="S4149" s="1">
        <v>25</v>
      </c>
      <c r="T4149" s="1">
        <v>0</v>
      </c>
      <c r="U4149" s="1">
        <v>0</v>
      </c>
      <c r="V4149" s="1" t="str">
        <f t="shared" si="769"/>
        <v>里程去程</v>
      </c>
      <c r="W4149" s="1" t="str">
        <f>"0820"</f>
        <v>0820</v>
      </c>
      <c r="X4149" s="1" t="s">
        <v>35</v>
      </c>
    </row>
    <row r="4150" spans="1:24" x14ac:dyDescent="0.3">
      <c r="A4150" s="1" t="str">
        <f t="shared" si="770"/>
        <v>59829</v>
      </c>
      <c r="B4150" s="1" t="s">
        <v>47</v>
      </c>
      <c r="C4150" s="1" t="s">
        <v>48</v>
      </c>
      <c r="D4150" s="1" t="str">
        <f t="shared" si="772"/>
        <v>9805</v>
      </c>
      <c r="E4150" s="1" t="s">
        <v>57</v>
      </c>
      <c r="F4150" s="1" t="str">
        <f>"971432609"</f>
        <v>971432609</v>
      </c>
      <c r="G4150" s="1" t="s">
        <v>33</v>
      </c>
      <c r="H4150" s="1" t="str">
        <f t="shared" si="766"/>
        <v>20220917</v>
      </c>
      <c r="I4150" s="1" t="str">
        <f>"121121"</f>
        <v>121121</v>
      </c>
      <c r="J4150" s="1" t="s">
        <v>28</v>
      </c>
      <c r="K4150" s="1" t="s">
        <v>28</v>
      </c>
      <c r="L4150" s="1" t="str">
        <f t="shared" si="767"/>
        <v>20220917</v>
      </c>
      <c r="M4150" s="1" t="str">
        <f>"123036"</f>
        <v>123036</v>
      </c>
      <c r="N4150" s="1" t="s">
        <v>52</v>
      </c>
      <c r="O4150" s="1" t="s">
        <v>52</v>
      </c>
      <c r="P4150" s="1" t="s">
        <v>55</v>
      </c>
      <c r="Q4150" s="1">
        <v>25</v>
      </c>
      <c r="R4150" s="1">
        <v>0</v>
      </c>
      <c r="S4150" s="1">
        <v>25</v>
      </c>
      <c r="T4150" s="1">
        <v>0</v>
      </c>
      <c r="U4150" s="1">
        <v>0</v>
      </c>
      <c r="V4150" s="1" t="str">
        <f t="shared" si="769"/>
        <v>里程去程</v>
      </c>
      <c r="W4150" s="1" t="str">
        <f>"0820"</f>
        <v>0820</v>
      </c>
      <c r="X4150" s="1" t="s">
        <v>35</v>
      </c>
    </row>
    <row r="4151" spans="1:24" x14ac:dyDescent="0.3">
      <c r="A4151" s="1" t="str">
        <f t="shared" si="770"/>
        <v>59829</v>
      </c>
      <c r="B4151" s="1" t="s">
        <v>47</v>
      </c>
      <c r="C4151" s="1" t="s">
        <v>48</v>
      </c>
      <c r="D4151" s="1" t="str">
        <f t="shared" si="772"/>
        <v>9805</v>
      </c>
      <c r="E4151" s="1" t="s">
        <v>57</v>
      </c>
      <c r="F4151" s="1" t="str">
        <f>"3366649229"</f>
        <v>3366649229</v>
      </c>
      <c r="G4151" s="1" t="s">
        <v>33</v>
      </c>
      <c r="H4151" s="1" t="str">
        <f t="shared" si="766"/>
        <v>20220917</v>
      </c>
      <c r="I4151" s="1" t="str">
        <f>"121126"</f>
        <v>121126</v>
      </c>
      <c r="J4151" s="1" t="s">
        <v>28</v>
      </c>
      <c r="K4151" s="1" t="s">
        <v>28</v>
      </c>
      <c r="L4151" s="1" t="str">
        <f t="shared" si="767"/>
        <v>20220917</v>
      </c>
      <c r="M4151" s="1" t="str">
        <f>"123045"</f>
        <v>123045</v>
      </c>
      <c r="N4151" s="1" t="s">
        <v>52</v>
      </c>
      <c r="O4151" s="1" t="s">
        <v>52</v>
      </c>
      <c r="P4151" s="1" t="s">
        <v>55</v>
      </c>
      <c r="Q4151" s="1">
        <v>25</v>
      </c>
      <c r="R4151" s="1">
        <v>25</v>
      </c>
      <c r="S4151" s="1">
        <v>0</v>
      </c>
      <c r="T4151" s="1">
        <v>0</v>
      </c>
      <c r="U4151" s="1">
        <v>0</v>
      </c>
      <c r="V4151" s="1" t="str">
        <f t="shared" si="769"/>
        <v>里程去程</v>
      </c>
      <c r="W4151" s="1" t="str">
        <f>"0820"</f>
        <v>0820</v>
      </c>
      <c r="X4151" s="1" t="s">
        <v>35</v>
      </c>
    </row>
    <row r="4152" spans="1:24" x14ac:dyDescent="0.3">
      <c r="A4152" s="1" t="str">
        <f t="shared" si="770"/>
        <v>59829</v>
      </c>
      <c r="B4152" s="1" t="s">
        <v>47</v>
      </c>
      <c r="C4152" s="1" t="s">
        <v>48</v>
      </c>
      <c r="D4152" s="1" t="str">
        <f t="shared" si="772"/>
        <v>9805</v>
      </c>
      <c r="E4152" s="1" t="s">
        <v>57</v>
      </c>
      <c r="F4152" s="1" t="str">
        <f>"1764161189"</f>
        <v>1764161189</v>
      </c>
      <c r="G4152" s="1" t="s">
        <v>33</v>
      </c>
      <c r="H4152" s="1" t="str">
        <f t="shared" si="766"/>
        <v>20220917</v>
      </c>
      <c r="I4152" s="1" t="str">
        <f>"121130"</f>
        <v>121130</v>
      </c>
      <c r="J4152" s="1" t="s">
        <v>28</v>
      </c>
      <c r="K4152" s="1" t="s">
        <v>28</v>
      </c>
      <c r="L4152" s="1" t="str">
        <f t="shared" si="767"/>
        <v>20220917</v>
      </c>
      <c r="M4152" s="1" t="str">
        <f>"122751"</f>
        <v>122751</v>
      </c>
      <c r="N4152" s="1" t="s">
        <v>62</v>
      </c>
      <c r="O4152" s="1" t="s">
        <v>28</v>
      </c>
      <c r="P4152" s="1" t="s">
        <v>55</v>
      </c>
      <c r="Q4152" s="1">
        <v>25</v>
      </c>
      <c r="R4152" s="1">
        <v>25</v>
      </c>
      <c r="S4152" s="1">
        <v>0</v>
      </c>
      <c r="T4152" s="1">
        <v>0</v>
      </c>
      <c r="U4152" s="1">
        <v>0</v>
      </c>
      <c r="V4152" s="1" t="str">
        <f t="shared" si="769"/>
        <v>里程去程</v>
      </c>
      <c r="W4152" s="1" t="str">
        <f>"0320"</f>
        <v>0320</v>
      </c>
      <c r="X4152" s="1" t="s">
        <v>35</v>
      </c>
    </row>
    <row r="4153" spans="1:24" x14ac:dyDescent="0.3">
      <c r="A4153" s="1" t="str">
        <f t="shared" si="770"/>
        <v>59829</v>
      </c>
      <c r="B4153" s="1" t="s">
        <v>47</v>
      </c>
      <c r="C4153" s="1" t="s">
        <v>48</v>
      </c>
      <c r="D4153" s="1" t="str">
        <f t="shared" si="772"/>
        <v>9805</v>
      </c>
      <c r="E4153" s="1" t="s">
        <v>57</v>
      </c>
      <c r="F4153" s="1" t="str">
        <f>"1081263953"</f>
        <v>1081263953</v>
      </c>
      <c r="G4153" s="1" t="s">
        <v>33</v>
      </c>
      <c r="H4153" s="1" t="str">
        <f t="shared" si="766"/>
        <v>20220917</v>
      </c>
      <c r="I4153" s="1" t="str">
        <f>"121139"</f>
        <v>121139</v>
      </c>
      <c r="J4153" s="1" t="s">
        <v>28</v>
      </c>
      <c r="K4153" s="1" t="s">
        <v>28</v>
      </c>
      <c r="L4153" s="1" t="str">
        <f t="shared" si="767"/>
        <v>20220917</v>
      </c>
      <c r="M4153" s="1" t="str">
        <f>"122504"</f>
        <v>122504</v>
      </c>
      <c r="N4153" s="1" t="s">
        <v>61</v>
      </c>
      <c r="O4153" s="1" t="s">
        <v>28</v>
      </c>
      <c r="P4153" s="1" t="s">
        <v>55</v>
      </c>
      <c r="Q4153" s="1">
        <v>25</v>
      </c>
      <c r="R4153" s="1">
        <v>25</v>
      </c>
      <c r="S4153" s="1">
        <v>0</v>
      </c>
      <c r="T4153" s="1">
        <v>0</v>
      </c>
      <c r="U4153" s="1">
        <v>0</v>
      </c>
      <c r="V4153" s="1" t="str">
        <f t="shared" si="769"/>
        <v>里程去程</v>
      </c>
      <c r="W4153" s="1" t="str">
        <f>"0120"</f>
        <v>0120</v>
      </c>
      <c r="X4153" s="1" t="s">
        <v>35</v>
      </c>
    </row>
    <row r="4154" spans="1:24" x14ac:dyDescent="0.3">
      <c r="A4154" s="1" t="str">
        <f t="shared" ref="A4154:A4173" si="773">"59829"</f>
        <v>59829</v>
      </c>
      <c r="B4154" s="1" t="s">
        <v>47</v>
      </c>
      <c r="C4154" s="1" t="s">
        <v>48</v>
      </c>
      <c r="D4154" s="1" t="str">
        <f t="shared" si="772"/>
        <v>9805</v>
      </c>
      <c r="E4154" s="1" t="s">
        <v>57</v>
      </c>
      <c r="F4154" s="1" t="str">
        <f>"1014439301"</f>
        <v>1014439301</v>
      </c>
      <c r="G4154" s="1" t="s">
        <v>33</v>
      </c>
      <c r="H4154" s="1" t="str">
        <f t="shared" si="766"/>
        <v>20220917</v>
      </c>
      <c r="I4154" s="1" t="str">
        <f>"121145"</f>
        <v>121145</v>
      </c>
      <c r="J4154" s="1" t="s">
        <v>28</v>
      </c>
      <c r="K4154" s="1" t="s">
        <v>28</v>
      </c>
      <c r="L4154" s="1" t="str">
        <f t="shared" si="767"/>
        <v>20220917</v>
      </c>
      <c r="M4154" s="1" t="str">
        <f>"122554"</f>
        <v>122554</v>
      </c>
      <c r="N4154" s="1" t="s">
        <v>56</v>
      </c>
      <c r="O4154" s="1" t="s">
        <v>28</v>
      </c>
      <c r="P4154" s="1" t="s">
        <v>55</v>
      </c>
      <c r="Q4154" s="1">
        <v>25</v>
      </c>
      <c r="R4154" s="1">
        <v>25</v>
      </c>
      <c r="S4154" s="1">
        <v>0</v>
      </c>
      <c r="T4154" s="1">
        <v>0</v>
      </c>
      <c r="U4154" s="1">
        <v>0</v>
      </c>
      <c r="V4154" s="1" t="str">
        <f t="shared" si="769"/>
        <v>里程去程</v>
      </c>
      <c r="W4154" s="1" t="str">
        <f>"0120"</f>
        <v>0120</v>
      </c>
      <c r="X4154" s="1" t="s">
        <v>35</v>
      </c>
    </row>
    <row r="4155" spans="1:24" x14ac:dyDescent="0.3">
      <c r="A4155" s="1" t="str">
        <f t="shared" si="773"/>
        <v>59829</v>
      </c>
      <c r="B4155" s="1" t="s">
        <v>47</v>
      </c>
      <c r="C4155" s="1" t="s">
        <v>48</v>
      </c>
      <c r="D4155" s="1" t="str">
        <f t="shared" si="772"/>
        <v>9805</v>
      </c>
      <c r="E4155" s="1" t="s">
        <v>57</v>
      </c>
      <c r="F4155" s="1" t="str">
        <f>"1360710801"</f>
        <v>1360710801</v>
      </c>
      <c r="G4155" s="1" t="s">
        <v>33</v>
      </c>
      <c r="H4155" s="1" t="str">
        <f t="shared" si="766"/>
        <v>20220917</v>
      </c>
      <c r="I4155" s="1" t="str">
        <f>"121204"</f>
        <v>121204</v>
      </c>
      <c r="J4155" s="1" t="s">
        <v>28</v>
      </c>
      <c r="K4155" s="1" t="s">
        <v>28</v>
      </c>
      <c r="L4155" s="1" t="str">
        <f t="shared" si="767"/>
        <v>20220917</v>
      </c>
      <c r="M4155" s="1" t="str">
        <f>"122138"</f>
        <v>122138</v>
      </c>
      <c r="N4155" s="1" t="s">
        <v>46</v>
      </c>
      <c r="O4155" s="1" t="s">
        <v>28</v>
      </c>
      <c r="P4155" s="1" t="s">
        <v>55</v>
      </c>
      <c r="Q4155" s="1">
        <v>25</v>
      </c>
      <c r="R4155" s="1">
        <v>25</v>
      </c>
      <c r="S4155" s="1">
        <v>0</v>
      </c>
      <c r="T4155" s="1">
        <v>0</v>
      </c>
      <c r="U4155" s="1">
        <v>0</v>
      </c>
      <c r="V4155" s="1" t="str">
        <f t="shared" si="769"/>
        <v>里程去程</v>
      </c>
      <c r="W4155" s="1" t="str">
        <f>"0e20"</f>
        <v>0e20</v>
      </c>
      <c r="X4155" s="1" t="s">
        <v>35</v>
      </c>
    </row>
    <row r="4156" spans="1:24" x14ac:dyDescent="0.3">
      <c r="A4156" s="1" t="str">
        <f t="shared" si="773"/>
        <v>59829</v>
      </c>
      <c r="B4156" s="1" t="s">
        <v>47</v>
      </c>
      <c r="C4156" s="1" t="s">
        <v>48</v>
      </c>
      <c r="D4156" s="1" t="str">
        <f t="shared" si="772"/>
        <v>9805</v>
      </c>
      <c r="E4156" s="1" t="s">
        <v>57</v>
      </c>
      <c r="F4156" s="1" t="str">
        <f>"227472784"</f>
        <v>227472784</v>
      </c>
      <c r="G4156" s="1" t="s">
        <v>33</v>
      </c>
      <c r="H4156" s="1" t="str">
        <f t="shared" si="766"/>
        <v>20220917</v>
      </c>
      <c r="I4156" s="1" t="str">
        <f>"131730"</f>
        <v>131730</v>
      </c>
      <c r="J4156" s="1" t="s">
        <v>94</v>
      </c>
      <c r="K4156" s="1" t="s">
        <v>28</v>
      </c>
      <c r="L4156" s="1" t="str">
        <f t="shared" si="767"/>
        <v>20220917</v>
      </c>
      <c r="M4156" s="1" t="str">
        <f>"132802"</f>
        <v>132802</v>
      </c>
      <c r="N4156" s="1" t="s">
        <v>28</v>
      </c>
      <c r="O4156" s="1" t="s">
        <v>28</v>
      </c>
      <c r="P4156" s="1" t="s">
        <v>55</v>
      </c>
      <c r="Q4156" s="1">
        <v>25</v>
      </c>
      <c r="R4156" s="1">
        <v>0</v>
      </c>
      <c r="S4156" s="1">
        <v>25</v>
      </c>
      <c r="T4156" s="1">
        <v>0</v>
      </c>
      <c r="U4156" s="1">
        <v>0</v>
      </c>
      <c r="V4156" s="1" t="str">
        <f>"里程返程"</f>
        <v>里程返程</v>
      </c>
      <c r="W4156" s="1" t="str">
        <f>"2020"</f>
        <v>2020</v>
      </c>
      <c r="X4156" s="1" t="s">
        <v>35</v>
      </c>
    </row>
    <row r="4157" spans="1:24" x14ac:dyDescent="0.3">
      <c r="A4157" s="1" t="str">
        <f t="shared" si="773"/>
        <v>59829</v>
      </c>
      <c r="B4157" s="1" t="s">
        <v>47</v>
      </c>
      <c r="C4157" s="1" t="s">
        <v>48</v>
      </c>
      <c r="D4157" s="1" t="str">
        <f t="shared" si="772"/>
        <v>9805</v>
      </c>
      <c r="E4157" s="1" t="s">
        <v>57</v>
      </c>
      <c r="F4157" s="1" t="str">
        <f>"3570747763"</f>
        <v>3570747763</v>
      </c>
      <c r="G4157" s="1" t="s">
        <v>33</v>
      </c>
      <c r="H4157" s="1" t="str">
        <f t="shared" si="766"/>
        <v>20220917</v>
      </c>
      <c r="I4157" s="1" t="str">
        <f>"131741"</f>
        <v>131741</v>
      </c>
      <c r="J4157" s="1" t="s">
        <v>94</v>
      </c>
      <c r="K4157" s="1" t="s">
        <v>28</v>
      </c>
      <c r="L4157" s="1" t="str">
        <f t="shared" si="767"/>
        <v>20220917</v>
      </c>
      <c r="M4157" s="1" t="str">
        <f>"132806"</f>
        <v>132806</v>
      </c>
      <c r="N4157" s="1" t="s">
        <v>28</v>
      </c>
      <c r="O4157" s="1" t="s">
        <v>28</v>
      </c>
      <c r="P4157" s="1" t="s">
        <v>55</v>
      </c>
      <c r="Q4157" s="1">
        <v>25</v>
      </c>
      <c r="R4157" s="1">
        <v>0</v>
      </c>
      <c r="S4157" s="1">
        <v>25</v>
      </c>
      <c r="T4157" s="1">
        <v>0</v>
      </c>
      <c r="U4157" s="1">
        <v>0</v>
      </c>
      <c r="V4157" s="1" t="str">
        <f>"里程返程"</f>
        <v>里程返程</v>
      </c>
      <c r="W4157" s="1" t="str">
        <f>"2020"</f>
        <v>2020</v>
      </c>
      <c r="X4157" s="1" t="s">
        <v>35</v>
      </c>
    </row>
    <row r="4158" spans="1:24" x14ac:dyDescent="0.3">
      <c r="A4158" s="1" t="str">
        <f t="shared" si="773"/>
        <v>59829</v>
      </c>
      <c r="B4158" s="1" t="s">
        <v>47</v>
      </c>
      <c r="C4158" s="1" t="s">
        <v>48</v>
      </c>
      <c r="D4158" s="1" t="str">
        <f t="shared" ref="D4158:D4164" si="774">"9803"</f>
        <v>9803</v>
      </c>
      <c r="E4158" s="1" t="s">
        <v>32</v>
      </c>
      <c r="F4158" s="1" t="str">
        <f>"675864149"</f>
        <v>675864149</v>
      </c>
      <c r="G4158" s="1" t="s">
        <v>33</v>
      </c>
      <c r="H4158" s="1" t="str">
        <f t="shared" si="766"/>
        <v>20220917</v>
      </c>
      <c r="I4158" s="1" t="str">
        <f>"133001"</f>
        <v>133001</v>
      </c>
      <c r="J4158" s="1" t="s">
        <v>28</v>
      </c>
      <c r="K4158" s="1" t="s">
        <v>28</v>
      </c>
      <c r="L4158" s="1" t="str">
        <f t="shared" si="767"/>
        <v>20220917</v>
      </c>
      <c r="M4158" s="1" t="str">
        <f>"133745"</f>
        <v>133745</v>
      </c>
      <c r="N4158" s="1" t="s">
        <v>70</v>
      </c>
      <c r="O4158" s="1" t="s">
        <v>28</v>
      </c>
      <c r="P4158" s="1" t="s">
        <v>55</v>
      </c>
      <c r="Q4158" s="1">
        <v>25</v>
      </c>
      <c r="R4158" s="1">
        <v>25</v>
      </c>
      <c r="S4158" s="1">
        <v>0</v>
      </c>
      <c r="T4158" s="1">
        <v>0</v>
      </c>
      <c r="U4158" s="1">
        <v>0</v>
      </c>
      <c r="V4158" s="1" t="str">
        <f>"里程去程"</f>
        <v>里程去程</v>
      </c>
      <c r="W4158" s="1" t="str">
        <f>"1320"</f>
        <v>1320</v>
      </c>
      <c r="X4158" s="1" t="s">
        <v>35</v>
      </c>
    </row>
    <row r="4159" spans="1:24" x14ac:dyDescent="0.3">
      <c r="A4159" s="1" t="str">
        <f t="shared" si="773"/>
        <v>59829</v>
      </c>
      <c r="B4159" s="1" t="s">
        <v>47</v>
      </c>
      <c r="C4159" s="1" t="s">
        <v>48</v>
      </c>
      <c r="D4159" s="1" t="str">
        <f t="shared" si="774"/>
        <v>9803</v>
      </c>
      <c r="E4159" s="1" t="s">
        <v>32</v>
      </c>
      <c r="F4159" s="1" t="str">
        <f>"1709069061"</f>
        <v>1709069061</v>
      </c>
      <c r="G4159" s="1" t="s">
        <v>33</v>
      </c>
      <c r="H4159" s="1" t="str">
        <f t="shared" si="766"/>
        <v>20220917</v>
      </c>
      <c r="I4159" s="1" t="str">
        <f>"134113"</f>
        <v>134113</v>
      </c>
      <c r="J4159" s="1" t="s">
        <v>46</v>
      </c>
      <c r="K4159" s="1" t="s">
        <v>28</v>
      </c>
      <c r="L4159" s="1" t="str">
        <f t="shared" si="767"/>
        <v>20220917</v>
      </c>
      <c r="M4159" s="1" t="str">
        <f>"135159"</f>
        <v>135159</v>
      </c>
      <c r="N4159" s="1" t="s">
        <v>34</v>
      </c>
      <c r="O4159" s="1" t="s">
        <v>34</v>
      </c>
      <c r="P4159" s="1" t="s">
        <v>55</v>
      </c>
      <c r="Q4159" s="1">
        <v>25</v>
      </c>
      <c r="R4159" s="1">
        <v>25</v>
      </c>
      <c r="S4159" s="1">
        <v>0</v>
      </c>
      <c r="T4159" s="1">
        <v>0</v>
      </c>
      <c r="U4159" s="1">
        <v>0</v>
      </c>
      <c r="V4159" s="1" t="str">
        <f>"里程去程"</f>
        <v>里程去程</v>
      </c>
      <c r="W4159" s="1" t="str">
        <f>"2020"</f>
        <v>2020</v>
      </c>
      <c r="X4159" s="1" t="s">
        <v>35</v>
      </c>
    </row>
    <row r="4160" spans="1:24" x14ac:dyDescent="0.3">
      <c r="A4160" s="1" t="str">
        <f t="shared" si="773"/>
        <v>59829</v>
      </c>
      <c r="B4160" s="1" t="s">
        <v>47</v>
      </c>
      <c r="C4160" s="1" t="s">
        <v>48</v>
      </c>
      <c r="D4160" s="1" t="str">
        <f t="shared" si="774"/>
        <v>9803</v>
      </c>
      <c r="E4160" s="1" t="s">
        <v>32</v>
      </c>
      <c r="F4160" s="1" t="str">
        <f>"100706725"</f>
        <v>100706725</v>
      </c>
      <c r="G4160" s="1" t="s">
        <v>33</v>
      </c>
      <c r="H4160" s="1" t="str">
        <f t="shared" si="766"/>
        <v>20220917</v>
      </c>
      <c r="I4160" s="1" t="str">
        <f>"135226"</f>
        <v>135226</v>
      </c>
      <c r="J4160" s="1" t="s">
        <v>34</v>
      </c>
      <c r="K4160" s="1" t="s">
        <v>34</v>
      </c>
      <c r="L4160" s="1" t="str">
        <f t="shared" si="767"/>
        <v>20220917</v>
      </c>
      <c r="M4160" s="1" t="str">
        <f>"142638"</f>
        <v>142638</v>
      </c>
      <c r="N4160" s="1" t="s">
        <v>28</v>
      </c>
      <c r="O4160" s="1" t="s">
        <v>28</v>
      </c>
      <c r="P4160" s="1" t="s">
        <v>55</v>
      </c>
      <c r="Q4160" s="1">
        <v>25</v>
      </c>
      <c r="R4160" s="1">
        <v>25</v>
      </c>
      <c r="S4160" s="1">
        <v>0</v>
      </c>
      <c r="T4160" s="1">
        <v>0</v>
      </c>
      <c r="U4160" s="1">
        <v>0</v>
      </c>
      <c r="V4160" s="1" t="str">
        <f>"里程返程"</f>
        <v>里程返程</v>
      </c>
      <c r="W4160" s="1" t="str">
        <f>"2020"</f>
        <v>2020</v>
      </c>
      <c r="X4160" s="1" t="s">
        <v>35</v>
      </c>
    </row>
    <row r="4161" spans="1:24" x14ac:dyDescent="0.3">
      <c r="A4161" s="1" t="str">
        <f t="shared" si="773"/>
        <v>59829</v>
      </c>
      <c r="B4161" s="1" t="s">
        <v>47</v>
      </c>
      <c r="C4161" s="1" t="s">
        <v>48</v>
      </c>
      <c r="D4161" s="1" t="str">
        <f t="shared" si="774"/>
        <v>9803</v>
      </c>
      <c r="E4161" s="1" t="s">
        <v>32</v>
      </c>
      <c r="F4161" s="1" t="str">
        <f>"969612017"</f>
        <v>969612017</v>
      </c>
      <c r="G4161" s="1" t="s">
        <v>33</v>
      </c>
      <c r="H4161" s="1" t="str">
        <f t="shared" ref="H4161:H4173" si="775">"20220917"</f>
        <v>20220917</v>
      </c>
      <c r="I4161" s="1" t="str">
        <f>"135240"</f>
        <v>135240</v>
      </c>
      <c r="J4161" s="1" t="s">
        <v>34</v>
      </c>
      <c r="K4161" s="1" t="s">
        <v>34</v>
      </c>
      <c r="L4161" s="1" t="str">
        <f t="shared" ref="L4161:L4173" si="776">"20220917"</f>
        <v>20220917</v>
      </c>
      <c r="M4161" s="1" t="str">
        <f>"142628"</f>
        <v>142628</v>
      </c>
      <c r="N4161" s="1" t="s">
        <v>28</v>
      </c>
      <c r="O4161" s="1" t="s">
        <v>28</v>
      </c>
      <c r="P4161" s="1" t="s">
        <v>55</v>
      </c>
      <c r="Q4161" s="1">
        <v>25</v>
      </c>
      <c r="R4161" s="1">
        <v>25</v>
      </c>
      <c r="S4161" s="1">
        <v>0</v>
      </c>
      <c r="T4161" s="1">
        <v>0</v>
      </c>
      <c r="U4161" s="1">
        <v>0</v>
      </c>
      <c r="V4161" s="1" t="str">
        <f>"里程返程"</f>
        <v>里程返程</v>
      </c>
      <c r="W4161" s="1" t="str">
        <f>"0420"</f>
        <v>0420</v>
      </c>
      <c r="X4161" s="1" t="s">
        <v>35</v>
      </c>
    </row>
    <row r="4162" spans="1:24" x14ac:dyDescent="0.3">
      <c r="A4162" s="1" t="str">
        <f t="shared" si="773"/>
        <v>59829</v>
      </c>
      <c r="B4162" s="1" t="s">
        <v>47</v>
      </c>
      <c r="C4162" s="1" t="s">
        <v>48</v>
      </c>
      <c r="D4162" s="1" t="str">
        <f t="shared" si="774"/>
        <v>9803</v>
      </c>
      <c r="E4162" s="1" t="s">
        <v>32</v>
      </c>
      <c r="F4162" s="1" t="str">
        <f>"1207201253"</f>
        <v>1207201253</v>
      </c>
      <c r="G4162" s="1" t="s">
        <v>96</v>
      </c>
      <c r="H4162" s="1" t="str">
        <f t="shared" si="775"/>
        <v>20220917</v>
      </c>
      <c r="I4162" s="1" t="str">
        <f>"141350"</f>
        <v>141350</v>
      </c>
      <c r="J4162" s="1" t="s">
        <v>46</v>
      </c>
      <c r="K4162" s="1" t="s">
        <v>28</v>
      </c>
      <c r="L4162" s="1" t="str">
        <f t="shared" si="776"/>
        <v>20220917</v>
      </c>
      <c r="M4162" s="1" t="str">
        <f>"142540"</f>
        <v>142540</v>
      </c>
      <c r="N4162" s="1" t="s">
        <v>95</v>
      </c>
      <c r="O4162" s="1" t="s">
        <v>28</v>
      </c>
      <c r="P4162" s="1" t="s">
        <v>55</v>
      </c>
      <c r="Q4162" s="1">
        <v>13</v>
      </c>
      <c r="R4162" s="1">
        <v>13</v>
      </c>
      <c r="S4162" s="1">
        <v>0</v>
      </c>
      <c r="T4162" s="1">
        <v>0</v>
      </c>
      <c r="U4162" s="1">
        <v>0</v>
      </c>
      <c r="V4162" s="1" t="str">
        <f>"里程返程"</f>
        <v>里程返程</v>
      </c>
      <c r="W4162" s="1" t="str">
        <f>"2020"</f>
        <v>2020</v>
      </c>
      <c r="X4162" s="1" t="s">
        <v>35</v>
      </c>
    </row>
    <row r="4163" spans="1:24" x14ac:dyDescent="0.3">
      <c r="A4163" s="1" t="str">
        <f t="shared" si="773"/>
        <v>59829</v>
      </c>
      <c r="B4163" s="1" t="s">
        <v>47</v>
      </c>
      <c r="C4163" s="1" t="s">
        <v>48</v>
      </c>
      <c r="D4163" s="1" t="str">
        <f t="shared" si="774"/>
        <v>9803</v>
      </c>
      <c r="E4163" s="1" t="s">
        <v>32</v>
      </c>
      <c r="F4163" s="1" t="str">
        <f>"985477637"</f>
        <v>985477637</v>
      </c>
      <c r="G4163" s="1" t="s">
        <v>26</v>
      </c>
      <c r="H4163" s="1" t="str">
        <f t="shared" si="775"/>
        <v>20220917</v>
      </c>
      <c r="I4163" s="1" t="str">
        <f>"141355"</f>
        <v>141355</v>
      </c>
      <c r="J4163" s="1" t="s">
        <v>46</v>
      </c>
      <c r="K4163" s="1" t="s">
        <v>28</v>
      </c>
      <c r="L4163" s="1" t="str">
        <f t="shared" si="776"/>
        <v>20220917</v>
      </c>
      <c r="M4163" s="1" t="str">
        <f>"142613"</f>
        <v>142613</v>
      </c>
      <c r="N4163" s="1" t="s">
        <v>28</v>
      </c>
      <c r="O4163" s="1" t="s">
        <v>28</v>
      </c>
      <c r="P4163" s="1" t="s">
        <v>55</v>
      </c>
      <c r="Q4163" s="1">
        <v>13</v>
      </c>
      <c r="R4163" s="1">
        <v>13</v>
      </c>
      <c r="S4163" s="1">
        <v>0</v>
      </c>
      <c r="T4163" s="1">
        <v>0</v>
      </c>
      <c r="U4163" s="1">
        <v>0</v>
      </c>
      <c r="V4163" s="1" t="str">
        <f>"里程返程"</f>
        <v>里程返程</v>
      </c>
      <c r="W4163" s="1" t="str">
        <f>"2020"</f>
        <v>2020</v>
      </c>
      <c r="X4163" s="1" t="s">
        <v>35</v>
      </c>
    </row>
    <row r="4164" spans="1:24" x14ac:dyDescent="0.3">
      <c r="A4164" s="1" t="str">
        <f t="shared" si="773"/>
        <v>59829</v>
      </c>
      <c r="B4164" s="1" t="s">
        <v>47</v>
      </c>
      <c r="C4164" s="1" t="s">
        <v>48</v>
      </c>
      <c r="D4164" s="1" t="str">
        <f t="shared" si="774"/>
        <v>9803</v>
      </c>
      <c r="E4164" s="1" t="s">
        <v>32</v>
      </c>
      <c r="F4164" s="1" t="str">
        <f>"1019682449"</f>
        <v>1019682449</v>
      </c>
      <c r="G4164" s="1" t="s">
        <v>33</v>
      </c>
      <c r="H4164" s="1" t="str">
        <f t="shared" si="775"/>
        <v>20220917</v>
      </c>
      <c r="I4164" s="1" t="str">
        <f>"141357"</f>
        <v>141357</v>
      </c>
      <c r="J4164" s="1" t="s">
        <v>46</v>
      </c>
      <c r="K4164" s="1" t="s">
        <v>28</v>
      </c>
      <c r="L4164" s="1" t="str">
        <f t="shared" si="776"/>
        <v>20220917</v>
      </c>
      <c r="M4164" s="1" t="str">
        <f>"142538"</f>
        <v>142538</v>
      </c>
      <c r="N4164" s="1" t="s">
        <v>95</v>
      </c>
      <c r="O4164" s="1" t="s">
        <v>28</v>
      </c>
      <c r="P4164" s="1" t="s">
        <v>55</v>
      </c>
      <c r="Q4164" s="1">
        <v>25</v>
      </c>
      <c r="R4164" s="1">
        <v>25</v>
      </c>
      <c r="S4164" s="1">
        <v>0</v>
      </c>
      <c r="T4164" s="1">
        <v>0</v>
      </c>
      <c r="U4164" s="1">
        <v>0</v>
      </c>
      <c r="V4164" s="1" t="str">
        <f>"里程返程"</f>
        <v>里程返程</v>
      </c>
      <c r="W4164" s="1" t="str">
        <f>"2020"</f>
        <v>2020</v>
      </c>
      <c r="X4164" s="1" t="s">
        <v>35</v>
      </c>
    </row>
    <row r="4165" spans="1:24" x14ac:dyDescent="0.3">
      <c r="A4165" s="1" t="str">
        <f t="shared" si="773"/>
        <v>59829</v>
      </c>
      <c r="B4165" s="1" t="s">
        <v>47</v>
      </c>
      <c r="C4165" s="1" t="s">
        <v>48</v>
      </c>
      <c r="D4165" s="1" t="str">
        <f>"9805"</f>
        <v>9805</v>
      </c>
      <c r="E4165" s="1" t="s">
        <v>57</v>
      </c>
      <c r="F4165" s="1" t="str">
        <f>"1656503345"</f>
        <v>1656503345</v>
      </c>
      <c r="G4165" s="1" t="s">
        <v>33</v>
      </c>
      <c r="H4165" s="1" t="str">
        <f t="shared" si="775"/>
        <v>20220917</v>
      </c>
      <c r="I4165" s="1" t="str">
        <f>"151923"</f>
        <v>151923</v>
      </c>
      <c r="J4165" s="1" t="s">
        <v>28</v>
      </c>
      <c r="K4165" s="1" t="s">
        <v>28</v>
      </c>
      <c r="L4165" s="1" t="str">
        <f t="shared" si="776"/>
        <v>20220917</v>
      </c>
      <c r="M4165" s="1" t="str">
        <f>"153354"</f>
        <v>153354</v>
      </c>
      <c r="N4165" s="1" t="s">
        <v>62</v>
      </c>
      <c r="O4165" s="1" t="s">
        <v>28</v>
      </c>
      <c r="P4165" s="1" t="s">
        <v>55</v>
      </c>
      <c r="Q4165" s="1">
        <v>25</v>
      </c>
      <c r="R4165" s="1">
        <v>25</v>
      </c>
      <c r="S4165" s="1">
        <v>0</v>
      </c>
      <c r="T4165" s="1">
        <v>0</v>
      </c>
      <c r="U4165" s="1">
        <v>0</v>
      </c>
      <c r="V4165" s="1" t="str">
        <f>"里程去程"</f>
        <v>里程去程</v>
      </c>
      <c r="W4165" s="1" t="str">
        <f>"0120"</f>
        <v>0120</v>
      </c>
      <c r="X4165" s="1" t="s">
        <v>35</v>
      </c>
    </row>
    <row r="4166" spans="1:24" x14ac:dyDescent="0.3">
      <c r="A4166" s="1" t="str">
        <f t="shared" si="773"/>
        <v>59829</v>
      </c>
      <c r="B4166" s="1" t="s">
        <v>47</v>
      </c>
      <c r="C4166" s="1" t="s">
        <v>48</v>
      </c>
      <c r="D4166" s="1" t="str">
        <f>"9805"</f>
        <v>9805</v>
      </c>
      <c r="E4166" s="1" t="s">
        <v>57</v>
      </c>
      <c r="F4166" s="1" t="str">
        <f>"855043381"</f>
        <v>855043381</v>
      </c>
      <c r="G4166" s="1" t="s">
        <v>33</v>
      </c>
      <c r="H4166" s="1" t="str">
        <f t="shared" si="775"/>
        <v>20220917</v>
      </c>
      <c r="I4166" s="1" t="str">
        <f>"151930"</f>
        <v>151930</v>
      </c>
      <c r="J4166" s="1" t="s">
        <v>28</v>
      </c>
      <c r="K4166" s="1" t="s">
        <v>28</v>
      </c>
      <c r="L4166" s="1" t="str">
        <f t="shared" si="776"/>
        <v>20220917</v>
      </c>
      <c r="M4166" s="1" t="str">
        <f>"153349"</f>
        <v>153349</v>
      </c>
      <c r="N4166" s="1" t="s">
        <v>62</v>
      </c>
      <c r="O4166" s="1" t="s">
        <v>28</v>
      </c>
      <c r="P4166" s="1" t="s">
        <v>55</v>
      </c>
      <c r="Q4166" s="1">
        <v>25</v>
      </c>
      <c r="R4166" s="1">
        <v>25</v>
      </c>
      <c r="S4166" s="1">
        <v>0</v>
      </c>
      <c r="T4166" s="1">
        <v>0</v>
      </c>
      <c r="U4166" s="1">
        <v>0</v>
      </c>
      <c r="V4166" s="1" t="str">
        <f>"里程去程"</f>
        <v>里程去程</v>
      </c>
      <c r="W4166" s="1" t="str">
        <f>"0320"</f>
        <v>0320</v>
      </c>
      <c r="X4166" s="1" t="s">
        <v>35</v>
      </c>
    </row>
    <row r="4167" spans="1:24" x14ac:dyDescent="0.3">
      <c r="A4167" s="1" t="str">
        <f t="shared" si="773"/>
        <v>59829</v>
      </c>
      <c r="B4167" s="1" t="s">
        <v>47</v>
      </c>
      <c r="C4167" s="1" t="s">
        <v>48</v>
      </c>
      <c r="D4167" s="1" t="str">
        <f>"9803"</f>
        <v>9803</v>
      </c>
      <c r="E4167" s="1" t="s">
        <v>32</v>
      </c>
      <c r="F4167" s="1" t="str">
        <f>"1127626993"</f>
        <v>1127626993</v>
      </c>
      <c r="G4167" s="1" t="s">
        <v>33</v>
      </c>
      <c r="H4167" s="1" t="str">
        <f t="shared" si="775"/>
        <v>20220917</v>
      </c>
      <c r="I4167" s="1" t="str">
        <f>"162310"</f>
        <v>162310</v>
      </c>
      <c r="J4167" s="1" t="s">
        <v>34</v>
      </c>
      <c r="K4167" s="1" t="s">
        <v>34</v>
      </c>
      <c r="L4167" s="1" t="str">
        <f t="shared" si="776"/>
        <v>20220917</v>
      </c>
      <c r="M4167" s="1" t="str">
        <f>"165901"</f>
        <v>165901</v>
      </c>
      <c r="N4167" s="1" t="s">
        <v>28</v>
      </c>
      <c r="O4167" s="1" t="s">
        <v>28</v>
      </c>
      <c r="P4167" s="1" t="s">
        <v>55</v>
      </c>
      <c r="Q4167" s="1">
        <v>25</v>
      </c>
      <c r="R4167" s="1">
        <v>25</v>
      </c>
      <c r="S4167" s="1">
        <v>0</v>
      </c>
      <c r="T4167" s="1">
        <v>0</v>
      </c>
      <c r="U4167" s="1">
        <v>0</v>
      </c>
      <c r="V4167" s="1" t="str">
        <f>"里程返程"</f>
        <v>里程返程</v>
      </c>
      <c r="W4167" s="1" t="str">
        <f>"2020"</f>
        <v>2020</v>
      </c>
      <c r="X4167" s="1" t="s">
        <v>35</v>
      </c>
    </row>
    <row r="4168" spans="1:24" x14ac:dyDescent="0.3">
      <c r="A4168" s="1" t="str">
        <f t="shared" si="773"/>
        <v>59829</v>
      </c>
      <c r="B4168" s="1" t="s">
        <v>47</v>
      </c>
      <c r="C4168" s="1" t="s">
        <v>48</v>
      </c>
      <c r="D4168" s="1" t="str">
        <f>"9803"</f>
        <v>9803</v>
      </c>
      <c r="E4168" s="1" t="s">
        <v>32</v>
      </c>
      <c r="F4168" s="1" t="str">
        <f>"1738741717"</f>
        <v>1738741717</v>
      </c>
      <c r="G4168" s="1" t="s">
        <v>33</v>
      </c>
      <c r="H4168" s="1" t="str">
        <f t="shared" si="775"/>
        <v>20220917</v>
      </c>
      <c r="I4168" s="1" t="str">
        <f>"162319"</f>
        <v>162319</v>
      </c>
      <c r="J4168" s="1" t="s">
        <v>34</v>
      </c>
      <c r="K4168" s="1" t="s">
        <v>34</v>
      </c>
      <c r="L4168" s="1" t="str">
        <f t="shared" si="776"/>
        <v>20220917</v>
      </c>
      <c r="M4168" s="1" t="str">
        <f>"165857"</f>
        <v>165857</v>
      </c>
      <c r="N4168" s="1" t="s">
        <v>28</v>
      </c>
      <c r="O4168" s="1" t="s">
        <v>28</v>
      </c>
      <c r="P4168" s="1" t="s">
        <v>55</v>
      </c>
      <c r="Q4168" s="1">
        <v>25</v>
      </c>
      <c r="R4168" s="1">
        <v>25</v>
      </c>
      <c r="S4168" s="1">
        <v>0</v>
      </c>
      <c r="T4168" s="1">
        <v>0</v>
      </c>
      <c r="U4168" s="1">
        <v>0</v>
      </c>
      <c r="V4168" s="1" t="str">
        <f>"里程返程"</f>
        <v>里程返程</v>
      </c>
      <c r="W4168" s="1" t="str">
        <f>"2020"</f>
        <v>2020</v>
      </c>
      <c r="X4168" s="1" t="s">
        <v>35</v>
      </c>
    </row>
    <row r="4169" spans="1:24" x14ac:dyDescent="0.3">
      <c r="A4169" s="1" t="str">
        <f t="shared" si="773"/>
        <v>59829</v>
      </c>
      <c r="B4169" s="1" t="s">
        <v>47</v>
      </c>
      <c r="C4169" s="1" t="s">
        <v>48</v>
      </c>
      <c r="D4169" s="1" t="str">
        <f>"9806"</f>
        <v>9806</v>
      </c>
      <c r="E4169" s="1" t="s">
        <v>49</v>
      </c>
      <c r="F4169" s="1" t="str">
        <f>"1725843686"</f>
        <v>1725843686</v>
      </c>
      <c r="G4169" s="1" t="s">
        <v>33</v>
      </c>
      <c r="H4169" s="1" t="str">
        <f t="shared" si="775"/>
        <v>20220917</v>
      </c>
      <c r="I4169" s="1" t="str">
        <f>"171746"</f>
        <v>171746</v>
      </c>
      <c r="J4169" s="1" t="s">
        <v>50</v>
      </c>
      <c r="K4169" s="1" t="s">
        <v>50</v>
      </c>
      <c r="L4169" s="1" t="str">
        <f t="shared" si="776"/>
        <v>20220917</v>
      </c>
      <c r="M4169" s="1" t="str">
        <f>"173757"</f>
        <v>173757</v>
      </c>
      <c r="N4169" s="1" t="s">
        <v>28</v>
      </c>
      <c r="O4169" s="1" t="s">
        <v>28</v>
      </c>
      <c r="P4169" s="1" t="s">
        <v>55</v>
      </c>
      <c r="Q4169" s="1">
        <v>25</v>
      </c>
      <c r="R4169" s="1">
        <v>25</v>
      </c>
      <c r="S4169" s="1">
        <v>0</v>
      </c>
      <c r="T4169" s="1">
        <v>0</v>
      </c>
      <c r="U4169" s="1">
        <v>0</v>
      </c>
      <c r="V4169" s="1" t="str">
        <f>"里程去程"</f>
        <v>里程去程</v>
      </c>
      <c r="W4169" s="1" t="str">
        <f>"0820"</f>
        <v>0820</v>
      </c>
      <c r="X4169" s="1" t="s">
        <v>35</v>
      </c>
    </row>
    <row r="4170" spans="1:24" x14ac:dyDescent="0.3">
      <c r="A4170" s="1" t="str">
        <f t="shared" si="773"/>
        <v>59829</v>
      </c>
      <c r="B4170" s="1" t="s">
        <v>47</v>
      </c>
      <c r="C4170" s="1" t="s">
        <v>48</v>
      </c>
      <c r="D4170" s="1" t="str">
        <f>"9806"</f>
        <v>9806</v>
      </c>
      <c r="E4170" s="1" t="s">
        <v>49</v>
      </c>
      <c r="F4170" s="1" t="str">
        <f>"1584179441"</f>
        <v>1584179441</v>
      </c>
      <c r="G4170" s="1" t="s">
        <v>33</v>
      </c>
      <c r="H4170" s="1" t="str">
        <f t="shared" si="775"/>
        <v>20220917</v>
      </c>
      <c r="I4170" s="1" t="str">
        <f>"171848"</f>
        <v>171848</v>
      </c>
      <c r="J4170" s="1" t="s">
        <v>50</v>
      </c>
      <c r="K4170" s="1" t="s">
        <v>50</v>
      </c>
      <c r="L4170" s="1" t="str">
        <f t="shared" si="776"/>
        <v>20220917</v>
      </c>
      <c r="M4170" s="1" t="str">
        <f>"173749"</f>
        <v>173749</v>
      </c>
      <c r="N4170" s="1" t="s">
        <v>28</v>
      </c>
      <c r="O4170" s="1" t="s">
        <v>28</v>
      </c>
      <c r="P4170" s="1" t="s">
        <v>55</v>
      </c>
      <c r="Q4170" s="1">
        <v>25</v>
      </c>
      <c r="R4170" s="1">
        <v>25</v>
      </c>
      <c r="S4170" s="1">
        <v>0</v>
      </c>
      <c r="T4170" s="1">
        <v>0</v>
      </c>
      <c r="U4170" s="1">
        <v>0</v>
      </c>
      <c r="V4170" s="1" t="str">
        <f>"里程去程"</f>
        <v>里程去程</v>
      </c>
      <c r="W4170" s="1" t="str">
        <f>"2020"</f>
        <v>2020</v>
      </c>
      <c r="X4170" s="1" t="s">
        <v>35</v>
      </c>
    </row>
    <row r="4171" spans="1:24" x14ac:dyDescent="0.3">
      <c r="A4171" s="1" t="str">
        <f t="shared" si="773"/>
        <v>59829</v>
      </c>
      <c r="B4171" s="1" t="s">
        <v>47</v>
      </c>
      <c r="C4171" s="1" t="s">
        <v>48</v>
      </c>
      <c r="D4171" s="1" t="str">
        <f>"9806"</f>
        <v>9806</v>
      </c>
      <c r="E4171" s="1" t="s">
        <v>49</v>
      </c>
      <c r="F4171" s="1" t="str">
        <f>"1767372529"</f>
        <v>1767372529</v>
      </c>
      <c r="G4171" s="1" t="s">
        <v>33</v>
      </c>
      <c r="H4171" s="1" t="str">
        <f t="shared" si="775"/>
        <v>20220917</v>
      </c>
      <c r="I4171" s="1" t="str">
        <f>"172645"</f>
        <v>172645</v>
      </c>
      <c r="J4171" s="1" t="s">
        <v>106</v>
      </c>
      <c r="K4171" s="1" t="s">
        <v>28</v>
      </c>
      <c r="L4171" s="1" t="str">
        <f t="shared" si="776"/>
        <v>20220917</v>
      </c>
      <c r="M4171" s="1" t="str">
        <f>"173745"</f>
        <v>173745</v>
      </c>
      <c r="N4171" s="1" t="s">
        <v>28</v>
      </c>
      <c r="O4171" s="1" t="s">
        <v>28</v>
      </c>
      <c r="P4171" s="1" t="s">
        <v>55</v>
      </c>
      <c r="Q4171" s="1">
        <v>25</v>
      </c>
      <c r="R4171" s="1">
        <v>25</v>
      </c>
      <c r="S4171" s="1">
        <v>0</v>
      </c>
      <c r="T4171" s="1">
        <v>0</v>
      </c>
      <c r="U4171" s="1">
        <v>0</v>
      </c>
      <c r="V4171" s="1" t="str">
        <f>"里程去程"</f>
        <v>里程去程</v>
      </c>
      <c r="W4171" s="1" t="str">
        <f>"0820"</f>
        <v>0820</v>
      </c>
      <c r="X4171" s="1" t="s">
        <v>35</v>
      </c>
    </row>
    <row r="4172" spans="1:24" x14ac:dyDescent="0.3">
      <c r="A4172" s="1" t="str">
        <f t="shared" si="773"/>
        <v>59829</v>
      </c>
      <c r="B4172" s="1" t="s">
        <v>47</v>
      </c>
      <c r="C4172" s="1" t="s">
        <v>48</v>
      </c>
      <c r="D4172" s="1" t="str">
        <f>"9806"</f>
        <v>9806</v>
      </c>
      <c r="E4172" s="1" t="s">
        <v>49</v>
      </c>
      <c r="F4172" s="1" t="str">
        <f>"6717161017174314"</f>
        <v>6717161017174314</v>
      </c>
      <c r="G4172" s="1" t="s">
        <v>33</v>
      </c>
      <c r="H4172" s="1" t="str">
        <f t="shared" si="775"/>
        <v>20220917</v>
      </c>
      <c r="I4172" s="1" t="str">
        <f>"172847"</f>
        <v>172847</v>
      </c>
      <c r="J4172" s="1" t="s">
        <v>106</v>
      </c>
      <c r="K4172" s="1" t="s">
        <v>28</v>
      </c>
      <c r="L4172" s="1" t="str">
        <f t="shared" si="776"/>
        <v>20220917</v>
      </c>
      <c r="M4172" s="1" t="str">
        <f>"173742"</f>
        <v>173742</v>
      </c>
      <c r="N4172" s="1" t="s">
        <v>28</v>
      </c>
      <c r="O4172" s="1" t="s">
        <v>28</v>
      </c>
      <c r="P4172" s="1" t="s">
        <v>55</v>
      </c>
      <c r="Q4172" s="1">
        <v>25</v>
      </c>
      <c r="R4172" s="1">
        <v>25</v>
      </c>
      <c r="S4172" s="1">
        <v>0</v>
      </c>
      <c r="T4172" s="1">
        <v>0</v>
      </c>
      <c r="U4172" s="1">
        <v>0</v>
      </c>
      <c r="V4172" s="1" t="str">
        <f>"里程去程"</f>
        <v>里程去程</v>
      </c>
      <c r="W4172" s="1" t="str">
        <f>"083B"</f>
        <v>083B</v>
      </c>
      <c r="X4172" s="1" t="s">
        <v>109</v>
      </c>
    </row>
    <row r="4173" spans="1:24" x14ac:dyDescent="0.3">
      <c r="A4173" s="1" t="str">
        <f t="shared" si="773"/>
        <v>59829</v>
      </c>
      <c r="B4173" s="1" t="s">
        <v>47</v>
      </c>
      <c r="C4173" s="1" t="s">
        <v>48</v>
      </c>
      <c r="D4173" s="1" t="str">
        <f>"9803"</f>
        <v>9803</v>
      </c>
      <c r="E4173" s="1" t="s">
        <v>32</v>
      </c>
      <c r="F4173" s="1" t="str">
        <f>"1031303941"</f>
        <v>1031303941</v>
      </c>
      <c r="G4173" s="1" t="s">
        <v>38</v>
      </c>
      <c r="H4173" s="1" t="str">
        <f t="shared" si="775"/>
        <v>20220917</v>
      </c>
      <c r="I4173" s="1" t="str">
        <f>"180752"</f>
        <v>180752</v>
      </c>
      <c r="J4173" s="1" t="s">
        <v>34</v>
      </c>
      <c r="K4173" s="1" t="s">
        <v>34</v>
      </c>
      <c r="L4173" s="1" t="str">
        <f t="shared" si="776"/>
        <v>20220917</v>
      </c>
      <c r="M4173" s="1" t="str">
        <f>"183708"</f>
        <v>183708</v>
      </c>
      <c r="N4173" s="1" t="s">
        <v>28</v>
      </c>
      <c r="O4173" s="1" t="s">
        <v>28</v>
      </c>
      <c r="P4173" s="1" t="s">
        <v>55</v>
      </c>
      <c r="Q4173" s="1">
        <v>25</v>
      </c>
      <c r="R4173" s="1">
        <v>25</v>
      </c>
      <c r="S4173" s="1">
        <v>0</v>
      </c>
      <c r="T4173" s="1">
        <v>0</v>
      </c>
      <c r="U4173" s="1">
        <v>0</v>
      </c>
      <c r="V4173" s="1" t="str">
        <f>"里程返程"</f>
        <v>里程返程</v>
      </c>
      <c r="W4173" s="1" t="str">
        <f>"2020"</f>
        <v>2020</v>
      </c>
      <c r="X4173" s="1" t="s">
        <v>35</v>
      </c>
    </row>
    <row r="4174" spans="1:24" x14ac:dyDescent="0.3">
      <c r="A4174" s="1" t="str">
        <f t="shared" ref="A4174:A4200" si="777">"59809"</f>
        <v>59809</v>
      </c>
      <c r="B4174" s="1" t="s">
        <v>42</v>
      </c>
      <c r="C4174" s="1" t="s">
        <v>43</v>
      </c>
      <c r="D4174" s="1" t="str">
        <f t="shared" ref="D4174:D4200" si="778">"9801"</f>
        <v>9801</v>
      </c>
      <c r="E4174" s="1" t="s">
        <v>25</v>
      </c>
      <c r="F4174" s="1" t="str">
        <f>"1480457519"</f>
        <v>1480457519</v>
      </c>
      <c r="G4174" s="1" t="s">
        <v>33</v>
      </c>
      <c r="H4174" s="1" t="str">
        <f t="shared" ref="H4174:H4237" si="779">"20220918"</f>
        <v>20220918</v>
      </c>
      <c r="I4174" s="1" t="str">
        <f>"070629"</f>
        <v>070629</v>
      </c>
      <c r="J4174" s="1" t="s">
        <v>44</v>
      </c>
      <c r="K4174" s="1" t="s">
        <v>45</v>
      </c>
      <c r="L4174" s="1" t="str">
        <f t="shared" ref="L4174:L4205" si="780">"20220918"</f>
        <v>20220918</v>
      </c>
      <c r="M4174" s="1" t="str">
        <f>"072523"</f>
        <v>072523</v>
      </c>
      <c r="N4174" s="1" t="s">
        <v>28</v>
      </c>
      <c r="O4174" s="1" t="s">
        <v>28</v>
      </c>
      <c r="P4174" s="1" t="s">
        <v>55</v>
      </c>
      <c r="Q4174" s="1">
        <v>25</v>
      </c>
      <c r="R4174" s="1">
        <v>25</v>
      </c>
      <c r="S4174" s="1">
        <v>0</v>
      </c>
      <c r="T4174" s="1">
        <v>0</v>
      </c>
      <c r="U4174" s="1">
        <v>0</v>
      </c>
      <c r="V4174" s="1" t="str">
        <f>"里程返程"</f>
        <v>里程返程</v>
      </c>
      <c r="W4174" s="1" t="str">
        <f>"2020"</f>
        <v>2020</v>
      </c>
      <c r="X4174" s="1" t="s">
        <v>35</v>
      </c>
    </row>
    <row r="4175" spans="1:24" x14ac:dyDescent="0.3">
      <c r="A4175" s="1" t="str">
        <f t="shared" si="777"/>
        <v>59809</v>
      </c>
      <c r="B4175" s="1" t="s">
        <v>42</v>
      </c>
      <c r="C4175" s="1" t="s">
        <v>43</v>
      </c>
      <c r="D4175" s="1" t="str">
        <f t="shared" si="778"/>
        <v>9801</v>
      </c>
      <c r="E4175" s="1" t="s">
        <v>25</v>
      </c>
      <c r="F4175" s="1" t="str">
        <f>"929BE602ED880400C834002000000015"</f>
        <v>929BE602ED880400C834002000000015</v>
      </c>
      <c r="G4175" s="1" t="s">
        <v>74</v>
      </c>
      <c r="H4175" s="1" t="str">
        <f t="shared" si="779"/>
        <v>20220918</v>
      </c>
      <c r="I4175" s="1" t="str">
        <f>"071747"</f>
        <v>071747</v>
      </c>
      <c r="J4175" s="1" t="s">
        <v>45</v>
      </c>
      <c r="K4175" s="1" t="s">
        <v>45</v>
      </c>
      <c r="L4175" s="1" t="str">
        <f t="shared" si="780"/>
        <v>20220918</v>
      </c>
      <c r="M4175" s="1" t="str">
        <f>"072518"</f>
        <v>072518</v>
      </c>
      <c r="N4175" s="1" t="s">
        <v>28</v>
      </c>
      <c r="O4175" s="1" t="s">
        <v>28</v>
      </c>
      <c r="P4175" s="1" t="s">
        <v>68</v>
      </c>
      <c r="Q4175" s="1">
        <v>13</v>
      </c>
      <c r="R4175" s="1">
        <v>0</v>
      </c>
      <c r="S4175" s="1">
        <v>0</v>
      </c>
      <c r="T4175" s="1">
        <v>13</v>
      </c>
      <c r="U4175" s="1">
        <v>0</v>
      </c>
      <c r="V4175" s="1" t="str">
        <f>"里程返程"</f>
        <v>里程返程</v>
      </c>
      <c r="W4175" s="1" t="str">
        <f>"0020"</f>
        <v>0020</v>
      </c>
      <c r="X4175" s="1" t="s">
        <v>29</v>
      </c>
    </row>
    <row r="4176" spans="1:24" x14ac:dyDescent="0.3">
      <c r="A4176" s="1" t="str">
        <f t="shared" si="777"/>
        <v>59809</v>
      </c>
      <c r="B4176" s="1" t="s">
        <v>42</v>
      </c>
      <c r="C4176" s="1" t="s">
        <v>43</v>
      </c>
      <c r="D4176" s="1" t="str">
        <f t="shared" si="778"/>
        <v>9801</v>
      </c>
      <c r="E4176" s="1" t="s">
        <v>25</v>
      </c>
      <c r="F4176" s="1" t="str">
        <f>"B17A7F36822804001C00000000000000"</f>
        <v>B17A7F36822804001C00000000000000</v>
      </c>
      <c r="G4176" s="1" t="s">
        <v>58</v>
      </c>
      <c r="H4176" s="1" t="str">
        <f t="shared" si="779"/>
        <v>20220918</v>
      </c>
      <c r="I4176" s="1" t="str">
        <f>"072535"</f>
        <v>072535</v>
      </c>
      <c r="J4176" s="1" t="s">
        <v>28</v>
      </c>
      <c r="K4176" s="1" t="s">
        <v>28</v>
      </c>
      <c r="L4176" s="1" t="str">
        <f t="shared" si="780"/>
        <v>20220918</v>
      </c>
      <c r="M4176" s="1" t="str">
        <f>"074504"</f>
        <v>074504</v>
      </c>
      <c r="N4176" s="1" t="s">
        <v>60</v>
      </c>
      <c r="O4176" s="1" t="s">
        <v>52</v>
      </c>
      <c r="P4176" s="1" t="s">
        <v>55</v>
      </c>
      <c r="Q4176" s="1">
        <v>25</v>
      </c>
      <c r="R4176" s="1">
        <v>25</v>
      </c>
      <c r="S4176" s="1">
        <v>0</v>
      </c>
      <c r="T4176" s="1">
        <v>0</v>
      </c>
      <c r="U4176" s="1">
        <v>0</v>
      </c>
      <c r="V4176" s="1" t="str">
        <f>"里程返程"</f>
        <v>里程返程</v>
      </c>
      <c r="W4176" s="1" t="str">
        <f>"0020"</f>
        <v>0020</v>
      </c>
      <c r="X4176" s="1" t="s">
        <v>29</v>
      </c>
    </row>
    <row r="4177" spans="1:24" x14ac:dyDescent="0.3">
      <c r="A4177" s="1" t="str">
        <f t="shared" si="777"/>
        <v>59809</v>
      </c>
      <c r="B4177" s="1" t="s">
        <v>42</v>
      </c>
      <c r="C4177" s="1" t="s">
        <v>43</v>
      </c>
      <c r="D4177" s="1" t="str">
        <f t="shared" si="778"/>
        <v>9801</v>
      </c>
      <c r="E4177" s="1" t="s">
        <v>25</v>
      </c>
      <c r="F4177" s="1" t="str">
        <f>"42720D033E880400C834002000000015"</f>
        <v>42720D033E880400C834002000000015</v>
      </c>
      <c r="G4177" s="1" t="s">
        <v>26</v>
      </c>
      <c r="H4177" s="1" t="str">
        <f t="shared" si="779"/>
        <v>20220918</v>
      </c>
      <c r="I4177" s="1" t="str">
        <f>"083849"</f>
        <v>083849</v>
      </c>
      <c r="J4177" s="1" t="s">
        <v>27</v>
      </c>
      <c r="K4177" s="1" t="s">
        <v>28</v>
      </c>
      <c r="L4177" s="1" t="str">
        <f t="shared" si="780"/>
        <v>20220918</v>
      </c>
      <c r="M4177" s="1" t="str">
        <f>"085540"</f>
        <v>085540</v>
      </c>
      <c r="N4177" s="1" t="s">
        <v>44</v>
      </c>
      <c r="O4177" s="1" t="s">
        <v>45</v>
      </c>
      <c r="P4177" s="1" t="s">
        <v>68</v>
      </c>
      <c r="Q4177" s="1">
        <v>13</v>
      </c>
      <c r="R4177" s="1">
        <v>0</v>
      </c>
      <c r="S4177" s="1">
        <v>0</v>
      </c>
      <c r="T4177" s="1">
        <v>13</v>
      </c>
      <c r="U4177" s="1">
        <v>0</v>
      </c>
      <c r="V4177" s="1" t="str">
        <f t="shared" ref="V4177:V4183" si="781">"里程去程"</f>
        <v>里程去程</v>
      </c>
      <c r="W4177" s="1" t="str">
        <f>"0020"</f>
        <v>0020</v>
      </c>
      <c r="X4177" s="1" t="s">
        <v>29</v>
      </c>
    </row>
    <row r="4178" spans="1:24" x14ac:dyDescent="0.3">
      <c r="A4178" s="1" t="str">
        <f t="shared" si="777"/>
        <v>59809</v>
      </c>
      <c r="B4178" s="1" t="s">
        <v>42</v>
      </c>
      <c r="C4178" s="1" t="s">
        <v>43</v>
      </c>
      <c r="D4178" s="1" t="str">
        <f t="shared" si="778"/>
        <v>9801</v>
      </c>
      <c r="E4178" s="1" t="s">
        <v>25</v>
      </c>
      <c r="F4178" s="1" t="str">
        <f>"1174552241"</f>
        <v>1174552241</v>
      </c>
      <c r="G4178" s="1" t="s">
        <v>33</v>
      </c>
      <c r="H4178" s="1" t="str">
        <f t="shared" si="779"/>
        <v>20220918</v>
      </c>
      <c r="I4178" s="1" t="str">
        <f>"085744"</f>
        <v>085744</v>
      </c>
      <c r="J4178" s="1" t="s">
        <v>52</v>
      </c>
      <c r="K4178" s="1" t="s">
        <v>52</v>
      </c>
      <c r="L4178" s="1" t="str">
        <f t="shared" si="780"/>
        <v>20220918</v>
      </c>
      <c r="M4178" s="1" t="str">
        <f>"092821"</f>
        <v>092821</v>
      </c>
      <c r="N4178" s="1" t="s">
        <v>70</v>
      </c>
      <c r="O4178" s="1" t="s">
        <v>28</v>
      </c>
      <c r="P4178" s="1" t="s">
        <v>55</v>
      </c>
      <c r="Q4178" s="1">
        <v>25</v>
      </c>
      <c r="R4178" s="1">
        <v>25</v>
      </c>
      <c r="S4178" s="1">
        <v>0</v>
      </c>
      <c r="T4178" s="1">
        <v>0</v>
      </c>
      <c r="U4178" s="1">
        <v>0</v>
      </c>
      <c r="V4178" s="1" t="str">
        <f t="shared" si="781"/>
        <v>里程去程</v>
      </c>
      <c r="W4178" s="1" t="str">
        <f>"2120"</f>
        <v>2120</v>
      </c>
      <c r="X4178" s="1" t="s">
        <v>35</v>
      </c>
    </row>
    <row r="4179" spans="1:24" x14ac:dyDescent="0.3">
      <c r="A4179" s="1" t="str">
        <f t="shared" si="777"/>
        <v>59809</v>
      </c>
      <c r="B4179" s="1" t="s">
        <v>42</v>
      </c>
      <c r="C4179" s="1" t="s">
        <v>43</v>
      </c>
      <c r="D4179" s="1" t="str">
        <f t="shared" si="778"/>
        <v>9801</v>
      </c>
      <c r="E4179" s="1" t="s">
        <v>25</v>
      </c>
      <c r="F4179" s="1" t="str">
        <f>"1225696177"</f>
        <v>1225696177</v>
      </c>
      <c r="G4179" s="1" t="s">
        <v>33</v>
      </c>
      <c r="H4179" s="1" t="str">
        <f t="shared" si="779"/>
        <v>20220918</v>
      </c>
      <c r="I4179" s="1" t="str">
        <f>"092845"</f>
        <v>092845</v>
      </c>
      <c r="J4179" s="1" t="s">
        <v>27</v>
      </c>
      <c r="K4179" s="1" t="s">
        <v>28</v>
      </c>
      <c r="L4179" s="1" t="str">
        <f t="shared" si="780"/>
        <v>20220918</v>
      </c>
      <c r="M4179" s="1" t="str">
        <f>"094534"</f>
        <v>094534</v>
      </c>
      <c r="N4179" s="1" t="s">
        <v>45</v>
      </c>
      <c r="O4179" s="1" t="s">
        <v>45</v>
      </c>
      <c r="P4179" s="1" t="s">
        <v>55</v>
      </c>
      <c r="Q4179" s="1">
        <v>25</v>
      </c>
      <c r="R4179" s="1">
        <v>25</v>
      </c>
      <c r="S4179" s="1">
        <v>0</v>
      </c>
      <c r="T4179" s="1">
        <v>0</v>
      </c>
      <c r="U4179" s="1">
        <v>0</v>
      </c>
      <c r="V4179" s="1" t="str">
        <f t="shared" si="781"/>
        <v>里程去程</v>
      </c>
      <c r="W4179" s="1" t="str">
        <f>"1420"</f>
        <v>1420</v>
      </c>
      <c r="X4179" s="1" t="s">
        <v>35</v>
      </c>
    </row>
    <row r="4180" spans="1:24" x14ac:dyDescent="0.3">
      <c r="A4180" s="1" t="str">
        <f t="shared" si="777"/>
        <v>59809</v>
      </c>
      <c r="B4180" s="1" t="s">
        <v>42</v>
      </c>
      <c r="C4180" s="1" t="s">
        <v>43</v>
      </c>
      <c r="D4180" s="1" t="str">
        <f t="shared" si="778"/>
        <v>9801</v>
      </c>
      <c r="E4180" s="1" t="s">
        <v>25</v>
      </c>
      <c r="F4180" s="1" t="str">
        <f>"1342938097"</f>
        <v>1342938097</v>
      </c>
      <c r="G4180" s="1" t="s">
        <v>33</v>
      </c>
      <c r="H4180" s="1" t="str">
        <f t="shared" si="779"/>
        <v>20220918</v>
      </c>
      <c r="I4180" s="1" t="str">
        <f>"092848"</f>
        <v>092848</v>
      </c>
      <c r="J4180" s="1" t="s">
        <v>27</v>
      </c>
      <c r="K4180" s="1" t="s">
        <v>28</v>
      </c>
      <c r="L4180" s="1" t="str">
        <f t="shared" si="780"/>
        <v>20220918</v>
      </c>
      <c r="M4180" s="1" t="str">
        <f>"094531"</f>
        <v>094531</v>
      </c>
      <c r="N4180" s="1" t="s">
        <v>45</v>
      </c>
      <c r="O4180" s="1" t="s">
        <v>45</v>
      </c>
      <c r="P4180" s="1" t="s">
        <v>55</v>
      </c>
      <c r="Q4180" s="1">
        <v>25</v>
      </c>
      <c r="R4180" s="1">
        <v>25</v>
      </c>
      <c r="S4180" s="1">
        <v>0</v>
      </c>
      <c r="T4180" s="1">
        <v>0</v>
      </c>
      <c r="U4180" s="1">
        <v>0</v>
      </c>
      <c r="V4180" s="1" t="str">
        <f t="shared" si="781"/>
        <v>里程去程</v>
      </c>
      <c r="W4180" s="1" t="str">
        <f>"1420"</f>
        <v>1420</v>
      </c>
      <c r="X4180" s="1" t="s">
        <v>35</v>
      </c>
    </row>
    <row r="4181" spans="1:24" x14ac:dyDescent="0.3">
      <c r="A4181" s="1" t="str">
        <f t="shared" si="777"/>
        <v>59809</v>
      </c>
      <c r="B4181" s="1" t="s">
        <v>42</v>
      </c>
      <c r="C4181" s="1" t="s">
        <v>43</v>
      </c>
      <c r="D4181" s="1" t="str">
        <f t="shared" si="778"/>
        <v>9801</v>
      </c>
      <c r="E4181" s="1" t="s">
        <v>25</v>
      </c>
      <c r="F4181" s="1" t="str">
        <f>"139676709"</f>
        <v>139676709</v>
      </c>
      <c r="G4181" s="1" t="s">
        <v>33</v>
      </c>
      <c r="H4181" s="1" t="str">
        <f t="shared" si="779"/>
        <v>20220918</v>
      </c>
      <c r="I4181" s="1" t="str">
        <f>"092855"</f>
        <v>092855</v>
      </c>
      <c r="J4181" s="1" t="s">
        <v>27</v>
      </c>
      <c r="K4181" s="1" t="s">
        <v>28</v>
      </c>
      <c r="L4181" s="1" t="str">
        <f t="shared" si="780"/>
        <v>20220918</v>
      </c>
      <c r="M4181" s="1" t="str">
        <f>"094740"</f>
        <v>094740</v>
      </c>
      <c r="N4181" s="1" t="s">
        <v>61</v>
      </c>
      <c r="O4181" s="1" t="s">
        <v>45</v>
      </c>
      <c r="P4181" s="1" t="s">
        <v>55</v>
      </c>
      <c r="Q4181" s="1">
        <v>25</v>
      </c>
      <c r="R4181" s="1">
        <v>25</v>
      </c>
      <c r="S4181" s="1">
        <v>0</v>
      </c>
      <c r="T4181" s="1">
        <v>0</v>
      </c>
      <c r="U4181" s="1">
        <v>0</v>
      </c>
      <c r="V4181" s="1" t="str">
        <f t="shared" si="781"/>
        <v>里程去程</v>
      </c>
      <c r="W4181" s="1" t="str">
        <f>"2120"</f>
        <v>2120</v>
      </c>
      <c r="X4181" s="1" t="s">
        <v>35</v>
      </c>
    </row>
    <row r="4182" spans="1:24" x14ac:dyDescent="0.3">
      <c r="A4182" s="1" t="str">
        <f t="shared" si="777"/>
        <v>59809</v>
      </c>
      <c r="B4182" s="1" t="s">
        <v>42</v>
      </c>
      <c r="C4182" s="1" t="s">
        <v>43</v>
      </c>
      <c r="D4182" s="1" t="str">
        <f t="shared" si="778"/>
        <v>9801</v>
      </c>
      <c r="E4182" s="1" t="s">
        <v>25</v>
      </c>
      <c r="F4182" s="1" t="str">
        <f>"1716949589"</f>
        <v>1716949589</v>
      </c>
      <c r="G4182" s="1" t="s">
        <v>33</v>
      </c>
      <c r="H4182" s="1" t="str">
        <f t="shared" si="779"/>
        <v>20220918</v>
      </c>
      <c r="I4182" s="1" t="str">
        <f>"093207"</f>
        <v>093207</v>
      </c>
      <c r="J4182" s="1" t="s">
        <v>27</v>
      </c>
      <c r="K4182" s="1" t="s">
        <v>28</v>
      </c>
      <c r="L4182" s="1" t="str">
        <f t="shared" si="780"/>
        <v>20220918</v>
      </c>
      <c r="M4182" s="1" t="str">
        <f>"094542"</f>
        <v>094542</v>
      </c>
      <c r="N4182" s="1" t="s">
        <v>45</v>
      </c>
      <c r="O4182" s="1" t="s">
        <v>45</v>
      </c>
      <c r="P4182" s="1" t="s">
        <v>55</v>
      </c>
      <c r="Q4182" s="1">
        <v>25</v>
      </c>
      <c r="R4182" s="1">
        <v>25</v>
      </c>
      <c r="S4182" s="1">
        <v>0</v>
      </c>
      <c r="T4182" s="1">
        <v>0</v>
      </c>
      <c r="U4182" s="1">
        <v>0</v>
      </c>
      <c r="V4182" s="1" t="str">
        <f t="shared" si="781"/>
        <v>里程去程</v>
      </c>
      <c r="W4182" s="1" t="str">
        <f>"0120"</f>
        <v>0120</v>
      </c>
      <c r="X4182" s="1" t="s">
        <v>35</v>
      </c>
    </row>
    <row r="4183" spans="1:24" x14ac:dyDescent="0.3">
      <c r="A4183" s="1" t="str">
        <f t="shared" si="777"/>
        <v>59809</v>
      </c>
      <c r="B4183" s="1" t="s">
        <v>42</v>
      </c>
      <c r="C4183" s="1" t="s">
        <v>43</v>
      </c>
      <c r="D4183" s="1" t="str">
        <f t="shared" si="778"/>
        <v>9801</v>
      </c>
      <c r="E4183" s="1" t="s">
        <v>25</v>
      </c>
      <c r="F4183" s="1" t="str">
        <f>"4202467196"</f>
        <v>4202467196</v>
      </c>
      <c r="G4183" s="1" t="s">
        <v>26</v>
      </c>
      <c r="H4183" s="1" t="str">
        <f t="shared" si="779"/>
        <v>20220918</v>
      </c>
      <c r="I4183" s="1" t="str">
        <f>"093521"</f>
        <v>093521</v>
      </c>
      <c r="J4183" s="1" t="s">
        <v>27</v>
      </c>
      <c r="K4183" s="1" t="s">
        <v>28</v>
      </c>
      <c r="L4183" s="1" t="str">
        <f t="shared" si="780"/>
        <v>20220918</v>
      </c>
      <c r="M4183" s="1" t="str">
        <f>"095551"</f>
        <v>095551</v>
      </c>
      <c r="N4183" s="1" t="s">
        <v>44</v>
      </c>
      <c r="O4183" s="1" t="s">
        <v>45</v>
      </c>
      <c r="P4183" s="1" t="s">
        <v>55</v>
      </c>
      <c r="Q4183" s="1">
        <v>13</v>
      </c>
      <c r="R4183" s="1">
        <v>13</v>
      </c>
      <c r="S4183" s="1">
        <v>0</v>
      </c>
      <c r="T4183" s="1">
        <v>0</v>
      </c>
      <c r="U4183" s="1">
        <v>0</v>
      </c>
      <c r="V4183" s="1" t="str">
        <f t="shared" si="781"/>
        <v>里程去程</v>
      </c>
      <c r="W4183" s="1" t="str">
        <f>"2120"</f>
        <v>2120</v>
      </c>
      <c r="X4183" s="1" t="s">
        <v>35</v>
      </c>
    </row>
    <row r="4184" spans="1:24" x14ac:dyDescent="0.3">
      <c r="A4184" s="1" t="str">
        <f t="shared" si="777"/>
        <v>59809</v>
      </c>
      <c r="B4184" s="1" t="s">
        <v>42</v>
      </c>
      <c r="C4184" s="1" t="s">
        <v>43</v>
      </c>
      <c r="D4184" s="1" t="str">
        <f t="shared" si="778"/>
        <v>9801</v>
      </c>
      <c r="E4184" s="1" t="s">
        <v>25</v>
      </c>
      <c r="F4184" s="1" t="str">
        <f>"924713362"</f>
        <v>924713362</v>
      </c>
      <c r="G4184" s="1" t="s">
        <v>33</v>
      </c>
      <c r="H4184" s="1" t="str">
        <f t="shared" si="779"/>
        <v>20220918</v>
      </c>
      <c r="I4184" s="1" t="str">
        <f>"123016"</f>
        <v>123016</v>
      </c>
      <c r="J4184" s="1" t="s">
        <v>44</v>
      </c>
      <c r="K4184" s="1" t="s">
        <v>45</v>
      </c>
      <c r="L4184" s="1" t="str">
        <f t="shared" si="780"/>
        <v>20220918</v>
      </c>
      <c r="M4184" s="1" t="str">
        <f>"125259"</f>
        <v>125259</v>
      </c>
      <c r="N4184" s="1" t="s">
        <v>28</v>
      </c>
      <c r="O4184" s="1" t="s">
        <v>28</v>
      </c>
      <c r="P4184" s="1" t="s">
        <v>55</v>
      </c>
      <c r="Q4184" s="1">
        <v>25</v>
      </c>
      <c r="R4184" s="1">
        <v>0</v>
      </c>
      <c r="S4184" s="1">
        <v>25</v>
      </c>
      <c r="T4184" s="1">
        <v>0</v>
      </c>
      <c r="U4184" s="1">
        <v>0</v>
      </c>
      <c r="V4184" s="1" t="str">
        <f t="shared" ref="V4184:V4200" si="782">"里程返程"</f>
        <v>里程返程</v>
      </c>
      <c r="W4184" s="1" t="str">
        <f>"2120"</f>
        <v>2120</v>
      </c>
      <c r="X4184" s="1" t="s">
        <v>35</v>
      </c>
    </row>
    <row r="4185" spans="1:24" x14ac:dyDescent="0.3">
      <c r="A4185" s="1" t="str">
        <f t="shared" si="777"/>
        <v>59809</v>
      </c>
      <c r="B4185" s="1" t="s">
        <v>42</v>
      </c>
      <c r="C4185" s="1" t="s">
        <v>43</v>
      </c>
      <c r="D4185" s="1" t="str">
        <f t="shared" si="778"/>
        <v>9801</v>
      </c>
      <c r="E4185" s="1" t="s">
        <v>25</v>
      </c>
      <c r="F4185" s="1" t="str">
        <f>"D0DA285D7F880400468F751241202411"</f>
        <v>D0DA285D7F880400468F751241202411</v>
      </c>
      <c r="G4185" s="1" t="s">
        <v>58</v>
      </c>
      <c r="H4185" s="1" t="str">
        <f t="shared" si="779"/>
        <v>20220918</v>
      </c>
      <c r="I4185" s="1" t="str">
        <f>"123019"</f>
        <v>123019</v>
      </c>
      <c r="J4185" s="1" t="s">
        <v>44</v>
      </c>
      <c r="K4185" s="1" t="s">
        <v>45</v>
      </c>
      <c r="L4185" s="1" t="str">
        <f t="shared" si="780"/>
        <v>20220918</v>
      </c>
      <c r="M4185" s="1" t="str">
        <f>"125255"</f>
        <v>125255</v>
      </c>
      <c r="N4185" s="1" t="s">
        <v>28</v>
      </c>
      <c r="O4185" s="1" t="s">
        <v>28</v>
      </c>
      <c r="P4185" s="1" t="s">
        <v>55</v>
      </c>
      <c r="Q4185" s="1">
        <v>25</v>
      </c>
      <c r="R4185" s="1">
        <v>0</v>
      </c>
      <c r="S4185" s="1">
        <v>25</v>
      </c>
      <c r="T4185" s="1">
        <v>0</v>
      </c>
      <c r="U4185" s="1">
        <v>0</v>
      </c>
      <c r="V4185" s="1" t="str">
        <f t="shared" si="782"/>
        <v>里程返程</v>
      </c>
      <c r="W4185" s="1" t="str">
        <f>"1120"</f>
        <v>1120</v>
      </c>
      <c r="X4185" s="1" t="s">
        <v>29</v>
      </c>
    </row>
    <row r="4186" spans="1:24" x14ac:dyDescent="0.3">
      <c r="A4186" s="1" t="str">
        <f t="shared" si="777"/>
        <v>59809</v>
      </c>
      <c r="B4186" s="1" t="s">
        <v>42</v>
      </c>
      <c r="C4186" s="1" t="s">
        <v>43</v>
      </c>
      <c r="D4186" s="1" t="str">
        <f t="shared" si="778"/>
        <v>9801</v>
      </c>
      <c r="E4186" s="1" t="s">
        <v>25</v>
      </c>
      <c r="F4186" s="1" t="str">
        <f>"788291681"</f>
        <v>788291681</v>
      </c>
      <c r="G4186" s="1" t="s">
        <v>33</v>
      </c>
      <c r="H4186" s="1" t="str">
        <f t="shared" si="779"/>
        <v>20220918</v>
      </c>
      <c r="I4186" s="1" t="str">
        <f>"123823"</f>
        <v>123823</v>
      </c>
      <c r="J4186" s="1" t="s">
        <v>75</v>
      </c>
      <c r="K4186" s="1" t="s">
        <v>45</v>
      </c>
      <c r="L4186" s="1" t="str">
        <f t="shared" si="780"/>
        <v>20220918</v>
      </c>
      <c r="M4186" s="1" t="str">
        <f>"125309"</f>
        <v>125309</v>
      </c>
      <c r="N4186" s="1" t="s">
        <v>28</v>
      </c>
      <c r="O4186" s="1" t="s">
        <v>28</v>
      </c>
      <c r="P4186" s="1" t="s">
        <v>55</v>
      </c>
      <c r="Q4186" s="1">
        <v>25</v>
      </c>
      <c r="R4186" s="1">
        <v>25</v>
      </c>
      <c r="S4186" s="1">
        <v>0</v>
      </c>
      <c r="T4186" s="1">
        <v>0</v>
      </c>
      <c r="U4186" s="1">
        <v>0</v>
      </c>
      <c r="V4186" s="1" t="str">
        <f t="shared" si="782"/>
        <v>里程返程</v>
      </c>
      <c r="W4186" s="1" t="str">
        <f>"0220"</f>
        <v>0220</v>
      </c>
      <c r="X4186" s="1" t="s">
        <v>35</v>
      </c>
    </row>
    <row r="4187" spans="1:24" x14ac:dyDescent="0.3">
      <c r="A4187" s="1" t="str">
        <f t="shared" si="777"/>
        <v>59809</v>
      </c>
      <c r="B4187" s="1" t="s">
        <v>42</v>
      </c>
      <c r="C4187" s="1" t="s">
        <v>43</v>
      </c>
      <c r="D4187" s="1" t="str">
        <f t="shared" si="778"/>
        <v>9801</v>
      </c>
      <c r="E4187" s="1" t="s">
        <v>25</v>
      </c>
      <c r="F4187" s="1" t="str">
        <f>"1598579921"</f>
        <v>1598579921</v>
      </c>
      <c r="G4187" s="1" t="s">
        <v>33</v>
      </c>
      <c r="H4187" s="1" t="str">
        <f t="shared" si="779"/>
        <v>20220918</v>
      </c>
      <c r="I4187" s="1" t="str">
        <f>"123828"</f>
        <v>123828</v>
      </c>
      <c r="J4187" s="1" t="s">
        <v>75</v>
      </c>
      <c r="K4187" s="1" t="s">
        <v>45</v>
      </c>
      <c r="L4187" s="1" t="str">
        <f t="shared" si="780"/>
        <v>20220918</v>
      </c>
      <c r="M4187" s="1" t="str">
        <f>"125304"</f>
        <v>125304</v>
      </c>
      <c r="N4187" s="1" t="s">
        <v>28</v>
      </c>
      <c r="O4187" s="1" t="s">
        <v>28</v>
      </c>
      <c r="P4187" s="1" t="s">
        <v>55</v>
      </c>
      <c r="Q4187" s="1">
        <v>25</v>
      </c>
      <c r="R4187" s="1">
        <v>25</v>
      </c>
      <c r="S4187" s="1">
        <v>0</v>
      </c>
      <c r="T4187" s="1">
        <v>0</v>
      </c>
      <c r="U4187" s="1">
        <v>0</v>
      </c>
      <c r="V4187" s="1" t="str">
        <f t="shared" si="782"/>
        <v>里程返程</v>
      </c>
      <c r="W4187" s="1" t="str">
        <f>"0320"</f>
        <v>0320</v>
      </c>
      <c r="X4187" s="1" t="s">
        <v>35</v>
      </c>
    </row>
    <row r="4188" spans="1:24" x14ac:dyDescent="0.3">
      <c r="A4188" s="1" t="str">
        <f t="shared" si="777"/>
        <v>59809</v>
      </c>
      <c r="B4188" s="1" t="s">
        <v>42</v>
      </c>
      <c r="C4188" s="1" t="s">
        <v>43</v>
      </c>
      <c r="D4188" s="1" t="str">
        <f t="shared" si="778"/>
        <v>9801</v>
      </c>
      <c r="E4188" s="1" t="s">
        <v>25</v>
      </c>
      <c r="F4188" s="1" t="str">
        <f>"540097441"</f>
        <v>540097441</v>
      </c>
      <c r="G4188" s="1" t="s">
        <v>26</v>
      </c>
      <c r="H4188" s="1" t="str">
        <f t="shared" si="779"/>
        <v>20220918</v>
      </c>
      <c r="I4188" s="1" t="str">
        <f>"144149"</f>
        <v>144149</v>
      </c>
      <c r="J4188" s="1" t="s">
        <v>45</v>
      </c>
      <c r="K4188" s="1" t="s">
        <v>45</v>
      </c>
      <c r="L4188" s="1" t="str">
        <f t="shared" si="780"/>
        <v>20220918</v>
      </c>
      <c r="M4188" s="1" t="str">
        <f>"145116"</f>
        <v>145116</v>
      </c>
      <c r="N4188" s="1" t="s">
        <v>28</v>
      </c>
      <c r="O4188" s="1" t="s">
        <v>28</v>
      </c>
      <c r="P4188" s="1" t="s">
        <v>55</v>
      </c>
      <c r="Q4188" s="1">
        <v>13</v>
      </c>
      <c r="R4188" s="1">
        <v>0</v>
      </c>
      <c r="S4188" s="1">
        <v>13</v>
      </c>
      <c r="T4188" s="1">
        <v>0</v>
      </c>
      <c r="U4188" s="1">
        <v>0</v>
      </c>
      <c r="V4188" s="1" t="str">
        <f t="shared" si="782"/>
        <v>里程返程</v>
      </c>
      <c r="W4188" s="1" t="str">
        <f>"2020"</f>
        <v>2020</v>
      </c>
      <c r="X4188" s="1" t="s">
        <v>35</v>
      </c>
    </row>
    <row r="4189" spans="1:24" x14ac:dyDescent="0.3">
      <c r="A4189" s="1" t="str">
        <f t="shared" si="777"/>
        <v>59809</v>
      </c>
      <c r="B4189" s="1" t="s">
        <v>42</v>
      </c>
      <c r="C4189" s="1" t="s">
        <v>43</v>
      </c>
      <c r="D4189" s="1" t="str">
        <f t="shared" si="778"/>
        <v>9801</v>
      </c>
      <c r="E4189" s="1" t="s">
        <v>25</v>
      </c>
      <c r="F4189" s="1" t="str">
        <f>"1390089377"</f>
        <v>1390089377</v>
      </c>
      <c r="G4189" s="1" t="s">
        <v>26</v>
      </c>
      <c r="H4189" s="1" t="str">
        <f t="shared" si="779"/>
        <v>20220918</v>
      </c>
      <c r="I4189" s="1" t="str">
        <f>"144152"</f>
        <v>144152</v>
      </c>
      <c r="J4189" s="1" t="s">
        <v>45</v>
      </c>
      <c r="K4189" s="1" t="s">
        <v>45</v>
      </c>
      <c r="L4189" s="1" t="str">
        <f t="shared" si="780"/>
        <v>20220918</v>
      </c>
      <c r="M4189" s="1" t="str">
        <f>"145113"</f>
        <v>145113</v>
      </c>
      <c r="N4189" s="1" t="s">
        <v>28</v>
      </c>
      <c r="O4189" s="1" t="s">
        <v>28</v>
      </c>
      <c r="P4189" s="1" t="s">
        <v>55</v>
      </c>
      <c r="Q4189" s="1">
        <v>13</v>
      </c>
      <c r="R4189" s="1">
        <v>0</v>
      </c>
      <c r="S4189" s="1">
        <v>13</v>
      </c>
      <c r="T4189" s="1">
        <v>0</v>
      </c>
      <c r="U4189" s="1">
        <v>0</v>
      </c>
      <c r="V4189" s="1" t="str">
        <f t="shared" si="782"/>
        <v>里程返程</v>
      </c>
      <c r="W4189" s="1" t="str">
        <f>"2020"</f>
        <v>2020</v>
      </c>
      <c r="X4189" s="1" t="s">
        <v>35</v>
      </c>
    </row>
    <row r="4190" spans="1:24" x14ac:dyDescent="0.3">
      <c r="A4190" s="1" t="str">
        <f t="shared" si="777"/>
        <v>59809</v>
      </c>
      <c r="B4190" s="1" t="s">
        <v>42</v>
      </c>
      <c r="C4190" s="1" t="s">
        <v>43</v>
      </c>
      <c r="D4190" s="1" t="str">
        <f t="shared" si="778"/>
        <v>9801</v>
      </c>
      <c r="E4190" s="1" t="s">
        <v>25</v>
      </c>
      <c r="F4190" s="1" t="str">
        <f>"813804497"</f>
        <v>813804497</v>
      </c>
      <c r="G4190" s="1" t="s">
        <v>33</v>
      </c>
      <c r="H4190" s="1" t="str">
        <f t="shared" si="779"/>
        <v>20220918</v>
      </c>
      <c r="I4190" s="1" t="str">
        <f>"145253"</f>
        <v>145253</v>
      </c>
      <c r="J4190" s="1" t="s">
        <v>28</v>
      </c>
      <c r="K4190" s="1" t="s">
        <v>28</v>
      </c>
      <c r="L4190" s="1" t="str">
        <f t="shared" si="780"/>
        <v>20220918</v>
      </c>
      <c r="M4190" s="1" t="str">
        <f>"152256"</f>
        <v>152256</v>
      </c>
      <c r="N4190" s="1" t="s">
        <v>52</v>
      </c>
      <c r="O4190" s="1" t="s">
        <v>52</v>
      </c>
      <c r="P4190" s="1" t="s">
        <v>55</v>
      </c>
      <c r="Q4190" s="1">
        <v>25</v>
      </c>
      <c r="R4190" s="1">
        <v>25</v>
      </c>
      <c r="S4190" s="1">
        <v>0</v>
      </c>
      <c r="T4190" s="1">
        <v>0</v>
      </c>
      <c r="U4190" s="1">
        <v>0</v>
      </c>
      <c r="V4190" s="1" t="str">
        <f t="shared" si="782"/>
        <v>里程返程</v>
      </c>
      <c r="W4190" s="1" t="str">
        <f>"2520"</f>
        <v>2520</v>
      </c>
      <c r="X4190" s="1" t="s">
        <v>35</v>
      </c>
    </row>
    <row r="4191" spans="1:24" x14ac:dyDescent="0.3">
      <c r="A4191" s="1" t="str">
        <f t="shared" si="777"/>
        <v>59809</v>
      </c>
      <c r="B4191" s="1" t="s">
        <v>42</v>
      </c>
      <c r="C4191" s="1" t="s">
        <v>43</v>
      </c>
      <c r="D4191" s="1" t="str">
        <f t="shared" si="778"/>
        <v>9801</v>
      </c>
      <c r="E4191" s="1" t="s">
        <v>25</v>
      </c>
      <c r="F4191" s="1" t="str">
        <f>"1631444229"</f>
        <v>1631444229</v>
      </c>
      <c r="G4191" s="1" t="s">
        <v>33</v>
      </c>
      <c r="H4191" s="1" t="str">
        <f t="shared" si="779"/>
        <v>20220918</v>
      </c>
      <c r="I4191" s="1" t="str">
        <f>"145255"</f>
        <v>145255</v>
      </c>
      <c r="J4191" s="1" t="s">
        <v>28</v>
      </c>
      <c r="K4191" s="1" t="s">
        <v>28</v>
      </c>
      <c r="L4191" s="1" t="str">
        <f t="shared" si="780"/>
        <v>20220918</v>
      </c>
      <c r="M4191" s="1" t="str">
        <f>"152259"</f>
        <v>152259</v>
      </c>
      <c r="N4191" s="1" t="s">
        <v>52</v>
      </c>
      <c r="O4191" s="1" t="s">
        <v>52</v>
      </c>
      <c r="P4191" s="1" t="s">
        <v>55</v>
      </c>
      <c r="Q4191" s="1">
        <v>25</v>
      </c>
      <c r="R4191" s="1">
        <v>25</v>
      </c>
      <c r="S4191" s="1">
        <v>0</v>
      </c>
      <c r="T4191" s="1">
        <v>0</v>
      </c>
      <c r="U4191" s="1">
        <v>0</v>
      </c>
      <c r="V4191" s="1" t="str">
        <f t="shared" si="782"/>
        <v>里程返程</v>
      </c>
      <c r="W4191" s="1" t="str">
        <f>"0820"</f>
        <v>0820</v>
      </c>
      <c r="X4191" s="1" t="s">
        <v>35</v>
      </c>
    </row>
    <row r="4192" spans="1:24" x14ac:dyDescent="0.3">
      <c r="A4192" s="1" t="str">
        <f t="shared" si="777"/>
        <v>59809</v>
      </c>
      <c r="B4192" s="1" t="s">
        <v>42</v>
      </c>
      <c r="C4192" s="1" t="s">
        <v>43</v>
      </c>
      <c r="D4192" s="1" t="str">
        <f t="shared" si="778"/>
        <v>9801</v>
      </c>
      <c r="E4192" s="1" t="s">
        <v>25</v>
      </c>
      <c r="F4192" s="1" t="str">
        <f>"2010470048"</f>
        <v>2010470048</v>
      </c>
      <c r="G4192" s="1" t="s">
        <v>33</v>
      </c>
      <c r="H4192" s="1" t="str">
        <f t="shared" si="779"/>
        <v>20220918</v>
      </c>
      <c r="I4192" s="1" t="str">
        <f>"145300"</f>
        <v>145300</v>
      </c>
      <c r="J4192" s="1" t="s">
        <v>28</v>
      </c>
      <c r="K4192" s="1" t="s">
        <v>28</v>
      </c>
      <c r="L4192" s="1" t="str">
        <f t="shared" si="780"/>
        <v>20220918</v>
      </c>
      <c r="M4192" s="1" t="str">
        <f>"152251"</f>
        <v>152251</v>
      </c>
      <c r="N4192" s="1" t="s">
        <v>52</v>
      </c>
      <c r="O4192" s="1" t="s">
        <v>52</v>
      </c>
      <c r="P4192" s="1" t="s">
        <v>55</v>
      </c>
      <c r="Q4192" s="1">
        <v>25</v>
      </c>
      <c r="R4192" s="1">
        <v>25</v>
      </c>
      <c r="S4192" s="1">
        <v>0</v>
      </c>
      <c r="T4192" s="1">
        <v>0</v>
      </c>
      <c r="U4192" s="1">
        <v>0</v>
      </c>
      <c r="V4192" s="1" t="str">
        <f t="shared" si="782"/>
        <v>里程返程</v>
      </c>
      <c r="W4192" s="1" t="str">
        <f>"0620"</f>
        <v>0620</v>
      </c>
      <c r="X4192" s="1" t="s">
        <v>35</v>
      </c>
    </row>
    <row r="4193" spans="1:24" x14ac:dyDescent="0.3">
      <c r="A4193" s="1" t="str">
        <f t="shared" si="777"/>
        <v>59809</v>
      </c>
      <c r="B4193" s="1" t="s">
        <v>42</v>
      </c>
      <c r="C4193" s="1" t="s">
        <v>43</v>
      </c>
      <c r="D4193" s="1" t="str">
        <f t="shared" si="778"/>
        <v>9801</v>
      </c>
      <c r="E4193" s="1" t="s">
        <v>25</v>
      </c>
      <c r="F4193" s="1" t="str">
        <f>"95A9AD0A9B180200D200000C22400417"</f>
        <v>95A9AD0A9B180200D200000C22400417</v>
      </c>
      <c r="G4193" s="1" t="s">
        <v>58</v>
      </c>
      <c r="H4193" s="1" t="str">
        <f t="shared" si="779"/>
        <v>20220918</v>
      </c>
      <c r="I4193" s="1" t="str">
        <f>"155031"</f>
        <v>155031</v>
      </c>
      <c r="J4193" s="1" t="s">
        <v>28</v>
      </c>
      <c r="K4193" s="1" t="s">
        <v>28</v>
      </c>
      <c r="L4193" s="1" t="str">
        <f t="shared" si="780"/>
        <v>20220918</v>
      </c>
      <c r="M4193" s="1" t="str">
        <f>"162729"</f>
        <v>162729</v>
      </c>
      <c r="N4193" s="1" t="s">
        <v>52</v>
      </c>
      <c r="O4193" s="1" t="s">
        <v>52</v>
      </c>
      <c r="P4193" s="1" t="s">
        <v>55</v>
      </c>
      <c r="Q4193" s="1">
        <v>25</v>
      </c>
      <c r="R4193" s="1">
        <v>25</v>
      </c>
      <c r="S4193" s="1">
        <v>0</v>
      </c>
      <c r="T4193" s="1">
        <v>0</v>
      </c>
      <c r="U4193" s="1">
        <v>0</v>
      </c>
      <c r="V4193" s="1" t="str">
        <f t="shared" si="782"/>
        <v>里程返程</v>
      </c>
      <c r="W4193" s="1" t="str">
        <f>"0020"</f>
        <v>0020</v>
      </c>
      <c r="X4193" s="1" t="s">
        <v>29</v>
      </c>
    </row>
    <row r="4194" spans="1:24" x14ac:dyDescent="0.3">
      <c r="A4194" s="1" t="str">
        <f t="shared" si="777"/>
        <v>59809</v>
      </c>
      <c r="B4194" s="1" t="s">
        <v>42</v>
      </c>
      <c r="C4194" s="1" t="s">
        <v>43</v>
      </c>
      <c r="D4194" s="1" t="str">
        <f t="shared" si="778"/>
        <v>9801</v>
      </c>
      <c r="E4194" s="1" t="s">
        <v>25</v>
      </c>
      <c r="F4194" s="1" t="str">
        <f>"170D28DCEE880400432537E50019030F"</f>
        <v>170D28DCEE880400432537E50019030F</v>
      </c>
      <c r="G4194" s="1" t="s">
        <v>58</v>
      </c>
      <c r="H4194" s="1" t="str">
        <f t="shared" si="779"/>
        <v>20220918</v>
      </c>
      <c r="I4194" s="1" t="str">
        <f>"155049"</f>
        <v>155049</v>
      </c>
      <c r="J4194" s="1" t="s">
        <v>28</v>
      </c>
      <c r="K4194" s="1" t="s">
        <v>28</v>
      </c>
      <c r="L4194" s="1" t="str">
        <f t="shared" si="780"/>
        <v>20220918</v>
      </c>
      <c r="M4194" s="1" t="str">
        <f>"162110"</f>
        <v>162110</v>
      </c>
      <c r="N4194" s="1" t="s">
        <v>60</v>
      </c>
      <c r="O4194" s="1" t="s">
        <v>52</v>
      </c>
      <c r="P4194" s="1" t="s">
        <v>55</v>
      </c>
      <c r="Q4194" s="1">
        <v>25</v>
      </c>
      <c r="R4194" s="1">
        <v>25</v>
      </c>
      <c r="S4194" s="1">
        <v>0</v>
      </c>
      <c r="T4194" s="1">
        <v>0</v>
      </c>
      <c r="U4194" s="1">
        <v>0</v>
      </c>
      <c r="V4194" s="1" t="str">
        <f t="shared" si="782"/>
        <v>里程返程</v>
      </c>
      <c r="W4194" s="1" t="str">
        <f>"0020"</f>
        <v>0020</v>
      </c>
      <c r="X4194" s="1" t="s">
        <v>29</v>
      </c>
    </row>
    <row r="4195" spans="1:24" x14ac:dyDescent="0.3">
      <c r="A4195" s="1" t="str">
        <f t="shared" si="777"/>
        <v>59809</v>
      </c>
      <c r="B4195" s="1" t="s">
        <v>42</v>
      </c>
      <c r="C4195" s="1" t="s">
        <v>43</v>
      </c>
      <c r="D4195" s="1" t="str">
        <f t="shared" si="778"/>
        <v>9801</v>
      </c>
      <c r="E4195" s="1" t="s">
        <v>25</v>
      </c>
      <c r="F4195" s="1" t="str">
        <f>"1379682689"</f>
        <v>1379682689</v>
      </c>
      <c r="G4195" s="1" t="s">
        <v>33</v>
      </c>
      <c r="H4195" s="1" t="str">
        <f t="shared" si="779"/>
        <v>20220918</v>
      </c>
      <c r="I4195" s="1" t="str">
        <f>"155231"</f>
        <v>155231</v>
      </c>
      <c r="J4195" s="1" t="s">
        <v>28</v>
      </c>
      <c r="K4195" s="1" t="s">
        <v>28</v>
      </c>
      <c r="L4195" s="1" t="str">
        <f t="shared" si="780"/>
        <v>20220918</v>
      </c>
      <c r="M4195" s="1" t="str">
        <f>"162720"</f>
        <v>162720</v>
      </c>
      <c r="N4195" s="1" t="s">
        <v>52</v>
      </c>
      <c r="O4195" s="1" t="s">
        <v>52</v>
      </c>
      <c r="P4195" s="1" t="s">
        <v>55</v>
      </c>
      <c r="Q4195" s="1">
        <v>25</v>
      </c>
      <c r="R4195" s="1">
        <v>25</v>
      </c>
      <c r="S4195" s="1">
        <v>0</v>
      </c>
      <c r="T4195" s="1">
        <v>0</v>
      </c>
      <c r="U4195" s="1">
        <v>0</v>
      </c>
      <c r="V4195" s="1" t="str">
        <f t="shared" si="782"/>
        <v>里程返程</v>
      </c>
      <c r="W4195" s="1" t="str">
        <f>"1420"</f>
        <v>1420</v>
      </c>
      <c r="X4195" s="1" t="s">
        <v>35</v>
      </c>
    </row>
    <row r="4196" spans="1:24" x14ac:dyDescent="0.3">
      <c r="A4196" s="1" t="str">
        <f t="shared" si="777"/>
        <v>59809</v>
      </c>
      <c r="B4196" s="1" t="s">
        <v>42</v>
      </c>
      <c r="C4196" s="1" t="s">
        <v>43</v>
      </c>
      <c r="D4196" s="1" t="str">
        <f t="shared" si="778"/>
        <v>9801</v>
      </c>
      <c r="E4196" s="1" t="s">
        <v>25</v>
      </c>
      <c r="F4196" s="1" t="str">
        <f>"CEF43B363788040047C13517C9002508"</f>
        <v>CEF43B363788040047C13517C9002508</v>
      </c>
      <c r="G4196" s="1" t="s">
        <v>58</v>
      </c>
      <c r="H4196" s="1" t="str">
        <f t="shared" si="779"/>
        <v>20220918</v>
      </c>
      <c r="I4196" s="1" t="str">
        <f>"155628"</f>
        <v>155628</v>
      </c>
      <c r="J4196" s="1" t="s">
        <v>28</v>
      </c>
      <c r="K4196" s="1" t="s">
        <v>28</v>
      </c>
      <c r="L4196" s="1" t="str">
        <f t="shared" si="780"/>
        <v>20220918</v>
      </c>
      <c r="M4196" s="1" t="str">
        <f>"162724"</f>
        <v>162724</v>
      </c>
      <c r="N4196" s="1" t="s">
        <v>52</v>
      </c>
      <c r="O4196" s="1" t="s">
        <v>52</v>
      </c>
      <c r="P4196" s="1" t="s">
        <v>55</v>
      </c>
      <c r="Q4196" s="1">
        <v>25</v>
      </c>
      <c r="R4196" s="1">
        <v>25</v>
      </c>
      <c r="S4196" s="1">
        <v>0</v>
      </c>
      <c r="T4196" s="1">
        <v>0</v>
      </c>
      <c r="U4196" s="1">
        <v>0</v>
      </c>
      <c r="V4196" s="1" t="str">
        <f t="shared" si="782"/>
        <v>里程返程</v>
      </c>
      <c r="W4196" s="1" t="str">
        <f>"0020"</f>
        <v>0020</v>
      </c>
      <c r="X4196" s="1" t="s">
        <v>29</v>
      </c>
    </row>
    <row r="4197" spans="1:24" x14ac:dyDescent="0.3">
      <c r="A4197" s="1" t="str">
        <f t="shared" si="777"/>
        <v>59809</v>
      </c>
      <c r="B4197" s="1" t="s">
        <v>42</v>
      </c>
      <c r="C4197" s="1" t="s">
        <v>43</v>
      </c>
      <c r="D4197" s="1" t="str">
        <f t="shared" si="778"/>
        <v>9801</v>
      </c>
      <c r="E4197" s="1" t="s">
        <v>25</v>
      </c>
      <c r="F4197" s="1" t="str">
        <f>"DD7AC8C2AD8804004885145851504110"</f>
        <v>DD7AC8C2AD8804004885145851504110</v>
      </c>
      <c r="G4197" s="1" t="s">
        <v>58</v>
      </c>
      <c r="H4197" s="1" t="str">
        <f t="shared" si="779"/>
        <v>20220918</v>
      </c>
      <c r="I4197" s="1" t="str">
        <f>"162806"</f>
        <v>162806</v>
      </c>
      <c r="J4197" s="1" t="s">
        <v>44</v>
      </c>
      <c r="K4197" s="1" t="s">
        <v>45</v>
      </c>
      <c r="L4197" s="1" t="str">
        <f t="shared" si="780"/>
        <v>20220918</v>
      </c>
      <c r="M4197" s="1" t="str">
        <f>"164829"</f>
        <v>164829</v>
      </c>
      <c r="N4197" s="1" t="s">
        <v>28</v>
      </c>
      <c r="O4197" s="1" t="s">
        <v>28</v>
      </c>
      <c r="P4197" s="1" t="s">
        <v>55</v>
      </c>
      <c r="Q4197" s="1">
        <v>25</v>
      </c>
      <c r="R4197" s="1">
        <v>25</v>
      </c>
      <c r="S4197" s="1">
        <v>0</v>
      </c>
      <c r="T4197" s="1">
        <v>0</v>
      </c>
      <c r="U4197" s="1">
        <v>0</v>
      </c>
      <c r="V4197" s="1" t="str">
        <f t="shared" si="782"/>
        <v>里程返程</v>
      </c>
      <c r="W4197" s="1" t="str">
        <f>"0020"</f>
        <v>0020</v>
      </c>
      <c r="X4197" s="1" t="s">
        <v>29</v>
      </c>
    </row>
    <row r="4198" spans="1:24" x14ac:dyDescent="0.3">
      <c r="A4198" s="1" t="str">
        <f t="shared" si="777"/>
        <v>59809</v>
      </c>
      <c r="B4198" s="1" t="s">
        <v>42</v>
      </c>
      <c r="C4198" s="1" t="s">
        <v>43</v>
      </c>
      <c r="D4198" s="1" t="str">
        <f t="shared" si="778"/>
        <v>9801</v>
      </c>
      <c r="E4198" s="1" t="s">
        <v>25</v>
      </c>
      <c r="F4198" s="1" t="str">
        <f>"814156593"</f>
        <v>814156593</v>
      </c>
      <c r="G4198" s="1" t="s">
        <v>33</v>
      </c>
      <c r="H4198" s="1" t="str">
        <f t="shared" si="779"/>
        <v>20220918</v>
      </c>
      <c r="I4198" s="1" t="str">
        <f>"163920"</f>
        <v>163920</v>
      </c>
      <c r="J4198" s="1" t="s">
        <v>56</v>
      </c>
      <c r="K4198" s="1" t="s">
        <v>45</v>
      </c>
      <c r="L4198" s="1" t="str">
        <f t="shared" si="780"/>
        <v>20220918</v>
      </c>
      <c r="M4198" s="1" t="str">
        <f>"164804"</f>
        <v>164804</v>
      </c>
      <c r="N4198" s="1" t="s">
        <v>28</v>
      </c>
      <c r="O4198" s="1" t="s">
        <v>28</v>
      </c>
      <c r="P4198" s="1" t="s">
        <v>55</v>
      </c>
      <c r="Q4198" s="1">
        <v>25</v>
      </c>
      <c r="R4198" s="1">
        <v>25</v>
      </c>
      <c r="S4198" s="1">
        <v>0</v>
      </c>
      <c r="T4198" s="1">
        <v>0</v>
      </c>
      <c r="U4198" s="1">
        <v>0</v>
      </c>
      <c r="V4198" s="1" t="str">
        <f t="shared" si="782"/>
        <v>里程返程</v>
      </c>
      <c r="W4198" s="1" t="str">
        <f>"1c20"</f>
        <v>1c20</v>
      </c>
      <c r="X4198" s="1" t="s">
        <v>35</v>
      </c>
    </row>
    <row r="4199" spans="1:24" x14ac:dyDescent="0.3">
      <c r="A4199" s="1" t="str">
        <f t="shared" si="777"/>
        <v>59809</v>
      </c>
      <c r="B4199" s="1" t="s">
        <v>42</v>
      </c>
      <c r="C4199" s="1" t="s">
        <v>43</v>
      </c>
      <c r="D4199" s="1" t="str">
        <f t="shared" si="778"/>
        <v>9801</v>
      </c>
      <c r="E4199" s="1" t="s">
        <v>25</v>
      </c>
      <c r="F4199" s="1" t="str">
        <f>"226933585"</f>
        <v>226933585</v>
      </c>
      <c r="G4199" s="1" t="s">
        <v>33</v>
      </c>
      <c r="H4199" s="1" t="str">
        <f t="shared" si="779"/>
        <v>20220918</v>
      </c>
      <c r="I4199" s="1" t="str">
        <f>"165439"</f>
        <v>165439</v>
      </c>
      <c r="J4199" s="1" t="s">
        <v>28</v>
      </c>
      <c r="K4199" s="1" t="s">
        <v>28</v>
      </c>
      <c r="L4199" s="1" t="str">
        <f t="shared" si="780"/>
        <v>20220918</v>
      </c>
      <c r="M4199" s="1" t="str">
        <f>"172210"</f>
        <v>172210</v>
      </c>
      <c r="N4199" s="1" t="s">
        <v>52</v>
      </c>
      <c r="O4199" s="1" t="s">
        <v>52</v>
      </c>
      <c r="P4199" s="1" t="s">
        <v>55</v>
      </c>
      <c r="Q4199" s="1">
        <v>25</v>
      </c>
      <c r="R4199" s="1">
        <v>25</v>
      </c>
      <c r="S4199" s="1">
        <v>0</v>
      </c>
      <c r="T4199" s="1">
        <v>0</v>
      </c>
      <c r="U4199" s="1">
        <v>0</v>
      </c>
      <c r="V4199" s="1" t="str">
        <f t="shared" si="782"/>
        <v>里程返程</v>
      </c>
      <c r="W4199" s="1" t="str">
        <f>"0120"</f>
        <v>0120</v>
      </c>
      <c r="X4199" s="1" t="s">
        <v>35</v>
      </c>
    </row>
    <row r="4200" spans="1:24" x14ac:dyDescent="0.3">
      <c r="A4200" s="1" t="str">
        <f t="shared" si="777"/>
        <v>59809</v>
      </c>
      <c r="B4200" s="1" t="s">
        <v>42</v>
      </c>
      <c r="C4200" s="1" t="s">
        <v>43</v>
      </c>
      <c r="D4200" s="1" t="str">
        <f t="shared" si="778"/>
        <v>9801</v>
      </c>
      <c r="E4200" s="1" t="s">
        <v>25</v>
      </c>
      <c r="F4200" s="1" t="str">
        <f>"6280E61A1E880400C817002000000021"</f>
        <v>6280E61A1E880400C817002000000021</v>
      </c>
      <c r="G4200" s="1" t="s">
        <v>58</v>
      </c>
      <c r="H4200" s="1" t="str">
        <f t="shared" si="779"/>
        <v>20220918</v>
      </c>
      <c r="I4200" s="1" t="str">
        <f>"165503"</f>
        <v>165503</v>
      </c>
      <c r="J4200" s="1" t="s">
        <v>28</v>
      </c>
      <c r="K4200" s="1" t="s">
        <v>28</v>
      </c>
      <c r="L4200" s="1" t="str">
        <f t="shared" si="780"/>
        <v>20220918</v>
      </c>
      <c r="M4200" s="1" t="str">
        <f>"172216"</f>
        <v>172216</v>
      </c>
      <c r="N4200" s="1" t="s">
        <v>52</v>
      </c>
      <c r="O4200" s="1" t="s">
        <v>52</v>
      </c>
      <c r="P4200" s="1" t="s">
        <v>55</v>
      </c>
      <c r="Q4200" s="1">
        <v>25</v>
      </c>
      <c r="R4200" s="1">
        <v>0</v>
      </c>
      <c r="S4200" s="1">
        <v>25</v>
      </c>
      <c r="T4200" s="1">
        <v>0</v>
      </c>
      <c r="U4200" s="1">
        <v>0</v>
      </c>
      <c r="V4200" s="1" t="str">
        <f t="shared" si="782"/>
        <v>里程返程</v>
      </c>
      <c r="W4200" s="1" t="str">
        <f>"0620"</f>
        <v>0620</v>
      </c>
      <c r="X4200" s="1" t="s">
        <v>29</v>
      </c>
    </row>
    <row r="4201" spans="1:24" x14ac:dyDescent="0.3">
      <c r="A4201" s="1" t="str">
        <f t="shared" ref="A4201:A4242" si="783">"59820"</f>
        <v>59820</v>
      </c>
      <c r="B4201" s="1" t="s">
        <v>53</v>
      </c>
      <c r="C4201" s="1" t="s">
        <v>54</v>
      </c>
      <c r="D4201" s="1" t="str">
        <f t="shared" ref="D4201:D4243" si="784">"9803"</f>
        <v>9803</v>
      </c>
      <c r="E4201" s="1" t="s">
        <v>32</v>
      </c>
      <c r="F4201" s="1" t="str">
        <f>"CC6A7803DD88040047C12BA8DD001807"</f>
        <v>CC6A7803DD88040047C12BA8DD001807</v>
      </c>
      <c r="G4201" s="1" t="s">
        <v>58</v>
      </c>
      <c r="H4201" s="1" t="str">
        <f t="shared" si="779"/>
        <v>20220918</v>
      </c>
      <c r="I4201" s="1" t="str">
        <f>"102719"</f>
        <v>102719</v>
      </c>
      <c r="J4201" s="1" t="s">
        <v>28</v>
      </c>
      <c r="K4201" s="1" t="s">
        <v>28</v>
      </c>
      <c r="L4201" s="1" t="str">
        <f t="shared" si="780"/>
        <v>20220918</v>
      </c>
      <c r="M4201" s="1" t="str">
        <f>"104753"</f>
        <v>104753</v>
      </c>
      <c r="N4201" s="1" t="s">
        <v>89</v>
      </c>
      <c r="O4201" s="1" t="s">
        <v>28</v>
      </c>
      <c r="P4201" s="1" t="s">
        <v>55</v>
      </c>
      <c r="Q4201" s="1">
        <v>25</v>
      </c>
      <c r="R4201" s="1">
        <v>25</v>
      </c>
      <c r="S4201" s="1">
        <v>0</v>
      </c>
      <c r="T4201" s="1">
        <v>0</v>
      </c>
      <c r="U4201" s="1">
        <v>0</v>
      </c>
      <c r="V4201" s="1" t="str">
        <f t="shared" ref="V4201:V4217" si="785">"里程去程"</f>
        <v>里程去程</v>
      </c>
      <c r="W4201" s="1" t="str">
        <f>"0020"</f>
        <v>0020</v>
      </c>
      <c r="X4201" s="1" t="s">
        <v>29</v>
      </c>
    </row>
    <row r="4202" spans="1:24" x14ac:dyDescent="0.3">
      <c r="A4202" s="1" t="str">
        <f t="shared" si="783"/>
        <v>59820</v>
      </c>
      <c r="B4202" s="1" t="s">
        <v>53</v>
      </c>
      <c r="C4202" s="1" t="s">
        <v>54</v>
      </c>
      <c r="D4202" s="1" t="str">
        <f t="shared" si="784"/>
        <v>9803</v>
      </c>
      <c r="E4202" s="1" t="s">
        <v>32</v>
      </c>
      <c r="F4202" s="1" t="str">
        <f>"90AF646833880400468F751241502611"</f>
        <v>90AF646833880400468F751241502611</v>
      </c>
      <c r="G4202" s="1" t="s">
        <v>26</v>
      </c>
      <c r="H4202" s="1" t="str">
        <f t="shared" si="779"/>
        <v>20220918</v>
      </c>
      <c r="I4202" s="1" t="str">
        <f>"102724"</f>
        <v>102724</v>
      </c>
      <c r="J4202" s="1" t="s">
        <v>28</v>
      </c>
      <c r="K4202" s="1" t="s">
        <v>28</v>
      </c>
      <c r="L4202" s="1" t="str">
        <f t="shared" si="780"/>
        <v>20220918</v>
      </c>
      <c r="M4202" s="1" t="str">
        <f>"104848"</f>
        <v>104848</v>
      </c>
      <c r="N4202" s="1" t="s">
        <v>34</v>
      </c>
      <c r="O4202" s="1" t="s">
        <v>34</v>
      </c>
      <c r="P4202" s="1" t="s">
        <v>55</v>
      </c>
      <c r="Q4202" s="1">
        <v>13</v>
      </c>
      <c r="R4202" s="1">
        <v>13</v>
      </c>
      <c r="S4202" s="1">
        <v>0</v>
      </c>
      <c r="T4202" s="1">
        <v>0</v>
      </c>
      <c r="U4202" s="1">
        <v>0</v>
      </c>
      <c r="V4202" s="1" t="str">
        <f t="shared" si="785"/>
        <v>里程去程</v>
      </c>
      <c r="W4202" s="1" t="str">
        <f>"0020"</f>
        <v>0020</v>
      </c>
      <c r="X4202" s="1" t="s">
        <v>29</v>
      </c>
    </row>
    <row r="4203" spans="1:24" x14ac:dyDescent="0.3">
      <c r="A4203" s="1" t="str">
        <f t="shared" si="783"/>
        <v>59820</v>
      </c>
      <c r="B4203" s="1" t="s">
        <v>53</v>
      </c>
      <c r="C4203" s="1" t="s">
        <v>54</v>
      </c>
      <c r="D4203" s="1" t="str">
        <f t="shared" si="784"/>
        <v>9803</v>
      </c>
      <c r="E4203" s="1" t="s">
        <v>32</v>
      </c>
      <c r="F4203" s="1" t="str">
        <f>"145835585"</f>
        <v>145835585</v>
      </c>
      <c r="G4203" s="1" t="s">
        <v>33</v>
      </c>
      <c r="H4203" s="1" t="str">
        <f t="shared" si="779"/>
        <v>20220918</v>
      </c>
      <c r="I4203" s="1" t="str">
        <f>"102729"</f>
        <v>102729</v>
      </c>
      <c r="J4203" s="1" t="s">
        <v>28</v>
      </c>
      <c r="K4203" s="1" t="s">
        <v>28</v>
      </c>
      <c r="L4203" s="1" t="str">
        <f t="shared" si="780"/>
        <v>20220918</v>
      </c>
      <c r="M4203" s="1" t="str">
        <f>"104854"</f>
        <v>104854</v>
      </c>
      <c r="N4203" s="1" t="s">
        <v>34</v>
      </c>
      <c r="O4203" s="1" t="s">
        <v>34</v>
      </c>
      <c r="P4203" s="1" t="s">
        <v>55</v>
      </c>
      <c r="Q4203" s="1">
        <v>25</v>
      </c>
      <c r="R4203" s="1">
        <v>25</v>
      </c>
      <c r="S4203" s="1">
        <v>0</v>
      </c>
      <c r="T4203" s="1">
        <v>0</v>
      </c>
      <c r="U4203" s="1">
        <v>0</v>
      </c>
      <c r="V4203" s="1" t="str">
        <f t="shared" si="785"/>
        <v>里程去程</v>
      </c>
      <c r="W4203" s="1" t="str">
        <f>"0820"</f>
        <v>0820</v>
      </c>
      <c r="X4203" s="1" t="s">
        <v>35</v>
      </c>
    </row>
    <row r="4204" spans="1:24" x14ac:dyDescent="0.3">
      <c r="A4204" s="1" t="str">
        <f t="shared" si="783"/>
        <v>59820</v>
      </c>
      <c r="B4204" s="1" t="s">
        <v>53</v>
      </c>
      <c r="C4204" s="1" t="s">
        <v>54</v>
      </c>
      <c r="D4204" s="1" t="str">
        <f t="shared" si="784"/>
        <v>9803</v>
      </c>
      <c r="E4204" s="1" t="s">
        <v>32</v>
      </c>
      <c r="F4204" s="1" t="str">
        <f>"2064582840"</f>
        <v>2064582840</v>
      </c>
      <c r="G4204" s="1" t="s">
        <v>33</v>
      </c>
      <c r="H4204" s="1" t="str">
        <f t="shared" si="779"/>
        <v>20220918</v>
      </c>
      <c r="I4204" s="1" t="str">
        <f>"102734"</f>
        <v>102734</v>
      </c>
      <c r="J4204" s="1" t="s">
        <v>28</v>
      </c>
      <c r="K4204" s="1" t="s">
        <v>28</v>
      </c>
      <c r="L4204" s="1" t="str">
        <f t="shared" si="780"/>
        <v>20220918</v>
      </c>
      <c r="M4204" s="1" t="str">
        <f>"104856"</f>
        <v>104856</v>
      </c>
      <c r="N4204" s="1" t="s">
        <v>34</v>
      </c>
      <c r="O4204" s="1" t="s">
        <v>34</v>
      </c>
      <c r="P4204" s="1" t="s">
        <v>55</v>
      </c>
      <c r="Q4204" s="1">
        <v>25</v>
      </c>
      <c r="R4204" s="1">
        <v>25</v>
      </c>
      <c r="S4204" s="1">
        <v>0</v>
      </c>
      <c r="T4204" s="1">
        <v>0</v>
      </c>
      <c r="U4204" s="1">
        <v>0</v>
      </c>
      <c r="V4204" s="1" t="str">
        <f t="shared" si="785"/>
        <v>里程去程</v>
      </c>
      <c r="W4204" s="1" t="str">
        <f>"0820"</f>
        <v>0820</v>
      </c>
      <c r="X4204" s="1" t="s">
        <v>35</v>
      </c>
    </row>
    <row r="4205" spans="1:24" x14ac:dyDescent="0.3">
      <c r="A4205" s="1" t="str">
        <f t="shared" si="783"/>
        <v>59820</v>
      </c>
      <c r="B4205" s="1" t="s">
        <v>53</v>
      </c>
      <c r="C4205" s="1" t="s">
        <v>54</v>
      </c>
      <c r="D4205" s="1" t="str">
        <f t="shared" si="784"/>
        <v>9803</v>
      </c>
      <c r="E4205" s="1" t="s">
        <v>32</v>
      </c>
      <c r="F4205" s="1" t="str">
        <f>"1204194869"</f>
        <v>1204194869</v>
      </c>
      <c r="G4205" s="1" t="s">
        <v>38</v>
      </c>
      <c r="H4205" s="1" t="str">
        <f t="shared" si="779"/>
        <v>20220918</v>
      </c>
      <c r="I4205" s="1" t="str">
        <f>"103805"</f>
        <v>103805</v>
      </c>
      <c r="J4205" s="1" t="s">
        <v>79</v>
      </c>
      <c r="K4205" s="1" t="s">
        <v>28</v>
      </c>
      <c r="L4205" s="1" t="str">
        <f t="shared" si="780"/>
        <v>20220918</v>
      </c>
      <c r="M4205" s="1" t="str">
        <f>"104908"</f>
        <v>104908</v>
      </c>
      <c r="N4205" s="1" t="s">
        <v>34</v>
      </c>
      <c r="O4205" s="1" t="s">
        <v>34</v>
      </c>
      <c r="P4205" s="1" t="s">
        <v>55</v>
      </c>
      <c r="Q4205" s="1">
        <v>25</v>
      </c>
      <c r="R4205" s="1">
        <v>25</v>
      </c>
      <c r="S4205" s="1">
        <v>0</v>
      </c>
      <c r="T4205" s="1">
        <v>0</v>
      </c>
      <c r="U4205" s="1">
        <v>0</v>
      </c>
      <c r="V4205" s="1" t="str">
        <f t="shared" si="785"/>
        <v>里程去程</v>
      </c>
      <c r="W4205" s="1" t="str">
        <f>"0120"</f>
        <v>0120</v>
      </c>
      <c r="X4205" s="1" t="s">
        <v>35</v>
      </c>
    </row>
    <row r="4206" spans="1:24" x14ac:dyDescent="0.3">
      <c r="A4206" s="1" t="str">
        <f t="shared" si="783"/>
        <v>59820</v>
      </c>
      <c r="B4206" s="1" t="s">
        <v>53</v>
      </c>
      <c r="C4206" s="1" t="s">
        <v>54</v>
      </c>
      <c r="D4206" s="1" t="str">
        <f t="shared" si="784"/>
        <v>9803</v>
      </c>
      <c r="E4206" s="1" t="s">
        <v>32</v>
      </c>
      <c r="F4206" s="1" t="str">
        <f>"1208937445"</f>
        <v>1208937445</v>
      </c>
      <c r="G4206" s="1" t="s">
        <v>38</v>
      </c>
      <c r="H4206" s="1" t="str">
        <f t="shared" si="779"/>
        <v>20220918</v>
      </c>
      <c r="I4206" s="1" t="str">
        <f>"103809"</f>
        <v>103809</v>
      </c>
      <c r="J4206" s="1" t="s">
        <v>79</v>
      </c>
      <c r="K4206" s="1" t="s">
        <v>28</v>
      </c>
      <c r="L4206" s="1" t="str">
        <f t="shared" ref="L4206:L4237" si="786">"20220918"</f>
        <v>20220918</v>
      </c>
      <c r="M4206" s="1" t="str">
        <f>"104901"</f>
        <v>104901</v>
      </c>
      <c r="N4206" s="1" t="s">
        <v>34</v>
      </c>
      <c r="O4206" s="1" t="s">
        <v>34</v>
      </c>
      <c r="P4206" s="1" t="s">
        <v>55</v>
      </c>
      <c r="Q4206" s="1">
        <v>25</v>
      </c>
      <c r="R4206" s="1">
        <v>25</v>
      </c>
      <c r="S4206" s="1">
        <v>0</v>
      </c>
      <c r="T4206" s="1">
        <v>0</v>
      </c>
      <c r="U4206" s="1">
        <v>0</v>
      </c>
      <c r="V4206" s="1" t="str">
        <f t="shared" si="785"/>
        <v>里程去程</v>
      </c>
      <c r="W4206" s="1" t="str">
        <f>"0120"</f>
        <v>0120</v>
      </c>
      <c r="X4206" s="1" t="s">
        <v>35</v>
      </c>
    </row>
    <row r="4207" spans="1:24" x14ac:dyDescent="0.3">
      <c r="A4207" s="1" t="str">
        <f t="shared" si="783"/>
        <v>59820</v>
      </c>
      <c r="B4207" s="1" t="s">
        <v>53</v>
      </c>
      <c r="C4207" s="1" t="s">
        <v>54</v>
      </c>
      <c r="D4207" s="1" t="str">
        <f t="shared" si="784"/>
        <v>9803</v>
      </c>
      <c r="E4207" s="1" t="s">
        <v>32</v>
      </c>
      <c r="F4207" s="1" t="str">
        <f>"1207138501"</f>
        <v>1207138501</v>
      </c>
      <c r="G4207" s="1" t="s">
        <v>38</v>
      </c>
      <c r="H4207" s="1" t="str">
        <f t="shared" si="779"/>
        <v>20220918</v>
      </c>
      <c r="I4207" s="1" t="str">
        <f>"103813"</f>
        <v>103813</v>
      </c>
      <c r="J4207" s="1" t="s">
        <v>79</v>
      </c>
      <c r="K4207" s="1" t="s">
        <v>28</v>
      </c>
      <c r="L4207" s="1" t="str">
        <f t="shared" si="786"/>
        <v>20220918</v>
      </c>
      <c r="M4207" s="1" t="str">
        <f>"104905"</f>
        <v>104905</v>
      </c>
      <c r="N4207" s="1" t="s">
        <v>34</v>
      </c>
      <c r="O4207" s="1" t="s">
        <v>34</v>
      </c>
      <c r="P4207" s="1" t="s">
        <v>55</v>
      </c>
      <c r="Q4207" s="1">
        <v>25</v>
      </c>
      <c r="R4207" s="1">
        <v>25</v>
      </c>
      <c r="S4207" s="1">
        <v>0</v>
      </c>
      <c r="T4207" s="1">
        <v>0</v>
      </c>
      <c r="U4207" s="1">
        <v>0</v>
      </c>
      <c r="V4207" s="1" t="str">
        <f t="shared" si="785"/>
        <v>里程去程</v>
      </c>
      <c r="W4207" s="1" t="str">
        <f>"0120"</f>
        <v>0120</v>
      </c>
      <c r="X4207" s="1" t="s">
        <v>35</v>
      </c>
    </row>
    <row r="4208" spans="1:24" x14ac:dyDescent="0.3">
      <c r="A4208" s="1" t="str">
        <f t="shared" si="783"/>
        <v>59820</v>
      </c>
      <c r="B4208" s="1" t="s">
        <v>53</v>
      </c>
      <c r="C4208" s="1" t="s">
        <v>54</v>
      </c>
      <c r="D4208" s="1" t="str">
        <f t="shared" si="784"/>
        <v>9803</v>
      </c>
      <c r="E4208" s="1" t="s">
        <v>32</v>
      </c>
      <c r="F4208" s="1" t="str">
        <f>"B137D85F012804001C00000000000000"</f>
        <v>B137D85F012804001C00000000000000</v>
      </c>
      <c r="G4208" s="1" t="s">
        <v>58</v>
      </c>
      <c r="H4208" s="1" t="str">
        <f t="shared" si="779"/>
        <v>20220918</v>
      </c>
      <c r="I4208" s="1" t="str">
        <f>"113008"</f>
        <v>113008</v>
      </c>
      <c r="J4208" s="1" t="s">
        <v>28</v>
      </c>
      <c r="K4208" s="1" t="s">
        <v>28</v>
      </c>
      <c r="L4208" s="1" t="str">
        <f t="shared" si="786"/>
        <v>20220918</v>
      </c>
      <c r="M4208" s="1" t="str">
        <f>"114930"</f>
        <v>114930</v>
      </c>
      <c r="N4208" s="1" t="s">
        <v>34</v>
      </c>
      <c r="O4208" s="1" t="s">
        <v>34</v>
      </c>
      <c r="P4208" s="1" t="s">
        <v>55</v>
      </c>
      <c r="Q4208" s="1">
        <v>25</v>
      </c>
      <c r="R4208" s="1">
        <v>25</v>
      </c>
      <c r="S4208" s="1">
        <v>0</v>
      </c>
      <c r="T4208" s="1">
        <v>0</v>
      </c>
      <c r="U4208" s="1">
        <v>0</v>
      </c>
      <c r="V4208" s="1" t="str">
        <f t="shared" si="785"/>
        <v>里程去程</v>
      </c>
      <c r="W4208" s="1" t="str">
        <f>"0020"</f>
        <v>0020</v>
      </c>
      <c r="X4208" s="1" t="s">
        <v>29</v>
      </c>
    </row>
    <row r="4209" spans="1:24" x14ac:dyDescent="0.3">
      <c r="A4209" s="1" t="str">
        <f t="shared" si="783"/>
        <v>59820</v>
      </c>
      <c r="B4209" s="1" t="s">
        <v>53</v>
      </c>
      <c r="C4209" s="1" t="s">
        <v>54</v>
      </c>
      <c r="D4209" s="1" t="str">
        <f t="shared" si="784"/>
        <v>9803</v>
      </c>
      <c r="E4209" s="1" t="s">
        <v>32</v>
      </c>
      <c r="F4209" s="1" t="str">
        <f>"213633441"</f>
        <v>213633441</v>
      </c>
      <c r="G4209" s="1" t="s">
        <v>33</v>
      </c>
      <c r="H4209" s="1" t="str">
        <f t="shared" si="779"/>
        <v>20220918</v>
      </c>
      <c r="I4209" s="1" t="str">
        <f>"113009"</f>
        <v>113009</v>
      </c>
      <c r="J4209" s="1" t="s">
        <v>28</v>
      </c>
      <c r="K4209" s="1" t="s">
        <v>28</v>
      </c>
      <c r="L4209" s="1" t="str">
        <f t="shared" si="786"/>
        <v>20220918</v>
      </c>
      <c r="M4209" s="1" t="str">
        <f>"114849"</f>
        <v>114849</v>
      </c>
      <c r="N4209" s="1" t="s">
        <v>34</v>
      </c>
      <c r="O4209" s="1" t="s">
        <v>34</v>
      </c>
      <c r="P4209" s="1" t="s">
        <v>55</v>
      </c>
      <c r="Q4209" s="1">
        <v>25</v>
      </c>
      <c r="R4209" s="1">
        <v>25</v>
      </c>
      <c r="S4209" s="1">
        <v>0</v>
      </c>
      <c r="T4209" s="1">
        <v>0</v>
      </c>
      <c r="U4209" s="1">
        <v>0</v>
      </c>
      <c r="V4209" s="1" t="str">
        <f t="shared" si="785"/>
        <v>里程去程</v>
      </c>
      <c r="W4209" s="1" t="str">
        <f>"0e20"</f>
        <v>0e20</v>
      </c>
      <c r="X4209" s="1" t="s">
        <v>35</v>
      </c>
    </row>
    <row r="4210" spans="1:24" x14ac:dyDescent="0.3">
      <c r="A4210" s="1" t="str">
        <f t="shared" si="783"/>
        <v>59820</v>
      </c>
      <c r="B4210" s="1" t="s">
        <v>53</v>
      </c>
      <c r="C4210" s="1" t="s">
        <v>54</v>
      </c>
      <c r="D4210" s="1" t="str">
        <f t="shared" si="784"/>
        <v>9803</v>
      </c>
      <c r="E4210" s="1" t="s">
        <v>32</v>
      </c>
      <c r="F4210" s="1" t="str">
        <f>"1081151889"</f>
        <v>1081151889</v>
      </c>
      <c r="G4210" s="1" t="s">
        <v>33</v>
      </c>
      <c r="H4210" s="1" t="str">
        <f t="shared" si="779"/>
        <v>20220918</v>
      </c>
      <c r="I4210" s="1" t="str">
        <f>"113015"</f>
        <v>113015</v>
      </c>
      <c r="J4210" s="1" t="s">
        <v>28</v>
      </c>
      <c r="K4210" s="1" t="s">
        <v>28</v>
      </c>
      <c r="L4210" s="1" t="str">
        <f t="shared" si="786"/>
        <v>20220918</v>
      </c>
      <c r="M4210" s="1" t="str">
        <f>"114919"</f>
        <v>114919</v>
      </c>
      <c r="N4210" s="1" t="s">
        <v>34</v>
      </c>
      <c r="O4210" s="1" t="s">
        <v>34</v>
      </c>
      <c r="P4210" s="1" t="s">
        <v>55</v>
      </c>
      <c r="Q4210" s="1">
        <v>25</v>
      </c>
      <c r="R4210" s="1">
        <v>25</v>
      </c>
      <c r="S4210" s="1">
        <v>0</v>
      </c>
      <c r="T4210" s="1">
        <v>0</v>
      </c>
      <c r="U4210" s="1">
        <v>0</v>
      </c>
      <c r="V4210" s="1" t="str">
        <f t="shared" si="785"/>
        <v>里程去程</v>
      </c>
      <c r="W4210" s="1" t="str">
        <f>"0120"</f>
        <v>0120</v>
      </c>
      <c r="X4210" s="1" t="s">
        <v>35</v>
      </c>
    </row>
    <row r="4211" spans="1:24" x14ac:dyDescent="0.3">
      <c r="A4211" s="1" t="str">
        <f t="shared" si="783"/>
        <v>59820</v>
      </c>
      <c r="B4211" s="1" t="s">
        <v>53</v>
      </c>
      <c r="C4211" s="1" t="s">
        <v>54</v>
      </c>
      <c r="D4211" s="1" t="str">
        <f t="shared" si="784"/>
        <v>9803</v>
      </c>
      <c r="E4211" s="1" t="s">
        <v>32</v>
      </c>
      <c r="F4211" s="1" t="str">
        <f>"788566805"</f>
        <v>788566805</v>
      </c>
      <c r="G4211" s="1" t="s">
        <v>33</v>
      </c>
      <c r="H4211" s="1" t="str">
        <f t="shared" si="779"/>
        <v>20220918</v>
      </c>
      <c r="I4211" s="1" t="str">
        <f>"113021"</f>
        <v>113021</v>
      </c>
      <c r="J4211" s="1" t="s">
        <v>28</v>
      </c>
      <c r="K4211" s="1" t="s">
        <v>28</v>
      </c>
      <c r="L4211" s="1" t="str">
        <f t="shared" si="786"/>
        <v>20220918</v>
      </c>
      <c r="M4211" s="1" t="str">
        <f>"114917"</f>
        <v>114917</v>
      </c>
      <c r="N4211" s="1" t="s">
        <v>34</v>
      </c>
      <c r="O4211" s="1" t="s">
        <v>34</v>
      </c>
      <c r="P4211" s="1" t="s">
        <v>55</v>
      </c>
      <c r="Q4211" s="1">
        <v>25</v>
      </c>
      <c r="R4211" s="1">
        <v>25</v>
      </c>
      <c r="S4211" s="1">
        <v>0</v>
      </c>
      <c r="T4211" s="1">
        <v>0</v>
      </c>
      <c r="U4211" s="1">
        <v>0</v>
      </c>
      <c r="V4211" s="1" t="str">
        <f t="shared" si="785"/>
        <v>里程去程</v>
      </c>
      <c r="W4211" s="1" t="str">
        <f>"0120"</f>
        <v>0120</v>
      </c>
      <c r="X4211" s="1" t="s">
        <v>35</v>
      </c>
    </row>
    <row r="4212" spans="1:24" x14ac:dyDescent="0.3">
      <c r="A4212" s="1" t="str">
        <f t="shared" si="783"/>
        <v>59820</v>
      </c>
      <c r="B4212" s="1" t="s">
        <v>53</v>
      </c>
      <c r="C4212" s="1" t="s">
        <v>54</v>
      </c>
      <c r="D4212" s="1" t="str">
        <f t="shared" si="784"/>
        <v>9803</v>
      </c>
      <c r="E4212" s="1" t="s">
        <v>32</v>
      </c>
      <c r="F4212" s="1" t="str">
        <f>"832924179"</f>
        <v>832924179</v>
      </c>
      <c r="G4212" s="1" t="s">
        <v>33</v>
      </c>
      <c r="H4212" s="1" t="str">
        <f t="shared" si="779"/>
        <v>20220918</v>
      </c>
      <c r="I4212" s="1" t="str">
        <f>"113030"</f>
        <v>113030</v>
      </c>
      <c r="J4212" s="1" t="s">
        <v>28</v>
      </c>
      <c r="K4212" s="1" t="s">
        <v>28</v>
      </c>
      <c r="L4212" s="1" t="str">
        <f t="shared" si="786"/>
        <v>20220918</v>
      </c>
      <c r="M4212" s="1" t="str">
        <f>"114914"</f>
        <v>114914</v>
      </c>
      <c r="N4212" s="1" t="s">
        <v>34</v>
      </c>
      <c r="O4212" s="1" t="s">
        <v>34</v>
      </c>
      <c r="P4212" s="1" t="s">
        <v>55</v>
      </c>
      <c r="Q4212" s="1">
        <v>25</v>
      </c>
      <c r="R4212" s="1">
        <v>25</v>
      </c>
      <c r="S4212" s="1">
        <v>0</v>
      </c>
      <c r="T4212" s="1">
        <v>0</v>
      </c>
      <c r="U4212" s="1">
        <v>0</v>
      </c>
      <c r="V4212" s="1" t="str">
        <f t="shared" si="785"/>
        <v>里程去程</v>
      </c>
      <c r="W4212" s="1" t="str">
        <f>"0120"</f>
        <v>0120</v>
      </c>
      <c r="X4212" s="1" t="s">
        <v>35</v>
      </c>
    </row>
    <row r="4213" spans="1:24" x14ac:dyDescent="0.3">
      <c r="A4213" s="1" t="str">
        <f t="shared" si="783"/>
        <v>59820</v>
      </c>
      <c r="B4213" s="1" t="s">
        <v>53</v>
      </c>
      <c r="C4213" s="1" t="s">
        <v>54</v>
      </c>
      <c r="D4213" s="1" t="str">
        <f t="shared" si="784"/>
        <v>9803</v>
      </c>
      <c r="E4213" s="1" t="s">
        <v>32</v>
      </c>
      <c r="F4213" s="1" t="str">
        <f>"4076960722"</f>
        <v>4076960722</v>
      </c>
      <c r="G4213" s="1" t="s">
        <v>33</v>
      </c>
      <c r="H4213" s="1" t="str">
        <f t="shared" si="779"/>
        <v>20220918</v>
      </c>
      <c r="I4213" s="1" t="str">
        <f>"113031"</f>
        <v>113031</v>
      </c>
      <c r="J4213" s="1" t="s">
        <v>28</v>
      </c>
      <c r="K4213" s="1" t="s">
        <v>28</v>
      </c>
      <c r="L4213" s="1" t="str">
        <f t="shared" si="786"/>
        <v>20220918</v>
      </c>
      <c r="M4213" s="1" t="str">
        <f>"114911"</f>
        <v>114911</v>
      </c>
      <c r="N4213" s="1" t="s">
        <v>34</v>
      </c>
      <c r="O4213" s="1" t="s">
        <v>34</v>
      </c>
      <c r="P4213" s="1" t="s">
        <v>55</v>
      </c>
      <c r="Q4213" s="1">
        <v>25</v>
      </c>
      <c r="R4213" s="1">
        <v>25</v>
      </c>
      <c r="S4213" s="1">
        <v>0</v>
      </c>
      <c r="T4213" s="1">
        <v>0</v>
      </c>
      <c r="U4213" s="1">
        <v>0</v>
      </c>
      <c r="V4213" s="1" t="str">
        <f t="shared" si="785"/>
        <v>里程去程</v>
      </c>
      <c r="W4213" s="1" t="str">
        <f>"0120"</f>
        <v>0120</v>
      </c>
      <c r="X4213" s="1" t="s">
        <v>35</v>
      </c>
    </row>
    <row r="4214" spans="1:24" x14ac:dyDescent="0.3">
      <c r="A4214" s="1" t="str">
        <f t="shared" si="783"/>
        <v>59820</v>
      </c>
      <c r="B4214" s="1" t="s">
        <v>53</v>
      </c>
      <c r="C4214" s="1" t="s">
        <v>54</v>
      </c>
      <c r="D4214" s="1" t="str">
        <f t="shared" si="784"/>
        <v>9803</v>
      </c>
      <c r="E4214" s="1" t="s">
        <v>32</v>
      </c>
      <c r="F4214" s="1" t="str">
        <f>"1271188053"</f>
        <v>1271188053</v>
      </c>
      <c r="G4214" s="1" t="s">
        <v>33</v>
      </c>
      <c r="H4214" s="1" t="str">
        <f t="shared" si="779"/>
        <v>20220918</v>
      </c>
      <c r="I4214" s="1" t="str">
        <f>"113037"</f>
        <v>113037</v>
      </c>
      <c r="J4214" s="1" t="s">
        <v>28</v>
      </c>
      <c r="K4214" s="1" t="s">
        <v>28</v>
      </c>
      <c r="L4214" s="1" t="str">
        <f t="shared" si="786"/>
        <v>20220918</v>
      </c>
      <c r="M4214" s="1" t="str">
        <f>"114940"</f>
        <v>114940</v>
      </c>
      <c r="N4214" s="1" t="s">
        <v>34</v>
      </c>
      <c r="O4214" s="1" t="s">
        <v>34</v>
      </c>
      <c r="P4214" s="1" t="s">
        <v>55</v>
      </c>
      <c r="Q4214" s="1">
        <v>25</v>
      </c>
      <c r="R4214" s="1">
        <v>25</v>
      </c>
      <c r="S4214" s="1">
        <v>0</v>
      </c>
      <c r="T4214" s="1">
        <v>0</v>
      </c>
      <c r="U4214" s="1">
        <v>0</v>
      </c>
      <c r="V4214" s="1" t="str">
        <f t="shared" si="785"/>
        <v>里程去程</v>
      </c>
      <c r="W4214" s="1" t="str">
        <f>"0120"</f>
        <v>0120</v>
      </c>
      <c r="X4214" s="1" t="s">
        <v>35</v>
      </c>
    </row>
    <row r="4215" spans="1:24" x14ac:dyDescent="0.3">
      <c r="A4215" s="1" t="str">
        <f t="shared" si="783"/>
        <v>59820</v>
      </c>
      <c r="B4215" s="1" t="s">
        <v>53</v>
      </c>
      <c r="C4215" s="1" t="s">
        <v>54</v>
      </c>
      <c r="D4215" s="1" t="str">
        <f t="shared" si="784"/>
        <v>9803</v>
      </c>
      <c r="E4215" s="1" t="s">
        <v>32</v>
      </c>
      <c r="F4215" s="1" t="str">
        <f>"715AB45BC42804001C00000000000000"</f>
        <v>715AB45BC42804001C00000000000000</v>
      </c>
      <c r="G4215" s="1" t="s">
        <v>58</v>
      </c>
      <c r="H4215" s="1" t="str">
        <f t="shared" si="779"/>
        <v>20220918</v>
      </c>
      <c r="I4215" s="1" t="str">
        <f>"113049"</f>
        <v>113049</v>
      </c>
      <c r="J4215" s="1" t="s">
        <v>28</v>
      </c>
      <c r="K4215" s="1" t="s">
        <v>28</v>
      </c>
      <c r="L4215" s="1" t="str">
        <f t="shared" si="786"/>
        <v>20220918</v>
      </c>
      <c r="M4215" s="1" t="str">
        <f>"114935"</f>
        <v>114935</v>
      </c>
      <c r="N4215" s="1" t="s">
        <v>34</v>
      </c>
      <c r="O4215" s="1" t="s">
        <v>34</v>
      </c>
      <c r="P4215" s="1" t="s">
        <v>55</v>
      </c>
      <c r="Q4215" s="1">
        <v>25</v>
      </c>
      <c r="R4215" s="1">
        <v>25</v>
      </c>
      <c r="S4215" s="1">
        <v>0</v>
      </c>
      <c r="T4215" s="1">
        <v>0</v>
      </c>
      <c r="U4215" s="1">
        <v>0</v>
      </c>
      <c r="V4215" s="1" t="str">
        <f t="shared" si="785"/>
        <v>里程去程</v>
      </c>
      <c r="W4215" s="1" t="str">
        <f>"0020"</f>
        <v>0020</v>
      </c>
      <c r="X4215" s="1" t="s">
        <v>29</v>
      </c>
    </row>
    <row r="4216" spans="1:24" x14ac:dyDescent="0.3">
      <c r="A4216" s="1" t="str">
        <f t="shared" si="783"/>
        <v>59820</v>
      </c>
      <c r="B4216" s="1" t="s">
        <v>53</v>
      </c>
      <c r="C4216" s="1" t="s">
        <v>54</v>
      </c>
      <c r="D4216" s="1" t="str">
        <f t="shared" si="784"/>
        <v>9803</v>
      </c>
      <c r="E4216" s="1" t="s">
        <v>32</v>
      </c>
      <c r="F4216" s="1" t="str">
        <f>"1342938097"</f>
        <v>1342938097</v>
      </c>
      <c r="G4216" s="1" t="s">
        <v>33</v>
      </c>
      <c r="H4216" s="1" t="str">
        <f t="shared" si="779"/>
        <v>20220918</v>
      </c>
      <c r="I4216" s="1" t="str">
        <f>"114014"</f>
        <v>114014</v>
      </c>
      <c r="J4216" s="1" t="s">
        <v>46</v>
      </c>
      <c r="K4216" s="1" t="s">
        <v>28</v>
      </c>
      <c r="L4216" s="1" t="str">
        <f t="shared" si="786"/>
        <v>20220918</v>
      </c>
      <c r="M4216" s="1" t="str">
        <f>"114926"</f>
        <v>114926</v>
      </c>
      <c r="N4216" s="1" t="s">
        <v>34</v>
      </c>
      <c r="O4216" s="1" t="s">
        <v>34</v>
      </c>
      <c r="P4216" s="1" t="s">
        <v>55</v>
      </c>
      <c r="Q4216" s="1">
        <v>25</v>
      </c>
      <c r="R4216" s="1">
        <v>0</v>
      </c>
      <c r="S4216" s="1">
        <v>25</v>
      </c>
      <c r="T4216" s="1">
        <v>0</v>
      </c>
      <c r="U4216" s="1">
        <v>0</v>
      </c>
      <c r="V4216" s="1" t="str">
        <f t="shared" si="785"/>
        <v>里程去程</v>
      </c>
      <c r="W4216" s="1" t="str">
        <f>"2020"</f>
        <v>2020</v>
      </c>
      <c r="X4216" s="1" t="s">
        <v>35</v>
      </c>
    </row>
    <row r="4217" spans="1:24" x14ac:dyDescent="0.3">
      <c r="A4217" s="1" t="str">
        <f t="shared" si="783"/>
        <v>59820</v>
      </c>
      <c r="B4217" s="1" t="s">
        <v>53</v>
      </c>
      <c r="C4217" s="1" t="s">
        <v>54</v>
      </c>
      <c r="D4217" s="1" t="str">
        <f t="shared" si="784"/>
        <v>9803</v>
      </c>
      <c r="E4217" s="1" t="s">
        <v>32</v>
      </c>
      <c r="F4217" s="1" t="str">
        <f>"1225696177"</f>
        <v>1225696177</v>
      </c>
      <c r="G4217" s="1" t="s">
        <v>33</v>
      </c>
      <c r="H4217" s="1" t="str">
        <f t="shared" si="779"/>
        <v>20220918</v>
      </c>
      <c r="I4217" s="1" t="str">
        <f>"114020"</f>
        <v>114020</v>
      </c>
      <c r="J4217" s="1" t="s">
        <v>46</v>
      </c>
      <c r="K4217" s="1" t="s">
        <v>28</v>
      </c>
      <c r="L4217" s="1" t="str">
        <f t="shared" si="786"/>
        <v>20220918</v>
      </c>
      <c r="M4217" s="1" t="str">
        <f>"114921"</f>
        <v>114921</v>
      </c>
      <c r="N4217" s="1" t="s">
        <v>34</v>
      </c>
      <c r="O4217" s="1" t="s">
        <v>34</v>
      </c>
      <c r="P4217" s="1" t="s">
        <v>55</v>
      </c>
      <c r="Q4217" s="1">
        <v>25</v>
      </c>
      <c r="R4217" s="1">
        <v>0</v>
      </c>
      <c r="S4217" s="1">
        <v>25</v>
      </c>
      <c r="T4217" s="1">
        <v>0</v>
      </c>
      <c r="U4217" s="1">
        <v>0</v>
      </c>
      <c r="V4217" s="1" t="str">
        <f t="shared" si="785"/>
        <v>里程去程</v>
      </c>
      <c r="W4217" s="1" t="str">
        <f>"2020"</f>
        <v>2020</v>
      </c>
      <c r="X4217" s="1" t="s">
        <v>35</v>
      </c>
    </row>
    <row r="4218" spans="1:24" x14ac:dyDescent="0.3">
      <c r="A4218" s="1" t="str">
        <f t="shared" si="783"/>
        <v>59820</v>
      </c>
      <c r="B4218" s="1" t="s">
        <v>53</v>
      </c>
      <c r="C4218" s="1" t="s">
        <v>54</v>
      </c>
      <c r="D4218" s="1" t="str">
        <f t="shared" si="784"/>
        <v>9803</v>
      </c>
      <c r="E4218" s="1" t="s">
        <v>32</v>
      </c>
      <c r="F4218" s="1" t="str">
        <f>"CC6A7803DD88040047C12BA8DD001807"</f>
        <v>CC6A7803DD88040047C12BA8DD001807</v>
      </c>
      <c r="G4218" s="1" t="s">
        <v>58</v>
      </c>
      <c r="H4218" s="1" t="str">
        <f t="shared" si="779"/>
        <v>20220918</v>
      </c>
      <c r="I4218" s="1" t="str">
        <f>"120027"</f>
        <v>120027</v>
      </c>
      <c r="J4218" s="1" t="s">
        <v>34</v>
      </c>
      <c r="K4218" s="1" t="s">
        <v>34</v>
      </c>
      <c r="L4218" s="1" t="str">
        <f t="shared" si="786"/>
        <v>20220918</v>
      </c>
      <c r="M4218" s="1" t="str">
        <f>"122747"</f>
        <v>122747</v>
      </c>
      <c r="N4218" s="1" t="s">
        <v>28</v>
      </c>
      <c r="O4218" s="1" t="s">
        <v>28</v>
      </c>
      <c r="P4218" s="1" t="s">
        <v>55</v>
      </c>
      <c r="Q4218" s="1">
        <v>25</v>
      </c>
      <c r="R4218" s="1">
        <v>25</v>
      </c>
      <c r="S4218" s="1">
        <v>0</v>
      </c>
      <c r="T4218" s="1">
        <v>0</v>
      </c>
      <c r="U4218" s="1">
        <v>0</v>
      </c>
      <c r="V4218" s="1" t="str">
        <f t="shared" ref="V4218:V4224" si="787">"里程返程"</f>
        <v>里程返程</v>
      </c>
      <c r="W4218" s="1" t="str">
        <f>"0020"</f>
        <v>0020</v>
      </c>
      <c r="X4218" s="1" t="s">
        <v>29</v>
      </c>
    </row>
    <row r="4219" spans="1:24" x14ac:dyDescent="0.3">
      <c r="A4219" s="1" t="str">
        <f t="shared" si="783"/>
        <v>59820</v>
      </c>
      <c r="B4219" s="1" t="s">
        <v>53</v>
      </c>
      <c r="C4219" s="1" t="s">
        <v>54</v>
      </c>
      <c r="D4219" s="1" t="str">
        <f t="shared" si="784"/>
        <v>9803</v>
      </c>
      <c r="E4219" s="1" t="s">
        <v>32</v>
      </c>
      <c r="F4219" s="1" t="str">
        <f>"90AF646833880400468F751241502611"</f>
        <v>90AF646833880400468F751241502611</v>
      </c>
      <c r="G4219" s="1" t="s">
        <v>26</v>
      </c>
      <c r="H4219" s="1" t="str">
        <f t="shared" si="779"/>
        <v>20220918</v>
      </c>
      <c r="I4219" s="1" t="str">
        <f>"120031"</f>
        <v>120031</v>
      </c>
      <c r="J4219" s="1" t="s">
        <v>34</v>
      </c>
      <c r="K4219" s="1" t="s">
        <v>34</v>
      </c>
      <c r="L4219" s="1" t="str">
        <f t="shared" si="786"/>
        <v>20220918</v>
      </c>
      <c r="M4219" s="1" t="str">
        <f>"122752"</f>
        <v>122752</v>
      </c>
      <c r="N4219" s="1" t="s">
        <v>28</v>
      </c>
      <c r="O4219" s="1" t="s">
        <v>28</v>
      </c>
      <c r="P4219" s="1" t="s">
        <v>55</v>
      </c>
      <c r="Q4219" s="1">
        <v>13</v>
      </c>
      <c r="R4219" s="1">
        <v>13</v>
      </c>
      <c r="S4219" s="1">
        <v>0</v>
      </c>
      <c r="T4219" s="1">
        <v>0</v>
      </c>
      <c r="U4219" s="1">
        <v>0</v>
      </c>
      <c r="V4219" s="1" t="str">
        <f t="shared" si="787"/>
        <v>里程返程</v>
      </c>
      <c r="W4219" s="1" t="str">
        <f>"0020"</f>
        <v>0020</v>
      </c>
      <c r="X4219" s="1" t="s">
        <v>29</v>
      </c>
    </row>
    <row r="4220" spans="1:24" x14ac:dyDescent="0.3">
      <c r="A4220" s="1" t="str">
        <f t="shared" si="783"/>
        <v>59820</v>
      </c>
      <c r="B4220" s="1" t="s">
        <v>53</v>
      </c>
      <c r="C4220" s="1" t="s">
        <v>54</v>
      </c>
      <c r="D4220" s="1" t="str">
        <f t="shared" si="784"/>
        <v>9803</v>
      </c>
      <c r="E4220" s="1" t="s">
        <v>32</v>
      </c>
      <c r="F4220" s="1" t="str">
        <f>"1659453937"</f>
        <v>1659453937</v>
      </c>
      <c r="G4220" s="1" t="s">
        <v>33</v>
      </c>
      <c r="H4220" s="1" t="str">
        <f t="shared" si="779"/>
        <v>20220918</v>
      </c>
      <c r="I4220" s="1" t="str">
        <f>"120046"</f>
        <v>120046</v>
      </c>
      <c r="J4220" s="1" t="s">
        <v>34</v>
      </c>
      <c r="K4220" s="1" t="s">
        <v>34</v>
      </c>
      <c r="L4220" s="1" t="str">
        <f t="shared" si="786"/>
        <v>20220918</v>
      </c>
      <c r="M4220" s="1" t="str">
        <f>"122803"</f>
        <v>122803</v>
      </c>
      <c r="N4220" s="1" t="s">
        <v>28</v>
      </c>
      <c r="O4220" s="1" t="s">
        <v>28</v>
      </c>
      <c r="P4220" s="1" t="s">
        <v>55</v>
      </c>
      <c r="Q4220" s="1">
        <v>25</v>
      </c>
      <c r="R4220" s="1">
        <v>25</v>
      </c>
      <c r="S4220" s="1">
        <v>0</v>
      </c>
      <c r="T4220" s="1">
        <v>0</v>
      </c>
      <c r="U4220" s="1">
        <v>0</v>
      </c>
      <c r="V4220" s="1" t="str">
        <f t="shared" si="787"/>
        <v>里程返程</v>
      </c>
      <c r="W4220" s="1" t="str">
        <f>"2120"</f>
        <v>2120</v>
      </c>
      <c r="X4220" s="1" t="s">
        <v>35</v>
      </c>
    </row>
    <row r="4221" spans="1:24" x14ac:dyDescent="0.3">
      <c r="A4221" s="1" t="str">
        <f t="shared" si="783"/>
        <v>59820</v>
      </c>
      <c r="B4221" s="1" t="s">
        <v>53</v>
      </c>
      <c r="C4221" s="1" t="s">
        <v>54</v>
      </c>
      <c r="D4221" s="1" t="str">
        <f t="shared" si="784"/>
        <v>9803</v>
      </c>
      <c r="E4221" s="1" t="s">
        <v>32</v>
      </c>
      <c r="F4221" s="1" t="str">
        <f>"247619407"</f>
        <v>247619407</v>
      </c>
      <c r="G4221" s="1" t="s">
        <v>26</v>
      </c>
      <c r="H4221" s="1" t="str">
        <f t="shared" si="779"/>
        <v>20220918</v>
      </c>
      <c r="I4221" s="1" t="str">
        <f>"120051"</f>
        <v>120051</v>
      </c>
      <c r="J4221" s="1" t="s">
        <v>34</v>
      </c>
      <c r="K4221" s="1" t="s">
        <v>34</v>
      </c>
      <c r="L4221" s="1" t="str">
        <f t="shared" si="786"/>
        <v>20220918</v>
      </c>
      <c r="M4221" s="1" t="str">
        <f>"122749"</f>
        <v>122749</v>
      </c>
      <c r="N4221" s="1" t="s">
        <v>28</v>
      </c>
      <c r="O4221" s="1" t="s">
        <v>28</v>
      </c>
      <c r="P4221" s="1" t="s">
        <v>55</v>
      </c>
      <c r="Q4221" s="1">
        <v>13</v>
      </c>
      <c r="R4221" s="1">
        <v>13</v>
      </c>
      <c r="S4221" s="1">
        <v>0</v>
      </c>
      <c r="T4221" s="1">
        <v>0</v>
      </c>
      <c r="U4221" s="1">
        <v>0</v>
      </c>
      <c r="V4221" s="1" t="str">
        <f t="shared" si="787"/>
        <v>里程返程</v>
      </c>
      <c r="W4221" s="1" t="str">
        <f>"2020"</f>
        <v>2020</v>
      </c>
      <c r="X4221" s="1" t="s">
        <v>35</v>
      </c>
    </row>
    <row r="4222" spans="1:24" x14ac:dyDescent="0.3">
      <c r="A4222" s="1" t="str">
        <f t="shared" si="783"/>
        <v>59820</v>
      </c>
      <c r="B4222" s="1" t="s">
        <v>53</v>
      </c>
      <c r="C4222" s="1" t="s">
        <v>54</v>
      </c>
      <c r="D4222" s="1" t="str">
        <f t="shared" si="784"/>
        <v>9803</v>
      </c>
      <c r="E4222" s="1" t="s">
        <v>32</v>
      </c>
      <c r="F4222" s="1" t="str">
        <f>"1311161713"</f>
        <v>1311161713</v>
      </c>
      <c r="G4222" s="1" t="s">
        <v>26</v>
      </c>
      <c r="H4222" s="1" t="str">
        <f t="shared" si="779"/>
        <v>20220918</v>
      </c>
      <c r="I4222" s="1" t="str">
        <f>"120055"</f>
        <v>120055</v>
      </c>
      <c r="J4222" s="1" t="s">
        <v>34</v>
      </c>
      <c r="K4222" s="1" t="s">
        <v>34</v>
      </c>
      <c r="L4222" s="1" t="str">
        <f t="shared" si="786"/>
        <v>20220918</v>
      </c>
      <c r="M4222" s="1" t="str">
        <f>"122737"</f>
        <v>122737</v>
      </c>
      <c r="N4222" s="1" t="s">
        <v>28</v>
      </c>
      <c r="O4222" s="1" t="s">
        <v>28</v>
      </c>
      <c r="P4222" s="1" t="s">
        <v>55</v>
      </c>
      <c r="Q4222" s="1">
        <v>13</v>
      </c>
      <c r="R4222" s="1">
        <v>13</v>
      </c>
      <c r="S4222" s="1">
        <v>0</v>
      </c>
      <c r="T4222" s="1">
        <v>0</v>
      </c>
      <c r="U4222" s="1">
        <v>0</v>
      </c>
      <c r="V4222" s="1" t="str">
        <f t="shared" si="787"/>
        <v>里程返程</v>
      </c>
      <c r="W4222" s="1" t="str">
        <f>"2020"</f>
        <v>2020</v>
      </c>
      <c r="X4222" s="1" t="s">
        <v>35</v>
      </c>
    </row>
    <row r="4223" spans="1:24" x14ac:dyDescent="0.3">
      <c r="A4223" s="1" t="str">
        <f t="shared" si="783"/>
        <v>59820</v>
      </c>
      <c r="B4223" s="1" t="s">
        <v>53</v>
      </c>
      <c r="C4223" s="1" t="s">
        <v>54</v>
      </c>
      <c r="D4223" s="1" t="str">
        <f t="shared" si="784"/>
        <v>9803</v>
      </c>
      <c r="E4223" s="1" t="s">
        <v>32</v>
      </c>
      <c r="F4223" s="1" t="str">
        <f>"831226469"</f>
        <v>831226469</v>
      </c>
      <c r="G4223" s="1" t="s">
        <v>33</v>
      </c>
      <c r="H4223" s="1" t="str">
        <f t="shared" si="779"/>
        <v>20220918</v>
      </c>
      <c r="I4223" s="1" t="str">
        <f>"120057"</f>
        <v>120057</v>
      </c>
      <c r="J4223" s="1" t="s">
        <v>34</v>
      </c>
      <c r="K4223" s="1" t="s">
        <v>34</v>
      </c>
      <c r="L4223" s="1" t="str">
        <f t="shared" si="786"/>
        <v>20220918</v>
      </c>
      <c r="M4223" s="1" t="str">
        <f>"122758"</f>
        <v>122758</v>
      </c>
      <c r="N4223" s="1" t="s">
        <v>28</v>
      </c>
      <c r="O4223" s="1" t="s">
        <v>28</v>
      </c>
      <c r="P4223" s="1" t="s">
        <v>55</v>
      </c>
      <c r="Q4223" s="1">
        <v>25</v>
      </c>
      <c r="R4223" s="1">
        <v>25</v>
      </c>
      <c r="S4223" s="1">
        <v>0</v>
      </c>
      <c r="T4223" s="1">
        <v>0</v>
      </c>
      <c r="U4223" s="1">
        <v>0</v>
      </c>
      <c r="V4223" s="1" t="str">
        <f t="shared" si="787"/>
        <v>里程返程</v>
      </c>
      <c r="W4223" s="1" t="str">
        <f>"2020"</f>
        <v>2020</v>
      </c>
      <c r="X4223" s="1" t="s">
        <v>35</v>
      </c>
    </row>
    <row r="4224" spans="1:24" x14ac:dyDescent="0.3">
      <c r="A4224" s="1" t="str">
        <f t="shared" si="783"/>
        <v>59820</v>
      </c>
      <c r="B4224" s="1" t="s">
        <v>53</v>
      </c>
      <c r="C4224" s="1" t="s">
        <v>54</v>
      </c>
      <c r="D4224" s="1" t="str">
        <f t="shared" si="784"/>
        <v>9803</v>
      </c>
      <c r="E4224" s="1" t="s">
        <v>32</v>
      </c>
      <c r="F4224" s="1" t="str">
        <f>"958547857"</f>
        <v>958547857</v>
      </c>
      <c r="G4224" s="1" t="s">
        <v>33</v>
      </c>
      <c r="H4224" s="1" t="str">
        <f t="shared" si="779"/>
        <v>20220918</v>
      </c>
      <c r="I4224" s="1" t="str">
        <f>"120107"</f>
        <v>120107</v>
      </c>
      <c r="J4224" s="1" t="s">
        <v>34</v>
      </c>
      <c r="K4224" s="1" t="s">
        <v>34</v>
      </c>
      <c r="L4224" s="1" t="str">
        <f t="shared" si="786"/>
        <v>20220918</v>
      </c>
      <c r="M4224" s="1" t="str">
        <f>"122756"</f>
        <v>122756</v>
      </c>
      <c r="N4224" s="1" t="s">
        <v>28</v>
      </c>
      <c r="O4224" s="1" t="s">
        <v>28</v>
      </c>
      <c r="P4224" s="1" t="s">
        <v>55</v>
      </c>
      <c r="Q4224" s="1">
        <v>25</v>
      </c>
      <c r="R4224" s="1">
        <v>25</v>
      </c>
      <c r="S4224" s="1">
        <v>0</v>
      </c>
      <c r="T4224" s="1">
        <v>0</v>
      </c>
      <c r="U4224" s="1">
        <v>0</v>
      </c>
      <c r="V4224" s="1" t="str">
        <f t="shared" si="787"/>
        <v>里程返程</v>
      </c>
      <c r="W4224" s="1" t="str">
        <f>"2020"</f>
        <v>2020</v>
      </c>
      <c r="X4224" s="1" t="s">
        <v>35</v>
      </c>
    </row>
    <row r="4225" spans="1:24" x14ac:dyDescent="0.3">
      <c r="A4225" s="1" t="str">
        <f t="shared" si="783"/>
        <v>59820</v>
      </c>
      <c r="B4225" s="1" t="s">
        <v>53</v>
      </c>
      <c r="C4225" s="1" t="s">
        <v>54</v>
      </c>
      <c r="D4225" s="1" t="str">
        <f t="shared" si="784"/>
        <v>9803</v>
      </c>
      <c r="E4225" s="1" t="s">
        <v>32</v>
      </c>
      <c r="F4225" s="1" t="str">
        <f>"12179C0099880400C801002000000015"</f>
        <v>12179C0099880400C801002000000015</v>
      </c>
      <c r="G4225" s="1" t="s">
        <v>58</v>
      </c>
      <c r="H4225" s="1" t="str">
        <f t="shared" si="779"/>
        <v>20220918</v>
      </c>
      <c r="I4225" s="1" t="str">
        <f>"122826"</f>
        <v>122826</v>
      </c>
      <c r="J4225" s="1" t="s">
        <v>28</v>
      </c>
      <c r="K4225" s="1" t="s">
        <v>28</v>
      </c>
      <c r="L4225" s="1" t="str">
        <f t="shared" si="786"/>
        <v>20220918</v>
      </c>
      <c r="M4225" s="1" t="str">
        <f>"124858"</f>
        <v>124858</v>
      </c>
      <c r="N4225" s="1" t="s">
        <v>34</v>
      </c>
      <c r="O4225" s="1" t="s">
        <v>34</v>
      </c>
      <c r="P4225" s="1" t="s">
        <v>55</v>
      </c>
      <c r="Q4225" s="1">
        <v>25</v>
      </c>
      <c r="R4225" s="1">
        <v>0</v>
      </c>
      <c r="S4225" s="1">
        <v>25</v>
      </c>
      <c r="T4225" s="1">
        <v>0</v>
      </c>
      <c r="U4225" s="1">
        <v>0</v>
      </c>
      <c r="V4225" s="1" t="str">
        <f t="shared" ref="V4225:V4234" si="788">"里程去程"</f>
        <v>里程去程</v>
      </c>
      <c r="W4225" s="1" t="str">
        <f>"0620"</f>
        <v>0620</v>
      </c>
      <c r="X4225" s="1" t="s">
        <v>29</v>
      </c>
    </row>
    <row r="4226" spans="1:24" x14ac:dyDescent="0.3">
      <c r="A4226" s="1" t="str">
        <f t="shared" si="783"/>
        <v>59820</v>
      </c>
      <c r="B4226" s="1" t="s">
        <v>53</v>
      </c>
      <c r="C4226" s="1" t="s">
        <v>54</v>
      </c>
      <c r="D4226" s="1" t="str">
        <f t="shared" si="784"/>
        <v>9803</v>
      </c>
      <c r="E4226" s="1" t="s">
        <v>32</v>
      </c>
      <c r="F4226" s="1" t="str">
        <f>"A1B9E954A52804001C00000000000000"</f>
        <v>A1B9E954A52804001C00000000000000</v>
      </c>
      <c r="G4226" s="1" t="s">
        <v>58</v>
      </c>
      <c r="H4226" s="1" t="str">
        <f t="shared" si="779"/>
        <v>20220918</v>
      </c>
      <c r="I4226" s="1" t="str">
        <f>"122835"</f>
        <v>122835</v>
      </c>
      <c r="J4226" s="1" t="s">
        <v>28</v>
      </c>
      <c r="K4226" s="1" t="s">
        <v>28</v>
      </c>
      <c r="L4226" s="1" t="str">
        <f t="shared" si="786"/>
        <v>20220918</v>
      </c>
      <c r="M4226" s="1" t="str">
        <f>"124758"</f>
        <v>124758</v>
      </c>
      <c r="N4226" s="1" t="s">
        <v>89</v>
      </c>
      <c r="O4226" s="1" t="s">
        <v>28</v>
      </c>
      <c r="P4226" s="1" t="s">
        <v>55</v>
      </c>
      <c r="Q4226" s="1">
        <v>25</v>
      </c>
      <c r="R4226" s="1">
        <v>25</v>
      </c>
      <c r="S4226" s="1">
        <v>0</v>
      </c>
      <c r="T4226" s="1">
        <v>0</v>
      </c>
      <c r="U4226" s="1">
        <v>0</v>
      </c>
      <c r="V4226" s="1" t="str">
        <f t="shared" si="788"/>
        <v>里程去程</v>
      </c>
      <c r="W4226" s="1" t="str">
        <f>"0020"</f>
        <v>0020</v>
      </c>
      <c r="X4226" s="1" t="s">
        <v>29</v>
      </c>
    </row>
    <row r="4227" spans="1:24" x14ac:dyDescent="0.3">
      <c r="A4227" s="1" t="str">
        <f t="shared" si="783"/>
        <v>59820</v>
      </c>
      <c r="B4227" s="1" t="s">
        <v>53</v>
      </c>
      <c r="C4227" s="1" t="s">
        <v>54</v>
      </c>
      <c r="D4227" s="1" t="str">
        <f t="shared" si="784"/>
        <v>9803</v>
      </c>
      <c r="E4227" s="1" t="s">
        <v>32</v>
      </c>
      <c r="F4227" s="1" t="str">
        <f>"228076080"</f>
        <v>228076080</v>
      </c>
      <c r="G4227" s="1" t="s">
        <v>33</v>
      </c>
      <c r="H4227" s="1" t="str">
        <f t="shared" si="779"/>
        <v>20220918</v>
      </c>
      <c r="I4227" s="1" t="str">
        <f>"122837"</f>
        <v>122837</v>
      </c>
      <c r="J4227" s="1" t="s">
        <v>28</v>
      </c>
      <c r="K4227" s="1" t="s">
        <v>28</v>
      </c>
      <c r="L4227" s="1" t="str">
        <f t="shared" si="786"/>
        <v>20220918</v>
      </c>
      <c r="M4227" s="1" t="str">
        <f>"124837"</f>
        <v>124837</v>
      </c>
      <c r="N4227" s="1" t="s">
        <v>34</v>
      </c>
      <c r="O4227" s="1" t="s">
        <v>34</v>
      </c>
      <c r="P4227" s="1" t="s">
        <v>55</v>
      </c>
      <c r="Q4227" s="1">
        <v>25</v>
      </c>
      <c r="R4227" s="1">
        <v>25</v>
      </c>
      <c r="S4227" s="1">
        <v>0</v>
      </c>
      <c r="T4227" s="1">
        <v>0</v>
      </c>
      <c r="U4227" s="1">
        <v>0</v>
      </c>
      <c r="V4227" s="1" t="str">
        <f t="shared" si="788"/>
        <v>里程去程</v>
      </c>
      <c r="W4227" s="1" t="str">
        <f>"0120"</f>
        <v>0120</v>
      </c>
      <c r="X4227" s="1" t="s">
        <v>35</v>
      </c>
    </row>
    <row r="4228" spans="1:24" x14ac:dyDescent="0.3">
      <c r="A4228" s="1" t="str">
        <f t="shared" si="783"/>
        <v>59820</v>
      </c>
      <c r="B4228" s="1" t="s">
        <v>53</v>
      </c>
      <c r="C4228" s="1" t="s">
        <v>54</v>
      </c>
      <c r="D4228" s="1" t="str">
        <f t="shared" si="784"/>
        <v>9803</v>
      </c>
      <c r="E4228" s="1" t="s">
        <v>32</v>
      </c>
      <c r="F4228" s="1" t="str">
        <f>"1051462609"</f>
        <v>1051462609</v>
      </c>
      <c r="G4228" s="1" t="s">
        <v>33</v>
      </c>
      <c r="H4228" s="1" t="str">
        <f t="shared" si="779"/>
        <v>20220918</v>
      </c>
      <c r="I4228" s="1" t="str">
        <f>"122840"</f>
        <v>122840</v>
      </c>
      <c r="J4228" s="1" t="s">
        <v>28</v>
      </c>
      <c r="K4228" s="1" t="s">
        <v>28</v>
      </c>
      <c r="L4228" s="1" t="str">
        <f t="shared" si="786"/>
        <v>20220918</v>
      </c>
      <c r="M4228" s="1" t="str">
        <f>"124849"</f>
        <v>124849</v>
      </c>
      <c r="N4228" s="1" t="s">
        <v>34</v>
      </c>
      <c r="O4228" s="1" t="s">
        <v>34</v>
      </c>
      <c r="P4228" s="1" t="s">
        <v>55</v>
      </c>
      <c r="Q4228" s="1">
        <v>25</v>
      </c>
      <c r="R4228" s="1">
        <v>25</v>
      </c>
      <c r="S4228" s="1">
        <v>0</v>
      </c>
      <c r="T4228" s="1">
        <v>0</v>
      </c>
      <c r="U4228" s="1">
        <v>0</v>
      </c>
      <c r="V4228" s="1" t="str">
        <f t="shared" si="788"/>
        <v>里程去程</v>
      </c>
      <c r="W4228" s="1" t="str">
        <f>"0120"</f>
        <v>0120</v>
      </c>
      <c r="X4228" s="1" t="s">
        <v>35</v>
      </c>
    </row>
    <row r="4229" spans="1:24" x14ac:dyDescent="0.3">
      <c r="A4229" s="1" t="str">
        <f t="shared" si="783"/>
        <v>59820</v>
      </c>
      <c r="B4229" s="1" t="s">
        <v>53</v>
      </c>
      <c r="C4229" s="1" t="s">
        <v>54</v>
      </c>
      <c r="D4229" s="1" t="str">
        <f t="shared" si="784"/>
        <v>9803</v>
      </c>
      <c r="E4229" s="1" t="s">
        <v>32</v>
      </c>
      <c r="F4229" s="1" t="str">
        <f>"833876737"</f>
        <v>833876737</v>
      </c>
      <c r="G4229" s="1" t="s">
        <v>33</v>
      </c>
      <c r="H4229" s="1" t="str">
        <f t="shared" si="779"/>
        <v>20220918</v>
      </c>
      <c r="I4229" s="1" t="str">
        <f>"122844"</f>
        <v>122844</v>
      </c>
      <c r="J4229" s="1" t="s">
        <v>28</v>
      </c>
      <c r="K4229" s="1" t="s">
        <v>28</v>
      </c>
      <c r="L4229" s="1" t="str">
        <f t="shared" si="786"/>
        <v>20220918</v>
      </c>
      <c r="M4229" s="1" t="str">
        <f>"124852"</f>
        <v>124852</v>
      </c>
      <c r="N4229" s="1" t="s">
        <v>34</v>
      </c>
      <c r="O4229" s="1" t="s">
        <v>34</v>
      </c>
      <c r="P4229" s="1" t="s">
        <v>55</v>
      </c>
      <c r="Q4229" s="1">
        <v>25</v>
      </c>
      <c r="R4229" s="1">
        <v>25</v>
      </c>
      <c r="S4229" s="1">
        <v>0</v>
      </c>
      <c r="T4229" s="1">
        <v>0</v>
      </c>
      <c r="U4229" s="1">
        <v>0</v>
      </c>
      <c r="V4229" s="1" t="str">
        <f t="shared" si="788"/>
        <v>里程去程</v>
      </c>
      <c r="W4229" s="1" t="str">
        <f>"0120"</f>
        <v>0120</v>
      </c>
      <c r="X4229" s="1" t="s">
        <v>35</v>
      </c>
    </row>
    <row r="4230" spans="1:24" x14ac:dyDescent="0.3">
      <c r="A4230" s="1" t="str">
        <f t="shared" si="783"/>
        <v>59820</v>
      </c>
      <c r="B4230" s="1" t="s">
        <v>53</v>
      </c>
      <c r="C4230" s="1" t="s">
        <v>54</v>
      </c>
      <c r="D4230" s="1" t="str">
        <f t="shared" si="784"/>
        <v>9803</v>
      </c>
      <c r="E4230" s="1" t="s">
        <v>32</v>
      </c>
      <c r="F4230" s="1" t="str">
        <f>"831416549"</f>
        <v>831416549</v>
      </c>
      <c r="G4230" s="1" t="s">
        <v>33</v>
      </c>
      <c r="H4230" s="1" t="str">
        <f t="shared" si="779"/>
        <v>20220918</v>
      </c>
      <c r="I4230" s="1" t="str">
        <f>"122849"</f>
        <v>122849</v>
      </c>
      <c r="J4230" s="1" t="s">
        <v>28</v>
      </c>
      <c r="K4230" s="1" t="s">
        <v>28</v>
      </c>
      <c r="L4230" s="1" t="str">
        <f t="shared" si="786"/>
        <v>20220918</v>
      </c>
      <c r="M4230" s="1" t="str">
        <f>"124846"</f>
        <v>124846</v>
      </c>
      <c r="N4230" s="1" t="s">
        <v>34</v>
      </c>
      <c r="O4230" s="1" t="s">
        <v>34</v>
      </c>
      <c r="P4230" s="1" t="s">
        <v>55</v>
      </c>
      <c r="Q4230" s="1">
        <v>25</v>
      </c>
      <c r="R4230" s="1">
        <v>25</v>
      </c>
      <c r="S4230" s="1">
        <v>0</v>
      </c>
      <c r="T4230" s="1">
        <v>0</v>
      </c>
      <c r="U4230" s="1">
        <v>0</v>
      </c>
      <c r="V4230" s="1" t="str">
        <f t="shared" si="788"/>
        <v>里程去程</v>
      </c>
      <c r="W4230" s="1" t="str">
        <f>"0120"</f>
        <v>0120</v>
      </c>
      <c r="X4230" s="1" t="s">
        <v>35</v>
      </c>
    </row>
    <row r="4231" spans="1:24" x14ac:dyDescent="0.3">
      <c r="A4231" s="1" t="str">
        <f t="shared" si="783"/>
        <v>59820</v>
      </c>
      <c r="B4231" s="1" t="s">
        <v>53</v>
      </c>
      <c r="C4231" s="1" t="s">
        <v>54</v>
      </c>
      <c r="D4231" s="1" t="str">
        <f t="shared" si="784"/>
        <v>9803</v>
      </c>
      <c r="E4231" s="1" t="s">
        <v>32</v>
      </c>
      <c r="F4231" s="1" t="str">
        <f>"1719486005"</f>
        <v>1719486005</v>
      </c>
      <c r="G4231" s="1" t="s">
        <v>38</v>
      </c>
      <c r="H4231" s="1" t="str">
        <f t="shared" si="779"/>
        <v>20220918</v>
      </c>
      <c r="I4231" s="1" t="str">
        <f>"122855"</f>
        <v>122855</v>
      </c>
      <c r="J4231" s="1" t="s">
        <v>28</v>
      </c>
      <c r="K4231" s="1" t="s">
        <v>28</v>
      </c>
      <c r="L4231" s="1" t="str">
        <f t="shared" si="786"/>
        <v>20220918</v>
      </c>
      <c r="M4231" s="1" t="str">
        <f>"124842"</f>
        <v>124842</v>
      </c>
      <c r="N4231" s="1" t="s">
        <v>34</v>
      </c>
      <c r="O4231" s="1" t="s">
        <v>34</v>
      </c>
      <c r="P4231" s="1" t="s">
        <v>55</v>
      </c>
      <c r="Q4231" s="1">
        <v>25</v>
      </c>
      <c r="R4231" s="1">
        <v>25</v>
      </c>
      <c r="S4231" s="1">
        <v>0</v>
      </c>
      <c r="T4231" s="1">
        <v>0</v>
      </c>
      <c r="U4231" s="1">
        <v>0</v>
      </c>
      <c r="V4231" s="1" t="str">
        <f t="shared" si="788"/>
        <v>里程去程</v>
      </c>
      <c r="W4231" s="1" t="str">
        <f>"0820"</f>
        <v>0820</v>
      </c>
      <c r="X4231" s="1" t="s">
        <v>35</v>
      </c>
    </row>
    <row r="4232" spans="1:24" x14ac:dyDescent="0.3">
      <c r="A4232" s="1" t="str">
        <f t="shared" si="783"/>
        <v>59820</v>
      </c>
      <c r="B4232" s="1" t="s">
        <v>53</v>
      </c>
      <c r="C4232" s="1" t="s">
        <v>54</v>
      </c>
      <c r="D4232" s="1" t="str">
        <f t="shared" si="784"/>
        <v>9803</v>
      </c>
      <c r="E4232" s="1" t="s">
        <v>32</v>
      </c>
      <c r="F4232" s="1" t="str">
        <f>"121084565"</f>
        <v>121084565</v>
      </c>
      <c r="G4232" s="1" t="s">
        <v>33</v>
      </c>
      <c r="H4232" s="1" t="str">
        <f t="shared" si="779"/>
        <v>20220918</v>
      </c>
      <c r="I4232" s="1" t="str">
        <f>"122900"</f>
        <v>122900</v>
      </c>
      <c r="J4232" s="1" t="s">
        <v>28</v>
      </c>
      <c r="K4232" s="1" t="s">
        <v>28</v>
      </c>
      <c r="L4232" s="1" t="str">
        <f t="shared" si="786"/>
        <v>20220918</v>
      </c>
      <c r="M4232" s="1" t="str">
        <f>"124830"</f>
        <v>124830</v>
      </c>
      <c r="N4232" s="1" t="s">
        <v>34</v>
      </c>
      <c r="O4232" s="1" t="s">
        <v>34</v>
      </c>
      <c r="P4232" s="1" t="s">
        <v>55</v>
      </c>
      <c r="Q4232" s="1">
        <v>25</v>
      </c>
      <c r="R4232" s="1">
        <v>25</v>
      </c>
      <c r="S4232" s="1">
        <v>0</v>
      </c>
      <c r="T4232" s="1">
        <v>0</v>
      </c>
      <c r="U4232" s="1">
        <v>0</v>
      </c>
      <c r="V4232" s="1" t="str">
        <f t="shared" si="788"/>
        <v>里程去程</v>
      </c>
      <c r="W4232" s="1" t="str">
        <f>"0120"</f>
        <v>0120</v>
      </c>
      <c r="X4232" s="1" t="s">
        <v>35</v>
      </c>
    </row>
    <row r="4233" spans="1:24" x14ac:dyDescent="0.3">
      <c r="A4233" s="1" t="str">
        <f t="shared" si="783"/>
        <v>59820</v>
      </c>
      <c r="B4233" s="1" t="s">
        <v>53</v>
      </c>
      <c r="C4233" s="1" t="s">
        <v>54</v>
      </c>
      <c r="D4233" s="1" t="str">
        <f t="shared" si="784"/>
        <v>9803</v>
      </c>
      <c r="E4233" s="1" t="s">
        <v>32</v>
      </c>
      <c r="F4233" s="1" t="str">
        <f>"689565157"</f>
        <v>689565157</v>
      </c>
      <c r="G4233" s="1" t="s">
        <v>33</v>
      </c>
      <c r="H4233" s="1" t="str">
        <f t="shared" si="779"/>
        <v>20220918</v>
      </c>
      <c r="I4233" s="1" t="str">
        <f>"122903"</f>
        <v>122903</v>
      </c>
      <c r="J4233" s="1" t="s">
        <v>28</v>
      </c>
      <c r="K4233" s="1" t="s">
        <v>28</v>
      </c>
      <c r="L4233" s="1" t="str">
        <f t="shared" si="786"/>
        <v>20220918</v>
      </c>
      <c r="M4233" s="1" t="str">
        <f>"124834"</f>
        <v>124834</v>
      </c>
      <c r="N4233" s="1" t="s">
        <v>34</v>
      </c>
      <c r="O4233" s="1" t="s">
        <v>34</v>
      </c>
      <c r="P4233" s="1" t="s">
        <v>55</v>
      </c>
      <c r="Q4233" s="1">
        <v>25</v>
      </c>
      <c r="R4233" s="1">
        <v>25</v>
      </c>
      <c r="S4233" s="1">
        <v>0</v>
      </c>
      <c r="T4233" s="1">
        <v>0</v>
      </c>
      <c r="U4233" s="1">
        <v>0</v>
      </c>
      <c r="V4233" s="1" t="str">
        <f t="shared" si="788"/>
        <v>里程去程</v>
      </c>
      <c r="W4233" s="1" t="str">
        <f>"0120"</f>
        <v>0120</v>
      </c>
      <c r="X4233" s="1" t="s">
        <v>35</v>
      </c>
    </row>
    <row r="4234" spans="1:24" x14ac:dyDescent="0.3">
      <c r="A4234" s="1" t="str">
        <f t="shared" si="783"/>
        <v>59820</v>
      </c>
      <c r="B4234" s="1" t="s">
        <v>53</v>
      </c>
      <c r="C4234" s="1" t="s">
        <v>54</v>
      </c>
      <c r="D4234" s="1" t="str">
        <f t="shared" si="784"/>
        <v>9803</v>
      </c>
      <c r="E4234" s="1" t="s">
        <v>32</v>
      </c>
      <c r="F4234" s="1" t="str">
        <f>"901965825"</f>
        <v>901965825</v>
      </c>
      <c r="G4234" s="1" t="s">
        <v>33</v>
      </c>
      <c r="H4234" s="1" t="str">
        <f t="shared" si="779"/>
        <v>20220918</v>
      </c>
      <c r="I4234" s="1" t="str">
        <f>"122915"</f>
        <v>122915</v>
      </c>
      <c r="J4234" s="1" t="s">
        <v>28</v>
      </c>
      <c r="K4234" s="1" t="s">
        <v>28</v>
      </c>
      <c r="L4234" s="1" t="str">
        <f t="shared" si="786"/>
        <v>20220918</v>
      </c>
      <c r="M4234" s="1" t="str">
        <f>"124827"</f>
        <v>124827</v>
      </c>
      <c r="N4234" s="1" t="s">
        <v>34</v>
      </c>
      <c r="O4234" s="1" t="s">
        <v>34</v>
      </c>
      <c r="P4234" s="1" t="s">
        <v>55</v>
      </c>
      <c r="Q4234" s="1">
        <v>25</v>
      </c>
      <c r="R4234" s="1">
        <v>25</v>
      </c>
      <c r="S4234" s="1">
        <v>0</v>
      </c>
      <c r="T4234" s="1">
        <v>0</v>
      </c>
      <c r="U4234" s="1">
        <v>0</v>
      </c>
      <c r="V4234" s="1" t="str">
        <f t="shared" si="788"/>
        <v>里程去程</v>
      </c>
      <c r="W4234" s="1" t="str">
        <f>"0120"</f>
        <v>0120</v>
      </c>
      <c r="X4234" s="1" t="s">
        <v>35</v>
      </c>
    </row>
    <row r="4235" spans="1:24" x14ac:dyDescent="0.3">
      <c r="A4235" s="1" t="str">
        <f t="shared" si="783"/>
        <v>59820</v>
      </c>
      <c r="B4235" s="1" t="s">
        <v>53</v>
      </c>
      <c r="C4235" s="1" t="s">
        <v>54</v>
      </c>
      <c r="D4235" s="1" t="str">
        <f t="shared" si="784"/>
        <v>9803</v>
      </c>
      <c r="E4235" s="1" t="s">
        <v>32</v>
      </c>
      <c r="F4235" s="1" t="str">
        <f>"1745161381"</f>
        <v>1745161381</v>
      </c>
      <c r="G4235" s="1" t="s">
        <v>26</v>
      </c>
      <c r="H4235" s="1" t="str">
        <f t="shared" si="779"/>
        <v>20220918</v>
      </c>
      <c r="I4235" s="1" t="str">
        <f>"130100"</f>
        <v>130100</v>
      </c>
      <c r="J4235" s="1" t="s">
        <v>34</v>
      </c>
      <c r="K4235" s="1" t="s">
        <v>34</v>
      </c>
      <c r="L4235" s="1" t="str">
        <f t="shared" si="786"/>
        <v>20220918</v>
      </c>
      <c r="M4235" s="1" t="str">
        <f>"132804"</f>
        <v>132804</v>
      </c>
      <c r="N4235" s="1" t="s">
        <v>28</v>
      </c>
      <c r="O4235" s="1" t="s">
        <v>28</v>
      </c>
      <c r="P4235" s="1" t="s">
        <v>55</v>
      </c>
      <c r="Q4235" s="1">
        <v>13</v>
      </c>
      <c r="R4235" s="1">
        <v>13</v>
      </c>
      <c r="S4235" s="1">
        <v>0</v>
      </c>
      <c r="T4235" s="1">
        <v>0</v>
      </c>
      <c r="U4235" s="1">
        <v>0</v>
      </c>
      <c r="V4235" s="1" t="str">
        <f t="shared" ref="V4235:V4242" si="789">"里程返程"</f>
        <v>里程返程</v>
      </c>
      <c r="W4235" s="1" t="str">
        <f>"0e20"</f>
        <v>0e20</v>
      </c>
      <c r="X4235" s="1" t="s">
        <v>35</v>
      </c>
    </row>
    <row r="4236" spans="1:24" x14ac:dyDescent="0.3">
      <c r="A4236" s="1" t="str">
        <f t="shared" si="783"/>
        <v>59820</v>
      </c>
      <c r="B4236" s="1" t="s">
        <v>53</v>
      </c>
      <c r="C4236" s="1" t="s">
        <v>54</v>
      </c>
      <c r="D4236" s="1" t="str">
        <f t="shared" si="784"/>
        <v>9803</v>
      </c>
      <c r="E4236" s="1" t="s">
        <v>32</v>
      </c>
      <c r="F4236" s="1" t="str">
        <f>"1214515829"</f>
        <v>1214515829</v>
      </c>
      <c r="G4236" s="1" t="s">
        <v>38</v>
      </c>
      <c r="H4236" s="1" t="str">
        <f t="shared" si="779"/>
        <v>20220918</v>
      </c>
      <c r="I4236" s="1" t="str">
        <f>"160051"</f>
        <v>160051</v>
      </c>
      <c r="J4236" s="1" t="s">
        <v>34</v>
      </c>
      <c r="K4236" s="1" t="s">
        <v>34</v>
      </c>
      <c r="L4236" s="1" t="str">
        <f t="shared" si="786"/>
        <v>20220918</v>
      </c>
      <c r="M4236" s="1" t="str">
        <f>"163956"</f>
        <v>163956</v>
      </c>
      <c r="N4236" s="1" t="s">
        <v>28</v>
      </c>
      <c r="O4236" s="1" t="s">
        <v>28</v>
      </c>
      <c r="P4236" s="1" t="s">
        <v>55</v>
      </c>
      <c r="Q4236" s="1">
        <v>25</v>
      </c>
      <c r="R4236" s="1">
        <v>25</v>
      </c>
      <c r="S4236" s="1">
        <v>0</v>
      </c>
      <c r="T4236" s="1">
        <v>0</v>
      </c>
      <c r="U4236" s="1">
        <v>0</v>
      </c>
      <c r="V4236" s="1" t="str">
        <f t="shared" si="789"/>
        <v>里程返程</v>
      </c>
      <c r="W4236" s="1" t="str">
        <f>"2020"</f>
        <v>2020</v>
      </c>
      <c r="X4236" s="1" t="s">
        <v>35</v>
      </c>
    </row>
    <row r="4237" spans="1:24" x14ac:dyDescent="0.3">
      <c r="A4237" s="1" t="str">
        <f t="shared" si="783"/>
        <v>59820</v>
      </c>
      <c r="B4237" s="1" t="s">
        <v>53</v>
      </c>
      <c r="C4237" s="1" t="s">
        <v>54</v>
      </c>
      <c r="D4237" s="1" t="str">
        <f t="shared" si="784"/>
        <v>9803</v>
      </c>
      <c r="E4237" s="1" t="s">
        <v>32</v>
      </c>
      <c r="F4237" s="1" t="str">
        <f>"895265429"</f>
        <v>895265429</v>
      </c>
      <c r="G4237" s="1" t="s">
        <v>38</v>
      </c>
      <c r="H4237" s="1" t="str">
        <f t="shared" si="779"/>
        <v>20220918</v>
      </c>
      <c r="I4237" s="1" t="str">
        <f>"160056"</f>
        <v>160056</v>
      </c>
      <c r="J4237" s="1" t="s">
        <v>34</v>
      </c>
      <c r="K4237" s="1" t="s">
        <v>34</v>
      </c>
      <c r="L4237" s="1" t="str">
        <f t="shared" si="786"/>
        <v>20220918</v>
      </c>
      <c r="M4237" s="1" t="str">
        <f>"163953"</f>
        <v>163953</v>
      </c>
      <c r="N4237" s="1" t="s">
        <v>28</v>
      </c>
      <c r="O4237" s="1" t="s">
        <v>28</v>
      </c>
      <c r="P4237" s="1" t="s">
        <v>55</v>
      </c>
      <c r="Q4237" s="1">
        <v>25</v>
      </c>
      <c r="R4237" s="1">
        <v>25</v>
      </c>
      <c r="S4237" s="1">
        <v>0</v>
      </c>
      <c r="T4237" s="1">
        <v>0</v>
      </c>
      <c r="U4237" s="1">
        <v>0</v>
      </c>
      <c r="V4237" s="1" t="str">
        <f t="shared" si="789"/>
        <v>里程返程</v>
      </c>
      <c r="W4237" s="1" t="str">
        <f>"2020"</f>
        <v>2020</v>
      </c>
      <c r="X4237" s="1" t="s">
        <v>35</v>
      </c>
    </row>
    <row r="4238" spans="1:24" x14ac:dyDescent="0.3">
      <c r="A4238" s="1" t="str">
        <f t="shared" si="783"/>
        <v>59820</v>
      </c>
      <c r="B4238" s="1" t="s">
        <v>53</v>
      </c>
      <c r="C4238" s="1" t="s">
        <v>54</v>
      </c>
      <c r="D4238" s="1" t="str">
        <f t="shared" si="784"/>
        <v>9803</v>
      </c>
      <c r="E4238" s="1" t="s">
        <v>32</v>
      </c>
      <c r="F4238" s="1" t="str">
        <f>"1056100325"</f>
        <v>1056100325</v>
      </c>
      <c r="G4238" s="1" t="s">
        <v>33</v>
      </c>
      <c r="H4238" s="1" t="str">
        <f t="shared" ref="H4238:H4301" si="790">"20220918"</f>
        <v>20220918</v>
      </c>
      <c r="I4238" s="1" t="str">
        <f>"160958"</f>
        <v>160958</v>
      </c>
      <c r="J4238" s="1" t="s">
        <v>34</v>
      </c>
      <c r="K4238" s="1" t="s">
        <v>34</v>
      </c>
      <c r="L4238" s="1" t="str">
        <f t="shared" ref="L4238:L4269" si="791">"20220918"</f>
        <v>20220918</v>
      </c>
      <c r="M4238" s="1" t="str">
        <f>"163937"</f>
        <v>163937</v>
      </c>
      <c r="N4238" s="1" t="s">
        <v>28</v>
      </c>
      <c r="O4238" s="1" t="s">
        <v>28</v>
      </c>
      <c r="P4238" s="1" t="s">
        <v>55</v>
      </c>
      <c r="Q4238" s="1">
        <v>25</v>
      </c>
      <c r="R4238" s="1">
        <v>25</v>
      </c>
      <c r="S4238" s="1">
        <v>0</v>
      </c>
      <c r="T4238" s="1">
        <v>0</v>
      </c>
      <c r="U4238" s="1">
        <v>0</v>
      </c>
      <c r="V4238" s="1" t="str">
        <f t="shared" si="789"/>
        <v>里程返程</v>
      </c>
      <c r="W4238" s="1" t="str">
        <f>"2020"</f>
        <v>2020</v>
      </c>
      <c r="X4238" s="1" t="s">
        <v>35</v>
      </c>
    </row>
    <row r="4239" spans="1:24" x14ac:dyDescent="0.3">
      <c r="A4239" s="1" t="str">
        <f t="shared" si="783"/>
        <v>59820</v>
      </c>
      <c r="B4239" s="1" t="s">
        <v>53</v>
      </c>
      <c r="C4239" s="1" t="s">
        <v>54</v>
      </c>
      <c r="D4239" s="1" t="str">
        <f t="shared" si="784"/>
        <v>9803</v>
      </c>
      <c r="E4239" s="1" t="s">
        <v>32</v>
      </c>
      <c r="F4239" s="1" t="str">
        <f>"32F6F30E39880400C820002000000018"</f>
        <v>32F6F30E39880400C820002000000018</v>
      </c>
      <c r="G4239" s="1" t="s">
        <v>59</v>
      </c>
      <c r="H4239" s="1" t="str">
        <f t="shared" si="790"/>
        <v>20220918</v>
      </c>
      <c r="I4239" s="1" t="str">
        <f>"161041"</f>
        <v>161041</v>
      </c>
      <c r="J4239" s="1" t="s">
        <v>34</v>
      </c>
      <c r="K4239" s="1" t="s">
        <v>34</v>
      </c>
      <c r="L4239" s="1" t="str">
        <f t="shared" si="791"/>
        <v>20220918</v>
      </c>
      <c r="M4239" s="1" t="str">
        <f>"163944"</f>
        <v>163944</v>
      </c>
      <c r="N4239" s="1" t="s">
        <v>28</v>
      </c>
      <c r="O4239" s="1" t="s">
        <v>28</v>
      </c>
      <c r="P4239" s="1" t="s">
        <v>55</v>
      </c>
      <c r="Q4239" s="1">
        <v>25</v>
      </c>
      <c r="R4239" s="1">
        <v>25</v>
      </c>
      <c r="S4239" s="1">
        <v>0</v>
      </c>
      <c r="T4239" s="1">
        <v>0</v>
      </c>
      <c r="U4239" s="1">
        <v>0</v>
      </c>
      <c r="V4239" s="1" t="str">
        <f t="shared" si="789"/>
        <v>里程返程</v>
      </c>
      <c r="W4239" s="1" t="str">
        <f>"0020"</f>
        <v>0020</v>
      </c>
      <c r="X4239" s="1" t="s">
        <v>29</v>
      </c>
    </row>
    <row r="4240" spans="1:24" x14ac:dyDescent="0.3">
      <c r="A4240" s="1" t="str">
        <f t="shared" si="783"/>
        <v>59820</v>
      </c>
      <c r="B4240" s="1" t="s">
        <v>53</v>
      </c>
      <c r="C4240" s="1" t="s">
        <v>54</v>
      </c>
      <c r="D4240" s="1" t="str">
        <f t="shared" si="784"/>
        <v>9803</v>
      </c>
      <c r="E4240" s="1" t="s">
        <v>32</v>
      </c>
      <c r="F4240" s="1" t="str">
        <f>"250545013"</f>
        <v>250545013</v>
      </c>
      <c r="G4240" s="1" t="s">
        <v>33</v>
      </c>
      <c r="H4240" s="1" t="str">
        <f t="shared" si="790"/>
        <v>20220918</v>
      </c>
      <c r="I4240" s="1" t="str">
        <f>"161044"</f>
        <v>161044</v>
      </c>
      <c r="J4240" s="1" t="s">
        <v>34</v>
      </c>
      <c r="K4240" s="1" t="s">
        <v>34</v>
      </c>
      <c r="L4240" s="1" t="str">
        <f t="shared" si="791"/>
        <v>20220918</v>
      </c>
      <c r="M4240" s="1" t="str">
        <f>"163949"</f>
        <v>163949</v>
      </c>
      <c r="N4240" s="1" t="s">
        <v>28</v>
      </c>
      <c r="O4240" s="1" t="s">
        <v>28</v>
      </c>
      <c r="P4240" s="1" t="s">
        <v>55</v>
      </c>
      <c r="Q4240" s="1">
        <v>25</v>
      </c>
      <c r="R4240" s="1">
        <v>25</v>
      </c>
      <c r="S4240" s="1">
        <v>0</v>
      </c>
      <c r="T4240" s="1">
        <v>0</v>
      </c>
      <c r="U4240" s="1">
        <v>0</v>
      </c>
      <c r="V4240" s="1" t="str">
        <f t="shared" si="789"/>
        <v>里程返程</v>
      </c>
      <c r="W4240" s="1" t="str">
        <f>"1c20"</f>
        <v>1c20</v>
      </c>
      <c r="X4240" s="1" t="s">
        <v>35</v>
      </c>
    </row>
    <row r="4241" spans="1:24" x14ac:dyDescent="0.3">
      <c r="A4241" s="1" t="str">
        <f t="shared" si="783"/>
        <v>59820</v>
      </c>
      <c r="B4241" s="1" t="s">
        <v>53</v>
      </c>
      <c r="C4241" s="1" t="s">
        <v>54</v>
      </c>
      <c r="D4241" s="1" t="str">
        <f t="shared" si="784"/>
        <v>9803</v>
      </c>
      <c r="E4241" s="1" t="s">
        <v>32</v>
      </c>
      <c r="F4241" s="1" t="str">
        <f>"628484187A880400C819002000000019"</f>
        <v>628484187A880400C819002000000019</v>
      </c>
      <c r="G4241" s="1" t="s">
        <v>58</v>
      </c>
      <c r="H4241" s="1" t="str">
        <f t="shared" si="790"/>
        <v>20220918</v>
      </c>
      <c r="I4241" s="1" t="str">
        <f>"162700"</f>
        <v>162700</v>
      </c>
      <c r="J4241" s="1" t="s">
        <v>46</v>
      </c>
      <c r="K4241" s="1" t="s">
        <v>28</v>
      </c>
      <c r="L4241" s="1" t="str">
        <f t="shared" si="791"/>
        <v>20220918</v>
      </c>
      <c r="M4241" s="1" t="str">
        <f>"164010"</f>
        <v>164010</v>
      </c>
      <c r="N4241" s="1" t="s">
        <v>28</v>
      </c>
      <c r="O4241" s="1" t="s">
        <v>28</v>
      </c>
      <c r="P4241" s="1" t="s">
        <v>55</v>
      </c>
      <c r="Q4241" s="1">
        <v>25</v>
      </c>
      <c r="R4241" s="1">
        <v>0</v>
      </c>
      <c r="S4241" s="1">
        <v>25</v>
      </c>
      <c r="T4241" s="1">
        <v>0</v>
      </c>
      <c r="U4241" s="1">
        <v>0</v>
      </c>
      <c r="V4241" s="1" t="str">
        <f t="shared" si="789"/>
        <v>里程返程</v>
      </c>
      <c r="W4241" s="1" t="str">
        <f>"1120"</f>
        <v>1120</v>
      </c>
      <c r="X4241" s="1" t="s">
        <v>29</v>
      </c>
    </row>
    <row r="4242" spans="1:24" x14ac:dyDescent="0.3">
      <c r="A4242" s="1" t="str">
        <f t="shared" si="783"/>
        <v>59820</v>
      </c>
      <c r="B4242" s="1" t="s">
        <v>53</v>
      </c>
      <c r="C4242" s="1" t="s">
        <v>54</v>
      </c>
      <c r="D4242" s="1" t="str">
        <f t="shared" si="784"/>
        <v>9803</v>
      </c>
      <c r="E4242" s="1" t="s">
        <v>32</v>
      </c>
      <c r="F4242" s="1" t="str">
        <f>"1709069061"</f>
        <v>1709069061</v>
      </c>
      <c r="G4242" s="1" t="s">
        <v>33</v>
      </c>
      <c r="H4242" s="1" t="str">
        <f t="shared" si="790"/>
        <v>20220918</v>
      </c>
      <c r="I4242" s="1" t="str">
        <f>"172407"</f>
        <v>172407</v>
      </c>
      <c r="J4242" s="1" t="s">
        <v>34</v>
      </c>
      <c r="K4242" s="1" t="s">
        <v>34</v>
      </c>
      <c r="L4242" s="1" t="str">
        <f t="shared" si="791"/>
        <v>20220918</v>
      </c>
      <c r="M4242" s="1" t="str">
        <f>"174350"</f>
        <v>174350</v>
      </c>
      <c r="N4242" s="1" t="s">
        <v>46</v>
      </c>
      <c r="O4242" s="1" t="s">
        <v>28</v>
      </c>
      <c r="P4242" s="1" t="s">
        <v>55</v>
      </c>
      <c r="Q4242" s="1">
        <v>25</v>
      </c>
      <c r="R4242" s="1">
        <v>25</v>
      </c>
      <c r="S4242" s="1">
        <v>0</v>
      </c>
      <c r="T4242" s="1">
        <v>0</v>
      </c>
      <c r="U4242" s="1">
        <v>0</v>
      </c>
      <c r="V4242" s="1" t="str">
        <f t="shared" si="789"/>
        <v>里程返程</v>
      </c>
      <c r="W4242" s="1" t="str">
        <f>"2020"</f>
        <v>2020</v>
      </c>
      <c r="X4242" s="1" t="s">
        <v>35</v>
      </c>
    </row>
    <row r="4243" spans="1:24" x14ac:dyDescent="0.3">
      <c r="A4243" s="1" t="str">
        <f t="shared" ref="A4243:A4274" si="792">"59822"</f>
        <v>59822</v>
      </c>
      <c r="B4243" s="1" t="s">
        <v>39</v>
      </c>
      <c r="C4243" s="1" t="s">
        <v>40</v>
      </c>
      <c r="D4243" s="1" t="str">
        <f t="shared" si="784"/>
        <v>9803</v>
      </c>
      <c r="E4243" s="1" t="s">
        <v>32</v>
      </c>
      <c r="F4243" s="1" t="str">
        <f>"628484187A880400C819002000000019"</f>
        <v>628484187A880400C819002000000019</v>
      </c>
      <c r="G4243" s="1" t="s">
        <v>58</v>
      </c>
      <c r="H4243" s="1" t="str">
        <f t="shared" si="790"/>
        <v>20220918</v>
      </c>
      <c r="I4243" s="1" t="str">
        <f>"062113"</f>
        <v>062113</v>
      </c>
      <c r="J4243" s="1" t="s">
        <v>28</v>
      </c>
      <c r="K4243" s="1" t="s">
        <v>28</v>
      </c>
      <c r="L4243" s="1" t="str">
        <f t="shared" si="791"/>
        <v>20220918</v>
      </c>
      <c r="M4243" s="1" t="str">
        <f>"064108"</f>
        <v>064108</v>
      </c>
      <c r="N4243" s="1" t="s">
        <v>34</v>
      </c>
      <c r="O4243" s="1" t="s">
        <v>34</v>
      </c>
      <c r="P4243" s="1" t="s">
        <v>55</v>
      </c>
      <c r="Q4243" s="1">
        <v>25</v>
      </c>
      <c r="R4243" s="1">
        <v>25</v>
      </c>
      <c r="S4243" s="1">
        <v>0</v>
      </c>
      <c r="T4243" s="1">
        <v>0</v>
      </c>
      <c r="U4243" s="1">
        <v>0</v>
      </c>
      <c r="V4243" s="1" t="str">
        <f>"里程去程"</f>
        <v>里程去程</v>
      </c>
      <c r="W4243" s="1" t="str">
        <f>"0020"</f>
        <v>0020</v>
      </c>
      <c r="X4243" s="1" t="s">
        <v>29</v>
      </c>
    </row>
    <row r="4244" spans="1:24" x14ac:dyDescent="0.3">
      <c r="A4244" s="1" t="str">
        <f t="shared" si="792"/>
        <v>59822</v>
      </c>
      <c r="B4244" s="1" t="s">
        <v>39</v>
      </c>
      <c r="C4244" s="1" t="s">
        <v>40</v>
      </c>
      <c r="D4244" s="1" t="str">
        <f>"9806"</f>
        <v>9806</v>
      </c>
      <c r="E4244" s="1" t="s">
        <v>49</v>
      </c>
      <c r="F4244" s="1" t="str">
        <f>"1221255301"</f>
        <v>1221255301</v>
      </c>
      <c r="G4244" s="1" t="s">
        <v>33</v>
      </c>
      <c r="H4244" s="1" t="str">
        <f t="shared" si="790"/>
        <v>20220918</v>
      </c>
      <c r="I4244" s="1" t="str">
        <f>"072943"</f>
        <v>072943</v>
      </c>
      <c r="J4244" s="1" t="s">
        <v>28</v>
      </c>
      <c r="K4244" s="1" t="s">
        <v>28</v>
      </c>
      <c r="L4244" s="1" t="str">
        <f t="shared" si="791"/>
        <v>20220918</v>
      </c>
      <c r="M4244" s="1" t="str">
        <f>"074927"</f>
        <v>074927</v>
      </c>
      <c r="N4244" s="1" t="s">
        <v>50</v>
      </c>
      <c r="O4244" s="1" t="s">
        <v>50</v>
      </c>
      <c r="P4244" s="1" t="s">
        <v>55</v>
      </c>
      <c r="Q4244" s="1">
        <v>25</v>
      </c>
      <c r="R4244" s="1">
        <v>25</v>
      </c>
      <c r="S4244" s="1">
        <v>0</v>
      </c>
      <c r="T4244" s="1">
        <v>0</v>
      </c>
      <c r="U4244" s="1">
        <v>0</v>
      </c>
      <c r="V4244" s="1" t="str">
        <f>"里程返程"</f>
        <v>里程返程</v>
      </c>
      <c r="W4244" s="1" t="str">
        <f>"2120"</f>
        <v>2120</v>
      </c>
      <c r="X4244" s="1" t="s">
        <v>35</v>
      </c>
    </row>
    <row r="4245" spans="1:24" x14ac:dyDescent="0.3">
      <c r="A4245" s="1" t="str">
        <f t="shared" si="792"/>
        <v>59822</v>
      </c>
      <c r="B4245" s="1" t="s">
        <v>39</v>
      </c>
      <c r="C4245" s="1" t="s">
        <v>40</v>
      </c>
      <c r="D4245" s="1" t="str">
        <f t="shared" ref="D4245:D4256" si="793">"9803"</f>
        <v>9803</v>
      </c>
      <c r="E4245" s="1" t="s">
        <v>32</v>
      </c>
      <c r="F4245" s="1" t="str">
        <f>"7311220326003459"</f>
        <v>7311220326003459</v>
      </c>
      <c r="G4245" s="1" t="s">
        <v>33</v>
      </c>
      <c r="H4245" s="1" t="str">
        <f t="shared" si="790"/>
        <v>20220918</v>
      </c>
      <c r="I4245" s="1" t="str">
        <f>"080818"</f>
        <v>080818</v>
      </c>
      <c r="J4245" s="1" t="s">
        <v>28</v>
      </c>
      <c r="K4245" s="1" t="s">
        <v>28</v>
      </c>
      <c r="L4245" s="1" t="str">
        <f t="shared" si="791"/>
        <v>20220918</v>
      </c>
      <c r="M4245" s="1" t="str">
        <f>"082833"</f>
        <v>082833</v>
      </c>
      <c r="N4245" s="1" t="s">
        <v>34</v>
      </c>
      <c r="O4245" s="1" t="s">
        <v>34</v>
      </c>
      <c r="P4245" s="1" t="s">
        <v>55</v>
      </c>
      <c r="Q4245" s="1">
        <v>25</v>
      </c>
      <c r="R4245" s="1">
        <v>25</v>
      </c>
      <c r="S4245" s="1">
        <v>0</v>
      </c>
      <c r="T4245" s="1">
        <v>0</v>
      </c>
      <c r="U4245" s="1">
        <v>0</v>
      </c>
      <c r="V4245" s="1" t="str">
        <f t="shared" ref="V4245:V4262" si="794">"里程去程"</f>
        <v>里程去程</v>
      </c>
      <c r="W4245" s="1" t="str">
        <f>"3B8B"</f>
        <v>3B8B</v>
      </c>
      <c r="X4245" s="1" t="s">
        <v>109</v>
      </c>
    </row>
    <row r="4246" spans="1:24" x14ac:dyDescent="0.3">
      <c r="A4246" s="1" t="str">
        <f t="shared" si="792"/>
        <v>59822</v>
      </c>
      <c r="B4246" s="1" t="s">
        <v>39</v>
      </c>
      <c r="C4246" s="1" t="s">
        <v>40</v>
      </c>
      <c r="D4246" s="1" t="str">
        <f t="shared" si="793"/>
        <v>9803</v>
      </c>
      <c r="E4246" s="1" t="s">
        <v>32</v>
      </c>
      <c r="F4246" s="1" t="str">
        <f>"B2196416D9880400C814002000000019"</f>
        <v>B2196416D9880400C814002000000019</v>
      </c>
      <c r="G4246" s="1" t="s">
        <v>59</v>
      </c>
      <c r="H4246" s="1" t="str">
        <f t="shared" si="790"/>
        <v>20220918</v>
      </c>
      <c r="I4246" s="1" t="str">
        <f>"080833"</f>
        <v>080833</v>
      </c>
      <c r="J4246" s="1" t="s">
        <v>28</v>
      </c>
      <c r="K4246" s="1" t="s">
        <v>28</v>
      </c>
      <c r="L4246" s="1" t="str">
        <f t="shared" si="791"/>
        <v>20220918</v>
      </c>
      <c r="M4246" s="1" t="str">
        <f>"082903"</f>
        <v>082903</v>
      </c>
      <c r="N4246" s="1" t="s">
        <v>34</v>
      </c>
      <c r="O4246" s="1" t="s">
        <v>34</v>
      </c>
      <c r="P4246" s="1" t="s">
        <v>55</v>
      </c>
      <c r="Q4246" s="1">
        <v>25</v>
      </c>
      <c r="R4246" s="1">
        <v>25</v>
      </c>
      <c r="S4246" s="1">
        <v>0</v>
      </c>
      <c r="T4246" s="1">
        <v>0</v>
      </c>
      <c r="U4246" s="1">
        <v>0</v>
      </c>
      <c r="V4246" s="1" t="str">
        <f t="shared" si="794"/>
        <v>里程去程</v>
      </c>
      <c r="W4246" s="1" t="str">
        <f>"0020"</f>
        <v>0020</v>
      </c>
      <c r="X4246" s="1" t="s">
        <v>29</v>
      </c>
    </row>
    <row r="4247" spans="1:24" x14ac:dyDescent="0.3">
      <c r="A4247" s="1" t="str">
        <f t="shared" si="792"/>
        <v>59822</v>
      </c>
      <c r="B4247" s="1" t="s">
        <v>39</v>
      </c>
      <c r="C4247" s="1" t="s">
        <v>40</v>
      </c>
      <c r="D4247" s="1" t="str">
        <f t="shared" si="793"/>
        <v>9803</v>
      </c>
      <c r="E4247" s="1" t="s">
        <v>32</v>
      </c>
      <c r="F4247" s="1" t="str">
        <f>"3963286219"</f>
        <v>3963286219</v>
      </c>
      <c r="G4247" s="1" t="s">
        <v>33</v>
      </c>
      <c r="H4247" s="1" t="str">
        <f t="shared" si="790"/>
        <v>20220918</v>
      </c>
      <c r="I4247" s="1" t="str">
        <f>"080837"</f>
        <v>080837</v>
      </c>
      <c r="J4247" s="1" t="s">
        <v>28</v>
      </c>
      <c r="K4247" s="1" t="s">
        <v>28</v>
      </c>
      <c r="L4247" s="1" t="str">
        <f t="shared" si="791"/>
        <v>20220918</v>
      </c>
      <c r="M4247" s="1" t="str">
        <f>"082829"</f>
        <v>082829</v>
      </c>
      <c r="N4247" s="1" t="s">
        <v>34</v>
      </c>
      <c r="O4247" s="1" t="s">
        <v>34</v>
      </c>
      <c r="P4247" s="1" t="s">
        <v>55</v>
      </c>
      <c r="Q4247" s="1">
        <v>25</v>
      </c>
      <c r="R4247" s="1">
        <v>25</v>
      </c>
      <c r="S4247" s="1">
        <v>0</v>
      </c>
      <c r="T4247" s="1">
        <v>0</v>
      </c>
      <c r="U4247" s="1">
        <v>0</v>
      </c>
      <c r="V4247" s="1" t="str">
        <f t="shared" si="794"/>
        <v>里程去程</v>
      </c>
      <c r="W4247" s="1" t="str">
        <f>"1320"</f>
        <v>1320</v>
      </c>
      <c r="X4247" s="1" t="s">
        <v>35</v>
      </c>
    </row>
    <row r="4248" spans="1:24" x14ac:dyDescent="0.3">
      <c r="A4248" s="1" t="str">
        <f t="shared" si="792"/>
        <v>59822</v>
      </c>
      <c r="B4248" s="1" t="s">
        <v>39</v>
      </c>
      <c r="C4248" s="1" t="s">
        <v>40</v>
      </c>
      <c r="D4248" s="1" t="str">
        <f t="shared" si="793"/>
        <v>9803</v>
      </c>
      <c r="E4248" s="1" t="s">
        <v>32</v>
      </c>
      <c r="F4248" s="1" t="str">
        <f>"A29047196C880400C821002000000019"</f>
        <v>A29047196C880400C821002000000019</v>
      </c>
      <c r="G4248" s="1" t="s">
        <v>64</v>
      </c>
      <c r="H4248" s="1" t="str">
        <f t="shared" si="790"/>
        <v>20220918</v>
      </c>
      <c r="I4248" s="1" t="str">
        <f>"080913"</f>
        <v>080913</v>
      </c>
      <c r="J4248" s="1" t="s">
        <v>28</v>
      </c>
      <c r="K4248" s="1" t="s">
        <v>28</v>
      </c>
      <c r="L4248" s="1" t="str">
        <f t="shared" si="791"/>
        <v>20220918</v>
      </c>
      <c r="M4248" s="1" t="str">
        <f>"081814"</f>
        <v>081814</v>
      </c>
      <c r="N4248" s="1" t="s">
        <v>79</v>
      </c>
      <c r="O4248" s="1" t="s">
        <v>28</v>
      </c>
      <c r="P4248" s="1" t="s">
        <v>55</v>
      </c>
      <c r="Q4248" s="1">
        <v>13</v>
      </c>
      <c r="R4248" s="1">
        <v>0</v>
      </c>
      <c r="S4248" s="1">
        <v>13</v>
      </c>
      <c r="T4248" s="1">
        <v>0</v>
      </c>
      <c r="U4248" s="1">
        <v>0</v>
      </c>
      <c r="V4248" s="1" t="str">
        <f t="shared" si="794"/>
        <v>里程去程</v>
      </c>
      <c r="W4248" s="1" t="str">
        <f>"0620"</f>
        <v>0620</v>
      </c>
      <c r="X4248" s="1" t="s">
        <v>29</v>
      </c>
    </row>
    <row r="4249" spans="1:24" x14ac:dyDescent="0.3">
      <c r="A4249" s="1" t="str">
        <f t="shared" si="792"/>
        <v>59822</v>
      </c>
      <c r="B4249" s="1" t="s">
        <v>39</v>
      </c>
      <c r="C4249" s="1" t="s">
        <v>40</v>
      </c>
      <c r="D4249" s="1" t="str">
        <f t="shared" si="793"/>
        <v>9803</v>
      </c>
      <c r="E4249" s="1" t="s">
        <v>32</v>
      </c>
      <c r="F4249" s="1" t="str">
        <f>"1672299061"</f>
        <v>1672299061</v>
      </c>
      <c r="G4249" s="1" t="s">
        <v>33</v>
      </c>
      <c r="H4249" s="1" t="str">
        <f t="shared" si="790"/>
        <v>20220918</v>
      </c>
      <c r="I4249" s="1" t="str">
        <f>"080919"</f>
        <v>080919</v>
      </c>
      <c r="J4249" s="1" t="s">
        <v>28</v>
      </c>
      <c r="K4249" s="1" t="s">
        <v>28</v>
      </c>
      <c r="L4249" s="1" t="str">
        <f t="shared" si="791"/>
        <v>20220918</v>
      </c>
      <c r="M4249" s="1" t="str">
        <f>"082911"</f>
        <v>082911</v>
      </c>
      <c r="N4249" s="1" t="s">
        <v>34</v>
      </c>
      <c r="O4249" s="1" t="s">
        <v>34</v>
      </c>
      <c r="P4249" s="1" t="s">
        <v>55</v>
      </c>
      <c r="Q4249" s="1">
        <v>25</v>
      </c>
      <c r="R4249" s="1">
        <v>25</v>
      </c>
      <c r="S4249" s="1">
        <v>0</v>
      </c>
      <c r="T4249" s="1">
        <v>0</v>
      </c>
      <c r="U4249" s="1">
        <v>0</v>
      </c>
      <c r="V4249" s="1" t="str">
        <f t="shared" si="794"/>
        <v>里程去程</v>
      </c>
      <c r="W4249" s="1" t="str">
        <f>"2220"</f>
        <v>2220</v>
      </c>
      <c r="X4249" s="1" t="s">
        <v>35</v>
      </c>
    </row>
    <row r="4250" spans="1:24" x14ac:dyDescent="0.3">
      <c r="A4250" s="1" t="str">
        <f t="shared" si="792"/>
        <v>59822</v>
      </c>
      <c r="B4250" s="1" t="s">
        <v>39</v>
      </c>
      <c r="C4250" s="1" t="s">
        <v>40</v>
      </c>
      <c r="D4250" s="1" t="str">
        <f t="shared" si="793"/>
        <v>9803</v>
      </c>
      <c r="E4250" s="1" t="s">
        <v>32</v>
      </c>
      <c r="F4250" s="1" t="str">
        <f>"1760492293"</f>
        <v>1760492293</v>
      </c>
      <c r="G4250" s="1" t="s">
        <v>33</v>
      </c>
      <c r="H4250" s="1" t="str">
        <f t="shared" si="790"/>
        <v>20220918</v>
      </c>
      <c r="I4250" s="1" t="str">
        <f>"081034"</f>
        <v>081034</v>
      </c>
      <c r="J4250" s="1" t="s">
        <v>28</v>
      </c>
      <c r="K4250" s="1" t="s">
        <v>28</v>
      </c>
      <c r="L4250" s="1" t="str">
        <f t="shared" si="791"/>
        <v>20220918</v>
      </c>
      <c r="M4250" s="1" t="str">
        <f>"082933"</f>
        <v>082933</v>
      </c>
      <c r="N4250" s="1" t="s">
        <v>34</v>
      </c>
      <c r="O4250" s="1" t="s">
        <v>34</v>
      </c>
      <c r="P4250" s="1" t="s">
        <v>55</v>
      </c>
      <c r="Q4250" s="1">
        <v>25</v>
      </c>
      <c r="R4250" s="1">
        <v>25</v>
      </c>
      <c r="S4250" s="1">
        <v>0</v>
      </c>
      <c r="T4250" s="1">
        <v>0</v>
      </c>
      <c r="U4250" s="1">
        <v>0</v>
      </c>
      <c r="V4250" s="1" t="str">
        <f t="shared" si="794"/>
        <v>里程去程</v>
      </c>
      <c r="W4250" s="1" t="str">
        <f>"2220"</f>
        <v>2220</v>
      </c>
      <c r="X4250" s="1" t="s">
        <v>35</v>
      </c>
    </row>
    <row r="4251" spans="1:24" x14ac:dyDescent="0.3">
      <c r="A4251" s="1" t="str">
        <f t="shared" si="792"/>
        <v>59822</v>
      </c>
      <c r="B4251" s="1" t="s">
        <v>39</v>
      </c>
      <c r="C4251" s="1" t="s">
        <v>40</v>
      </c>
      <c r="D4251" s="1" t="str">
        <f t="shared" si="793"/>
        <v>9803</v>
      </c>
      <c r="E4251" s="1" t="s">
        <v>32</v>
      </c>
      <c r="F4251" s="1" t="str">
        <f>"1764161189"</f>
        <v>1764161189</v>
      </c>
      <c r="G4251" s="1" t="s">
        <v>33</v>
      </c>
      <c r="H4251" s="1" t="str">
        <f t="shared" si="790"/>
        <v>20220918</v>
      </c>
      <c r="I4251" s="1" t="str">
        <f>"082036"</f>
        <v>082036</v>
      </c>
      <c r="J4251" s="1" t="s">
        <v>46</v>
      </c>
      <c r="K4251" s="1" t="s">
        <v>28</v>
      </c>
      <c r="L4251" s="1" t="str">
        <f t="shared" si="791"/>
        <v>20220918</v>
      </c>
      <c r="M4251" s="1" t="str">
        <f>"082852"</f>
        <v>082852</v>
      </c>
      <c r="N4251" s="1" t="s">
        <v>34</v>
      </c>
      <c r="O4251" s="1" t="s">
        <v>34</v>
      </c>
      <c r="P4251" s="1" t="s">
        <v>55</v>
      </c>
      <c r="Q4251" s="1">
        <v>25</v>
      </c>
      <c r="R4251" s="1">
        <v>25</v>
      </c>
      <c r="S4251" s="1">
        <v>0</v>
      </c>
      <c r="T4251" s="1">
        <v>0</v>
      </c>
      <c r="U4251" s="1">
        <v>0</v>
      </c>
      <c r="V4251" s="1" t="str">
        <f t="shared" si="794"/>
        <v>里程去程</v>
      </c>
      <c r="W4251" s="1" t="str">
        <f>"2020"</f>
        <v>2020</v>
      </c>
      <c r="X4251" s="1" t="s">
        <v>35</v>
      </c>
    </row>
    <row r="4252" spans="1:24" x14ac:dyDescent="0.3">
      <c r="A4252" s="1" t="str">
        <f t="shared" si="792"/>
        <v>59822</v>
      </c>
      <c r="B4252" s="1" t="s">
        <v>39</v>
      </c>
      <c r="C4252" s="1" t="s">
        <v>40</v>
      </c>
      <c r="D4252" s="1" t="str">
        <f t="shared" si="793"/>
        <v>9803</v>
      </c>
      <c r="E4252" s="1" t="s">
        <v>32</v>
      </c>
      <c r="F4252" s="1" t="str">
        <f>"D204451784880400C814002000000019"</f>
        <v>D204451784880400C814002000000019</v>
      </c>
      <c r="G4252" s="1" t="s">
        <v>58</v>
      </c>
      <c r="H4252" s="1" t="str">
        <f t="shared" si="790"/>
        <v>20220918</v>
      </c>
      <c r="I4252" s="1" t="str">
        <f>"082039"</f>
        <v>082039</v>
      </c>
      <c r="J4252" s="1" t="s">
        <v>46</v>
      </c>
      <c r="K4252" s="1" t="s">
        <v>28</v>
      </c>
      <c r="L4252" s="1" t="str">
        <f t="shared" si="791"/>
        <v>20220918</v>
      </c>
      <c r="M4252" s="1" t="str">
        <f>"082849"</f>
        <v>082849</v>
      </c>
      <c r="N4252" s="1" t="s">
        <v>34</v>
      </c>
      <c r="O4252" s="1" t="s">
        <v>34</v>
      </c>
      <c r="P4252" s="1" t="s">
        <v>55</v>
      </c>
      <c r="Q4252" s="1">
        <v>25</v>
      </c>
      <c r="R4252" s="1">
        <v>25</v>
      </c>
      <c r="S4252" s="1">
        <v>0</v>
      </c>
      <c r="T4252" s="1">
        <v>0</v>
      </c>
      <c r="U4252" s="1">
        <v>0</v>
      </c>
      <c r="V4252" s="1" t="str">
        <f t="shared" si="794"/>
        <v>里程去程</v>
      </c>
      <c r="W4252" s="1" t="str">
        <f>"0020"</f>
        <v>0020</v>
      </c>
      <c r="X4252" s="1" t="s">
        <v>29</v>
      </c>
    </row>
    <row r="4253" spans="1:24" x14ac:dyDescent="0.3">
      <c r="A4253" s="1" t="str">
        <f t="shared" si="792"/>
        <v>59822</v>
      </c>
      <c r="B4253" s="1" t="s">
        <v>39</v>
      </c>
      <c r="C4253" s="1" t="s">
        <v>40</v>
      </c>
      <c r="D4253" s="1" t="str">
        <f t="shared" si="793"/>
        <v>9803</v>
      </c>
      <c r="E4253" s="1" t="s">
        <v>32</v>
      </c>
      <c r="F4253" s="1" t="str">
        <f>"799366689"</f>
        <v>799366689</v>
      </c>
      <c r="G4253" s="1" t="s">
        <v>33</v>
      </c>
      <c r="H4253" s="1" t="str">
        <f t="shared" si="790"/>
        <v>20220918</v>
      </c>
      <c r="I4253" s="1" t="str">
        <f>"094810"</f>
        <v>094810</v>
      </c>
      <c r="J4253" s="1" t="s">
        <v>28</v>
      </c>
      <c r="K4253" s="1" t="s">
        <v>28</v>
      </c>
      <c r="L4253" s="1" t="str">
        <f t="shared" si="791"/>
        <v>20220918</v>
      </c>
      <c r="M4253" s="1" t="str">
        <f>"100816"</f>
        <v>100816</v>
      </c>
      <c r="N4253" s="1" t="s">
        <v>34</v>
      </c>
      <c r="O4253" s="1" t="s">
        <v>34</v>
      </c>
      <c r="P4253" s="1" t="s">
        <v>55</v>
      </c>
      <c r="Q4253" s="1">
        <v>25</v>
      </c>
      <c r="R4253" s="1">
        <v>25</v>
      </c>
      <c r="S4253" s="1">
        <v>0</v>
      </c>
      <c r="T4253" s="1">
        <v>0</v>
      </c>
      <c r="U4253" s="1">
        <v>0</v>
      </c>
      <c r="V4253" s="1" t="str">
        <f t="shared" si="794"/>
        <v>里程去程</v>
      </c>
      <c r="W4253" s="1" t="str">
        <f>"0820"</f>
        <v>0820</v>
      </c>
      <c r="X4253" s="1" t="s">
        <v>35</v>
      </c>
    </row>
    <row r="4254" spans="1:24" x14ac:dyDescent="0.3">
      <c r="A4254" s="1" t="str">
        <f t="shared" si="792"/>
        <v>59822</v>
      </c>
      <c r="B4254" s="1" t="s">
        <v>39</v>
      </c>
      <c r="C4254" s="1" t="s">
        <v>40</v>
      </c>
      <c r="D4254" s="1" t="str">
        <f t="shared" si="793"/>
        <v>9803</v>
      </c>
      <c r="E4254" s="1" t="s">
        <v>32</v>
      </c>
      <c r="F4254" s="1" t="str">
        <f>"3759063079"</f>
        <v>3759063079</v>
      </c>
      <c r="G4254" s="1" t="s">
        <v>33</v>
      </c>
      <c r="H4254" s="1" t="str">
        <f t="shared" si="790"/>
        <v>20220918</v>
      </c>
      <c r="I4254" s="1" t="str">
        <f>"094819"</f>
        <v>094819</v>
      </c>
      <c r="J4254" s="1" t="s">
        <v>28</v>
      </c>
      <c r="K4254" s="1" t="s">
        <v>28</v>
      </c>
      <c r="L4254" s="1" t="str">
        <f t="shared" si="791"/>
        <v>20220918</v>
      </c>
      <c r="M4254" s="1" t="str">
        <f>"100819"</f>
        <v>100819</v>
      </c>
      <c r="N4254" s="1" t="s">
        <v>34</v>
      </c>
      <c r="O4254" s="1" t="s">
        <v>34</v>
      </c>
      <c r="P4254" s="1" t="s">
        <v>55</v>
      </c>
      <c r="Q4254" s="1">
        <v>25</v>
      </c>
      <c r="R4254" s="1">
        <v>25</v>
      </c>
      <c r="S4254" s="1">
        <v>0</v>
      </c>
      <c r="T4254" s="1">
        <v>0</v>
      </c>
      <c r="U4254" s="1">
        <v>0</v>
      </c>
      <c r="V4254" s="1" t="str">
        <f t="shared" si="794"/>
        <v>里程去程</v>
      </c>
      <c r="W4254" s="1" t="str">
        <f>"0820"</f>
        <v>0820</v>
      </c>
      <c r="X4254" s="1" t="s">
        <v>35</v>
      </c>
    </row>
    <row r="4255" spans="1:24" x14ac:dyDescent="0.3">
      <c r="A4255" s="1" t="str">
        <f t="shared" si="792"/>
        <v>59822</v>
      </c>
      <c r="B4255" s="1" t="s">
        <v>39</v>
      </c>
      <c r="C4255" s="1" t="s">
        <v>40</v>
      </c>
      <c r="D4255" s="1" t="str">
        <f t="shared" si="793"/>
        <v>9803</v>
      </c>
      <c r="E4255" s="1" t="s">
        <v>32</v>
      </c>
      <c r="F4255" s="1" t="str">
        <f>"1054125633"</f>
        <v>1054125633</v>
      </c>
      <c r="G4255" s="1" t="s">
        <v>33</v>
      </c>
      <c r="H4255" s="1" t="str">
        <f t="shared" si="790"/>
        <v>20220918</v>
      </c>
      <c r="I4255" s="1" t="str">
        <f>"094823"</f>
        <v>094823</v>
      </c>
      <c r="J4255" s="1" t="s">
        <v>28</v>
      </c>
      <c r="K4255" s="1" t="s">
        <v>28</v>
      </c>
      <c r="L4255" s="1" t="str">
        <f t="shared" si="791"/>
        <v>20220918</v>
      </c>
      <c r="M4255" s="1" t="str">
        <f>"100812"</f>
        <v>100812</v>
      </c>
      <c r="N4255" s="1" t="s">
        <v>34</v>
      </c>
      <c r="O4255" s="1" t="s">
        <v>34</v>
      </c>
      <c r="P4255" s="1" t="s">
        <v>55</v>
      </c>
      <c r="Q4255" s="1">
        <v>25</v>
      </c>
      <c r="R4255" s="1">
        <v>0</v>
      </c>
      <c r="S4255" s="1">
        <v>25</v>
      </c>
      <c r="T4255" s="1">
        <v>0</v>
      </c>
      <c r="U4255" s="1">
        <v>0</v>
      </c>
      <c r="V4255" s="1" t="str">
        <f t="shared" si="794"/>
        <v>里程去程</v>
      </c>
      <c r="W4255" s="1" t="str">
        <f>"0820"</f>
        <v>0820</v>
      </c>
      <c r="X4255" s="1" t="s">
        <v>35</v>
      </c>
    </row>
    <row r="4256" spans="1:24" x14ac:dyDescent="0.3">
      <c r="A4256" s="1" t="str">
        <f t="shared" si="792"/>
        <v>59822</v>
      </c>
      <c r="B4256" s="1" t="s">
        <v>39</v>
      </c>
      <c r="C4256" s="1" t="s">
        <v>40</v>
      </c>
      <c r="D4256" s="1" t="str">
        <f t="shared" si="793"/>
        <v>9803</v>
      </c>
      <c r="E4256" s="1" t="s">
        <v>32</v>
      </c>
      <c r="F4256" s="1" t="str">
        <f>"E11D5762C92804001C00000000000000"</f>
        <v>E11D5762C92804001C00000000000000</v>
      </c>
      <c r="G4256" s="1" t="s">
        <v>58</v>
      </c>
      <c r="H4256" s="1" t="str">
        <f t="shared" si="790"/>
        <v>20220918</v>
      </c>
      <c r="I4256" s="1" t="str">
        <f>"094828"</f>
        <v>094828</v>
      </c>
      <c r="J4256" s="1" t="s">
        <v>28</v>
      </c>
      <c r="K4256" s="1" t="s">
        <v>28</v>
      </c>
      <c r="L4256" s="1" t="str">
        <f t="shared" si="791"/>
        <v>20220918</v>
      </c>
      <c r="M4256" s="1" t="str">
        <f>"100828"</f>
        <v>100828</v>
      </c>
      <c r="N4256" s="1" t="s">
        <v>34</v>
      </c>
      <c r="O4256" s="1" t="s">
        <v>34</v>
      </c>
      <c r="P4256" s="1" t="s">
        <v>55</v>
      </c>
      <c r="Q4256" s="1">
        <v>25</v>
      </c>
      <c r="R4256" s="1">
        <v>25</v>
      </c>
      <c r="S4256" s="1">
        <v>0</v>
      </c>
      <c r="T4256" s="1">
        <v>0</v>
      </c>
      <c r="U4256" s="1">
        <v>0</v>
      </c>
      <c r="V4256" s="1" t="str">
        <f t="shared" si="794"/>
        <v>里程去程</v>
      </c>
      <c r="W4256" s="1" t="str">
        <f>"0020"</f>
        <v>0020</v>
      </c>
      <c r="X4256" s="1" t="s">
        <v>29</v>
      </c>
    </row>
    <row r="4257" spans="1:24" x14ac:dyDescent="0.3">
      <c r="A4257" s="1" t="str">
        <f t="shared" si="792"/>
        <v>59822</v>
      </c>
      <c r="B4257" s="1" t="s">
        <v>39</v>
      </c>
      <c r="C4257" s="1" t="s">
        <v>40</v>
      </c>
      <c r="D4257" s="1" t="str">
        <f t="shared" ref="D4257:D4267" si="795">"9805"</f>
        <v>9805</v>
      </c>
      <c r="E4257" s="1" t="s">
        <v>57</v>
      </c>
      <c r="F4257" s="1" t="str">
        <f>"881768501"</f>
        <v>881768501</v>
      </c>
      <c r="G4257" s="1" t="s">
        <v>38</v>
      </c>
      <c r="H4257" s="1" t="str">
        <f t="shared" si="790"/>
        <v>20220918</v>
      </c>
      <c r="I4257" s="1" t="str">
        <f>"120931"</f>
        <v>120931</v>
      </c>
      <c r="J4257" s="1" t="s">
        <v>28</v>
      </c>
      <c r="K4257" s="1" t="s">
        <v>28</v>
      </c>
      <c r="L4257" s="1" t="str">
        <f t="shared" si="791"/>
        <v>20220918</v>
      </c>
      <c r="M4257" s="1" t="str">
        <f>"122039"</f>
        <v>122039</v>
      </c>
      <c r="N4257" s="1" t="s">
        <v>61</v>
      </c>
      <c r="O4257" s="1" t="s">
        <v>28</v>
      </c>
      <c r="P4257" s="1" t="s">
        <v>55</v>
      </c>
      <c r="Q4257" s="1">
        <v>25</v>
      </c>
      <c r="R4257" s="1">
        <v>25</v>
      </c>
      <c r="S4257" s="1">
        <v>0</v>
      </c>
      <c r="T4257" s="1">
        <v>0</v>
      </c>
      <c r="U4257" s="1">
        <v>0</v>
      </c>
      <c r="V4257" s="1" t="str">
        <f t="shared" si="794"/>
        <v>里程去程</v>
      </c>
      <c r="W4257" s="1" t="str">
        <f>"0120"</f>
        <v>0120</v>
      </c>
      <c r="X4257" s="1" t="s">
        <v>35</v>
      </c>
    </row>
    <row r="4258" spans="1:24" x14ac:dyDescent="0.3">
      <c r="A4258" s="1" t="str">
        <f t="shared" si="792"/>
        <v>59822</v>
      </c>
      <c r="B4258" s="1" t="s">
        <v>39</v>
      </c>
      <c r="C4258" s="1" t="s">
        <v>40</v>
      </c>
      <c r="D4258" s="1" t="str">
        <f t="shared" si="795"/>
        <v>9805</v>
      </c>
      <c r="E4258" s="1" t="s">
        <v>57</v>
      </c>
      <c r="F4258" s="1" t="str">
        <f>"9517172006065357"</f>
        <v>9517172006065357</v>
      </c>
      <c r="G4258" s="1" t="s">
        <v>33</v>
      </c>
      <c r="H4258" s="1" t="str">
        <f t="shared" si="790"/>
        <v>20220918</v>
      </c>
      <c r="I4258" s="1" t="str">
        <f>"120942"</f>
        <v>120942</v>
      </c>
      <c r="J4258" s="1" t="s">
        <v>28</v>
      </c>
      <c r="K4258" s="1" t="s">
        <v>28</v>
      </c>
      <c r="L4258" s="1" t="str">
        <f t="shared" si="791"/>
        <v>20220918</v>
      </c>
      <c r="M4258" s="1" t="str">
        <f>"122537"</f>
        <v>122537</v>
      </c>
      <c r="N4258" s="1" t="s">
        <v>52</v>
      </c>
      <c r="O4258" s="1" t="s">
        <v>52</v>
      </c>
      <c r="P4258" s="1" t="s">
        <v>55</v>
      </c>
      <c r="Q4258" s="1">
        <v>25</v>
      </c>
      <c r="R4258" s="1">
        <v>25</v>
      </c>
      <c r="S4258" s="1">
        <v>0</v>
      </c>
      <c r="T4258" s="1">
        <v>0</v>
      </c>
      <c r="U4258" s="1">
        <v>0</v>
      </c>
      <c r="V4258" s="1" t="str">
        <f t="shared" si="794"/>
        <v>里程去程</v>
      </c>
      <c r="W4258" s="1" t="str">
        <f>"013B"</f>
        <v>013B</v>
      </c>
      <c r="X4258" s="1" t="s">
        <v>109</v>
      </c>
    </row>
    <row r="4259" spans="1:24" x14ac:dyDescent="0.3">
      <c r="A4259" s="1" t="str">
        <f t="shared" si="792"/>
        <v>59822</v>
      </c>
      <c r="B4259" s="1" t="s">
        <v>39</v>
      </c>
      <c r="C4259" s="1" t="s">
        <v>40</v>
      </c>
      <c r="D4259" s="1" t="str">
        <f t="shared" si="795"/>
        <v>9805</v>
      </c>
      <c r="E4259" s="1" t="s">
        <v>57</v>
      </c>
      <c r="F4259" s="1" t="str">
        <f>"052C229D968804004327C06900160B07"</f>
        <v>052C229D968804004327C06900160B07</v>
      </c>
      <c r="G4259" s="1" t="s">
        <v>58</v>
      </c>
      <c r="H4259" s="1" t="str">
        <f t="shared" si="790"/>
        <v>20220918</v>
      </c>
      <c r="I4259" s="1" t="str">
        <f>"120944"</f>
        <v>120944</v>
      </c>
      <c r="J4259" s="1" t="s">
        <v>28</v>
      </c>
      <c r="K4259" s="1" t="s">
        <v>28</v>
      </c>
      <c r="L4259" s="1" t="str">
        <f t="shared" si="791"/>
        <v>20220918</v>
      </c>
      <c r="M4259" s="1" t="str">
        <f>"122532"</f>
        <v>122532</v>
      </c>
      <c r="N4259" s="1" t="s">
        <v>52</v>
      </c>
      <c r="O4259" s="1" t="s">
        <v>52</v>
      </c>
      <c r="P4259" s="1" t="s">
        <v>55</v>
      </c>
      <c r="Q4259" s="1">
        <v>25</v>
      </c>
      <c r="R4259" s="1">
        <v>25</v>
      </c>
      <c r="S4259" s="1">
        <v>0</v>
      </c>
      <c r="T4259" s="1">
        <v>0</v>
      </c>
      <c r="U4259" s="1">
        <v>0</v>
      </c>
      <c r="V4259" s="1" t="str">
        <f t="shared" si="794"/>
        <v>里程去程</v>
      </c>
      <c r="W4259" s="1" t="str">
        <f>"0020"</f>
        <v>0020</v>
      </c>
      <c r="X4259" s="1" t="s">
        <v>29</v>
      </c>
    </row>
    <row r="4260" spans="1:24" x14ac:dyDescent="0.3">
      <c r="A4260" s="1" t="str">
        <f t="shared" si="792"/>
        <v>59822</v>
      </c>
      <c r="B4260" s="1" t="s">
        <v>39</v>
      </c>
      <c r="C4260" s="1" t="s">
        <v>40</v>
      </c>
      <c r="D4260" s="1" t="str">
        <f t="shared" si="795"/>
        <v>9805</v>
      </c>
      <c r="E4260" s="1" t="s">
        <v>57</v>
      </c>
      <c r="F4260" s="1" t="str">
        <f>"D72AF944408804004328339900060208"</f>
        <v>D72AF944408804004328339900060208</v>
      </c>
      <c r="G4260" s="1" t="s">
        <v>59</v>
      </c>
      <c r="H4260" s="1" t="str">
        <f t="shared" si="790"/>
        <v>20220918</v>
      </c>
      <c r="I4260" s="1" t="str">
        <f>"120947"</f>
        <v>120947</v>
      </c>
      <c r="J4260" s="1" t="s">
        <v>28</v>
      </c>
      <c r="K4260" s="1" t="s">
        <v>28</v>
      </c>
      <c r="L4260" s="1" t="str">
        <f t="shared" si="791"/>
        <v>20220918</v>
      </c>
      <c r="M4260" s="1" t="str">
        <f>"122529"</f>
        <v>122529</v>
      </c>
      <c r="N4260" s="1" t="s">
        <v>52</v>
      </c>
      <c r="O4260" s="1" t="s">
        <v>52</v>
      </c>
      <c r="P4260" s="1" t="s">
        <v>55</v>
      </c>
      <c r="Q4260" s="1">
        <v>25</v>
      </c>
      <c r="R4260" s="1">
        <v>25</v>
      </c>
      <c r="S4260" s="1">
        <v>0</v>
      </c>
      <c r="T4260" s="1">
        <v>0</v>
      </c>
      <c r="U4260" s="1">
        <v>0</v>
      </c>
      <c r="V4260" s="1" t="str">
        <f t="shared" si="794"/>
        <v>里程去程</v>
      </c>
      <c r="W4260" s="1" t="str">
        <f>"0020"</f>
        <v>0020</v>
      </c>
      <c r="X4260" s="1" t="s">
        <v>29</v>
      </c>
    </row>
    <row r="4261" spans="1:24" x14ac:dyDescent="0.3">
      <c r="A4261" s="1" t="str">
        <f t="shared" si="792"/>
        <v>59822</v>
      </c>
      <c r="B4261" s="1" t="s">
        <v>39</v>
      </c>
      <c r="C4261" s="1" t="s">
        <v>40</v>
      </c>
      <c r="D4261" s="1" t="str">
        <f t="shared" si="795"/>
        <v>9805</v>
      </c>
      <c r="E4261" s="1" t="s">
        <v>57</v>
      </c>
      <c r="F4261" s="1" t="str">
        <f>"1390089377"</f>
        <v>1390089377</v>
      </c>
      <c r="G4261" s="1" t="s">
        <v>26</v>
      </c>
      <c r="H4261" s="1" t="str">
        <f t="shared" si="790"/>
        <v>20220918</v>
      </c>
      <c r="I4261" s="1" t="str">
        <f>"122210"</f>
        <v>122210</v>
      </c>
      <c r="J4261" s="1" t="s">
        <v>61</v>
      </c>
      <c r="K4261" s="1" t="s">
        <v>28</v>
      </c>
      <c r="L4261" s="1" t="str">
        <f t="shared" si="791"/>
        <v>20220918</v>
      </c>
      <c r="M4261" s="1" t="str">
        <f>"122521"</f>
        <v>122521</v>
      </c>
      <c r="N4261" s="1" t="s">
        <v>52</v>
      </c>
      <c r="O4261" s="1" t="s">
        <v>52</v>
      </c>
      <c r="P4261" s="1" t="s">
        <v>55</v>
      </c>
      <c r="Q4261" s="1">
        <v>13</v>
      </c>
      <c r="R4261" s="1">
        <v>0</v>
      </c>
      <c r="S4261" s="1">
        <v>13</v>
      </c>
      <c r="T4261" s="1">
        <v>0</v>
      </c>
      <c r="U4261" s="1">
        <v>0</v>
      </c>
      <c r="V4261" s="1" t="str">
        <f t="shared" si="794"/>
        <v>里程去程</v>
      </c>
      <c r="W4261" s="1" t="str">
        <f>"2020"</f>
        <v>2020</v>
      </c>
      <c r="X4261" s="1" t="s">
        <v>35</v>
      </c>
    </row>
    <row r="4262" spans="1:24" x14ac:dyDescent="0.3">
      <c r="A4262" s="1" t="str">
        <f t="shared" si="792"/>
        <v>59822</v>
      </c>
      <c r="B4262" s="1" t="s">
        <v>39</v>
      </c>
      <c r="C4262" s="1" t="s">
        <v>40</v>
      </c>
      <c r="D4262" s="1" t="str">
        <f t="shared" si="795"/>
        <v>9805</v>
      </c>
      <c r="E4262" s="1" t="s">
        <v>57</v>
      </c>
      <c r="F4262" s="1" t="str">
        <f>"540097441"</f>
        <v>540097441</v>
      </c>
      <c r="G4262" s="1" t="s">
        <v>26</v>
      </c>
      <c r="H4262" s="1" t="str">
        <f t="shared" si="790"/>
        <v>20220918</v>
      </c>
      <c r="I4262" s="1" t="str">
        <f>"122218"</f>
        <v>122218</v>
      </c>
      <c r="J4262" s="1" t="s">
        <v>61</v>
      </c>
      <c r="K4262" s="1" t="s">
        <v>28</v>
      </c>
      <c r="L4262" s="1" t="str">
        <f t="shared" si="791"/>
        <v>20220918</v>
      </c>
      <c r="M4262" s="1" t="str">
        <f>"122525"</f>
        <v>122525</v>
      </c>
      <c r="N4262" s="1" t="s">
        <v>52</v>
      </c>
      <c r="O4262" s="1" t="s">
        <v>52</v>
      </c>
      <c r="P4262" s="1" t="s">
        <v>55</v>
      </c>
      <c r="Q4262" s="1">
        <v>13</v>
      </c>
      <c r="R4262" s="1">
        <v>0</v>
      </c>
      <c r="S4262" s="1">
        <v>13</v>
      </c>
      <c r="T4262" s="1">
        <v>0</v>
      </c>
      <c r="U4262" s="1">
        <v>0</v>
      </c>
      <c r="V4262" s="1" t="str">
        <f t="shared" si="794"/>
        <v>里程去程</v>
      </c>
      <c r="W4262" s="1" t="str">
        <f>"2020"</f>
        <v>2020</v>
      </c>
      <c r="X4262" s="1" t="s">
        <v>35</v>
      </c>
    </row>
    <row r="4263" spans="1:24" x14ac:dyDescent="0.3">
      <c r="A4263" s="1" t="str">
        <f t="shared" si="792"/>
        <v>59822</v>
      </c>
      <c r="B4263" s="1" t="s">
        <v>39</v>
      </c>
      <c r="C4263" s="1" t="s">
        <v>40</v>
      </c>
      <c r="D4263" s="1" t="str">
        <f t="shared" si="795"/>
        <v>9805</v>
      </c>
      <c r="E4263" s="1" t="s">
        <v>57</v>
      </c>
      <c r="F4263" s="1" t="str">
        <f>"540097441"</f>
        <v>540097441</v>
      </c>
      <c r="G4263" s="1" t="s">
        <v>26</v>
      </c>
      <c r="H4263" s="1" t="str">
        <f t="shared" si="790"/>
        <v>20220918</v>
      </c>
      <c r="I4263" s="1" t="str">
        <f>"131021"</f>
        <v>131021</v>
      </c>
      <c r="J4263" s="1" t="s">
        <v>52</v>
      </c>
      <c r="K4263" s="1" t="s">
        <v>52</v>
      </c>
      <c r="L4263" s="1" t="str">
        <f t="shared" si="791"/>
        <v>20220918</v>
      </c>
      <c r="M4263" s="1" t="str">
        <f>"131910"</f>
        <v>131910</v>
      </c>
      <c r="N4263" s="1" t="s">
        <v>46</v>
      </c>
      <c r="O4263" s="1" t="s">
        <v>28</v>
      </c>
      <c r="P4263" s="1" t="s">
        <v>55</v>
      </c>
      <c r="Q4263" s="1">
        <v>13</v>
      </c>
      <c r="R4263" s="1">
        <v>0</v>
      </c>
      <c r="S4263" s="1">
        <v>13</v>
      </c>
      <c r="T4263" s="1">
        <v>0</v>
      </c>
      <c r="U4263" s="1">
        <v>0</v>
      </c>
      <c r="V4263" s="1" t="str">
        <f>"里程返程"</f>
        <v>里程返程</v>
      </c>
      <c r="W4263" s="1" t="str">
        <f>"2020"</f>
        <v>2020</v>
      </c>
      <c r="X4263" s="1" t="s">
        <v>35</v>
      </c>
    </row>
    <row r="4264" spans="1:24" x14ac:dyDescent="0.3">
      <c r="A4264" s="1" t="str">
        <f t="shared" si="792"/>
        <v>59822</v>
      </c>
      <c r="B4264" s="1" t="s">
        <v>39</v>
      </c>
      <c r="C4264" s="1" t="s">
        <v>40</v>
      </c>
      <c r="D4264" s="1" t="str">
        <f t="shared" si="795"/>
        <v>9805</v>
      </c>
      <c r="E4264" s="1" t="s">
        <v>57</v>
      </c>
      <c r="F4264" s="1" t="str">
        <f>"1390089377"</f>
        <v>1390089377</v>
      </c>
      <c r="G4264" s="1" t="s">
        <v>26</v>
      </c>
      <c r="H4264" s="1" t="str">
        <f t="shared" si="790"/>
        <v>20220918</v>
      </c>
      <c r="I4264" s="1" t="str">
        <f>"131026"</f>
        <v>131026</v>
      </c>
      <c r="J4264" s="1" t="s">
        <v>52</v>
      </c>
      <c r="K4264" s="1" t="s">
        <v>52</v>
      </c>
      <c r="L4264" s="1" t="str">
        <f t="shared" si="791"/>
        <v>20220918</v>
      </c>
      <c r="M4264" s="1" t="str">
        <f>"131905"</f>
        <v>131905</v>
      </c>
      <c r="N4264" s="1" t="s">
        <v>46</v>
      </c>
      <c r="O4264" s="1" t="s">
        <v>28</v>
      </c>
      <c r="P4264" s="1" t="s">
        <v>55</v>
      </c>
      <c r="Q4264" s="1">
        <v>13</v>
      </c>
      <c r="R4264" s="1">
        <v>0</v>
      </c>
      <c r="S4264" s="1">
        <v>13</v>
      </c>
      <c r="T4264" s="1">
        <v>0</v>
      </c>
      <c r="U4264" s="1">
        <v>0</v>
      </c>
      <c r="V4264" s="1" t="str">
        <f>"里程返程"</f>
        <v>里程返程</v>
      </c>
      <c r="W4264" s="1" t="str">
        <f>"2020"</f>
        <v>2020</v>
      </c>
      <c r="X4264" s="1" t="s">
        <v>35</v>
      </c>
    </row>
    <row r="4265" spans="1:24" x14ac:dyDescent="0.3">
      <c r="A4265" s="1" t="str">
        <f t="shared" si="792"/>
        <v>59822</v>
      </c>
      <c r="B4265" s="1" t="s">
        <v>39</v>
      </c>
      <c r="C4265" s="1" t="s">
        <v>40</v>
      </c>
      <c r="D4265" s="1" t="str">
        <f t="shared" si="795"/>
        <v>9805</v>
      </c>
      <c r="E4265" s="1" t="s">
        <v>57</v>
      </c>
      <c r="F4265" s="1" t="str">
        <f>"3609145139"</f>
        <v>3609145139</v>
      </c>
      <c r="G4265" s="1" t="s">
        <v>33</v>
      </c>
      <c r="H4265" s="1" t="str">
        <f t="shared" si="790"/>
        <v>20220918</v>
      </c>
      <c r="I4265" s="1" t="str">
        <f>"131429"</f>
        <v>131429</v>
      </c>
      <c r="J4265" s="1" t="s">
        <v>62</v>
      </c>
      <c r="K4265" s="1" t="s">
        <v>28</v>
      </c>
      <c r="L4265" s="1" t="str">
        <f t="shared" si="791"/>
        <v>20220918</v>
      </c>
      <c r="M4265" s="1" t="str">
        <f>"132816"</f>
        <v>132816</v>
      </c>
      <c r="N4265" s="1" t="s">
        <v>28</v>
      </c>
      <c r="O4265" s="1" t="s">
        <v>28</v>
      </c>
      <c r="P4265" s="1" t="s">
        <v>55</v>
      </c>
      <c r="Q4265" s="1">
        <v>25</v>
      </c>
      <c r="R4265" s="1">
        <v>25</v>
      </c>
      <c r="S4265" s="1">
        <v>0</v>
      </c>
      <c r="T4265" s="1">
        <v>0</v>
      </c>
      <c r="U4265" s="1">
        <v>0</v>
      </c>
      <c r="V4265" s="1" t="str">
        <f>"里程返程"</f>
        <v>里程返程</v>
      </c>
      <c r="W4265" s="1" t="str">
        <f>"2120"</f>
        <v>2120</v>
      </c>
      <c r="X4265" s="1" t="s">
        <v>35</v>
      </c>
    </row>
    <row r="4266" spans="1:24" x14ac:dyDescent="0.3">
      <c r="A4266" s="1" t="str">
        <f t="shared" si="792"/>
        <v>59822</v>
      </c>
      <c r="B4266" s="1" t="s">
        <v>39</v>
      </c>
      <c r="C4266" s="1" t="s">
        <v>40</v>
      </c>
      <c r="D4266" s="1" t="str">
        <f t="shared" si="795"/>
        <v>9805</v>
      </c>
      <c r="E4266" s="1" t="s">
        <v>57</v>
      </c>
      <c r="F4266" s="1" t="str">
        <f>"3588817443"</f>
        <v>3588817443</v>
      </c>
      <c r="G4266" s="1" t="s">
        <v>33</v>
      </c>
      <c r="H4266" s="1" t="str">
        <f t="shared" si="790"/>
        <v>20220918</v>
      </c>
      <c r="I4266" s="1" t="str">
        <f>"131432"</f>
        <v>131432</v>
      </c>
      <c r="J4266" s="1" t="s">
        <v>62</v>
      </c>
      <c r="K4266" s="1" t="s">
        <v>28</v>
      </c>
      <c r="L4266" s="1" t="str">
        <f t="shared" si="791"/>
        <v>20220918</v>
      </c>
      <c r="M4266" s="1" t="str">
        <f>"132813"</f>
        <v>132813</v>
      </c>
      <c r="N4266" s="1" t="s">
        <v>28</v>
      </c>
      <c r="O4266" s="1" t="s">
        <v>28</v>
      </c>
      <c r="P4266" s="1" t="s">
        <v>55</v>
      </c>
      <c r="Q4266" s="1">
        <v>25</v>
      </c>
      <c r="R4266" s="1">
        <v>25</v>
      </c>
      <c r="S4266" s="1">
        <v>0</v>
      </c>
      <c r="T4266" s="1">
        <v>0</v>
      </c>
      <c r="U4266" s="1">
        <v>0</v>
      </c>
      <c r="V4266" s="1" t="str">
        <f>"里程返程"</f>
        <v>里程返程</v>
      </c>
      <c r="W4266" s="1" t="str">
        <f>"2120"</f>
        <v>2120</v>
      </c>
      <c r="X4266" s="1" t="s">
        <v>35</v>
      </c>
    </row>
    <row r="4267" spans="1:24" x14ac:dyDescent="0.3">
      <c r="A4267" s="1" t="str">
        <f t="shared" si="792"/>
        <v>59822</v>
      </c>
      <c r="B4267" s="1" t="s">
        <v>39</v>
      </c>
      <c r="C4267" s="1" t="s">
        <v>40</v>
      </c>
      <c r="D4267" s="1" t="str">
        <f t="shared" si="795"/>
        <v>9805</v>
      </c>
      <c r="E4267" s="1" t="s">
        <v>57</v>
      </c>
      <c r="F4267" s="1" t="str">
        <f>"E89D3C3079880400468E1E9145400613"</f>
        <v>E89D3C3079880400468E1E9145400613</v>
      </c>
      <c r="G4267" s="1" t="s">
        <v>64</v>
      </c>
      <c r="H4267" s="1" t="str">
        <f t="shared" si="790"/>
        <v>20220918</v>
      </c>
      <c r="I4267" s="1" t="str">
        <f>"131436"</f>
        <v>131436</v>
      </c>
      <c r="J4267" s="1" t="s">
        <v>62</v>
      </c>
      <c r="K4267" s="1" t="s">
        <v>28</v>
      </c>
      <c r="L4267" s="1" t="str">
        <f t="shared" si="791"/>
        <v>20220918</v>
      </c>
      <c r="M4267" s="1" t="str">
        <f>"132757"</f>
        <v>132757</v>
      </c>
      <c r="N4267" s="1" t="s">
        <v>28</v>
      </c>
      <c r="O4267" s="1" t="s">
        <v>28</v>
      </c>
      <c r="P4267" s="1" t="s">
        <v>55</v>
      </c>
      <c r="Q4267" s="1">
        <v>13</v>
      </c>
      <c r="R4267" s="1">
        <v>0</v>
      </c>
      <c r="S4267" s="1">
        <v>13</v>
      </c>
      <c r="T4267" s="1">
        <v>0</v>
      </c>
      <c r="U4267" s="1">
        <v>0</v>
      </c>
      <c r="V4267" s="1" t="str">
        <f>"里程返程"</f>
        <v>里程返程</v>
      </c>
      <c r="W4267" s="1" t="str">
        <f>"1120"</f>
        <v>1120</v>
      </c>
      <c r="X4267" s="1" t="s">
        <v>29</v>
      </c>
    </row>
    <row r="4268" spans="1:24" x14ac:dyDescent="0.3">
      <c r="A4268" s="1" t="str">
        <f t="shared" si="792"/>
        <v>59822</v>
      </c>
      <c r="B4268" s="1" t="s">
        <v>39</v>
      </c>
      <c r="C4268" s="1" t="s">
        <v>40</v>
      </c>
      <c r="D4268" s="1" t="str">
        <f t="shared" ref="D4268:D4314" si="796">"9803"</f>
        <v>9803</v>
      </c>
      <c r="E4268" s="1" t="s">
        <v>32</v>
      </c>
      <c r="F4268" s="1" t="str">
        <f>"A111386DE52804001C00000000000000"</f>
        <v>A111386DE52804001C00000000000000</v>
      </c>
      <c r="G4268" s="1" t="s">
        <v>58</v>
      </c>
      <c r="H4268" s="1" t="str">
        <f t="shared" si="790"/>
        <v>20220918</v>
      </c>
      <c r="I4268" s="1" t="str">
        <f>"132925"</f>
        <v>132925</v>
      </c>
      <c r="J4268" s="1" t="s">
        <v>28</v>
      </c>
      <c r="K4268" s="1" t="s">
        <v>28</v>
      </c>
      <c r="L4268" s="1" t="str">
        <f t="shared" si="791"/>
        <v>20220918</v>
      </c>
      <c r="M4268" s="1" t="str">
        <f>"134808"</f>
        <v>134808</v>
      </c>
      <c r="N4268" s="1" t="s">
        <v>34</v>
      </c>
      <c r="O4268" s="1" t="s">
        <v>34</v>
      </c>
      <c r="P4268" s="1" t="s">
        <v>55</v>
      </c>
      <c r="Q4268" s="1">
        <v>25</v>
      </c>
      <c r="R4268" s="1">
        <v>25</v>
      </c>
      <c r="S4268" s="1">
        <v>0</v>
      </c>
      <c r="T4268" s="1">
        <v>0</v>
      </c>
      <c r="U4268" s="1">
        <v>0</v>
      </c>
      <c r="V4268" s="1" t="str">
        <f t="shared" ref="V4268:V4274" si="797">"里程去程"</f>
        <v>里程去程</v>
      </c>
      <c r="W4268" s="1" t="str">
        <f>"0020"</f>
        <v>0020</v>
      </c>
      <c r="X4268" s="1" t="s">
        <v>29</v>
      </c>
    </row>
    <row r="4269" spans="1:24" x14ac:dyDescent="0.3">
      <c r="A4269" s="1" t="str">
        <f t="shared" si="792"/>
        <v>59822</v>
      </c>
      <c r="B4269" s="1" t="s">
        <v>39</v>
      </c>
      <c r="C4269" s="1" t="s">
        <v>40</v>
      </c>
      <c r="D4269" s="1" t="str">
        <f t="shared" si="796"/>
        <v>9803</v>
      </c>
      <c r="E4269" s="1" t="s">
        <v>32</v>
      </c>
      <c r="F4269" s="1" t="str">
        <f>"852299265"</f>
        <v>852299265</v>
      </c>
      <c r="G4269" s="1" t="s">
        <v>33</v>
      </c>
      <c r="H4269" s="1" t="str">
        <f t="shared" si="790"/>
        <v>20220918</v>
      </c>
      <c r="I4269" s="1" t="str">
        <f>"132948"</f>
        <v>132948</v>
      </c>
      <c r="J4269" s="1" t="s">
        <v>28</v>
      </c>
      <c r="K4269" s="1" t="s">
        <v>28</v>
      </c>
      <c r="L4269" s="1" t="str">
        <f t="shared" si="791"/>
        <v>20220918</v>
      </c>
      <c r="M4269" s="1" t="str">
        <f>"133816"</f>
        <v>133816</v>
      </c>
      <c r="N4269" s="1" t="s">
        <v>46</v>
      </c>
      <c r="O4269" s="1" t="s">
        <v>28</v>
      </c>
      <c r="P4269" s="1" t="s">
        <v>55</v>
      </c>
      <c r="Q4269" s="1">
        <v>25</v>
      </c>
      <c r="R4269" s="1">
        <v>25</v>
      </c>
      <c r="S4269" s="1">
        <v>0</v>
      </c>
      <c r="T4269" s="1">
        <v>0</v>
      </c>
      <c r="U4269" s="1">
        <v>0</v>
      </c>
      <c r="V4269" s="1" t="str">
        <f t="shared" si="797"/>
        <v>里程去程</v>
      </c>
      <c r="W4269" s="1" t="str">
        <f>"0120"</f>
        <v>0120</v>
      </c>
      <c r="X4269" s="1" t="s">
        <v>35</v>
      </c>
    </row>
    <row r="4270" spans="1:24" x14ac:dyDescent="0.3">
      <c r="A4270" s="1" t="str">
        <f t="shared" si="792"/>
        <v>59822</v>
      </c>
      <c r="B4270" s="1" t="s">
        <v>39</v>
      </c>
      <c r="C4270" s="1" t="s">
        <v>40</v>
      </c>
      <c r="D4270" s="1" t="str">
        <f t="shared" si="796"/>
        <v>9803</v>
      </c>
      <c r="E4270" s="1" t="s">
        <v>32</v>
      </c>
      <c r="F4270" s="1" t="str">
        <f>"1049194581"</f>
        <v>1049194581</v>
      </c>
      <c r="G4270" s="1" t="s">
        <v>26</v>
      </c>
      <c r="H4270" s="1" t="str">
        <f t="shared" si="790"/>
        <v>20220918</v>
      </c>
      <c r="I4270" s="1" t="str">
        <f>"132953"</f>
        <v>132953</v>
      </c>
      <c r="J4270" s="1" t="s">
        <v>28</v>
      </c>
      <c r="K4270" s="1" t="s">
        <v>28</v>
      </c>
      <c r="L4270" s="1" t="str">
        <f t="shared" ref="L4270:L4301" si="798">"20220918"</f>
        <v>20220918</v>
      </c>
      <c r="M4270" s="1" t="str">
        <f>"133812"</f>
        <v>133812</v>
      </c>
      <c r="N4270" s="1" t="s">
        <v>46</v>
      </c>
      <c r="O4270" s="1" t="s">
        <v>28</v>
      </c>
      <c r="P4270" s="1" t="s">
        <v>55</v>
      </c>
      <c r="Q4270" s="1">
        <v>13</v>
      </c>
      <c r="R4270" s="1">
        <v>13</v>
      </c>
      <c r="S4270" s="1">
        <v>0</v>
      </c>
      <c r="T4270" s="1">
        <v>0</v>
      </c>
      <c r="U4270" s="1">
        <v>0</v>
      </c>
      <c r="V4270" s="1" t="str">
        <f t="shared" si="797"/>
        <v>里程去程</v>
      </c>
      <c r="W4270" s="1" t="str">
        <f>"0220"</f>
        <v>0220</v>
      </c>
      <c r="X4270" s="1" t="s">
        <v>35</v>
      </c>
    </row>
    <row r="4271" spans="1:24" x14ac:dyDescent="0.3">
      <c r="A4271" s="1" t="str">
        <f t="shared" si="792"/>
        <v>59822</v>
      </c>
      <c r="B4271" s="1" t="s">
        <v>39</v>
      </c>
      <c r="C4271" s="1" t="s">
        <v>40</v>
      </c>
      <c r="D4271" s="1" t="str">
        <f t="shared" si="796"/>
        <v>9803</v>
      </c>
      <c r="E4271" s="1" t="s">
        <v>32</v>
      </c>
      <c r="F4271" s="1" t="str">
        <f>"1775866421"</f>
        <v>1775866421</v>
      </c>
      <c r="G4271" s="1" t="s">
        <v>33</v>
      </c>
      <c r="H4271" s="1" t="str">
        <f t="shared" si="790"/>
        <v>20220918</v>
      </c>
      <c r="I4271" s="1" t="str">
        <f>"132959"</f>
        <v>132959</v>
      </c>
      <c r="J4271" s="1" t="s">
        <v>28</v>
      </c>
      <c r="K4271" s="1" t="s">
        <v>28</v>
      </c>
      <c r="L4271" s="1" t="str">
        <f t="shared" si="798"/>
        <v>20220918</v>
      </c>
      <c r="M4271" s="1" t="str">
        <f>"133819"</f>
        <v>133819</v>
      </c>
      <c r="N4271" s="1" t="s">
        <v>46</v>
      </c>
      <c r="O4271" s="1" t="s">
        <v>28</v>
      </c>
      <c r="P4271" s="1" t="s">
        <v>55</v>
      </c>
      <c r="Q4271" s="1">
        <v>25</v>
      </c>
      <c r="R4271" s="1">
        <v>25</v>
      </c>
      <c r="S4271" s="1">
        <v>0</v>
      </c>
      <c r="T4271" s="1">
        <v>0</v>
      </c>
      <c r="U4271" s="1">
        <v>0</v>
      </c>
      <c r="V4271" s="1" t="str">
        <f t="shared" si="797"/>
        <v>里程去程</v>
      </c>
      <c r="W4271" s="1" t="str">
        <f>"0220"</f>
        <v>0220</v>
      </c>
      <c r="X4271" s="1" t="s">
        <v>35</v>
      </c>
    </row>
    <row r="4272" spans="1:24" x14ac:dyDescent="0.3">
      <c r="A4272" s="1" t="str">
        <f t="shared" si="792"/>
        <v>59822</v>
      </c>
      <c r="B4272" s="1" t="s">
        <v>39</v>
      </c>
      <c r="C4272" s="1" t="s">
        <v>40</v>
      </c>
      <c r="D4272" s="1" t="str">
        <f t="shared" si="796"/>
        <v>9803</v>
      </c>
      <c r="E4272" s="1" t="s">
        <v>32</v>
      </c>
      <c r="F4272" s="1" t="str">
        <f>"3372606650"</f>
        <v>3372606650</v>
      </c>
      <c r="G4272" s="1" t="s">
        <v>33</v>
      </c>
      <c r="H4272" s="1" t="str">
        <f t="shared" si="790"/>
        <v>20220918</v>
      </c>
      <c r="I4272" s="1" t="str">
        <f>"133006"</f>
        <v>133006</v>
      </c>
      <c r="J4272" s="1" t="s">
        <v>28</v>
      </c>
      <c r="K4272" s="1" t="s">
        <v>28</v>
      </c>
      <c r="L4272" s="1" t="str">
        <f t="shared" si="798"/>
        <v>20220918</v>
      </c>
      <c r="M4272" s="1" t="str">
        <f>"133655"</f>
        <v>133655</v>
      </c>
      <c r="N4272" s="1" t="s">
        <v>46</v>
      </c>
      <c r="O4272" s="1" t="s">
        <v>28</v>
      </c>
      <c r="P4272" s="1" t="s">
        <v>55</v>
      </c>
      <c r="Q4272" s="1">
        <v>25</v>
      </c>
      <c r="R4272" s="1">
        <v>25</v>
      </c>
      <c r="S4272" s="1">
        <v>0</v>
      </c>
      <c r="T4272" s="1">
        <v>0</v>
      </c>
      <c r="U4272" s="1">
        <v>0</v>
      </c>
      <c r="V4272" s="1" t="str">
        <f t="shared" si="797"/>
        <v>里程去程</v>
      </c>
      <c r="W4272" s="1" t="str">
        <f>"0820"</f>
        <v>0820</v>
      </c>
      <c r="X4272" s="1" t="s">
        <v>35</v>
      </c>
    </row>
    <row r="4273" spans="1:24" x14ac:dyDescent="0.3">
      <c r="A4273" s="1" t="str">
        <f t="shared" si="792"/>
        <v>59822</v>
      </c>
      <c r="B4273" s="1" t="s">
        <v>39</v>
      </c>
      <c r="C4273" s="1" t="s">
        <v>40</v>
      </c>
      <c r="D4273" s="1" t="str">
        <f t="shared" si="796"/>
        <v>9803</v>
      </c>
      <c r="E4273" s="1" t="s">
        <v>32</v>
      </c>
      <c r="F4273" s="1" t="str">
        <f>"6917172035010788"</f>
        <v>6917172035010788</v>
      </c>
      <c r="G4273" s="1" t="s">
        <v>33</v>
      </c>
      <c r="H4273" s="1" t="str">
        <f t="shared" si="790"/>
        <v>20220918</v>
      </c>
      <c r="I4273" s="1" t="str">
        <f>"133011"</f>
        <v>133011</v>
      </c>
      <c r="J4273" s="1" t="s">
        <v>28</v>
      </c>
      <c r="K4273" s="1" t="s">
        <v>28</v>
      </c>
      <c r="L4273" s="1" t="str">
        <f t="shared" si="798"/>
        <v>20220918</v>
      </c>
      <c r="M4273" s="1" t="str">
        <f>"133804"</f>
        <v>133804</v>
      </c>
      <c r="N4273" s="1" t="s">
        <v>46</v>
      </c>
      <c r="O4273" s="1" t="s">
        <v>28</v>
      </c>
      <c r="P4273" s="1" t="s">
        <v>55</v>
      </c>
      <c r="Q4273" s="1">
        <v>25</v>
      </c>
      <c r="R4273" s="1">
        <v>25</v>
      </c>
      <c r="S4273" s="1">
        <v>0</v>
      </c>
      <c r="T4273" s="1">
        <v>0</v>
      </c>
      <c r="U4273" s="1">
        <v>0</v>
      </c>
      <c r="V4273" s="1" t="str">
        <f t="shared" si="797"/>
        <v>里程去程</v>
      </c>
      <c r="W4273" s="1" t="str">
        <f>"0E3B"</f>
        <v>0E3B</v>
      </c>
      <c r="X4273" s="1" t="s">
        <v>109</v>
      </c>
    </row>
    <row r="4274" spans="1:24" x14ac:dyDescent="0.3">
      <c r="A4274" s="1" t="str">
        <f t="shared" si="792"/>
        <v>59822</v>
      </c>
      <c r="B4274" s="1" t="s">
        <v>39</v>
      </c>
      <c r="C4274" s="1" t="s">
        <v>40</v>
      </c>
      <c r="D4274" s="1" t="str">
        <f t="shared" si="796"/>
        <v>9803</v>
      </c>
      <c r="E4274" s="1" t="s">
        <v>32</v>
      </c>
      <c r="F4274" s="1" t="str">
        <f>"1709069061"</f>
        <v>1709069061</v>
      </c>
      <c r="G4274" s="1" t="s">
        <v>33</v>
      </c>
      <c r="H4274" s="1" t="str">
        <f t="shared" si="790"/>
        <v>20220918</v>
      </c>
      <c r="I4274" s="1" t="str">
        <f>"133824"</f>
        <v>133824</v>
      </c>
      <c r="J4274" s="1" t="s">
        <v>46</v>
      </c>
      <c r="K4274" s="1" t="s">
        <v>28</v>
      </c>
      <c r="L4274" s="1" t="str">
        <f t="shared" si="798"/>
        <v>20220918</v>
      </c>
      <c r="M4274" s="1" t="str">
        <f>"134820"</f>
        <v>134820</v>
      </c>
      <c r="N4274" s="1" t="s">
        <v>34</v>
      </c>
      <c r="O4274" s="1" t="s">
        <v>34</v>
      </c>
      <c r="P4274" s="1" t="s">
        <v>55</v>
      </c>
      <c r="Q4274" s="1">
        <v>25</v>
      </c>
      <c r="R4274" s="1">
        <v>25</v>
      </c>
      <c r="S4274" s="1">
        <v>0</v>
      </c>
      <c r="T4274" s="1">
        <v>0</v>
      </c>
      <c r="U4274" s="1">
        <v>0</v>
      </c>
      <c r="V4274" s="1" t="str">
        <f t="shared" si="797"/>
        <v>里程去程</v>
      </c>
      <c r="W4274" s="1" t="str">
        <f>"2020"</f>
        <v>2020</v>
      </c>
      <c r="X4274" s="1" t="s">
        <v>35</v>
      </c>
    </row>
    <row r="4275" spans="1:24" x14ac:dyDescent="0.3">
      <c r="A4275" s="1" t="str">
        <f t="shared" ref="A4275:A4306" si="799">"59822"</f>
        <v>59822</v>
      </c>
      <c r="B4275" s="1" t="s">
        <v>39</v>
      </c>
      <c r="C4275" s="1" t="s">
        <v>40</v>
      </c>
      <c r="D4275" s="1" t="str">
        <f t="shared" si="796"/>
        <v>9803</v>
      </c>
      <c r="E4275" s="1" t="s">
        <v>32</v>
      </c>
      <c r="F4275" s="1" t="str">
        <f>"1777198517"</f>
        <v>1777198517</v>
      </c>
      <c r="G4275" s="1" t="s">
        <v>33</v>
      </c>
      <c r="H4275" s="1" t="str">
        <f t="shared" si="790"/>
        <v>20220918</v>
      </c>
      <c r="I4275" s="1" t="str">
        <f>"134858"</f>
        <v>134858</v>
      </c>
      <c r="J4275" s="1" t="s">
        <v>34</v>
      </c>
      <c r="K4275" s="1" t="s">
        <v>34</v>
      </c>
      <c r="L4275" s="1" t="str">
        <f t="shared" si="798"/>
        <v>20220918</v>
      </c>
      <c r="M4275" s="1" t="str">
        <f>"142927"</f>
        <v>142927</v>
      </c>
      <c r="N4275" s="1" t="s">
        <v>28</v>
      </c>
      <c r="O4275" s="1" t="s">
        <v>28</v>
      </c>
      <c r="P4275" s="1" t="s">
        <v>55</v>
      </c>
      <c r="Q4275" s="1">
        <v>25</v>
      </c>
      <c r="R4275" s="1">
        <v>25</v>
      </c>
      <c r="S4275" s="1">
        <v>0</v>
      </c>
      <c r="T4275" s="1">
        <v>0</v>
      </c>
      <c r="U4275" s="1">
        <v>0</v>
      </c>
      <c r="V4275" s="1" t="str">
        <f t="shared" ref="V4275:V4306" si="800">"里程返程"</f>
        <v>里程返程</v>
      </c>
      <c r="W4275" s="1" t="str">
        <f>"0920"</f>
        <v>0920</v>
      </c>
      <c r="X4275" s="1" t="s">
        <v>35</v>
      </c>
    </row>
    <row r="4276" spans="1:24" x14ac:dyDescent="0.3">
      <c r="A4276" s="1" t="str">
        <f t="shared" si="799"/>
        <v>59822</v>
      </c>
      <c r="B4276" s="1" t="s">
        <v>39</v>
      </c>
      <c r="C4276" s="1" t="s">
        <v>40</v>
      </c>
      <c r="D4276" s="1" t="str">
        <f t="shared" si="796"/>
        <v>9803</v>
      </c>
      <c r="E4276" s="1" t="s">
        <v>32</v>
      </c>
      <c r="F4276" s="1" t="str">
        <f>"3899682238"</f>
        <v>3899682238</v>
      </c>
      <c r="G4276" s="1" t="s">
        <v>33</v>
      </c>
      <c r="H4276" s="1" t="str">
        <f t="shared" si="790"/>
        <v>20220918</v>
      </c>
      <c r="I4276" s="1" t="str">
        <f>"134905"</f>
        <v>134905</v>
      </c>
      <c r="J4276" s="1" t="s">
        <v>34</v>
      </c>
      <c r="K4276" s="1" t="s">
        <v>34</v>
      </c>
      <c r="L4276" s="1" t="str">
        <f t="shared" si="798"/>
        <v>20220918</v>
      </c>
      <c r="M4276" s="1" t="str">
        <f>"142921"</f>
        <v>142921</v>
      </c>
      <c r="N4276" s="1" t="s">
        <v>28</v>
      </c>
      <c r="O4276" s="1" t="s">
        <v>28</v>
      </c>
      <c r="P4276" s="1" t="s">
        <v>55</v>
      </c>
      <c r="Q4276" s="1">
        <v>25</v>
      </c>
      <c r="R4276" s="1">
        <v>25</v>
      </c>
      <c r="S4276" s="1">
        <v>0</v>
      </c>
      <c r="T4276" s="1">
        <v>0</v>
      </c>
      <c r="U4276" s="1">
        <v>0</v>
      </c>
      <c r="V4276" s="1" t="str">
        <f t="shared" si="800"/>
        <v>里程返程</v>
      </c>
      <c r="W4276" s="1" t="str">
        <f>"2020"</f>
        <v>2020</v>
      </c>
      <c r="X4276" s="1" t="s">
        <v>35</v>
      </c>
    </row>
    <row r="4277" spans="1:24" x14ac:dyDescent="0.3">
      <c r="A4277" s="1" t="str">
        <f t="shared" si="799"/>
        <v>59822</v>
      </c>
      <c r="B4277" s="1" t="s">
        <v>39</v>
      </c>
      <c r="C4277" s="1" t="s">
        <v>40</v>
      </c>
      <c r="D4277" s="1" t="str">
        <f t="shared" si="796"/>
        <v>9803</v>
      </c>
      <c r="E4277" s="1" t="s">
        <v>32</v>
      </c>
      <c r="F4277" s="1" t="str">
        <f>"989061601"</f>
        <v>989061601</v>
      </c>
      <c r="G4277" s="1" t="s">
        <v>33</v>
      </c>
      <c r="H4277" s="1" t="str">
        <f t="shared" si="790"/>
        <v>20220918</v>
      </c>
      <c r="I4277" s="1" t="str">
        <f>"134919"</f>
        <v>134919</v>
      </c>
      <c r="J4277" s="1" t="s">
        <v>34</v>
      </c>
      <c r="K4277" s="1" t="s">
        <v>34</v>
      </c>
      <c r="L4277" s="1" t="str">
        <f t="shared" si="798"/>
        <v>20220918</v>
      </c>
      <c r="M4277" s="1" t="str">
        <f>"142917"</f>
        <v>142917</v>
      </c>
      <c r="N4277" s="1" t="s">
        <v>28</v>
      </c>
      <c r="O4277" s="1" t="s">
        <v>28</v>
      </c>
      <c r="P4277" s="1" t="s">
        <v>55</v>
      </c>
      <c r="Q4277" s="1">
        <v>25</v>
      </c>
      <c r="R4277" s="1">
        <v>25</v>
      </c>
      <c r="S4277" s="1">
        <v>0</v>
      </c>
      <c r="T4277" s="1">
        <v>0</v>
      </c>
      <c r="U4277" s="1">
        <v>0</v>
      </c>
      <c r="V4277" s="1" t="str">
        <f t="shared" si="800"/>
        <v>里程返程</v>
      </c>
      <c r="W4277" s="1" t="str">
        <f>"0120"</f>
        <v>0120</v>
      </c>
      <c r="X4277" s="1" t="s">
        <v>35</v>
      </c>
    </row>
    <row r="4278" spans="1:24" x14ac:dyDescent="0.3">
      <c r="A4278" s="1" t="str">
        <f t="shared" si="799"/>
        <v>59822</v>
      </c>
      <c r="B4278" s="1" t="s">
        <v>39</v>
      </c>
      <c r="C4278" s="1" t="s">
        <v>40</v>
      </c>
      <c r="D4278" s="1" t="str">
        <f t="shared" si="796"/>
        <v>9803</v>
      </c>
      <c r="E4278" s="1" t="s">
        <v>32</v>
      </c>
      <c r="F4278" s="1" t="str">
        <f>"1433822481"</f>
        <v>1433822481</v>
      </c>
      <c r="G4278" s="1" t="s">
        <v>33</v>
      </c>
      <c r="H4278" s="1" t="str">
        <f t="shared" si="790"/>
        <v>20220918</v>
      </c>
      <c r="I4278" s="1" t="str">
        <f>"134923"</f>
        <v>134923</v>
      </c>
      <c r="J4278" s="1" t="s">
        <v>34</v>
      </c>
      <c r="K4278" s="1" t="s">
        <v>34</v>
      </c>
      <c r="L4278" s="1" t="str">
        <f t="shared" si="798"/>
        <v>20220918</v>
      </c>
      <c r="M4278" s="1" t="str">
        <f>"142946"</f>
        <v>142946</v>
      </c>
      <c r="N4278" s="1" t="s">
        <v>28</v>
      </c>
      <c r="O4278" s="1" t="s">
        <v>28</v>
      </c>
      <c r="P4278" s="1" t="s">
        <v>55</v>
      </c>
      <c r="Q4278" s="1">
        <v>25</v>
      </c>
      <c r="R4278" s="1">
        <v>25</v>
      </c>
      <c r="S4278" s="1">
        <v>0</v>
      </c>
      <c r="T4278" s="1">
        <v>0</v>
      </c>
      <c r="U4278" s="1">
        <v>0</v>
      </c>
      <c r="V4278" s="1" t="str">
        <f t="shared" si="800"/>
        <v>里程返程</v>
      </c>
      <c r="W4278" s="1" t="str">
        <f>"0120"</f>
        <v>0120</v>
      </c>
      <c r="X4278" s="1" t="s">
        <v>35</v>
      </c>
    </row>
    <row r="4279" spans="1:24" x14ac:dyDescent="0.3">
      <c r="A4279" s="1" t="str">
        <f t="shared" si="799"/>
        <v>59822</v>
      </c>
      <c r="B4279" s="1" t="s">
        <v>39</v>
      </c>
      <c r="C4279" s="1" t="s">
        <v>40</v>
      </c>
      <c r="D4279" s="1" t="str">
        <f t="shared" si="796"/>
        <v>9803</v>
      </c>
      <c r="E4279" s="1" t="s">
        <v>32</v>
      </c>
      <c r="F4279" s="1" t="str">
        <f>"71D24D4DA32804001C00000000000000"</f>
        <v>71D24D4DA32804001C00000000000000</v>
      </c>
      <c r="G4279" s="1" t="s">
        <v>58</v>
      </c>
      <c r="H4279" s="1" t="str">
        <f t="shared" si="790"/>
        <v>20220918</v>
      </c>
      <c r="I4279" s="1" t="str">
        <f>"134928"</f>
        <v>134928</v>
      </c>
      <c r="J4279" s="1" t="s">
        <v>34</v>
      </c>
      <c r="K4279" s="1" t="s">
        <v>34</v>
      </c>
      <c r="L4279" s="1" t="str">
        <f t="shared" si="798"/>
        <v>20220918</v>
      </c>
      <c r="M4279" s="1" t="str">
        <f>"142941"</f>
        <v>142941</v>
      </c>
      <c r="N4279" s="1" t="s">
        <v>28</v>
      </c>
      <c r="O4279" s="1" t="s">
        <v>28</v>
      </c>
      <c r="P4279" s="1" t="s">
        <v>55</v>
      </c>
      <c r="Q4279" s="1">
        <v>25</v>
      </c>
      <c r="R4279" s="1">
        <v>25</v>
      </c>
      <c r="S4279" s="1">
        <v>0</v>
      </c>
      <c r="T4279" s="1">
        <v>0</v>
      </c>
      <c r="U4279" s="1">
        <v>0</v>
      </c>
      <c r="V4279" s="1" t="str">
        <f t="shared" si="800"/>
        <v>里程返程</v>
      </c>
      <c r="W4279" s="1" t="str">
        <f>"0020"</f>
        <v>0020</v>
      </c>
      <c r="X4279" s="1" t="s">
        <v>29</v>
      </c>
    </row>
    <row r="4280" spans="1:24" x14ac:dyDescent="0.3">
      <c r="A4280" s="1" t="str">
        <f t="shared" si="799"/>
        <v>59822</v>
      </c>
      <c r="B4280" s="1" t="s">
        <v>39</v>
      </c>
      <c r="C4280" s="1" t="s">
        <v>40</v>
      </c>
      <c r="D4280" s="1" t="str">
        <f t="shared" si="796"/>
        <v>9803</v>
      </c>
      <c r="E4280" s="1" t="s">
        <v>32</v>
      </c>
      <c r="F4280" s="1" t="str">
        <f>"1614870309"</f>
        <v>1614870309</v>
      </c>
      <c r="G4280" s="1" t="s">
        <v>33</v>
      </c>
      <c r="H4280" s="1" t="str">
        <f t="shared" si="790"/>
        <v>20220918</v>
      </c>
      <c r="I4280" s="1" t="str">
        <f>"134937"</f>
        <v>134937</v>
      </c>
      <c r="J4280" s="1" t="s">
        <v>34</v>
      </c>
      <c r="K4280" s="1" t="s">
        <v>34</v>
      </c>
      <c r="L4280" s="1" t="str">
        <f t="shared" si="798"/>
        <v>20220918</v>
      </c>
      <c r="M4280" s="1" t="str">
        <f>"142858"</f>
        <v>142858</v>
      </c>
      <c r="N4280" s="1" t="s">
        <v>28</v>
      </c>
      <c r="O4280" s="1" t="s">
        <v>28</v>
      </c>
      <c r="P4280" s="1" t="s">
        <v>55</v>
      </c>
      <c r="Q4280" s="1">
        <v>25</v>
      </c>
      <c r="R4280" s="1">
        <v>25</v>
      </c>
      <c r="S4280" s="1">
        <v>0</v>
      </c>
      <c r="T4280" s="1">
        <v>0</v>
      </c>
      <c r="U4280" s="1">
        <v>0</v>
      </c>
      <c r="V4280" s="1" t="str">
        <f t="shared" si="800"/>
        <v>里程返程</v>
      </c>
      <c r="W4280" s="1" t="str">
        <f>"2020"</f>
        <v>2020</v>
      </c>
      <c r="X4280" s="1" t="s">
        <v>35</v>
      </c>
    </row>
    <row r="4281" spans="1:24" x14ac:dyDescent="0.3">
      <c r="A4281" s="1" t="str">
        <f t="shared" si="799"/>
        <v>59822</v>
      </c>
      <c r="B4281" s="1" t="s">
        <v>39</v>
      </c>
      <c r="C4281" s="1" t="s">
        <v>40</v>
      </c>
      <c r="D4281" s="1" t="str">
        <f t="shared" si="796"/>
        <v>9803</v>
      </c>
      <c r="E4281" s="1" t="s">
        <v>32</v>
      </c>
      <c r="F4281" s="1" t="str">
        <f>"3563378131"</f>
        <v>3563378131</v>
      </c>
      <c r="G4281" s="1" t="s">
        <v>33</v>
      </c>
      <c r="H4281" s="1" t="str">
        <f t="shared" si="790"/>
        <v>20220918</v>
      </c>
      <c r="I4281" s="1" t="str">
        <f>"134942"</f>
        <v>134942</v>
      </c>
      <c r="J4281" s="1" t="s">
        <v>34</v>
      </c>
      <c r="K4281" s="1" t="s">
        <v>34</v>
      </c>
      <c r="L4281" s="1" t="str">
        <f t="shared" si="798"/>
        <v>20220918</v>
      </c>
      <c r="M4281" s="1" t="str">
        <f>"142932"</f>
        <v>142932</v>
      </c>
      <c r="N4281" s="1" t="s">
        <v>28</v>
      </c>
      <c r="O4281" s="1" t="s">
        <v>28</v>
      </c>
      <c r="P4281" s="1" t="s">
        <v>55</v>
      </c>
      <c r="Q4281" s="1">
        <v>25</v>
      </c>
      <c r="R4281" s="1">
        <v>25</v>
      </c>
      <c r="S4281" s="1">
        <v>0</v>
      </c>
      <c r="T4281" s="1">
        <v>0</v>
      </c>
      <c r="U4281" s="1">
        <v>0</v>
      </c>
      <c r="V4281" s="1" t="str">
        <f t="shared" si="800"/>
        <v>里程返程</v>
      </c>
      <c r="W4281" s="1" t="str">
        <f>"2020"</f>
        <v>2020</v>
      </c>
      <c r="X4281" s="1" t="s">
        <v>35</v>
      </c>
    </row>
    <row r="4282" spans="1:24" x14ac:dyDescent="0.3">
      <c r="A4282" s="1" t="str">
        <f t="shared" si="799"/>
        <v>59822</v>
      </c>
      <c r="B4282" s="1" t="s">
        <v>39</v>
      </c>
      <c r="C4282" s="1" t="s">
        <v>40</v>
      </c>
      <c r="D4282" s="1" t="str">
        <f t="shared" si="796"/>
        <v>9803</v>
      </c>
      <c r="E4282" s="1" t="s">
        <v>32</v>
      </c>
      <c r="F4282" s="1" t="str">
        <f>"1727598449"</f>
        <v>1727598449</v>
      </c>
      <c r="G4282" s="1" t="s">
        <v>33</v>
      </c>
      <c r="H4282" s="1" t="str">
        <f t="shared" si="790"/>
        <v>20220918</v>
      </c>
      <c r="I4282" s="1" t="str">
        <f>"135720"</f>
        <v>135720</v>
      </c>
      <c r="J4282" s="1" t="s">
        <v>34</v>
      </c>
      <c r="K4282" s="1" t="s">
        <v>34</v>
      </c>
      <c r="L4282" s="1" t="str">
        <f t="shared" si="798"/>
        <v>20220918</v>
      </c>
      <c r="M4282" s="1" t="str">
        <f>"142902"</f>
        <v>142902</v>
      </c>
      <c r="N4282" s="1" t="s">
        <v>28</v>
      </c>
      <c r="O4282" s="1" t="s">
        <v>28</v>
      </c>
      <c r="P4282" s="1" t="s">
        <v>55</v>
      </c>
      <c r="Q4282" s="1">
        <v>25</v>
      </c>
      <c r="R4282" s="1">
        <v>25</v>
      </c>
      <c r="S4282" s="1">
        <v>0</v>
      </c>
      <c r="T4282" s="1">
        <v>0</v>
      </c>
      <c r="U4282" s="1">
        <v>0</v>
      </c>
      <c r="V4282" s="1" t="str">
        <f t="shared" si="800"/>
        <v>里程返程</v>
      </c>
      <c r="W4282" s="1" t="str">
        <f>"0120"</f>
        <v>0120</v>
      </c>
      <c r="X4282" s="1" t="s">
        <v>35</v>
      </c>
    </row>
    <row r="4283" spans="1:24" x14ac:dyDescent="0.3">
      <c r="A4283" s="1" t="str">
        <f t="shared" si="799"/>
        <v>59822</v>
      </c>
      <c r="B4283" s="1" t="s">
        <v>39</v>
      </c>
      <c r="C4283" s="1" t="s">
        <v>40</v>
      </c>
      <c r="D4283" s="1" t="str">
        <f t="shared" si="796"/>
        <v>9803</v>
      </c>
      <c r="E4283" s="1" t="s">
        <v>32</v>
      </c>
      <c r="F4283" s="1" t="str">
        <f>"181373317"</f>
        <v>181373317</v>
      </c>
      <c r="G4283" s="1" t="s">
        <v>33</v>
      </c>
      <c r="H4283" s="1" t="str">
        <f t="shared" si="790"/>
        <v>20220918</v>
      </c>
      <c r="I4283" s="1" t="str">
        <f>"135723"</f>
        <v>135723</v>
      </c>
      <c r="J4283" s="1" t="s">
        <v>34</v>
      </c>
      <c r="K4283" s="1" t="s">
        <v>34</v>
      </c>
      <c r="L4283" s="1" t="str">
        <f t="shared" si="798"/>
        <v>20220918</v>
      </c>
      <c r="M4283" s="1" t="str">
        <f>"142910"</f>
        <v>142910</v>
      </c>
      <c r="N4283" s="1" t="s">
        <v>28</v>
      </c>
      <c r="O4283" s="1" t="s">
        <v>28</v>
      </c>
      <c r="P4283" s="1" t="s">
        <v>55</v>
      </c>
      <c r="Q4283" s="1">
        <v>25</v>
      </c>
      <c r="R4283" s="1">
        <v>25</v>
      </c>
      <c r="S4283" s="1">
        <v>0</v>
      </c>
      <c r="T4283" s="1">
        <v>0</v>
      </c>
      <c r="U4283" s="1">
        <v>0</v>
      </c>
      <c r="V4283" s="1" t="str">
        <f t="shared" si="800"/>
        <v>里程返程</v>
      </c>
      <c r="W4283" s="1" t="str">
        <f>"0820"</f>
        <v>0820</v>
      </c>
      <c r="X4283" s="1" t="s">
        <v>35</v>
      </c>
    </row>
    <row r="4284" spans="1:24" x14ac:dyDescent="0.3">
      <c r="A4284" s="1" t="str">
        <f t="shared" si="799"/>
        <v>59822</v>
      </c>
      <c r="B4284" s="1" t="s">
        <v>39</v>
      </c>
      <c r="C4284" s="1" t="s">
        <v>40</v>
      </c>
      <c r="D4284" s="1" t="str">
        <f t="shared" si="796"/>
        <v>9803</v>
      </c>
      <c r="E4284" s="1" t="s">
        <v>32</v>
      </c>
      <c r="F4284" s="1" t="str">
        <f>"1225696177"</f>
        <v>1225696177</v>
      </c>
      <c r="G4284" s="1" t="s">
        <v>33</v>
      </c>
      <c r="H4284" s="1" t="str">
        <f t="shared" si="790"/>
        <v>20220918</v>
      </c>
      <c r="I4284" s="1" t="str">
        <f>"140340"</f>
        <v>140340</v>
      </c>
      <c r="J4284" s="1" t="s">
        <v>73</v>
      </c>
      <c r="K4284" s="1" t="s">
        <v>28</v>
      </c>
      <c r="L4284" s="1" t="str">
        <f t="shared" si="798"/>
        <v>20220918</v>
      </c>
      <c r="M4284" s="1" t="str">
        <f>"142915"</f>
        <v>142915</v>
      </c>
      <c r="N4284" s="1" t="s">
        <v>28</v>
      </c>
      <c r="O4284" s="1" t="s">
        <v>28</v>
      </c>
      <c r="P4284" s="1" t="s">
        <v>55</v>
      </c>
      <c r="Q4284" s="1">
        <v>25</v>
      </c>
      <c r="R4284" s="1">
        <v>25</v>
      </c>
      <c r="S4284" s="1">
        <v>0</v>
      </c>
      <c r="T4284" s="1">
        <v>0</v>
      </c>
      <c r="U4284" s="1">
        <v>0</v>
      </c>
      <c r="V4284" s="1" t="str">
        <f t="shared" si="800"/>
        <v>里程返程</v>
      </c>
      <c r="W4284" s="1" t="str">
        <f>"2020"</f>
        <v>2020</v>
      </c>
      <c r="X4284" s="1" t="s">
        <v>35</v>
      </c>
    </row>
    <row r="4285" spans="1:24" x14ac:dyDescent="0.3">
      <c r="A4285" s="1" t="str">
        <f t="shared" si="799"/>
        <v>59822</v>
      </c>
      <c r="B4285" s="1" t="s">
        <v>39</v>
      </c>
      <c r="C4285" s="1" t="s">
        <v>40</v>
      </c>
      <c r="D4285" s="1" t="str">
        <f t="shared" si="796"/>
        <v>9803</v>
      </c>
      <c r="E4285" s="1" t="s">
        <v>32</v>
      </c>
      <c r="F4285" s="1" t="str">
        <f>"1342938097"</f>
        <v>1342938097</v>
      </c>
      <c r="G4285" s="1" t="s">
        <v>33</v>
      </c>
      <c r="H4285" s="1" t="str">
        <f t="shared" si="790"/>
        <v>20220918</v>
      </c>
      <c r="I4285" s="1" t="str">
        <f>"140342"</f>
        <v>140342</v>
      </c>
      <c r="J4285" s="1" t="s">
        <v>73</v>
      </c>
      <c r="K4285" s="1" t="s">
        <v>28</v>
      </c>
      <c r="L4285" s="1" t="str">
        <f t="shared" si="798"/>
        <v>20220918</v>
      </c>
      <c r="M4285" s="1" t="str">
        <f>"142913"</f>
        <v>142913</v>
      </c>
      <c r="N4285" s="1" t="s">
        <v>28</v>
      </c>
      <c r="O4285" s="1" t="s">
        <v>28</v>
      </c>
      <c r="P4285" s="1" t="s">
        <v>55</v>
      </c>
      <c r="Q4285" s="1">
        <v>25</v>
      </c>
      <c r="R4285" s="1">
        <v>25</v>
      </c>
      <c r="S4285" s="1">
        <v>0</v>
      </c>
      <c r="T4285" s="1">
        <v>0</v>
      </c>
      <c r="U4285" s="1">
        <v>0</v>
      </c>
      <c r="V4285" s="1" t="str">
        <f t="shared" si="800"/>
        <v>里程返程</v>
      </c>
      <c r="W4285" s="1" t="str">
        <f>"2020"</f>
        <v>2020</v>
      </c>
      <c r="X4285" s="1" t="s">
        <v>35</v>
      </c>
    </row>
    <row r="4286" spans="1:24" x14ac:dyDescent="0.3">
      <c r="A4286" s="1" t="str">
        <f t="shared" si="799"/>
        <v>59822</v>
      </c>
      <c r="B4286" s="1" t="s">
        <v>39</v>
      </c>
      <c r="C4286" s="1" t="s">
        <v>40</v>
      </c>
      <c r="D4286" s="1" t="str">
        <f t="shared" si="796"/>
        <v>9803</v>
      </c>
      <c r="E4286" s="1" t="s">
        <v>32</v>
      </c>
      <c r="F4286" s="1" t="str">
        <f>"1257741061"</f>
        <v>1257741061</v>
      </c>
      <c r="G4286" s="1" t="s">
        <v>33</v>
      </c>
      <c r="H4286" s="1" t="str">
        <f t="shared" si="790"/>
        <v>20220918</v>
      </c>
      <c r="I4286" s="1" t="str">
        <f>"142211"</f>
        <v>142211</v>
      </c>
      <c r="J4286" s="1" t="s">
        <v>92</v>
      </c>
      <c r="K4286" s="1" t="s">
        <v>28</v>
      </c>
      <c r="L4286" s="1" t="str">
        <f t="shared" si="798"/>
        <v>20220918</v>
      </c>
      <c r="M4286" s="1" t="str">
        <f>"142856"</f>
        <v>142856</v>
      </c>
      <c r="N4286" s="1" t="s">
        <v>28</v>
      </c>
      <c r="O4286" s="1" t="s">
        <v>28</v>
      </c>
      <c r="P4286" s="1" t="s">
        <v>55</v>
      </c>
      <c r="Q4286" s="1">
        <v>25</v>
      </c>
      <c r="R4286" s="1">
        <v>0</v>
      </c>
      <c r="S4286" s="1">
        <v>25</v>
      </c>
      <c r="T4286" s="1">
        <v>0</v>
      </c>
      <c r="U4286" s="1">
        <v>0</v>
      </c>
      <c r="V4286" s="1" t="str">
        <f t="shared" si="800"/>
        <v>里程返程</v>
      </c>
      <c r="W4286" s="1" t="str">
        <f>"2020"</f>
        <v>2020</v>
      </c>
      <c r="X4286" s="1" t="s">
        <v>35</v>
      </c>
    </row>
    <row r="4287" spans="1:24" x14ac:dyDescent="0.3">
      <c r="A4287" s="1" t="str">
        <f t="shared" si="799"/>
        <v>59822</v>
      </c>
      <c r="B4287" s="1" t="s">
        <v>39</v>
      </c>
      <c r="C4287" s="1" t="s">
        <v>40</v>
      </c>
      <c r="D4287" s="1" t="str">
        <f t="shared" si="796"/>
        <v>9803</v>
      </c>
      <c r="E4287" s="1" t="s">
        <v>32</v>
      </c>
      <c r="F4287" s="1" t="str">
        <f>"A41201A215280400D200000100000000"</f>
        <v>A41201A215280400D200000100000000</v>
      </c>
      <c r="G4287" s="1" t="s">
        <v>58</v>
      </c>
      <c r="H4287" s="1" t="str">
        <f t="shared" si="790"/>
        <v>20220918</v>
      </c>
      <c r="I4287" s="1" t="str">
        <f>"161912"</f>
        <v>161912</v>
      </c>
      <c r="J4287" s="1" t="s">
        <v>34</v>
      </c>
      <c r="K4287" s="1" t="s">
        <v>34</v>
      </c>
      <c r="L4287" s="1" t="str">
        <f t="shared" si="798"/>
        <v>20220918</v>
      </c>
      <c r="M4287" s="1" t="str">
        <f>"170027"</f>
        <v>170027</v>
      </c>
      <c r="N4287" s="1" t="s">
        <v>28</v>
      </c>
      <c r="O4287" s="1" t="s">
        <v>28</v>
      </c>
      <c r="P4287" s="1" t="s">
        <v>55</v>
      </c>
      <c r="Q4287" s="1">
        <v>25</v>
      </c>
      <c r="R4287" s="1">
        <v>25</v>
      </c>
      <c r="S4287" s="1">
        <v>0</v>
      </c>
      <c r="T4287" s="1">
        <v>0</v>
      </c>
      <c r="U4287" s="1">
        <v>0</v>
      </c>
      <c r="V4287" s="1" t="str">
        <f t="shared" si="800"/>
        <v>里程返程</v>
      </c>
      <c r="W4287" s="1" t="str">
        <f>"0020"</f>
        <v>0020</v>
      </c>
      <c r="X4287" s="1" t="s">
        <v>29</v>
      </c>
    </row>
    <row r="4288" spans="1:24" x14ac:dyDescent="0.3">
      <c r="A4288" s="1" t="str">
        <f t="shared" si="799"/>
        <v>59822</v>
      </c>
      <c r="B4288" s="1" t="s">
        <v>39</v>
      </c>
      <c r="C4288" s="1" t="s">
        <v>40</v>
      </c>
      <c r="D4288" s="1" t="str">
        <f t="shared" si="796"/>
        <v>9803</v>
      </c>
      <c r="E4288" s="1" t="s">
        <v>32</v>
      </c>
      <c r="F4288" s="1" t="str">
        <f>"1454837025"</f>
        <v>1454837025</v>
      </c>
      <c r="G4288" s="1" t="s">
        <v>33</v>
      </c>
      <c r="H4288" s="1" t="str">
        <f t="shared" si="790"/>
        <v>20220918</v>
      </c>
      <c r="I4288" s="1" t="str">
        <f>"161917"</f>
        <v>161917</v>
      </c>
      <c r="J4288" s="1" t="s">
        <v>34</v>
      </c>
      <c r="K4288" s="1" t="s">
        <v>34</v>
      </c>
      <c r="L4288" s="1" t="str">
        <f t="shared" si="798"/>
        <v>20220918</v>
      </c>
      <c r="M4288" s="1" t="str">
        <f>"170057"</f>
        <v>170057</v>
      </c>
      <c r="N4288" s="1" t="s">
        <v>28</v>
      </c>
      <c r="O4288" s="1" t="s">
        <v>28</v>
      </c>
      <c r="P4288" s="1" t="s">
        <v>55</v>
      </c>
      <c r="Q4288" s="1">
        <v>25</v>
      </c>
      <c r="R4288" s="1">
        <v>25</v>
      </c>
      <c r="S4288" s="1">
        <v>0</v>
      </c>
      <c r="T4288" s="1">
        <v>0</v>
      </c>
      <c r="U4288" s="1">
        <v>0</v>
      </c>
      <c r="V4288" s="1" t="str">
        <f t="shared" si="800"/>
        <v>里程返程</v>
      </c>
      <c r="W4288" s="1" t="str">
        <f>"2020"</f>
        <v>2020</v>
      </c>
      <c r="X4288" s="1" t="s">
        <v>35</v>
      </c>
    </row>
    <row r="4289" spans="1:24" x14ac:dyDescent="0.3">
      <c r="A4289" s="1" t="str">
        <f t="shared" si="799"/>
        <v>59822</v>
      </c>
      <c r="B4289" s="1" t="s">
        <v>39</v>
      </c>
      <c r="C4289" s="1" t="s">
        <v>40</v>
      </c>
      <c r="D4289" s="1" t="str">
        <f t="shared" si="796"/>
        <v>9803</v>
      </c>
      <c r="E4289" s="1" t="s">
        <v>32</v>
      </c>
      <c r="F4289" s="1" t="str">
        <f>"524788113"</f>
        <v>524788113</v>
      </c>
      <c r="G4289" s="1" t="s">
        <v>33</v>
      </c>
      <c r="H4289" s="1" t="str">
        <f t="shared" si="790"/>
        <v>20220918</v>
      </c>
      <c r="I4289" s="1" t="str">
        <f>"161930"</f>
        <v>161930</v>
      </c>
      <c r="J4289" s="1" t="s">
        <v>34</v>
      </c>
      <c r="K4289" s="1" t="s">
        <v>34</v>
      </c>
      <c r="L4289" s="1" t="str">
        <f t="shared" si="798"/>
        <v>20220918</v>
      </c>
      <c r="M4289" s="1" t="str">
        <f>"170040"</f>
        <v>170040</v>
      </c>
      <c r="N4289" s="1" t="s">
        <v>28</v>
      </c>
      <c r="O4289" s="1" t="s">
        <v>28</v>
      </c>
      <c r="P4289" s="1" t="s">
        <v>55</v>
      </c>
      <c r="Q4289" s="1">
        <v>25</v>
      </c>
      <c r="R4289" s="1">
        <v>25</v>
      </c>
      <c r="S4289" s="1">
        <v>0</v>
      </c>
      <c r="T4289" s="1">
        <v>0</v>
      </c>
      <c r="U4289" s="1">
        <v>0</v>
      </c>
      <c r="V4289" s="1" t="str">
        <f t="shared" si="800"/>
        <v>里程返程</v>
      </c>
      <c r="W4289" s="1" t="str">
        <f>"0120"</f>
        <v>0120</v>
      </c>
      <c r="X4289" s="1" t="s">
        <v>35</v>
      </c>
    </row>
    <row r="4290" spans="1:24" x14ac:dyDescent="0.3">
      <c r="A4290" s="1" t="str">
        <f t="shared" si="799"/>
        <v>59822</v>
      </c>
      <c r="B4290" s="1" t="s">
        <v>39</v>
      </c>
      <c r="C4290" s="1" t="s">
        <v>40</v>
      </c>
      <c r="D4290" s="1" t="str">
        <f t="shared" si="796"/>
        <v>9803</v>
      </c>
      <c r="E4290" s="1" t="s">
        <v>32</v>
      </c>
      <c r="F4290" s="1" t="str">
        <f>"966378273"</f>
        <v>966378273</v>
      </c>
      <c r="G4290" s="1" t="s">
        <v>38</v>
      </c>
      <c r="H4290" s="1" t="str">
        <f t="shared" si="790"/>
        <v>20220918</v>
      </c>
      <c r="I4290" s="1" t="str">
        <f>"161942"</f>
        <v>161942</v>
      </c>
      <c r="J4290" s="1" t="s">
        <v>34</v>
      </c>
      <c r="K4290" s="1" t="s">
        <v>34</v>
      </c>
      <c r="L4290" s="1" t="str">
        <f t="shared" si="798"/>
        <v>20220918</v>
      </c>
      <c r="M4290" s="1" t="str">
        <f>"164247"</f>
        <v>164247</v>
      </c>
      <c r="N4290" s="1" t="s">
        <v>46</v>
      </c>
      <c r="O4290" s="1" t="s">
        <v>28</v>
      </c>
      <c r="P4290" s="1" t="s">
        <v>55</v>
      </c>
      <c r="Q4290" s="1">
        <v>25</v>
      </c>
      <c r="R4290" s="1">
        <v>25</v>
      </c>
      <c r="S4290" s="1">
        <v>0</v>
      </c>
      <c r="T4290" s="1">
        <v>0</v>
      </c>
      <c r="U4290" s="1">
        <v>0</v>
      </c>
      <c r="V4290" s="1" t="str">
        <f t="shared" si="800"/>
        <v>里程返程</v>
      </c>
      <c r="W4290" s="1" t="str">
        <f>"0120"</f>
        <v>0120</v>
      </c>
      <c r="X4290" s="1" t="s">
        <v>35</v>
      </c>
    </row>
    <row r="4291" spans="1:24" x14ac:dyDescent="0.3">
      <c r="A4291" s="1" t="str">
        <f t="shared" si="799"/>
        <v>59822</v>
      </c>
      <c r="B4291" s="1" t="s">
        <v>39</v>
      </c>
      <c r="C4291" s="1" t="s">
        <v>40</v>
      </c>
      <c r="D4291" s="1" t="str">
        <f t="shared" si="796"/>
        <v>9803</v>
      </c>
      <c r="E4291" s="1" t="s">
        <v>32</v>
      </c>
      <c r="F4291" s="1" t="str">
        <f>"1198367201"</f>
        <v>1198367201</v>
      </c>
      <c r="G4291" s="1" t="s">
        <v>33</v>
      </c>
      <c r="H4291" s="1" t="str">
        <f t="shared" si="790"/>
        <v>20220918</v>
      </c>
      <c r="I4291" s="1" t="str">
        <f>"161959"</f>
        <v>161959</v>
      </c>
      <c r="J4291" s="1" t="s">
        <v>34</v>
      </c>
      <c r="K4291" s="1" t="s">
        <v>34</v>
      </c>
      <c r="L4291" s="1" t="str">
        <f t="shared" si="798"/>
        <v>20220918</v>
      </c>
      <c r="M4291" s="1" t="str">
        <f>"170048"</f>
        <v>170048</v>
      </c>
      <c r="N4291" s="1" t="s">
        <v>28</v>
      </c>
      <c r="O4291" s="1" t="s">
        <v>28</v>
      </c>
      <c r="P4291" s="1" t="s">
        <v>55</v>
      </c>
      <c r="Q4291" s="1">
        <v>25</v>
      </c>
      <c r="R4291" s="1">
        <v>25</v>
      </c>
      <c r="S4291" s="1">
        <v>0</v>
      </c>
      <c r="T4291" s="1">
        <v>0</v>
      </c>
      <c r="U4291" s="1">
        <v>0</v>
      </c>
      <c r="V4291" s="1" t="str">
        <f t="shared" si="800"/>
        <v>里程返程</v>
      </c>
      <c r="W4291" s="1" t="str">
        <f>"0120"</f>
        <v>0120</v>
      </c>
      <c r="X4291" s="1" t="s">
        <v>35</v>
      </c>
    </row>
    <row r="4292" spans="1:24" x14ac:dyDescent="0.3">
      <c r="A4292" s="1" t="str">
        <f t="shared" si="799"/>
        <v>59822</v>
      </c>
      <c r="B4292" s="1" t="s">
        <v>39</v>
      </c>
      <c r="C4292" s="1" t="s">
        <v>40</v>
      </c>
      <c r="D4292" s="1" t="str">
        <f t="shared" si="796"/>
        <v>9803</v>
      </c>
      <c r="E4292" s="1" t="s">
        <v>32</v>
      </c>
      <c r="F4292" s="1" t="str">
        <f>"1017590421"</f>
        <v>1017590421</v>
      </c>
      <c r="G4292" s="1" t="s">
        <v>38</v>
      </c>
      <c r="H4292" s="1" t="str">
        <f t="shared" si="790"/>
        <v>20220918</v>
      </c>
      <c r="I4292" s="1" t="str">
        <f>"162010"</f>
        <v>162010</v>
      </c>
      <c r="J4292" s="1" t="s">
        <v>34</v>
      </c>
      <c r="K4292" s="1" t="s">
        <v>34</v>
      </c>
      <c r="L4292" s="1" t="str">
        <f t="shared" si="798"/>
        <v>20220918</v>
      </c>
      <c r="M4292" s="1" t="str">
        <f>"170022"</f>
        <v>170022</v>
      </c>
      <c r="N4292" s="1" t="s">
        <v>28</v>
      </c>
      <c r="O4292" s="1" t="s">
        <v>28</v>
      </c>
      <c r="P4292" s="1" t="s">
        <v>55</v>
      </c>
      <c r="Q4292" s="1">
        <v>25</v>
      </c>
      <c r="R4292" s="1">
        <v>25</v>
      </c>
      <c r="S4292" s="1">
        <v>0</v>
      </c>
      <c r="T4292" s="1">
        <v>0</v>
      </c>
      <c r="U4292" s="1">
        <v>0</v>
      </c>
      <c r="V4292" s="1" t="str">
        <f t="shared" si="800"/>
        <v>里程返程</v>
      </c>
      <c r="W4292" s="1" t="str">
        <f>"0120"</f>
        <v>0120</v>
      </c>
      <c r="X4292" s="1" t="s">
        <v>35</v>
      </c>
    </row>
    <row r="4293" spans="1:24" x14ac:dyDescent="0.3">
      <c r="A4293" s="1" t="str">
        <f t="shared" si="799"/>
        <v>59822</v>
      </c>
      <c r="B4293" s="1" t="s">
        <v>39</v>
      </c>
      <c r="C4293" s="1" t="s">
        <v>40</v>
      </c>
      <c r="D4293" s="1" t="str">
        <f t="shared" si="796"/>
        <v>9803</v>
      </c>
      <c r="E4293" s="1" t="s">
        <v>32</v>
      </c>
      <c r="F4293" s="1" t="str">
        <f>"234621541"</f>
        <v>234621541</v>
      </c>
      <c r="G4293" s="1" t="s">
        <v>33</v>
      </c>
      <c r="H4293" s="1" t="str">
        <f t="shared" si="790"/>
        <v>20220918</v>
      </c>
      <c r="I4293" s="1" t="str">
        <f>"162017"</f>
        <v>162017</v>
      </c>
      <c r="J4293" s="1" t="s">
        <v>34</v>
      </c>
      <c r="K4293" s="1" t="s">
        <v>34</v>
      </c>
      <c r="L4293" s="1" t="str">
        <f t="shared" si="798"/>
        <v>20220918</v>
      </c>
      <c r="M4293" s="1" t="str">
        <f>"170012"</f>
        <v>170012</v>
      </c>
      <c r="N4293" s="1" t="s">
        <v>28</v>
      </c>
      <c r="O4293" s="1" t="s">
        <v>28</v>
      </c>
      <c r="P4293" s="1" t="s">
        <v>55</v>
      </c>
      <c r="Q4293" s="1">
        <v>25</v>
      </c>
      <c r="R4293" s="1">
        <v>25</v>
      </c>
      <c r="S4293" s="1">
        <v>0</v>
      </c>
      <c r="T4293" s="1">
        <v>0</v>
      </c>
      <c r="U4293" s="1">
        <v>0</v>
      </c>
      <c r="V4293" s="1" t="str">
        <f t="shared" si="800"/>
        <v>里程返程</v>
      </c>
      <c r="W4293" s="1" t="str">
        <f>"0820"</f>
        <v>0820</v>
      </c>
      <c r="X4293" s="1" t="s">
        <v>35</v>
      </c>
    </row>
    <row r="4294" spans="1:24" x14ac:dyDescent="0.3">
      <c r="A4294" s="1" t="str">
        <f t="shared" si="799"/>
        <v>59822</v>
      </c>
      <c r="B4294" s="1" t="s">
        <v>39</v>
      </c>
      <c r="C4294" s="1" t="s">
        <v>40</v>
      </c>
      <c r="D4294" s="1" t="str">
        <f t="shared" si="796"/>
        <v>9803</v>
      </c>
      <c r="E4294" s="1" t="s">
        <v>32</v>
      </c>
      <c r="F4294" s="1" t="str">
        <f>"D12ABF3D79280400F700000000000000"</f>
        <v>D12ABF3D79280400F700000000000000</v>
      </c>
      <c r="G4294" s="1" t="s">
        <v>58</v>
      </c>
      <c r="H4294" s="1" t="str">
        <f t="shared" si="790"/>
        <v>20220918</v>
      </c>
      <c r="I4294" s="1" t="str">
        <f>"163344"</f>
        <v>163344</v>
      </c>
      <c r="J4294" s="1" t="s">
        <v>73</v>
      </c>
      <c r="K4294" s="1" t="s">
        <v>28</v>
      </c>
      <c r="L4294" s="1" t="str">
        <f t="shared" si="798"/>
        <v>20220918</v>
      </c>
      <c r="M4294" s="1" t="str">
        <f>"170032"</f>
        <v>170032</v>
      </c>
      <c r="N4294" s="1" t="s">
        <v>28</v>
      </c>
      <c r="O4294" s="1" t="s">
        <v>28</v>
      </c>
      <c r="P4294" s="1" t="s">
        <v>55</v>
      </c>
      <c r="Q4294" s="1">
        <v>25</v>
      </c>
      <c r="R4294" s="1">
        <v>25</v>
      </c>
      <c r="S4294" s="1">
        <v>0</v>
      </c>
      <c r="T4294" s="1">
        <v>0</v>
      </c>
      <c r="U4294" s="1">
        <v>0</v>
      </c>
      <c r="V4294" s="1" t="str">
        <f t="shared" si="800"/>
        <v>里程返程</v>
      </c>
      <c r="W4294" s="1" t="str">
        <f>"0020"</f>
        <v>0020</v>
      </c>
      <c r="X4294" s="1" t="s">
        <v>29</v>
      </c>
    </row>
    <row r="4295" spans="1:24" x14ac:dyDescent="0.3">
      <c r="A4295" s="1" t="str">
        <f t="shared" si="799"/>
        <v>59822</v>
      </c>
      <c r="B4295" s="1" t="s">
        <v>39</v>
      </c>
      <c r="C4295" s="1" t="s">
        <v>40</v>
      </c>
      <c r="D4295" s="1" t="str">
        <f t="shared" si="796"/>
        <v>9803</v>
      </c>
      <c r="E4295" s="1" t="s">
        <v>32</v>
      </c>
      <c r="F4295" s="1" t="str">
        <f>"B17A7F36822804001C00000000000000"</f>
        <v>B17A7F36822804001C00000000000000</v>
      </c>
      <c r="G4295" s="1" t="s">
        <v>58</v>
      </c>
      <c r="H4295" s="1" t="str">
        <f t="shared" si="790"/>
        <v>20220918</v>
      </c>
      <c r="I4295" s="1" t="str">
        <f>"163347"</f>
        <v>163347</v>
      </c>
      <c r="J4295" s="1" t="s">
        <v>73</v>
      </c>
      <c r="K4295" s="1" t="s">
        <v>28</v>
      </c>
      <c r="L4295" s="1" t="str">
        <f t="shared" si="798"/>
        <v>20220918</v>
      </c>
      <c r="M4295" s="1" t="str">
        <f>"170036"</f>
        <v>170036</v>
      </c>
      <c r="N4295" s="1" t="s">
        <v>28</v>
      </c>
      <c r="O4295" s="1" t="s">
        <v>28</v>
      </c>
      <c r="P4295" s="1" t="s">
        <v>55</v>
      </c>
      <c r="Q4295" s="1">
        <v>25</v>
      </c>
      <c r="R4295" s="1">
        <v>25</v>
      </c>
      <c r="S4295" s="1">
        <v>0</v>
      </c>
      <c r="T4295" s="1">
        <v>0</v>
      </c>
      <c r="U4295" s="1">
        <v>0</v>
      </c>
      <c r="V4295" s="1" t="str">
        <f t="shared" si="800"/>
        <v>里程返程</v>
      </c>
      <c r="W4295" s="1" t="str">
        <f>"0020"</f>
        <v>0020</v>
      </c>
      <c r="X4295" s="1" t="s">
        <v>29</v>
      </c>
    </row>
    <row r="4296" spans="1:24" x14ac:dyDescent="0.3">
      <c r="A4296" s="1" t="str">
        <f t="shared" si="799"/>
        <v>59822</v>
      </c>
      <c r="B4296" s="1" t="s">
        <v>39</v>
      </c>
      <c r="C4296" s="1" t="s">
        <v>40</v>
      </c>
      <c r="D4296" s="1" t="str">
        <f t="shared" si="796"/>
        <v>9803</v>
      </c>
      <c r="E4296" s="1" t="s">
        <v>32</v>
      </c>
      <c r="F4296" s="1" t="str">
        <f>"265771457"</f>
        <v>265771457</v>
      </c>
      <c r="G4296" s="1" t="s">
        <v>33</v>
      </c>
      <c r="H4296" s="1" t="str">
        <f t="shared" si="790"/>
        <v>20220918</v>
      </c>
      <c r="I4296" s="1" t="str">
        <f>"180110"</f>
        <v>180110</v>
      </c>
      <c r="J4296" s="1" t="s">
        <v>34</v>
      </c>
      <c r="K4296" s="1" t="s">
        <v>34</v>
      </c>
      <c r="L4296" s="1" t="str">
        <f t="shared" si="798"/>
        <v>20220918</v>
      </c>
      <c r="M4296" s="1" t="str">
        <f>"183929"</f>
        <v>183929</v>
      </c>
      <c r="N4296" s="1" t="s">
        <v>28</v>
      </c>
      <c r="O4296" s="1" t="s">
        <v>28</v>
      </c>
      <c r="P4296" s="1" t="s">
        <v>55</v>
      </c>
      <c r="Q4296" s="1">
        <v>25</v>
      </c>
      <c r="R4296" s="1">
        <v>25</v>
      </c>
      <c r="S4296" s="1">
        <v>0</v>
      </c>
      <c r="T4296" s="1">
        <v>0</v>
      </c>
      <c r="U4296" s="1">
        <v>0</v>
      </c>
      <c r="V4296" s="1" t="str">
        <f t="shared" si="800"/>
        <v>里程返程</v>
      </c>
      <c r="W4296" s="1" t="str">
        <f>"2020"</f>
        <v>2020</v>
      </c>
      <c r="X4296" s="1" t="s">
        <v>35</v>
      </c>
    </row>
    <row r="4297" spans="1:24" x14ac:dyDescent="0.3">
      <c r="A4297" s="1" t="str">
        <f t="shared" si="799"/>
        <v>59822</v>
      </c>
      <c r="B4297" s="1" t="s">
        <v>39</v>
      </c>
      <c r="C4297" s="1" t="s">
        <v>40</v>
      </c>
      <c r="D4297" s="1" t="str">
        <f t="shared" si="796"/>
        <v>9803</v>
      </c>
      <c r="E4297" s="1" t="s">
        <v>32</v>
      </c>
      <c r="F4297" s="1" t="str">
        <f>"1070295347"</f>
        <v>1070295347</v>
      </c>
      <c r="G4297" s="1" t="s">
        <v>33</v>
      </c>
      <c r="H4297" s="1" t="str">
        <f t="shared" si="790"/>
        <v>20220918</v>
      </c>
      <c r="I4297" s="1" t="str">
        <f>"180113"</f>
        <v>180113</v>
      </c>
      <c r="J4297" s="1" t="s">
        <v>34</v>
      </c>
      <c r="K4297" s="1" t="s">
        <v>34</v>
      </c>
      <c r="L4297" s="1" t="str">
        <f t="shared" si="798"/>
        <v>20220918</v>
      </c>
      <c r="M4297" s="1" t="str">
        <f>"183932"</f>
        <v>183932</v>
      </c>
      <c r="N4297" s="1" t="s">
        <v>28</v>
      </c>
      <c r="O4297" s="1" t="s">
        <v>28</v>
      </c>
      <c r="P4297" s="1" t="s">
        <v>55</v>
      </c>
      <c r="Q4297" s="1">
        <v>25</v>
      </c>
      <c r="R4297" s="1">
        <v>25</v>
      </c>
      <c r="S4297" s="1">
        <v>0</v>
      </c>
      <c r="T4297" s="1">
        <v>0</v>
      </c>
      <c r="U4297" s="1">
        <v>0</v>
      </c>
      <c r="V4297" s="1" t="str">
        <f t="shared" si="800"/>
        <v>里程返程</v>
      </c>
      <c r="W4297" s="1" t="str">
        <f>"2020"</f>
        <v>2020</v>
      </c>
      <c r="X4297" s="1" t="s">
        <v>35</v>
      </c>
    </row>
    <row r="4298" spans="1:24" x14ac:dyDescent="0.3">
      <c r="A4298" s="1" t="str">
        <f t="shared" si="799"/>
        <v>59822</v>
      </c>
      <c r="B4298" s="1" t="s">
        <v>39</v>
      </c>
      <c r="C4298" s="1" t="s">
        <v>40</v>
      </c>
      <c r="D4298" s="1" t="str">
        <f t="shared" si="796"/>
        <v>9803</v>
      </c>
      <c r="E4298" s="1" t="s">
        <v>32</v>
      </c>
      <c r="F4298" s="1" t="str">
        <f>"1068623957"</f>
        <v>1068623957</v>
      </c>
      <c r="G4298" s="1" t="s">
        <v>38</v>
      </c>
      <c r="H4298" s="1" t="str">
        <f t="shared" si="790"/>
        <v>20220918</v>
      </c>
      <c r="I4298" s="1" t="str">
        <f>"180117"</f>
        <v>180117</v>
      </c>
      <c r="J4298" s="1" t="s">
        <v>34</v>
      </c>
      <c r="K4298" s="1" t="s">
        <v>34</v>
      </c>
      <c r="L4298" s="1" t="str">
        <f t="shared" si="798"/>
        <v>20220918</v>
      </c>
      <c r="M4298" s="1" t="str">
        <f>"183923"</f>
        <v>183923</v>
      </c>
      <c r="N4298" s="1" t="s">
        <v>28</v>
      </c>
      <c r="O4298" s="1" t="s">
        <v>28</v>
      </c>
      <c r="P4298" s="1" t="s">
        <v>55</v>
      </c>
      <c r="Q4298" s="1">
        <v>25</v>
      </c>
      <c r="R4298" s="1">
        <v>25</v>
      </c>
      <c r="S4298" s="1">
        <v>0</v>
      </c>
      <c r="T4298" s="1">
        <v>0</v>
      </c>
      <c r="U4298" s="1">
        <v>0</v>
      </c>
      <c r="V4298" s="1" t="str">
        <f t="shared" si="800"/>
        <v>里程返程</v>
      </c>
      <c r="W4298" s="1" t="str">
        <f>"2020"</f>
        <v>2020</v>
      </c>
      <c r="X4298" s="1" t="s">
        <v>35</v>
      </c>
    </row>
    <row r="4299" spans="1:24" x14ac:dyDescent="0.3">
      <c r="A4299" s="1" t="str">
        <f t="shared" si="799"/>
        <v>59822</v>
      </c>
      <c r="B4299" s="1" t="s">
        <v>39</v>
      </c>
      <c r="C4299" s="1" t="s">
        <v>40</v>
      </c>
      <c r="D4299" s="1" t="str">
        <f t="shared" si="796"/>
        <v>9803</v>
      </c>
      <c r="E4299" s="1" t="s">
        <v>32</v>
      </c>
      <c r="F4299" s="1" t="str">
        <f>"716CDC4A8B280400F700000000000000"</f>
        <v>716CDC4A8B280400F700000000000000</v>
      </c>
      <c r="G4299" s="1" t="s">
        <v>58</v>
      </c>
      <c r="H4299" s="1" t="str">
        <f t="shared" si="790"/>
        <v>20220918</v>
      </c>
      <c r="I4299" s="1" t="str">
        <f>"180122"</f>
        <v>180122</v>
      </c>
      <c r="J4299" s="1" t="s">
        <v>34</v>
      </c>
      <c r="K4299" s="1" t="s">
        <v>34</v>
      </c>
      <c r="L4299" s="1" t="str">
        <f t="shared" si="798"/>
        <v>20220918</v>
      </c>
      <c r="M4299" s="1" t="str">
        <f>"184003"</f>
        <v>184003</v>
      </c>
      <c r="N4299" s="1" t="s">
        <v>28</v>
      </c>
      <c r="O4299" s="1" t="s">
        <v>28</v>
      </c>
      <c r="P4299" s="1" t="s">
        <v>55</v>
      </c>
      <c r="Q4299" s="1">
        <v>25</v>
      </c>
      <c r="R4299" s="1">
        <v>25</v>
      </c>
      <c r="S4299" s="1">
        <v>0</v>
      </c>
      <c r="T4299" s="1">
        <v>0</v>
      </c>
      <c r="U4299" s="1">
        <v>0</v>
      </c>
      <c r="V4299" s="1" t="str">
        <f t="shared" si="800"/>
        <v>里程返程</v>
      </c>
      <c r="W4299" s="1" t="str">
        <f>"0020"</f>
        <v>0020</v>
      </c>
      <c r="X4299" s="1" t="s">
        <v>29</v>
      </c>
    </row>
    <row r="4300" spans="1:24" x14ac:dyDescent="0.3">
      <c r="A4300" s="1" t="str">
        <f t="shared" si="799"/>
        <v>59822</v>
      </c>
      <c r="B4300" s="1" t="s">
        <v>39</v>
      </c>
      <c r="C4300" s="1" t="s">
        <v>40</v>
      </c>
      <c r="D4300" s="1" t="str">
        <f t="shared" si="796"/>
        <v>9803</v>
      </c>
      <c r="E4300" s="1" t="s">
        <v>32</v>
      </c>
      <c r="F4300" s="1" t="str">
        <f>"997167274"</f>
        <v>997167274</v>
      </c>
      <c r="G4300" s="1" t="s">
        <v>33</v>
      </c>
      <c r="H4300" s="1" t="str">
        <f t="shared" si="790"/>
        <v>20220918</v>
      </c>
      <c r="I4300" s="1" t="str">
        <f>"180127"</f>
        <v>180127</v>
      </c>
      <c r="J4300" s="1" t="s">
        <v>34</v>
      </c>
      <c r="K4300" s="1" t="s">
        <v>34</v>
      </c>
      <c r="L4300" s="1" t="str">
        <f t="shared" si="798"/>
        <v>20220918</v>
      </c>
      <c r="M4300" s="1" t="str">
        <f>"183858"</f>
        <v>183858</v>
      </c>
      <c r="N4300" s="1" t="s">
        <v>28</v>
      </c>
      <c r="O4300" s="1" t="s">
        <v>28</v>
      </c>
      <c r="P4300" s="1" t="s">
        <v>55</v>
      </c>
      <c r="Q4300" s="1">
        <v>25</v>
      </c>
      <c r="R4300" s="1">
        <v>25</v>
      </c>
      <c r="S4300" s="1">
        <v>0</v>
      </c>
      <c r="T4300" s="1">
        <v>0</v>
      </c>
      <c r="U4300" s="1">
        <v>0</v>
      </c>
      <c r="V4300" s="1" t="str">
        <f t="shared" si="800"/>
        <v>里程返程</v>
      </c>
      <c r="W4300" s="1" t="str">
        <f>"2120"</f>
        <v>2120</v>
      </c>
      <c r="X4300" s="1" t="s">
        <v>35</v>
      </c>
    </row>
    <row r="4301" spans="1:24" x14ac:dyDescent="0.3">
      <c r="A4301" s="1" t="str">
        <f t="shared" si="799"/>
        <v>59822</v>
      </c>
      <c r="B4301" s="1" t="s">
        <v>39</v>
      </c>
      <c r="C4301" s="1" t="s">
        <v>40</v>
      </c>
      <c r="D4301" s="1" t="str">
        <f t="shared" si="796"/>
        <v>9803</v>
      </c>
      <c r="E4301" s="1" t="s">
        <v>32</v>
      </c>
      <c r="F4301" s="1" t="str">
        <f>"647747665"</f>
        <v>647747665</v>
      </c>
      <c r="G4301" s="1" t="s">
        <v>33</v>
      </c>
      <c r="H4301" s="1" t="str">
        <f t="shared" si="790"/>
        <v>20220918</v>
      </c>
      <c r="I4301" s="1" t="str">
        <f>"180133"</f>
        <v>180133</v>
      </c>
      <c r="J4301" s="1" t="s">
        <v>34</v>
      </c>
      <c r="K4301" s="1" t="s">
        <v>34</v>
      </c>
      <c r="L4301" s="1" t="str">
        <f t="shared" si="798"/>
        <v>20220918</v>
      </c>
      <c r="M4301" s="1" t="str">
        <f>"183850"</f>
        <v>183850</v>
      </c>
      <c r="N4301" s="1" t="s">
        <v>28</v>
      </c>
      <c r="O4301" s="1" t="s">
        <v>28</v>
      </c>
      <c r="P4301" s="1" t="s">
        <v>55</v>
      </c>
      <c r="Q4301" s="1">
        <v>25</v>
      </c>
      <c r="R4301" s="1">
        <v>25</v>
      </c>
      <c r="S4301" s="1">
        <v>0</v>
      </c>
      <c r="T4301" s="1">
        <v>0</v>
      </c>
      <c r="U4301" s="1">
        <v>0</v>
      </c>
      <c r="V4301" s="1" t="str">
        <f t="shared" si="800"/>
        <v>里程返程</v>
      </c>
      <c r="W4301" s="1" t="str">
        <f>"2120"</f>
        <v>2120</v>
      </c>
      <c r="X4301" s="1" t="s">
        <v>35</v>
      </c>
    </row>
    <row r="4302" spans="1:24" x14ac:dyDescent="0.3">
      <c r="A4302" s="1" t="str">
        <f t="shared" si="799"/>
        <v>59822</v>
      </c>
      <c r="B4302" s="1" t="s">
        <v>39</v>
      </c>
      <c r="C4302" s="1" t="s">
        <v>40</v>
      </c>
      <c r="D4302" s="1" t="str">
        <f t="shared" si="796"/>
        <v>9803</v>
      </c>
      <c r="E4302" s="1" t="s">
        <v>32</v>
      </c>
      <c r="F4302" s="1" t="str">
        <f>"A12A6254BD2804001C00000000000000"</f>
        <v>A12A6254BD2804001C00000000000000</v>
      </c>
      <c r="G4302" s="1" t="s">
        <v>58</v>
      </c>
      <c r="H4302" s="1" t="str">
        <f t="shared" ref="H4302:H4365" si="801">"20220918"</f>
        <v>20220918</v>
      </c>
      <c r="I4302" s="1" t="str">
        <f>"180135"</f>
        <v>180135</v>
      </c>
      <c r="J4302" s="1" t="s">
        <v>34</v>
      </c>
      <c r="K4302" s="1" t="s">
        <v>34</v>
      </c>
      <c r="L4302" s="1" t="str">
        <f t="shared" ref="L4302:L4333" si="802">"20220918"</f>
        <v>20220918</v>
      </c>
      <c r="M4302" s="1" t="str">
        <f>"183946"</f>
        <v>183946</v>
      </c>
      <c r="N4302" s="1" t="s">
        <v>28</v>
      </c>
      <c r="O4302" s="1" t="s">
        <v>28</v>
      </c>
      <c r="P4302" s="1" t="s">
        <v>55</v>
      </c>
      <c r="Q4302" s="1">
        <v>25</v>
      </c>
      <c r="R4302" s="1">
        <v>25</v>
      </c>
      <c r="S4302" s="1">
        <v>0</v>
      </c>
      <c r="T4302" s="1">
        <v>0</v>
      </c>
      <c r="U4302" s="1">
        <v>0</v>
      </c>
      <c r="V4302" s="1" t="str">
        <f t="shared" si="800"/>
        <v>里程返程</v>
      </c>
      <c r="W4302" s="1" t="str">
        <f>"0020"</f>
        <v>0020</v>
      </c>
      <c r="X4302" s="1" t="s">
        <v>29</v>
      </c>
    </row>
    <row r="4303" spans="1:24" x14ac:dyDescent="0.3">
      <c r="A4303" s="1" t="str">
        <f t="shared" si="799"/>
        <v>59822</v>
      </c>
      <c r="B4303" s="1" t="s">
        <v>39</v>
      </c>
      <c r="C4303" s="1" t="s">
        <v>40</v>
      </c>
      <c r="D4303" s="1" t="str">
        <f t="shared" si="796"/>
        <v>9803</v>
      </c>
      <c r="E4303" s="1" t="s">
        <v>32</v>
      </c>
      <c r="F4303" s="1" t="str">
        <f>"969893969"</f>
        <v>969893969</v>
      </c>
      <c r="G4303" s="1" t="s">
        <v>33</v>
      </c>
      <c r="H4303" s="1" t="str">
        <f t="shared" si="801"/>
        <v>20220918</v>
      </c>
      <c r="I4303" s="1" t="str">
        <f>"180143"</f>
        <v>180143</v>
      </c>
      <c r="J4303" s="1" t="s">
        <v>34</v>
      </c>
      <c r="K4303" s="1" t="s">
        <v>34</v>
      </c>
      <c r="L4303" s="1" t="str">
        <f t="shared" si="802"/>
        <v>20220918</v>
      </c>
      <c r="M4303" s="1" t="str">
        <f>"183926"</f>
        <v>183926</v>
      </c>
      <c r="N4303" s="1" t="s">
        <v>28</v>
      </c>
      <c r="O4303" s="1" t="s">
        <v>28</v>
      </c>
      <c r="P4303" s="1" t="s">
        <v>55</v>
      </c>
      <c r="Q4303" s="1">
        <v>25</v>
      </c>
      <c r="R4303" s="1">
        <v>25</v>
      </c>
      <c r="S4303" s="1">
        <v>0</v>
      </c>
      <c r="T4303" s="1">
        <v>0</v>
      </c>
      <c r="U4303" s="1">
        <v>0</v>
      </c>
      <c r="V4303" s="1" t="str">
        <f t="shared" si="800"/>
        <v>里程返程</v>
      </c>
      <c r="W4303" s="1" t="str">
        <f>"2020"</f>
        <v>2020</v>
      </c>
      <c r="X4303" s="1" t="s">
        <v>35</v>
      </c>
    </row>
    <row r="4304" spans="1:24" x14ac:dyDescent="0.3">
      <c r="A4304" s="1" t="str">
        <f t="shared" si="799"/>
        <v>59822</v>
      </c>
      <c r="B4304" s="1" t="s">
        <v>39</v>
      </c>
      <c r="C4304" s="1" t="s">
        <v>40</v>
      </c>
      <c r="D4304" s="1" t="str">
        <f t="shared" si="796"/>
        <v>9803</v>
      </c>
      <c r="E4304" s="1" t="s">
        <v>32</v>
      </c>
      <c r="F4304" s="1" t="str">
        <f>"1773429621"</f>
        <v>1773429621</v>
      </c>
      <c r="G4304" s="1" t="s">
        <v>33</v>
      </c>
      <c r="H4304" s="1" t="str">
        <f t="shared" si="801"/>
        <v>20220918</v>
      </c>
      <c r="I4304" s="1" t="str">
        <f>"180144"</f>
        <v>180144</v>
      </c>
      <c r="J4304" s="1" t="s">
        <v>34</v>
      </c>
      <c r="K4304" s="1" t="s">
        <v>34</v>
      </c>
      <c r="L4304" s="1" t="str">
        <f t="shared" si="802"/>
        <v>20220918</v>
      </c>
      <c r="M4304" s="1" t="str">
        <f>"183941"</f>
        <v>183941</v>
      </c>
      <c r="N4304" s="1" t="s">
        <v>28</v>
      </c>
      <c r="O4304" s="1" t="s">
        <v>28</v>
      </c>
      <c r="P4304" s="1" t="s">
        <v>55</v>
      </c>
      <c r="Q4304" s="1">
        <v>25</v>
      </c>
      <c r="R4304" s="1">
        <v>25</v>
      </c>
      <c r="S4304" s="1">
        <v>0</v>
      </c>
      <c r="T4304" s="1">
        <v>0</v>
      </c>
      <c r="U4304" s="1">
        <v>0</v>
      </c>
      <c r="V4304" s="1" t="str">
        <f t="shared" si="800"/>
        <v>里程返程</v>
      </c>
      <c r="W4304" s="1" t="str">
        <f>"2020"</f>
        <v>2020</v>
      </c>
      <c r="X4304" s="1" t="s">
        <v>35</v>
      </c>
    </row>
    <row r="4305" spans="1:24" x14ac:dyDescent="0.3">
      <c r="A4305" s="1" t="str">
        <f t="shared" si="799"/>
        <v>59822</v>
      </c>
      <c r="B4305" s="1" t="s">
        <v>39</v>
      </c>
      <c r="C4305" s="1" t="s">
        <v>40</v>
      </c>
      <c r="D4305" s="1" t="str">
        <f t="shared" si="796"/>
        <v>9803</v>
      </c>
      <c r="E4305" s="1" t="s">
        <v>32</v>
      </c>
      <c r="F4305" s="1" t="str">
        <f>"178255733"</f>
        <v>178255733</v>
      </c>
      <c r="G4305" s="1" t="s">
        <v>33</v>
      </c>
      <c r="H4305" s="1" t="str">
        <f t="shared" si="801"/>
        <v>20220918</v>
      </c>
      <c r="I4305" s="1" t="str">
        <f>"180151"</f>
        <v>180151</v>
      </c>
      <c r="J4305" s="1" t="s">
        <v>34</v>
      </c>
      <c r="K4305" s="1" t="s">
        <v>34</v>
      </c>
      <c r="L4305" s="1" t="str">
        <f t="shared" si="802"/>
        <v>20220918</v>
      </c>
      <c r="M4305" s="1" t="str">
        <f>"183921"</f>
        <v>183921</v>
      </c>
      <c r="N4305" s="1" t="s">
        <v>28</v>
      </c>
      <c r="O4305" s="1" t="s">
        <v>28</v>
      </c>
      <c r="P4305" s="1" t="s">
        <v>55</v>
      </c>
      <c r="Q4305" s="1">
        <v>25</v>
      </c>
      <c r="R4305" s="1">
        <v>25</v>
      </c>
      <c r="S4305" s="1">
        <v>0</v>
      </c>
      <c r="T4305" s="1">
        <v>0</v>
      </c>
      <c r="U4305" s="1">
        <v>0</v>
      </c>
      <c r="V4305" s="1" t="str">
        <f t="shared" si="800"/>
        <v>里程返程</v>
      </c>
      <c r="W4305" s="1" t="str">
        <f>"1420"</f>
        <v>1420</v>
      </c>
      <c r="X4305" s="1" t="s">
        <v>35</v>
      </c>
    </row>
    <row r="4306" spans="1:24" x14ac:dyDescent="0.3">
      <c r="A4306" s="1" t="str">
        <f t="shared" si="799"/>
        <v>59822</v>
      </c>
      <c r="B4306" s="1" t="s">
        <v>39</v>
      </c>
      <c r="C4306" s="1" t="s">
        <v>40</v>
      </c>
      <c r="D4306" s="1" t="str">
        <f t="shared" si="796"/>
        <v>9803</v>
      </c>
      <c r="E4306" s="1" t="s">
        <v>32</v>
      </c>
      <c r="F4306" s="1" t="str">
        <f>"1117275637"</f>
        <v>1117275637</v>
      </c>
      <c r="G4306" s="1" t="s">
        <v>33</v>
      </c>
      <c r="H4306" s="1" t="str">
        <f t="shared" si="801"/>
        <v>20220918</v>
      </c>
      <c r="I4306" s="1" t="str">
        <f>"180156"</f>
        <v>180156</v>
      </c>
      <c r="J4306" s="1" t="s">
        <v>34</v>
      </c>
      <c r="K4306" s="1" t="s">
        <v>34</v>
      </c>
      <c r="L4306" s="1" t="str">
        <f t="shared" si="802"/>
        <v>20220918</v>
      </c>
      <c r="M4306" s="1" t="str">
        <f>"183918"</f>
        <v>183918</v>
      </c>
      <c r="N4306" s="1" t="s">
        <v>28</v>
      </c>
      <c r="O4306" s="1" t="s">
        <v>28</v>
      </c>
      <c r="P4306" s="1" t="s">
        <v>55</v>
      </c>
      <c r="Q4306" s="1">
        <v>25</v>
      </c>
      <c r="R4306" s="1">
        <v>25</v>
      </c>
      <c r="S4306" s="1">
        <v>0</v>
      </c>
      <c r="T4306" s="1">
        <v>0</v>
      </c>
      <c r="U4306" s="1">
        <v>0</v>
      </c>
      <c r="V4306" s="1" t="str">
        <f t="shared" si="800"/>
        <v>里程返程</v>
      </c>
      <c r="W4306" s="1" t="str">
        <f>"1420"</f>
        <v>1420</v>
      </c>
      <c r="X4306" s="1" t="s">
        <v>35</v>
      </c>
    </row>
    <row r="4307" spans="1:24" x14ac:dyDescent="0.3">
      <c r="A4307" s="1" t="str">
        <f t="shared" ref="A4307:A4314" si="803">"59822"</f>
        <v>59822</v>
      </c>
      <c r="B4307" s="1" t="s">
        <v>39</v>
      </c>
      <c r="C4307" s="1" t="s">
        <v>40</v>
      </c>
      <c r="D4307" s="1" t="str">
        <f t="shared" si="796"/>
        <v>9803</v>
      </c>
      <c r="E4307" s="1" t="s">
        <v>32</v>
      </c>
      <c r="F4307" s="1" t="str">
        <f>"132632405"</f>
        <v>132632405</v>
      </c>
      <c r="G4307" s="1" t="s">
        <v>33</v>
      </c>
      <c r="H4307" s="1" t="str">
        <f t="shared" si="801"/>
        <v>20220918</v>
      </c>
      <c r="I4307" s="1" t="str">
        <f>"180200"</f>
        <v>180200</v>
      </c>
      <c r="J4307" s="1" t="s">
        <v>34</v>
      </c>
      <c r="K4307" s="1" t="s">
        <v>34</v>
      </c>
      <c r="L4307" s="1" t="str">
        <f t="shared" si="802"/>
        <v>20220918</v>
      </c>
      <c r="M4307" s="1" t="str">
        <f>"183938"</f>
        <v>183938</v>
      </c>
      <c r="N4307" s="1" t="s">
        <v>28</v>
      </c>
      <c r="O4307" s="1" t="s">
        <v>28</v>
      </c>
      <c r="P4307" s="1" t="s">
        <v>55</v>
      </c>
      <c r="Q4307" s="1">
        <v>25</v>
      </c>
      <c r="R4307" s="1">
        <v>25</v>
      </c>
      <c r="S4307" s="1">
        <v>0</v>
      </c>
      <c r="T4307" s="1">
        <v>0</v>
      </c>
      <c r="U4307" s="1">
        <v>0</v>
      </c>
      <c r="V4307" s="1" t="str">
        <f t="shared" ref="V4307:V4335" si="804">"里程返程"</f>
        <v>里程返程</v>
      </c>
      <c r="W4307" s="1" t="str">
        <f>"2020"</f>
        <v>2020</v>
      </c>
      <c r="X4307" s="1" t="s">
        <v>35</v>
      </c>
    </row>
    <row r="4308" spans="1:24" x14ac:dyDescent="0.3">
      <c r="A4308" s="1" t="str">
        <f t="shared" si="803"/>
        <v>59822</v>
      </c>
      <c r="B4308" s="1" t="s">
        <v>39</v>
      </c>
      <c r="C4308" s="1" t="s">
        <v>40</v>
      </c>
      <c r="D4308" s="1" t="str">
        <f t="shared" si="796"/>
        <v>9803</v>
      </c>
      <c r="E4308" s="1" t="s">
        <v>32</v>
      </c>
      <c r="F4308" s="1" t="str">
        <f>"1819278085"</f>
        <v>1819278085</v>
      </c>
      <c r="G4308" s="1" t="s">
        <v>33</v>
      </c>
      <c r="H4308" s="1" t="str">
        <f t="shared" si="801"/>
        <v>20220918</v>
      </c>
      <c r="I4308" s="1" t="str">
        <f>"180202"</f>
        <v>180202</v>
      </c>
      <c r="J4308" s="1" t="s">
        <v>34</v>
      </c>
      <c r="K4308" s="1" t="s">
        <v>34</v>
      </c>
      <c r="L4308" s="1" t="str">
        <f t="shared" si="802"/>
        <v>20220918</v>
      </c>
      <c r="M4308" s="1" t="str">
        <f>"183936"</f>
        <v>183936</v>
      </c>
      <c r="N4308" s="1" t="s">
        <v>28</v>
      </c>
      <c r="O4308" s="1" t="s">
        <v>28</v>
      </c>
      <c r="P4308" s="1" t="s">
        <v>55</v>
      </c>
      <c r="Q4308" s="1">
        <v>25</v>
      </c>
      <c r="R4308" s="1">
        <v>25</v>
      </c>
      <c r="S4308" s="1">
        <v>0</v>
      </c>
      <c r="T4308" s="1">
        <v>0</v>
      </c>
      <c r="U4308" s="1">
        <v>0</v>
      </c>
      <c r="V4308" s="1" t="str">
        <f t="shared" si="804"/>
        <v>里程返程</v>
      </c>
      <c r="W4308" s="1" t="str">
        <f>"2020"</f>
        <v>2020</v>
      </c>
      <c r="X4308" s="1" t="s">
        <v>35</v>
      </c>
    </row>
    <row r="4309" spans="1:24" x14ac:dyDescent="0.3">
      <c r="A4309" s="1" t="str">
        <f t="shared" si="803"/>
        <v>59822</v>
      </c>
      <c r="B4309" s="1" t="s">
        <v>39</v>
      </c>
      <c r="C4309" s="1" t="s">
        <v>40</v>
      </c>
      <c r="D4309" s="1" t="str">
        <f t="shared" si="796"/>
        <v>9803</v>
      </c>
      <c r="E4309" s="1" t="s">
        <v>32</v>
      </c>
      <c r="F4309" s="1" t="str">
        <f>"831460881"</f>
        <v>831460881</v>
      </c>
      <c r="G4309" s="1" t="s">
        <v>33</v>
      </c>
      <c r="H4309" s="1" t="str">
        <f t="shared" si="801"/>
        <v>20220918</v>
      </c>
      <c r="I4309" s="1" t="str">
        <f>"180208"</f>
        <v>180208</v>
      </c>
      <c r="J4309" s="1" t="s">
        <v>34</v>
      </c>
      <c r="K4309" s="1" t="s">
        <v>34</v>
      </c>
      <c r="L4309" s="1" t="str">
        <f t="shared" si="802"/>
        <v>20220918</v>
      </c>
      <c r="M4309" s="1" t="str">
        <f>"183915"</f>
        <v>183915</v>
      </c>
      <c r="N4309" s="1" t="s">
        <v>28</v>
      </c>
      <c r="O4309" s="1" t="s">
        <v>28</v>
      </c>
      <c r="P4309" s="1" t="s">
        <v>55</v>
      </c>
      <c r="Q4309" s="1">
        <v>25</v>
      </c>
      <c r="R4309" s="1">
        <v>25</v>
      </c>
      <c r="S4309" s="1">
        <v>0</v>
      </c>
      <c r="T4309" s="1">
        <v>0</v>
      </c>
      <c r="U4309" s="1">
        <v>0</v>
      </c>
      <c r="V4309" s="1" t="str">
        <f t="shared" si="804"/>
        <v>里程返程</v>
      </c>
      <c r="W4309" s="1" t="str">
        <f>"0120"</f>
        <v>0120</v>
      </c>
      <c r="X4309" s="1" t="s">
        <v>35</v>
      </c>
    </row>
    <row r="4310" spans="1:24" x14ac:dyDescent="0.3">
      <c r="A4310" s="1" t="str">
        <f t="shared" si="803"/>
        <v>59822</v>
      </c>
      <c r="B4310" s="1" t="s">
        <v>39</v>
      </c>
      <c r="C4310" s="1" t="s">
        <v>40</v>
      </c>
      <c r="D4310" s="1" t="str">
        <f t="shared" si="796"/>
        <v>9803</v>
      </c>
      <c r="E4310" s="1" t="s">
        <v>32</v>
      </c>
      <c r="F4310" s="1" t="str">
        <f>"1351439921"</f>
        <v>1351439921</v>
      </c>
      <c r="G4310" s="1" t="s">
        <v>33</v>
      </c>
      <c r="H4310" s="1" t="str">
        <f t="shared" si="801"/>
        <v>20220918</v>
      </c>
      <c r="I4310" s="1" t="str">
        <f>"180216"</f>
        <v>180216</v>
      </c>
      <c r="J4310" s="1" t="s">
        <v>34</v>
      </c>
      <c r="K4310" s="1" t="s">
        <v>34</v>
      </c>
      <c r="L4310" s="1" t="str">
        <f t="shared" si="802"/>
        <v>20220918</v>
      </c>
      <c r="M4310" s="1" t="str">
        <f>"183955"</f>
        <v>183955</v>
      </c>
      <c r="N4310" s="1" t="s">
        <v>28</v>
      </c>
      <c r="O4310" s="1" t="s">
        <v>28</v>
      </c>
      <c r="P4310" s="1" t="s">
        <v>55</v>
      </c>
      <c r="Q4310" s="1">
        <v>25</v>
      </c>
      <c r="R4310" s="1">
        <v>25</v>
      </c>
      <c r="S4310" s="1">
        <v>0</v>
      </c>
      <c r="T4310" s="1">
        <v>0</v>
      </c>
      <c r="U4310" s="1">
        <v>0</v>
      </c>
      <c r="V4310" s="1" t="str">
        <f t="shared" si="804"/>
        <v>里程返程</v>
      </c>
      <c r="W4310" s="1" t="str">
        <f>"0620"</f>
        <v>0620</v>
      </c>
      <c r="X4310" s="1" t="s">
        <v>35</v>
      </c>
    </row>
    <row r="4311" spans="1:24" x14ac:dyDescent="0.3">
      <c r="A4311" s="1" t="str">
        <f t="shared" si="803"/>
        <v>59822</v>
      </c>
      <c r="B4311" s="1" t="s">
        <v>39</v>
      </c>
      <c r="C4311" s="1" t="s">
        <v>40</v>
      </c>
      <c r="D4311" s="1" t="str">
        <f t="shared" si="796"/>
        <v>9803</v>
      </c>
      <c r="E4311" s="1" t="s">
        <v>32</v>
      </c>
      <c r="F4311" s="1" t="str">
        <f>"2139C668B62804001C00000000000000"</f>
        <v>2139C668B62804001C00000000000000</v>
      </c>
      <c r="G4311" s="1" t="s">
        <v>58</v>
      </c>
      <c r="H4311" s="1" t="str">
        <f t="shared" si="801"/>
        <v>20220918</v>
      </c>
      <c r="I4311" s="1" t="str">
        <f>"180243"</f>
        <v>180243</v>
      </c>
      <c r="J4311" s="1" t="s">
        <v>34</v>
      </c>
      <c r="K4311" s="1" t="s">
        <v>34</v>
      </c>
      <c r="L4311" s="1" t="str">
        <f t="shared" si="802"/>
        <v>20220918</v>
      </c>
      <c r="M4311" s="1" t="str">
        <f>"183952"</f>
        <v>183952</v>
      </c>
      <c r="N4311" s="1" t="s">
        <v>28</v>
      </c>
      <c r="O4311" s="1" t="s">
        <v>28</v>
      </c>
      <c r="P4311" s="1" t="s">
        <v>55</v>
      </c>
      <c r="Q4311" s="1">
        <v>25</v>
      </c>
      <c r="R4311" s="1">
        <v>25</v>
      </c>
      <c r="S4311" s="1">
        <v>0</v>
      </c>
      <c r="T4311" s="1">
        <v>0</v>
      </c>
      <c r="U4311" s="1">
        <v>0</v>
      </c>
      <c r="V4311" s="1" t="str">
        <f t="shared" si="804"/>
        <v>里程返程</v>
      </c>
      <c r="W4311" s="1" t="str">
        <f>"0020"</f>
        <v>0020</v>
      </c>
      <c r="X4311" s="1" t="s">
        <v>29</v>
      </c>
    </row>
    <row r="4312" spans="1:24" x14ac:dyDescent="0.3">
      <c r="A4312" s="1" t="str">
        <f t="shared" si="803"/>
        <v>59822</v>
      </c>
      <c r="B4312" s="1" t="s">
        <v>39</v>
      </c>
      <c r="C4312" s="1" t="s">
        <v>40</v>
      </c>
      <c r="D4312" s="1" t="str">
        <f t="shared" si="796"/>
        <v>9803</v>
      </c>
      <c r="E4312" s="1" t="s">
        <v>32</v>
      </c>
      <c r="F4312" s="1" t="str">
        <f>"3493033911"</f>
        <v>3493033911</v>
      </c>
      <c r="G4312" s="1" t="s">
        <v>33</v>
      </c>
      <c r="H4312" s="1" t="str">
        <f t="shared" si="801"/>
        <v>20220918</v>
      </c>
      <c r="I4312" s="1" t="str">
        <f>"180251"</f>
        <v>180251</v>
      </c>
      <c r="J4312" s="1" t="s">
        <v>34</v>
      </c>
      <c r="K4312" s="1" t="s">
        <v>34</v>
      </c>
      <c r="L4312" s="1" t="str">
        <f t="shared" si="802"/>
        <v>20220918</v>
      </c>
      <c r="M4312" s="1" t="str">
        <f>"183911"</f>
        <v>183911</v>
      </c>
      <c r="N4312" s="1" t="s">
        <v>28</v>
      </c>
      <c r="O4312" s="1" t="s">
        <v>28</v>
      </c>
      <c r="P4312" s="1" t="s">
        <v>55</v>
      </c>
      <c r="Q4312" s="1">
        <v>25</v>
      </c>
      <c r="R4312" s="1">
        <v>25</v>
      </c>
      <c r="S4312" s="1">
        <v>0</v>
      </c>
      <c r="T4312" s="1">
        <v>0</v>
      </c>
      <c r="U4312" s="1">
        <v>0</v>
      </c>
      <c r="V4312" s="1" t="str">
        <f t="shared" si="804"/>
        <v>里程返程</v>
      </c>
      <c r="W4312" s="1" t="str">
        <f>"0620"</f>
        <v>0620</v>
      </c>
      <c r="X4312" s="1" t="s">
        <v>35</v>
      </c>
    </row>
    <row r="4313" spans="1:24" x14ac:dyDescent="0.3">
      <c r="A4313" s="1" t="str">
        <f t="shared" si="803"/>
        <v>59822</v>
      </c>
      <c r="B4313" s="1" t="s">
        <v>39</v>
      </c>
      <c r="C4313" s="1" t="s">
        <v>40</v>
      </c>
      <c r="D4313" s="1" t="str">
        <f t="shared" si="796"/>
        <v>9803</v>
      </c>
      <c r="E4313" s="1" t="s">
        <v>32</v>
      </c>
      <c r="F4313" s="1" t="str">
        <f>"190403512"</f>
        <v>190403512</v>
      </c>
      <c r="G4313" s="1" t="s">
        <v>33</v>
      </c>
      <c r="H4313" s="1" t="str">
        <f t="shared" si="801"/>
        <v>20220918</v>
      </c>
      <c r="I4313" s="1" t="str">
        <f>"180315"</f>
        <v>180315</v>
      </c>
      <c r="J4313" s="1" t="s">
        <v>34</v>
      </c>
      <c r="K4313" s="1" t="s">
        <v>34</v>
      </c>
      <c r="L4313" s="1" t="str">
        <f t="shared" si="802"/>
        <v>20220918</v>
      </c>
      <c r="M4313" s="1" t="str">
        <f>"183847"</f>
        <v>183847</v>
      </c>
      <c r="N4313" s="1" t="s">
        <v>28</v>
      </c>
      <c r="O4313" s="1" t="s">
        <v>28</v>
      </c>
      <c r="P4313" s="1" t="s">
        <v>55</v>
      </c>
      <c r="Q4313" s="1">
        <v>25</v>
      </c>
      <c r="R4313" s="1">
        <v>25</v>
      </c>
      <c r="S4313" s="1">
        <v>0</v>
      </c>
      <c r="T4313" s="1">
        <v>0</v>
      </c>
      <c r="U4313" s="1">
        <v>0</v>
      </c>
      <c r="V4313" s="1" t="str">
        <f t="shared" si="804"/>
        <v>里程返程</v>
      </c>
      <c r="W4313" s="1" t="str">
        <f>"2020"</f>
        <v>2020</v>
      </c>
      <c r="X4313" s="1" t="s">
        <v>35</v>
      </c>
    </row>
    <row r="4314" spans="1:24" x14ac:dyDescent="0.3">
      <c r="A4314" s="1" t="str">
        <f t="shared" si="803"/>
        <v>59822</v>
      </c>
      <c r="B4314" s="1" t="s">
        <v>39</v>
      </c>
      <c r="C4314" s="1" t="s">
        <v>40</v>
      </c>
      <c r="D4314" s="1" t="str">
        <f t="shared" si="796"/>
        <v>9803</v>
      </c>
      <c r="E4314" s="1" t="s">
        <v>32</v>
      </c>
      <c r="F4314" s="1" t="str">
        <f>"351834225"</f>
        <v>351834225</v>
      </c>
      <c r="G4314" s="1" t="s">
        <v>33</v>
      </c>
      <c r="H4314" s="1" t="str">
        <f t="shared" si="801"/>
        <v>20220918</v>
      </c>
      <c r="I4314" s="1" t="str">
        <f>"180338"</f>
        <v>180338</v>
      </c>
      <c r="J4314" s="1" t="s">
        <v>34</v>
      </c>
      <c r="K4314" s="1" t="s">
        <v>34</v>
      </c>
      <c r="L4314" s="1" t="str">
        <f t="shared" si="802"/>
        <v>20220918</v>
      </c>
      <c r="M4314" s="1" t="str">
        <f>"183841"</f>
        <v>183841</v>
      </c>
      <c r="N4314" s="1" t="s">
        <v>28</v>
      </c>
      <c r="O4314" s="1" t="s">
        <v>28</v>
      </c>
      <c r="P4314" s="1" t="s">
        <v>55</v>
      </c>
      <c r="Q4314" s="1">
        <v>25</v>
      </c>
      <c r="R4314" s="1">
        <v>25</v>
      </c>
      <c r="S4314" s="1">
        <v>0</v>
      </c>
      <c r="T4314" s="1">
        <v>0</v>
      </c>
      <c r="U4314" s="1">
        <v>0</v>
      </c>
      <c r="V4314" s="1" t="str">
        <f t="shared" si="804"/>
        <v>里程返程</v>
      </c>
      <c r="W4314" s="1" t="str">
        <f>"2020"</f>
        <v>2020</v>
      </c>
      <c r="X4314" s="1" t="s">
        <v>35</v>
      </c>
    </row>
    <row r="4315" spans="1:24" x14ac:dyDescent="0.3">
      <c r="A4315" s="1" t="str">
        <f t="shared" ref="A4315:A4346" si="805">"59825"</f>
        <v>59825</v>
      </c>
      <c r="B4315" s="1" t="s">
        <v>30</v>
      </c>
      <c r="C4315" s="1" t="s">
        <v>31</v>
      </c>
      <c r="D4315" s="1" t="str">
        <f t="shared" ref="D4315:D4335" si="806">"9801"</f>
        <v>9801</v>
      </c>
      <c r="E4315" s="1" t="s">
        <v>25</v>
      </c>
      <c r="F4315" s="1" t="str">
        <f>"170272917"</f>
        <v>170272917</v>
      </c>
      <c r="G4315" s="1" t="s">
        <v>33</v>
      </c>
      <c r="H4315" s="1" t="str">
        <f t="shared" si="801"/>
        <v>20220918</v>
      </c>
      <c r="I4315" s="1" t="str">
        <f>"092813"</f>
        <v>092813</v>
      </c>
      <c r="J4315" s="1" t="s">
        <v>44</v>
      </c>
      <c r="K4315" s="1" t="s">
        <v>45</v>
      </c>
      <c r="L4315" s="1" t="str">
        <f t="shared" si="802"/>
        <v>20220918</v>
      </c>
      <c r="M4315" s="1" t="str">
        <f>"095319"</f>
        <v>095319</v>
      </c>
      <c r="N4315" s="1" t="s">
        <v>28</v>
      </c>
      <c r="O4315" s="1" t="s">
        <v>28</v>
      </c>
      <c r="P4315" s="1" t="s">
        <v>55</v>
      </c>
      <c r="Q4315" s="1">
        <v>25</v>
      </c>
      <c r="R4315" s="1">
        <v>25</v>
      </c>
      <c r="S4315" s="1">
        <v>0</v>
      </c>
      <c r="T4315" s="1">
        <v>0</v>
      </c>
      <c r="U4315" s="1">
        <v>0</v>
      </c>
      <c r="V4315" s="1" t="str">
        <f t="shared" si="804"/>
        <v>里程返程</v>
      </c>
      <c r="W4315" s="1" t="str">
        <f>"2120"</f>
        <v>2120</v>
      </c>
      <c r="X4315" s="1" t="s">
        <v>35</v>
      </c>
    </row>
    <row r="4316" spans="1:24" x14ac:dyDescent="0.3">
      <c r="A4316" s="1" t="str">
        <f t="shared" si="805"/>
        <v>59825</v>
      </c>
      <c r="B4316" s="1" t="s">
        <v>30</v>
      </c>
      <c r="C4316" s="1" t="s">
        <v>31</v>
      </c>
      <c r="D4316" s="1" t="str">
        <f t="shared" si="806"/>
        <v>9801</v>
      </c>
      <c r="E4316" s="1" t="s">
        <v>25</v>
      </c>
      <c r="F4316" s="1" t="str">
        <f>"E211F20504880400C838002000000015"</f>
        <v>E211F20504880400C838002000000015</v>
      </c>
      <c r="G4316" s="1" t="s">
        <v>26</v>
      </c>
      <c r="H4316" s="1" t="str">
        <f t="shared" si="801"/>
        <v>20220918</v>
      </c>
      <c r="I4316" s="1" t="str">
        <f>"095341"</f>
        <v>095341</v>
      </c>
      <c r="J4316" s="1" t="s">
        <v>28</v>
      </c>
      <c r="K4316" s="1" t="s">
        <v>28</v>
      </c>
      <c r="L4316" s="1" t="str">
        <f t="shared" si="802"/>
        <v>20220918</v>
      </c>
      <c r="M4316" s="1" t="str">
        <f>"100925"</f>
        <v>100925</v>
      </c>
      <c r="N4316" s="1" t="s">
        <v>77</v>
      </c>
      <c r="O4316" s="1" t="s">
        <v>52</v>
      </c>
      <c r="P4316" s="1" t="s">
        <v>68</v>
      </c>
      <c r="Q4316" s="1">
        <v>13</v>
      </c>
      <c r="R4316" s="1">
        <v>0</v>
      </c>
      <c r="S4316" s="1">
        <v>0</v>
      </c>
      <c r="T4316" s="1">
        <v>13</v>
      </c>
      <c r="U4316" s="1">
        <v>0</v>
      </c>
      <c r="V4316" s="1" t="str">
        <f t="shared" si="804"/>
        <v>里程返程</v>
      </c>
      <c r="W4316" s="1" t="str">
        <f>"0020"</f>
        <v>0020</v>
      </c>
      <c r="X4316" s="1" t="s">
        <v>29</v>
      </c>
    </row>
    <row r="4317" spans="1:24" x14ac:dyDescent="0.3">
      <c r="A4317" s="1" t="str">
        <f t="shared" si="805"/>
        <v>59825</v>
      </c>
      <c r="B4317" s="1" t="s">
        <v>30</v>
      </c>
      <c r="C4317" s="1" t="s">
        <v>31</v>
      </c>
      <c r="D4317" s="1" t="str">
        <f t="shared" si="806"/>
        <v>9801</v>
      </c>
      <c r="E4317" s="1" t="s">
        <v>25</v>
      </c>
      <c r="F4317" s="1" t="str">
        <f>"D156B025128804004328091300060212"</f>
        <v>D156B025128804004328091300060212</v>
      </c>
      <c r="G4317" s="1" t="s">
        <v>58</v>
      </c>
      <c r="H4317" s="1" t="str">
        <f t="shared" si="801"/>
        <v>20220918</v>
      </c>
      <c r="I4317" s="1" t="str">
        <f>"095345"</f>
        <v>095345</v>
      </c>
      <c r="J4317" s="1" t="s">
        <v>28</v>
      </c>
      <c r="K4317" s="1" t="s">
        <v>28</v>
      </c>
      <c r="L4317" s="1" t="str">
        <f t="shared" si="802"/>
        <v>20220918</v>
      </c>
      <c r="M4317" s="1" t="str">
        <f>"102412"</f>
        <v>102412</v>
      </c>
      <c r="N4317" s="1" t="s">
        <v>52</v>
      </c>
      <c r="O4317" s="1" t="s">
        <v>52</v>
      </c>
      <c r="P4317" s="1" t="s">
        <v>55</v>
      </c>
      <c r="Q4317" s="1">
        <v>25</v>
      </c>
      <c r="R4317" s="1">
        <v>25</v>
      </c>
      <c r="S4317" s="1">
        <v>0</v>
      </c>
      <c r="T4317" s="1">
        <v>0</v>
      </c>
      <c r="U4317" s="1">
        <v>0</v>
      </c>
      <c r="V4317" s="1" t="str">
        <f t="shared" si="804"/>
        <v>里程返程</v>
      </c>
      <c r="W4317" s="1" t="str">
        <f>"0020"</f>
        <v>0020</v>
      </c>
      <c r="X4317" s="1" t="s">
        <v>29</v>
      </c>
    </row>
    <row r="4318" spans="1:24" x14ac:dyDescent="0.3">
      <c r="A4318" s="1" t="str">
        <f t="shared" si="805"/>
        <v>59825</v>
      </c>
      <c r="B4318" s="1" t="s">
        <v>30</v>
      </c>
      <c r="C4318" s="1" t="s">
        <v>31</v>
      </c>
      <c r="D4318" s="1" t="str">
        <f t="shared" si="806"/>
        <v>9801</v>
      </c>
      <c r="E4318" s="1" t="s">
        <v>25</v>
      </c>
      <c r="F4318" s="1" t="str">
        <f>"42C16902E8880400C821002000000015"</f>
        <v>42C16902E8880400C821002000000015</v>
      </c>
      <c r="G4318" s="1" t="s">
        <v>58</v>
      </c>
      <c r="H4318" s="1" t="str">
        <f t="shared" si="801"/>
        <v>20220918</v>
      </c>
      <c r="I4318" s="1" t="str">
        <f>"095351"</f>
        <v>095351</v>
      </c>
      <c r="J4318" s="1" t="s">
        <v>28</v>
      </c>
      <c r="K4318" s="1" t="s">
        <v>28</v>
      </c>
      <c r="L4318" s="1" t="str">
        <f t="shared" si="802"/>
        <v>20220918</v>
      </c>
      <c r="M4318" s="1" t="str">
        <f>"102415"</f>
        <v>102415</v>
      </c>
      <c r="N4318" s="1" t="s">
        <v>52</v>
      </c>
      <c r="O4318" s="1" t="s">
        <v>52</v>
      </c>
      <c r="P4318" s="1" t="s">
        <v>55</v>
      </c>
      <c r="Q4318" s="1">
        <v>25</v>
      </c>
      <c r="R4318" s="1">
        <v>25</v>
      </c>
      <c r="S4318" s="1">
        <v>0</v>
      </c>
      <c r="T4318" s="1">
        <v>0</v>
      </c>
      <c r="U4318" s="1">
        <v>0</v>
      </c>
      <c r="V4318" s="1" t="str">
        <f t="shared" si="804"/>
        <v>里程返程</v>
      </c>
      <c r="W4318" s="1" t="str">
        <f>"0020"</f>
        <v>0020</v>
      </c>
      <c r="X4318" s="1" t="s">
        <v>29</v>
      </c>
    </row>
    <row r="4319" spans="1:24" x14ac:dyDescent="0.3">
      <c r="A4319" s="1" t="str">
        <f t="shared" si="805"/>
        <v>59825</v>
      </c>
      <c r="B4319" s="1" t="s">
        <v>30</v>
      </c>
      <c r="C4319" s="1" t="s">
        <v>31</v>
      </c>
      <c r="D4319" s="1" t="str">
        <f t="shared" si="806"/>
        <v>9801</v>
      </c>
      <c r="E4319" s="1" t="s">
        <v>25</v>
      </c>
      <c r="F4319" s="1" t="str">
        <f>"1174552241"</f>
        <v>1174552241</v>
      </c>
      <c r="G4319" s="1" t="s">
        <v>33</v>
      </c>
      <c r="H4319" s="1" t="str">
        <f t="shared" si="801"/>
        <v>20220918</v>
      </c>
      <c r="I4319" s="1" t="str">
        <f>"095441"</f>
        <v>095441</v>
      </c>
      <c r="J4319" s="1" t="s">
        <v>28</v>
      </c>
      <c r="K4319" s="1" t="s">
        <v>28</v>
      </c>
      <c r="L4319" s="1" t="str">
        <f t="shared" si="802"/>
        <v>20220918</v>
      </c>
      <c r="M4319" s="1" t="str">
        <f>"102408"</f>
        <v>102408</v>
      </c>
      <c r="N4319" s="1" t="s">
        <v>52</v>
      </c>
      <c r="O4319" s="1" t="s">
        <v>52</v>
      </c>
      <c r="P4319" s="1" t="s">
        <v>55</v>
      </c>
      <c r="Q4319" s="1">
        <v>25</v>
      </c>
      <c r="R4319" s="1">
        <v>25</v>
      </c>
      <c r="S4319" s="1">
        <v>0</v>
      </c>
      <c r="T4319" s="1">
        <v>0</v>
      </c>
      <c r="U4319" s="1">
        <v>0</v>
      </c>
      <c r="V4319" s="1" t="str">
        <f t="shared" si="804"/>
        <v>里程返程</v>
      </c>
      <c r="W4319" s="1" t="str">
        <f>"2020"</f>
        <v>2020</v>
      </c>
      <c r="X4319" s="1" t="s">
        <v>35</v>
      </c>
    </row>
    <row r="4320" spans="1:24" x14ac:dyDescent="0.3">
      <c r="A4320" s="1" t="str">
        <f t="shared" si="805"/>
        <v>59825</v>
      </c>
      <c r="B4320" s="1" t="s">
        <v>30</v>
      </c>
      <c r="C4320" s="1" t="s">
        <v>31</v>
      </c>
      <c r="D4320" s="1" t="str">
        <f t="shared" si="806"/>
        <v>9801</v>
      </c>
      <c r="E4320" s="1" t="s">
        <v>25</v>
      </c>
      <c r="F4320" s="1" t="str">
        <f>"820020997"</f>
        <v>820020997</v>
      </c>
      <c r="G4320" s="1" t="s">
        <v>33</v>
      </c>
      <c r="H4320" s="1" t="str">
        <f t="shared" si="801"/>
        <v>20220918</v>
      </c>
      <c r="I4320" s="1" t="str">
        <f>"102453"</f>
        <v>102453</v>
      </c>
      <c r="J4320" s="1" t="s">
        <v>44</v>
      </c>
      <c r="K4320" s="1" t="s">
        <v>45</v>
      </c>
      <c r="L4320" s="1" t="str">
        <f t="shared" si="802"/>
        <v>20220918</v>
      </c>
      <c r="M4320" s="1" t="str">
        <f>"104451"</f>
        <v>104451</v>
      </c>
      <c r="N4320" s="1" t="s">
        <v>45</v>
      </c>
      <c r="O4320" s="1" t="s">
        <v>45</v>
      </c>
      <c r="P4320" s="1" t="s">
        <v>55</v>
      </c>
      <c r="Q4320" s="1">
        <v>25</v>
      </c>
      <c r="R4320" s="1">
        <v>25</v>
      </c>
      <c r="S4320" s="1">
        <v>0</v>
      </c>
      <c r="T4320" s="1">
        <v>0</v>
      </c>
      <c r="U4320" s="1">
        <v>0</v>
      </c>
      <c r="V4320" s="1" t="str">
        <f t="shared" si="804"/>
        <v>里程返程</v>
      </c>
      <c r="W4320" s="1" t="str">
        <f>"0620"</f>
        <v>0620</v>
      </c>
      <c r="X4320" s="1" t="s">
        <v>35</v>
      </c>
    </row>
    <row r="4321" spans="1:24" x14ac:dyDescent="0.3">
      <c r="A4321" s="1" t="str">
        <f t="shared" si="805"/>
        <v>59825</v>
      </c>
      <c r="B4321" s="1" t="s">
        <v>30</v>
      </c>
      <c r="C4321" s="1" t="s">
        <v>31</v>
      </c>
      <c r="D4321" s="1" t="str">
        <f t="shared" si="806"/>
        <v>9801</v>
      </c>
      <c r="E4321" s="1" t="s">
        <v>25</v>
      </c>
      <c r="F4321" s="1" t="str">
        <f>"608806689"</f>
        <v>608806689</v>
      </c>
      <c r="G4321" s="1" t="s">
        <v>33</v>
      </c>
      <c r="H4321" s="1" t="str">
        <f t="shared" si="801"/>
        <v>20220918</v>
      </c>
      <c r="I4321" s="1" t="str">
        <f>"102500"</f>
        <v>102500</v>
      </c>
      <c r="J4321" s="1" t="s">
        <v>44</v>
      </c>
      <c r="K4321" s="1" t="s">
        <v>45</v>
      </c>
      <c r="L4321" s="1" t="str">
        <f t="shared" si="802"/>
        <v>20220918</v>
      </c>
      <c r="M4321" s="1" t="str">
        <f>"104454"</f>
        <v>104454</v>
      </c>
      <c r="N4321" s="1" t="s">
        <v>45</v>
      </c>
      <c r="O4321" s="1" t="s">
        <v>45</v>
      </c>
      <c r="P4321" s="1" t="s">
        <v>55</v>
      </c>
      <c r="Q4321" s="1">
        <v>25</v>
      </c>
      <c r="R4321" s="1">
        <v>25</v>
      </c>
      <c r="S4321" s="1">
        <v>0</v>
      </c>
      <c r="T4321" s="1">
        <v>0</v>
      </c>
      <c r="U4321" s="1">
        <v>0</v>
      </c>
      <c r="V4321" s="1" t="str">
        <f t="shared" si="804"/>
        <v>里程返程</v>
      </c>
      <c r="W4321" s="1" t="str">
        <f>"0120"</f>
        <v>0120</v>
      </c>
      <c r="X4321" s="1" t="s">
        <v>35</v>
      </c>
    </row>
    <row r="4322" spans="1:24" x14ac:dyDescent="0.3">
      <c r="A4322" s="1" t="str">
        <f t="shared" si="805"/>
        <v>59825</v>
      </c>
      <c r="B4322" s="1" t="s">
        <v>30</v>
      </c>
      <c r="C4322" s="1" t="s">
        <v>110</v>
      </c>
      <c r="D4322" s="1" t="str">
        <f t="shared" si="806"/>
        <v>9801</v>
      </c>
      <c r="E4322" s="1" t="s">
        <v>25</v>
      </c>
      <c r="F4322" s="1" t="str">
        <f>"7511180856005481"</f>
        <v>7511180856005481</v>
      </c>
      <c r="G4322" s="1" t="s">
        <v>33</v>
      </c>
      <c r="H4322" s="1" t="str">
        <f t="shared" si="801"/>
        <v>20220918</v>
      </c>
      <c r="I4322" s="1" t="str">
        <f>"102514"</f>
        <v>102514</v>
      </c>
      <c r="J4322" s="1" t="s">
        <v>44</v>
      </c>
      <c r="K4322" s="1" t="s">
        <v>45</v>
      </c>
      <c r="L4322" s="1" t="str">
        <f t="shared" si="802"/>
        <v>20220918</v>
      </c>
      <c r="M4322" s="1" t="str">
        <f>"104448"</f>
        <v>104448</v>
      </c>
      <c r="N4322" s="1" t="s">
        <v>45</v>
      </c>
      <c r="O4322" s="1" t="s">
        <v>45</v>
      </c>
      <c r="P4322" s="1" t="s">
        <v>55</v>
      </c>
      <c r="Q4322" s="1">
        <v>25</v>
      </c>
      <c r="R4322" s="1">
        <v>25</v>
      </c>
      <c r="S4322" s="1">
        <v>0</v>
      </c>
      <c r="T4322" s="1">
        <v>0</v>
      </c>
      <c r="U4322" s="1">
        <v>0</v>
      </c>
      <c r="V4322" s="1" t="str">
        <f t="shared" si="804"/>
        <v>里程返程</v>
      </c>
      <c r="W4322" s="1" t="str">
        <f>"013B"</f>
        <v>013B</v>
      </c>
      <c r="X4322" s="1" t="s">
        <v>109</v>
      </c>
    </row>
    <row r="4323" spans="1:24" x14ac:dyDescent="0.3">
      <c r="A4323" s="1" t="str">
        <f t="shared" si="805"/>
        <v>59825</v>
      </c>
      <c r="B4323" s="1" t="s">
        <v>30</v>
      </c>
      <c r="C4323" s="1" t="s">
        <v>31</v>
      </c>
      <c r="D4323" s="1" t="str">
        <f t="shared" si="806"/>
        <v>9801</v>
      </c>
      <c r="E4323" s="1" t="s">
        <v>25</v>
      </c>
      <c r="F4323" s="1" t="str">
        <f>"42720D033E880400C834002000000015"</f>
        <v>42720D033E880400C834002000000015</v>
      </c>
      <c r="G4323" s="1" t="s">
        <v>26</v>
      </c>
      <c r="H4323" s="1" t="str">
        <f t="shared" si="801"/>
        <v>20220918</v>
      </c>
      <c r="I4323" s="1" t="str">
        <f>"102517"</f>
        <v>102517</v>
      </c>
      <c r="J4323" s="1" t="s">
        <v>44</v>
      </c>
      <c r="K4323" s="1" t="s">
        <v>45</v>
      </c>
      <c r="L4323" s="1" t="str">
        <f t="shared" si="802"/>
        <v>20220918</v>
      </c>
      <c r="M4323" s="1" t="str">
        <f>"105059"</f>
        <v>105059</v>
      </c>
      <c r="N4323" s="1" t="s">
        <v>27</v>
      </c>
      <c r="O4323" s="1" t="s">
        <v>28</v>
      </c>
      <c r="P4323" s="1" t="s">
        <v>68</v>
      </c>
      <c r="Q4323" s="1">
        <v>13</v>
      </c>
      <c r="R4323" s="1">
        <v>0</v>
      </c>
      <c r="S4323" s="1">
        <v>0</v>
      </c>
      <c r="T4323" s="1">
        <v>13</v>
      </c>
      <c r="U4323" s="1">
        <v>0</v>
      </c>
      <c r="V4323" s="1" t="str">
        <f t="shared" si="804"/>
        <v>里程返程</v>
      </c>
      <c r="W4323" s="1" t="str">
        <f>"0020"</f>
        <v>0020</v>
      </c>
      <c r="X4323" s="1" t="s">
        <v>29</v>
      </c>
    </row>
    <row r="4324" spans="1:24" x14ac:dyDescent="0.3">
      <c r="A4324" s="1" t="str">
        <f t="shared" si="805"/>
        <v>59825</v>
      </c>
      <c r="B4324" s="1" t="s">
        <v>30</v>
      </c>
      <c r="C4324" s="1" t="s">
        <v>31</v>
      </c>
      <c r="D4324" s="1" t="str">
        <f t="shared" si="806"/>
        <v>9801</v>
      </c>
      <c r="E4324" s="1" t="s">
        <v>25</v>
      </c>
      <c r="F4324" s="1" t="str">
        <f>"1102406645"</f>
        <v>1102406645</v>
      </c>
      <c r="G4324" s="1" t="s">
        <v>33</v>
      </c>
      <c r="H4324" s="1" t="str">
        <f t="shared" si="801"/>
        <v>20220918</v>
      </c>
      <c r="I4324" s="1" t="str">
        <f>"102520"</f>
        <v>102520</v>
      </c>
      <c r="J4324" s="1" t="s">
        <v>44</v>
      </c>
      <c r="K4324" s="1" t="s">
        <v>45</v>
      </c>
      <c r="L4324" s="1" t="str">
        <f t="shared" si="802"/>
        <v>20220918</v>
      </c>
      <c r="M4324" s="1" t="str">
        <f>"104444"</f>
        <v>104444</v>
      </c>
      <c r="N4324" s="1" t="s">
        <v>45</v>
      </c>
      <c r="O4324" s="1" t="s">
        <v>45</v>
      </c>
      <c r="P4324" s="1" t="s">
        <v>55</v>
      </c>
      <c r="Q4324" s="1">
        <v>25</v>
      </c>
      <c r="R4324" s="1">
        <v>25</v>
      </c>
      <c r="S4324" s="1">
        <v>0</v>
      </c>
      <c r="T4324" s="1">
        <v>0</v>
      </c>
      <c r="U4324" s="1">
        <v>0</v>
      </c>
      <c r="V4324" s="1" t="str">
        <f t="shared" si="804"/>
        <v>里程返程</v>
      </c>
      <c r="W4324" s="1" t="str">
        <f>"0120"</f>
        <v>0120</v>
      </c>
      <c r="X4324" s="1" t="s">
        <v>35</v>
      </c>
    </row>
    <row r="4325" spans="1:24" x14ac:dyDescent="0.3">
      <c r="A4325" s="1" t="str">
        <f t="shared" si="805"/>
        <v>59825</v>
      </c>
      <c r="B4325" s="1" t="s">
        <v>30</v>
      </c>
      <c r="C4325" s="1" t="s">
        <v>31</v>
      </c>
      <c r="D4325" s="1" t="str">
        <f t="shared" si="806"/>
        <v>9801</v>
      </c>
      <c r="E4325" s="1" t="s">
        <v>25</v>
      </c>
      <c r="F4325" s="1" t="str">
        <f>"1240765621"</f>
        <v>1240765621</v>
      </c>
      <c r="G4325" s="1" t="s">
        <v>26</v>
      </c>
      <c r="H4325" s="1" t="str">
        <f t="shared" si="801"/>
        <v>20220918</v>
      </c>
      <c r="I4325" s="1" t="str">
        <f>"104150"</f>
        <v>104150</v>
      </c>
      <c r="J4325" s="1" t="s">
        <v>61</v>
      </c>
      <c r="K4325" s="1" t="s">
        <v>45</v>
      </c>
      <c r="L4325" s="1" t="str">
        <f t="shared" si="802"/>
        <v>20220918</v>
      </c>
      <c r="M4325" s="1" t="str">
        <f>"105356"</f>
        <v>105356</v>
      </c>
      <c r="N4325" s="1" t="s">
        <v>84</v>
      </c>
      <c r="O4325" s="1" t="s">
        <v>28</v>
      </c>
      <c r="P4325" s="1" t="s">
        <v>55</v>
      </c>
      <c r="Q4325" s="1">
        <v>13</v>
      </c>
      <c r="R4325" s="1">
        <v>13</v>
      </c>
      <c r="S4325" s="1">
        <v>0</v>
      </c>
      <c r="T4325" s="1">
        <v>0</v>
      </c>
      <c r="U4325" s="1">
        <v>0</v>
      </c>
      <c r="V4325" s="1" t="str">
        <f t="shared" si="804"/>
        <v>里程返程</v>
      </c>
      <c r="W4325" s="1" t="str">
        <f>"2020"</f>
        <v>2020</v>
      </c>
      <c r="X4325" s="1" t="s">
        <v>35</v>
      </c>
    </row>
    <row r="4326" spans="1:24" x14ac:dyDescent="0.3">
      <c r="A4326" s="1" t="str">
        <f t="shared" si="805"/>
        <v>59825</v>
      </c>
      <c r="B4326" s="1" t="s">
        <v>30</v>
      </c>
      <c r="C4326" s="1" t="s">
        <v>31</v>
      </c>
      <c r="D4326" s="1" t="str">
        <f t="shared" si="806"/>
        <v>9801</v>
      </c>
      <c r="E4326" s="1" t="s">
        <v>25</v>
      </c>
      <c r="F4326" s="1" t="str">
        <f>"976682245"</f>
        <v>976682245</v>
      </c>
      <c r="G4326" s="1" t="s">
        <v>33</v>
      </c>
      <c r="H4326" s="1" t="str">
        <f t="shared" si="801"/>
        <v>20220918</v>
      </c>
      <c r="I4326" s="1" t="str">
        <f>"104154"</f>
        <v>104154</v>
      </c>
      <c r="J4326" s="1" t="s">
        <v>61</v>
      </c>
      <c r="K4326" s="1" t="s">
        <v>45</v>
      </c>
      <c r="L4326" s="1" t="str">
        <f t="shared" si="802"/>
        <v>20220918</v>
      </c>
      <c r="M4326" s="1" t="str">
        <f>"105400"</f>
        <v>105400</v>
      </c>
      <c r="N4326" s="1" t="s">
        <v>84</v>
      </c>
      <c r="O4326" s="1" t="s">
        <v>28</v>
      </c>
      <c r="P4326" s="1" t="s">
        <v>55</v>
      </c>
      <c r="Q4326" s="1">
        <v>25</v>
      </c>
      <c r="R4326" s="1">
        <v>25</v>
      </c>
      <c r="S4326" s="1">
        <v>0</v>
      </c>
      <c r="T4326" s="1">
        <v>0</v>
      </c>
      <c r="U4326" s="1">
        <v>0</v>
      </c>
      <c r="V4326" s="1" t="str">
        <f t="shared" si="804"/>
        <v>里程返程</v>
      </c>
      <c r="W4326" s="1" t="str">
        <f>"2020"</f>
        <v>2020</v>
      </c>
      <c r="X4326" s="1" t="s">
        <v>35</v>
      </c>
    </row>
    <row r="4327" spans="1:24" x14ac:dyDescent="0.3">
      <c r="A4327" s="1" t="str">
        <f t="shared" si="805"/>
        <v>59825</v>
      </c>
      <c r="B4327" s="1" t="s">
        <v>30</v>
      </c>
      <c r="C4327" s="1" t="s">
        <v>31</v>
      </c>
      <c r="D4327" s="1" t="str">
        <f t="shared" si="806"/>
        <v>9801</v>
      </c>
      <c r="E4327" s="1" t="s">
        <v>25</v>
      </c>
      <c r="F4327" s="1" t="str">
        <f>"E213BD024E880400C834002000000015"</f>
        <v>E213BD024E880400C834002000000015</v>
      </c>
      <c r="G4327" s="1" t="s">
        <v>74</v>
      </c>
      <c r="H4327" s="1" t="str">
        <f t="shared" si="801"/>
        <v>20220918</v>
      </c>
      <c r="I4327" s="1" t="str">
        <f>"105408"</f>
        <v>105408</v>
      </c>
      <c r="J4327" s="1" t="s">
        <v>85</v>
      </c>
      <c r="K4327" s="1" t="s">
        <v>28</v>
      </c>
      <c r="L4327" s="1" t="str">
        <f t="shared" si="802"/>
        <v>20220918</v>
      </c>
      <c r="M4327" s="1" t="str">
        <f>"111841"</f>
        <v>111841</v>
      </c>
      <c r="N4327" s="1" t="s">
        <v>65</v>
      </c>
      <c r="O4327" s="1" t="s">
        <v>52</v>
      </c>
      <c r="P4327" s="1" t="s">
        <v>68</v>
      </c>
      <c r="Q4327" s="1">
        <v>13</v>
      </c>
      <c r="R4327" s="1">
        <v>0</v>
      </c>
      <c r="S4327" s="1">
        <v>0</v>
      </c>
      <c r="T4327" s="1">
        <v>13</v>
      </c>
      <c r="U4327" s="1">
        <v>0</v>
      </c>
      <c r="V4327" s="1" t="str">
        <f t="shared" si="804"/>
        <v>里程返程</v>
      </c>
      <c r="W4327" s="1" t="str">
        <f>"0020"</f>
        <v>0020</v>
      </c>
      <c r="X4327" s="1" t="s">
        <v>29</v>
      </c>
    </row>
    <row r="4328" spans="1:24" x14ac:dyDescent="0.3">
      <c r="A4328" s="1" t="str">
        <f t="shared" si="805"/>
        <v>59825</v>
      </c>
      <c r="B4328" s="1" t="s">
        <v>30</v>
      </c>
      <c r="C4328" s="1" t="s">
        <v>31</v>
      </c>
      <c r="D4328" s="1" t="str">
        <f t="shared" si="806"/>
        <v>9801</v>
      </c>
      <c r="E4328" s="1" t="s">
        <v>25</v>
      </c>
      <c r="F4328" s="1" t="str">
        <f>"2049879152"</f>
        <v>2049879152</v>
      </c>
      <c r="G4328" s="1" t="s">
        <v>33</v>
      </c>
      <c r="H4328" s="1" t="str">
        <f t="shared" si="801"/>
        <v>20220918</v>
      </c>
      <c r="I4328" s="1" t="str">
        <f>"113646"</f>
        <v>113646</v>
      </c>
      <c r="J4328" s="1" t="s">
        <v>91</v>
      </c>
      <c r="K4328" s="1" t="s">
        <v>45</v>
      </c>
      <c r="L4328" s="1" t="str">
        <f t="shared" si="802"/>
        <v>20220918</v>
      </c>
      <c r="M4328" s="1" t="str">
        <f>"115202"</f>
        <v>115202</v>
      </c>
      <c r="N4328" s="1" t="s">
        <v>28</v>
      </c>
      <c r="O4328" s="1" t="s">
        <v>28</v>
      </c>
      <c r="P4328" s="1" t="s">
        <v>55</v>
      </c>
      <c r="Q4328" s="1">
        <v>25</v>
      </c>
      <c r="R4328" s="1">
        <v>25</v>
      </c>
      <c r="S4328" s="1">
        <v>0</v>
      </c>
      <c r="T4328" s="1">
        <v>0</v>
      </c>
      <c r="U4328" s="1">
        <v>0</v>
      </c>
      <c r="V4328" s="1" t="str">
        <f t="shared" si="804"/>
        <v>里程返程</v>
      </c>
      <c r="W4328" s="1" t="str">
        <f>"0120"</f>
        <v>0120</v>
      </c>
      <c r="X4328" s="1" t="s">
        <v>35</v>
      </c>
    </row>
    <row r="4329" spans="1:24" x14ac:dyDescent="0.3">
      <c r="A4329" s="1" t="str">
        <f t="shared" si="805"/>
        <v>59825</v>
      </c>
      <c r="B4329" s="1" t="s">
        <v>30</v>
      </c>
      <c r="C4329" s="1" t="s">
        <v>31</v>
      </c>
      <c r="D4329" s="1" t="str">
        <f t="shared" si="806"/>
        <v>9801</v>
      </c>
      <c r="E4329" s="1" t="s">
        <v>25</v>
      </c>
      <c r="F4329" s="1" t="str">
        <f>"621778673"</f>
        <v>621778673</v>
      </c>
      <c r="G4329" s="1" t="s">
        <v>33</v>
      </c>
      <c r="H4329" s="1" t="str">
        <f t="shared" si="801"/>
        <v>20220918</v>
      </c>
      <c r="I4329" s="1" t="str">
        <f>"113649"</f>
        <v>113649</v>
      </c>
      <c r="J4329" s="1" t="s">
        <v>91</v>
      </c>
      <c r="K4329" s="1" t="s">
        <v>45</v>
      </c>
      <c r="L4329" s="1" t="str">
        <f t="shared" si="802"/>
        <v>20220918</v>
      </c>
      <c r="M4329" s="1" t="str">
        <f>"115204"</f>
        <v>115204</v>
      </c>
      <c r="N4329" s="1" t="s">
        <v>28</v>
      </c>
      <c r="O4329" s="1" t="s">
        <v>28</v>
      </c>
      <c r="P4329" s="1" t="s">
        <v>55</v>
      </c>
      <c r="Q4329" s="1">
        <v>25</v>
      </c>
      <c r="R4329" s="1">
        <v>25</v>
      </c>
      <c r="S4329" s="1">
        <v>0</v>
      </c>
      <c r="T4329" s="1">
        <v>0</v>
      </c>
      <c r="U4329" s="1">
        <v>0</v>
      </c>
      <c r="V4329" s="1" t="str">
        <f t="shared" si="804"/>
        <v>里程返程</v>
      </c>
      <c r="W4329" s="1" t="str">
        <f>"0220"</f>
        <v>0220</v>
      </c>
      <c r="X4329" s="1" t="s">
        <v>35</v>
      </c>
    </row>
    <row r="4330" spans="1:24" x14ac:dyDescent="0.3">
      <c r="A4330" s="1" t="str">
        <f t="shared" si="805"/>
        <v>59825</v>
      </c>
      <c r="B4330" s="1" t="s">
        <v>30</v>
      </c>
      <c r="C4330" s="1" t="s">
        <v>31</v>
      </c>
      <c r="D4330" s="1" t="str">
        <f t="shared" si="806"/>
        <v>9801</v>
      </c>
      <c r="E4330" s="1" t="s">
        <v>25</v>
      </c>
      <c r="F4330" s="1" t="str">
        <f>"0144DC41D8280400F700000000000000"</f>
        <v>0144DC41D8280400F700000000000000</v>
      </c>
      <c r="G4330" s="1" t="s">
        <v>58</v>
      </c>
      <c r="H4330" s="1" t="str">
        <f t="shared" si="801"/>
        <v>20220918</v>
      </c>
      <c r="I4330" s="1" t="str">
        <f>"115211"</f>
        <v>115211</v>
      </c>
      <c r="J4330" s="1" t="s">
        <v>28</v>
      </c>
      <c r="K4330" s="1" t="s">
        <v>28</v>
      </c>
      <c r="L4330" s="1" t="str">
        <f t="shared" si="802"/>
        <v>20220918</v>
      </c>
      <c r="M4330" s="1" t="str">
        <f>"121828"</f>
        <v>121828</v>
      </c>
      <c r="N4330" s="1" t="s">
        <v>51</v>
      </c>
      <c r="O4330" s="1" t="s">
        <v>52</v>
      </c>
      <c r="P4330" s="1" t="s">
        <v>55</v>
      </c>
      <c r="Q4330" s="1">
        <v>25</v>
      </c>
      <c r="R4330" s="1">
        <v>0</v>
      </c>
      <c r="S4330" s="1">
        <v>25</v>
      </c>
      <c r="T4330" s="1">
        <v>0</v>
      </c>
      <c r="U4330" s="1">
        <v>0</v>
      </c>
      <c r="V4330" s="1" t="str">
        <f t="shared" si="804"/>
        <v>里程返程</v>
      </c>
      <c r="W4330" s="1" t="str">
        <f>"0620"</f>
        <v>0620</v>
      </c>
      <c r="X4330" s="1" t="s">
        <v>29</v>
      </c>
    </row>
    <row r="4331" spans="1:24" x14ac:dyDescent="0.3">
      <c r="A4331" s="1" t="str">
        <f t="shared" si="805"/>
        <v>59825</v>
      </c>
      <c r="B4331" s="1" t="s">
        <v>30</v>
      </c>
      <c r="C4331" s="1" t="s">
        <v>31</v>
      </c>
      <c r="D4331" s="1" t="str">
        <f t="shared" si="806"/>
        <v>9801</v>
      </c>
      <c r="E4331" s="1" t="s">
        <v>25</v>
      </c>
      <c r="F4331" s="1" t="str">
        <f>"6131B94FA62804001C00000000000000"</f>
        <v>6131B94FA62804001C00000000000000</v>
      </c>
      <c r="G4331" s="1" t="s">
        <v>58</v>
      </c>
      <c r="H4331" s="1" t="str">
        <f t="shared" si="801"/>
        <v>20220918</v>
      </c>
      <c r="I4331" s="1" t="str">
        <f>"115219"</f>
        <v>115219</v>
      </c>
      <c r="J4331" s="1" t="s">
        <v>28</v>
      </c>
      <c r="K4331" s="1" t="s">
        <v>28</v>
      </c>
      <c r="L4331" s="1" t="str">
        <f t="shared" si="802"/>
        <v>20220918</v>
      </c>
      <c r="M4331" s="1" t="str">
        <f>"121110"</f>
        <v>121110</v>
      </c>
      <c r="N4331" s="1" t="s">
        <v>77</v>
      </c>
      <c r="O4331" s="1" t="s">
        <v>52</v>
      </c>
      <c r="P4331" s="1" t="s">
        <v>55</v>
      </c>
      <c r="Q4331" s="1">
        <v>25</v>
      </c>
      <c r="R4331" s="1">
        <v>25</v>
      </c>
      <c r="S4331" s="1">
        <v>0</v>
      </c>
      <c r="T4331" s="1">
        <v>0</v>
      </c>
      <c r="U4331" s="1">
        <v>0</v>
      </c>
      <c r="V4331" s="1" t="str">
        <f t="shared" si="804"/>
        <v>里程返程</v>
      </c>
      <c r="W4331" s="1" t="str">
        <f>"0020"</f>
        <v>0020</v>
      </c>
      <c r="X4331" s="1" t="s">
        <v>29</v>
      </c>
    </row>
    <row r="4332" spans="1:24" x14ac:dyDescent="0.3">
      <c r="A4332" s="1" t="str">
        <f t="shared" si="805"/>
        <v>59825</v>
      </c>
      <c r="B4332" s="1" t="s">
        <v>30</v>
      </c>
      <c r="C4332" s="1" t="s">
        <v>31</v>
      </c>
      <c r="D4332" s="1" t="str">
        <f t="shared" si="806"/>
        <v>9801</v>
      </c>
      <c r="E4332" s="1" t="s">
        <v>25</v>
      </c>
      <c r="F4332" s="1" t="str">
        <f>"1257741061"</f>
        <v>1257741061</v>
      </c>
      <c r="G4332" s="1" t="s">
        <v>33</v>
      </c>
      <c r="H4332" s="1" t="str">
        <f t="shared" si="801"/>
        <v>20220918</v>
      </c>
      <c r="I4332" s="1" t="str">
        <f>"115221"</f>
        <v>115221</v>
      </c>
      <c r="J4332" s="1" t="s">
        <v>28</v>
      </c>
      <c r="K4332" s="1" t="s">
        <v>28</v>
      </c>
      <c r="L4332" s="1" t="str">
        <f t="shared" si="802"/>
        <v>20220918</v>
      </c>
      <c r="M4332" s="1" t="str">
        <f>"122435"</f>
        <v>122435</v>
      </c>
      <c r="N4332" s="1" t="s">
        <v>52</v>
      </c>
      <c r="O4332" s="1" t="s">
        <v>52</v>
      </c>
      <c r="P4332" s="1" t="s">
        <v>55</v>
      </c>
      <c r="Q4332" s="1">
        <v>25</v>
      </c>
      <c r="R4332" s="1">
        <v>25</v>
      </c>
      <c r="S4332" s="1">
        <v>0</v>
      </c>
      <c r="T4332" s="1">
        <v>0</v>
      </c>
      <c r="U4332" s="1">
        <v>0</v>
      </c>
      <c r="V4332" s="1" t="str">
        <f t="shared" si="804"/>
        <v>里程返程</v>
      </c>
      <c r="W4332" s="1" t="str">
        <f>"1e20"</f>
        <v>1e20</v>
      </c>
      <c r="X4332" s="1" t="s">
        <v>35</v>
      </c>
    </row>
    <row r="4333" spans="1:24" x14ac:dyDescent="0.3">
      <c r="A4333" s="1" t="str">
        <f t="shared" si="805"/>
        <v>59825</v>
      </c>
      <c r="B4333" s="1" t="s">
        <v>30</v>
      </c>
      <c r="C4333" s="1" t="s">
        <v>31</v>
      </c>
      <c r="D4333" s="1" t="str">
        <f t="shared" si="806"/>
        <v>9801</v>
      </c>
      <c r="E4333" s="1" t="s">
        <v>25</v>
      </c>
      <c r="F4333" s="1" t="str">
        <f>"1740615365"</f>
        <v>1740615365</v>
      </c>
      <c r="G4333" s="1" t="s">
        <v>33</v>
      </c>
      <c r="H4333" s="1" t="str">
        <f t="shared" si="801"/>
        <v>20220918</v>
      </c>
      <c r="I4333" s="1" t="str">
        <f>"115230"</f>
        <v>115230</v>
      </c>
      <c r="J4333" s="1" t="s">
        <v>28</v>
      </c>
      <c r="K4333" s="1" t="s">
        <v>28</v>
      </c>
      <c r="L4333" s="1" t="str">
        <f t="shared" si="802"/>
        <v>20220918</v>
      </c>
      <c r="M4333" s="1" t="str">
        <f>"122432"</f>
        <v>122432</v>
      </c>
      <c r="N4333" s="1" t="s">
        <v>52</v>
      </c>
      <c r="O4333" s="1" t="s">
        <v>52</v>
      </c>
      <c r="P4333" s="1" t="s">
        <v>55</v>
      </c>
      <c r="Q4333" s="1">
        <v>25</v>
      </c>
      <c r="R4333" s="1">
        <v>0</v>
      </c>
      <c r="S4333" s="1">
        <v>25</v>
      </c>
      <c r="T4333" s="1">
        <v>0</v>
      </c>
      <c r="U4333" s="1">
        <v>0</v>
      </c>
      <c r="V4333" s="1" t="str">
        <f t="shared" si="804"/>
        <v>里程返程</v>
      </c>
      <c r="W4333" s="1" t="str">
        <f>"0820"</f>
        <v>0820</v>
      </c>
      <c r="X4333" s="1" t="s">
        <v>35</v>
      </c>
    </row>
    <row r="4334" spans="1:24" x14ac:dyDescent="0.3">
      <c r="A4334" s="1" t="str">
        <f t="shared" si="805"/>
        <v>59825</v>
      </c>
      <c r="B4334" s="1" t="s">
        <v>30</v>
      </c>
      <c r="C4334" s="1" t="s">
        <v>31</v>
      </c>
      <c r="D4334" s="1" t="str">
        <f t="shared" si="806"/>
        <v>9801</v>
      </c>
      <c r="E4334" s="1" t="s">
        <v>25</v>
      </c>
      <c r="F4334" s="1" t="str">
        <f>"0205220722880400C838002000000015"</f>
        <v>0205220722880400C838002000000015</v>
      </c>
      <c r="G4334" s="1" t="s">
        <v>58</v>
      </c>
      <c r="H4334" s="1" t="str">
        <f t="shared" si="801"/>
        <v>20220918</v>
      </c>
      <c r="I4334" s="1" t="str">
        <f>"115234"</f>
        <v>115234</v>
      </c>
      <c r="J4334" s="1" t="s">
        <v>28</v>
      </c>
      <c r="K4334" s="1" t="s">
        <v>28</v>
      </c>
      <c r="L4334" s="1" t="str">
        <f t="shared" ref="L4334:L4349" si="807">"20220918"</f>
        <v>20220918</v>
      </c>
      <c r="M4334" s="1" t="str">
        <f>"121418"</f>
        <v>121418</v>
      </c>
      <c r="N4334" s="1" t="s">
        <v>65</v>
      </c>
      <c r="O4334" s="1" t="s">
        <v>52</v>
      </c>
      <c r="P4334" s="1" t="s">
        <v>55</v>
      </c>
      <c r="Q4334" s="1">
        <v>25</v>
      </c>
      <c r="R4334" s="1">
        <v>0</v>
      </c>
      <c r="S4334" s="1">
        <v>25</v>
      </c>
      <c r="T4334" s="1">
        <v>0</v>
      </c>
      <c r="U4334" s="1">
        <v>0</v>
      </c>
      <c r="V4334" s="1" t="str">
        <f t="shared" si="804"/>
        <v>里程返程</v>
      </c>
      <c r="W4334" s="1" t="str">
        <f>"0620"</f>
        <v>0620</v>
      </c>
      <c r="X4334" s="1" t="s">
        <v>29</v>
      </c>
    </row>
    <row r="4335" spans="1:24" x14ac:dyDescent="0.3">
      <c r="A4335" s="1" t="str">
        <f t="shared" si="805"/>
        <v>59825</v>
      </c>
      <c r="B4335" s="1" t="s">
        <v>30</v>
      </c>
      <c r="C4335" s="1" t="s">
        <v>31</v>
      </c>
      <c r="D4335" s="1" t="str">
        <f t="shared" si="806"/>
        <v>9801</v>
      </c>
      <c r="E4335" s="1" t="s">
        <v>25</v>
      </c>
      <c r="F4335" s="1" t="str">
        <f>"1503519329"</f>
        <v>1503519329</v>
      </c>
      <c r="G4335" s="1" t="s">
        <v>33</v>
      </c>
      <c r="H4335" s="1" t="str">
        <f t="shared" si="801"/>
        <v>20220918</v>
      </c>
      <c r="I4335" s="1" t="str">
        <f>"115246"</f>
        <v>115246</v>
      </c>
      <c r="J4335" s="1" t="s">
        <v>28</v>
      </c>
      <c r="K4335" s="1" t="s">
        <v>28</v>
      </c>
      <c r="L4335" s="1" t="str">
        <f t="shared" si="807"/>
        <v>20220918</v>
      </c>
      <c r="M4335" s="1" t="str">
        <f>"121448"</f>
        <v>121448</v>
      </c>
      <c r="N4335" s="1" t="s">
        <v>65</v>
      </c>
      <c r="O4335" s="1" t="s">
        <v>52</v>
      </c>
      <c r="P4335" s="1" t="s">
        <v>55</v>
      </c>
      <c r="Q4335" s="1">
        <v>25</v>
      </c>
      <c r="R4335" s="1">
        <v>25</v>
      </c>
      <c r="S4335" s="1">
        <v>0</v>
      </c>
      <c r="T4335" s="1">
        <v>0</v>
      </c>
      <c r="U4335" s="1">
        <v>0</v>
      </c>
      <c r="V4335" s="1" t="str">
        <f t="shared" si="804"/>
        <v>里程返程</v>
      </c>
      <c r="W4335" s="1" t="str">
        <f>"2020"</f>
        <v>2020</v>
      </c>
      <c r="X4335" s="1" t="s">
        <v>35</v>
      </c>
    </row>
    <row r="4336" spans="1:24" x14ac:dyDescent="0.3">
      <c r="A4336" s="1" t="str">
        <f t="shared" si="805"/>
        <v>59825</v>
      </c>
      <c r="B4336" s="1" t="s">
        <v>30</v>
      </c>
      <c r="C4336" s="1" t="s">
        <v>31</v>
      </c>
      <c r="D4336" s="1" t="str">
        <f>"9805"</f>
        <v>9805</v>
      </c>
      <c r="E4336" s="1" t="s">
        <v>57</v>
      </c>
      <c r="F4336" s="1" t="str">
        <f>"623827473"</f>
        <v>623827473</v>
      </c>
      <c r="G4336" s="1" t="s">
        <v>33</v>
      </c>
      <c r="H4336" s="1" t="str">
        <f t="shared" si="801"/>
        <v>20220918</v>
      </c>
      <c r="I4336" s="1" t="str">
        <f>"142850"</f>
        <v>142850</v>
      </c>
      <c r="J4336" s="1" t="s">
        <v>28</v>
      </c>
      <c r="K4336" s="1" t="s">
        <v>28</v>
      </c>
      <c r="L4336" s="1" t="str">
        <f t="shared" si="807"/>
        <v>20220918</v>
      </c>
      <c r="M4336" s="1" t="str">
        <f>"145040"</f>
        <v>145040</v>
      </c>
      <c r="N4336" s="1" t="s">
        <v>52</v>
      </c>
      <c r="O4336" s="1" t="s">
        <v>52</v>
      </c>
      <c r="P4336" s="1" t="s">
        <v>55</v>
      </c>
      <c r="Q4336" s="1">
        <v>25</v>
      </c>
      <c r="R4336" s="1">
        <v>25</v>
      </c>
      <c r="S4336" s="1">
        <v>0</v>
      </c>
      <c r="T4336" s="1">
        <v>0</v>
      </c>
      <c r="U4336" s="1">
        <v>0</v>
      </c>
      <c r="V4336" s="1" t="str">
        <f>"里程去程"</f>
        <v>里程去程</v>
      </c>
      <c r="W4336" s="1" t="str">
        <f>"1420"</f>
        <v>1420</v>
      </c>
      <c r="X4336" s="1" t="s">
        <v>35</v>
      </c>
    </row>
    <row r="4337" spans="1:24" x14ac:dyDescent="0.3">
      <c r="A4337" s="1" t="str">
        <f t="shared" si="805"/>
        <v>59825</v>
      </c>
      <c r="B4337" s="1" t="s">
        <v>30</v>
      </c>
      <c r="C4337" s="1" t="s">
        <v>31</v>
      </c>
      <c r="D4337" s="1" t="str">
        <f>"9805"</f>
        <v>9805</v>
      </c>
      <c r="E4337" s="1" t="s">
        <v>57</v>
      </c>
      <c r="F4337" s="1" t="str">
        <f>"2725420239"</f>
        <v>2725420239</v>
      </c>
      <c r="G4337" s="1" t="s">
        <v>74</v>
      </c>
      <c r="H4337" s="1" t="str">
        <f t="shared" si="801"/>
        <v>20220918</v>
      </c>
      <c r="I4337" s="1" t="str">
        <f>"142856"</f>
        <v>142856</v>
      </c>
      <c r="J4337" s="1" t="s">
        <v>28</v>
      </c>
      <c r="K4337" s="1" t="s">
        <v>28</v>
      </c>
      <c r="L4337" s="1" t="str">
        <f t="shared" si="807"/>
        <v>20220918</v>
      </c>
      <c r="M4337" s="1" t="str">
        <f>"145033"</f>
        <v>145033</v>
      </c>
      <c r="N4337" s="1" t="s">
        <v>52</v>
      </c>
      <c r="O4337" s="1" t="s">
        <v>52</v>
      </c>
      <c r="P4337" s="1" t="s">
        <v>55</v>
      </c>
      <c r="Q4337" s="1">
        <v>13</v>
      </c>
      <c r="R4337" s="1">
        <v>13</v>
      </c>
      <c r="S4337" s="1">
        <v>0</v>
      </c>
      <c r="T4337" s="1">
        <v>0</v>
      </c>
      <c r="U4337" s="1">
        <v>0</v>
      </c>
      <c r="V4337" s="1" t="str">
        <f>"里程去程"</f>
        <v>里程去程</v>
      </c>
      <c r="W4337" s="1" t="str">
        <f>"2520"</f>
        <v>2520</v>
      </c>
      <c r="X4337" s="1" t="s">
        <v>35</v>
      </c>
    </row>
    <row r="4338" spans="1:24" x14ac:dyDescent="0.3">
      <c r="A4338" s="1" t="str">
        <f t="shared" si="805"/>
        <v>59825</v>
      </c>
      <c r="B4338" s="1" t="s">
        <v>30</v>
      </c>
      <c r="C4338" s="1" t="s">
        <v>31</v>
      </c>
      <c r="D4338" s="1" t="str">
        <f>"9805"</f>
        <v>9805</v>
      </c>
      <c r="E4338" s="1" t="s">
        <v>57</v>
      </c>
      <c r="F4338" s="1" t="str">
        <f>"1462549329"</f>
        <v>1462549329</v>
      </c>
      <c r="G4338" s="1" t="s">
        <v>26</v>
      </c>
      <c r="H4338" s="1" t="str">
        <f t="shared" si="801"/>
        <v>20220918</v>
      </c>
      <c r="I4338" s="1" t="str">
        <f>"142858"</f>
        <v>142858</v>
      </c>
      <c r="J4338" s="1" t="s">
        <v>28</v>
      </c>
      <c r="K4338" s="1" t="s">
        <v>28</v>
      </c>
      <c r="L4338" s="1" t="str">
        <f t="shared" si="807"/>
        <v>20220918</v>
      </c>
      <c r="M4338" s="1" t="str">
        <f>"145031"</f>
        <v>145031</v>
      </c>
      <c r="N4338" s="1" t="s">
        <v>52</v>
      </c>
      <c r="O4338" s="1" t="s">
        <v>52</v>
      </c>
      <c r="P4338" s="1" t="s">
        <v>55</v>
      </c>
      <c r="Q4338" s="1">
        <v>13</v>
      </c>
      <c r="R4338" s="1">
        <v>13</v>
      </c>
      <c r="S4338" s="1">
        <v>0</v>
      </c>
      <c r="T4338" s="1">
        <v>0</v>
      </c>
      <c r="U4338" s="1">
        <v>0</v>
      </c>
      <c r="V4338" s="1" t="str">
        <f>"里程去程"</f>
        <v>里程去程</v>
      </c>
      <c r="W4338" s="1" t="str">
        <f>"2520"</f>
        <v>2520</v>
      </c>
      <c r="X4338" s="1" t="s">
        <v>35</v>
      </c>
    </row>
    <row r="4339" spans="1:24" x14ac:dyDescent="0.3">
      <c r="A4339" s="1" t="str">
        <f t="shared" si="805"/>
        <v>59825</v>
      </c>
      <c r="B4339" s="1" t="s">
        <v>30</v>
      </c>
      <c r="C4339" s="1" t="s">
        <v>31</v>
      </c>
      <c r="D4339" s="1" t="str">
        <f>"9805"</f>
        <v>9805</v>
      </c>
      <c r="E4339" s="1" t="s">
        <v>57</v>
      </c>
      <c r="F4339" s="1" t="str">
        <f>"6207DB1AA4880400C816002000000021"</f>
        <v>6207DB1AA4880400C816002000000021</v>
      </c>
      <c r="G4339" s="1" t="s">
        <v>58</v>
      </c>
      <c r="H4339" s="1" t="str">
        <f t="shared" si="801"/>
        <v>20220918</v>
      </c>
      <c r="I4339" s="1" t="str">
        <f>"143231"</f>
        <v>143231</v>
      </c>
      <c r="J4339" s="1" t="s">
        <v>28</v>
      </c>
      <c r="K4339" s="1" t="s">
        <v>28</v>
      </c>
      <c r="L4339" s="1" t="str">
        <f t="shared" si="807"/>
        <v>20220918</v>
      </c>
      <c r="M4339" s="1" t="str">
        <f>"144241"</f>
        <v>144241</v>
      </c>
      <c r="N4339" s="1" t="s">
        <v>46</v>
      </c>
      <c r="O4339" s="1" t="s">
        <v>28</v>
      </c>
      <c r="P4339" s="1" t="s">
        <v>55</v>
      </c>
      <c r="Q4339" s="1">
        <v>25</v>
      </c>
      <c r="R4339" s="1">
        <v>25</v>
      </c>
      <c r="S4339" s="1">
        <v>0</v>
      </c>
      <c r="T4339" s="1">
        <v>0</v>
      </c>
      <c r="U4339" s="1">
        <v>0</v>
      </c>
      <c r="V4339" s="1" t="str">
        <f>"里程去程"</f>
        <v>里程去程</v>
      </c>
      <c r="W4339" s="1" t="str">
        <f>"0020"</f>
        <v>0020</v>
      </c>
      <c r="X4339" s="1" t="s">
        <v>29</v>
      </c>
    </row>
    <row r="4340" spans="1:24" x14ac:dyDescent="0.3">
      <c r="A4340" s="1" t="str">
        <f t="shared" si="805"/>
        <v>59825</v>
      </c>
      <c r="B4340" s="1" t="s">
        <v>30</v>
      </c>
      <c r="C4340" s="1" t="s">
        <v>31</v>
      </c>
      <c r="D4340" s="1" t="str">
        <f>"9805"</f>
        <v>9805</v>
      </c>
      <c r="E4340" s="1" t="s">
        <v>57</v>
      </c>
      <c r="F4340" s="1" t="str">
        <f>"410298209"</f>
        <v>410298209</v>
      </c>
      <c r="G4340" s="1" t="s">
        <v>33</v>
      </c>
      <c r="H4340" s="1" t="str">
        <f t="shared" si="801"/>
        <v>20220918</v>
      </c>
      <c r="I4340" s="1" t="str">
        <f>"145740"</f>
        <v>145740</v>
      </c>
      <c r="J4340" s="1" t="s">
        <v>94</v>
      </c>
      <c r="K4340" s="1" t="s">
        <v>28</v>
      </c>
      <c r="L4340" s="1" t="str">
        <f t="shared" si="807"/>
        <v>20220918</v>
      </c>
      <c r="M4340" s="1" t="str">
        <f>"145852"</f>
        <v>145852</v>
      </c>
      <c r="N4340" s="1" t="s">
        <v>46</v>
      </c>
      <c r="O4340" s="1" t="s">
        <v>28</v>
      </c>
      <c r="P4340" s="1" t="s">
        <v>55</v>
      </c>
      <c r="Q4340" s="1">
        <v>25</v>
      </c>
      <c r="R4340" s="1">
        <v>25</v>
      </c>
      <c r="S4340" s="1">
        <v>0</v>
      </c>
      <c r="T4340" s="1">
        <v>0</v>
      </c>
      <c r="U4340" s="1">
        <v>0</v>
      </c>
      <c r="V4340" s="1" t="str">
        <f t="shared" ref="V4340:V4355" si="808">"里程返程"</f>
        <v>里程返程</v>
      </c>
      <c r="W4340" s="1" t="str">
        <f>"2020"</f>
        <v>2020</v>
      </c>
      <c r="X4340" s="1" t="s">
        <v>35</v>
      </c>
    </row>
    <row r="4341" spans="1:24" x14ac:dyDescent="0.3">
      <c r="A4341" s="1" t="str">
        <f t="shared" si="805"/>
        <v>59825</v>
      </c>
      <c r="B4341" s="1" t="s">
        <v>30</v>
      </c>
      <c r="C4341" s="1" t="s">
        <v>31</v>
      </c>
      <c r="D4341" s="1" t="str">
        <f t="shared" ref="D4341:D4355" si="809">"9803"</f>
        <v>9803</v>
      </c>
      <c r="E4341" s="1" t="s">
        <v>32</v>
      </c>
      <c r="F4341" s="1" t="str">
        <f>"1173818149"</f>
        <v>1173818149</v>
      </c>
      <c r="G4341" s="1" t="s">
        <v>33</v>
      </c>
      <c r="H4341" s="1" t="str">
        <f t="shared" si="801"/>
        <v>20220918</v>
      </c>
      <c r="I4341" s="1" t="str">
        <f>"153249"</f>
        <v>153249</v>
      </c>
      <c r="J4341" s="1" t="s">
        <v>34</v>
      </c>
      <c r="K4341" s="1" t="s">
        <v>34</v>
      </c>
      <c r="L4341" s="1" t="str">
        <f t="shared" si="807"/>
        <v>20220918</v>
      </c>
      <c r="M4341" s="1" t="str">
        <f>"160940"</f>
        <v>160940</v>
      </c>
      <c r="N4341" s="1" t="s">
        <v>28</v>
      </c>
      <c r="O4341" s="1" t="s">
        <v>28</v>
      </c>
      <c r="P4341" s="1" t="s">
        <v>55</v>
      </c>
      <c r="Q4341" s="1">
        <v>25</v>
      </c>
      <c r="R4341" s="1">
        <v>25</v>
      </c>
      <c r="S4341" s="1">
        <v>0</v>
      </c>
      <c r="T4341" s="1">
        <v>0</v>
      </c>
      <c r="U4341" s="1">
        <v>0</v>
      </c>
      <c r="V4341" s="1" t="str">
        <f t="shared" si="808"/>
        <v>里程返程</v>
      </c>
      <c r="W4341" s="1" t="str">
        <f>"2020"</f>
        <v>2020</v>
      </c>
      <c r="X4341" s="1" t="s">
        <v>35</v>
      </c>
    </row>
    <row r="4342" spans="1:24" x14ac:dyDescent="0.3">
      <c r="A4342" s="1" t="str">
        <f t="shared" si="805"/>
        <v>59825</v>
      </c>
      <c r="B4342" s="1" t="s">
        <v>30</v>
      </c>
      <c r="C4342" s="1" t="s">
        <v>31</v>
      </c>
      <c r="D4342" s="1" t="str">
        <f t="shared" si="809"/>
        <v>9803</v>
      </c>
      <c r="E4342" s="1" t="s">
        <v>32</v>
      </c>
      <c r="F4342" s="1" t="str">
        <f>"1528234705"</f>
        <v>1528234705</v>
      </c>
      <c r="G4342" s="1" t="s">
        <v>33</v>
      </c>
      <c r="H4342" s="1" t="str">
        <f t="shared" si="801"/>
        <v>20220918</v>
      </c>
      <c r="I4342" s="1" t="str">
        <f>"153255"</f>
        <v>153255</v>
      </c>
      <c r="J4342" s="1" t="s">
        <v>34</v>
      </c>
      <c r="K4342" s="1" t="s">
        <v>34</v>
      </c>
      <c r="L4342" s="1" t="str">
        <f t="shared" si="807"/>
        <v>20220918</v>
      </c>
      <c r="M4342" s="1" t="str">
        <f>"160858"</f>
        <v>160858</v>
      </c>
      <c r="N4342" s="1" t="s">
        <v>28</v>
      </c>
      <c r="O4342" s="1" t="s">
        <v>28</v>
      </c>
      <c r="P4342" s="1" t="s">
        <v>55</v>
      </c>
      <c r="Q4342" s="1">
        <v>25</v>
      </c>
      <c r="R4342" s="1">
        <v>25</v>
      </c>
      <c r="S4342" s="1">
        <v>0</v>
      </c>
      <c r="T4342" s="1">
        <v>0</v>
      </c>
      <c r="U4342" s="1">
        <v>0</v>
      </c>
      <c r="V4342" s="1" t="str">
        <f t="shared" si="808"/>
        <v>里程返程</v>
      </c>
      <c r="W4342" s="1" t="str">
        <f>"2020"</f>
        <v>2020</v>
      </c>
      <c r="X4342" s="1" t="s">
        <v>35</v>
      </c>
    </row>
    <row r="4343" spans="1:24" x14ac:dyDescent="0.3">
      <c r="A4343" s="1" t="str">
        <f t="shared" si="805"/>
        <v>59825</v>
      </c>
      <c r="B4343" s="1" t="s">
        <v>30</v>
      </c>
      <c r="C4343" s="1" t="s">
        <v>31</v>
      </c>
      <c r="D4343" s="1" t="str">
        <f t="shared" si="809"/>
        <v>9803</v>
      </c>
      <c r="E4343" s="1" t="s">
        <v>32</v>
      </c>
      <c r="F4343" s="1" t="str">
        <f>"51C35D30FF280400F700000000000000"</f>
        <v>51C35D30FF280400F700000000000000</v>
      </c>
      <c r="G4343" s="1" t="s">
        <v>58</v>
      </c>
      <c r="H4343" s="1" t="str">
        <f t="shared" si="801"/>
        <v>20220918</v>
      </c>
      <c r="I4343" s="1" t="str">
        <f>"153316"</f>
        <v>153316</v>
      </c>
      <c r="J4343" s="1" t="s">
        <v>34</v>
      </c>
      <c r="K4343" s="1" t="s">
        <v>34</v>
      </c>
      <c r="L4343" s="1" t="str">
        <f t="shared" si="807"/>
        <v>20220918</v>
      </c>
      <c r="M4343" s="1" t="str">
        <f>"160904"</f>
        <v>160904</v>
      </c>
      <c r="N4343" s="1" t="s">
        <v>28</v>
      </c>
      <c r="O4343" s="1" t="s">
        <v>28</v>
      </c>
      <c r="P4343" s="1" t="s">
        <v>55</v>
      </c>
      <c r="Q4343" s="1">
        <v>25</v>
      </c>
      <c r="R4343" s="1">
        <v>25</v>
      </c>
      <c r="S4343" s="1">
        <v>0</v>
      </c>
      <c r="T4343" s="1">
        <v>0</v>
      </c>
      <c r="U4343" s="1">
        <v>0</v>
      </c>
      <c r="V4343" s="1" t="str">
        <f t="shared" si="808"/>
        <v>里程返程</v>
      </c>
      <c r="W4343" s="1" t="str">
        <f>"0020"</f>
        <v>0020</v>
      </c>
      <c r="X4343" s="1" t="s">
        <v>29</v>
      </c>
    </row>
    <row r="4344" spans="1:24" x14ac:dyDescent="0.3">
      <c r="A4344" s="1" t="str">
        <f t="shared" si="805"/>
        <v>59825</v>
      </c>
      <c r="B4344" s="1" t="s">
        <v>30</v>
      </c>
      <c r="C4344" s="1" t="s">
        <v>110</v>
      </c>
      <c r="D4344" s="1" t="str">
        <f t="shared" si="809"/>
        <v>9803</v>
      </c>
      <c r="E4344" s="1" t="s">
        <v>32</v>
      </c>
      <c r="F4344" s="1" t="str">
        <f>"6717161012167247"</f>
        <v>6717161012167247</v>
      </c>
      <c r="G4344" s="1" t="s">
        <v>33</v>
      </c>
      <c r="H4344" s="1" t="str">
        <f t="shared" si="801"/>
        <v>20220918</v>
      </c>
      <c r="I4344" s="1" t="str">
        <f>"153320"</f>
        <v>153320</v>
      </c>
      <c r="J4344" s="1" t="s">
        <v>34</v>
      </c>
      <c r="K4344" s="1" t="s">
        <v>34</v>
      </c>
      <c r="L4344" s="1" t="str">
        <f t="shared" si="807"/>
        <v>20220918</v>
      </c>
      <c r="M4344" s="1" t="str">
        <f>"160908"</f>
        <v>160908</v>
      </c>
      <c r="N4344" s="1" t="s">
        <v>28</v>
      </c>
      <c r="O4344" s="1" t="s">
        <v>28</v>
      </c>
      <c r="P4344" s="1" t="s">
        <v>55</v>
      </c>
      <c r="Q4344" s="1">
        <v>25</v>
      </c>
      <c r="R4344" s="1">
        <v>25</v>
      </c>
      <c r="S4344" s="1">
        <v>0</v>
      </c>
      <c r="T4344" s="1">
        <v>0</v>
      </c>
      <c r="U4344" s="1">
        <v>0</v>
      </c>
      <c r="V4344" s="1" t="str">
        <f t="shared" si="808"/>
        <v>里程返程</v>
      </c>
      <c r="W4344" s="1" t="str">
        <f>"3B8B"</f>
        <v>3B8B</v>
      </c>
      <c r="X4344" s="1" t="s">
        <v>109</v>
      </c>
    </row>
    <row r="4345" spans="1:24" x14ac:dyDescent="0.3">
      <c r="A4345" s="1" t="str">
        <f t="shared" si="805"/>
        <v>59825</v>
      </c>
      <c r="B4345" s="1" t="s">
        <v>30</v>
      </c>
      <c r="C4345" s="1" t="s">
        <v>31</v>
      </c>
      <c r="D4345" s="1" t="str">
        <f t="shared" si="809"/>
        <v>9803</v>
      </c>
      <c r="E4345" s="1" t="s">
        <v>32</v>
      </c>
      <c r="F4345" s="1" t="str">
        <f>"861888161"</f>
        <v>861888161</v>
      </c>
      <c r="G4345" s="1" t="s">
        <v>33</v>
      </c>
      <c r="H4345" s="1" t="str">
        <f t="shared" si="801"/>
        <v>20220918</v>
      </c>
      <c r="I4345" s="1" t="str">
        <f>"153325"</f>
        <v>153325</v>
      </c>
      <c r="J4345" s="1" t="s">
        <v>34</v>
      </c>
      <c r="K4345" s="1" t="s">
        <v>34</v>
      </c>
      <c r="L4345" s="1" t="str">
        <f t="shared" si="807"/>
        <v>20220918</v>
      </c>
      <c r="M4345" s="1" t="str">
        <f>"160914"</f>
        <v>160914</v>
      </c>
      <c r="N4345" s="1" t="s">
        <v>28</v>
      </c>
      <c r="O4345" s="1" t="s">
        <v>28</v>
      </c>
      <c r="P4345" s="1" t="s">
        <v>55</v>
      </c>
      <c r="Q4345" s="1">
        <v>25</v>
      </c>
      <c r="R4345" s="1">
        <v>25</v>
      </c>
      <c r="S4345" s="1">
        <v>0</v>
      </c>
      <c r="T4345" s="1">
        <v>0</v>
      </c>
      <c r="U4345" s="1">
        <v>0</v>
      </c>
      <c r="V4345" s="1" t="str">
        <f t="shared" si="808"/>
        <v>里程返程</v>
      </c>
      <c r="W4345" s="1" t="str">
        <f>"0320"</f>
        <v>0320</v>
      </c>
      <c r="X4345" s="1" t="s">
        <v>35</v>
      </c>
    </row>
    <row r="4346" spans="1:24" x14ac:dyDescent="0.3">
      <c r="A4346" s="1" t="str">
        <f t="shared" si="805"/>
        <v>59825</v>
      </c>
      <c r="B4346" s="1" t="s">
        <v>30</v>
      </c>
      <c r="C4346" s="1" t="s">
        <v>31</v>
      </c>
      <c r="D4346" s="1" t="str">
        <f t="shared" si="809"/>
        <v>9803</v>
      </c>
      <c r="E4346" s="1" t="s">
        <v>32</v>
      </c>
      <c r="F4346" s="1" t="str">
        <f>"1054160449"</f>
        <v>1054160449</v>
      </c>
      <c r="G4346" s="1" t="s">
        <v>33</v>
      </c>
      <c r="H4346" s="1" t="str">
        <f t="shared" si="801"/>
        <v>20220918</v>
      </c>
      <c r="I4346" s="1" t="str">
        <f>"153329"</f>
        <v>153329</v>
      </c>
      <c r="J4346" s="1" t="s">
        <v>34</v>
      </c>
      <c r="K4346" s="1" t="s">
        <v>34</v>
      </c>
      <c r="L4346" s="1" t="str">
        <f t="shared" si="807"/>
        <v>20220918</v>
      </c>
      <c r="M4346" s="1" t="str">
        <f>"160911"</f>
        <v>160911</v>
      </c>
      <c r="N4346" s="1" t="s">
        <v>28</v>
      </c>
      <c r="O4346" s="1" t="s">
        <v>28</v>
      </c>
      <c r="P4346" s="1" t="s">
        <v>55</v>
      </c>
      <c r="Q4346" s="1">
        <v>25</v>
      </c>
      <c r="R4346" s="1">
        <v>25</v>
      </c>
      <c r="S4346" s="1">
        <v>0</v>
      </c>
      <c r="T4346" s="1">
        <v>0</v>
      </c>
      <c r="U4346" s="1">
        <v>0</v>
      </c>
      <c r="V4346" s="1" t="str">
        <f t="shared" si="808"/>
        <v>里程返程</v>
      </c>
      <c r="W4346" s="1" t="str">
        <f>"0620"</f>
        <v>0620</v>
      </c>
      <c r="X4346" s="1" t="s">
        <v>35</v>
      </c>
    </row>
    <row r="4347" spans="1:24" x14ac:dyDescent="0.3">
      <c r="A4347" s="1" t="str">
        <f t="shared" ref="A4347:A4368" si="810">"59825"</f>
        <v>59825</v>
      </c>
      <c r="B4347" s="1" t="s">
        <v>30</v>
      </c>
      <c r="C4347" s="1" t="s">
        <v>31</v>
      </c>
      <c r="D4347" s="1" t="str">
        <f t="shared" si="809"/>
        <v>9803</v>
      </c>
      <c r="E4347" s="1" t="s">
        <v>32</v>
      </c>
      <c r="F4347" s="1" t="str">
        <f>"FA003A5999880400C18514D049704512"</f>
        <v>FA003A5999880400C18514D049704512</v>
      </c>
      <c r="G4347" s="1" t="s">
        <v>58</v>
      </c>
      <c r="H4347" s="1" t="str">
        <f t="shared" si="801"/>
        <v>20220918</v>
      </c>
      <c r="I4347" s="1" t="str">
        <f>"153455"</f>
        <v>153455</v>
      </c>
      <c r="J4347" s="1" t="s">
        <v>34</v>
      </c>
      <c r="K4347" s="1" t="s">
        <v>34</v>
      </c>
      <c r="L4347" s="1" t="str">
        <f t="shared" si="807"/>
        <v>20220918</v>
      </c>
      <c r="M4347" s="1" t="str">
        <f>"160845"</f>
        <v>160845</v>
      </c>
      <c r="N4347" s="1" t="s">
        <v>28</v>
      </c>
      <c r="O4347" s="1" t="s">
        <v>28</v>
      </c>
      <c r="P4347" s="1" t="s">
        <v>55</v>
      </c>
      <c r="Q4347" s="1">
        <v>25</v>
      </c>
      <c r="R4347" s="1">
        <v>25</v>
      </c>
      <c r="S4347" s="1">
        <v>0</v>
      </c>
      <c r="T4347" s="1">
        <v>0</v>
      </c>
      <c r="U4347" s="1">
        <v>0</v>
      </c>
      <c r="V4347" s="1" t="str">
        <f t="shared" si="808"/>
        <v>里程返程</v>
      </c>
      <c r="W4347" s="1" t="str">
        <f>"0020"</f>
        <v>0020</v>
      </c>
      <c r="X4347" s="1" t="s">
        <v>29</v>
      </c>
    </row>
    <row r="4348" spans="1:24" x14ac:dyDescent="0.3">
      <c r="A4348" s="1" t="str">
        <f t="shared" si="810"/>
        <v>59825</v>
      </c>
      <c r="B4348" s="1" t="s">
        <v>30</v>
      </c>
      <c r="C4348" s="1" t="s">
        <v>31</v>
      </c>
      <c r="D4348" s="1" t="str">
        <f t="shared" si="809"/>
        <v>9803</v>
      </c>
      <c r="E4348" s="1" t="s">
        <v>32</v>
      </c>
      <c r="F4348" s="1" t="str">
        <f>"1652225265"</f>
        <v>1652225265</v>
      </c>
      <c r="G4348" s="1" t="s">
        <v>33</v>
      </c>
      <c r="H4348" s="1" t="str">
        <f t="shared" si="801"/>
        <v>20220918</v>
      </c>
      <c r="I4348" s="1" t="str">
        <f>"153500"</f>
        <v>153500</v>
      </c>
      <c r="J4348" s="1" t="s">
        <v>34</v>
      </c>
      <c r="K4348" s="1" t="s">
        <v>34</v>
      </c>
      <c r="L4348" s="1" t="str">
        <f t="shared" si="807"/>
        <v>20220918</v>
      </c>
      <c r="M4348" s="1" t="str">
        <f>"160002"</f>
        <v>160002</v>
      </c>
      <c r="N4348" s="1" t="s">
        <v>46</v>
      </c>
      <c r="O4348" s="1" t="s">
        <v>28</v>
      </c>
      <c r="P4348" s="1" t="s">
        <v>55</v>
      </c>
      <c r="Q4348" s="1">
        <v>25</v>
      </c>
      <c r="R4348" s="1">
        <v>25</v>
      </c>
      <c r="S4348" s="1">
        <v>0</v>
      </c>
      <c r="T4348" s="1">
        <v>0</v>
      </c>
      <c r="U4348" s="1">
        <v>0</v>
      </c>
      <c r="V4348" s="1" t="str">
        <f t="shared" si="808"/>
        <v>里程返程</v>
      </c>
      <c r="W4348" s="1" t="str">
        <f>"2020"</f>
        <v>2020</v>
      </c>
      <c r="X4348" s="1" t="s">
        <v>35</v>
      </c>
    </row>
    <row r="4349" spans="1:24" x14ac:dyDescent="0.3">
      <c r="A4349" s="1" t="str">
        <f t="shared" si="810"/>
        <v>59825</v>
      </c>
      <c r="B4349" s="1" t="s">
        <v>30</v>
      </c>
      <c r="C4349" s="1" t="s">
        <v>31</v>
      </c>
      <c r="D4349" s="1" t="str">
        <f t="shared" si="809"/>
        <v>9803</v>
      </c>
      <c r="E4349" s="1" t="s">
        <v>32</v>
      </c>
      <c r="F4349" s="1" t="str">
        <f>"1103914213"</f>
        <v>1103914213</v>
      </c>
      <c r="G4349" s="1" t="s">
        <v>38</v>
      </c>
      <c r="H4349" s="1" t="str">
        <f t="shared" si="801"/>
        <v>20220918</v>
      </c>
      <c r="I4349" s="1" t="str">
        <f>"153504"</f>
        <v>153504</v>
      </c>
      <c r="J4349" s="1" t="s">
        <v>34</v>
      </c>
      <c r="K4349" s="1" t="s">
        <v>34</v>
      </c>
      <c r="L4349" s="1" t="str">
        <f t="shared" si="807"/>
        <v>20220918</v>
      </c>
      <c r="M4349" s="1" t="str">
        <f>"155944"</f>
        <v>155944</v>
      </c>
      <c r="N4349" s="1" t="s">
        <v>46</v>
      </c>
      <c r="O4349" s="1" t="s">
        <v>28</v>
      </c>
      <c r="P4349" s="1" t="s">
        <v>55</v>
      </c>
      <c r="Q4349" s="1">
        <v>25</v>
      </c>
      <c r="R4349" s="1">
        <v>25</v>
      </c>
      <c r="S4349" s="1">
        <v>0</v>
      </c>
      <c r="T4349" s="1">
        <v>0</v>
      </c>
      <c r="U4349" s="1">
        <v>0</v>
      </c>
      <c r="V4349" s="1" t="str">
        <f t="shared" si="808"/>
        <v>里程返程</v>
      </c>
      <c r="W4349" s="1" t="str">
        <f>"2020"</f>
        <v>2020</v>
      </c>
      <c r="X4349" s="1" t="s">
        <v>35</v>
      </c>
    </row>
    <row r="4350" spans="1:24" x14ac:dyDescent="0.3">
      <c r="A4350" s="1" t="str">
        <f t="shared" si="810"/>
        <v>59825</v>
      </c>
      <c r="B4350" s="1" t="s">
        <v>30</v>
      </c>
      <c r="C4350" s="1" t="s">
        <v>31</v>
      </c>
      <c r="D4350" s="1" t="str">
        <f t="shared" si="809"/>
        <v>9803</v>
      </c>
      <c r="E4350" s="1" t="s">
        <v>32</v>
      </c>
      <c r="F4350" s="1" t="str">
        <f>"589767823"</f>
        <v>589767823</v>
      </c>
      <c r="G4350" s="1" t="s">
        <v>33</v>
      </c>
      <c r="H4350" s="1" t="str">
        <f t="shared" si="801"/>
        <v>20220918</v>
      </c>
      <c r="I4350" s="1" t="str">
        <f>"153508"</f>
        <v>153508</v>
      </c>
      <c r="J4350" s="1" t="s">
        <v>34</v>
      </c>
      <c r="K4350" s="1" t="s">
        <v>34</v>
      </c>
      <c r="L4350" s="1" t="str">
        <f>""</f>
        <v/>
      </c>
      <c r="M4350" s="1" t="str">
        <f>""</f>
        <v/>
      </c>
      <c r="P4350" s="1" t="s">
        <v>88</v>
      </c>
      <c r="Q4350" s="1">
        <v>25</v>
      </c>
      <c r="R4350" s="1">
        <v>25</v>
      </c>
      <c r="S4350" s="1">
        <v>0</v>
      </c>
      <c r="T4350" s="1">
        <v>0</v>
      </c>
      <c r="U4350" s="1">
        <v>0</v>
      </c>
      <c r="V4350" s="1" t="str">
        <f t="shared" si="808"/>
        <v>里程返程</v>
      </c>
      <c r="W4350" s="1" t="str">
        <f>"2020"</f>
        <v>2020</v>
      </c>
      <c r="X4350" s="1" t="s">
        <v>35</v>
      </c>
    </row>
    <row r="4351" spans="1:24" x14ac:dyDescent="0.3">
      <c r="A4351" s="1" t="str">
        <f t="shared" si="810"/>
        <v>59825</v>
      </c>
      <c r="B4351" s="1" t="s">
        <v>30</v>
      </c>
      <c r="C4351" s="1" t="s">
        <v>31</v>
      </c>
      <c r="D4351" s="1" t="str">
        <f t="shared" si="809"/>
        <v>9803</v>
      </c>
      <c r="E4351" s="1" t="s">
        <v>32</v>
      </c>
      <c r="F4351" s="1" t="str">
        <f>"995737525"</f>
        <v>995737525</v>
      </c>
      <c r="G4351" s="1" t="s">
        <v>38</v>
      </c>
      <c r="H4351" s="1" t="str">
        <f t="shared" si="801"/>
        <v>20220918</v>
      </c>
      <c r="I4351" s="1" t="str">
        <f>"153513"</f>
        <v>153513</v>
      </c>
      <c r="J4351" s="1" t="s">
        <v>34</v>
      </c>
      <c r="K4351" s="1" t="s">
        <v>34</v>
      </c>
      <c r="L4351" s="1" t="str">
        <f t="shared" ref="L4351:L4382" si="811">"20220918"</f>
        <v>20220918</v>
      </c>
      <c r="M4351" s="1" t="str">
        <f>"155933"</f>
        <v>155933</v>
      </c>
      <c r="N4351" s="1" t="s">
        <v>46</v>
      </c>
      <c r="O4351" s="1" t="s">
        <v>28</v>
      </c>
      <c r="P4351" s="1" t="s">
        <v>55</v>
      </c>
      <c r="Q4351" s="1">
        <v>25</v>
      </c>
      <c r="R4351" s="1">
        <v>25</v>
      </c>
      <c r="S4351" s="1">
        <v>0</v>
      </c>
      <c r="T4351" s="1">
        <v>0</v>
      </c>
      <c r="U4351" s="1">
        <v>0</v>
      </c>
      <c r="V4351" s="1" t="str">
        <f t="shared" si="808"/>
        <v>里程返程</v>
      </c>
      <c r="W4351" s="1" t="str">
        <f>"0820"</f>
        <v>0820</v>
      </c>
      <c r="X4351" s="1" t="s">
        <v>35</v>
      </c>
    </row>
    <row r="4352" spans="1:24" x14ac:dyDescent="0.3">
      <c r="A4352" s="1" t="str">
        <f t="shared" si="810"/>
        <v>59825</v>
      </c>
      <c r="B4352" s="1" t="s">
        <v>30</v>
      </c>
      <c r="C4352" s="1" t="s">
        <v>31</v>
      </c>
      <c r="D4352" s="1" t="str">
        <f t="shared" si="809"/>
        <v>9803</v>
      </c>
      <c r="E4352" s="1" t="s">
        <v>32</v>
      </c>
      <c r="F4352" s="1" t="str">
        <f>"996218149"</f>
        <v>996218149</v>
      </c>
      <c r="G4352" s="1" t="s">
        <v>38</v>
      </c>
      <c r="H4352" s="1" t="str">
        <f t="shared" si="801"/>
        <v>20220918</v>
      </c>
      <c r="I4352" s="1" t="str">
        <f>"153517"</f>
        <v>153517</v>
      </c>
      <c r="J4352" s="1" t="s">
        <v>34</v>
      </c>
      <c r="K4352" s="1" t="s">
        <v>34</v>
      </c>
      <c r="L4352" s="1" t="str">
        <f t="shared" si="811"/>
        <v>20220918</v>
      </c>
      <c r="M4352" s="1" t="str">
        <f>"155937"</f>
        <v>155937</v>
      </c>
      <c r="N4352" s="1" t="s">
        <v>46</v>
      </c>
      <c r="O4352" s="1" t="s">
        <v>28</v>
      </c>
      <c r="P4352" s="1" t="s">
        <v>55</v>
      </c>
      <c r="Q4352" s="1">
        <v>25</v>
      </c>
      <c r="R4352" s="1">
        <v>25</v>
      </c>
      <c r="S4352" s="1">
        <v>0</v>
      </c>
      <c r="T4352" s="1">
        <v>0</v>
      </c>
      <c r="U4352" s="1">
        <v>0</v>
      </c>
      <c r="V4352" s="1" t="str">
        <f t="shared" si="808"/>
        <v>里程返程</v>
      </c>
      <c r="W4352" s="1" t="str">
        <f>"0120"</f>
        <v>0120</v>
      </c>
      <c r="X4352" s="1" t="s">
        <v>35</v>
      </c>
    </row>
    <row r="4353" spans="1:24" x14ac:dyDescent="0.3">
      <c r="A4353" s="1" t="str">
        <f t="shared" si="810"/>
        <v>59825</v>
      </c>
      <c r="B4353" s="1" t="s">
        <v>30</v>
      </c>
      <c r="C4353" s="1" t="s">
        <v>31</v>
      </c>
      <c r="D4353" s="1" t="str">
        <f t="shared" si="809"/>
        <v>9803</v>
      </c>
      <c r="E4353" s="1" t="s">
        <v>32</v>
      </c>
      <c r="F4353" s="1" t="str">
        <f>"259635713"</f>
        <v>259635713</v>
      </c>
      <c r="G4353" s="1" t="s">
        <v>33</v>
      </c>
      <c r="H4353" s="1" t="str">
        <f t="shared" si="801"/>
        <v>20220918</v>
      </c>
      <c r="I4353" s="1" t="str">
        <f>"154123"</f>
        <v>154123</v>
      </c>
      <c r="J4353" s="1" t="s">
        <v>34</v>
      </c>
      <c r="K4353" s="1" t="s">
        <v>34</v>
      </c>
      <c r="L4353" s="1" t="str">
        <f t="shared" si="811"/>
        <v>20220918</v>
      </c>
      <c r="M4353" s="1" t="str">
        <f>"160848"</f>
        <v>160848</v>
      </c>
      <c r="N4353" s="1" t="s">
        <v>28</v>
      </c>
      <c r="O4353" s="1" t="s">
        <v>28</v>
      </c>
      <c r="P4353" s="1" t="s">
        <v>55</v>
      </c>
      <c r="Q4353" s="1">
        <v>25</v>
      </c>
      <c r="R4353" s="1">
        <v>25</v>
      </c>
      <c r="S4353" s="1">
        <v>0</v>
      </c>
      <c r="T4353" s="1">
        <v>0</v>
      </c>
      <c r="U4353" s="1">
        <v>0</v>
      </c>
      <c r="V4353" s="1" t="str">
        <f t="shared" si="808"/>
        <v>里程返程</v>
      </c>
      <c r="W4353" s="1" t="str">
        <f>"2020"</f>
        <v>2020</v>
      </c>
      <c r="X4353" s="1" t="s">
        <v>35</v>
      </c>
    </row>
    <row r="4354" spans="1:24" x14ac:dyDescent="0.3">
      <c r="A4354" s="1" t="str">
        <f t="shared" si="810"/>
        <v>59825</v>
      </c>
      <c r="B4354" s="1" t="s">
        <v>30</v>
      </c>
      <c r="C4354" s="1" t="s">
        <v>31</v>
      </c>
      <c r="D4354" s="1" t="str">
        <f t="shared" si="809"/>
        <v>9803</v>
      </c>
      <c r="E4354" s="1" t="s">
        <v>32</v>
      </c>
      <c r="F4354" s="1" t="str">
        <f>"1032918485"</f>
        <v>1032918485</v>
      </c>
      <c r="G4354" s="1" t="s">
        <v>38</v>
      </c>
      <c r="H4354" s="1" t="str">
        <f t="shared" si="801"/>
        <v>20220918</v>
      </c>
      <c r="I4354" s="1" t="str">
        <f>"154137"</f>
        <v>154137</v>
      </c>
      <c r="J4354" s="1" t="s">
        <v>34</v>
      </c>
      <c r="K4354" s="1" t="s">
        <v>34</v>
      </c>
      <c r="L4354" s="1" t="str">
        <f t="shared" si="811"/>
        <v>20220918</v>
      </c>
      <c r="M4354" s="1" t="str">
        <f>"160827"</f>
        <v>160827</v>
      </c>
      <c r="N4354" s="1" t="s">
        <v>28</v>
      </c>
      <c r="O4354" s="1" t="s">
        <v>28</v>
      </c>
      <c r="P4354" s="1" t="s">
        <v>55</v>
      </c>
      <c r="Q4354" s="1">
        <v>25</v>
      </c>
      <c r="R4354" s="1">
        <v>25</v>
      </c>
      <c r="S4354" s="1">
        <v>0</v>
      </c>
      <c r="T4354" s="1">
        <v>0</v>
      </c>
      <c r="U4354" s="1">
        <v>0</v>
      </c>
      <c r="V4354" s="1" t="str">
        <f t="shared" si="808"/>
        <v>里程返程</v>
      </c>
      <c r="W4354" s="1" t="str">
        <f>"2020"</f>
        <v>2020</v>
      </c>
      <c r="X4354" s="1" t="s">
        <v>35</v>
      </c>
    </row>
    <row r="4355" spans="1:24" x14ac:dyDescent="0.3">
      <c r="A4355" s="1" t="str">
        <f t="shared" si="810"/>
        <v>59825</v>
      </c>
      <c r="B4355" s="1" t="s">
        <v>30</v>
      </c>
      <c r="C4355" s="1" t="s">
        <v>31</v>
      </c>
      <c r="D4355" s="1" t="str">
        <f t="shared" si="809"/>
        <v>9803</v>
      </c>
      <c r="E4355" s="1" t="s">
        <v>32</v>
      </c>
      <c r="F4355" s="1" t="str">
        <f>"1719566501"</f>
        <v>1719566501</v>
      </c>
      <c r="G4355" s="1" t="s">
        <v>38</v>
      </c>
      <c r="H4355" s="1" t="str">
        <f t="shared" si="801"/>
        <v>20220918</v>
      </c>
      <c r="I4355" s="1" t="str">
        <f>"154142"</f>
        <v>154142</v>
      </c>
      <c r="J4355" s="1" t="s">
        <v>34</v>
      </c>
      <c r="K4355" s="1" t="s">
        <v>34</v>
      </c>
      <c r="L4355" s="1" t="str">
        <f t="shared" si="811"/>
        <v>20220918</v>
      </c>
      <c r="M4355" s="1" t="str">
        <f>"160830"</f>
        <v>160830</v>
      </c>
      <c r="N4355" s="1" t="s">
        <v>28</v>
      </c>
      <c r="O4355" s="1" t="s">
        <v>28</v>
      </c>
      <c r="P4355" s="1" t="s">
        <v>55</v>
      </c>
      <c r="Q4355" s="1">
        <v>25</v>
      </c>
      <c r="R4355" s="1">
        <v>25</v>
      </c>
      <c r="S4355" s="1">
        <v>0</v>
      </c>
      <c r="T4355" s="1">
        <v>0</v>
      </c>
      <c r="U4355" s="1">
        <v>0</v>
      </c>
      <c r="V4355" s="1" t="str">
        <f t="shared" si="808"/>
        <v>里程返程</v>
      </c>
      <c r="W4355" s="1" t="str">
        <f>"2020"</f>
        <v>2020</v>
      </c>
      <c r="X4355" s="1" t="s">
        <v>35</v>
      </c>
    </row>
    <row r="4356" spans="1:24" x14ac:dyDescent="0.3">
      <c r="A4356" s="1" t="str">
        <f t="shared" si="810"/>
        <v>59825</v>
      </c>
      <c r="B4356" s="1" t="s">
        <v>30</v>
      </c>
      <c r="C4356" s="1" t="s">
        <v>31</v>
      </c>
      <c r="D4356" s="1" t="str">
        <f>"9805"</f>
        <v>9805</v>
      </c>
      <c r="E4356" s="1" t="s">
        <v>57</v>
      </c>
      <c r="F4356" s="1" t="str">
        <f>"624AAB199A880400C824002000000020"</f>
        <v>624AAB199A880400C824002000000020</v>
      </c>
      <c r="G4356" s="1" t="s">
        <v>64</v>
      </c>
      <c r="H4356" s="1" t="str">
        <f t="shared" si="801"/>
        <v>20220918</v>
      </c>
      <c r="I4356" s="1" t="str">
        <f>"165225"</f>
        <v>165225</v>
      </c>
      <c r="J4356" s="1" t="s">
        <v>28</v>
      </c>
      <c r="K4356" s="1" t="s">
        <v>28</v>
      </c>
      <c r="L4356" s="1" t="str">
        <f t="shared" si="811"/>
        <v>20220918</v>
      </c>
      <c r="M4356" s="1" t="str">
        <f>"171155"</f>
        <v>171155</v>
      </c>
      <c r="N4356" s="1" t="s">
        <v>52</v>
      </c>
      <c r="O4356" s="1" t="s">
        <v>52</v>
      </c>
      <c r="P4356" s="1" t="s">
        <v>55</v>
      </c>
      <c r="Q4356" s="1">
        <v>13</v>
      </c>
      <c r="R4356" s="1">
        <v>0</v>
      </c>
      <c r="S4356" s="1">
        <v>13</v>
      </c>
      <c r="T4356" s="1">
        <v>0</v>
      </c>
      <c r="U4356" s="1">
        <v>0</v>
      </c>
      <c r="V4356" s="1" t="str">
        <f>"里程去程"</f>
        <v>里程去程</v>
      </c>
      <c r="W4356" s="1" t="str">
        <f>"0620"</f>
        <v>0620</v>
      </c>
      <c r="X4356" s="1" t="s">
        <v>29</v>
      </c>
    </row>
    <row r="4357" spans="1:24" x14ac:dyDescent="0.3">
      <c r="A4357" s="1" t="str">
        <f t="shared" si="810"/>
        <v>59825</v>
      </c>
      <c r="B4357" s="1" t="s">
        <v>30</v>
      </c>
      <c r="C4357" s="1" t="s">
        <v>31</v>
      </c>
      <c r="D4357" s="1" t="str">
        <f>"9805"</f>
        <v>9805</v>
      </c>
      <c r="E4357" s="1" t="s">
        <v>57</v>
      </c>
      <c r="F4357" s="1" t="str">
        <f>"1AA63BB235880400475535D94D601907"</f>
        <v>1AA63BB235880400475535D94D601907</v>
      </c>
      <c r="G4357" s="1" t="s">
        <v>58</v>
      </c>
      <c r="H4357" s="1" t="str">
        <f t="shared" si="801"/>
        <v>20220918</v>
      </c>
      <c r="I4357" s="1" t="str">
        <f>"165235"</f>
        <v>165235</v>
      </c>
      <c r="J4357" s="1" t="s">
        <v>28</v>
      </c>
      <c r="K4357" s="1" t="s">
        <v>28</v>
      </c>
      <c r="L4357" s="1" t="str">
        <f t="shared" si="811"/>
        <v>20220918</v>
      </c>
      <c r="M4357" s="1" t="str">
        <f>"171149"</f>
        <v>171149</v>
      </c>
      <c r="N4357" s="1" t="s">
        <v>52</v>
      </c>
      <c r="O4357" s="1" t="s">
        <v>52</v>
      </c>
      <c r="P4357" s="1" t="s">
        <v>55</v>
      </c>
      <c r="Q4357" s="1">
        <v>25</v>
      </c>
      <c r="R4357" s="1">
        <v>0</v>
      </c>
      <c r="S4357" s="1">
        <v>25</v>
      </c>
      <c r="T4357" s="1">
        <v>0</v>
      </c>
      <c r="U4357" s="1">
        <v>0</v>
      </c>
      <c r="V4357" s="1" t="str">
        <f>"里程去程"</f>
        <v>里程去程</v>
      </c>
      <c r="W4357" s="1" t="str">
        <f>"0620"</f>
        <v>0620</v>
      </c>
      <c r="X4357" s="1" t="s">
        <v>29</v>
      </c>
    </row>
    <row r="4358" spans="1:24" x14ac:dyDescent="0.3">
      <c r="A4358" s="1" t="str">
        <f t="shared" si="810"/>
        <v>59825</v>
      </c>
      <c r="B4358" s="1" t="s">
        <v>30</v>
      </c>
      <c r="C4358" s="1" t="s">
        <v>31</v>
      </c>
      <c r="D4358" s="1" t="str">
        <f>"9805"</f>
        <v>9805</v>
      </c>
      <c r="E4358" s="1" t="s">
        <v>57</v>
      </c>
      <c r="F4358" s="1" t="str">
        <f>"684681813"</f>
        <v>684681813</v>
      </c>
      <c r="G4358" s="1" t="s">
        <v>33</v>
      </c>
      <c r="H4358" s="1" t="str">
        <f t="shared" si="801"/>
        <v>20220918</v>
      </c>
      <c r="I4358" s="1" t="str">
        <f>"165242"</f>
        <v>165242</v>
      </c>
      <c r="J4358" s="1" t="s">
        <v>28</v>
      </c>
      <c r="K4358" s="1" t="s">
        <v>28</v>
      </c>
      <c r="L4358" s="1" t="str">
        <f t="shared" si="811"/>
        <v>20220918</v>
      </c>
      <c r="M4358" s="1" t="str">
        <f>"171201"</f>
        <v>171201</v>
      </c>
      <c r="N4358" s="1" t="s">
        <v>52</v>
      </c>
      <c r="O4358" s="1" t="s">
        <v>52</v>
      </c>
      <c r="P4358" s="1" t="s">
        <v>55</v>
      </c>
      <c r="Q4358" s="1">
        <v>25</v>
      </c>
      <c r="R4358" s="1">
        <v>0</v>
      </c>
      <c r="S4358" s="1">
        <v>25</v>
      </c>
      <c r="T4358" s="1">
        <v>0</v>
      </c>
      <c r="U4358" s="1">
        <v>0</v>
      </c>
      <c r="V4358" s="1" t="str">
        <f>"里程去程"</f>
        <v>里程去程</v>
      </c>
      <c r="W4358" s="1" t="str">
        <f>"0820"</f>
        <v>0820</v>
      </c>
      <c r="X4358" s="1" t="s">
        <v>35</v>
      </c>
    </row>
    <row r="4359" spans="1:24" x14ac:dyDescent="0.3">
      <c r="A4359" s="1" t="str">
        <f t="shared" si="810"/>
        <v>59825</v>
      </c>
      <c r="B4359" s="1" t="s">
        <v>30</v>
      </c>
      <c r="C4359" s="1" t="s">
        <v>31</v>
      </c>
      <c r="D4359" s="1" t="str">
        <f>"9805"</f>
        <v>9805</v>
      </c>
      <c r="E4359" s="1" t="s">
        <v>57</v>
      </c>
      <c r="F4359" s="1" t="str">
        <f>"82062F1BB0880400C817002000000021"</f>
        <v>82062F1BB0880400C817002000000021</v>
      </c>
      <c r="G4359" s="1" t="s">
        <v>58</v>
      </c>
      <c r="H4359" s="1" t="str">
        <f t="shared" si="801"/>
        <v>20220918</v>
      </c>
      <c r="I4359" s="1" t="str">
        <f>"165257"</f>
        <v>165257</v>
      </c>
      <c r="J4359" s="1" t="s">
        <v>28</v>
      </c>
      <c r="K4359" s="1" t="s">
        <v>28</v>
      </c>
      <c r="L4359" s="1" t="str">
        <f t="shared" si="811"/>
        <v>20220918</v>
      </c>
      <c r="M4359" s="1" t="str">
        <f>"171145"</f>
        <v>171145</v>
      </c>
      <c r="N4359" s="1" t="s">
        <v>52</v>
      </c>
      <c r="O4359" s="1" t="s">
        <v>52</v>
      </c>
      <c r="P4359" s="1" t="s">
        <v>55</v>
      </c>
      <c r="Q4359" s="1">
        <v>25</v>
      </c>
      <c r="R4359" s="1">
        <v>25</v>
      </c>
      <c r="S4359" s="1">
        <v>0</v>
      </c>
      <c r="T4359" s="1">
        <v>0</v>
      </c>
      <c r="U4359" s="1">
        <v>0</v>
      </c>
      <c r="V4359" s="1" t="str">
        <f>"里程去程"</f>
        <v>里程去程</v>
      </c>
      <c r="W4359" s="1" t="str">
        <f>"0020"</f>
        <v>0020</v>
      </c>
      <c r="X4359" s="1" t="s">
        <v>29</v>
      </c>
    </row>
    <row r="4360" spans="1:24" x14ac:dyDescent="0.3">
      <c r="A4360" s="1" t="str">
        <f t="shared" si="810"/>
        <v>59825</v>
      </c>
      <c r="B4360" s="1" t="s">
        <v>30</v>
      </c>
      <c r="C4360" s="1" t="s">
        <v>31</v>
      </c>
      <c r="D4360" s="1" t="str">
        <f>"9801"</f>
        <v>9801</v>
      </c>
      <c r="E4360" s="1" t="s">
        <v>25</v>
      </c>
      <c r="F4360" s="1" t="str">
        <f>"1612397969"</f>
        <v>1612397969</v>
      </c>
      <c r="G4360" s="1" t="s">
        <v>33</v>
      </c>
      <c r="H4360" s="1" t="str">
        <f t="shared" si="801"/>
        <v>20220918</v>
      </c>
      <c r="I4360" s="1" t="str">
        <f>"192505"</f>
        <v>192505</v>
      </c>
      <c r="J4360" s="1" t="s">
        <v>28</v>
      </c>
      <c r="K4360" s="1" t="s">
        <v>28</v>
      </c>
      <c r="L4360" s="1" t="str">
        <f t="shared" si="811"/>
        <v>20220918</v>
      </c>
      <c r="M4360" s="1" t="str">
        <f>"195554"</f>
        <v>195554</v>
      </c>
      <c r="N4360" s="1" t="s">
        <v>52</v>
      </c>
      <c r="O4360" s="1" t="s">
        <v>52</v>
      </c>
      <c r="P4360" s="1" t="s">
        <v>55</v>
      </c>
      <c r="Q4360" s="1">
        <v>25</v>
      </c>
      <c r="R4360" s="1">
        <v>0</v>
      </c>
      <c r="S4360" s="1">
        <v>25</v>
      </c>
      <c r="T4360" s="1">
        <v>0</v>
      </c>
      <c r="U4360" s="1">
        <v>0</v>
      </c>
      <c r="V4360" s="1" t="str">
        <f t="shared" ref="V4360:V4368" si="812">"里程返程"</f>
        <v>里程返程</v>
      </c>
      <c r="W4360" s="1" t="str">
        <f>"0820"</f>
        <v>0820</v>
      </c>
      <c r="X4360" s="1" t="s">
        <v>35</v>
      </c>
    </row>
    <row r="4361" spans="1:24" x14ac:dyDescent="0.3">
      <c r="A4361" s="1" t="str">
        <f t="shared" si="810"/>
        <v>59825</v>
      </c>
      <c r="B4361" s="1" t="s">
        <v>30</v>
      </c>
      <c r="C4361" s="1" t="s">
        <v>31</v>
      </c>
      <c r="D4361" s="1" t="str">
        <f>"9801"</f>
        <v>9801</v>
      </c>
      <c r="E4361" s="1" t="s">
        <v>25</v>
      </c>
      <c r="F4361" s="1" t="str">
        <f>"1129190405"</f>
        <v>1129190405</v>
      </c>
      <c r="G4361" s="1" t="s">
        <v>33</v>
      </c>
      <c r="H4361" s="1" t="str">
        <f t="shared" si="801"/>
        <v>20220918</v>
      </c>
      <c r="I4361" s="1" t="str">
        <f>"193122"</f>
        <v>193122</v>
      </c>
      <c r="J4361" s="1" t="s">
        <v>84</v>
      </c>
      <c r="K4361" s="1" t="s">
        <v>28</v>
      </c>
      <c r="L4361" s="1" t="str">
        <f t="shared" si="811"/>
        <v>20220918</v>
      </c>
      <c r="M4361" s="1" t="str">
        <f>"195550"</f>
        <v>195550</v>
      </c>
      <c r="N4361" s="1" t="s">
        <v>52</v>
      </c>
      <c r="O4361" s="1" t="s">
        <v>52</v>
      </c>
      <c r="P4361" s="1" t="s">
        <v>55</v>
      </c>
      <c r="Q4361" s="1">
        <v>25</v>
      </c>
      <c r="R4361" s="1">
        <v>25</v>
      </c>
      <c r="S4361" s="1">
        <v>0</v>
      </c>
      <c r="T4361" s="1">
        <v>0</v>
      </c>
      <c r="U4361" s="1">
        <v>0</v>
      </c>
      <c r="V4361" s="1" t="str">
        <f t="shared" si="812"/>
        <v>里程返程</v>
      </c>
      <c r="W4361" s="1" t="str">
        <f>"2120"</f>
        <v>2120</v>
      </c>
      <c r="X4361" s="1" t="s">
        <v>35</v>
      </c>
    </row>
    <row r="4362" spans="1:24" x14ac:dyDescent="0.3">
      <c r="A4362" s="1" t="str">
        <f t="shared" si="810"/>
        <v>59825</v>
      </c>
      <c r="B4362" s="1" t="s">
        <v>30</v>
      </c>
      <c r="C4362" s="1" t="s">
        <v>31</v>
      </c>
      <c r="D4362" s="1" t="str">
        <f t="shared" ref="D4362:D4368" si="813">"9805"</f>
        <v>9805</v>
      </c>
      <c r="E4362" s="1" t="s">
        <v>57</v>
      </c>
      <c r="F4362" s="1" t="str">
        <f>"813804497"</f>
        <v>813804497</v>
      </c>
      <c r="G4362" s="1" t="s">
        <v>33</v>
      </c>
      <c r="H4362" s="1" t="str">
        <f t="shared" si="801"/>
        <v>20220918</v>
      </c>
      <c r="I4362" s="1" t="str">
        <f>"195648"</f>
        <v>195648</v>
      </c>
      <c r="J4362" s="1" t="s">
        <v>52</v>
      </c>
      <c r="K4362" s="1" t="s">
        <v>52</v>
      </c>
      <c r="L4362" s="1" t="str">
        <f t="shared" si="811"/>
        <v>20220918</v>
      </c>
      <c r="M4362" s="1" t="str">
        <f>"202040"</f>
        <v>202040</v>
      </c>
      <c r="N4362" s="1" t="s">
        <v>28</v>
      </c>
      <c r="O4362" s="1" t="s">
        <v>28</v>
      </c>
      <c r="P4362" s="1" t="s">
        <v>55</v>
      </c>
      <c r="Q4362" s="1">
        <v>25</v>
      </c>
      <c r="R4362" s="1">
        <v>0</v>
      </c>
      <c r="S4362" s="1">
        <v>25</v>
      </c>
      <c r="T4362" s="1">
        <v>0</v>
      </c>
      <c r="U4362" s="1">
        <v>0</v>
      </c>
      <c r="V4362" s="1" t="str">
        <f t="shared" si="812"/>
        <v>里程返程</v>
      </c>
      <c r="W4362" s="1" t="str">
        <f>"2020"</f>
        <v>2020</v>
      </c>
      <c r="X4362" s="1" t="s">
        <v>35</v>
      </c>
    </row>
    <row r="4363" spans="1:24" x14ac:dyDescent="0.3">
      <c r="A4363" s="1" t="str">
        <f t="shared" si="810"/>
        <v>59825</v>
      </c>
      <c r="B4363" s="1" t="s">
        <v>30</v>
      </c>
      <c r="C4363" s="1" t="s">
        <v>31</v>
      </c>
      <c r="D4363" s="1" t="str">
        <f t="shared" si="813"/>
        <v>9805</v>
      </c>
      <c r="E4363" s="1" t="s">
        <v>57</v>
      </c>
      <c r="F4363" s="1" t="str">
        <f>"8059066"</f>
        <v>8059066</v>
      </c>
      <c r="G4363" s="1" t="s">
        <v>33</v>
      </c>
      <c r="H4363" s="1" t="str">
        <f t="shared" si="801"/>
        <v>20220918</v>
      </c>
      <c r="I4363" s="1" t="str">
        <f>"195652"</f>
        <v>195652</v>
      </c>
      <c r="J4363" s="1" t="s">
        <v>52</v>
      </c>
      <c r="K4363" s="1" t="s">
        <v>52</v>
      </c>
      <c r="L4363" s="1" t="str">
        <f t="shared" si="811"/>
        <v>20220918</v>
      </c>
      <c r="M4363" s="1" t="str">
        <f>"202037"</f>
        <v>202037</v>
      </c>
      <c r="N4363" s="1" t="s">
        <v>28</v>
      </c>
      <c r="O4363" s="1" t="s">
        <v>28</v>
      </c>
      <c r="P4363" s="1" t="s">
        <v>55</v>
      </c>
      <c r="Q4363" s="1">
        <v>25</v>
      </c>
      <c r="R4363" s="1">
        <v>25</v>
      </c>
      <c r="S4363" s="1">
        <v>0</v>
      </c>
      <c r="T4363" s="1">
        <v>0</v>
      </c>
      <c r="U4363" s="1">
        <v>0</v>
      </c>
      <c r="V4363" s="1" t="str">
        <f t="shared" si="812"/>
        <v>里程返程</v>
      </c>
      <c r="W4363" s="1" t="str">
        <f>"2520"</f>
        <v>2520</v>
      </c>
      <c r="X4363" s="1" t="s">
        <v>35</v>
      </c>
    </row>
    <row r="4364" spans="1:24" x14ac:dyDescent="0.3">
      <c r="A4364" s="1" t="str">
        <f t="shared" si="810"/>
        <v>59825</v>
      </c>
      <c r="B4364" s="1" t="s">
        <v>30</v>
      </c>
      <c r="C4364" s="1" t="s">
        <v>31</v>
      </c>
      <c r="D4364" s="1" t="str">
        <f t="shared" si="813"/>
        <v>9805</v>
      </c>
      <c r="E4364" s="1" t="s">
        <v>57</v>
      </c>
      <c r="F4364" s="1" t="str">
        <f>"1631444229"</f>
        <v>1631444229</v>
      </c>
      <c r="G4364" s="1" t="s">
        <v>33</v>
      </c>
      <c r="H4364" s="1" t="str">
        <f t="shared" si="801"/>
        <v>20220918</v>
      </c>
      <c r="I4364" s="1" t="str">
        <f>"195654"</f>
        <v>195654</v>
      </c>
      <c r="J4364" s="1" t="s">
        <v>52</v>
      </c>
      <c r="K4364" s="1" t="s">
        <v>52</v>
      </c>
      <c r="L4364" s="1" t="str">
        <f t="shared" si="811"/>
        <v>20220918</v>
      </c>
      <c r="M4364" s="1" t="str">
        <f>"202043"</f>
        <v>202043</v>
      </c>
      <c r="N4364" s="1" t="s">
        <v>28</v>
      </c>
      <c r="O4364" s="1" t="s">
        <v>28</v>
      </c>
      <c r="P4364" s="1" t="s">
        <v>55</v>
      </c>
      <c r="Q4364" s="1">
        <v>25</v>
      </c>
      <c r="R4364" s="1">
        <v>0</v>
      </c>
      <c r="S4364" s="1">
        <v>25</v>
      </c>
      <c r="T4364" s="1">
        <v>0</v>
      </c>
      <c r="U4364" s="1">
        <v>0</v>
      </c>
      <c r="V4364" s="1" t="str">
        <f t="shared" si="812"/>
        <v>里程返程</v>
      </c>
      <c r="W4364" s="1" t="str">
        <f>"2020"</f>
        <v>2020</v>
      </c>
      <c r="X4364" s="1" t="s">
        <v>35</v>
      </c>
    </row>
    <row r="4365" spans="1:24" x14ac:dyDescent="0.3">
      <c r="A4365" s="1" t="str">
        <f t="shared" si="810"/>
        <v>59825</v>
      </c>
      <c r="B4365" s="1" t="s">
        <v>30</v>
      </c>
      <c r="C4365" s="1" t="s">
        <v>31</v>
      </c>
      <c r="D4365" s="1" t="str">
        <f t="shared" si="813"/>
        <v>9805</v>
      </c>
      <c r="E4365" s="1" t="s">
        <v>57</v>
      </c>
      <c r="F4365" s="1" t="str">
        <f>"2010470048"</f>
        <v>2010470048</v>
      </c>
      <c r="G4365" s="1" t="s">
        <v>33</v>
      </c>
      <c r="H4365" s="1" t="str">
        <f t="shared" si="801"/>
        <v>20220918</v>
      </c>
      <c r="I4365" s="1" t="str">
        <f>"195702"</f>
        <v>195702</v>
      </c>
      <c r="J4365" s="1" t="s">
        <v>52</v>
      </c>
      <c r="K4365" s="1" t="s">
        <v>52</v>
      </c>
      <c r="L4365" s="1" t="str">
        <f t="shared" si="811"/>
        <v>20220918</v>
      </c>
      <c r="M4365" s="1" t="str">
        <f>"202035"</f>
        <v>202035</v>
      </c>
      <c r="N4365" s="1" t="s">
        <v>28</v>
      </c>
      <c r="O4365" s="1" t="s">
        <v>28</v>
      </c>
      <c r="P4365" s="1" t="s">
        <v>55</v>
      </c>
      <c r="Q4365" s="1">
        <v>25</v>
      </c>
      <c r="R4365" s="1">
        <v>0</v>
      </c>
      <c r="S4365" s="1">
        <v>25</v>
      </c>
      <c r="T4365" s="1">
        <v>0</v>
      </c>
      <c r="U4365" s="1">
        <v>0</v>
      </c>
      <c r="V4365" s="1" t="str">
        <f t="shared" si="812"/>
        <v>里程返程</v>
      </c>
      <c r="W4365" s="1" t="str">
        <f>"2020"</f>
        <v>2020</v>
      </c>
      <c r="X4365" s="1" t="s">
        <v>35</v>
      </c>
    </row>
    <row r="4366" spans="1:24" x14ac:dyDescent="0.3">
      <c r="A4366" s="1" t="str">
        <f t="shared" si="810"/>
        <v>59825</v>
      </c>
      <c r="B4366" s="1" t="s">
        <v>30</v>
      </c>
      <c r="C4366" s="1" t="s">
        <v>31</v>
      </c>
      <c r="D4366" s="1" t="str">
        <f t="shared" si="813"/>
        <v>9805</v>
      </c>
      <c r="E4366" s="1" t="s">
        <v>57</v>
      </c>
      <c r="F4366" s="1" t="str">
        <f>"A25BBF0046880400C801002000000015"</f>
        <v>A25BBF0046880400C801002000000015</v>
      </c>
      <c r="G4366" s="1" t="s">
        <v>64</v>
      </c>
      <c r="H4366" s="1" t="str">
        <f t="shared" ref="H4366:H4410" si="814">"20220918"</f>
        <v>20220918</v>
      </c>
      <c r="I4366" s="1" t="str">
        <f>"195707"</f>
        <v>195707</v>
      </c>
      <c r="J4366" s="1" t="s">
        <v>52</v>
      </c>
      <c r="K4366" s="1" t="s">
        <v>52</v>
      </c>
      <c r="L4366" s="1" t="str">
        <f t="shared" si="811"/>
        <v>20220918</v>
      </c>
      <c r="M4366" s="1" t="str">
        <f>"202046"</f>
        <v>202046</v>
      </c>
      <c r="N4366" s="1" t="s">
        <v>28</v>
      </c>
      <c r="O4366" s="1" t="s">
        <v>28</v>
      </c>
      <c r="P4366" s="1" t="s">
        <v>55</v>
      </c>
      <c r="Q4366" s="1">
        <v>13</v>
      </c>
      <c r="R4366" s="1">
        <v>13</v>
      </c>
      <c r="S4366" s="1">
        <v>0</v>
      </c>
      <c r="T4366" s="1">
        <v>0</v>
      </c>
      <c r="U4366" s="1">
        <v>0</v>
      </c>
      <c r="V4366" s="1" t="str">
        <f t="shared" si="812"/>
        <v>里程返程</v>
      </c>
      <c r="W4366" s="1" t="str">
        <f>"0020"</f>
        <v>0020</v>
      </c>
      <c r="X4366" s="1" t="s">
        <v>29</v>
      </c>
    </row>
    <row r="4367" spans="1:24" x14ac:dyDescent="0.3">
      <c r="A4367" s="1" t="str">
        <f t="shared" si="810"/>
        <v>59825</v>
      </c>
      <c r="B4367" s="1" t="s">
        <v>30</v>
      </c>
      <c r="C4367" s="1" t="s">
        <v>31</v>
      </c>
      <c r="D4367" s="1" t="str">
        <f t="shared" si="813"/>
        <v>9805</v>
      </c>
      <c r="E4367" s="1" t="s">
        <v>57</v>
      </c>
      <c r="F4367" s="1" t="str">
        <f>"3023489202"</f>
        <v>3023489202</v>
      </c>
      <c r="G4367" s="1" t="s">
        <v>33</v>
      </c>
      <c r="H4367" s="1" t="str">
        <f t="shared" si="814"/>
        <v>20220918</v>
      </c>
      <c r="I4367" s="1" t="str">
        <f>"195710"</f>
        <v>195710</v>
      </c>
      <c r="J4367" s="1" t="s">
        <v>52</v>
      </c>
      <c r="K4367" s="1" t="s">
        <v>52</v>
      </c>
      <c r="L4367" s="1" t="str">
        <f t="shared" si="811"/>
        <v>20220918</v>
      </c>
      <c r="M4367" s="1" t="str">
        <f>"202049"</f>
        <v>202049</v>
      </c>
      <c r="N4367" s="1" t="s">
        <v>28</v>
      </c>
      <c r="O4367" s="1" t="s">
        <v>28</v>
      </c>
      <c r="P4367" s="1" t="s">
        <v>55</v>
      </c>
      <c r="Q4367" s="1">
        <v>25</v>
      </c>
      <c r="R4367" s="1">
        <v>25</v>
      </c>
      <c r="S4367" s="1">
        <v>0</v>
      </c>
      <c r="T4367" s="1">
        <v>0</v>
      </c>
      <c r="U4367" s="1">
        <v>0</v>
      </c>
      <c r="V4367" s="1" t="str">
        <f t="shared" si="812"/>
        <v>里程返程</v>
      </c>
      <c r="W4367" s="1" t="str">
        <f>"2020"</f>
        <v>2020</v>
      </c>
      <c r="X4367" s="1" t="s">
        <v>35</v>
      </c>
    </row>
    <row r="4368" spans="1:24" x14ac:dyDescent="0.3">
      <c r="A4368" s="1" t="str">
        <f t="shared" si="810"/>
        <v>59825</v>
      </c>
      <c r="B4368" s="1" t="s">
        <v>30</v>
      </c>
      <c r="C4368" s="1" t="s">
        <v>31</v>
      </c>
      <c r="D4368" s="1" t="str">
        <f t="shared" si="813"/>
        <v>9805</v>
      </c>
      <c r="E4368" s="1" t="s">
        <v>57</v>
      </c>
      <c r="F4368" s="1" t="str">
        <f>"1129190405"</f>
        <v>1129190405</v>
      </c>
      <c r="G4368" s="1" t="s">
        <v>33</v>
      </c>
      <c r="H4368" s="1" t="str">
        <f t="shared" si="814"/>
        <v>20220918</v>
      </c>
      <c r="I4368" s="1" t="str">
        <f>"195811"</f>
        <v>195811</v>
      </c>
      <c r="J4368" s="1" t="s">
        <v>52</v>
      </c>
      <c r="K4368" s="1" t="s">
        <v>52</v>
      </c>
      <c r="L4368" s="1" t="str">
        <f t="shared" si="811"/>
        <v>20220918</v>
      </c>
      <c r="M4368" s="1" t="str">
        <f>"200538"</f>
        <v>200538</v>
      </c>
      <c r="N4368" s="1" t="s">
        <v>94</v>
      </c>
      <c r="O4368" s="1" t="s">
        <v>28</v>
      </c>
      <c r="P4368" s="1" t="s">
        <v>55</v>
      </c>
      <c r="Q4368" s="1">
        <v>25</v>
      </c>
      <c r="R4368" s="1">
        <v>0</v>
      </c>
      <c r="S4368" s="1">
        <v>25</v>
      </c>
      <c r="T4368" s="1">
        <v>0</v>
      </c>
      <c r="U4368" s="1">
        <v>0</v>
      </c>
      <c r="V4368" s="1" t="str">
        <f t="shared" si="812"/>
        <v>里程返程</v>
      </c>
      <c r="W4368" s="1" t="str">
        <f>"2020"</f>
        <v>2020</v>
      </c>
      <c r="X4368" s="1" t="s">
        <v>35</v>
      </c>
    </row>
    <row r="4369" spans="1:24" x14ac:dyDescent="0.3">
      <c r="A4369" s="1" t="str">
        <f t="shared" ref="A4369:A4410" si="815">"59828"</f>
        <v>59828</v>
      </c>
      <c r="B4369" s="1" t="s">
        <v>23</v>
      </c>
      <c r="C4369" s="1" t="s">
        <v>24</v>
      </c>
      <c r="D4369" s="1" t="str">
        <f t="shared" ref="D4369:D4402" si="816">"9801"</f>
        <v>9801</v>
      </c>
      <c r="E4369" s="1" t="s">
        <v>25</v>
      </c>
      <c r="F4369" s="1" t="str">
        <f>"612034191"</f>
        <v>612034191</v>
      </c>
      <c r="G4369" s="1" t="s">
        <v>33</v>
      </c>
      <c r="H4369" s="1" t="str">
        <f t="shared" si="814"/>
        <v>20220918</v>
      </c>
      <c r="I4369" s="1" t="str">
        <f>"112322"</f>
        <v>112322</v>
      </c>
      <c r="J4369" s="1" t="s">
        <v>83</v>
      </c>
      <c r="K4369" s="1" t="s">
        <v>52</v>
      </c>
      <c r="L4369" s="1" t="str">
        <f t="shared" si="811"/>
        <v>20220918</v>
      </c>
      <c r="M4369" s="1" t="str">
        <f>"113103"</f>
        <v>113103</v>
      </c>
      <c r="N4369" s="1" t="s">
        <v>70</v>
      </c>
      <c r="O4369" s="1" t="s">
        <v>28</v>
      </c>
      <c r="P4369" s="1" t="s">
        <v>55</v>
      </c>
      <c r="Q4369" s="1">
        <v>25</v>
      </c>
      <c r="R4369" s="1">
        <v>25</v>
      </c>
      <c r="S4369" s="1">
        <v>0</v>
      </c>
      <c r="T4369" s="1">
        <v>0</v>
      </c>
      <c r="U4369" s="1">
        <v>0</v>
      </c>
      <c r="V4369" s="1" t="str">
        <f t="shared" ref="V4369:V4398" si="817">"里程去程"</f>
        <v>里程去程</v>
      </c>
      <c r="W4369" s="1" t="str">
        <f>"2020"</f>
        <v>2020</v>
      </c>
      <c r="X4369" s="1" t="s">
        <v>35</v>
      </c>
    </row>
    <row r="4370" spans="1:24" x14ac:dyDescent="0.3">
      <c r="A4370" s="1" t="str">
        <f t="shared" si="815"/>
        <v>59828</v>
      </c>
      <c r="B4370" s="1" t="s">
        <v>23</v>
      </c>
      <c r="C4370" s="1" t="s">
        <v>24</v>
      </c>
      <c r="D4370" s="1" t="str">
        <f t="shared" si="816"/>
        <v>9801</v>
      </c>
      <c r="E4370" s="1" t="s">
        <v>25</v>
      </c>
      <c r="F4370" s="1" t="str">
        <f>"2122891334"</f>
        <v>2122891334</v>
      </c>
      <c r="G4370" s="1" t="s">
        <v>33</v>
      </c>
      <c r="H4370" s="1" t="str">
        <f t="shared" si="814"/>
        <v>20220918</v>
      </c>
      <c r="I4370" s="1" t="str">
        <f>"112329"</f>
        <v>112329</v>
      </c>
      <c r="J4370" s="1" t="s">
        <v>83</v>
      </c>
      <c r="K4370" s="1" t="s">
        <v>52</v>
      </c>
      <c r="L4370" s="1" t="str">
        <f t="shared" si="811"/>
        <v>20220918</v>
      </c>
      <c r="M4370" s="1" t="str">
        <f>"113109"</f>
        <v>113109</v>
      </c>
      <c r="N4370" s="1" t="s">
        <v>70</v>
      </c>
      <c r="O4370" s="1" t="s">
        <v>28</v>
      </c>
      <c r="P4370" s="1" t="s">
        <v>55</v>
      </c>
      <c r="Q4370" s="1">
        <v>25</v>
      </c>
      <c r="R4370" s="1">
        <v>25</v>
      </c>
      <c r="S4370" s="1">
        <v>0</v>
      </c>
      <c r="T4370" s="1">
        <v>0</v>
      </c>
      <c r="U4370" s="1">
        <v>0</v>
      </c>
      <c r="V4370" s="1" t="str">
        <f t="shared" si="817"/>
        <v>里程去程</v>
      </c>
      <c r="W4370" s="1" t="str">
        <f>"2020"</f>
        <v>2020</v>
      </c>
      <c r="X4370" s="1" t="s">
        <v>35</v>
      </c>
    </row>
    <row r="4371" spans="1:24" x14ac:dyDescent="0.3">
      <c r="A4371" s="1" t="str">
        <f t="shared" si="815"/>
        <v>59828</v>
      </c>
      <c r="B4371" s="1" t="s">
        <v>23</v>
      </c>
      <c r="C4371" s="1" t="s">
        <v>24</v>
      </c>
      <c r="D4371" s="1" t="str">
        <f t="shared" si="816"/>
        <v>9801</v>
      </c>
      <c r="E4371" s="1" t="s">
        <v>25</v>
      </c>
      <c r="F4371" s="1" t="str">
        <f>"1144178677"</f>
        <v>1144178677</v>
      </c>
      <c r="G4371" s="1" t="s">
        <v>33</v>
      </c>
      <c r="H4371" s="1" t="str">
        <f t="shared" si="814"/>
        <v>20220918</v>
      </c>
      <c r="I4371" s="1" t="str">
        <f>"112334"</f>
        <v>112334</v>
      </c>
      <c r="J4371" s="1" t="s">
        <v>83</v>
      </c>
      <c r="K4371" s="1" t="s">
        <v>52</v>
      </c>
      <c r="L4371" s="1" t="str">
        <f t="shared" si="811"/>
        <v>20220918</v>
      </c>
      <c r="M4371" s="1" t="str">
        <f>"113106"</f>
        <v>113106</v>
      </c>
      <c r="N4371" s="1" t="s">
        <v>70</v>
      </c>
      <c r="O4371" s="1" t="s">
        <v>28</v>
      </c>
      <c r="P4371" s="1" t="s">
        <v>55</v>
      </c>
      <c r="Q4371" s="1">
        <v>25</v>
      </c>
      <c r="R4371" s="1">
        <v>25</v>
      </c>
      <c r="S4371" s="1">
        <v>0</v>
      </c>
      <c r="T4371" s="1">
        <v>0</v>
      </c>
      <c r="U4371" s="1">
        <v>0</v>
      </c>
      <c r="V4371" s="1" t="str">
        <f t="shared" si="817"/>
        <v>里程去程</v>
      </c>
      <c r="W4371" s="1" t="str">
        <f>"2020"</f>
        <v>2020</v>
      </c>
      <c r="X4371" s="1" t="s">
        <v>35</v>
      </c>
    </row>
    <row r="4372" spans="1:24" x14ac:dyDescent="0.3">
      <c r="A4372" s="1" t="str">
        <f t="shared" si="815"/>
        <v>59828</v>
      </c>
      <c r="B4372" s="1" t="s">
        <v>23</v>
      </c>
      <c r="C4372" s="1" t="s">
        <v>24</v>
      </c>
      <c r="D4372" s="1" t="str">
        <f t="shared" si="816"/>
        <v>9801</v>
      </c>
      <c r="E4372" s="1" t="s">
        <v>25</v>
      </c>
      <c r="F4372" s="1" t="str">
        <f>"540097441"</f>
        <v>540097441</v>
      </c>
      <c r="G4372" s="1" t="s">
        <v>26</v>
      </c>
      <c r="H4372" s="1" t="str">
        <f t="shared" si="814"/>
        <v>20220918</v>
      </c>
      <c r="I4372" s="1" t="str">
        <f>"113141"</f>
        <v>113141</v>
      </c>
      <c r="J4372" s="1" t="s">
        <v>27</v>
      </c>
      <c r="K4372" s="1" t="s">
        <v>28</v>
      </c>
      <c r="L4372" s="1" t="str">
        <f t="shared" si="811"/>
        <v>20220918</v>
      </c>
      <c r="M4372" s="1" t="str">
        <f>"114714"</f>
        <v>114714</v>
      </c>
      <c r="N4372" s="1" t="s">
        <v>61</v>
      </c>
      <c r="O4372" s="1" t="s">
        <v>45</v>
      </c>
      <c r="P4372" s="1" t="s">
        <v>55</v>
      </c>
      <c r="Q4372" s="1">
        <v>13</v>
      </c>
      <c r="R4372" s="1">
        <v>13</v>
      </c>
      <c r="S4372" s="1">
        <v>0</v>
      </c>
      <c r="T4372" s="1">
        <v>0</v>
      </c>
      <c r="U4372" s="1">
        <v>0</v>
      </c>
      <c r="V4372" s="1" t="str">
        <f t="shared" si="817"/>
        <v>里程去程</v>
      </c>
      <c r="W4372" s="1" t="str">
        <f>"0220"</f>
        <v>0220</v>
      </c>
      <c r="X4372" s="1" t="s">
        <v>35</v>
      </c>
    </row>
    <row r="4373" spans="1:24" x14ac:dyDescent="0.3">
      <c r="A4373" s="1" t="str">
        <f t="shared" si="815"/>
        <v>59828</v>
      </c>
      <c r="B4373" s="1" t="s">
        <v>23</v>
      </c>
      <c r="C4373" s="1" t="s">
        <v>24</v>
      </c>
      <c r="D4373" s="1" t="str">
        <f t="shared" si="816"/>
        <v>9801</v>
      </c>
      <c r="E4373" s="1" t="s">
        <v>25</v>
      </c>
      <c r="F4373" s="1" t="str">
        <f>"1390089377"</f>
        <v>1390089377</v>
      </c>
      <c r="G4373" s="1" t="s">
        <v>26</v>
      </c>
      <c r="H4373" s="1" t="str">
        <f t="shared" si="814"/>
        <v>20220918</v>
      </c>
      <c r="I4373" s="1" t="str">
        <f>"113143"</f>
        <v>113143</v>
      </c>
      <c r="J4373" s="1" t="s">
        <v>27</v>
      </c>
      <c r="K4373" s="1" t="s">
        <v>28</v>
      </c>
      <c r="L4373" s="1" t="str">
        <f t="shared" si="811"/>
        <v>20220918</v>
      </c>
      <c r="M4373" s="1" t="str">
        <f>"114718"</f>
        <v>114718</v>
      </c>
      <c r="N4373" s="1" t="s">
        <v>61</v>
      </c>
      <c r="O4373" s="1" t="s">
        <v>45</v>
      </c>
      <c r="P4373" s="1" t="s">
        <v>55</v>
      </c>
      <c r="Q4373" s="1">
        <v>13</v>
      </c>
      <c r="R4373" s="1">
        <v>13</v>
      </c>
      <c r="S4373" s="1">
        <v>0</v>
      </c>
      <c r="T4373" s="1">
        <v>0</v>
      </c>
      <c r="U4373" s="1">
        <v>0</v>
      </c>
      <c r="V4373" s="1" t="str">
        <f t="shared" si="817"/>
        <v>里程去程</v>
      </c>
      <c r="W4373" s="1" t="str">
        <f>"0120"</f>
        <v>0120</v>
      </c>
      <c r="X4373" s="1" t="s">
        <v>35</v>
      </c>
    </row>
    <row r="4374" spans="1:24" x14ac:dyDescent="0.3">
      <c r="A4374" s="1" t="str">
        <f t="shared" si="815"/>
        <v>59828</v>
      </c>
      <c r="B4374" s="1" t="s">
        <v>23</v>
      </c>
      <c r="C4374" s="1" t="s">
        <v>24</v>
      </c>
      <c r="D4374" s="1" t="str">
        <f t="shared" si="816"/>
        <v>9801</v>
      </c>
      <c r="E4374" s="1" t="s">
        <v>25</v>
      </c>
      <c r="F4374" s="1" t="str">
        <f>"1341060913"</f>
        <v>1341060913</v>
      </c>
      <c r="G4374" s="1" t="s">
        <v>33</v>
      </c>
      <c r="H4374" s="1" t="str">
        <f t="shared" si="814"/>
        <v>20220918</v>
      </c>
      <c r="I4374" s="1" t="str">
        <f>"113444"</f>
        <v>113444</v>
      </c>
      <c r="J4374" s="1" t="s">
        <v>27</v>
      </c>
      <c r="K4374" s="1" t="s">
        <v>28</v>
      </c>
      <c r="L4374" s="1" t="str">
        <f t="shared" si="811"/>
        <v>20220918</v>
      </c>
      <c r="M4374" s="1" t="str">
        <f>"114720"</f>
        <v>114720</v>
      </c>
      <c r="N4374" s="1" t="s">
        <v>61</v>
      </c>
      <c r="O4374" s="1" t="s">
        <v>45</v>
      </c>
      <c r="P4374" s="1" t="s">
        <v>55</v>
      </c>
      <c r="Q4374" s="1">
        <v>25</v>
      </c>
      <c r="R4374" s="1">
        <v>25</v>
      </c>
      <c r="S4374" s="1">
        <v>0</v>
      </c>
      <c r="T4374" s="1">
        <v>0</v>
      </c>
      <c r="U4374" s="1">
        <v>0</v>
      </c>
      <c r="V4374" s="1" t="str">
        <f t="shared" si="817"/>
        <v>里程去程</v>
      </c>
      <c r="W4374" s="1" t="str">
        <f>"0120"</f>
        <v>0120</v>
      </c>
      <c r="X4374" s="1" t="s">
        <v>35</v>
      </c>
    </row>
    <row r="4375" spans="1:24" x14ac:dyDescent="0.3">
      <c r="A4375" s="1" t="str">
        <f t="shared" si="815"/>
        <v>59828</v>
      </c>
      <c r="B4375" s="1" t="s">
        <v>23</v>
      </c>
      <c r="C4375" s="1" t="s">
        <v>24</v>
      </c>
      <c r="D4375" s="1" t="str">
        <f t="shared" si="816"/>
        <v>9801</v>
      </c>
      <c r="E4375" s="1" t="s">
        <v>25</v>
      </c>
      <c r="F4375" s="1" t="str">
        <f>"224661035"</f>
        <v>224661035</v>
      </c>
      <c r="G4375" s="1" t="s">
        <v>33</v>
      </c>
      <c r="H4375" s="1" t="str">
        <f t="shared" si="814"/>
        <v>20220918</v>
      </c>
      <c r="I4375" s="1" t="str">
        <f>"120748"</f>
        <v>120748</v>
      </c>
      <c r="J4375" s="1" t="s">
        <v>60</v>
      </c>
      <c r="K4375" s="1" t="s">
        <v>52</v>
      </c>
      <c r="L4375" s="1" t="str">
        <f t="shared" si="811"/>
        <v>20220918</v>
      </c>
      <c r="M4375" s="1" t="str">
        <f>"122903"</f>
        <v>122903</v>
      </c>
      <c r="N4375" s="1" t="s">
        <v>70</v>
      </c>
      <c r="O4375" s="1" t="s">
        <v>28</v>
      </c>
      <c r="P4375" s="1" t="s">
        <v>55</v>
      </c>
      <c r="Q4375" s="1">
        <v>25</v>
      </c>
      <c r="R4375" s="1">
        <v>25</v>
      </c>
      <c r="S4375" s="1">
        <v>0</v>
      </c>
      <c r="T4375" s="1">
        <v>0</v>
      </c>
      <c r="U4375" s="1">
        <v>0</v>
      </c>
      <c r="V4375" s="1" t="str">
        <f t="shared" si="817"/>
        <v>里程去程</v>
      </c>
      <c r="W4375" s="1" t="str">
        <f>"2120"</f>
        <v>2120</v>
      </c>
      <c r="X4375" s="1" t="s">
        <v>35</v>
      </c>
    </row>
    <row r="4376" spans="1:24" x14ac:dyDescent="0.3">
      <c r="A4376" s="1" t="str">
        <f t="shared" si="815"/>
        <v>59828</v>
      </c>
      <c r="B4376" s="1" t="s">
        <v>23</v>
      </c>
      <c r="C4376" s="1" t="s">
        <v>24</v>
      </c>
      <c r="D4376" s="1" t="str">
        <f t="shared" si="816"/>
        <v>9801</v>
      </c>
      <c r="E4376" s="1" t="s">
        <v>25</v>
      </c>
      <c r="F4376" s="1" t="str">
        <f>"975538033"</f>
        <v>975538033</v>
      </c>
      <c r="G4376" s="1" t="s">
        <v>33</v>
      </c>
      <c r="H4376" s="1" t="str">
        <f t="shared" si="814"/>
        <v>20220918</v>
      </c>
      <c r="I4376" s="1" t="str">
        <f>"120751"</f>
        <v>120751</v>
      </c>
      <c r="J4376" s="1" t="s">
        <v>60</v>
      </c>
      <c r="K4376" s="1" t="s">
        <v>52</v>
      </c>
      <c r="L4376" s="1" t="str">
        <f t="shared" si="811"/>
        <v>20220918</v>
      </c>
      <c r="M4376" s="1" t="str">
        <f>"122918"</f>
        <v>122918</v>
      </c>
      <c r="N4376" s="1" t="s">
        <v>70</v>
      </c>
      <c r="O4376" s="1" t="s">
        <v>28</v>
      </c>
      <c r="P4376" s="1" t="s">
        <v>55</v>
      </c>
      <c r="Q4376" s="1">
        <v>25</v>
      </c>
      <c r="R4376" s="1">
        <v>25</v>
      </c>
      <c r="S4376" s="1">
        <v>0</v>
      </c>
      <c r="T4376" s="1">
        <v>0</v>
      </c>
      <c r="U4376" s="1">
        <v>0</v>
      </c>
      <c r="V4376" s="1" t="str">
        <f t="shared" si="817"/>
        <v>里程去程</v>
      </c>
      <c r="W4376" s="1" t="str">
        <f>"2120"</f>
        <v>2120</v>
      </c>
      <c r="X4376" s="1" t="s">
        <v>35</v>
      </c>
    </row>
    <row r="4377" spans="1:24" x14ac:dyDescent="0.3">
      <c r="A4377" s="1" t="str">
        <f t="shared" si="815"/>
        <v>59828</v>
      </c>
      <c r="B4377" s="1" t="s">
        <v>23</v>
      </c>
      <c r="C4377" s="1" t="s">
        <v>24</v>
      </c>
      <c r="D4377" s="1" t="str">
        <f t="shared" si="816"/>
        <v>9801</v>
      </c>
      <c r="E4377" s="1" t="s">
        <v>25</v>
      </c>
      <c r="F4377" s="1" t="str">
        <f>"1134601301"</f>
        <v>1134601301</v>
      </c>
      <c r="G4377" s="1" t="s">
        <v>33</v>
      </c>
      <c r="H4377" s="1" t="str">
        <f t="shared" si="814"/>
        <v>20220918</v>
      </c>
      <c r="I4377" s="1" t="str">
        <f>"123232"</f>
        <v>123232</v>
      </c>
      <c r="J4377" s="1" t="s">
        <v>27</v>
      </c>
      <c r="K4377" s="1" t="s">
        <v>28</v>
      </c>
      <c r="L4377" s="1" t="str">
        <f t="shared" si="811"/>
        <v>20220918</v>
      </c>
      <c r="M4377" s="1" t="str">
        <f>"125340"</f>
        <v>125340</v>
      </c>
      <c r="N4377" s="1" t="s">
        <v>100</v>
      </c>
      <c r="O4377" s="1" t="s">
        <v>45</v>
      </c>
      <c r="P4377" s="1" t="s">
        <v>55</v>
      </c>
      <c r="Q4377" s="1">
        <v>25</v>
      </c>
      <c r="R4377" s="1">
        <v>25</v>
      </c>
      <c r="S4377" s="1">
        <v>0</v>
      </c>
      <c r="T4377" s="1">
        <v>0</v>
      </c>
      <c r="U4377" s="1">
        <v>0</v>
      </c>
      <c r="V4377" s="1" t="str">
        <f t="shared" si="817"/>
        <v>里程去程</v>
      </c>
      <c r="W4377" s="1" t="str">
        <f>"1c20"</f>
        <v>1c20</v>
      </c>
      <c r="X4377" s="1" t="s">
        <v>35</v>
      </c>
    </row>
    <row r="4378" spans="1:24" x14ac:dyDescent="0.3">
      <c r="A4378" s="1" t="str">
        <f t="shared" si="815"/>
        <v>59828</v>
      </c>
      <c r="B4378" s="1" t="s">
        <v>23</v>
      </c>
      <c r="C4378" s="1" t="s">
        <v>24</v>
      </c>
      <c r="D4378" s="1" t="str">
        <f t="shared" si="816"/>
        <v>9801</v>
      </c>
      <c r="E4378" s="1" t="s">
        <v>25</v>
      </c>
      <c r="F4378" s="1" t="str">
        <f>"E1C2C141A3280400F700000000000000"</f>
        <v>E1C2C141A3280400F700000000000000</v>
      </c>
      <c r="G4378" s="1" t="s">
        <v>58</v>
      </c>
      <c r="H4378" s="1" t="str">
        <f t="shared" si="814"/>
        <v>20220918</v>
      </c>
      <c r="I4378" s="1" t="str">
        <f>"123234"</f>
        <v>123234</v>
      </c>
      <c r="J4378" s="1" t="s">
        <v>27</v>
      </c>
      <c r="K4378" s="1" t="s">
        <v>28</v>
      </c>
      <c r="L4378" s="1" t="str">
        <f t="shared" si="811"/>
        <v>20220918</v>
      </c>
      <c r="M4378" s="1" t="str">
        <f>"125606"</f>
        <v>125606</v>
      </c>
      <c r="N4378" s="1" t="s">
        <v>44</v>
      </c>
      <c r="O4378" s="1" t="s">
        <v>45</v>
      </c>
      <c r="P4378" s="1" t="s">
        <v>55</v>
      </c>
      <c r="Q4378" s="1">
        <v>25</v>
      </c>
      <c r="R4378" s="1">
        <v>25</v>
      </c>
      <c r="S4378" s="1">
        <v>0</v>
      </c>
      <c r="T4378" s="1">
        <v>0</v>
      </c>
      <c r="U4378" s="1">
        <v>0</v>
      </c>
      <c r="V4378" s="1" t="str">
        <f t="shared" si="817"/>
        <v>里程去程</v>
      </c>
      <c r="W4378" s="1" t="str">
        <f>"0020"</f>
        <v>0020</v>
      </c>
      <c r="X4378" s="1" t="s">
        <v>29</v>
      </c>
    </row>
    <row r="4379" spans="1:24" x14ac:dyDescent="0.3">
      <c r="A4379" s="1" t="str">
        <f t="shared" si="815"/>
        <v>59828</v>
      </c>
      <c r="B4379" s="1" t="s">
        <v>23</v>
      </c>
      <c r="C4379" s="1" t="s">
        <v>24</v>
      </c>
      <c r="D4379" s="1" t="str">
        <f t="shared" si="816"/>
        <v>9801</v>
      </c>
      <c r="E4379" s="1" t="s">
        <v>25</v>
      </c>
      <c r="F4379" s="1" t="str">
        <f>"B1F6E100A6880400432494C6000A080E"</f>
        <v>B1F6E100A6880400432494C6000A080E</v>
      </c>
      <c r="G4379" s="1" t="s">
        <v>58</v>
      </c>
      <c r="H4379" s="1" t="str">
        <f t="shared" si="814"/>
        <v>20220918</v>
      </c>
      <c r="I4379" s="1" t="str">
        <f>"123239"</f>
        <v>123239</v>
      </c>
      <c r="J4379" s="1" t="s">
        <v>27</v>
      </c>
      <c r="K4379" s="1" t="s">
        <v>28</v>
      </c>
      <c r="L4379" s="1" t="str">
        <f t="shared" si="811"/>
        <v>20220918</v>
      </c>
      <c r="M4379" s="1" t="str">
        <f>"125600"</f>
        <v>125600</v>
      </c>
      <c r="N4379" s="1" t="s">
        <v>44</v>
      </c>
      <c r="O4379" s="1" t="s">
        <v>45</v>
      </c>
      <c r="P4379" s="1" t="s">
        <v>55</v>
      </c>
      <c r="Q4379" s="1">
        <v>25</v>
      </c>
      <c r="R4379" s="1">
        <v>25</v>
      </c>
      <c r="S4379" s="1">
        <v>0</v>
      </c>
      <c r="T4379" s="1">
        <v>0</v>
      </c>
      <c r="U4379" s="1">
        <v>0</v>
      </c>
      <c r="V4379" s="1" t="str">
        <f t="shared" si="817"/>
        <v>里程去程</v>
      </c>
      <c r="W4379" s="1" t="str">
        <f>"0020"</f>
        <v>0020</v>
      </c>
      <c r="X4379" s="1" t="s">
        <v>29</v>
      </c>
    </row>
    <row r="4380" spans="1:24" x14ac:dyDescent="0.3">
      <c r="A4380" s="1" t="str">
        <f t="shared" si="815"/>
        <v>59828</v>
      </c>
      <c r="B4380" s="1" t="s">
        <v>23</v>
      </c>
      <c r="C4380" s="1" t="s">
        <v>24</v>
      </c>
      <c r="D4380" s="1" t="str">
        <f t="shared" si="816"/>
        <v>9801</v>
      </c>
      <c r="E4380" s="1" t="s">
        <v>25</v>
      </c>
      <c r="F4380" s="1" t="str">
        <f>"967412997"</f>
        <v>967412997</v>
      </c>
      <c r="G4380" s="1" t="s">
        <v>33</v>
      </c>
      <c r="H4380" s="1" t="str">
        <f t="shared" si="814"/>
        <v>20220918</v>
      </c>
      <c r="I4380" s="1" t="str">
        <f>"123246"</f>
        <v>123246</v>
      </c>
      <c r="J4380" s="1" t="s">
        <v>27</v>
      </c>
      <c r="K4380" s="1" t="s">
        <v>28</v>
      </c>
      <c r="L4380" s="1" t="str">
        <f t="shared" si="811"/>
        <v>20220918</v>
      </c>
      <c r="M4380" s="1" t="str">
        <f>"124624"</f>
        <v>124624</v>
      </c>
      <c r="N4380" s="1" t="s">
        <v>56</v>
      </c>
      <c r="O4380" s="1" t="s">
        <v>45</v>
      </c>
      <c r="P4380" s="1" t="s">
        <v>55</v>
      </c>
      <c r="Q4380" s="1">
        <v>25</v>
      </c>
      <c r="R4380" s="1">
        <v>25</v>
      </c>
      <c r="S4380" s="1">
        <v>0</v>
      </c>
      <c r="T4380" s="1">
        <v>0</v>
      </c>
      <c r="U4380" s="1">
        <v>0</v>
      </c>
      <c r="V4380" s="1" t="str">
        <f t="shared" si="817"/>
        <v>里程去程</v>
      </c>
      <c r="W4380" s="1" t="str">
        <f>"0820"</f>
        <v>0820</v>
      </c>
      <c r="X4380" s="1" t="s">
        <v>35</v>
      </c>
    </row>
    <row r="4381" spans="1:24" x14ac:dyDescent="0.3">
      <c r="A4381" s="1" t="str">
        <f t="shared" si="815"/>
        <v>59828</v>
      </c>
      <c r="B4381" s="1" t="s">
        <v>23</v>
      </c>
      <c r="C4381" s="1" t="s">
        <v>24</v>
      </c>
      <c r="D4381" s="1" t="str">
        <f t="shared" si="816"/>
        <v>9801</v>
      </c>
      <c r="E4381" s="1" t="s">
        <v>25</v>
      </c>
      <c r="F4381" s="1" t="str">
        <f>"D7D57EF18D880400432517BF0008040F"</f>
        <v>D7D57EF18D880400432517BF0008040F</v>
      </c>
      <c r="G4381" s="1" t="s">
        <v>58</v>
      </c>
      <c r="H4381" s="1" t="str">
        <f t="shared" si="814"/>
        <v>20220918</v>
      </c>
      <c r="I4381" s="1" t="str">
        <f>"130805"</f>
        <v>130805</v>
      </c>
      <c r="J4381" s="1" t="s">
        <v>51</v>
      </c>
      <c r="K4381" s="1" t="s">
        <v>52</v>
      </c>
      <c r="L4381" s="1" t="str">
        <f t="shared" si="811"/>
        <v>20220918</v>
      </c>
      <c r="M4381" s="1" t="str">
        <f>"132945"</f>
        <v>132945</v>
      </c>
      <c r="N4381" s="1" t="s">
        <v>70</v>
      </c>
      <c r="O4381" s="1" t="s">
        <v>28</v>
      </c>
      <c r="P4381" s="1" t="s">
        <v>55</v>
      </c>
      <c r="Q4381" s="1">
        <v>25</v>
      </c>
      <c r="R4381" s="1">
        <v>25</v>
      </c>
      <c r="S4381" s="1">
        <v>0</v>
      </c>
      <c r="T4381" s="1">
        <v>0</v>
      </c>
      <c r="U4381" s="1">
        <v>0</v>
      </c>
      <c r="V4381" s="1" t="str">
        <f t="shared" si="817"/>
        <v>里程去程</v>
      </c>
      <c r="W4381" s="1" t="str">
        <f>"0020"</f>
        <v>0020</v>
      </c>
      <c r="X4381" s="1" t="s">
        <v>29</v>
      </c>
    </row>
    <row r="4382" spans="1:24" x14ac:dyDescent="0.3">
      <c r="A4382" s="1" t="str">
        <f t="shared" si="815"/>
        <v>59828</v>
      </c>
      <c r="B4382" s="1" t="s">
        <v>23</v>
      </c>
      <c r="C4382" s="1" t="s">
        <v>24</v>
      </c>
      <c r="D4382" s="1" t="str">
        <f t="shared" si="816"/>
        <v>9801</v>
      </c>
      <c r="E4382" s="1" t="s">
        <v>25</v>
      </c>
      <c r="F4382" s="1" t="str">
        <f>"A253B11555880400C810002000000019"</f>
        <v>A253B11555880400C810002000000019</v>
      </c>
      <c r="G4382" s="1" t="s">
        <v>59</v>
      </c>
      <c r="H4382" s="1" t="str">
        <f t="shared" si="814"/>
        <v>20220918</v>
      </c>
      <c r="I4382" s="1" t="str">
        <f>"130808"</f>
        <v>130808</v>
      </c>
      <c r="J4382" s="1" t="s">
        <v>51</v>
      </c>
      <c r="K4382" s="1" t="s">
        <v>52</v>
      </c>
      <c r="L4382" s="1" t="str">
        <f t="shared" si="811"/>
        <v>20220918</v>
      </c>
      <c r="M4382" s="1" t="str">
        <f>"132940"</f>
        <v>132940</v>
      </c>
      <c r="N4382" s="1" t="s">
        <v>70</v>
      </c>
      <c r="O4382" s="1" t="s">
        <v>28</v>
      </c>
      <c r="P4382" s="1" t="s">
        <v>55</v>
      </c>
      <c r="Q4382" s="1">
        <v>13</v>
      </c>
      <c r="R4382" s="1">
        <v>13</v>
      </c>
      <c r="S4382" s="1">
        <v>0</v>
      </c>
      <c r="T4382" s="1">
        <v>0</v>
      </c>
      <c r="U4382" s="1">
        <v>0</v>
      </c>
      <c r="V4382" s="1" t="str">
        <f t="shared" si="817"/>
        <v>里程去程</v>
      </c>
      <c r="W4382" s="1" t="str">
        <f>"0020"</f>
        <v>0020</v>
      </c>
      <c r="X4382" s="1" t="s">
        <v>29</v>
      </c>
    </row>
    <row r="4383" spans="1:24" x14ac:dyDescent="0.3">
      <c r="A4383" s="1" t="str">
        <f t="shared" si="815"/>
        <v>59828</v>
      </c>
      <c r="B4383" s="1" t="s">
        <v>23</v>
      </c>
      <c r="C4383" s="1" t="s">
        <v>24</v>
      </c>
      <c r="D4383" s="1" t="str">
        <f t="shared" si="816"/>
        <v>9801</v>
      </c>
      <c r="E4383" s="1" t="s">
        <v>25</v>
      </c>
      <c r="F4383" s="1" t="str">
        <f>"B1D5CA9D3388040043261F6100110110"</f>
        <v>B1D5CA9D3388040043261F6100110110</v>
      </c>
      <c r="G4383" s="1" t="s">
        <v>58</v>
      </c>
      <c r="H4383" s="1" t="str">
        <f t="shared" si="814"/>
        <v>20220918</v>
      </c>
      <c r="I4383" s="1" t="str">
        <f>"130811"</f>
        <v>130811</v>
      </c>
      <c r="J4383" s="1" t="s">
        <v>51</v>
      </c>
      <c r="K4383" s="1" t="s">
        <v>52</v>
      </c>
      <c r="L4383" s="1" t="str">
        <f t="shared" ref="L4383:L4410" si="818">"20220918"</f>
        <v>20220918</v>
      </c>
      <c r="M4383" s="1" t="str">
        <f>"132942"</f>
        <v>132942</v>
      </c>
      <c r="N4383" s="1" t="s">
        <v>70</v>
      </c>
      <c r="O4383" s="1" t="s">
        <v>28</v>
      </c>
      <c r="P4383" s="1" t="s">
        <v>55</v>
      </c>
      <c r="Q4383" s="1">
        <v>25</v>
      </c>
      <c r="R4383" s="1">
        <v>25</v>
      </c>
      <c r="S4383" s="1">
        <v>0</v>
      </c>
      <c r="T4383" s="1">
        <v>0</v>
      </c>
      <c r="U4383" s="1">
        <v>0</v>
      </c>
      <c r="V4383" s="1" t="str">
        <f t="shared" si="817"/>
        <v>里程去程</v>
      </c>
      <c r="W4383" s="1" t="str">
        <f>"0020"</f>
        <v>0020</v>
      </c>
      <c r="X4383" s="1" t="s">
        <v>29</v>
      </c>
    </row>
    <row r="4384" spans="1:24" x14ac:dyDescent="0.3">
      <c r="A4384" s="1" t="str">
        <f t="shared" si="815"/>
        <v>59828</v>
      </c>
      <c r="B4384" s="1" t="s">
        <v>23</v>
      </c>
      <c r="C4384" s="1" t="s">
        <v>24</v>
      </c>
      <c r="D4384" s="1" t="str">
        <f t="shared" si="816"/>
        <v>9801</v>
      </c>
      <c r="E4384" s="1" t="s">
        <v>25</v>
      </c>
      <c r="F4384" s="1" t="str">
        <f>"7212F11889880400C821002000000019"</f>
        <v>7212F11889880400C821002000000019</v>
      </c>
      <c r="G4384" s="1" t="s">
        <v>58</v>
      </c>
      <c r="H4384" s="1" t="str">
        <f t="shared" si="814"/>
        <v>20220918</v>
      </c>
      <c r="I4384" s="1" t="str">
        <f>"130813"</f>
        <v>130813</v>
      </c>
      <c r="J4384" s="1" t="s">
        <v>51</v>
      </c>
      <c r="K4384" s="1" t="s">
        <v>52</v>
      </c>
      <c r="L4384" s="1" t="str">
        <f t="shared" si="818"/>
        <v>20220918</v>
      </c>
      <c r="M4384" s="1" t="str">
        <f>"132947"</f>
        <v>132947</v>
      </c>
      <c r="N4384" s="1" t="s">
        <v>70</v>
      </c>
      <c r="O4384" s="1" t="s">
        <v>28</v>
      </c>
      <c r="P4384" s="1" t="s">
        <v>55</v>
      </c>
      <c r="Q4384" s="1">
        <v>25</v>
      </c>
      <c r="R4384" s="1">
        <v>25</v>
      </c>
      <c r="S4384" s="1">
        <v>0</v>
      </c>
      <c r="T4384" s="1">
        <v>0</v>
      </c>
      <c r="U4384" s="1">
        <v>0</v>
      </c>
      <c r="V4384" s="1" t="str">
        <f t="shared" si="817"/>
        <v>里程去程</v>
      </c>
      <c r="W4384" s="1" t="str">
        <f>"0020"</f>
        <v>0020</v>
      </c>
      <c r="X4384" s="1" t="s">
        <v>29</v>
      </c>
    </row>
    <row r="4385" spans="1:24" x14ac:dyDescent="0.3">
      <c r="A4385" s="1" t="str">
        <f t="shared" si="815"/>
        <v>59828</v>
      </c>
      <c r="B4385" s="1" t="s">
        <v>23</v>
      </c>
      <c r="C4385" s="1" t="s">
        <v>24</v>
      </c>
      <c r="D4385" s="1" t="str">
        <f t="shared" si="816"/>
        <v>9801</v>
      </c>
      <c r="E4385" s="1" t="s">
        <v>25</v>
      </c>
      <c r="F4385" s="1" t="str">
        <f>"1476683887"</f>
        <v>1476683887</v>
      </c>
      <c r="G4385" s="1" t="s">
        <v>33</v>
      </c>
      <c r="H4385" s="1" t="str">
        <f t="shared" si="814"/>
        <v>20220918</v>
      </c>
      <c r="I4385" s="1" t="str">
        <f>"133513"</f>
        <v>133513</v>
      </c>
      <c r="J4385" s="1" t="s">
        <v>27</v>
      </c>
      <c r="K4385" s="1" t="s">
        <v>28</v>
      </c>
      <c r="L4385" s="1" t="str">
        <f t="shared" si="818"/>
        <v>20220918</v>
      </c>
      <c r="M4385" s="1" t="str">
        <f>"135916"</f>
        <v>135916</v>
      </c>
      <c r="N4385" s="1" t="s">
        <v>44</v>
      </c>
      <c r="O4385" s="1" t="s">
        <v>45</v>
      </c>
      <c r="P4385" s="1" t="s">
        <v>55</v>
      </c>
      <c r="Q4385" s="1">
        <v>25</v>
      </c>
      <c r="R4385" s="1">
        <v>0</v>
      </c>
      <c r="S4385" s="1">
        <v>25</v>
      </c>
      <c r="T4385" s="1">
        <v>0</v>
      </c>
      <c r="U4385" s="1">
        <v>0</v>
      </c>
      <c r="V4385" s="1" t="str">
        <f t="shared" si="817"/>
        <v>里程去程</v>
      </c>
      <c r="W4385" s="1" t="str">
        <f>"2120"</f>
        <v>2120</v>
      </c>
      <c r="X4385" s="1" t="s">
        <v>35</v>
      </c>
    </row>
    <row r="4386" spans="1:24" x14ac:dyDescent="0.3">
      <c r="A4386" s="1" t="str">
        <f t="shared" si="815"/>
        <v>59828</v>
      </c>
      <c r="B4386" s="1" t="s">
        <v>23</v>
      </c>
      <c r="C4386" s="1" t="s">
        <v>24</v>
      </c>
      <c r="D4386" s="1" t="str">
        <f t="shared" si="816"/>
        <v>9801</v>
      </c>
      <c r="E4386" s="1" t="s">
        <v>25</v>
      </c>
      <c r="F4386" s="1" t="str">
        <f>"1047965173"</f>
        <v>1047965173</v>
      </c>
      <c r="G4386" s="1" t="s">
        <v>33</v>
      </c>
      <c r="H4386" s="1" t="str">
        <f t="shared" si="814"/>
        <v>20220918</v>
      </c>
      <c r="I4386" s="1" t="str">
        <f>"145717"</f>
        <v>145717</v>
      </c>
      <c r="J4386" s="1" t="s">
        <v>52</v>
      </c>
      <c r="K4386" s="1" t="s">
        <v>52</v>
      </c>
      <c r="L4386" s="1" t="str">
        <f t="shared" si="818"/>
        <v>20220918</v>
      </c>
      <c r="M4386" s="1" t="str">
        <f>"152643"</f>
        <v>152643</v>
      </c>
      <c r="N4386" s="1" t="s">
        <v>70</v>
      </c>
      <c r="O4386" s="1" t="s">
        <v>28</v>
      </c>
      <c r="P4386" s="1" t="s">
        <v>55</v>
      </c>
      <c r="Q4386" s="1">
        <v>25</v>
      </c>
      <c r="R4386" s="1">
        <v>25</v>
      </c>
      <c r="S4386" s="1">
        <v>0</v>
      </c>
      <c r="T4386" s="1">
        <v>0</v>
      </c>
      <c r="U4386" s="1">
        <v>0</v>
      </c>
      <c r="V4386" s="1" t="str">
        <f t="shared" si="817"/>
        <v>里程去程</v>
      </c>
      <c r="W4386" s="1" t="str">
        <f>"2120"</f>
        <v>2120</v>
      </c>
      <c r="X4386" s="1" t="s">
        <v>35</v>
      </c>
    </row>
    <row r="4387" spans="1:24" x14ac:dyDescent="0.3">
      <c r="A4387" s="1" t="str">
        <f t="shared" si="815"/>
        <v>59828</v>
      </c>
      <c r="B4387" s="1" t="s">
        <v>23</v>
      </c>
      <c r="C4387" s="1" t="s">
        <v>24</v>
      </c>
      <c r="D4387" s="1" t="str">
        <f t="shared" si="816"/>
        <v>9801</v>
      </c>
      <c r="E4387" s="1" t="s">
        <v>25</v>
      </c>
      <c r="F4387" s="1" t="str">
        <f>"F27CE6026A880400C834002000000015"</f>
        <v>F27CE6026A880400C834002000000015</v>
      </c>
      <c r="G4387" s="1" t="s">
        <v>74</v>
      </c>
      <c r="H4387" s="1" t="str">
        <f t="shared" si="814"/>
        <v>20220918</v>
      </c>
      <c r="I4387" s="1" t="str">
        <f>"145742"</f>
        <v>145742</v>
      </c>
      <c r="J4387" s="1" t="s">
        <v>52</v>
      </c>
      <c r="K4387" s="1" t="s">
        <v>52</v>
      </c>
      <c r="L4387" s="1" t="str">
        <f t="shared" si="818"/>
        <v>20220918</v>
      </c>
      <c r="M4387" s="1" t="str">
        <f>"150600"</f>
        <v>150600</v>
      </c>
      <c r="N4387" s="1" t="s">
        <v>60</v>
      </c>
      <c r="O4387" s="1" t="s">
        <v>52</v>
      </c>
      <c r="P4387" s="1" t="s">
        <v>68</v>
      </c>
      <c r="Q4387" s="1">
        <v>13</v>
      </c>
      <c r="R4387" s="1">
        <v>0</v>
      </c>
      <c r="S4387" s="1">
        <v>0</v>
      </c>
      <c r="T4387" s="1">
        <v>13</v>
      </c>
      <c r="U4387" s="1">
        <v>0</v>
      </c>
      <c r="V4387" s="1" t="str">
        <f t="shared" si="817"/>
        <v>里程去程</v>
      </c>
      <c r="W4387" s="1" t="str">
        <f>"0020"</f>
        <v>0020</v>
      </c>
      <c r="X4387" s="1" t="s">
        <v>29</v>
      </c>
    </row>
    <row r="4388" spans="1:24" x14ac:dyDescent="0.3">
      <c r="A4388" s="1" t="str">
        <f t="shared" si="815"/>
        <v>59828</v>
      </c>
      <c r="B4388" s="1" t="s">
        <v>23</v>
      </c>
      <c r="C4388" s="1" t="s">
        <v>24</v>
      </c>
      <c r="D4388" s="1" t="str">
        <f t="shared" si="816"/>
        <v>9801</v>
      </c>
      <c r="E4388" s="1" t="s">
        <v>25</v>
      </c>
      <c r="F4388" s="1" t="str">
        <f>"C2F219032A880400C834002000000015"</f>
        <v>C2F219032A880400C834002000000015</v>
      </c>
      <c r="G4388" s="1" t="s">
        <v>26</v>
      </c>
      <c r="H4388" s="1" t="str">
        <f t="shared" si="814"/>
        <v>20220918</v>
      </c>
      <c r="I4388" s="1" t="str">
        <f>"150437"</f>
        <v>150437</v>
      </c>
      <c r="J4388" s="1" t="s">
        <v>86</v>
      </c>
      <c r="K4388" s="1" t="s">
        <v>52</v>
      </c>
      <c r="L4388" s="1" t="str">
        <f t="shared" si="818"/>
        <v>20220918</v>
      </c>
      <c r="M4388" s="1" t="str">
        <f>"150805"</f>
        <v>150805</v>
      </c>
      <c r="N4388" s="1" t="s">
        <v>51</v>
      </c>
      <c r="O4388" s="1" t="s">
        <v>52</v>
      </c>
      <c r="P4388" s="1" t="s">
        <v>68</v>
      </c>
      <c r="Q4388" s="1">
        <v>13</v>
      </c>
      <c r="R4388" s="1">
        <v>0</v>
      </c>
      <c r="S4388" s="1">
        <v>0</v>
      </c>
      <c r="T4388" s="1">
        <v>13</v>
      </c>
      <c r="U4388" s="1">
        <v>0</v>
      </c>
      <c r="V4388" s="1" t="str">
        <f t="shared" si="817"/>
        <v>里程去程</v>
      </c>
      <c r="W4388" s="1" t="str">
        <f>"0020"</f>
        <v>0020</v>
      </c>
      <c r="X4388" s="1" t="s">
        <v>29</v>
      </c>
    </row>
    <row r="4389" spans="1:24" x14ac:dyDescent="0.3">
      <c r="A4389" s="1" t="str">
        <f t="shared" si="815"/>
        <v>59828</v>
      </c>
      <c r="B4389" s="1" t="s">
        <v>23</v>
      </c>
      <c r="C4389" s="1" t="s">
        <v>24</v>
      </c>
      <c r="D4389" s="1" t="str">
        <f t="shared" si="816"/>
        <v>9801</v>
      </c>
      <c r="E4389" s="1" t="s">
        <v>25</v>
      </c>
      <c r="F4389" s="1" t="str">
        <f>"1130610597"</f>
        <v>1130610597</v>
      </c>
      <c r="G4389" s="1" t="s">
        <v>38</v>
      </c>
      <c r="H4389" s="1" t="str">
        <f t="shared" si="814"/>
        <v>20220918</v>
      </c>
      <c r="I4389" s="1" t="str">
        <f>"153524"</f>
        <v>153524</v>
      </c>
      <c r="J4389" s="1" t="s">
        <v>27</v>
      </c>
      <c r="K4389" s="1" t="s">
        <v>28</v>
      </c>
      <c r="L4389" s="1" t="str">
        <f t="shared" si="818"/>
        <v>20220918</v>
      </c>
      <c r="M4389" s="1" t="str">
        <f>"155741"</f>
        <v>155741</v>
      </c>
      <c r="N4389" s="1" t="s">
        <v>44</v>
      </c>
      <c r="O4389" s="1" t="s">
        <v>45</v>
      </c>
      <c r="P4389" s="1" t="s">
        <v>55</v>
      </c>
      <c r="Q4389" s="1">
        <v>25</v>
      </c>
      <c r="R4389" s="1">
        <v>25</v>
      </c>
      <c r="S4389" s="1">
        <v>0</v>
      </c>
      <c r="T4389" s="1">
        <v>0</v>
      </c>
      <c r="U4389" s="1">
        <v>0</v>
      </c>
      <c r="V4389" s="1" t="str">
        <f t="shared" si="817"/>
        <v>里程去程</v>
      </c>
      <c r="W4389" s="1" t="str">
        <f>"0020"</f>
        <v>0020</v>
      </c>
      <c r="X4389" s="1" t="s">
        <v>35</v>
      </c>
    </row>
    <row r="4390" spans="1:24" x14ac:dyDescent="0.3">
      <c r="A4390" s="1" t="str">
        <f t="shared" si="815"/>
        <v>59828</v>
      </c>
      <c r="B4390" s="1" t="s">
        <v>23</v>
      </c>
      <c r="C4390" s="1" t="s">
        <v>24</v>
      </c>
      <c r="D4390" s="1" t="str">
        <f t="shared" si="816"/>
        <v>9801</v>
      </c>
      <c r="E4390" s="1" t="s">
        <v>25</v>
      </c>
      <c r="F4390" s="1" t="str">
        <f>"7511161438009850"</f>
        <v>7511161438009850</v>
      </c>
      <c r="G4390" s="1" t="s">
        <v>33</v>
      </c>
      <c r="H4390" s="1" t="str">
        <f t="shared" si="814"/>
        <v>20220918</v>
      </c>
      <c r="I4390" s="1" t="str">
        <f>"155405"</f>
        <v>155405</v>
      </c>
      <c r="J4390" s="1" t="s">
        <v>100</v>
      </c>
      <c r="K4390" s="1" t="s">
        <v>45</v>
      </c>
      <c r="L4390" s="1" t="str">
        <f t="shared" si="818"/>
        <v>20220918</v>
      </c>
      <c r="M4390" s="1" t="str">
        <f>"155744"</f>
        <v>155744</v>
      </c>
      <c r="N4390" s="1" t="s">
        <v>44</v>
      </c>
      <c r="O4390" s="1" t="s">
        <v>45</v>
      </c>
      <c r="P4390" s="1" t="s">
        <v>55</v>
      </c>
      <c r="Q4390" s="1">
        <v>25</v>
      </c>
      <c r="R4390" s="1">
        <v>25</v>
      </c>
      <c r="S4390" s="1">
        <v>0</v>
      </c>
      <c r="T4390" s="1">
        <v>0</v>
      </c>
      <c r="U4390" s="1">
        <v>0</v>
      </c>
      <c r="V4390" s="1" t="str">
        <f t="shared" si="817"/>
        <v>里程去程</v>
      </c>
      <c r="W4390" s="1" t="str">
        <f>"3B8B"</f>
        <v>3B8B</v>
      </c>
      <c r="X4390" s="1" t="s">
        <v>109</v>
      </c>
    </row>
    <row r="4391" spans="1:24" x14ac:dyDescent="0.3">
      <c r="A4391" s="1" t="str">
        <f t="shared" si="815"/>
        <v>59828</v>
      </c>
      <c r="B4391" s="1" t="s">
        <v>23</v>
      </c>
      <c r="C4391" s="1" t="s">
        <v>24</v>
      </c>
      <c r="D4391" s="1" t="str">
        <f t="shared" si="816"/>
        <v>9801</v>
      </c>
      <c r="E4391" s="1" t="s">
        <v>25</v>
      </c>
      <c r="F4391" s="1" t="str">
        <f>"3921423709"</f>
        <v>3921423709</v>
      </c>
      <c r="G4391" s="1" t="s">
        <v>33</v>
      </c>
      <c r="H4391" s="1" t="str">
        <f t="shared" si="814"/>
        <v>20220918</v>
      </c>
      <c r="I4391" s="1" t="str">
        <f>"162058"</f>
        <v>162058</v>
      </c>
      <c r="J4391" s="1" t="s">
        <v>69</v>
      </c>
      <c r="K4391" s="1" t="s">
        <v>52</v>
      </c>
      <c r="L4391" s="1" t="str">
        <f t="shared" si="818"/>
        <v>20220918</v>
      </c>
      <c r="M4391" s="1" t="str">
        <f>"163151"</f>
        <v>163151</v>
      </c>
      <c r="N4391" s="1" t="s">
        <v>70</v>
      </c>
      <c r="O4391" s="1" t="s">
        <v>28</v>
      </c>
      <c r="P4391" s="1" t="s">
        <v>55</v>
      </c>
      <c r="Q4391" s="1">
        <v>25</v>
      </c>
      <c r="R4391" s="1">
        <v>25</v>
      </c>
      <c r="S4391" s="1">
        <v>0</v>
      </c>
      <c r="T4391" s="1">
        <v>0</v>
      </c>
      <c r="U4391" s="1">
        <v>0</v>
      </c>
      <c r="V4391" s="1" t="str">
        <f t="shared" si="817"/>
        <v>里程去程</v>
      </c>
      <c r="W4391" s="1" t="str">
        <f>"0220"</f>
        <v>0220</v>
      </c>
      <c r="X4391" s="1" t="s">
        <v>35</v>
      </c>
    </row>
    <row r="4392" spans="1:24" x14ac:dyDescent="0.3">
      <c r="A4392" s="1" t="str">
        <f t="shared" si="815"/>
        <v>59828</v>
      </c>
      <c r="B4392" s="1" t="s">
        <v>23</v>
      </c>
      <c r="C4392" s="1" t="s">
        <v>24</v>
      </c>
      <c r="D4392" s="1" t="str">
        <f t="shared" si="816"/>
        <v>9801</v>
      </c>
      <c r="E4392" s="1" t="s">
        <v>25</v>
      </c>
      <c r="F4392" s="1" t="str">
        <f>"1560889679"</f>
        <v>1560889679</v>
      </c>
      <c r="G4392" s="1" t="s">
        <v>33</v>
      </c>
      <c r="H4392" s="1" t="str">
        <f t="shared" si="814"/>
        <v>20220918</v>
      </c>
      <c r="I4392" s="1" t="str">
        <f>"163229"</f>
        <v>163229</v>
      </c>
      <c r="J4392" s="1" t="s">
        <v>27</v>
      </c>
      <c r="K4392" s="1" t="s">
        <v>28</v>
      </c>
      <c r="L4392" s="1" t="str">
        <f t="shared" si="818"/>
        <v>20220918</v>
      </c>
      <c r="M4392" s="1" t="str">
        <f>"170037"</f>
        <v>170037</v>
      </c>
      <c r="N4392" s="1" t="s">
        <v>44</v>
      </c>
      <c r="O4392" s="1" t="s">
        <v>45</v>
      </c>
      <c r="P4392" s="1" t="s">
        <v>55</v>
      </c>
      <c r="Q4392" s="1">
        <v>25</v>
      </c>
      <c r="R4392" s="1">
        <v>25</v>
      </c>
      <c r="S4392" s="1">
        <v>0</v>
      </c>
      <c r="T4392" s="1">
        <v>0</v>
      </c>
      <c r="U4392" s="1">
        <v>0</v>
      </c>
      <c r="V4392" s="1" t="str">
        <f t="shared" si="817"/>
        <v>里程去程</v>
      </c>
      <c r="W4392" s="1" t="str">
        <f>"1420"</f>
        <v>1420</v>
      </c>
      <c r="X4392" s="1" t="s">
        <v>35</v>
      </c>
    </row>
    <row r="4393" spans="1:24" x14ac:dyDescent="0.3">
      <c r="A4393" s="1" t="str">
        <f t="shared" si="815"/>
        <v>59828</v>
      </c>
      <c r="B4393" s="1" t="s">
        <v>23</v>
      </c>
      <c r="C4393" s="1" t="s">
        <v>24</v>
      </c>
      <c r="D4393" s="1" t="str">
        <f t="shared" si="816"/>
        <v>9801</v>
      </c>
      <c r="E4393" s="1" t="s">
        <v>25</v>
      </c>
      <c r="F4393" s="1" t="str">
        <f>"80BA1E5C78880400468F74D84D102411"</f>
        <v>80BA1E5C78880400468F74D84D102411</v>
      </c>
      <c r="G4393" s="1" t="s">
        <v>59</v>
      </c>
      <c r="H4393" s="1" t="str">
        <f t="shared" si="814"/>
        <v>20220918</v>
      </c>
      <c r="I4393" s="1" t="str">
        <f>"163237"</f>
        <v>163237</v>
      </c>
      <c r="J4393" s="1" t="s">
        <v>27</v>
      </c>
      <c r="K4393" s="1" t="s">
        <v>28</v>
      </c>
      <c r="L4393" s="1" t="str">
        <f t="shared" si="818"/>
        <v>20220918</v>
      </c>
      <c r="M4393" s="1" t="str">
        <f>"170048"</f>
        <v>170048</v>
      </c>
      <c r="N4393" s="1" t="s">
        <v>44</v>
      </c>
      <c r="O4393" s="1" t="s">
        <v>45</v>
      </c>
      <c r="P4393" s="1" t="s">
        <v>55</v>
      </c>
      <c r="Q4393" s="1">
        <v>25</v>
      </c>
      <c r="R4393" s="1">
        <v>25</v>
      </c>
      <c r="S4393" s="1">
        <v>0</v>
      </c>
      <c r="T4393" s="1">
        <v>0</v>
      </c>
      <c r="U4393" s="1">
        <v>0</v>
      </c>
      <c r="V4393" s="1" t="str">
        <f t="shared" si="817"/>
        <v>里程去程</v>
      </c>
      <c r="W4393" s="1" t="str">
        <f>"0020"</f>
        <v>0020</v>
      </c>
      <c r="X4393" s="1" t="s">
        <v>29</v>
      </c>
    </row>
    <row r="4394" spans="1:24" x14ac:dyDescent="0.3">
      <c r="A4394" s="1" t="str">
        <f t="shared" si="815"/>
        <v>59828</v>
      </c>
      <c r="B4394" s="1" t="s">
        <v>23</v>
      </c>
      <c r="C4394" s="1" t="s">
        <v>24</v>
      </c>
      <c r="D4394" s="1" t="str">
        <f t="shared" si="816"/>
        <v>9801</v>
      </c>
      <c r="E4394" s="1" t="s">
        <v>25</v>
      </c>
      <c r="F4394" s="1" t="str">
        <f>"120B971B95880400C822002000000021"</f>
        <v>120B971B95880400C822002000000021</v>
      </c>
      <c r="G4394" s="1" t="s">
        <v>58</v>
      </c>
      <c r="H4394" s="1" t="str">
        <f t="shared" si="814"/>
        <v>20220918</v>
      </c>
      <c r="I4394" s="1" t="str">
        <f>"163245"</f>
        <v>163245</v>
      </c>
      <c r="J4394" s="1" t="s">
        <v>27</v>
      </c>
      <c r="K4394" s="1" t="s">
        <v>28</v>
      </c>
      <c r="L4394" s="1" t="str">
        <f t="shared" si="818"/>
        <v>20220918</v>
      </c>
      <c r="M4394" s="1" t="str">
        <f>"164904"</f>
        <v>164904</v>
      </c>
      <c r="N4394" s="1" t="s">
        <v>56</v>
      </c>
      <c r="O4394" s="1" t="s">
        <v>45</v>
      </c>
      <c r="P4394" s="1" t="s">
        <v>55</v>
      </c>
      <c r="Q4394" s="1">
        <v>25</v>
      </c>
      <c r="R4394" s="1">
        <v>25</v>
      </c>
      <c r="S4394" s="1">
        <v>0</v>
      </c>
      <c r="T4394" s="1">
        <v>0</v>
      </c>
      <c r="U4394" s="1">
        <v>0</v>
      </c>
      <c r="V4394" s="1" t="str">
        <f t="shared" si="817"/>
        <v>里程去程</v>
      </c>
      <c r="W4394" s="1" t="str">
        <f>"0020"</f>
        <v>0020</v>
      </c>
      <c r="X4394" s="1" t="s">
        <v>29</v>
      </c>
    </row>
    <row r="4395" spans="1:24" x14ac:dyDescent="0.3">
      <c r="A4395" s="1" t="str">
        <f t="shared" si="815"/>
        <v>59828</v>
      </c>
      <c r="B4395" s="1" t="s">
        <v>23</v>
      </c>
      <c r="C4395" s="1" t="s">
        <v>24</v>
      </c>
      <c r="D4395" s="1" t="str">
        <f t="shared" si="816"/>
        <v>9801</v>
      </c>
      <c r="E4395" s="1" t="s">
        <v>25</v>
      </c>
      <c r="F4395" s="1" t="str">
        <f>"1353927921"</f>
        <v>1353927921</v>
      </c>
      <c r="G4395" s="1" t="s">
        <v>33</v>
      </c>
      <c r="H4395" s="1" t="str">
        <f t="shared" si="814"/>
        <v>20220918</v>
      </c>
      <c r="I4395" s="1" t="str">
        <f>"163249"</f>
        <v>163249</v>
      </c>
      <c r="J4395" s="1" t="s">
        <v>27</v>
      </c>
      <c r="K4395" s="1" t="s">
        <v>28</v>
      </c>
      <c r="L4395" s="1" t="str">
        <f t="shared" si="818"/>
        <v>20220918</v>
      </c>
      <c r="M4395" s="1" t="str">
        <f>"165916"</f>
        <v>165916</v>
      </c>
      <c r="N4395" s="1" t="s">
        <v>44</v>
      </c>
      <c r="O4395" s="1" t="s">
        <v>45</v>
      </c>
      <c r="P4395" s="1" t="s">
        <v>55</v>
      </c>
      <c r="Q4395" s="1">
        <v>25</v>
      </c>
      <c r="R4395" s="1">
        <v>25</v>
      </c>
      <c r="S4395" s="1">
        <v>0</v>
      </c>
      <c r="T4395" s="1">
        <v>0</v>
      </c>
      <c r="U4395" s="1">
        <v>0</v>
      </c>
      <c r="V4395" s="1" t="str">
        <f t="shared" si="817"/>
        <v>里程去程</v>
      </c>
      <c r="W4395" s="1" t="str">
        <f>"2120"</f>
        <v>2120</v>
      </c>
      <c r="X4395" s="1" t="s">
        <v>35</v>
      </c>
    </row>
    <row r="4396" spans="1:24" x14ac:dyDescent="0.3">
      <c r="A4396" s="1" t="str">
        <f t="shared" si="815"/>
        <v>59828</v>
      </c>
      <c r="B4396" s="1" t="s">
        <v>23</v>
      </c>
      <c r="C4396" s="1" t="s">
        <v>24</v>
      </c>
      <c r="D4396" s="1" t="str">
        <f t="shared" si="816"/>
        <v>9801</v>
      </c>
      <c r="E4396" s="1" t="s">
        <v>25</v>
      </c>
      <c r="F4396" s="1" t="str">
        <f>"2697033039"</f>
        <v>2697033039</v>
      </c>
      <c r="G4396" s="1" t="s">
        <v>26</v>
      </c>
      <c r="H4396" s="1" t="str">
        <f t="shared" si="814"/>
        <v>20220918</v>
      </c>
      <c r="I4396" s="1" t="str">
        <f>"164609"</f>
        <v>164609</v>
      </c>
      <c r="J4396" s="1" t="s">
        <v>45</v>
      </c>
      <c r="K4396" s="1" t="s">
        <v>45</v>
      </c>
      <c r="L4396" s="1" t="str">
        <f t="shared" si="818"/>
        <v>20220918</v>
      </c>
      <c r="M4396" s="1" t="str">
        <f>"170100"</f>
        <v>170100</v>
      </c>
      <c r="N4396" s="1" t="s">
        <v>44</v>
      </c>
      <c r="O4396" s="1" t="s">
        <v>45</v>
      </c>
      <c r="P4396" s="1" t="s">
        <v>55</v>
      </c>
      <c r="Q4396" s="1">
        <v>13</v>
      </c>
      <c r="R4396" s="1">
        <v>13</v>
      </c>
      <c r="S4396" s="1">
        <v>0</v>
      </c>
      <c r="T4396" s="1">
        <v>0</v>
      </c>
      <c r="U4396" s="1">
        <v>0</v>
      </c>
      <c r="V4396" s="1" t="str">
        <f t="shared" si="817"/>
        <v>里程去程</v>
      </c>
      <c r="W4396" s="1" t="str">
        <f>"0120"</f>
        <v>0120</v>
      </c>
      <c r="X4396" s="1" t="s">
        <v>35</v>
      </c>
    </row>
    <row r="4397" spans="1:24" x14ac:dyDescent="0.3">
      <c r="A4397" s="1" t="str">
        <f t="shared" si="815"/>
        <v>59828</v>
      </c>
      <c r="B4397" s="1" t="s">
        <v>23</v>
      </c>
      <c r="C4397" s="1" t="s">
        <v>24</v>
      </c>
      <c r="D4397" s="1" t="str">
        <f t="shared" si="816"/>
        <v>9801</v>
      </c>
      <c r="E4397" s="1" t="s">
        <v>25</v>
      </c>
      <c r="F4397" s="1" t="str">
        <f>"224208623"</f>
        <v>224208623</v>
      </c>
      <c r="G4397" s="1" t="s">
        <v>26</v>
      </c>
      <c r="H4397" s="1" t="str">
        <f t="shared" si="814"/>
        <v>20220918</v>
      </c>
      <c r="I4397" s="1" t="str">
        <f>"164612"</f>
        <v>164612</v>
      </c>
      <c r="J4397" s="1" t="s">
        <v>45</v>
      </c>
      <c r="K4397" s="1" t="s">
        <v>45</v>
      </c>
      <c r="L4397" s="1" t="str">
        <f t="shared" si="818"/>
        <v>20220918</v>
      </c>
      <c r="M4397" s="1" t="str">
        <f>"170058"</f>
        <v>170058</v>
      </c>
      <c r="N4397" s="1" t="s">
        <v>44</v>
      </c>
      <c r="O4397" s="1" t="s">
        <v>45</v>
      </c>
      <c r="P4397" s="1" t="s">
        <v>55</v>
      </c>
      <c r="Q4397" s="1">
        <v>13</v>
      </c>
      <c r="R4397" s="1">
        <v>13</v>
      </c>
      <c r="S4397" s="1">
        <v>0</v>
      </c>
      <c r="T4397" s="1">
        <v>0</v>
      </c>
      <c r="U4397" s="1">
        <v>0</v>
      </c>
      <c r="V4397" s="1" t="str">
        <f t="shared" si="817"/>
        <v>里程去程</v>
      </c>
      <c r="W4397" s="1" t="str">
        <f>"0120"</f>
        <v>0120</v>
      </c>
      <c r="X4397" s="1" t="s">
        <v>35</v>
      </c>
    </row>
    <row r="4398" spans="1:24" x14ac:dyDescent="0.3">
      <c r="A4398" s="1" t="str">
        <f t="shared" si="815"/>
        <v>59828</v>
      </c>
      <c r="B4398" s="1" t="s">
        <v>23</v>
      </c>
      <c r="C4398" s="1" t="s">
        <v>24</v>
      </c>
      <c r="D4398" s="1" t="str">
        <f t="shared" si="816"/>
        <v>9801</v>
      </c>
      <c r="E4398" s="1" t="s">
        <v>25</v>
      </c>
      <c r="F4398" s="1" t="str">
        <f>"611749009"</f>
        <v>611749009</v>
      </c>
      <c r="G4398" s="1" t="s">
        <v>33</v>
      </c>
      <c r="H4398" s="1" t="str">
        <f t="shared" si="814"/>
        <v>20220918</v>
      </c>
      <c r="I4398" s="1" t="str">
        <f>"164624"</f>
        <v>164624</v>
      </c>
      <c r="J4398" s="1" t="s">
        <v>45</v>
      </c>
      <c r="K4398" s="1" t="s">
        <v>45</v>
      </c>
      <c r="L4398" s="1" t="str">
        <f t="shared" si="818"/>
        <v>20220918</v>
      </c>
      <c r="M4398" s="1" t="str">
        <f>"170105"</f>
        <v>170105</v>
      </c>
      <c r="N4398" s="1" t="s">
        <v>44</v>
      </c>
      <c r="O4398" s="1" t="s">
        <v>45</v>
      </c>
      <c r="P4398" s="1" t="s">
        <v>55</v>
      </c>
      <c r="Q4398" s="1">
        <v>25</v>
      </c>
      <c r="R4398" s="1">
        <v>25</v>
      </c>
      <c r="S4398" s="1">
        <v>0</v>
      </c>
      <c r="T4398" s="1">
        <v>0</v>
      </c>
      <c r="U4398" s="1">
        <v>0</v>
      </c>
      <c r="V4398" s="1" t="str">
        <f t="shared" si="817"/>
        <v>里程去程</v>
      </c>
      <c r="W4398" s="1" t="str">
        <f>"0120"</f>
        <v>0120</v>
      </c>
      <c r="X4398" s="1" t="s">
        <v>35</v>
      </c>
    </row>
    <row r="4399" spans="1:24" x14ac:dyDescent="0.3">
      <c r="A4399" s="1" t="str">
        <f t="shared" si="815"/>
        <v>59828</v>
      </c>
      <c r="B4399" s="1" t="s">
        <v>23</v>
      </c>
      <c r="C4399" s="1" t="s">
        <v>24</v>
      </c>
      <c r="D4399" s="1" t="str">
        <f t="shared" si="816"/>
        <v>9801</v>
      </c>
      <c r="E4399" s="1" t="s">
        <v>25</v>
      </c>
      <c r="F4399" s="1" t="str">
        <f>"1379682689"</f>
        <v>1379682689</v>
      </c>
      <c r="G4399" s="1" t="s">
        <v>33</v>
      </c>
      <c r="H4399" s="1" t="str">
        <f t="shared" si="814"/>
        <v>20220918</v>
      </c>
      <c r="I4399" s="1" t="str">
        <f>"172907"</f>
        <v>172907</v>
      </c>
      <c r="J4399" s="1" t="s">
        <v>44</v>
      </c>
      <c r="K4399" s="1" t="s">
        <v>45</v>
      </c>
      <c r="L4399" s="1" t="str">
        <f t="shared" si="818"/>
        <v>20220918</v>
      </c>
      <c r="M4399" s="1" t="str">
        <f>"174933"</f>
        <v>174933</v>
      </c>
      <c r="N4399" s="1" t="s">
        <v>28</v>
      </c>
      <c r="O4399" s="1" t="s">
        <v>28</v>
      </c>
      <c r="P4399" s="1" t="s">
        <v>55</v>
      </c>
      <c r="Q4399" s="1">
        <v>25</v>
      </c>
      <c r="R4399" s="1">
        <v>25</v>
      </c>
      <c r="S4399" s="1">
        <v>0</v>
      </c>
      <c r="T4399" s="1">
        <v>0</v>
      </c>
      <c r="U4399" s="1">
        <v>0</v>
      </c>
      <c r="V4399" s="1" t="str">
        <f>"里程返程"</f>
        <v>里程返程</v>
      </c>
      <c r="W4399" s="1" t="str">
        <f>"2020"</f>
        <v>2020</v>
      </c>
      <c r="X4399" s="1" t="s">
        <v>35</v>
      </c>
    </row>
    <row r="4400" spans="1:24" x14ac:dyDescent="0.3">
      <c r="A4400" s="1" t="str">
        <f t="shared" si="815"/>
        <v>59828</v>
      </c>
      <c r="B4400" s="1" t="s">
        <v>23</v>
      </c>
      <c r="C4400" s="1" t="s">
        <v>24</v>
      </c>
      <c r="D4400" s="1" t="str">
        <f t="shared" si="816"/>
        <v>9801</v>
      </c>
      <c r="E4400" s="1" t="s">
        <v>25</v>
      </c>
      <c r="F4400" s="1" t="str">
        <f>"3921423709"</f>
        <v>3921423709</v>
      </c>
      <c r="G4400" s="1" t="s">
        <v>33</v>
      </c>
      <c r="H4400" s="1" t="str">
        <f t="shared" si="814"/>
        <v>20220918</v>
      </c>
      <c r="I4400" s="1" t="str">
        <f>"175049"</f>
        <v>175049</v>
      </c>
      <c r="J4400" s="1" t="s">
        <v>28</v>
      </c>
      <c r="K4400" s="1" t="s">
        <v>28</v>
      </c>
      <c r="L4400" s="1" t="str">
        <f t="shared" si="818"/>
        <v>20220918</v>
      </c>
      <c r="M4400" s="1" t="str">
        <f>"180904"</f>
        <v>180904</v>
      </c>
      <c r="N4400" s="1" t="s">
        <v>77</v>
      </c>
      <c r="O4400" s="1" t="s">
        <v>52</v>
      </c>
      <c r="P4400" s="1" t="s">
        <v>55</v>
      </c>
      <c r="Q4400" s="1">
        <v>25</v>
      </c>
      <c r="R4400" s="1">
        <v>25</v>
      </c>
      <c r="S4400" s="1">
        <v>0</v>
      </c>
      <c r="T4400" s="1">
        <v>0</v>
      </c>
      <c r="U4400" s="1">
        <v>0</v>
      </c>
      <c r="V4400" s="1" t="str">
        <f>"里程返程"</f>
        <v>里程返程</v>
      </c>
      <c r="W4400" s="1" t="str">
        <f>"2020"</f>
        <v>2020</v>
      </c>
      <c r="X4400" s="1" t="s">
        <v>35</v>
      </c>
    </row>
    <row r="4401" spans="1:24" x14ac:dyDescent="0.3">
      <c r="A4401" s="1" t="str">
        <f t="shared" si="815"/>
        <v>59828</v>
      </c>
      <c r="B4401" s="1" t="s">
        <v>23</v>
      </c>
      <c r="C4401" s="1" t="s">
        <v>24</v>
      </c>
      <c r="D4401" s="1" t="str">
        <f t="shared" si="816"/>
        <v>9801</v>
      </c>
      <c r="E4401" s="1" t="s">
        <v>25</v>
      </c>
      <c r="F4401" s="1" t="str">
        <f>"4251460257880400C821002000000015"</f>
        <v>4251460257880400C821002000000015</v>
      </c>
      <c r="G4401" s="1" t="s">
        <v>26</v>
      </c>
      <c r="H4401" s="1" t="str">
        <f t="shared" si="814"/>
        <v>20220918</v>
      </c>
      <c r="I4401" s="1" t="str">
        <f>"180647"</f>
        <v>180647</v>
      </c>
      <c r="J4401" s="1" t="s">
        <v>69</v>
      </c>
      <c r="K4401" s="1" t="s">
        <v>52</v>
      </c>
      <c r="L4401" s="1" t="str">
        <f t="shared" si="818"/>
        <v>20220918</v>
      </c>
      <c r="M4401" s="1" t="str">
        <f>"181548"</f>
        <v>181548</v>
      </c>
      <c r="N4401" s="1" t="s">
        <v>65</v>
      </c>
      <c r="O4401" s="1" t="s">
        <v>52</v>
      </c>
      <c r="P4401" s="1" t="s">
        <v>68</v>
      </c>
      <c r="Q4401" s="1">
        <v>13</v>
      </c>
      <c r="R4401" s="1">
        <v>0</v>
      </c>
      <c r="S4401" s="1">
        <v>0</v>
      </c>
      <c r="T4401" s="1">
        <v>13</v>
      </c>
      <c r="U4401" s="1">
        <v>0</v>
      </c>
      <c r="V4401" s="1" t="str">
        <f>"里程返程"</f>
        <v>里程返程</v>
      </c>
      <c r="W4401" s="1" t="str">
        <f>"0020"</f>
        <v>0020</v>
      </c>
      <c r="X4401" s="1" t="s">
        <v>29</v>
      </c>
    </row>
    <row r="4402" spans="1:24" x14ac:dyDescent="0.3">
      <c r="A4402" s="1" t="str">
        <f t="shared" si="815"/>
        <v>59828</v>
      </c>
      <c r="B4402" s="1" t="s">
        <v>23</v>
      </c>
      <c r="C4402" s="1" t="s">
        <v>24</v>
      </c>
      <c r="D4402" s="1" t="str">
        <f t="shared" si="816"/>
        <v>9801</v>
      </c>
      <c r="E4402" s="1" t="s">
        <v>25</v>
      </c>
      <c r="F4402" s="1" t="str">
        <f>"5C98FF7C478804004751861865104907"</f>
        <v>5C98FF7C478804004751861865104907</v>
      </c>
      <c r="G4402" s="1" t="s">
        <v>82</v>
      </c>
      <c r="H4402" s="1" t="str">
        <f t="shared" si="814"/>
        <v>20220918</v>
      </c>
      <c r="I4402" s="1" t="str">
        <f>"203247"</f>
        <v>203247</v>
      </c>
      <c r="J4402" s="1" t="s">
        <v>27</v>
      </c>
      <c r="K4402" s="1" t="s">
        <v>28</v>
      </c>
      <c r="L4402" s="1" t="str">
        <f t="shared" si="818"/>
        <v>20220918</v>
      </c>
      <c r="M4402" s="1" t="str">
        <f>"205609"</f>
        <v>205609</v>
      </c>
      <c r="N4402" s="1" t="s">
        <v>44</v>
      </c>
      <c r="O4402" s="1" t="s">
        <v>45</v>
      </c>
      <c r="P4402" s="1" t="s">
        <v>55</v>
      </c>
      <c r="Q4402" s="1">
        <v>13</v>
      </c>
      <c r="R4402" s="1">
        <v>0</v>
      </c>
      <c r="S4402" s="1">
        <v>13</v>
      </c>
      <c r="T4402" s="1">
        <v>0</v>
      </c>
      <c r="U4402" s="1">
        <v>0</v>
      </c>
      <c r="V4402" s="1" t="str">
        <f>"里程去程"</f>
        <v>里程去程</v>
      </c>
      <c r="W4402" s="1" t="str">
        <f>"0620"</f>
        <v>0620</v>
      </c>
      <c r="X4402" s="1" t="s">
        <v>29</v>
      </c>
    </row>
    <row r="4403" spans="1:24" x14ac:dyDescent="0.3">
      <c r="A4403" s="1" t="str">
        <f t="shared" si="815"/>
        <v>59828</v>
      </c>
      <c r="B4403" s="1" t="s">
        <v>23</v>
      </c>
      <c r="C4403" s="1" t="s">
        <v>24</v>
      </c>
      <c r="D4403" s="1" t="str">
        <f t="shared" ref="D4403:D4410" si="819">"9805"</f>
        <v>9805</v>
      </c>
      <c r="E4403" s="1" t="s">
        <v>57</v>
      </c>
      <c r="F4403" s="1" t="str">
        <f>"4069650798"</f>
        <v>4069650798</v>
      </c>
      <c r="G4403" s="1" t="s">
        <v>33</v>
      </c>
      <c r="H4403" s="1" t="str">
        <f t="shared" si="814"/>
        <v>20220918</v>
      </c>
      <c r="I4403" s="1" t="str">
        <f>"205729"</f>
        <v>205729</v>
      </c>
      <c r="J4403" s="1" t="s">
        <v>52</v>
      </c>
      <c r="K4403" s="1" t="s">
        <v>52</v>
      </c>
      <c r="L4403" s="1" t="str">
        <f t="shared" si="818"/>
        <v>20220918</v>
      </c>
      <c r="M4403" s="1" t="str">
        <f>"211829"</f>
        <v>211829</v>
      </c>
      <c r="N4403" s="1" t="s">
        <v>28</v>
      </c>
      <c r="O4403" s="1" t="s">
        <v>28</v>
      </c>
      <c r="P4403" s="1" t="s">
        <v>55</v>
      </c>
      <c r="Q4403" s="1">
        <v>25</v>
      </c>
      <c r="R4403" s="1">
        <v>25</v>
      </c>
      <c r="S4403" s="1">
        <v>0</v>
      </c>
      <c r="T4403" s="1">
        <v>0</v>
      </c>
      <c r="U4403" s="1">
        <v>0</v>
      </c>
      <c r="V4403" s="1" t="str">
        <f>"里程返程"</f>
        <v>里程返程</v>
      </c>
      <c r="W4403" s="1" t="str">
        <f>"0120"</f>
        <v>0120</v>
      </c>
      <c r="X4403" s="1" t="s">
        <v>35</v>
      </c>
    </row>
    <row r="4404" spans="1:24" x14ac:dyDescent="0.3">
      <c r="A4404" s="1" t="str">
        <f t="shared" si="815"/>
        <v>59828</v>
      </c>
      <c r="B4404" s="1" t="s">
        <v>23</v>
      </c>
      <c r="C4404" s="1" t="s">
        <v>24</v>
      </c>
      <c r="D4404" s="1" t="str">
        <f t="shared" si="819"/>
        <v>9805</v>
      </c>
      <c r="E4404" s="1" t="s">
        <v>57</v>
      </c>
      <c r="F4404" s="1" t="str">
        <f>"1622632394"</f>
        <v>1622632394</v>
      </c>
      <c r="G4404" s="1" t="s">
        <v>33</v>
      </c>
      <c r="H4404" s="1" t="str">
        <f t="shared" si="814"/>
        <v>20220918</v>
      </c>
      <c r="I4404" s="1" t="str">
        <f>"205745"</f>
        <v>205745</v>
      </c>
      <c r="J4404" s="1" t="s">
        <v>52</v>
      </c>
      <c r="K4404" s="1" t="s">
        <v>52</v>
      </c>
      <c r="L4404" s="1" t="str">
        <f t="shared" si="818"/>
        <v>20220918</v>
      </c>
      <c r="M4404" s="1" t="str">
        <f>"211824"</f>
        <v>211824</v>
      </c>
      <c r="N4404" s="1" t="s">
        <v>28</v>
      </c>
      <c r="O4404" s="1" t="s">
        <v>28</v>
      </c>
      <c r="P4404" s="1" t="s">
        <v>55</v>
      </c>
      <c r="Q4404" s="1">
        <v>25</v>
      </c>
      <c r="R4404" s="1">
        <v>25</v>
      </c>
      <c r="S4404" s="1">
        <v>0</v>
      </c>
      <c r="T4404" s="1">
        <v>0</v>
      </c>
      <c r="U4404" s="1">
        <v>0</v>
      </c>
      <c r="V4404" s="1" t="str">
        <f>"里程返程"</f>
        <v>里程返程</v>
      </c>
      <c r="W4404" s="1" t="str">
        <f>"0120"</f>
        <v>0120</v>
      </c>
      <c r="X4404" s="1" t="s">
        <v>35</v>
      </c>
    </row>
    <row r="4405" spans="1:24" x14ac:dyDescent="0.3">
      <c r="A4405" s="1" t="str">
        <f t="shared" si="815"/>
        <v>59828</v>
      </c>
      <c r="B4405" s="1" t="s">
        <v>23</v>
      </c>
      <c r="C4405" s="1" t="s">
        <v>24</v>
      </c>
      <c r="D4405" s="1" t="str">
        <f t="shared" si="819"/>
        <v>9805</v>
      </c>
      <c r="E4405" s="1" t="s">
        <v>57</v>
      </c>
      <c r="F4405" s="1" t="str">
        <f>"1717709472"</f>
        <v>1717709472</v>
      </c>
      <c r="G4405" s="1" t="s">
        <v>33</v>
      </c>
      <c r="H4405" s="1" t="str">
        <f t="shared" si="814"/>
        <v>20220918</v>
      </c>
      <c r="I4405" s="1" t="str">
        <f>"205750"</f>
        <v>205750</v>
      </c>
      <c r="J4405" s="1" t="s">
        <v>52</v>
      </c>
      <c r="K4405" s="1" t="s">
        <v>52</v>
      </c>
      <c r="L4405" s="1" t="str">
        <f t="shared" si="818"/>
        <v>20220918</v>
      </c>
      <c r="M4405" s="1" t="str">
        <f>"211822"</f>
        <v>211822</v>
      </c>
      <c r="N4405" s="1" t="s">
        <v>28</v>
      </c>
      <c r="O4405" s="1" t="s">
        <v>28</v>
      </c>
      <c r="P4405" s="1" t="s">
        <v>55</v>
      </c>
      <c r="Q4405" s="1">
        <v>25</v>
      </c>
      <c r="R4405" s="1">
        <v>25</v>
      </c>
      <c r="S4405" s="1">
        <v>0</v>
      </c>
      <c r="T4405" s="1">
        <v>0</v>
      </c>
      <c r="U4405" s="1">
        <v>0</v>
      </c>
      <c r="V4405" s="1" t="str">
        <f>"里程返程"</f>
        <v>里程返程</v>
      </c>
      <c r="W4405" s="1" t="str">
        <f>"0120"</f>
        <v>0120</v>
      </c>
      <c r="X4405" s="1" t="s">
        <v>35</v>
      </c>
    </row>
    <row r="4406" spans="1:24" x14ac:dyDescent="0.3">
      <c r="A4406" s="1" t="str">
        <f t="shared" si="815"/>
        <v>59828</v>
      </c>
      <c r="B4406" s="1" t="s">
        <v>23</v>
      </c>
      <c r="C4406" s="1" t="s">
        <v>24</v>
      </c>
      <c r="D4406" s="1" t="str">
        <f t="shared" si="819"/>
        <v>9805</v>
      </c>
      <c r="E4406" s="1" t="s">
        <v>57</v>
      </c>
      <c r="F4406" s="1" t="str">
        <f>"B1E6C93AA4280400F700000000000000"</f>
        <v>B1E6C93AA4280400F700000000000000</v>
      </c>
      <c r="G4406" s="1" t="s">
        <v>58</v>
      </c>
      <c r="H4406" s="1" t="str">
        <f t="shared" si="814"/>
        <v>20220918</v>
      </c>
      <c r="I4406" s="1" t="str">
        <f>"211912"</f>
        <v>211912</v>
      </c>
      <c r="J4406" s="1" t="s">
        <v>28</v>
      </c>
      <c r="K4406" s="1" t="s">
        <v>28</v>
      </c>
      <c r="L4406" s="1" t="str">
        <f t="shared" si="818"/>
        <v>20220918</v>
      </c>
      <c r="M4406" s="1" t="str">
        <f>"213502"</f>
        <v>213502</v>
      </c>
      <c r="N4406" s="1" t="s">
        <v>62</v>
      </c>
      <c r="O4406" s="1" t="s">
        <v>28</v>
      </c>
      <c r="P4406" s="1" t="s">
        <v>55</v>
      </c>
      <c r="Q4406" s="1">
        <v>25</v>
      </c>
      <c r="R4406" s="1">
        <v>0</v>
      </c>
      <c r="S4406" s="1">
        <v>25</v>
      </c>
      <c r="T4406" s="1">
        <v>0</v>
      </c>
      <c r="U4406" s="1">
        <v>0</v>
      </c>
      <c r="V4406" s="1" t="str">
        <f>"里程去程"</f>
        <v>里程去程</v>
      </c>
      <c r="W4406" s="1" t="str">
        <f>"0620"</f>
        <v>0620</v>
      </c>
      <c r="X4406" s="1" t="s">
        <v>29</v>
      </c>
    </row>
    <row r="4407" spans="1:24" x14ac:dyDescent="0.3">
      <c r="A4407" s="1" t="str">
        <f t="shared" si="815"/>
        <v>59828</v>
      </c>
      <c r="B4407" s="1" t="s">
        <v>23</v>
      </c>
      <c r="C4407" s="1" t="s">
        <v>24</v>
      </c>
      <c r="D4407" s="1" t="str">
        <f t="shared" si="819"/>
        <v>9805</v>
      </c>
      <c r="E4407" s="1" t="s">
        <v>57</v>
      </c>
      <c r="F4407" s="1" t="str">
        <f>"734641205"</f>
        <v>734641205</v>
      </c>
      <c r="G4407" s="1" t="s">
        <v>33</v>
      </c>
      <c r="H4407" s="1" t="str">
        <f t="shared" si="814"/>
        <v>20220918</v>
      </c>
      <c r="I4407" s="1" t="str">
        <f>"211928"</f>
        <v>211928</v>
      </c>
      <c r="J4407" s="1" t="s">
        <v>28</v>
      </c>
      <c r="K4407" s="1" t="s">
        <v>28</v>
      </c>
      <c r="L4407" s="1" t="str">
        <f t="shared" si="818"/>
        <v>20220918</v>
      </c>
      <c r="M4407" s="1" t="str">
        <f>"213250"</f>
        <v>213250</v>
      </c>
      <c r="N4407" s="1" t="s">
        <v>56</v>
      </c>
      <c r="O4407" s="1" t="s">
        <v>28</v>
      </c>
      <c r="P4407" s="1" t="s">
        <v>55</v>
      </c>
      <c r="Q4407" s="1">
        <v>25</v>
      </c>
      <c r="R4407" s="1">
        <v>0</v>
      </c>
      <c r="S4407" s="1">
        <v>25</v>
      </c>
      <c r="T4407" s="1">
        <v>0</v>
      </c>
      <c r="U4407" s="1">
        <v>0</v>
      </c>
      <c r="V4407" s="1" t="str">
        <f>"里程去程"</f>
        <v>里程去程</v>
      </c>
      <c r="W4407" s="1" t="str">
        <f>"0820"</f>
        <v>0820</v>
      </c>
      <c r="X4407" s="1" t="s">
        <v>35</v>
      </c>
    </row>
    <row r="4408" spans="1:24" x14ac:dyDescent="0.3">
      <c r="A4408" s="1" t="str">
        <f t="shared" si="815"/>
        <v>59828</v>
      </c>
      <c r="B4408" s="1" t="s">
        <v>23</v>
      </c>
      <c r="C4408" s="1" t="s">
        <v>24</v>
      </c>
      <c r="D4408" s="1" t="str">
        <f t="shared" si="819"/>
        <v>9805</v>
      </c>
      <c r="E4408" s="1" t="s">
        <v>57</v>
      </c>
      <c r="F4408" s="1" t="str">
        <f>"527287841"</f>
        <v>527287841</v>
      </c>
      <c r="G4408" s="1" t="s">
        <v>33</v>
      </c>
      <c r="H4408" s="1" t="str">
        <f t="shared" si="814"/>
        <v>20220918</v>
      </c>
      <c r="I4408" s="1" t="str">
        <f>"211943"</f>
        <v>211943</v>
      </c>
      <c r="J4408" s="1" t="s">
        <v>28</v>
      </c>
      <c r="K4408" s="1" t="s">
        <v>28</v>
      </c>
      <c r="L4408" s="1" t="str">
        <f t="shared" si="818"/>
        <v>20220918</v>
      </c>
      <c r="M4408" s="1" t="str">
        <f>"213554"</f>
        <v>213554</v>
      </c>
      <c r="N4408" s="1" t="s">
        <v>52</v>
      </c>
      <c r="O4408" s="1" t="s">
        <v>52</v>
      </c>
      <c r="P4408" s="1" t="s">
        <v>55</v>
      </c>
      <c r="Q4408" s="1">
        <v>25</v>
      </c>
      <c r="R4408" s="1">
        <v>25</v>
      </c>
      <c r="S4408" s="1">
        <v>0</v>
      </c>
      <c r="T4408" s="1">
        <v>0</v>
      </c>
      <c r="U4408" s="1">
        <v>0</v>
      </c>
      <c r="V4408" s="1" t="str">
        <f>"里程去程"</f>
        <v>里程去程</v>
      </c>
      <c r="W4408" s="1" t="str">
        <f>"0220"</f>
        <v>0220</v>
      </c>
      <c r="X4408" s="1" t="s">
        <v>35</v>
      </c>
    </row>
    <row r="4409" spans="1:24" x14ac:dyDescent="0.3">
      <c r="A4409" s="1" t="str">
        <f t="shared" si="815"/>
        <v>59828</v>
      </c>
      <c r="B4409" s="1" t="s">
        <v>23</v>
      </c>
      <c r="C4409" s="1" t="s">
        <v>24</v>
      </c>
      <c r="D4409" s="1" t="str">
        <f t="shared" si="819"/>
        <v>9805</v>
      </c>
      <c r="E4409" s="1" t="s">
        <v>57</v>
      </c>
      <c r="F4409" s="1" t="str">
        <f>"4069788066"</f>
        <v>4069788066</v>
      </c>
      <c r="G4409" s="1" t="s">
        <v>33</v>
      </c>
      <c r="H4409" s="1" t="str">
        <f t="shared" si="814"/>
        <v>20220918</v>
      </c>
      <c r="I4409" s="1" t="str">
        <f>"211957"</f>
        <v>211957</v>
      </c>
      <c r="J4409" s="1" t="s">
        <v>28</v>
      </c>
      <c r="K4409" s="1" t="s">
        <v>28</v>
      </c>
      <c r="L4409" s="1" t="str">
        <f t="shared" si="818"/>
        <v>20220918</v>
      </c>
      <c r="M4409" s="1" t="str">
        <f>"213600"</f>
        <v>213600</v>
      </c>
      <c r="N4409" s="1" t="s">
        <v>52</v>
      </c>
      <c r="O4409" s="1" t="s">
        <v>52</v>
      </c>
      <c r="P4409" s="1" t="s">
        <v>55</v>
      </c>
      <c r="Q4409" s="1">
        <v>25</v>
      </c>
      <c r="R4409" s="1">
        <v>25</v>
      </c>
      <c r="S4409" s="1">
        <v>0</v>
      </c>
      <c r="T4409" s="1">
        <v>0</v>
      </c>
      <c r="U4409" s="1">
        <v>0</v>
      </c>
      <c r="V4409" s="1" t="str">
        <f>"里程去程"</f>
        <v>里程去程</v>
      </c>
      <c r="W4409" s="1" t="str">
        <f>"0220"</f>
        <v>0220</v>
      </c>
      <c r="X4409" s="1" t="s">
        <v>35</v>
      </c>
    </row>
    <row r="4410" spans="1:24" x14ac:dyDescent="0.3">
      <c r="A4410" s="1" t="str">
        <f t="shared" si="815"/>
        <v>59828</v>
      </c>
      <c r="B4410" s="1" t="s">
        <v>23</v>
      </c>
      <c r="C4410" s="1" t="s">
        <v>24</v>
      </c>
      <c r="D4410" s="1" t="str">
        <f t="shared" si="819"/>
        <v>9805</v>
      </c>
      <c r="E4410" s="1" t="s">
        <v>57</v>
      </c>
      <c r="F4410" s="1" t="str">
        <f>"1129190405"</f>
        <v>1129190405</v>
      </c>
      <c r="G4410" s="1" t="s">
        <v>33</v>
      </c>
      <c r="H4410" s="1" t="str">
        <f t="shared" si="814"/>
        <v>20220918</v>
      </c>
      <c r="I4410" s="1" t="str">
        <f>"214642"</f>
        <v>214642</v>
      </c>
      <c r="J4410" s="1" t="s">
        <v>94</v>
      </c>
      <c r="K4410" s="1" t="s">
        <v>28</v>
      </c>
      <c r="L4410" s="1" t="str">
        <f t="shared" si="818"/>
        <v>20220918</v>
      </c>
      <c r="M4410" s="1" t="str">
        <f>"215725"</f>
        <v>215725</v>
      </c>
      <c r="N4410" s="1" t="s">
        <v>28</v>
      </c>
      <c r="O4410" s="1" t="s">
        <v>28</v>
      </c>
      <c r="P4410" s="1" t="s">
        <v>55</v>
      </c>
      <c r="Q4410" s="1">
        <v>25</v>
      </c>
      <c r="R4410" s="1">
        <v>25</v>
      </c>
      <c r="S4410" s="1">
        <v>0</v>
      </c>
      <c r="T4410" s="1">
        <v>0</v>
      </c>
      <c r="U4410" s="1">
        <v>0</v>
      </c>
      <c r="V4410" s="1" t="str">
        <f t="shared" ref="V4410:V4416" si="820">"里程返程"</f>
        <v>里程返程</v>
      </c>
      <c r="W4410" s="1" t="str">
        <f>"2020"</f>
        <v>2020</v>
      </c>
      <c r="X4410" s="1" t="s">
        <v>35</v>
      </c>
    </row>
    <row r="4411" spans="1:24" x14ac:dyDescent="0.3">
      <c r="A4411" s="1" t="str">
        <f t="shared" ref="A4411:A4437" si="821">"59809"</f>
        <v>59809</v>
      </c>
      <c r="B4411" s="1" t="s">
        <v>42</v>
      </c>
      <c r="C4411" s="1" t="s">
        <v>43</v>
      </c>
      <c r="D4411" s="1" t="str">
        <f t="shared" ref="D4411:D4437" si="822">"9801"</f>
        <v>9801</v>
      </c>
      <c r="E4411" s="1" t="s">
        <v>25</v>
      </c>
      <c r="F4411" s="1" t="str">
        <f>"5C98FF7C478804004751861865104907"</f>
        <v>5C98FF7C478804004751861865104907</v>
      </c>
      <c r="G4411" s="1" t="s">
        <v>82</v>
      </c>
      <c r="H4411" s="1" t="str">
        <f t="shared" ref="H4411:H4442" si="823">"20220919"</f>
        <v>20220919</v>
      </c>
      <c r="I4411" s="1" t="str">
        <f>"055218"</f>
        <v>055218</v>
      </c>
      <c r="J4411" s="1" t="s">
        <v>44</v>
      </c>
      <c r="K4411" s="1" t="s">
        <v>45</v>
      </c>
      <c r="L4411" s="1" t="str">
        <f t="shared" ref="L4411:L4442" si="824">"20220919"</f>
        <v>20220919</v>
      </c>
      <c r="M4411" s="1" t="str">
        <f>"061632"</f>
        <v>061632</v>
      </c>
      <c r="N4411" s="1" t="s">
        <v>28</v>
      </c>
      <c r="O4411" s="1" t="s">
        <v>28</v>
      </c>
      <c r="P4411" s="1" t="s">
        <v>55</v>
      </c>
      <c r="Q4411" s="1">
        <v>13</v>
      </c>
      <c r="R4411" s="1">
        <v>13</v>
      </c>
      <c r="S4411" s="1">
        <v>0</v>
      </c>
      <c r="T4411" s="1">
        <v>0</v>
      </c>
      <c r="U4411" s="1">
        <v>0</v>
      </c>
      <c r="V4411" s="1" t="str">
        <f t="shared" si="820"/>
        <v>里程返程</v>
      </c>
      <c r="W4411" s="1" t="str">
        <f>"0020"</f>
        <v>0020</v>
      </c>
      <c r="X4411" s="1" t="s">
        <v>29</v>
      </c>
    </row>
    <row r="4412" spans="1:24" x14ac:dyDescent="0.3">
      <c r="A4412" s="1" t="str">
        <f t="shared" si="821"/>
        <v>59809</v>
      </c>
      <c r="B4412" s="1" t="s">
        <v>42</v>
      </c>
      <c r="C4412" s="1" t="s">
        <v>43</v>
      </c>
      <c r="D4412" s="1" t="str">
        <f t="shared" si="822"/>
        <v>9801</v>
      </c>
      <c r="E4412" s="1" t="s">
        <v>25</v>
      </c>
      <c r="F4412" s="1" t="str">
        <f>"FE4816369688040047C13517C9002508"</f>
        <v>FE4816369688040047C13517C9002508</v>
      </c>
      <c r="G4412" s="1" t="s">
        <v>58</v>
      </c>
      <c r="H4412" s="1" t="str">
        <f t="shared" si="823"/>
        <v>20220919</v>
      </c>
      <c r="I4412" s="1" t="str">
        <f>"070019"</f>
        <v>070019</v>
      </c>
      <c r="J4412" s="1" t="s">
        <v>44</v>
      </c>
      <c r="K4412" s="1" t="s">
        <v>45</v>
      </c>
      <c r="L4412" s="1" t="str">
        <f t="shared" si="824"/>
        <v>20220919</v>
      </c>
      <c r="M4412" s="1" t="str">
        <f>"071859"</f>
        <v>071859</v>
      </c>
      <c r="N4412" s="1" t="s">
        <v>28</v>
      </c>
      <c r="O4412" s="1" t="s">
        <v>28</v>
      </c>
      <c r="P4412" s="1" t="s">
        <v>55</v>
      </c>
      <c r="Q4412" s="1">
        <v>25</v>
      </c>
      <c r="R4412" s="1">
        <v>25</v>
      </c>
      <c r="S4412" s="1">
        <v>0</v>
      </c>
      <c r="T4412" s="1">
        <v>0</v>
      </c>
      <c r="U4412" s="1">
        <v>0</v>
      </c>
      <c r="V4412" s="1" t="str">
        <f t="shared" si="820"/>
        <v>里程返程</v>
      </c>
      <c r="W4412" s="1" t="str">
        <f>"0020"</f>
        <v>0020</v>
      </c>
      <c r="X4412" s="1" t="s">
        <v>29</v>
      </c>
    </row>
    <row r="4413" spans="1:24" x14ac:dyDescent="0.3">
      <c r="A4413" s="1" t="str">
        <f t="shared" si="821"/>
        <v>59809</v>
      </c>
      <c r="B4413" s="1" t="s">
        <v>42</v>
      </c>
      <c r="C4413" s="1" t="s">
        <v>43</v>
      </c>
      <c r="D4413" s="1" t="str">
        <f t="shared" si="822"/>
        <v>9801</v>
      </c>
      <c r="E4413" s="1" t="s">
        <v>25</v>
      </c>
      <c r="F4413" s="1" t="str">
        <f>"72BFE5022A880400C834002000000015"</f>
        <v>72BFE5022A880400C834002000000015</v>
      </c>
      <c r="G4413" s="1" t="s">
        <v>26</v>
      </c>
      <c r="H4413" s="1" t="str">
        <f t="shared" si="823"/>
        <v>20220919</v>
      </c>
      <c r="I4413" s="1" t="str">
        <f>"070755"</f>
        <v>070755</v>
      </c>
      <c r="J4413" s="1" t="s">
        <v>56</v>
      </c>
      <c r="K4413" s="1" t="s">
        <v>45</v>
      </c>
      <c r="L4413" s="1" t="str">
        <f t="shared" si="824"/>
        <v>20220919</v>
      </c>
      <c r="M4413" s="1" t="str">
        <f>"071853"</f>
        <v>071853</v>
      </c>
      <c r="N4413" s="1" t="s">
        <v>28</v>
      </c>
      <c r="O4413" s="1" t="s">
        <v>28</v>
      </c>
      <c r="P4413" s="1" t="s">
        <v>68</v>
      </c>
      <c r="Q4413" s="1">
        <v>13</v>
      </c>
      <c r="R4413" s="1">
        <v>0</v>
      </c>
      <c r="S4413" s="1">
        <v>0</v>
      </c>
      <c r="T4413" s="1">
        <v>13</v>
      </c>
      <c r="U4413" s="1">
        <v>0</v>
      </c>
      <c r="V4413" s="1" t="str">
        <f t="shared" si="820"/>
        <v>里程返程</v>
      </c>
      <c r="W4413" s="1" t="str">
        <f>"0020"</f>
        <v>0020</v>
      </c>
      <c r="X4413" s="1" t="s">
        <v>29</v>
      </c>
    </row>
    <row r="4414" spans="1:24" x14ac:dyDescent="0.3">
      <c r="A4414" s="1" t="str">
        <f t="shared" si="821"/>
        <v>59809</v>
      </c>
      <c r="B4414" s="1" t="s">
        <v>42</v>
      </c>
      <c r="C4414" s="1" t="s">
        <v>43</v>
      </c>
      <c r="D4414" s="1" t="str">
        <f t="shared" si="822"/>
        <v>9801</v>
      </c>
      <c r="E4414" s="1" t="s">
        <v>25</v>
      </c>
      <c r="F4414" s="1" t="str">
        <f>"895868389"</f>
        <v>895868389</v>
      </c>
      <c r="G4414" s="1" t="s">
        <v>33</v>
      </c>
      <c r="H4414" s="1" t="str">
        <f t="shared" si="823"/>
        <v>20220919</v>
      </c>
      <c r="I4414" s="1" t="str">
        <f>"070759"</f>
        <v>070759</v>
      </c>
      <c r="J4414" s="1" t="s">
        <v>56</v>
      </c>
      <c r="K4414" s="1" t="s">
        <v>45</v>
      </c>
      <c r="L4414" s="1" t="str">
        <f t="shared" si="824"/>
        <v>20220919</v>
      </c>
      <c r="M4414" s="1" t="str">
        <f>"071126"</f>
        <v>071126</v>
      </c>
      <c r="N4414" s="1" t="s">
        <v>79</v>
      </c>
      <c r="O4414" s="1" t="s">
        <v>45</v>
      </c>
      <c r="P4414" s="1" t="s">
        <v>55</v>
      </c>
      <c r="Q4414" s="1">
        <v>25</v>
      </c>
      <c r="R4414" s="1">
        <v>25</v>
      </c>
      <c r="S4414" s="1">
        <v>0</v>
      </c>
      <c r="T4414" s="1">
        <v>0</v>
      </c>
      <c r="U4414" s="1">
        <v>0</v>
      </c>
      <c r="V4414" s="1" t="str">
        <f t="shared" si="820"/>
        <v>里程返程</v>
      </c>
      <c r="W4414" s="1" t="str">
        <f>"0320"</f>
        <v>0320</v>
      </c>
      <c r="X4414" s="1" t="s">
        <v>35</v>
      </c>
    </row>
    <row r="4415" spans="1:24" x14ac:dyDescent="0.3">
      <c r="A4415" s="1" t="str">
        <f t="shared" si="821"/>
        <v>59809</v>
      </c>
      <c r="B4415" s="1" t="s">
        <v>42</v>
      </c>
      <c r="C4415" s="1" t="s">
        <v>43</v>
      </c>
      <c r="D4415" s="1" t="str">
        <f t="shared" si="822"/>
        <v>9801</v>
      </c>
      <c r="E4415" s="1" t="s">
        <v>25</v>
      </c>
      <c r="F4415" s="1" t="str">
        <f>"32780D0344880400C834002000000015"</f>
        <v>32780D0344880400C834002000000015</v>
      </c>
      <c r="G4415" s="1" t="s">
        <v>26</v>
      </c>
      <c r="H4415" s="1" t="str">
        <f t="shared" si="823"/>
        <v>20220919</v>
      </c>
      <c r="I4415" s="1" t="str">
        <f>"072821"</f>
        <v>072821</v>
      </c>
      <c r="J4415" s="1" t="s">
        <v>41</v>
      </c>
      <c r="K4415" s="1" t="s">
        <v>28</v>
      </c>
      <c r="L4415" s="1" t="str">
        <f t="shared" si="824"/>
        <v>20220919</v>
      </c>
      <c r="M4415" s="1" t="str">
        <f>"074431"</f>
        <v>074431</v>
      </c>
      <c r="N4415" s="1" t="s">
        <v>65</v>
      </c>
      <c r="O4415" s="1" t="s">
        <v>52</v>
      </c>
      <c r="P4415" s="1" t="s">
        <v>68</v>
      </c>
      <c r="Q4415" s="1">
        <v>13</v>
      </c>
      <c r="R4415" s="1">
        <v>0</v>
      </c>
      <c r="S4415" s="1">
        <v>0</v>
      </c>
      <c r="T4415" s="1">
        <v>13</v>
      </c>
      <c r="U4415" s="1">
        <v>0</v>
      </c>
      <c r="V4415" s="1" t="str">
        <f t="shared" si="820"/>
        <v>里程返程</v>
      </c>
      <c r="W4415" s="1" t="str">
        <f>"0020"</f>
        <v>0020</v>
      </c>
      <c r="X4415" s="1" t="s">
        <v>29</v>
      </c>
    </row>
    <row r="4416" spans="1:24" x14ac:dyDescent="0.3">
      <c r="A4416" s="1" t="str">
        <f t="shared" si="821"/>
        <v>59809</v>
      </c>
      <c r="B4416" s="1" t="s">
        <v>42</v>
      </c>
      <c r="C4416" s="1" t="s">
        <v>43</v>
      </c>
      <c r="D4416" s="1" t="str">
        <f t="shared" si="822"/>
        <v>9801</v>
      </c>
      <c r="E4416" s="1" t="s">
        <v>25</v>
      </c>
      <c r="F4416" s="1" t="str">
        <f>"E24D370A92880400C810002000000016"</f>
        <v>E24D370A92880400C810002000000016</v>
      </c>
      <c r="G4416" s="1" t="s">
        <v>59</v>
      </c>
      <c r="H4416" s="1" t="str">
        <f t="shared" si="823"/>
        <v>20220919</v>
      </c>
      <c r="I4416" s="1" t="str">
        <f>"073904"</f>
        <v>073904</v>
      </c>
      <c r="J4416" s="1" t="s">
        <v>69</v>
      </c>
      <c r="K4416" s="1" t="s">
        <v>52</v>
      </c>
      <c r="L4416" s="1" t="str">
        <f t="shared" si="824"/>
        <v>20220919</v>
      </c>
      <c r="M4416" s="1" t="str">
        <f>"074357"</f>
        <v>074357</v>
      </c>
      <c r="N4416" s="1" t="s">
        <v>65</v>
      </c>
      <c r="O4416" s="1" t="s">
        <v>52</v>
      </c>
      <c r="P4416" s="1" t="s">
        <v>55</v>
      </c>
      <c r="Q4416" s="1">
        <v>25</v>
      </c>
      <c r="R4416" s="1">
        <v>25</v>
      </c>
      <c r="S4416" s="1">
        <v>0</v>
      </c>
      <c r="T4416" s="1">
        <v>0</v>
      </c>
      <c r="U4416" s="1">
        <v>0</v>
      </c>
      <c r="V4416" s="1" t="str">
        <f t="shared" si="820"/>
        <v>里程返程</v>
      </c>
      <c r="W4416" s="1" t="str">
        <f>"0020"</f>
        <v>0020</v>
      </c>
      <c r="X4416" s="1" t="s">
        <v>29</v>
      </c>
    </row>
    <row r="4417" spans="1:24" x14ac:dyDescent="0.3">
      <c r="A4417" s="1" t="str">
        <f t="shared" si="821"/>
        <v>59809</v>
      </c>
      <c r="B4417" s="1" t="s">
        <v>42</v>
      </c>
      <c r="C4417" s="1" t="s">
        <v>43</v>
      </c>
      <c r="D4417" s="1" t="str">
        <f t="shared" si="822"/>
        <v>9801</v>
      </c>
      <c r="E4417" s="1" t="s">
        <v>25</v>
      </c>
      <c r="F4417" s="1" t="str">
        <f>"7227E702B0880400C834002000000015"</f>
        <v>7227E702B0880400C834002000000015</v>
      </c>
      <c r="G4417" s="1" t="s">
        <v>74</v>
      </c>
      <c r="H4417" s="1" t="str">
        <f t="shared" si="823"/>
        <v>20220919</v>
      </c>
      <c r="I4417" s="1" t="str">
        <f>"075522"</f>
        <v>075522</v>
      </c>
      <c r="J4417" s="1" t="s">
        <v>52</v>
      </c>
      <c r="K4417" s="1" t="s">
        <v>52</v>
      </c>
      <c r="L4417" s="1" t="str">
        <f t="shared" si="824"/>
        <v>20220919</v>
      </c>
      <c r="M4417" s="1" t="str">
        <f>"080553"</f>
        <v>080553</v>
      </c>
      <c r="N4417" s="1" t="s">
        <v>60</v>
      </c>
      <c r="O4417" s="1" t="s">
        <v>52</v>
      </c>
      <c r="P4417" s="1" t="s">
        <v>68</v>
      </c>
      <c r="Q4417" s="1">
        <v>13</v>
      </c>
      <c r="R4417" s="1">
        <v>0</v>
      </c>
      <c r="S4417" s="1">
        <v>0</v>
      </c>
      <c r="T4417" s="1">
        <v>13</v>
      </c>
      <c r="U4417" s="1">
        <v>0</v>
      </c>
      <c r="V4417" s="1" t="str">
        <f t="shared" ref="V4417:V4423" si="825">"里程去程"</f>
        <v>里程去程</v>
      </c>
      <c r="W4417" s="1" t="str">
        <f>"0020"</f>
        <v>0020</v>
      </c>
      <c r="X4417" s="1" t="s">
        <v>29</v>
      </c>
    </row>
    <row r="4418" spans="1:24" x14ac:dyDescent="0.3">
      <c r="A4418" s="1" t="str">
        <f t="shared" si="821"/>
        <v>59809</v>
      </c>
      <c r="B4418" s="1" t="s">
        <v>42</v>
      </c>
      <c r="C4418" s="1" t="s">
        <v>43</v>
      </c>
      <c r="D4418" s="1" t="str">
        <f t="shared" si="822"/>
        <v>9801</v>
      </c>
      <c r="E4418" s="1" t="s">
        <v>25</v>
      </c>
      <c r="F4418" s="1" t="str">
        <f>"821C1A0387880400C834002000000015"</f>
        <v>821C1A0387880400C834002000000015</v>
      </c>
      <c r="G4418" s="1" t="s">
        <v>26</v>
      </c>
      <c r="H4418" s="1" t="str">
        <f t="shared" si="823"/>
        <v>20220919</v>
      </c>
      <c r="I4418" s="1" t="str">
        <f>"081337"</f>
        <v>081337</v>
      </c>
      <c r="J4418" s="1" t="s">
        <v>80</v>
      </c>
      <c r="K4418" s="1" t="s">
        <v>52</v>
      </c>
      <c r="L4418" s="1" t="str">
        <f t="shared" si="824"/>
        <v>20220919</v>
      </c>
      <c r="M4418" s="1" t="str">
        <f>"083000"</f>
        <v>083000</v>
      </c>
      <c r="N4418" s="1" t="s">
        <v>70</v>
      </c>
      <c r="O4418" s="1" t="s">
        <v>28</v>
      </c>
      <c r="P4418" s="1" t="s">
        <v>68</v>
      </c>
      <c r="Q4418" s="1">
        <v>13</v>
      </c>
      <c r="R4418" s="1">
        <v>0</v>
      </c>
      <c r="S4418" s="1">
        <v>0</v>
      </c>
      <c r="T4418" s="1">
        <v>13</v>
      </c>
      <c r="U4418" s="1">
        <v>0</v>
      </c>
      <c r="V4418" s="1" t="str">
        <f t="shared" si="825"/>
        <v>里程去程</v>
      </c>
      <c r="W4418" s="1" t="str">
        <f>"0020"</f>
        <v>0020</v>
      </c>
      <c r="X4418" s="1" t="s">
        <v>29</v>
      </c>
    </row>
    <row r="4419" spans="1:24" x14ac:dyDescent="0.3">
      <c r="A4419" s="1" t="str">
        <f t="shared" si="821"/>
        <v>59809</v>
      </c>
      <c r="B4419" s="1" t="s">
        <v>42</v>
      </c>
      <c r="C4419" s="1" t="s">
        <v>43</v>
      </c>
      <c r="D4419" s="1" t="str">
        <f t="shared" si="822"/>
        <v>9801</v>
      </c>
      <c r="E4419" s="1" t="s">
        <v>25</v>
      </c>
      <c r="F4419" s="1" t="str">
        <f>"224661035"</f>
        <v>224661035</v>
      </c>
      <c r="G4419" s="1" t="s">
        <v>33</v>
      </c>
      <c r="H4419" s="1" t="str">
        <f t="shared" si="823"/>
        <v>20220919</v>
      </c>
      <c r="I4419" s="1" t="str">
        <f>"090604"</f>
        <v>090604</v>
      </c>
      <c r="J4419" s="1" t="s">
        <v>60</v>
      </c>
      <c r="K4419" s="1" t="s">
        <v>52</v>
      </c>
      <c r="L4419" s="1" t="str">
        <f t="shared" si="824"/>
        <v>20220919</v>
      </c>
      <c r="M4419" s="1" t="str">
        <f>"092917"</f>
        <v>092917</v>
      </c>
      <c r="N4419" s="1" t="s">
        <v>70</v>
      </c>
      <c r="O4419" s="1" t="s">
        <v>28</v>
      </c>
      <c r="P4419" s="1" t="s">
        <v>55</v>
      </c>
      <c r="Q4419" s="1">
        <v>25</v>
      </c>
      <c r="R4419" s="1">
        <v>25</v>
      </c>
      <c r="S4419" s="1">
        <v>0</v>
      </c>
      <c r="T4419" s="1">
        <v>0</v>
      </c>
      <c r="U4419" s="1">
        <v>0</v>
      </c>
      <c r="V4419" s="1" t="str">
        <f t="shared" si="825"/>
        <v>里程去程</v>
      </c>
      <c r="W4419" s="1" t="str">
        <f>"2020"</f>
        <v>2020</v>
      </c>
      <c r="X4419" s="1" t="s">
        <v>35</v>
      </c>
    </row>
    <row r="4420" spans="1:24" x14ac:dyDescent="0.3">
      <c r="A4420" s="1" t="str">
        <f t="shared" si="821"/>
        <v>59809</v>
      </c>
      <c r="B4420" s="1" t="s">
        <v>42</v>
      </c>
      <c r="C4420" s="1" t="s">
        <v>43</v>
      </c>
      <c r="D4420" s="1" t="str">
        <f t="shared" si="822"/>
        <v>9801</v>
      </c>
      <c r="E4420" s="1" t="s">
        <v>25</v>
      </c>
      <c r="F4420" s="1" t="str">
        <f>"975538033"</f>
        <v>975538033</v>
      </c>
      <c r="G4420" s="1" t="s">
        <v>33</v>
      </c>
      <c r="H4420" s="1" t="str">
        <f t="shared" si="823"/>
        <v>20220919</v>
      </c>
      <c r="I4420" s="1" t="str">
        <f>"090606"</f>
        <v>090606</v>
      </c>
      <c r="J4420" s="1" t="s">
        <v>60</v>
      </c>
      <c r="K4420" s="1" t="s">
        <v>52</v>
      </c>
      <c r="L4420" s="1" t="str">
        <f t="shared" si="824"/>
        <v>20220919</v>
      </c>
      <c r="M4420" s="1" t="str">
        <f>"092920"</f>
        <v>092920</v>
      </c>
      <c r="N4420" s="1" t="s">
        <v>70</v>
      </c>
      <c r="O4420" s="1" t="s">
        <v>28</v>
      </c>
      <c r="P4420" s="1" t="s">
        <v>55</v>
      </c>
      <c r="Q4420" s="1">
        <v>25</v>
      </c>
      <c r="R4420" s="1">
        <v>25</v>
      </c>
      <c r="S4420" s="1">
        <v>0</v>
      </c>
      <c r="T4420" s="1">
        <v>0</v>
      </c>
      <c r="U4420" s="1">
        <v>0</v>
      </c>
      <c r="V4420" s="1" t="str">
        <f t="shared" si="825"/>
        <v>里程去程</v>
      </c>
      <c r="W4420" s="1" t="str">
        <f>"2020"</f>
        <v>2020</v>
      </c>
      <c r="X4420" s="1" t="s">
        <v>35</v>
      </c>
    </row>
    <row r="4421" spans="1:24" x14ac:dyDescent="0.3">
      <c r="A4421" s="1" t="str">
        <f t="shared" si="821"/>
        <v>59809</v>
      </c>
      <c r="B4421" s="1" t="s">
        <v>42</v>
      </c>
      <c r="C4421" s="1" t="s">
        <v>43</v>
      </c>
      <c r="D4421" s="1" t="str">
        <f t="shared" si="822"/>
        <v>9801</v>
      </c>
      <c r="E4421" s="1" t="s">
        <v>25</v>
      </c>
      <c r="F4421" s="1" t="str">
        <f>"7227E702B0880400C834002000000015"</f>
        <v>7227E702B0880400C834002000000015</v>
      </c>
      <c r="G4421" s="1" t="s">
        <v>74</v>
      </c>
      <c r="H4421" s="1" t="str">
        <f t="shared" si="823"/>
        <v>20220919</v>
      </c>
      <c r="I4421" s="1" t="str">
        <f>"090610"</f>
        <v>090610</v>
      </c>
      <c r="J4421" s="1" t="s">
        <v>60</v>
      </c>
      <c r="K4421" s="1" t="s">
        <v>52</v>
      </c>
      <c r="L4421" s="1" t="str">
        <f t="shared" si="824"/>
        <v>20220919</v>
      </c>
      <c r="M4421" s="1" t="str">
        <f>"091433"</f>
        <v>091433</v>
      </c>
      <c r="N4421" s="1" t="s">
        <v>80</v>
      </c>
      <c r="O4421" s="1" t="s">
        <v>52</v>
      </c>
      <c r="P4421" s="1" t="s">
        <v>68</v>
      </c>
      <c r="Q4421" s="1">
        <v>13</v>
      </c>
      <c r="R4421" s="1">
        <v>0</v>
      </c>
      <c r="S4421" s="1">
        <v>0</v>
      </c>
      <c r="T4421" s="1">
        <v>13</v>
      </c>
      <c r="U4421" s="1">
        <v>0</v>
      </c>
      <c r="V4421" s="1" t="str">
        <f t="shared" si="825"/>
        <v>里程去程</v>
      </c>
      <c r="W4421" s="1" t="str">
        <f>"0020"</f>
        <v>0020</v>
      </c>
      <c r="X4421" s="1" t="s">
        <v>29</v>
      </c>
    </row>
    <row r="4422" spans="1:24" x14ac:dyDescent="0.3">
      <c r="A4422" s="1" t="str">
        <f t="shared" si="821"/>
        <v>59809</v>
      </c>
      <c r="B4422" s="1" t="s">
        <v>42</v>
      </c>
      <c r="C4422" s="1" t="s">
        <v>43</v>
      </c>
      <c r="D4422" s="1" t="str">
        <f t="shared" si="822"/>
        <v>9801</v>
      </c>
      <c r="E4422" s="1" t="s">
        <v>25</v>
      </c>
      <c r="F4422" s="1" t="str">
        <f>"1033709953"</f>
        <v>1033709953</v>
      </c>
      <c r="G4422" s="1" t="s">
        <v>33</v>
      </c>
      <c r="H4422" s="1" t="str">
        <f t="shared" si="823"/>
        <v>20220919</v>
      </c>
      <c r="I4422" s="1" t="str">
        <f>"091034"</f>
        <v>091034</v>
      </c>
      <c r="J4422" s="1" t="s">
        <v>72</v>
      </c>
      <c r="K4422" s="1" t="s">
        <v>52</v>
      </c>
      <c r="L4422" s="1" t="str">
        <f t="shared" si="824"/>
        <v>20220919</v>
      </c>
      <c r="M4422" s="1" t="str">
        <f>"092922"</f>
        <v>092922</v>
      </c>
      <c r="N4422" s="1" t="s">
        <v>70</v>
      </c>
      <c r="O4422" s="1" t="s">
        <v>28</v>
      </c>
      <c r="P4422" s="1" t="s">
        <v>55</v>
      </c>
      <c r="Q4422" s="1">
        <v>25</v>
      </c>
      <c r="R4422" s="1">
        <v>25</v>
      </c>
      <c r="S4422" s="1">
        <v>0</v>
      </c>
      <c r="T4422" s="1">
        <v>0</v>
      </c>
      <c r="U4422" s="1">
        <v>0</v>
      </c>
      <c r="V4422" s="1" t="str">
        <f t="shared" si="825"/>
        <v>里程去程</v>
      </c>
      <c r="W4422" s="1" t="str">
        <f>"2120"</f>
        <v>2120</v>
      </c>
      <c r="X4422" s="1" t="s">
        <v>35</v>
      </c>
    </row>
    <row r="4423" spans="1:24" x14ac:dyDescent="0.3">
      <c r="A4423" s="1" t="str">
        <f t="shared" si="821"/>
        <v>59809</v>
      </c>
      <c r="B4423" s="1" t="s">
        <v>42</v>
      </c>
      <c r="C4423" s="1" t="s">
        <v>43</v>
      </c>
      <c r="D4423" s="1" t="str">
        <f t="shared" si="822"/>
        <v>9801</v>
      </c>
      <c r="E4423" s="1" t="s">
        <v>25</v>
      </c>
      <c r="F4423" s="1" t="str">
        <f>"240658853"</f>
        <v>240658853</v>
      </c>
      <c r="G4423" s="1" t="s">
        <v>33</v>
      </c>
      <c r="H4423" s="1" t="str">
        <f t="shared" si="823"/>
        <v>20220919</v>
      </c>
      <c r="I4423" s="1" t="str">
        <f>"092956"</f>
        <v>092956</v>
      </c>
      <c r="J4423" s="1" t="s">
        <v>27</v>
      </c>
      <c r="K4423" s="1" t="s">
        <v>28</v>
      </c>
      <c r="L4423" s="1" t="str">
        <f t="shared" si="824"/>
        <v>20220919</v>
      </c>
      <c r="M4423" s="1" t="str">
        <f>"095603"</f>
        <v>095603</v>
      </c>
      <c r="N4423" s="1" t="s">
        <v>44</v>
      </c>
      <c r="O4423" s="1" t="s">
        <v>45</v>
      </c>
      <c r="P4423" s="1" t="s">
        <v>55</v>
      </c>
      <c r="Q4423" s="1">
        <v>25</v>
      </c>
      <c r="R4423" s="1">
        <v>25</v>
      </c>
      <c r="S4423" s="1">
        <v>0</v>
      </c>
      <c r="T4423" s="1">
        <v>0</v>
      </c>
      <c r="U4423" s="1">
        <v>0</v>
      </c>
      <c r="V4423" s="1" t="str">
        <f t="shared" si="825"/>
        <v>里程去程</v>
      </c>
      <c r="W4423" s="1" t="str">
        <f>"0320"</f>
        <v>0320</v>
      </c>
      <c r="X4423" s="1" t="s">
        <v>35</v>
      </c>
    </row>
    <row r="4424" spans="1:24" x14ac:dyDescent="0.3">
      <c r="A4424" s="1" t="str">
        <f t="shared" si="821"/>
        <v>59809</v>
      </c>
      <c r="B4424" s="1" t="s">
        <v>42</v>
      </c>
      <c r="C4424" s="1" t="s">
        <v>43</v>
      </c>
      <c r="D4424" s="1" t="str">
        <f t="shared" si="822"/>
        <v>9801</v>
      </c>
      <c r="E4424" s="1" t="s">
        <v>25</v>
      </c>
      <c r="F4424" s="1" t="str">
        <f>"D2390E02E7880400C821002000000015"</f>
        <v>D2390E02E7880400C821002000000015</v>
      </c>
      <c r="G4424" s="1" t="s">
        <v>64</v>
      </c>
      <c r="H4424" s="1" t="str">
        <f t="shared" si="823"/>
        <v>20220919</v>
      </c>
      <c r="I4424" s="1" t="str">
        <f>"125033"</f>
        <v>125033</v>
      </c>
      <c r="J4424" s="1" t="s">
        <v>28</v>
      </c>
      <c r="K4424" s="1" t="s">
        <v>28</v>
      </c>
      <c r="L4424" s="1" t="str">
        <f t="shared" si="824"/>
        <v>20220919</v>
      </c>
      <c r="M4424" s="1" t="str">
        <f>"130414"</f>
        <v>130414</v>
      </c>
      <c r="N4424" s="1" t="s">
        <v>83</v>
      </c>
      <c r="O4424" s="1" t="s">
        <v>52</v>
      </c>
      <c r="P4424" s="1" t="s">
        <v>55</v>
      </c>
      <c r="Q4424" s="1">
        <v>13</v>
      </c>
      <c r="R4424" s="1">
        <v>0</v>
      </c>
      <c r="S4424" s="1">
        <v>13</v>
      </c>
      <c r="T4424" s="1">
        <v>0</v>
      </c>
      <c r="U4424" s="1">
        <v>0</v>
      </c>
      <c r="V4424" s="1" t="str">
        <f t="shared" ref="V4424:V4439" si="826">"里程返程"</f>
        <v>里程返程</v>
      </c>
      <c r="W4424" s="1" t="str">
        <f>"0620"</f>
        <v>0620</v>
      </c>
      <c r="X4424" s="1" t="s">
        <v>29</v>
      </c>
    </row>
    <row r="4425" spans="1:24" x14ac:dyDescent="0.3">
      <c r="A4425" s="1" t="str">
        <f t="shared" si="821"/>
        <v>59809</v>
      </c>
      <c r="B4425" s="1" t="s">
        <v>42</v>
      </c>
      <c r="C4425" s="1" t="s">
        <v>43</v>
      </c>
      <c r="D4425" s="1" t="str">
        <f t="shared" si="822"/>
        <v>9801</v>
      </c>
      <c r="E4425" s="1" t="s">
        <v>25</v>
      </c>
      <c r="F4425" s="1" t="str">
        <f>"12D6AB1976880400C824002000000020"</f>
        <v>12D6AB1976880400C824002000000020</v>
      </c>
      <c r="G4425" s="1" t="s">
        <v>64</v>
      </c>
      <c r="H4425" s="1" t="str">
        <f t="shared" si="823"/>
        <v>20220919</v>
      </c>
      <c r="I4425" s="1" t="str">
        <f>"125042"</f>
        <v>125042</v>
      </c>
      <c r="J4425" s="1" t="s">
        <v>28</v>
      </c>
      <c r="K4425" s="1" t="s">
        <v>28</v>
      </c>
      <c r="L4425" s="1" t="str">
        <f t="shared" si="824"/>
        <v>20220919</v>
      </c>
      <c r="M4425" s="1" t="str">
        <f>"130407"</f>
        <v>130407</v>
      </c>
      <c r="N4425" s="1" t="s">
        <v>83</v>
      </c>
      <c r="O4425" s="1" t="s">
        <v>52</v>
      </c>
      <c r="P4425" s="1" t="s">
        <v>55</v>
      </c>
      <c r="Q4425" s="1">
        <v>13</v>
      </c>
      <c r="R4425" s="1">
        <v>0</v>
      </c>
      <c r="S4425" s="1">
        <v>13</v>
      </c>
      <c r="T4425" s="1">
        <v>0</v>
      </c>
      <c r="U4425" s="1">
        <v>0</v>
      </c>
      <c r="V4425" s="1" t="str">
        <f t="shared" si="826"/>
        <v>里程返程</v>
      </c>
      <c r="W4425" s="1" t="str">
        <f>"0620"</f>
        <v>0620</v>
      </c>
      <c r="X4425" s="1" t="s">
        <v>29</v>
      </c>
    </row>
    <row r="4426" spans="1:24" x14ac:dyDescent="0.3">
      <c r="A4426" s="1" t="str">
        <f t="shared" si="821"/>
        <v>59809</v>
      </c>
      <c r="B4426" s="1" t="s">
        <v>42</v>
      </c>
      <c r="C4426" s="1" t="s">
        <v>43</v>
      </c>
      <c r="D4426" s="1" t="str">
        <f t="shared" si="822"/>
        <v>9801</v>
      </c>
      <c r="E4426" s="1" t="s">
        <v>25</v>
      </c>
      <c r="F4426" s="1" t="str">
        <f>"219FE61D45280400F700000000000000"</f>
        <v>219FE61D45280400F700000000000000</v>
      </c>
      <c r="G4426" s="1" t="s">
        <v>58</v>
      </c>
      <c r="H4426" s="1" t="str">
        <f t="shared" si="823"/>
        <v>20220919</v>
      </c>
      <c r="I4426" s="1" t="str">
        <f>"125123"</f>
        <v>125123</v>
      </c>
      <c r="J4426" s="1" t="s">
        <v>28</v>
      </c>
      <c r="K4426" s="1" t="s">
        <v>28</v>
      </c>
      <c r="L4426" s="1" t="str">
        <f t="shared" si="824"/>
        <v>20220919</v>
      </c>
      <c r="M4426" s="1" t="str">
        <f>"131546"</f>
        <v>131546</v>
      </c>
      <c r="N4426" s="1" t="s">
        <v>65</v>
      </c>
      <c r="O4426" s="1" t="s">
        <v>52</v>
      </c>
      <c r="P4426" s="1" t="s">
        <v>55</v>
      </c>
      <c r="Q4426" s="1">
        <v>25</v>
      </c>
      <c r="R4426" s="1">
        <v>25</v>
      </c>
      <c r="S4426" s="1">
        <v>0</v>
      </c>
      <c r="T4426" s="1">
        <v>0</v>
      </c>
      <c r="U4426" s="1">
        <v>0</v>
      </c>
      <c r="V4426" s="1" t="str">
        <f t="shared" si="826"/>
        <v>里程返程</v>
      </c>
      <c r="W4426" s="1" t="str">
        <f>"0020"</f>
        <v>0020</v>
      </c>
      <c r="X4426" s="1" t="s">
        <v>29</v>
      </c>
    </row>
    <row r="4427" spans="1:24" x14ac:dyDescent="0.3">
      <c r="A4427" s="1" t="str">
        <f t="shared" si="821"/>
        <v>59809</v>
      </c>
      <c r="B4427" s="1" t="s">
        <v>42</v>
      </c>
      <c r="C4427" s="1" t="s">
        <v>43</v>
      </c>
      <c r="D4427" s="1" t="str">
        <f t="shared" si="822"/>
        <v>9801</v>
      </c>
      <c r="E4427" s="1" t="s">
        <v>25</v>
      </c>
      <c r="F4427" s="1" t="str">
        <f>"81291869D92804001C00000000000000"</f>
        <v>81291869D92804001C00000000000000</v>
      </c>
      <c r="G4427" s="1" t="s">
        <v>58</v>
      </c>
      <c r="H4427" s="1" t="str">
        <f t="shared" si="823"/>
        <v>20220919</v>
      </c>
      <c r="I4427" s="1" t="str">
        <f>"125234"</f>
        <v>125234</v>
      </c>
      <c r="J4427" s="1" t="s">
        <v>28</v>
      </c>
      <c r="K4427" s="1" t="s">
        <v>28</v>
      </c>
      <c r="L4427" s="1" t="str">
        <f t="shared" si="824"/>
        <v>20220919</v>
      </c>
      <c r="M4427" s="1" t="str">
        <f>"131520"</f>
        <v>131520</v>
      </c>
      <c r="N4427" s="1" t="s">
        <v>65</v>
      </c>
      <c r="O4427" s="1" t="s">
        <v>52</v>
      </c>
      <c r="P4427" s="1" t="s">
        <v>55</v>
      </c>
      <c r="Q4427" s="1">
        <v>25</v>
      </c>
      <c r="R4427" s="1">
        <v>0</v>
      </c>
      <c r="S4427" s="1">
        <v>25</v>
      </c>
      <c r="T4427" s="1">
        <v>0</v>
      </c>
      <c r="U4427" s="1">
        <v>0</v>
      </c>
      <c r="V4427" s="1" t="str">
        <f t="shared" si="826"/>
        <v>里程返程</v>
      </c>
      <c r="W4427" s="1" t="str">
        <f>"0620"</f>
        <v>0620</v>
      </c>
      <c r="X4427" s="1" t="s">
        <v>29</v>
      </c>
    </row>
    <row r="4428" spans="1:24" x14ac:dyDescent="0.3">
      <c r="A4428" s="1" t="str">
        <f t="shared" si="821"/>
        <v>59809</v>
      </c>
      <c r="B4428" s="1" t="s">
        <v>42</v>
      </c>
      <c r="C4428" s="1" t="s">
        <v>43</v>
      </c>
      <c r="D4428" s="1" t="str">
        <f t="shared" si="822"/>
        <v>9801</v>
      </c>
      <c r="E4428" s="1" t="s">
        <v>25</v>
      </c>
      <c r="F4428" s="1" t="str">
        <f>"1708076053"</f>
        <v>1708076053</v>
      </c>
      <c r="G4428" s="1" t="s">
        <v>33</v>
      </c>
      <c r="H4428" s="1" t="str">
        <f t="shared" si="823"/>
        <v>20220919</v>
      </c>
      <c r="I4428" s="1" t="str">
        <f>"125245"</f>
        <v>125245</v>
      </c>
      <c r="J4428" s="1" t="s">
        <v>28</v>
      </c>
      <c r="K4428" s="1" t="s">
        <v>28</v>
      </c>
      <c r="L4428" s="1" t="str">
        <f t="shared" si="824"/>
        <v>20220919</v>
      </c>
      <c r="M4428" s="1" t="str">
        <f>"132100"</f>
        <v>132100</v>
      </c>
      <c r="N4428" s="1" t="s">
        <v>60</v>
      </c>
      <c r="O4428" s="1" t="s">
        <v>52</v>
      </c>
      <c r="P4428" s="1" t="s">
        <v>55</v>
      </c>
      <c r="Q4428" s="1">
        <v>25</v>
      </c>
      <c r="R4428" s="1">
        <v>25</v>
      </c>
      <c r="S4428" s="1">
        <v>0</v>
      </c>
      <c r="T4428" s="1">
        <v>0</v>
      </c>
      <c r="U4428" s="1">
        <v>0</v>
      </c>
      <c r="V4428" s="1" t="str">
        <f t="shared" si="826"/>
        <v>里程返程</v>
      </c>
      <c r="W4428" s="1" t="str">
        <f>"2020"</f>
        <v>2020</v>
      </c>
      <c r="X4428" s="1" t="s">
        <v>35</v>
      </c>
    </row>
    <row r="4429" spans="1:24" x14ac:dyDescent="0.3">
      <c r="A4429" s="1" t="str">
        <f t="shared" si="821"/>
        <v>59809</v>
      </c>
      <c r="B4429" s="1" t="s">
        <v>42</v>
      </c>
      <c r="C4429" s="1" t="s">
        <v>43</v>
      </c>
      <c r="D4429" s="1" t="str">
        <f t="shared" si="822"/>
        <v>9801</v>
      </c>
      <c r="E4429" s="1" t="s">
        <v>25</v>
      </c>
      <c r="F4429" s="1" t="str">
        <f>"904224453"</f>
        <v>904224453</v>
      </c>
      <c r="G4429" s="1" t="s">
        <v>33</v>
      </c>
      <c r="H4429" s="1" t="str">
        <f t="shared" si="823"/>
        <v>20220919</v>
      </c>
      <c r="I4429" s="1" t="str">
        <f>"125421"</f>
        <v>125421</v>
      </c>
      <c r="J4429" s="1" t="s">
        <v>28</v>
      </c>
      <c r="K4429" s="1" t="s">
        <v>28</v>
      </c>
      <c r="L4429" s="1" t="str">
        <f t="shared" si="824"/>
        <v>20220919</v>
      </c>
      <c r="M4429" s="1" t="str">
        <f>"131654"</f>
        <v>131654</v>
      </c>
      <c r="N4429" s="1" t="s">
        <v>72</v>
      </c>
      <c r="O4429" s="1" t="s">
        <v>52</v>
      </c>
      <c r="P4429" s="1" t="s">
        <v>55</v>
      </c>
      <c r="Q4429" s="1">
        <v>25</v>
      </c>
      <c r="R4429" s="1">
        <v>25</v>
      </c>
      <c r="S4429" s="1">
        <v>0</v>
      </c>
      <c r="T4429" s="1">
        <v>0</v>
      </c>
      <c r="U4429" s="1">
        <v>0</v>
      </c>
      <c r="V4429" s="1" t="str">
        <f t="shared" si="826"/>
        <v>里程返程</v>
      </c>
      <c r="W4429" s="1" t="str">
        <f>"0920"</f>
        <v>0920</v>
      </c>
      <c r="X4429" s="1" t="s">
        <v>35</v>
      </c>
    </row>
    <row r="4430" spans="1:24" x14ac:dyDescent="0.3">
      <c r="A4430" s="1" t="str">
        <f t="shared" si="821"/>
        <v>59809</v>
      </c>
      <c r="B4430" s="1" t="s">
        <v>42</v>
      </c>
      <c r="C4430" s="1" t="s">
        <v>43</v>
      </c>
      <c r="D4430" s="1" t="str">
        <f t="shared" si="822"/>
        <v>9801</v>
      </c>
      <c r="E4430" s="1" t="s">
        <v>25</v>
      </c>
      <c r="F4430" s="1" t="str">
        <f>"3853409434"</f>
        <v>3853409434</v>
      </c>
      <c r="G4430" s="1" t="s">
        <v>33</v>
      </c>
      <c r="H4430" s="1" t="str">
        <f t="shared" si="823"/>
        <v>20220919</v>
      </c>
      <c r="I4430" s="1" t="str">
        <f>"125500"</f>
        <v>125500</v>
      </c>
      <c r="J4430" s="1" t="s">
        <v>28</v>
      </c>
      <c r="K4430" s="1" t="s">
        <v>28</v>
      </c>
      <c r="L4430" s="1" t="str">
        <f t="shared" si="824"/>
        <v>20220919</v>
      </c>
      <c r="M4430" s="1" t="str">
        <f>"131702"</f>
        <v>131702</v>
      </c>
      <c r="N4430" s="1" t="s">
        <v>72</v>
      </c>
      <c r="O4430" s="1" t="s">
        <v>52</v>
      </c>
      <c r="P4430" s="1" t="s">
        <v>55</v>
      </c>
      <c r="Q4430" s="1">
        <v>25</v>
      </c>
      <c r="R4430" s="1">
        <v>25</v>
      </c>
      <c r="S4430" s="1">
        <v>0</v>
      </c>
      <c r="T4430" s="1">
        <v>0</v>
      </c>
      <c r="U4430" s="1">
        <v>0</v>
      </c>
      <c r="V4430" s="1" t="str">
        <f t="shared" si="826"/>
        <v>里程返程</v>
      </c>
      <c r="W4430" s="1" t="str">
        <f>"0920"</f>
        <v>0920</v>
      </c>
      <c r="X4430" s="1" t="s">
        <v>35</v>
      </c>
    </row>
    <row r="4431" spans="1:24" x14ac:dyDescent="0.3">
      <c r="A4431" s="1" t="str">
        <f t="shared" si="821"/>
        <v>59809</v>
      </c>
      <c r="B4431" s="1" t="s">
        <v>42</v>
      </c>
      <c r="C4431" s="1" t="s">
        <v>43</v>
      </c>
      <c r="D4431" s="1" t="str">
        <f t="shared" si="822"/>
        <v>9801</v>
      </c>
      <c r="E4431" s="1" t="s">
        <v>25</v>
      </c>
      <c r="F4431" s="1" t="str">
        <f>"82D5FB02AE880400C834002000000015"</f>
        <v>82D5FB02AE880400C834002000000015</v>
      </c>
      <c r="G4431" s="1" t="s">
        <v>26</v>
      </c>
      <c r="H4431" s="1" t="str">
        <f t="shared" si="823"/>
        <v>20220919</v>
      </c>
      <c r="I4431" s="1" t="str">
        <f>"151259"</f>
        <v>151259</v>
      </c>
      <c r="J4431" s="1" t="s">
        <v>72</v>
      </c>
      <c r="K4431" s="1" t="s">
        <v>52</v>
      </c>
      <c r="L4431" s="1" t="str">
        <f t="shared" si="824"/>
        <v>20220919</v>
      </c>
      <c r="M4431" s="1" t="str">
        <f>"151530"</f>
        <v>151530</v>
      </c>
      <c r="N4431" s="1" t="s">
        <v>51</v>
      </c>
      <c r="O4431" s="1" t="s">
        <v>52</v>
      </c>
      <c r="P4431" s="1" t="s">
        <v>68</v>
      </c>
      <c r="Q4431" s="1">
        <v>13</v>
      </c>
      <c r="R4431" s="1">
        <v>0</v>
      </c>
      <c r="S4431" s="1">
        <v>0</v>
      </c>
      <c r="T4431" s="1">
        <v>13</v>
      </c>
      <c r="U4431" s="1">
        <v>0</v>
      </c>
      <c r="V4431" s="1" t="str">
        <f t="shared" si="826"/>
        <v>里程返程</v>
      </c>
      <c r="W4431" s="1" t="str">
        <f>"0020"</f>
        <v>0020</v>
      </c>
      <c r="X4431" s="1" t="s">
        <v>29</v>
      </c>
    </row>
    <row r="4432" spans="1:24" x14ac:dyDescent="0.3">
      <c r="A4432" s="1" t="str">
        <f t="shared" si="821"/>
        <v>59809</v>
      </c>
      <c r="B4432" s="1" t="s">
        <v>42</v>
      </c>
      <c r="C4432" s="1" t="s">
        <v>43</v>
      </c>
      <c r="D4432" s="1" t="str">
        <f t="shared" si="822"/>
        <v>9801</v>
      </c>
      <c r="E4432" s="1" t="s">
        <v>25</v>
      </c>
      <c r="F4432" s="1" t="str">
        <f>"02DD3718F0880400C819002000000019"</f>
        <v>02DD3718F0880400C819002000000019</v>
      </c>
      <c r="G4432" s="1" t="s">
        <v>64</v>
      </c>
      <c r="H4432" s="1" t="str">
        <f t="shared" si="823"/>
        <v>20220919</v>
      </c>
      <c r="I4432" s="1" t="str">
        <f>"154919"</f>
        <v>154919</v>
      </c>
      <c r="J4432" s="1" t="s">
        <v>28</v>
      </c>
      <c r="K4432" s="1" t="s">
        <v>28</v>
      </c>
      <c r="L4432" s="1" t="str">
        <f t="shared" si="824"/>
        <v>20220919</v>
      </c>
      <c r="M4432" s="1" t="str">
        <f>"162710"</f>
        <v>162710</v>
      </c>
      <c r="N4432" s="1" t="s">
        <v>52</v>
      </c>
      <c r="O4432" s="1" t="s">
        <v>52</v>
      </c>
      <c r="P4432" s="1" t="s">
        <v>55</v>
      </c>
      <c r="Q4432" s="1">
        <v>13</v>
      </c>
      <c r="R4432" s="1">
        <v>13</v>
      </c>
      <c r="S4432" s="1">
        <v>0</v>
      </c>
      <c r="T4432" s="1">
        <v>0</v>
      </c>
      <c r="U4432" s="1">
        <v>0</v>
      </c>
      <c r="V4432" s="1" t="str">
        <f t="shared" si="826"/>
        <v>里程返程</v>
      </c>
      <c r="W4432" s="1" t="str">
        <f>"0020"</f>
        <v>0020</v>
      </c>
      <c r="X4432" s="1" t="s">
        <v>29</v>
      </c>
    </row>
    <row r="4433" spans="1:24" x14ac:dyDescent="0.3">
      <c r="A4433" s="1" t="str">
        <f t="shared" si="821"/>
        <v>59809</v>
      </c>
      <c r="B4433" s="1" t="s">
        <v>42</v>
      </c>
      <c r="C4433" s="1" t="s">
        <v>43</v>
      </c>
      <c r="D4433" s="1" t="str">
        <f t="shared" si="822"/>
        <v>9801</v>
      </c>
      <c r="E4433" s="1" t="s">
        <v>25</v>
      </c>
      <c r="F4433" s="1" t="str">
        <f>"4251460257880400C821002000000015"</f>
        <v>4251460257880400C821002000000015</v>
      </c>
      <c r="G4433" s="1" t="s">
        <v>26</v>
      </c>
      <c r="H4433" s="1" t="str">
        <f t="shared" si="823"/>
        <v>20220919</v>
      </c>
      <c r="I4433" s="1" t="str">
        <f>"160056"</f>
        <v>160056</v>
      </c>
      <c r="J4433" s="1" t="s">
        <v>83</v>
      </c>
      <c r="K4433" s="1" t="s">
        <v>52</v>
      </c>
      <c r="L4433" s="1" t="str">
        <f t="shared" si="824"/>
        <v>20220919</v>
      </c>
      <c r="M4433" s="1" t="str">
        <f>"160839"</f>
        <v>160839</v>
      </c>
      <c r="N4433" s="1" t="s">
        <v>69</v>
      </c>
      <c r="O4433" s="1" t="s">
        <v>52</v>
      </c>
      <c r="P4433" s="1" t="s">
        <v>68</v>
      </c>
      <c r="Q4433" s="1">
        <v>13</v>
      </c>
      <c r="R4433" s="1">
        <v>0</v>
      </c>
      <c r="S4433" s="1">
        <v>0</v>
      </c>
      <c r="T4433" s="1">
        <v>13</v>
      </c>
      <c r="U4433" s="1">
        <v>0</v>
      </c>
      <c r="V4433" s="1" t="str">
        <f t="shared" si="826"/>
        <v>里程返程</v>
      </c>
      <c r="W4433" s="1" t="str">
        <f>"0020"</f>
        <v>0020</v>
      </c>
      <c r="X4433" s="1" t="s">
        <v>29</v>
      </c>
    </row>
    <row r="4434" spans="1:24" x14ac:dyDescent="0.3">
      <c r="A4434" s="1" t="str">
        <f t="shared" si="821"/>
        <v>59809</v>
      </c>
      <c r="B4434" s="1" t="s">
        <v>42</v>
      </c>
      <c r="C4434" s="1" t="s">
        <v>43</v>
      </c>
      <c r="D4434" s="1" t="str">
        <f t="shared" si="822"/>
        <v>9801</v>
      </c>
      <c r="E4434" s="1" t="s">
        <v>25</v>
      </c>
      <c r="F4434" s="1" t="str">
        <f>"42AFE60209880400C834002000000015"</f>
        <v>42AFE60209880400C834002000000015</v>
      </c>
      <c r="G4434" s="1" t="s">
        <v>74</v>
      </c>
      <c r="H4434" s="1" t="str">
        <f t="shared" si="823"/>
        <v>20220919</v>
      </c>
      <c r="I4434" s="1" t="str">
        <f>"161328"</f>
        <v>161328</v>
      </c>
      <c r="J4434" s="1" t="s">
        <v>80</v>
      </c>
      <c r="K4434" s="1" t="s">
        <v>52</v>
      </c>
      <c r="L4434" s="1" t="str">
        <f t="shared" si="824"/>
        <v>20220919</v>
      </c>
      <c r="M4434" s="1" t="str">
        <f>"162704"</f>
        <v>162704</v>
      </c>
      <c r="N4434" s="1" t="s">
        <v>52</v>
      </c>
      <c r="O4434" s="1" t="s">
        <v>52</v>
      </c>
      <c r="P4434" s="1" t="s">
        <v>68</v>
      </c>
      <c r="Q4434" s="1">
        <v>13</v>
      </c>
      <c r="R4434" s="1">
        <v>0</v>
      </c>
      <c r="S4434" s="1">
        <v>0</v>
      </c>
      <c r="T4434" s="1">
        <v>13</v>
      </c>
      <c r="U4434" s="1">
        <v>0</v>
      </c>
      <c r="V4434" s="1" t="str">
        <f t="shared" si="826"/>
        <v>里程返程</v>
      </c>
      <c r="W4434" s="1" t="str">
        <f>"0020"</f>
        <v>0020</v>
      </c>
      <c r="X4434" s="1" t="s">
        <v>29</v>
      </c>
    </row>
    <row r="4435" spans="1:24" x14ac:dyDescent="0.3">
      <c r="A4435" s="1" t="str">
        <f t="shared" si="821"/>
        <v>59809</v>
      </c>
      <c r="B4435" s="1" t="s">
        <v>42</v>
      </c>
      <c r="C4435" s="1" t="s">
        <v>43</v>
      </c>
      <c r="D4435" s="1" t="str">
        <f t="shared" si="822"/>
        <v>9801</v>
      </c>
      <c r="E4435" s="1" t="s">
        <v>25</v>
      </c>
      <c r="F4435" s="1" t="str">
        <f>"1732236874"</f>
        <v>1732236874</v>
      </c>
      <c r="G4435" s="1" t="s">
        <v>26</v>
      </c>
      <c r="H4435" s="1" t="str">
        <f t="shared" si="823"/>
        <v>20220919</v>
      </c>
      <c r="I4435" s="1" t="str">
        <f>"165348"</f>
        <v>165348</v>
      </c>
      <c r="J4435" s="1" t="s">
        <v>28</v>
      </c>
      <c r="K4435" s="1" t="s">
        <v>28</v>
      </c>
      <c r="L4435" s="1" t="str">
        <f t="shared" si="824"/>
        <v>20220919</v>
      </c>
      <c r="M4435" s="1" t="str">
        <f>"170506"</f>
        <v>170506</v>
      </c>
      <c r="N4435" s="1" t="s">
        <v>78</v>
      </c>
      <c r="O4435" s="1" t="s">
        <v>52</v>
      </c>
      <c r="P4435" s="1" t="s">
        <v>55</v>
      </c>
      <c r="Q4435" s="1">
        <v>13</v>
      </c>
      <c r="R4435" s="1">
        <v>13</v>
      </c>
      <c r="S4435" s="1">
        <v>0</v>
      </c>
      <c r="T4435" s="1">
        <v>0</v>
      </c>
      <c r="U4435" s="1">
        <v>0</v>
      </c>
      <c r="V4435" s="1" t="str">
        <f t="shared" si="826"/>
        <v>里程返程</v>
      </c>
      <c r="W4435" s="1" t="str">
        <f>"0120"</f>
        <v>0120</v>
      </c>
      <c r="X4435" s="1" t="s">
        <v>35</v>
      </c>
    </row>
    <row r="4436" spans="1:24" x14ac:dyDescent="0.3">
      <c r="A4436" s="1" t="str">
        <f t="shared" si="821"/>
        <v>59809</v>
      </c>
      <c r="B4436" s="1" t="s">
        <v>42</v>
      </c>
      <c r="C4436" s="1" t="s">
        <v>43</v>
      </c>
      <c r="D4436" s="1" t="str">
        <f t="shared" si="822"/>
        <v>9801</v>
      </c>
      <c r="E4436" s="1" t="s">
        <v>25</v>
      </c>
      <c r="F4436" s="1" t="str">
        <f>"1003116805"</f>
        <v>1003116805</v>
      </c>
      <c r="G4436" s="1" t="s">
        <v>33</v>
      </c>
      <c r="H4436" s="1" t="str">
        <f t="shared" si="823"/>
        <v>20220919</v>
      </c>
      <c r="I4436" s="1" t="str">
        <f>"165350"</f>
        <v>165350</v>
      </c>
      <c r="J4436" s="1" t="s">
        <v>28</v>
      </c>
      <c r="K4436" s="1" t="s">
        <v>28</v>
      </c>
      <c r="L4436" s="1" t="str">
        <f t="shared" si="824"/>
        <v>20220919</v>
      </c>
      <c r="M4436" s="1" t="str">
        <f>"170501"</f>
        <v>170501</v>
      </c>
      <c r="N4436" s="1" t="s">
        <v>78</v>
      </c>
      <c r="O4436" s="1" t="s">
        <v>52</v>
      </c>
      <c r="P4436" s="1" t="s">
        <v>55</v>
      </c>
      <c r="Q4436" s="1">
        <v>25</v>
      </c>
      <c r="R4436" s="1">
        <v>25</v>
      </c>
      <c r="S4436" s="1">
        <v>0</v>
      </c>
      <c r="T4436" s="1">
        <v>0</v>
      </c>
      <c r="U4436" s="1">
        <v>0</v>
      </c>
      <c r="V4436" s="1" t="str">
        <f t="shared" si="826"/>
        <v>里程返程</v>
      </c>
      <c r="W4436" s="1" t="str">
        <f>"0120"</f>
        <v>0120</v>
      </c>
      <c r="X4436" s="1" t="s">
        <v>35</v>
      </c>
    </row>
    <row r="4437" spans="1:24" x14ac:dyDescent="0.3">
      <c r="A4437" s="1" t="str">
        <f t="shared" si="821"/>
        <v>59809</v>
      </c>
      <c r="B4437" s="1" t="s">
        <v>42</v>
      </c>
      <c r="C4437" s="1" t="s">
        <v>43</v>
      </c>
      <c r="D4437" s="1" t="str">
        <f t="shared" si="822"/>
        <v>9801</v>
      </c>
      <c r="E4437" s="1" t="s">
        <v>25</v>
      </c>
      <c r="F4437" s="1" t="str">
        <f>"3693775818"</f>
        <v>3693775818</v>
      </c>
      <c r="G4437" s="1" t="s">
        <v>33</v>
      </c>
      <c r="H4437" s="1" t="str">
        <f t="shared" si="823"/>
        <v>20220919</v>
      </c>
      <c r="I4437" s="1" t="str">
        <f>"165353"</f>
        <v>165353</v>
      </c>
      <c r="J4437" s="1" t="s">
        <v>28</v>
      </c>
      <c r="K4437" s="1" t="s">
        <v>28</v>
      </c>
      <c r="L4437" s="1" t="str">
        <f t="shared" si="824"/>
        <v>20220919</v>
      </c>
      <c r="M4437" s="1" t="str">
        <f>"172501"</f>
        <v>172501</v>
      </c>
      <c r="N4437" s="1" t="s">
        <v>52</v>
      </c>
      <c r="O4437" s="1" t="s">
        <v>52</v>
      </c>
      <c r="P4437" s="1" t="s">
        <v>55</v>
      </c>
      <c r="Q4437" s="1">
        <v>25</v>
      </c>
      <c r="R4437" s="1">
        <v>25</v>
      </c>
      <c r="S4437" s="1">
        <v>0</v>
      </c>
      <c r="T4437" s="1">
        <v>0</v>
      </c>
      <c r="U4437" s="1">
        <v>0</v>
      </c>
      <c r="V4437" s="1" t="str">
        <f t="shared" si="826"/>
        <v>里程返程</v>
      </c>
      <c r="W4437" s="1" t="str">
        <f>"0120"</f>
        <v>0120</v>
      </c>
      <c r="X4437" s="1" t="s">
        <v>35</v>
      </c>
    </row>
    <row r="4438" spans="1:24" x14ac:dyDescent="0.3">
      <c r="A4438" s="1" t="str">
        <f t="shared" ref="A4438:A4460" si="827">"59822"</f>
        <v>59822</v>
      </c>
      <c r="B4438" s="1" t="s">
        <v>39</v>
      </c>
      <c r="C4438" s="1" t="s">
        <v>40</v>
      </c>
      <c r="D4438" s="1" t="str">
        <f>"9806"</f>
        <v>9806</v>
      </c>
      <c r="E4438" s="1" t="s">
        <v>49</v>
      </c>
      <c r="F4438" s="1" t="str">
        <f>"B211E70246880400C834002000000015"</f>
        <v>B211E70246880400C834002000000015</v>
      </c>
      <c r="G4438" s="1" t="s">
        <v>74</v>
      </c>
      <c r="H4438" s="1" t="str">
        <f t="shared" si="823"/>
        <v>20220919</v>
      </c>
      <c r="I4438" s="1" t="str">
        <f>"073336"</f>
        <v>073336</v>
      </c>
      <c r="J4438" s="1" t="s">
        <v>101</v>
      </c>
      <c r="K4438" s="1" t="s">
        <v>28</v>
      </c>
      <c r="L4438" s="1" t="str">
        <f t="shared" si="824"/>
        <v>20220919</v>
      </c>
      <c r="M4438" s="1" t="str">
        <f>"074530"</f>
        <v>074530</v>
      </c>
      <c r="N4438" s="1" t="s">
        <v>99</v>
      </c>
      <c r="O4438" s="1" t="s">
        <v>28</v>
      </c>
      <c r="P4438" s="1" t="s">
        <v>68</v>
      </c>
      <c r="Q4438" s="1">
        <v>13</v>
      </c>
      <c r="R4438" s="1">
        <v>0</v>
      </c>
      <c r="S4438" s="1">
        <v>0</v>
      </c>
      <c r="T4438" s="1">
        <v>13</v>
      </c>
      <c r="U4438" s="1">
        <v>0</v>
      </c>
      <c r="V4438" s="1" t="str">
        <f t="shared" si="826"/>
        <v>里程返程</v>
      </c>
      <c r="W4438" s="1" t="str">
        <f>"0020"</f>
        <v>0020</v>
      </c>
      <c r="X4438" s="1" t="s">
        <v>29</v>
      </c>
    </row>
    <row r="4439" spans="1:24" x14ac:dyDescent="0.3">
      <c r="A4439" s="1" t="str">
        <f t="shared" si="827"/>
        <v>59822</v>
      </c>
      <c r="B4439" s="1" t="s">
        <v>39</v>
      </c>
      <c r="C4439" s="1" t="s">
        <v>40</v>
      </c>
      <c r="D4439" s="1" t="str">
        <f>"9806"</f>
        <v>9806</v>
      </c>
      <c r="E4439" s="1" t="s">
        <v>49</v>
      </c>
      <c r="F4439" s="1" t="str">
        <f>"E2A6E602A0880400C834002000000015"</f>
        <v>E2A6E602A0880400C834002000000015</v>
      </c>
      <c r="G4439" s="1" t="s">
        <v>74</v>
      </c>
      <c r="H4439" s="1" t="str">
        <f t="shared" si="823"/>
        <v>20220919</v>
      </c>
      <c r="I4439" s="1" t="str">
        <f>"073340"</f>
        <v>073340</v>
      </c>
      <c r="J4439" s="1" t="s">
        <v>101</v>
      </c>
      <c r="K4439" s="1" t="s">
        <v>28</v>
      </c>
      <c r="L4439" s="1" t="str">
        <f t="shared" si="824"/>
        <v>20220919</v>
      </c>
      <c r="M4439" s="1" t="str">
        <f>"074534"</f>
        <v>074534</v>
      </c>
      <c r="N4439" s="1" t="s">
        <v>99</v>
      </c>
      <c r="O4439" s="1" t="s">
        <v>28</v>
      </c>
      <c r="P4439" s="1" t="s">
        <v>68</v>
      </c>
      <c r="Q4439" s="1">
        <v>13</v>
      </c>
      <c r="R4439" s="1">
        <v>0</v>
      </c>
      <c r="S4439" s="1">
        <v>0</v>
      </c>
      <c r="T4439" s="1">
        <v>13</v>
      </c>
      <c r="U4439" s="1">
        <v>0</v>
      </c>
      <c r="V4439" s="1" t="str">
        <f t="shared" si="826"/>
        <v>里程返程</v>
      </c>
      <c r="W4439" s="1" t="str">
        <f>"0020"</f>
        <v>0020</v>
      </c>
      <c r="X4439" s="1" t="s">
        <v>29</v>
      </c>
    </row>
    <row r="4440" spans="1:24" x14ac:dyDescent="0.3">
      <c r="A4440" s="1" t="str">
        <f t="shared" si="827"/>
        <v>59822</v>
      </c>
      <c r="B4440" s="1" t="s">
        <v>39</v>
      </c>
      <c r="C4440" s="1" t="s">
        <v>40</v>
      </c>
      <c r="D4440" s="1" t="str">
        <f t="shared" ref="D4440:D4445" si="828">"9803"</f>
        <v>9803</v>
      </c>
      <c r="E4440" s="1" t="s">
        <v>32</v>
      </c>
      <c r="F4440" s="1" t="str">
        <f>"1509625967"</f>
        <v>1509625967</v>
      </c>
      <c r="G4440" s="1" t="s">
        <v>33</v>
      </c>
      <c r="H4440" s="1" t="str">
        <f t="shared" si="823"/>
        <v>20220919</v>
      </c>
      <c r="I4440" s="1" t="str">
        <f>"081126"</f>
        <v>081126</v>
      </c>
      <c r="J4440" s="1" t="s">
        <v>28</v>
      </c>
      <c r="K4440" s="1" t="s">
        <v>28</v>
      </c>
      <c r="L4440" s="1" t="str">
        <f t="shared" si="824"/>
        <v>20220919</v>
      </c>
      <c r="M4440" s="1" t="str">
        <f>"082934"</f>
        <v>082934</v>
      </c>
      <c r="N4440" s="1" t="s">
        <v>34</v>
      </c>
      <c r="O4440" s="1" t="s">
        <v>34</v>
      </c>
      <c r="P4440" s="1" t="s">
        <v>55</v>
      </c>
      <c r="Q4440" s="1">
        <v>25</v>
      </c>
      <c r="R4440" s="1">
        <v>0</v>
      </c>
      <c r="S4440" s="1">
        <v>25</v>
      </c>
      <c r="T4440" s="1">
        <v>0</v>
      </c>
      <c r="U4440" s="1">
        <v>0</v>
      </c>
      <c r="V4440" s="1" t="str">
        <f t="shared" ref="V4440:V4448" si="829">"里程去程"</f>
        <v>里程去程</v>
      </c>
      <c r="W4440" s="1" t="str">
        <f>"0820"</f>
        <v>0820</v>
      </c>
      <c r="X4440" s="1" t="s">
        <v>35</v>
      </c>
    </row>
    <row r="4441" spans="1:24" x14ac:dyDescent="0.3">
      <c r="A4441" s="1" t="str">
        <f t="shared" si="827"/>
        <v>59822</v>
      </c>
      <c r="B4441" s="1" t="s">
        <v>39</v>
      </c>
      <c r="C4441" s="1" t="s">
        <v>40</v>
      </c>
      <c r="D4441" s="1" t="str">
        <f t="shared" si="828"/>
        <v>9803</v>
      </c>
      <c r="E4441" s="1" t="s">
        <v>32</v>
      </c>
      <c r="F4441" s="1" t="str">
        <f>"D1B9DF44F3280400F700000000000000"</f>
        <v>D1B9DF44F3280400F700000000000000</v>
      </c>
      <c r="G4441" s="1" t="s">
        <v>58</v>
      </c>
      <c r="H4441" s="1" t="str">
        <f t="shared" si="823"/>
        <v>20220919</v>
      </c>
      <c r="I4441" s="1" t="str">
        <f>"094807"</f>
        <v>094807</v>
      </c>
      <c r="J4441" s="1" t="s">
        <v>28</v>
      </c>
      <c r="K4441" s="1" t="s">
        <v>28</v>
      </c>
      <c r="L4441" s="1" t="str">
        <f t="shared" si="824"/>
        <v>20220919</v>
      </c>
      <c r="M4441" s="1" t="str">
        <f>"100802"</f>
        <v>100802</v>
      </c>
      <c r="N4441" s="1" t="s">
        <v>34</v>
      </c>
      <c r="O4441" s="1" t="s">
        <v>34</v>
      </c>
      <c r="P4441" s="1" t="s">
        <v>55</v>
      </c>
      <c r="Q4441" s="1">
        <v>25</v>
      </c>
      <c r="R4441" s="1">
        <v>0</v>
      </c>
      <c r="S4441" s="1">
        <v>25</v>
      </c>
      <c r="T4441" s="1">
        <v>0</v>
      </c>
      <c r="U4441" s="1">
        <v>0</v>
      </c>
      <c r="V4441" s="1" t="str">
        <f t="shared" si="829"/>
        <v>里程去程</v>
      </c>
      <c r="W4441" s="1" t="str">
        <f>"0620"</f>
        <v>0620</v>
      </c>
      <c r="X4441" s="1" t="s">
        <v>29</v>
      </c>
    </row>
    <row r="4442" spans="1:24" x14ac:dyDescent="0.3">
      <c r="A4442" s="1" t="str">
        <f t="shared" si="827"/>
        <v>59822</v>
      </c>
      <c r="B4442" s="1" t="s">
        <v>39</v>
      </c>
      <c r="C4442" s="1" t="s">
        <v>40</v>
      </c>
      <c r="D4442" s="1" t="str">
        <f t="shared" si="828"/>
        <v>9803</v>
      </c>
      <c r="E4442" s="1" t="s">
        <v>32</v>
      </c>
      <c r="F4442" s="1" t="str">
        <f>"B16D9A3B7D280400F700000000000000"</f>
        <v>B16D9A3B7D280400F700000000000000</v>
      </c>
      <c r="G4442" s="1" t="s">
        <v>58</v>
      </c>
      <c r="H4442" s="1" t="str">
        <f t="shared" si="823"/>
        <v>20220919</v>
      </c>
      <c r="I4442" s="1" t="str">
        <f>"094810"</f>
        <v>094810</v>
      </c>
      <c r="J4442" s="1" t="s">
        <v>28</v>
      </c>
      <c r="K4442" s="1" t="s">
        <v>28</v>
      </c>
      <c r="L4442" s="1" t="str">
        <f t="shared" si="824"/>
        <v>20220919</v>
      </c>
      <c r="M4442" s="1" t="str">
        <f>"100758"</f>
        <v>100758</v>
      </c>
      <c r="N4442" s="1" t="s">
        <v>34</v>
      </c>
      <c r="O4442" s="1" t="s">
        <v>34</v>
      </c>
      <c r="P4442" s="1" t="s">
        <v>55</v>
      </c>
      <c r="Q4442" s="1">
        <v>25</v>
      </c>
      <c r="R4442" s="1">
        <v>25</v>
      </c>
      <c r="S4442" s="1">
        <v>0</v>
      </c>
      <c r="T4442" s="1">
        <v>0</v>
      </c>
      <c r="U4442" s="1">
        <v>0</v>
      </c>
      <c r="V4442" s="1" t="str">
        <f t="shared" si="829"/>
        <v>里程去程</v>
      </c>
      <c r="W4442" s="1" t="str">
        <f>"0020"</f>
        <v>0020</v>
      </c>
      <c r="X4442" s="1" t="s">
        <v>29</v>
      </c>
    </row>
    <row r="4443" spans="1:24" x14ac:dyDescent="0.3">
      <c r="A4443" s="1" t="str">
        <f t="shared" si="827"/>
        <v>59822</v>
      </c>
      <c r="B4443" s="1" t="s">
        <v>39</v>
      </c>
      <c r="C4443" s="1" t="s">
        <v>40</v>
      </c>
      <c r="D4443" s="1" t="str">
        <f t="shared" si="828"/>
        <v>9803</v>
      </c>
      <c r="E4443" s="1" t="s">
        <v>32</v>
      </c>
      <c r="F4443" s="1" t="str">
        <f>"D556329C2D88040043265ABE00030710"</f>
        <v>D556329C2D88040043265ABE00030710</v>
      </c>
      <c r="G4443" s="1" t="s">
        <v>58</v>
      </c>
      <c r="H4443" s="1" t="str">
        <f t="shared" ref="H4443:H4474" si="830">"20220919"</f>
        <v>20220919</v>
      </c>
      <c r="I4443" s="1" t="str">
        <f>"094816"</f>
        <v>094816</v>
      </c>
      <c r="J4443" s="1" t="s">
        <v>28</v>
      </c>
      <c r="K4443" s="1" t="s">
        <v>28</v>
      </c>
      <c r="L4443" s="1" t="str">
        <f t="shared" ref="L4443:L4474" si="831">"20220919"</f>
        <v>20220919</v>
      </c>
      <c r="M4443" s="1" t="str">
        <f>"100754"</f>
        <v>100754</v>
      </c>
      <c r="N4443" s="1" t="s">
        <v>34</v>
      </c>
      <c r="O4443" s="1" t="s">
        <v>34</v>
      </c>
      <c r="P4443" s="1" t="s">
        <v>55</v>
      </c>
      <c r="Q4443" s="1">
        <v>25</v>
      </c>
      <c r="R4443" s="1">
        <v>25</v>
      </c>
      <c r="S4443" s="1">
        <v>0</v>
      </c>
      <c r="T4443" s="1">
        <v>0</v>
      </c>
      <c r="U4443" s="1">
        <v>0</v>
      </c>
      <c r="V4443" s="1" t="str">
        <f t="shared" si="829"/>
        <v>里程去程</v>
      </c>
      <c r="W4443" s="1" t="str">
        <f>"0020"</f>
        <v>0020</v>
      </c>
      <c r="X4443" s="1" t="s">
        <v>29</v>
      </c>
    </row>
    <row r="4444" spans="1:24" x14ac:dyDescent="0.3">
      <c r="A4444" s="1" t="str">
        <f t="shared" si="827"/>
        <v>59822</v>
      </c>
      <c r="B4444" s="1" t="s">
        <v>39</v>
      </c>
      <c r="C4444" s="1" t="s">
        <v>40</v>
      </c>
      <c r="D4444" s="1" t="str">
        <f t="shared" si="828"/>
        <v>9803</v>
      </c>
      <c r="E4444" s="1" t="s">
        <v>32</v>
      </c>
      <c r="F4444" s="1" t="str">
        <f>"D175934473280400F700000000000000"</f>
        <v>D175934473280400F700000000000000</v>
      </c>
      <c r="G4444" s="1" t="s">
        <v>58</v>
      </c>
      <c r="H4444" s="1" t="str">
        <f t="shared" si="830"/>
        <v>20220919</v>
      </c>
      <c r="I4444" s="1" t="str">
        <f>"094832"</f>
        <v>094832</v>
      </c>
      <c r="J4444" s="1" t="s">
        <v>28</v>
      </c>
      <c r="K4444" s="1" t="s">
        <v>28</v>
      </c>
      <c r="L4444" s="1" t="str">
        <f t="shared" si="831"/>
        <v>20220919</v>
      </c>
      <c r="M4444" s="1" t="str">
        <f>"100804"</f>
        <v>100804</v>
      </c>
      <c r="N4444" s="1" t="s">
        <v>34</v>
      </c>
      <c r="O4444" s="1" t="s">
        <v>34</v>
      </c>
      <c r="P4444" s="1" t="s">
        <v>55</v>
      </c>
      <c r="Q4444" s="1">
        <v>25</v>
      </c>
      <c r="R4444" s="1">
        <v>0</v>
      </c>
      <c r="S4444" s="1">
        <v>25</v>
      </c>
      <c r="T4444" s="1">
        <v>0</v>
      </c>
      <c r="U4444" s="1">
        <v>0</v>
      </c>
      <c r="V4444" s="1" t="str">
        <f t="shared" si="829"/>
        <v>里程去程</v>
      </c>
      <c r="W4444" s="1" t="str">
        <f>"0620"</f>
        <v>0620</v>
      </c>
      <c r="X4444" s="1" t="s">
        <v>29</v>
      </c>
    </row>
    <row r="4445" spans="1:24" x14ac:dyDescent="0.3">
      <c r="A4445" s="1" t="str">
        <f t="shared" si="827"/>
        <v>59822</v>
      </c>
      <c r="B4445" s="1" t="s">
        <v>39</v>
      </c>
      <c r="C4445" s="1" t="s">
        <v>40</v>
      </c>
      <c r="D4445" s="1" t="str">
        <f t="shared" si="828"/>
        <v>9803</v>
      </c>
      <c r="E4445" s="1" t="s">
        <v>32</v>
      </c>
      <c r="F4445" s="1" t="str">
        <f>"637614465"</f>
        <v>637614465</v>
      </c>
      <c r="G4445" s="1" t="s">
        <v>33</v>
      </c>
      <c r="H4445" s="1" t="str">
        <f t="shared" si="830"/>
        <v>20220919</v>
      </c>
      <c r="I4445" s="1" t="str">
        <f>"094838"</f>
        <v>094838</v>
      </c>
      <c r="J4445" s="1" t="s">
        <v>28</v>
      </c>
      <c r="K4445" s="1" t="s">
        <v>28</v>
      </c>
      <c r="L4445" s="1" t="str">
        <f t="shared" si="831"/>
        <v>20220919</v>
      </c>
      <c r="M4445" s="1" t="str">
        <f>"100734"</f>
        <v>100734</v>
      </c>
      <c r="N4445" s="1" t="s">
        <v>34</v>
      </c>
      <c r="O4445" s="1" t="s">
        <v>34</v>
      </c>
      <c r="P4445" s="1" t="s">
        <v>55</v>
      </c>
      <c r="Q4445" s="1">
        <v>25</v>
      </c>
      <c r="R4445" s="1">
        <v>25</v>
      </c>
      <c r="S4445" s="1">
        <v>0</v>
      </c>
      <c r="T4445" s="1">
        <v>0</v>
      </c>
      <c r="U4445" s="1">
        <v>0</v>
      </c>
      <c r="V4445" s="1" t="str">
        <f t="shared" si="829"/>
        <v>里程去程</v>
      </c>
      <c r="W4445" s="1" t="str">
        <f>"1420"</f>
        <v>1420</v>
      </c>
      <c r="X4445" s="1" t="s">
        <v>35</v>
      </c>
    </row>
    <row r="4446" spans="1:24" x14ac:dyDescent="0.3">
      <c r="A4446" s="1" t="str">
        <f t="shared" si="827"/>
        <v>59822</v>
      </c>
      <c r="B4446" s="1" t="s">
        <v>39</v>
      </c>
      <c r="C4446" s="1" t="s">
        <v>40</v>
      </c>
      <c r="D4446" s="1" t="str">
        <f>"9805"</f>
        <v>9805</v>
      </c>
      <c r="E4446" s="1" t="s">
        <v>57</v>
      </c>
      <c r="F4446" s="1" t="str">
        <f>"520C8619C1880400C824002000000020"</f>
        <v>520C8619C1880400C824002000000020</v>
      </c>
      <c r="G4446" s="1" t="s">
        <v>59</v>
      </c>
      <c r="H4446" s="1" t="str">
        <f t="shared" si="830"/>
        <v>20220919</v>
      </c>
      <c r="I4446" s="1" t="str">
        <f>"121104"</f>
        <v>121104</v>
      </c>
      <c r="J4446" s="1" t="s">
        <v>28</v>
      </c>
      <c r="K4446" s="1" t="s">
        <v>28</v>
      </c>
      <c r="L4446" s="1" t="str">
        <f t="shared" si="831"/>
        <v>20220919</v>
      </c>
      <c r="M4446" s="1" t="str">
        <f>"122747"</f>
        <v>122747</v>
      </c>
      <c r="N4446" s="1" t="s">
        <v>52</v>
      </c>
      <c r="O4446" s="1" t="s">
        <v>52</v>
      </c>
      <c r="P4446" s="1" t="s">
        <v>55</v>
      </c>
      <c r="Q4446" s="1">
        <v>25</v>
      </c>
      <c r="R4446" s="1">
        <v>0</v>
      </c>
      <c r="S4446" s="1">
        <v>25</v>
      </c>
      <c r="T4446" s="1">
        <v>0</v>
      </c>
      <c r="U4446" s="1">
        <v>0</v>
      </c>
      <c r="V4446" s="1" t="str">
        <f t="shared" si="829"/>
        <v>里程去程</v>
      </c>
      <c r="W4446" s="1" t="str">
        <f>"0620"</f>
        <v>0620</v>
      </c>
      <c r="X4446" s="1" t="s">
        <v>29</v>
      </c>
    </row>
    <row r="4447" spans="1:24" x14ac:dyDescent="0.3">
      <c r="A4447" s="1" t="str">
        <f t="shared" si="827"/>
        <v>59822</v>
      </c>
      <c r="B4447" s="1" t="s">
        <v>39</v>
      </c>
      <c r="C4447" s="1" t="s">
        <v>40</v>
      </c>
      <c r="D4447" s="1" t="str">
        <f>"9805"</f>
        <v>9805</v>
      </c>
      <c r="E4447" s="1" t="s">
        <v>57</v>
      </c>
      <c r="F4447" s="1" t="str">
        <f>"1656503345"</f>
        <v>1656503345</v>
      </c>
      <c r="G4447" s="1" t="s">
        <v>33</v>
      </c>
      <c r="H4447" s="1" t="str">
        <f t="shared" si="830"/>
        <v>20220919</v>
      </c>
      <c r="I4447" s="1" t="str">
        <f>"122011"</f>
        <v>122011</v>
      </c>
      <c r="J4447" s="1" t="s">
        <v>46</v>
      </c>
      <c r="K4447" s="1" t="s">
        <v>28</v>
      </c>
      <c r="L4447" s="1" t="str">
        <f t="shared" si="831"/>
        <v>20220919</v>
      </c>
      <c r="M4447" s="1" t="str">
        <f>"122449"</f>
        <v>122449</v>
      </c>
      <c r="N4447" s="1" t="s">
        <v>62</v>
      </c>
      <c r="O4447" s="1" t="s">
        <v>28</v>
      </c>
      <c r="P4447" s="1" t="s">
        <v>55</v>
      </c>
      <c r="Q4447" s="1">
        <v>25</v>
      </c>
      <c r="R4447" s="1">
        <v>0</v>
      </c>
      <c r="S4447" s="1">
        <v>25</v>
      </c>
      <c r="T4447" s="1">
        <v>0</v>
      </c>
      <c r="U4447" s="1">
        <v>0</v>
      </c>
      <c r="V4447" s="1" t="str">
        <f t="shared" si="829"/>
        <v>里程去程</v>
      </c>
      <c r="W4447" s="1" t="str">
        <f>"2020"</f>
        <v>2020</v>
      </c>
      <c r="X4447" s="1" t="s">
        <v>35</v>
      </c>
    </row>
    <row r="4448" spans="1:24" x14ac:dyDescent="0.3">
      <c r="A4448" s="1" t="str">
        <f t="shared" si="827"/>
        <v>59822</v>
      </c>
      <c r="B4448" s="1" t="s">
        <v>39</v>
      </c>
      <c r="C4448" s="1" t="s">
        <v>40</v>
      </c>
      <c r="D4448" s="1" t="str">
        <f>"9805"</f>
        <v>9805</v>
      </c>
      <c r="E4448" s="1" t="s">
        <v>57</v>
      </c>
      <c r="F4448" s="1" t="str">
        <f>"855043381"</f>
        <v>855043381</v>
      </c>
      <c r="G4448" s="1" t="s">
        <v>33</v>
      </c>
      <c r="H4448" s="1" t="str">
        <f t="shared" si="830"/>
        <v>20220919</v>
      </c>
      <c r="I4448" s="1" t="str">
        <f>"122015"</f>
        <v>122015</v>
      </c>
      <c r="J4448" s="1" t="s">
        <v>46</v>
      </c>
      <c r="K4448" s="1" t="s">
        <v>28</v>
      </c>
      <c r="L4448" s="1" t="str">
        <f t="shared" si="831"/>
        <v>20220919</v>
      </c>
      <c r="M4448" s="1" t="str">
        <f>"122455"</f>
        <v>122455</v>
      </c>
      <c r="N4448" s="1" t="s">
        <v>62</v>
      </c>
      <c r="O4448" s="1" t="s">
        <v>28</v>
      </c>
      <c r="P4448" s="1" t="s">
        <v>55</v>
      </c>
      <c r="Q4448" s="1">
        <v>25</v>
      </c>
      <c r="R4448" s="1">
        <v>0</v>
      </c>
      <c r="S4448" s="1">
        <v>25</v>
      </c>
      <c r="T4448" s="1">
        <v>0</v>
      </c>
      <c r="U4448" s="1">
        <v>0</v>
      </c>
      <c r="V4448" s="1" t="str">
        <f t="shared" si="829"/>
        <v>里程去程</v>
      </c>
      <c r="W4448" s="1" t="str">
        <f>"2020"</f>
        <v>2020</v>
      </c>
      <c r="X4448" s="1" t="s">
        <v>35</v>
      </c>
    </row>
    <row r="4449" spans="1:24" x14ac:dyDescent="0.3">
      <c r="A4449" s="1" t="str">
        <f t="shared" si="827"/>
        <v>59822</v>
      </c>
      <c r="B4449" s="1" t="s">
        <v>39</v>
      </c>
      <c r="C4449" s="1" t="s">
        <v>40</v>
      </c>
      <c r="D4449" s="1" t="str">
        <f>"9805"</f>
        <v>9805</v>
      </c>
      <c r="E4449" s="1" t="s">
        <v>57</v>
      </c>
      <c r="F4449" s="1" t="str">
        <f>"1656503345"</f>
        <v>1656503345</v>
      </c>
      <c r="G4449" s="1" t="s">
        <v>33</v>
      </c>
      <c r="H4449" s="1" t="str">
        <f t="shared" si="830"/>
        <v>20220919</v>
      </c>
      <c r="I4449" s="1" t="str">
        <f>"131410"</f>
        <v>131410</v>
      </c>
      <c r="J4449" s="1" t="s">
        <v>62</v>
      </c>
      <c r="K4449" s="1" t="s">
        <v>28</v>
      </c>
      <c r="L4449" s="1" t="str">
        <f t="shared" si="831"/>
        <v>20220919</v>
      </c>
      <c r="M4449" s="1" t="str">
        <f>"132824"</f>
        <v>132824</v>
      </c>
      <c r="N4449" s="1" t="s">
        <v>28</v>
      </c>
      <c r="O4449" s="1" t="s">
        <v>28</v>
      </c>
      <c r="P4449" s="1" t="s">
        <v>55</v>
      </c>
      <c r="Q4449" s="1">
        <v>25</v>
      </c>
      <c r="R4449" s="1">
        <v>25</v>
      </c>
      <c r="S4449" s="1">
        <v>0</v>
      </c>
      <c r="T4449" s="1">
        <v>0</v>
      </c>
      <c r="U4449" s="1">
        <v>0</v>
      </c>
      <c r="V4449" s="1" t="str">
        <f>"里程返程"</f>
        <v>里程返程</v>
      </c>
      <c r="W4449" s="1" t="str">
        <f>"2020"</f>
        <v>2020</v>
      </c>
      <c r="X4449" s="1" t="s">
        <v>35</v>
      </c>
    </row>
    <row r="4450" spans="1:24" x14ac:dyDescent="0.3">
      <c r="A4450" s="1" t="str">
        <f t="shared" si="827"/>
        <v>59822</v>
      </c>
      <c r="B4450" s="1" t="s">
        <v>39</v>
      </c>
      <c r="C4450" s="1" t="s">
        <v>40</v>
      </c>
      <c r="D4450" s="1" t="str">
        <f>"9805"</f>
        <v>9805</v>
      </c>
      <c r="E4450" s="1" t="s">
        <v>57</v>
      </c>
      <c r="F4450" s="1" t="str">
        <f>"855043381"</f>
        <v>855043381</v>
      </c>
      <c r="G4450" s="1" t="s">
        <v>33</v>
      </c>
      <c r="H4450" s="1" t="str">
        <f t="shared" si="830"/>
        <v>20220919</v>
      </c>
      <c r="I4450" s="1" t="str">
        <f>"131412"</f>
        <v>131412</v>
      </c>
      <c r="J4450" s="1" t="s">
        <v>62</v>
      </c>
      <c r="K4450" s="1" t="s">
        <v>28</v>
      </c>
      <c r="L4450" s="1" t="str">
        <f t="shared" si="831"/>
        <v>20220919</v>
      </c>
      <c r="M4450" s="1" t="str">
        <f>"132821"</f>
        <v>132821</v>
      </c>
      <c r="N4450" s="1" t="s">
        <v>28</v>
      </c>
      <c r="O4450" s="1" t="s">
        <v>28</v>
      </c>
      <c r="P4450" s="1" t="s">
        <v>55</v>
      </c>
      <c r="Q4450" s="1">
        <v>25</v>
      </c>
      <c r="R4450" s="1">
        <v>25</v>
      </c>
      <c r="S4450" s="1">
        <v>0</v>
      </c>
      <c r="T4450" s="1">
        <v>0</v>
      </c>
      <c r="U4450" s="1">
        <v>0</v>
      </c>
      <c r="V4450" s="1" t="str">
        <f>"里程返程"</f>
        <v>里程返程</v>
      </c>
      <c r="W4450" s="1" t="str">
        <f>"2020"</f>
        <v>2020</v>
      </c>
      <c r="X4450" s="1" t="s">
        <v>35</v>
      </c>
    </row>
    <row r="4451" spans="1:24" x14ac:dyDescent="0.3">
      <c r="A4451" s="1" t="str">
        <f t="shared" si="827"/>
        <v>59822</v>
      </c>
      <c r="B4451" s="1" t="s">
        <v>39</v>
      </c>
      <c r="C4451" s="1" t="s">
        <v>40</v>
      </c>
      <c r="D4451" s="1" t="str">
        <f>"9803"</f>
        <v>9803</v>
      </c>
      <c r="E4451" s="1" t="s">
        <v>32</v>
      </c>
      <c r="F4451" s="1" t="str">
        <f>"494689569"</f>
        <v>494689569</v>
      </c>
      <c r="G4451" s="1" t="s">
        <v>26</v>
      </c>
      <c r="H4451" s="1" t="str">
        <f t="shared" si="830"/>
        <v>20220919</v>
      </c>
      <c r="I4451" s="1" t="str">
        <f>"132853"</f>
        <v>132853</v>
      </c>
      <c r="J4451" s="1" t="s">
        <v>28</v>
      </c>
      <c r="K4451" s="1" t="s">
        <v>28</v>
      </c>
      <c r="L4451" s="1" t="str">
        <f t="shared" si="831"/>
        <v>20220919</v>
      </c>
      <c r="M4451" s="1" t="str">
        <f>"134815"</f>
        <v>134815</v>
      </c>
      <c r="N4451" s="1" t="s">
        <v>34</v>
      </c>
      <c r="O4451" s="1" t="s">
        <v>34</v>
      </c>
      <c r="P4451" s="1" t="s">
        <v>55</v>
      </c>
      <c r="Q4451" s="1">
        <v>13</v>
      </c>
      <c r="R4451" s="1">
        <v>13</v>
      </c>
      <c r="S4451" s="1">
        <v>0</v>
      </c>
      <c r="T4451" s="1">
        <v>0</v>
      </c>
      <c r="U4451" s="1">
        <v>0</v>
      </c>
      <c r="V4451" s="1" t="str">
        <f>"里程去程"</f>
        <v>里程去程</v>
      </c>
      <c r="W4451" s="1" t="str">
        <f>"1920"</f>
        <v>1920</v>
      </c>
      <c r="X4451" s="1" t="s">
        <v>35</v>
      </c>
    </row>
    <row r="4452" spans="1:24" x14ac:dyDescent="0.3">
      <c r="A4452" s="1" t="str">
        <f t="shared" si="827"/>
        <v>59822</v>
      </c>
      <c r="B4452" s="1" t="s">
        <v>39</v>
      </c>
      <c r="C4452" s="1" t="s">
        <v>40</v>
      </c>
      <c r="D4452" s="1" t="str">
        <f>"9803"</f>
        <v>9803</v>
      </c>
      <c r="E4452" s="1" t="s">
        <v>32</v>
      </c>
      <c r="F4452" s="1" t="str">
        <f>"F1CFF23FF3280400F700000000000000"</f>
        <v>F1CFF23FF3280400F700000000000000</v>
      </c>
      <c r="G4452" s="1" t="s">
        <v>58</v>
      </c>
      <c r="H4452" s="1" t="str">
        <f t="shared" si="830"/>
        <v>20220919</v>
      </c>
      <c r="I4452" s="1" t="str">
        <f>"132856"</f>
        <v>132856</v>
      </c>
      <c r="J4452" s="1" t="s">
        <v>28</v>
      </c>
      <c r="K4452" s="1" t="s">
        <v>28</v>
      </c>
      <c r="L4452" s="1" t="str">
        <f t="shared" si="831"/>
        <v>20220919</v>
      </c>
      <c r="M4452" s="1" t="str">
        <f>"134835"</f>
        <v>134835</v>
      </c>
      <c r="N4452" s="1" t="s">
        <v>34</v>
      </c>
      <c r="O4452" s="1" t="s">
        <v>34</v>
      </c>
      <c r="P4452" s="1" t="s">
        <v>55</v>
      </c>
      <c r="Q4452" s="1">
        <v>25</v>
      </c>
      <c r="R4452" s="1">
        <v>25</v>
      </c>
      <c r="S4452" s="1">
        <v>0</v>
      </c>
      <c r="T4452" s="1">
        <v>0</v>
      </c>
      <c r="U4452" s="1">
        <v>0</v>
      </c>
      <c r="V4452" s="1" t="str">
        <f>"里程去程"</f>
        <v>里程去程</v>
      </c>
      <c r="W4452" s="1" t="str">
        <f>"0020"</f>
        <v>0020</v>
      </c>
      <c r="X4452" s="1" t="s">
        <v>29</v>
      </c>
    </row>
    <row r="4453" spans="1:24" x14ac:dyDescent="0.3">
      <c r="A4453" s="1" t="str">
        <f t="shared" si="827"/>
        <v>59822</v>
      </c>
      <c r="B4453" s="1" t="s">
        <v>39</v>
      </c>
      <c r="C4453" s="1" t="s">
        <v>40</v>
      </c>
      <c r="D4453" s="1" t="str">
        <f>"9803"</f>
        <v>9803</v>
      </c>
      <c r="E4453" s="1" t="s">
        <v>32</v>
      </c>
      <c r="F4453" s="1" t="str">
        <f>"212205617"</f>
        <v>212205617</v>
      </c>
      <c r="G4453" s="1" t="s">
        <v>33</v>
      </c>
      <c r="H4453" s="1" t="str">
        <f t="shared" si="830"/>
        <v>20220919</v>
      </c>
      <c r="I4453" s="1" t="str">
        <f>"134914"</f>
        <v>134914</v>
      </c>
      <c r="J4453" s="1" t="s">
        <v>34</v>
      </c>
      <c r="K4453" s="1" t="s">
        <v>34</v>
      </c>
      <c r="L4453" s="1" t="str">
        <f t="shared" si="831"/>
        <v>20220919</v>
      </c>
      <c r="M4453" s="1" t="str">
        <f>"142910"</f>
        <v>142910</v>
      </c>
      <c r="N4453" s="1" t="s">
        <v>28</v>
      </c>
      <c r="O4453" s="1" t="s">
        <v>28</v>
      </c>
      <c r="P4453" s="1" t="s">
        <v>55</v>
      </c>
      <c r="Q4453" s="1">
        <v>25</v>
      </c>
      <c r="R4453" s="1">
        <v>25</v>
      </c>
      <c r="S4453" s="1">
        <v>0</v>
      </c>
      <c r="T4453" s="1">
        <v>0</v>
      </c>
      <c r="U4453" s="1">
        <v>0</v>
      </c>
      <c r="V4453" s="1" t="str">
        <f>"里程返程"</f>
        <v>里程返程</v>
      </c>
      <c r="W4453" s="1" t="str">
        <f>"2020"</f>
        <v>2020</v>
      </c>
      <c r="X4453" s="1" t="s">
        <v>35</v>
      </c>
    </row>
    <row r="4454" spans="1:24" x14ac:dyDescent="0.3">
      <c r="A4454" s="1" t="str">
        <f t="shared" si="827"/>
        <v>59822</v>
      </c>
      <c r="B4454" s="1" t="s">
        <v>39</v>
      </c>
      <c r="C4454" s="1" t="s">
        <v>40</v>
      </c>
      <c r="D4454" s="1" t="str">
        <f>"9803"</f>
        <v>9803</v>
      </c>
      <c r="E4454" s="1" t="s">
        <v>32</v>
      </c>
      <c r="F4454" s="1" t="str">
        <f>"1598139386"</f>
        <v>1598139386</v>
      </c>
      <c r="G4454" s="1" t="s">
        <v>33</v>
      </c>
      <c r="H4454" s="1" t="str">
        <f t="shared" si="830"/>
        <v>20220919</v>
      </c>
      <c r="I4454" s="1" t="str">
        <f>"134916"</f>
        <v>134916</v>
      </c>
      <c r="J4454" s="1" t="s">
        <v>34</v>
      </c>
      <c r="K4454" s="1" t="s">
        <v>34</v>
      </c>
      <c r="L4454" s="1" t="str">
        <f t="shared" si="831"/>
        <v>20220919</v>
      </c>
      <c r="M4454" s="1" t="str">
        <f>"142908"</f>
        <v>142908</v>
      </c>
      <c r="N4454" s="1" t="s">
        <v>28</v>
      </c>
      <c r="O4454" s="1" t="s">
        <v>28</v>
      </c>
      <c r="P4454" s="1" t="s">
        <v>55</v>
      </c>
      <c r="Q4454" s="1">
        <v>25</v>
      </c>
      <c r="R4454" s="1">
        <v>25</v>
      </c>
      <c r="S4454" s="1">
        <v>0</v>
      </c>
      <c r="T4454" s="1">
        <v>0</v>
      </c>
      <c r="U4454" s="1">
        <v>0</v>
      </c>
      <c r="V4454" s="1" t="str">
        <f>"里程返程"</f>
        <v>里程返程</v>
      </c>
      <c r="W4454" s="1" t="str">
        <f>"2020"</f>
        <v>2020</v>
      </c>
      <c r="X4454" s="1" t="s">
        <v>35</v>
      </c>
    </row>
    <row r="4455" spans="1:24" x14ac:dyDescent="0.3">
      <c r="A4455" s="1" t="str">
        <f t="shared" si="827"/>
        <v>59822</v>
      </c>
      <c r="B4455" s="1" t="s">
        <v>39</v>
      </c>
      <c r="C4455" s="1" t="s">
        <v>40</v>
      </c>
      <c r="D4455" s="1" t="str">
        <f>"9803"</f>
        <v>9803</v>
      </c>
      <c r="E4455" s="1" t="s">
        <v>32</v>
      </c>
      <c r="F4455" s="1" t="str">
        <f>"00C5D05742880400468F74D84D502311"</f>
        <v>00C5D05742880400468F74D84D502311</v>
      </c>
      <c r="G4455" s="1" t="s">
        <v>58</v>
      </c>
      <c r="H4455" s="1" t="str">
        <f t="shared" si="830"/>
        <v>20220919</v>
      </c>
      <c r="I4455" s="1" t="str">
        <f>"135032"</f>
        <v>135032</v>
      </c>
      <c r="J4455" s="1" t="s">
        <v>34</v>
      </c>
      <c r="K4455" s="1" t="s">
        <v>34</v>
      </c>
      <c r="L4455" s="1" t="str">
        <f t="shared" si="831"/>
        <v>20220919</v>
      </c>
      <c r="M4455" s="1" t="str">
        <f>"142857"</f>
        <v>142857</v>
      </c>
      <c r="N4455" s="1" t="s">
        <v>28</v>
      </c>
      <c r="O4455" s="1" t="s">
        <v>28</v>
      </c>
      <c r="P4455" s="1" t="s">
        <v>55</v>
      </c>
      <c r="Q4455" s="1">
        <v>25</v>
      </c>
      <c r="R4455" s="1">
        <v>25</v>
      </c>
      <c r="S4455" s="1">
        <v>0</v>
      </c>
      <c r="T4455" s="1">
        <v>0</v>
      </c>
      <c r="U4455" s="1">
        <v>0</v>
      </c>
      <c r="V4455" s="1" t="str">
        <f>"里程返程"</f>
        <v>里程返程</v>
      </c>
      <c r="W4455" s="1" t="str">
        <f>"0020"</f>
        <v>0020</v>
      </c>
      <c r="X4455" s="1" t="s">
        <v>29</v>
      </c>
    </row>
    <row r="4456" spans="1:24" x14ac:dyDescent="0.3">
      <c r="A4456" s="1" t="str">
        <f t="shared" si="827"/>
        <v>59822</v>
      </c>
      <c r="B4456" s="1" t="s">
        <v>39</v>
      </c>
      <c r="C4456" s="1" t="s">
        <v>40</v>
      </c>
      <c r="D4456" s="1" t="str">
        <f>"9805"</f>
        <v>9805</v>
      </c>
      <c r="E4456" s="1" t="s">
        <v>57</v>
      </c>
      <c r="F4456" s="1" t="str">
        <f>"306759329"</f>
        <v>306759329</v>
      </c>
      <c r="G4456" s="1" t="s">
        <v>33</v>
      </c>
      <c r="H4456" s="1" t="str">
        <f t="shared" si="830"/>
        <v>20220919</v>
      </c>
      <c r="I4456" s="1" t="str">
        <f>"152041"</f>
        <v>152041</v>
      </c>
      <c r="J4456" s="1" t="s">
        <v>28</v>
      </c>
      <c r="K4456" s="1" t="s">
        <v>28</v>
      </c>
      <c r="L4456" s="1" t="str">
        <f t="shared" si="831"/>
        <v>20220919</v>
      </c>
      <c r="M4456" s="1" t="str">
        <f>"153514"</f>
        <v>153514</v>
      </c>
      <c r="N4456" s="1" t="s">
        <v>62</v>
      </c>
      <c r="O4456" s="1" t="s">
        <v>28</v>
      </c>
      <c r="P4456" s="1" t="s">
        <v>55</v>
      </c>
      <c r="Q4456" s="1">
        <v>25</v>
      </c>
      <c r="R4456" s="1">
        <v>25</v>
      </c>
      <c r="S4456" s="1">
        <v>0</v>
      </c>
      <c r="T4456" s="1">
        <v>0</v>
      </c>
      <c r="U4456" s="1">
        <v>0</v>
      </c>
      <c r="V4456" s="1" t="str">
        <f>"里程去程"</f>
        <v>里程去程</v>
      </c>
      <c r="W4456" s="1" t="str">
        <f>"0a20"</f>
        <v>0a20</v>
      </c>
      <c r="X4456" s="1" t="s">
        <v>35</v>
      </c>
    </row>
    <row r="4457" spans="1:24" x14ac:dyDescent="0.3">
      <c r="A4457" s="1" t="str">
        <f t="shared" si="827"/>
        <v>59822</v>
      </c>
      <c r="B4457" s="1" t="s">
        <v>39</v>
      </c>
      <c r="C4457" s="1" t="s">
        <v>40</v>
      </c>
      <c r="D4457" s="1" t="str">
        <f>"9805"</f>
        <v>9805</v>
      </c>
      <c r="E4457" s="1" t="s">
        <v>57</v>
      </c>
      <c r="F4457" s="1" t="str">
        <f>"5213450206880400C821002000000015"</f>
        <v>5213450206880400C821002000000015</v>
      </c>
      <c r="G4457" s="1" t="s">
        <v>26</v>
      </c>
      <c r="H4457" s="1" t="str">
        <f t="shared" si="830"/>
        <v>20220919</v>
      </c>
      <c r="I4457" s="1" t="str">
        <f>"152048"</f>
        <v>152048</v>
      </c>
      <c r="J4457" s="1" t="s">
        <v>28</v>
      </c>
      <c r="K4457" s="1" t="s">
        <v>28</v>
      </c>
      <c r="L4457" s="1" t="str">
        <f t="shared" si="831"/>
        <v>20220919</v>
      </c>
      <c r="M4457" s="1" t="str">
        <f>"153237"</f>
        <v>153237</v>
      </c>
      <c r="N4457" s="1" t="s">
        <v>61</v>
      </c>
      <c r="O4457" s="1" t="s">
        <v>28</v>
      </c>
      <c r="P4457" s="1" t="s">
        <v>68</v>
      </c>
      <c r="Q4457" s="1">
        <v>13</v>
      </c>
      <c r="R4457" s="1">
        <v>0</v>
      </c>
      <c r="S4457" s="1">
        <v>0</v>
      </c>
      <c r="T4457" s="1">
        <v>13</v>
      </c>
      <c r="U4457" s="1">
        <v>0</v>
      </c>
      <c r="V4457" s="1" t="str">
        <f>"里程去程"</f>
        <v>里程去程</v>
      </c>
      <c r="W4457" s="1" t="str">
        <f>"0020"</f>
        <v>0020</v>
      </c>
      <c r="X4457" s="1" t="s">
        <v>29</v>
      </c>
    </row>
    <row r="4458" spans="1:24" x14ac:dyDescent="0.3">
      <c r="A4458" s="1" t="str">
        <f t="shared" si="827"/>
        <v>59822</v>
      </c>
      <c r="B4458" s="1" t="s">
        <v>39</v>
      </c>
      <c r="C4458" s="1" t="s">
        <v>40</v>
      </c>
      <c r="D4458" s="1" t="str">
        <f>"9806"</f>
        <v>9806</v>
      </c>
      <c r="E4458" s="1" t="s">
        <v>49</v>
      </c>
      <c r="F4458" s="1" t="str">
        <f>"6267460241880400C821002000000015"</f>
        <v>6267460241880400C821002000000015</v>
      </c>
      <c r="G4458" s="1" t="s">
        <v>26</v>
      </c>
      <c r="H4458" s="1" t="str">
        <f t="shared" si="830"/>
        <v>20220919</v>
      </c>
      <c r="I4458" s="1" t="str">
        <f>"170048"</f>
        <v>170048</v>
      </c>
      <c r="J4458" s="1" t="s">
        <v>28</v>
      </c>
      <c r="K4458" s="1" t="s">
        <v>28</v>
      </c>
      <c r="L4458" s="1" t="str">
        <f t="shared" si="831"/>
        <v>20220919</v>
      </c>
      <c r="M4458" s="1" t="str">
        <f>"172211"</f>
        <v>172211</v>
      </c>
      <c r="N4458" s="1" t="s">
        <v>50</v>
      </c>
      <c r="O4458" s="1" t="s">
        <v>50</v>
      </c>
      <c r="P4458" s="1" t="s">
        <v>68</v>
      </c>
      <c r="Q4458" s="1">
        <v>13</v>
      </c>
      <c r="R4458" s="1">
        <v>0</v>
      </c>
      <c r="S4458" s="1">
        <v>0</v>
      </c>
      <c r="T4458" s="1">
        <v>13</v>
      </c>
      <c r="U4458" s="1">
        <v>0</v>
      </c>
      <c r="V4458" s="1" t="str">
        <f>"里程返程"</f>
        <v>里程返程</v>
      </c>
      <c r="W4458" s="1" t="str">
        <f>"0020"</f>
        <v>0020</v>
      </c>
      <c r="X4458" s="1" t="s">
        <v>29</v>
      </c>
    </row>
    <row r="4459" spans="1:24" x14ac:dyDescent="0.3">
      <c r="A4459" s="1" t="str">
        <f t="shared" si="827"/>
        <v>59822</v>
      </c>
      <c r="B4459" s="1" t="s">
        <v>39</v>
      </c>
      <c r="C4459" s="1" t="s">
        <v>40</v>
      </c>
      <c r="D4459" s="1" t="str">
        <f>"9806"</f>
        <v>9806</v>
      </c>
      <c r="E4459" s="1" t="s">
        <v>49</v>
      </c>
      <c r="F4459" s="1" t="str">
        <f>"805053841"</f>
        <v>805053841</v>
      </c>
      <c r="G4459" s="1" t="s">
        <v>26</v>
      </c>
      <c r="H4459" s="1" t="str">
        <f t="shared" si="830"/>
        <v>20220919</v>
      </c>
      <c r="I4459" s="1" t="str">
        <f>"170051"</f>
        <v>170051</v>
      </c>
      <c r="J4459" s="1" t="s">
        <v>28</v>
      </c>
      <c r="K4459" s="1" t="s">
        <v>28</v>
      </c>
      <c r="L4459" s="1" t="str">
        <f t="shared" si="831"/>
        <v>20220919</v>
      </c>
      <c r="M4459" s="1" t="str">
        <f>"172206"</f>
        <v>172206</v>
      </c>
      <c r="N4459" s="1" t="s">
        <v>50</v>
      </c>
      <c r="O4459" s="1" t="s">
        <v>50</v>
      </c>
      <c r="P4459" s="1" t="s">
        <v>55</v>
      </c>
      <c r="Q4459" s="1">
        <v>13</v>
      </c>
      <c r="R4459" s="1">
        <v>0</v>
      </c>
      <c r="S4459" s="1">
        <v>13</v>
      </c>
      <c r="T4459" s="1">
        <v>0</v>
      </c>
      <c r="U4459" s="1">
        <v>0</v>
      </c>
      <c r="V4459" s="1" t="str">
        <f>"里程返程"</f>
        <v>里程返程</v>
      </c>
      <c r="W4459" s="1" t="str">
        <f>"2120"</f>
        <v>2120</v>
      </c>
      <c r="X4459" s="1" t="s">
        <v>35</v>
      </c>
    </row>
    <row r="4460" spans="1:24" x14ac:dyDescent="0.3">
      <c r="A4460" s="1" t="str">
        <f t="shared" si="827"/>
        <v>59822</v>
      </c>
      <c r="B4460" s="1" t="s">
        <v>39</v>
      </c>
      <c r="C4460" s="1" t="s">
        <v>40</v>
      </c>
      <c r="D4460" s="1" t="str">
        <f>"9806"</f>
        <v>9806</v>
      </c>
      <c r="E4460" s="1" t="s">
        <v>49</v>
      </c>
      <c r="F4460" s="1" t="str">
        <f>"5294A50063880400C801002000000015"</f>
        <v>5294A50063880400C801002000000015</v>
      </c>
      <c r="G4460" s="1" t="s">
        <v>58</v>
      </c>
      <c r="H4460" s="1" t="str">
        <f t="shared" si="830"/>
        <v>20220919</v>
      </c>
      <c r="I4460" s="1" t="str">
        <f>"172700"</f>
        <v>172700</v>
      </c>
      <c r="J4460" s="1" t="s">
        <v>76</v>
      </c>
      <c r="K4460" s="1" t="s">
        <v>28</v>
      </c>
      <c r="L4460" s="1" t="str">
        <f t="shared" si="831"/>
        <v>20220919</v>
      </c>
      <c r="M4460" s="1" t="str">
        <f>"174445"</f>
        <v>174445</v>
      </c>
      <c r="N4460" s="1" t="s">
        <v>28</v>
      </c>
      <c r="O4460" s="1" t="s">
        <v>28</v>
      </c>
      <c r="P4460" s="1" t="s">
        <v>55</v>
      </c>
      <c r="Q4460" s="1">
        <v>25</v>
      </c>
      <c r="R4460" s="1">
        <v>25</v>
      </c>
      <c r="S4460" s="1">
        <v>0</v>
      </c>
      <c r="T4460" s="1">
        <v>0</v>
      </c>
      <c r="U4460" s="1">
        <v>0</v>
      </c>
      <c r="V4460" s="1" t="str">
        <f>"里程去程"</f>
        <v>里程去程</v>
      </c>
      <c r="W4460" s="1" t="str">
        <f>"0020"</f>
        <v>0020</v>
      </c>
      <c r="X4460" s="1" t="s">
        <v>29</v>
      </c>
    </row>
    <row r="4461" spans="1:24" x14ac:dyDescent="0.3">
      <c r="A4461" s="1" t="str">
        <f t="shared" ref="A4461:A4507" si="832">"59823"</f>
        <v>59823</v>
      </c>
      <c r="B4461" s="1" t="s">
        <v>36</v>
      </c>
      <c r="C4461" s="1" t="s">
        <v>54</v>
      </c>
      <c r="D4461" s="1" t="str">
        <f>"9806"</f>
        <v>9806</v>
      </c>
      <c r="E4461" s="1" t="s">
        <v>49</v>
      </c>
      <c r="F4461" s="1" t="str">
        <f>"D1755A629C2804001C00000000000000"</f>
        <v>D1755A629C2804001C00000000000000</v>
      </c>
      <c r="G4461" s="1" t="s">
        <v>58</v>
      </c>
      <c r="H4461" s="1" t="str">
        <f t="shared" si="830"/>
        <v>20220919</v>
      </c>
      <c r="I4461" s="1" t="str">
        <f>"065216"</f>
        <v>065216</v>
      </c>
      <c r="J4461" s="1" t="s">
        <v>28</v>
      </c>
      <c r="K4461" s="1" t="s">
        <v>28</v>
      </c>
      <c r="L4461" s="1" t="str">
        <f t="shared" si="831"/>
        <v>20220919</v>
      </c>
      <c r="M4461" s="1" t="str">
        <f>"071302"</f>
        <v>071302</v>
      </c>
      <c r="N4461" s="1" t="s">
        <v>50</v>
      </c>
      <c r="O4461" s="1" t="s">
        <v>50</v>
      </c>
      <c r="P4461" s="1" t="s">
        <v>55</v>
      </c>
      <c r="Q4461" s="1">
        <v>25</v>
      </c>
      <c r="R4461" s="1">
        <v>25</v>
      </c>
      <c r="S4461" s="1">
        <v>0</v>
      </c>
      <c r="T4461" s="1">
        <v>0</v>
      </c>
      <c r="U4461" s="1">
        <v>0</v>
      </c>
      <c r="V4461" s="1" t="str">
        <f>"里程返程"</f>
        <v>里程返程</v>
      </c>
      <c r="W4461" s="1" t="str">
        <f>"0020"</f>
        <v>0020</v>
      </c>
      <c r="X4461" s="1" t="s">
        <v>29</v>
      </c>
    </row>
    <row r="4462" spans="1:24" x14ac:dyDescent="0.3">
      <c r="A4462" s="1" t="str">
        <f t="shared" si="832"/>
        <v>59823</v>
      </c>
      <c r="B4462" s="1" t="s">
        <v>36</v>
      </c>
      <c r="C4462" s="1" t="s">
        <v>54</v>
      </c>
      <c r="D4462" s="1" t="str">
        <f>"9806"</f>
        <v>9806</v>
      </c>
      <c r="E4462" s="1" t="s">
        <v>49</v>
      </c>
      <c r="F4462" s="1" t="str">
        <f>"1202E702F5880400C834002000000015"</f>
        <v>1202E702F5880400C834002000000015</v>
      </c>
      <c r="G4462" s="1" t="s">
        <v>74</v>
      </c>
      <c r="H4462" s="1" t="str">
        <f t="shared" si="830"/>
        <v>20220919</v>
      </c>
      <c r="I4462" s="1" t="str">
        <f>"065821"</f>
        <v>065821</v>
      </c>
      <c r="J4462" s="1" t="s">
        <v>101</v>
      </c>
      <c r="K4462" s="1" t="s">
        <v>28</v>
      </c>
      <c r="L4462" s="1" t="str">
        <f t="shared" si="831"/>
        <v>20220919</v>
      </c>
      <c r="M4462" s="1" t="str">
        <f>"070854"</f>
        <v>070854</v>
      </c>
      <c r="N4462" s="1" t="s">
        <v>99</v>
      </c>
      <c r="O4462" s="1" t="s">
        <v>28</v>
      </c>
      <c r="P4462" s="1" t="s">
        <v>68</v>
      </c>
      <c r="Q4462" s="1">
        <v>13</v>
      </c>
      <c r="R4462" s="1">
        <v>0</v>
      </c>
      <c r="S4462" s="1">
        <v>0</v>
      </c>
      <c r="T4462" s="1">
        <v>13</v>
      </c>
      <c r="U4462" s="1">
        <v>0</v>
      </c>
      <c r="V4462" s="1" t="str">
        <f>"里程返程"</f>
        <v>里程返程</v>
      </c>
      <c r="W4462" s="1" t="str">
        <f>"0020"</f>
        <v>0020</v>
      </c>
      <c r="X4462" s="1" t="s">
        <v>29</v>
      </c>
    </row>
    <row r="4463" spans="1:24" x14ac:dyDescent="0.3">
      <c r="A4463" s="1" t="str">
        <f t="shared" si="832"/>
        <v>59823</v>
      </c>
      <c r="B4463" s="1" t="s">
        <v>36</v>
      </c>
      <c r="C4463" s="1" t="s">
        <v>54</v>
      </c>
      <c r="D4463" s="1" t="str">
        <f t="shared" ref="D4463:D4507" si="833">"9803"</f>
        <v>9803</v>
      </c>
      <c r="E4463" s="1" t="s">
        <v>32</v>
      </c>
      <c r="F4463" s="1" t="str">
        <f>"E189A10EC7280400F700000000000000"</f>
        <v>E189A10EC7280400F700000000000000</v>
      </c>
      <c r="G4463" s="1" t="s">
        <v>58</v>
      </c>
      <c r="H4463" s="1" t="str">
        <f t="shared" si="830"/>
        <v>20220919</v>
      </c>
      <c r="I4463" s="1" t="str">
        <f>"102740"</f>
        <v>102740</v>
      </c>
      <c r="J4463" s="1" t="s">
        <v>28</v>
      </c>
      <c r="K4463" s="1" t="s">
        <v>28</v>
      </c>
      <c r="L4463" s="1" t="str">
        <f t="shared" si="831"/>
        <v>20220919</v>
      </c>
      <c r="M4463" s="1" t="str">
        <f>"104801"</f>
        <v>104801</v>
      </c>
      <c r="N4463" s="1" t="s">
        <v>34</v>
      </c>
      <c r="O4463" s="1" t="s">
        <v>34</v>
      </c>
      <c r="P4463" s="1" t="s">
        <v>55</v>
      </c>
      <c r="Q4463" s="1">
        <v>25</v>
      </c>
      <c r="R4463" s="1">
        <v>25</v>
      </c>
      <c r="S4463" s="1">
        <v>0</v>
      </c>
      <c r="T4463" s="1">
        <v>0</v>
      </c>
      <c r="U4463" s="1">
        <v>0</v>
      </c>
      <c r="V4463" s="1" t="str">
        <f t="shared" ref="V4463:V4470" si="834">"里程去程"</f>
        <v>里程去程</v>
      </c>
      <c r="W4463" s="1" t="str">
        <f>"0020"</f>
        <v>0020</v>
      </c>
      <c r="X4463" s="1" t="s">
        <v>29</v>
      </c>
    </row>
    <row r="4464" spans="1:24" x14ac:dyDescent="0.3">
      <c r="A4464" s="1" t="str">
        <f t="shared" si="832"/>
        <v>59823</v>
      </c>
      <c r="B4464" s="1" t="s">
        <v>36</v>
      </c>
      <c r="C4464" s="1" t="s">
        <v>54</v>
      </c>
      <c r="D4464" s="1" t="str">
        <f t="shared" si="833"/>
        <v>9803</v>
      </c>
      <c r="E4464" s="1" t="s">
        <v>32</v>
      </c>
      <c r="F4464" s="1" t="str">
        <f>"2072634971"</f>
        <v>2072634971</v>
      </c>
      <c r="G4464" s="1" t="s">
        <v>33</v>
      </c>
      <c r="H4464" s="1" t="str">
        <f t="shared" si="830"/>
        <v>20220919</v>
      </c>
      <c r="I4464" s="1" t="str">
        <f>"102747"</f>
        <v>102747</v>
      </c>
      <c r="J4464" s="1" t="s">
        <v>28</v>
      </c>
      <c r="K4464" s="1" t="s">
        <v>28</v>
      </c>
      <c r="L4464" s="1" t="str">
        <f t="shared" si="831"/>
        <v>20220919</v>
      </c>
      <c r="M4464" s="1" t="str">
        <f>"104756"</f>
        <v>104756</v>
      </c>
      <c r="N4464" s="1" t="s">
        <v>34</v>
      </c>
      <c r="O4464" s="1" t="s">
        <v>34</v>
      </c>
      <c r="P4464" s="1" t="s">
        <v>55</v>
      </c>
      <c r="Q4464" s="1">
        <v>25</v>
      </c>
      <c r="R4464" s="1">
        <v>25</v>
      </c>
      <c r="S4464" s="1">
        <v>0</v>
      </c>
      <c r="T4464" s="1">
        <v>0</v>
      </c>
      <c r="U4464" s="1">
        <v>0</v>
      </c>
      <c r="V4464" s="1" t="str">
        <f t="shared" si="834"/>
        <v>里程去程</v>
      </c>
      <c r="W4464" s="1" t="str">
        <f>"0220"</f>
        <v>0220</v>
      </c>
      <c r="X4464" s="1" t="s">
        <v>35</v>
      </c>
    </row>
    <row r="4465" spans="1:24" x14ac:dyDescent="0.3">
      <c r="A4465" s="1" t="str">
        <f t="shared" si="832"/>
        <v>59823</v>
      </c>
      <c r="B4465" s="1" t="s">
        <v>36</v>
      </c>
      <c r="C4465" s="1" t="s">
        <v>54</v>
      </c>
      <c r="D4465" s="1" t="str">
        <f t="shared" si="833"/>
        <v>9803</v>
      </c>
      <c r="E4465" s="1" t="s">
        <v>32</v>
      </c>
      <c r="F4465" s="1" t="str">
        <f>"184782717"</f>
        <v>184782717</v>
      </c>
      <c r="G4465" s="1" t="s">
        <v>33</v>
      </c>
      <c r="H4465" s="1" t="str">
        <f t="shared" si="830"/>
        <v>20220919</v>
      </c>
      <c r="I4465" s="1" t="str">
        <f>"112939"</f>
        <v>112939</v>
      </c>
      <c r="J4465" s="1" t="s">
        <v>28</v>
      </c>
      <c r="K4465" s="1" t="s">
        <v>28</v>
      </c>
      <c r="L4465" s="1" t="str">
        <f t="shared" si="831"/>
        <v>20220919</v>
      </c>
      <c r="M4465" s="1" t="str">
        <f>"114859"</f>
        <v>114859</v>
      </c>
      <c r="N4465" s="1" t="s">
        <v>34</v>
      </c>
      <c r="O4465" s="1" t="s">
        <v>34</v>
      </c>
      <c r="P4465" s="1" t="s">
        <v>55</v>
      </c>
      <c r="Q4465" s="1">
        <v>25</v>
      </c>
      <c r="R4465" s="1">
        <v>25</v>
      </c>
      <c r="S4465" s="1">
        <v>0</v>
      </c>
      <c r="T4465" s="1">
        <v>0</v>
      </c>
      <c r="U4465" s="1">
        <v>0</v>
      </c>
      <c r="V4465" s="1" t="str">
        <f t="shared" si="834"/>
        <v>里程去程</v>
      </c>
      <c r="W4465" s="1" t="str">
        <f>"0820"</f>
        <v>0820</v>
      </c>
      <c r="X4465" s="1" t="s">
        <v>35</v>
      </c>
    </row>
    <row r="4466" spans="1:24" x14ac:dyDescent="0.3">
      <c r="A4466" s="1" t="str">
        <f t="shared" si="832"/>
        <v>59823</v>
      </c>
      <c r="B4466" s="1" t="s">
        <v>36</v>
      </c>
      <c r="C4466" s="1" t="s">
        <v>54</v>
      </c>
      <c r="D4466" s="1" t="str">
        <f t="shared" si="833"/>
        <v>9803</v>
      </c>
      <c r="E4466" s="1" t="s">
        <v>32</v>
      </c>
      <c r="F4466" s="1" t="str">
        <f>"1644640744"</f>
        <v>1644640744</v>
      </c>
      <c r="G4466" s="1" t="s">
        <v>33</v>
      </c>
      <c r="H4466" s="1" t="str">
        <f t="shared" si="830"/>
        <v>20220919</v>
      </c>
      <c r="I4466" s="1" t="str">
        <f>"112942"</f>
        <v>112942</v>
      </c>
      <c r="J4466" s="1" t="s">
        <v>28</v>
      </c>
      <c r="K4466" s="1" t="s">
        <v>28</v>
      </c>
      <c r="L4466" s="1" t="str">
        <f t="shared" si="831"/>
        <v>20220919</v>
      </c>
      <c r="M4466" s="1" t="str">
        <f>"114855"</f>
        <v>114855</v>
      </c>
      <c r="N4466" s="1" t="s">
        <v>34</v>
      </c>
      <c r="O4466" s="1" t="s">
        <v>34</v>
      </c>
      <c r="P4466" s="1" t="s">
        <v>55</v>
      </c>
      <c r="Q4466" s="1">
        <v>25</v>
      </c>
      <c r="R4466" s="1">
        <v>25</v>
      </c>
      <c r="S4466" s="1">
        <v>0</v>
      </c>
      <c r="T4466" s="1">
        <v>0</v>
      </c>
      <c r="U4466" s="1">
        <v>0</v>
      </c>
      <c r="V4466" s="1" t="str">
        <f t="shared" si="834"/>
        <v>里程去程</v>
      </c>
      <c r="W4466" s="1" t="str">
        <f>"0820"</f>
        <v>0820</v>
      </c>
      <c r="X4466" s="1" t="s">
        <v>35</v>
      </c>
    </row>
    <row r="4467" spans="1:24" x14ac:dyDescent="0.3">
      <c r="A4467" s="1" t="str">
        <f t="shared" si="832"/>
        <v>59823</v>
      </c>
      <c r="B4467" s="1" t="s">
        <v>36</v>
      </c>
      <c r="C4467" s="1" t="s">
        <v>54</v>
      </c>
      <c r="D4467" s="1" t="str">
        <f t="shared" si="833"/>
        <v>9803</v>
      </c>
      <c r="E4467" s="1" t="s">
        <v>32</v>
      </c>
      <c r="F4467" s="1" t="str">
        <f>"62081393"</f>
        <v>62081393</v>
      </c>
      <c r="G4467" s="1" t="s">
        <v>33</v>
      </c>
      <c r="H4467" s="1" t="str">
        <f t="shared" si="830"/>
        <v>20220919</v>
      </c>
      <c r="I4467" s="1" t="str">
        <f>"112950"</f>
        <v>112950</v>
      </c>
      <c r="J4467" s="1" t="s">
        <v>28</v>
      </c>
      <c r="K4467" s="1" t="s">
        <v>28</v>
      </c>
      <c r="L4467" s="1" t="str">
        <f t="shared" si="831"/>
        <v>20220919</v>
      </c>
      <c r="M4467" s="1" t="str">
        <f>"114904"</f>
        <v>114904</v>
      </c>
      <c r="N4467" s="1" t="s">
        <v>34</v>
      </c>
      <c r="O4467" s="1" t="s">
        <v>34</v>
      </c>
      <c r="P4467" s="1" t="s">
        <v>55</v>
      </c>
      <c r="Q4467" s="1">
        <v>25</v>
      </c>
      <c r="R4467" s="1">
        <v>25</v>
      </c>
      <c r="S4467" s="1">
        <v>0</v>
      </c>
      <c r="T4467" s="1">
        <v>0</v>
      </c>
      <c r="U4467" s="1">
        <v>0</v>
      </c>
      <c r="V4467" s="1" t="str">
        <f t="shared" si="834"/>
        <v>里程去程</v>
      </c>
      <c r="W4467" s="1" t="str">
        <f>"0020"</f>
        <v>0020</v>
      </c>
      <c r="X4467" s="1" t="s">
        <v>35</v>
      </c>
    </row>
    <row r="4468" spans="1:24" x14ac:dyDescent="0.3">
      <c r="A4468" s="1" t="str">
        <f t="shared" si="832"/>
        <v>59823</v>
      </c>
      <c r="B4468" s="1" t="s">
        <v>36</v>
      </c>
      <c r="C4468" s="1" t="s">
        <v>54</v>
      </c>
      <c r="D4468" s="1" t="str">
        <f t="shared" si="833"/>
        <v>9803</v>
      </c>
      <c r="E4468" s="1" t="s">
        <v>32</v>
      </c>
      <c r="F4468" s="1" t="str">
        <f>"622600079"</f>
        <v>622600079</v>
      </c>
      <c r="G4468" s="1" t="s">
        <v>33</v>
      </c>
      <c r="H4468" s="1" t="str">
        <f t="shared" si="830"/>
        <v>20220919</v>
      </c>
      <c r="I4468" s="1" t="str">
        <f>"112952"</f>
        <v>112952</v>
      </c>
      <c r="J4468" s="1" t="s">
        <v>28</v>
      </c>
      <c r="K4468" s="1" t="s">
        <v>28</v>
      </c>
      <c r="L4468" s="1" t="str">
        <f t="shared" si="831"/>
        <v>20220919</v>
      </c>
      <c r="M4468" s="1" t="str">
        <f>"114902"</f>
        <v>114902</v>
      </c>
      <c r="N4468" s="1" t="s">
        <v>34</v>
      </c>
      <c r="O4468" s="1" t="s">
        <v>34</v>
      </c>
      <c r="P4468" s="1" t="s">
        <v>55</v>
      </c>
      <c r="Q4468" s="1">
        <v>25</v>
      </c>
      <c r="R4468" s="1">
        <v>25</v>
      </c>
      <c r="S4468" s="1">
        <v>0</v>
      </c>
      <c r="T4468" s="1">
        <v>0</v>
      </c>
      <c r="U4468" s="1">
        <v>0</v>
      </c>
      <c r="V4468" s="1" t="str">
        <f t="shared" si="834"/>
        <v>里程去程</v>
      </c>
      <c r="W4468" s="1" t="str">
        <f>"1720"</f>
        <v>1720</v>
      </c>
      <c r="X4468" s="1" t="s">
        <v>35</v>
      </c>
    </row>
    <row r="4469" spans="1:24" x14ac:dyDescent="0.3">
      <c r="A4469" s="1" t="str">
        <f t="shared" si="832"/>
        <v>59823</v>
      </c>
      <c r="B4469" s="1" t="s">
        <v>36</v>
      </c>
      <c r="C4469" s="1" t="s">
        <v>54</v>
      </c>
      <c r="D4469" s="1" t="str">
        <f t="shared" si="833"/>
        <v>9803</v>
      </c>
      <c r="E4469" s="1" t="s">
        <v>32</v>
      </c>
      <c r="F4469" s="1" t="str">
        <f>"855043381"</f>
        <v>855043381</v>
      </c>
      <c r="G4469" s="1" t="s">
        <v>33</v>
      </c>
      <c r="H4469" s="1" t="str">
        <f t="shared" si="830"/>
        <v>20220919</v>
      </c>
      <c r="I4469" s="1" t="str">
        <f>"112956"</f>
        <v>112956</v>
      </c>
      <c r="J4469" s="1" t="s">
        <v>28</v>
      </c>
      <c r="K4469" s="1" t="s">
        <v>28</v>
      </c>
      <c r="L4469" s="1" t="str">
        <f t="shared" si="831"/>
        <v>20220919</v>
      </c>
      <c r="M4469" s="1" t="str">
        <f>"114924"</f>
        <v>114924</v>
      </c>
      <c r="N4469" s="1" t="s">
        <v>34</v>
      </c>
      <c r="O4469" s="1" t="s">
        <v>34</v>
      </c>
      <c r="P4469" s="1" t="s">
        <v>55</v>
      </c>
      <c r="Q4469" s="1">
        <v>25</v>
      </c>
      <c r="R4469" s="1">
        <v>25</v>
      </c>
      <c r="S4469" s="1">
        <v>0</v>
      </c>
      <c r="T4469" s="1">
        <v>0</v>
      </c>
      <c r="U4469" s="1">
        <v>0</v>
      </c>
      <c r="V4469" s="1" t="str">
        <f t="shared" si="834"/>
        <v>里程去程</v>
      </c>
      <c r="W4469" s="1" t="str">
        <f>"2020"</f>
        <v>2020</v>
      </c>
      <c r="X4469" s="1" t="s">
        <v>35</v>
      </c>
    </row>
    <row r="4470" spans="1:24" x14ac:dyDescent="0.3">
      <c r="A4470" s="1" t="str">
        <f t="shared" si="832"/>
        <v>59823</v>
      </c>
      <c r="B4470" s="1" t="s">
        <v>36</v>
      </c>
      <c r="C4470" s="1" t="s">
        <v>54</v>
      </c>
      <c r="D4470" s="1" t="str">
        <f t="shared" si="833"/>
        <v>9803</v>
      </c>
      <c r="E4470" s="1" t="s">
        <v>32</v>
      </c>
      <c r="F4470" s="1" t="str">
        <f>"1656503345"</f>
        <v>1656503345</v>
      </c>
      <c r="G4470" s="1" t="s">
        <v>33</v>
      </c>
      <c r="H4470" s="1" t="str">
        <f t="shared" si="830"/>
        <v>20220919</v>
      </c>
      <c r="I4470" s="1" t="str">
        <f>"112959"</f>
        <v>112959</v>
      </c>
      <c r="J4470" s="1" t="s">
        <v>28</v>
      </c>
      <c r="K4470" s="1" t="s">
        <v>28</v>
      </c>
      <c r="L4470" s="1" t="str">
        <f t="shared" si="831"/>
        <v>20220919</v>
      </c>
      <c r="M4470" s="1" t="str">
        <f>"114932"</f>
        <v>114932</v>
      </c>
      <c r="N4470" s="1" t="s">
        <v>34</v>
      </c>
      <c r="O4470" s="1" t="s">
        <v>34</v>
      </c>
      <c r="P4470" s="1" t="s">
        <v>55</v>
      </c>
      <c r="Q4470" s="1">
        <v>25</v>
      </c>
      <c r="R4470" s="1">
        <v>25</v>
      </c>
      <c r="S4470" s="1">
        <v>0</v>
      </c>
      <c r="T4470" s="1">
        <v>0</v>
      </c>
      <c r="U4470" s="1">
        <v>0</v>
      </c>
      <c r="V4470" s="1" t="str">
        <f t="shared" si="834"/>
        <v>里程去程</v>
      </c>
      <c r="W4470" s="1" t="str">
        <f>"2020"</f>
        <v>2020</v>
      </c>
      <c r="X4470" s="1" t="s">
        <v>35</v>
      </c>
    </row>
    <row r="4471" spans="1:24" x14ac:dyDescent="0.3">
      <c r="A4471" s="1" t="str">
        <f t="shared" si="832"/>
        <v>59823</v>
      </c>
      <c r="B4471" s="1" t="s">
        <v>36</v>
      </c>
      <c r="C4471" s="1" t="s">
        <v>54</v>
      </c>
      <c r="D4471" s="1" t="str">
        <f t="shared" si="833"/>
        <v>9803</v>
      </c>
      <c r="E4471" s="1" t="s">
        <v>32</v>
      </c>
      <c r="F4471" s="1" t="str">
        <f>"3759005143"</f>
        <v>3759005143</v>
      </c>
      <c r="G4471" s="1" t="s">
        <v>33</v>
      </c>
      <c r="H4471" s="1" t="str">
        <f t="shared" si="830"/>
        <v>20220919</v>
      </c>
      <c r="I4471" s="1" t="str">
        <f>"115959"</f>
        <v>115959</v>
      </c>
      <c r="J4471" s="1" t="s">
        <v>34</v>
      </c>
      <c r="K4471" s="1" t="s">
        <v>34</v>
      </c>
      <c r="L4471" s="1" t="str">
        <f t="shared" si="831"/>
        <v>20220919</v>
      </c>
      <c r="M4471" s="1" t="str">
        <f>"122931"</f>
        <v>122931</v>
      </c>
      <c r="N4471" s="1" t="s">
        <v>28</v>
      </c>
      <c r="O4471" s="1" t="s">
        <v>28</v>
      </c>
      <c r="P4471" s="1" t="s">
        <v>55</v>
      </c>
      <c r="Q4471" s="1">
        <v>25</v>
      </c>
      <c r="R4471" s="1">
        <v>25</v>
      </c>
      <c r="S4471" s="1">
        <v>0</v>
      </c>
      <c r="T4471" s="1">
        <v>0</v>
      </c>
      <c r="U4471" s="1">
        <v>0</v>
      </c>
      <c r="V4471" s="1" t="str">
        <f t="shared" ref="V4471:V4482" si="835">"里程返程"</f>
        <v>里程返程</v>
      </c>
      <c r="W4471" s="1" t="str">
        <f>"2020"</f>
        <v>2020</v>
      </c>
      <c r="X4471" s="1" t="s">
        <v>35</v>
      </c>
    </row>
    <row r="4472" spans="1:24" x14ac:dyDescent="0.3">
      <c r="A4472" s="1" t="str">
        <f t="shared" si="832"/>
        <v>59823</v>
      </c>
      <c r="B4472" s="1" t="s">
        <v>36</v>
      </c>
      <c r="C4472" s="1" t="s">
        <v>54</v>
      </c>
      <c r="D4472" s="1" t="str">
        <f t="shared" si="833"/>
        <v>9803</v>
      </c>
      <c r="E4472" s="1" t="s">
        <v>32</v>
      </c>
      <c r="F4472" s="1" t="str">
        <f>"2494986964"</f>
        <v>2494986964</v>
      </c>
      <c r="G4472" s="1" t="s">
        <v>33</v>
      </c>
      <c r="H4472" s="1" t="str">
        <f t="shared" si="830"/>
        <v>20220919</v>
      </c>
      <c r="I4472" s="1" t="str">
        <f>"120003"</f>
        <v>120003</v>
      </c>
      <c r="J4472" s="1" t="s">
        <v>34</v>
      </c>
      <c r="K4472" s="1" t="s">
        <v>34</v>
      </c>
      <c r="L4472" s="1" t="str">
        <f t="shared" si="831"/>
        <v>20220919</v>
      </c>
      <c r="M4472" s="1" t="str">
        <f>"122939"</f>
        <v>122939</v>
      </c>
      <c r="N4472" s="1" t="s">
        <v>28</v>
      </c>
      <c r="O4472" s="1" t="s">
        <v>28</v>
      </c>
      <c r="P4472" s="1" t="s">
        <v>55</v>
      </c>
      <c r="Q4472" s="1">
        <v>25</v>
      </c>
      <c r="R4472" s="1">
        <v>25</v>
      </c>
      <c r="S4472" s="1">
        <v>0</v>
      </c>
      <c r="T4472" s="1">
        <v>0</v>
      </c>
      <c r="U4472" s="1">
        <v>0</v>
      </c>
      <c r="V4472" s="1" t="str">
        <f t="shared" si="835"/>
        <v>里程返程</v>
      </c>
      <c r="W4472" s="1" t="str">
        <f>"2020"</f>
        <v>2020</v>
      </c>
      <c r="X4472" s="1" t="s">
        <v>35</v>
      </c>
    </row>
    <row r="4473" spans="1:24" x14ac:dyDescent="0.3">
      <c r="A4473" s="1" t="str">
        <f t="shared" si="832"/>
        <v>59823</v>
      </c>
      <c r="B4473" s="1" t="s">
        <v>36</v>
      </c>
      <c r="C4473" s="1" t="s">
        <v>54</v>
      </c>
      <c r="D4473" s="1" t="str">
        <f t="shared" si="833"/>
        <v>9803</v>
      </c>
      <c r="E4473" s="1" t="s">
        <v>32</v>
      </c>
      <c r="F4473" s="1" t="str">
        <f>"520392225"</f>
        <v>520392225</v>
      </c>
      <c r="G4473" s="1" t="s">
        <v>33</v>
      </c>
      <c r="H4473" s="1" t="str">
        <f t="shared" si="830"/>
        <v>20220919</v>
      </c>
      <c r="I4473" s="1" t="str">
        <f>"120008"</f>
        <v>120008</v>
      </c>
      <c r="J4473" s="1" t="s">
        <v>34</v>
      </c>
      <c r="K4473" s="1" t="s">
        <v>34</v>
      </c>
      <c r="L4473" s="1" t="str">
        <f t="shared" si="831"/>
        <v>20220919</v>
      </c>
      <c r="M4473" s="1" t="str">
        <f>"122858"</f>
        <v>122858</v>
      </c>
      <c r="N4473" s="1" t="s">
        <v>28</v>
      </c>
      <c r="O4473" s="1" t="s">
        <v>28</v>
      </c>
      <c r="P4473" s="1" t="s">
        <v>55</v>
      </c>
      <c r="Q4473" s="1">
        <v>25</v>
      </c>
      <c r="R4473" s="1">
        <v>25</v>
      </c>
      <c r="S4473" s="1">
        <v>0</v>
      </c>
      <c r="T4473" s="1">
        <v>0</v>
      </c>
      <c r="U4473" s="1">
        <v>0</v>
      </c>
      <c r="V4473" s="1" t="str">
        <f t="shared" si="835"/>
        <v>里程返程</v>
      </c>
      <c r="W4473" s="1" t="str">
        <f>"0220"</f>
        <v>0220</v>
      </c>
      <c r="X4473" s="1" t="s">
        <v>35</v>
      </c>
    </row>
    <row r="4474" spans="1:24" x14ac:dyDescent="0.3">
      <c r="A4474" s="1" t="str">
        <f t="shared" si="832"/>
        <v>59823</v>
      </c>
      <c r="B4474" s="1" t="s">
        <v>36</v>
      </c>
      <c r="C4474" s="1" t="s">
        <v>54</v>
      </c>
      <c r="D4474" s="1" t="str">
        <f t="shared" si="833"/>
        <v>9803</v>
      </c>
      <c r="E4474" s="1" t="s">
        <v>32</v>
      </c>
      <c r="F4474" s="1" t="str">
        <f>"1087510273"</f>
        <v>1087510273</v>
      </c>
      <c r="G4474" s="1" t="s">
        <v>33</v>
      </c>
      <c r="H4474" s="1" t="str">
        <f t="shared" si="830"/>
        <v>20220919</v>
      </c>
      <c r="I4474" s="1" t="str">
        <f>"120013"</f>
        <v>120013</v>
      </c>
      <c r="J4474" s="1" t="s">
        <v>34</v>
      </c>
      <c r="K4474" s="1" t="s">
        <v>34</v>
      </c>
      <c r="L4474" s="1" t="str">
        <f t="shared" si="831"/>
        <v>20220919</v>
      </c>
      <c r="M4474" s="1" t="str">
        <f>"122855"</f>
        <v>122855</v>
      </c>
      <c r="N4474" s="1" t="s">
        <v>28</v>
      </c>
      <c r="O4474" s="1" t="s">
        <v>28</v>
      </c>
      <c r="P4474" s="1" t="s">
        <v>55</v>
      </c>
      <c r="Q4474" s="1">
        <v>25</v>
      </c>
      <c r="R4474" s="1">
        <v>25</v>
      </c>
      <c r="S4474" s="1">
        <v>0</v>
      </c>
      <c r="T4474" s="1">
        <v>0</v>
      </c>
      <c r="U4474" s="1">
        <v>0</v>
      </c>
      <c r="V4474" s="1" t="str">
        <f t="shared" si="835"/>
        <v>里程返程</v>
      </c>
      <c r="W4474" s="1" t="str">
        <f>"2020"</f>
        <v>2020</v>
      </c>
      <c r="X4474" s="1" t="s">
        <v>35</v>
      </c>
    </row>
    <row r="4475" spans="1:24" x14ac:dyDescent="0.3">
      <c r="A4475" s="1" t="str">
        <f t="shared" si="832"/>
        <v>59823</v>
      </c>
      <c r="B4475" s="1" t="s">
        <v>36</v>
      </c>
      <c r="C4475" s="1" t="s">
        <v>54</v>
      </c>
      <c r="D4475" s="1" t="str">
        <f t="shared" si="833"/>
        <v>9803</v>
      </c>
      <c r="E4475" s="1" t="s">
        <v>32</v>
      </c>
      <c r="F4475" s="1" t="str">
        <f>"85C2C60988180200D200000C22400417"</f>
        <v>85C2C60988180200D200000C22400417</v>
      </c>
      <c r="G4475" s="1" t="s">
        <v>58</v>
      </c>
      <c r="H4475" s="1" t="str">
        <f t="shared" ref="H4475:H4506" si="836">"20220919"</f>
        <v>20220919</v>
      </c>
      <c r="I4475" s="1" t="str">
        <f>"120021"</f>
        <v>120021</v>
      </c>
      <c r="J4475" s="1" t="s">
        <v>34</v>
      </c>
      <c r="K4475" s="1" t="s">
        <v>34</v>
      </c>
      <c r="L4475" s="1" t="str">
        <f t="shared" ref="L4475:L4506" si="837">"20220919"</f>
        <v>20220919</v>
      </c>
      <c r="M4475" s="1" t="str">
        <f>"122847"</f>
        <v>122847</v>
      </c>
      <c r="N4475" s="1" t="s">
        <v>95</v>
      </c>
      <c r="O4475" s="1" t="s">
        <v>28</v>
      </c>
      <c r="P4475" s="1" t="s">
        <v>55</v>
      </c>
      <c r="Q4475" s="1">
        <v>25</v>
      </c>
      <c r="R4475" s="1">
        <v>25</v>
      </c>
      <c r="S4475" s="1">
        <v>0</v>
      </c>
      <c r="T4475" s="1">
        <v>0</v>
      </c>
      <c r="U4475" s="1">
        <v>0</v>
      </c>
      <c r="V4475" s="1" t="str">
        <f t="shared" si="835"/>
        <v>里程返程</v>
      </c>
      <c r="W4475" s="1" t="str">
        <f>"0020"</f>
        <v>0020</v>
      </c>
      <c r="X4475" s="1" t="s">
        <v>29</v>
      </c>
    </row>
    <row r="4476" spans="1:24" x14ac:dyDescent="0.3">
      <c r="A4476" s="1" t="str">
        <f t="shared" si="832"/>
        <v>59823</v>
      </c>
      <c r="B4476" s="1" t="s">
        <v>36</v>
      </c>
      <c r="C4476" s="1" t="s">
        <v>54</v>
      </c>
      <c r="D4476" s="1" t="str">
        <f t="shared" si="833"/>
        <v>9803</v>
      </c>
      <c r="E4476" s="1" t="s">
        <v>32</v>
      </c>
      <c r="F4476" s="1" t="str">
        <f>"993393557"</f>
        <v>993393557</v>
      </c>
      <c r="G4476" s="1" t="s">
        <v>38</v>
      </c>
      <c r="H4476" s="1" t="str">
        <f t="shared" si="836"/>
        <v>20220919</v>
      </c>
      <c r="I4476" s="1" t="str">
        <f>"120033"</f>
        <v>120033</v>
      </c>
      <c r="J4476" s="1" t="s">
        <v>34</v>
      </c>
      <c r="K4476" s="1" t="s">
        <v>34</v>
      </c>
      <c r="L4476" s="1" t="str">
        <f t="shared" si="837"/>
        <v>20220919</v>
      </c>
      <c r="M4476" s="1" t="str">
        <f>"122935"</f>
        <v>122935</v>
      </c>
      <c r="N4476" s="1" t="s">
        <v>28</v>
      </c>
      <c r="O4476" s="1" t="s">
        <v>28</v>
      </c>
      <c r="P4476" s="1" t="s">
        <v>55</v>
      </c>
      <c r="Q4476" s="1">
        <v>25</v>
      </c>
      <c r="R4476" s="1">
        <v>25</v>
      </c>
      <c r="S4476" s="1">
        <v>0</v>
      </c>
      <c r="T4476" s="1">
        <v>0</v>
      </c>
      <c r="U4476" s="1">
        <v>0</v>
      </c>
      <c r="V4476" s="1" t="str">
        <f t="shared" si="835"/>
        <v>里程返程</v>
      </c>
      <c r="W4476" s="1" t="str">
        <f t="shared" ref="W4476:W4482" si="838">"2020"</f>
        <v>2020</v>
      </c>
      <c r="X4476" s="1" t="s">
        <v>35</v>
      </c>
    </row>
    <row r="4477" spans="1:24" x14ac:dyDescent="0.3">
      <c r="A4477" s="1" t="str">
        <f t="shared" si="832"/>
        <v>59823</v>
      </c>
      <c r="B4477" s="1" t="s">
        <v>36</v>
      </c>
      <c r="C4477" s="1" t="s">
        <v>54</v>
      </c>
      <c r="D4477" s="1" t="str">
        <f t="shared" si="833"/>
        <v>9803</v>
      </c>
      <c r="E4477" s="1" t="s">
        <v>32</v>
      </c>
      <c r="F4477" s="1" t="str">
        <f>"1065647893"</f>
        <v>1065647893</v>
      </c>
      <c r="G4477" s="1" t="s">
        <v>33</v>
      </c>
      <c r="H4477" s="1" t="str">
        <f t="shared" si="836"/>
        <v>20220919</v>
      </c>
      <c r="I4477" s="1" t="str">
        <f>"120038"</f>
        <v>120038</v>
      </c>
      <c r="J4477" s="1" t="s">
        <v>34</v>
      </c>
      <c r="K4477" s="1" t="s">
        <v>34</v>
      </c>
      <c r="L4477" s="1" t="str">
        <f t="shared" si="837"/>
        <v>20220919</v>
      </c>
      <c r="M4477" s="1" t="str">
        <f>"122923"</f>
        <v>122923</v>
      </c>
      <c r="N4477" s="1" t="s">
        <v>28</v>
      </c>
      <c r="O4477" s="1" t="s">
        <v>28</v>
      </c>
      <c r="P4477" s="1" t="s">
        <v>55</v>
      </c>
      <c r="Q4477" s="1">
        <v>25</v>
      </c>
      <c r="R4477" s="1">
        <v>25</v>
      </c>
      <c r="S4477" s="1">
        <v>0</v>
      </c>
      <c r="T4477" s="1">
        <v>0</v>
      </c>
      <c r="U4477" s="1">
        <v>0</v>
      </c>
      <c r="V4477" s="1" t="str">
        <f t="shared" si="835"/>
        <v>里程返程</v>
      </c>
      <c r="W4477" s="1" t="str">
        <f t="shared" si="838"/>
        <v>2020</v>
      </c>
      <c r="X4477" s="1" t="s">
        <v>35</v>
      </c>
    </row>
    <row r="4478" spans="1:24" x14ac:dyDescent="0.3">
      <c r="A4478" s="1" t="str">
        <f t="shared" si="832"/>
        <v>59823</v>
      </c>
      <c r="B4478" s="1" t="s">
        <v>36</v>
      </c>
      <c r="C4478" s="1" t="s">
        <v>54</v>
      </c>
      <c r="D4478" s="1" t="str">
        <f t="shared" si="833"/>
        <v>9803</v>
      </c>
      <c r="E4478" s="1" t="s">
        <v>32</v>
      </c>
      <c r="F4478" s="1" t="str">
        <f>"1010104625"</f>
        <v>1010104625</v>
      </c>
      <c r="G4478" s="1" t="s">
        <v>33</v>
      </c>
      <c r="H4478" s="1" t="str">
        <f t="shared" si="836"/>
        <v>20220919</v>
      </c>
      <c r="I4478" s="1" t="str">
        <f>"120049"</f>
        <v>120049</v>
      </c>
      <c r="J4478" s="1" t="s">
        <v>34</v>
      </c>
      <c r="K4478" s="1" t="s">
        <v>34</v>
      </c>
      <c r="L4478" s="1" t="str">
        <f t="shared" si="837"/>
        <v>20220919</v>
      </c>
      <c r="M4478" s="1" t="str">
        <f>"122959"</f>
        <v>122959</v>
      </c>
      <c r="N4478" s="1" t="s">
        <v>28</v>
      </c>
      <c r="O4478" s="1" t="s">
        <v>28</v>
      </c>
      <c r="P4478" s="1" t="s">
        <v>55</v>
      </c>
      <c r="Q4478" s="1">
        <v>25</v>
      </c>
      <c r="R4478" s="1">
        <v>25</v>
      </c>
      <c r="S4478" s="1">
        <v>0</v>
      </c>
      <c r="T4478" s="1">
        <v>0</v>
      </c>
      <c r="U4478" s="1">
        <v>0</v>
      </c>
      <c r="V4478" s="1" t="str">
        <f t="shared" si="835"/>
        <v>里程返程</v>
      </c>
      <c r="W4478" s="1" t="str">
        <f t="shared" si="838"/>
        <v>2020</v>
      </c>
      <c r="X4478" s="1" t="s">
        <v>35</v>
      </c>
    </row>
    <row r="4479" spans="1:24" x14ac:dyDescent="0.3">
      <c r="A4479" s="1" t="str">
        <f t="shared" si="832"/>
        <v>59823</v>
      </c>
      <c r="B4479" s="1" t="s">
        <v>36</v>
      </c>
      <c r="C4479" s="1" t="s">
        <v>54</v>
      </c>
      <c r="D4479" s="1" t="str">
        <f t="shared" si="833"/>
        <v>9803</v>
      </c>
      <c r="E4479" s="1" t="s">
        <v>32</v>
      </c>
      <c r="F4479" s="1" t="str">
        <f>"230413312"</f>
        <v>230413312</v>
      </c>
      <c r="G4479" s="1" t="s">
        <v>33</v>
      </c>
      <c r="H4479" s="1" t="str">
        <f t="shared" si="836"/>
        <v>20220919</v>
      </c>
      <c r="I4479" s="1" t="str">
        <f>"120103"</f>
        <v>120103</v>
      </c>
      <c r="J4479" s="1" t="s">
        <v>34</v>
      </c>
      <c r="K4479" s="1" t="s">
        <v>34</v>
      </c>
      <c r="L4479" s="1" t="str">
        <f t="shared" si="837"/>
        <v>20220919</v>
      </c>
      <c r="M4479" s="1" t="str">
        <f>"122948"</f>
        <v>122948</v>
      </c>
      <c r="N4479" s="1" t="s">
        <v>28</v>
      </c>
      <c r="O4479" s="1" t="s">
        <v>28</v>
      </c>
      <c r="P4479" s="1" t="s">
        <v>55</v>
      </c>
      <c r="Q4479" s="1">
        <v>25</v>
      </c>
      <c r="R4479" s="1">
        <v>25</v>
      </c>
      <c r="S4479" s="1">
        <v>0</v>
      </c>
      <c r="T4479" s="1">
        <v>0</v>
      </c>
      <c r="U4479" s="1">
        <v>0</v>
      </c>
      <c r="V4479" s="1" t="str">
        <f t="shared" si="835"/>
        <v>里程返程</v>
      </c>
      <c r="W4479" s="1" t="str">
        <f t="shared" si="838"/>
        <v>2020</v>
      </c>
      <c r="X4479" s="1" t="s">
        <v>35</v>
      </c>
    </row>
    <row r="4480" spans="1:24" x14ac:dyDescent="0.3">
      <c r="A4480" s="1" t="str">
        <f t="shared" si="832"/>
        <v>59823</v>
      </c>
      <c r="B4480" s="1" t="s">
        <v>36</v>
      </c>
      <c r="C4480" s="1" t="s">
        <v>54</v>
      </c>
      <c r="D4480" s="1" t="str">
        <f t="shared" si="833"/>
        <v>9803</v>
      </c>
      <c r="E4480" s="1" t="s">
        <v>32</v>
      </c>
      <c r="F4480" s="1" t="str">
        <f>"1656503345"</f>
        <v>1656503345</v>
      </c>
      <c r="G4480" s="1" t="s">
        <v>33</v>
      </c>
      <c r="H4480" s="1" t="str">
        <f t="shared" si="836"/>
        <v>20220919</v>
      </c>
      <c r="I4480" s="1" t="str">
        <f>"120113"</f>
        <v>120113</v>
      </c>
      <c r="J4480" s="1" t="s">
        <v>34</v>
      </c>
      <c r="K4480" s="1" t="s">
        <v>34</v>
      </c>
      <c r="L4480" s="1" t="str">
        <f t="shared" si="837"/>
        <v>20220919</v>
      </c>
      <c r="M4480" s="1" t="str">
        <f>"121635"</f>
        <v>121635</v>
      </c>
      <c r="N4480" s="1" t="s">
        <v>46</v>
      </c>
      <c r="O4480" s="1" t="s">
        <v>28</v>
      </c>
      <c r="P4480" s="1" t="s">
        <v>55</v>
      </c>
      <c r="Q4480" s="1">
        <v>25</v>
      </c>
      <c r="R4480" s="1">
        <v>25</v>
      </c>
      <c r="S4480" s="1">
        <v>0</v>
      </c>
      <c r="T4480" s="1">
        <v>0</v>
      </c>
      <c r="U4480" s="1">
        <v>0</v>
      </c>
      <c r="V4480" s="1" t="str">
        <f t="shared" si="835"/>
        <v>里程返程</v>
      </c>
      <c r="W4480" s="1" t="str">
        <f t="shared" si="838"/>
        <v>2020</v>
      </c>
      <c r="X4480" s="1" t="s">
        <v>35</v>
      </c>
    </row>
    <row r="4481" spans="1:24" x14ac:dyDescent="0.3">
      <c r="A4481" s="1" t="str">
        <f t="shared" si="832"/>
        <v>59823</v>
      </c>
      <c r="B4481" s="1" t="s">
        <v>36</v>
      </c>
      <c r="C4481" s="1" t="s">
        <v>54</v>
      </c>
      <c r="D4481" s="1" t="str">
        <f t="shared" si="833"/>
        <v>9803</v>
      </c>
      <c r="E4481" s="1" t="s">
        <v>32</v>
      </c>
      <c r="F4481" s="1" t="str">
        <f>"855043381"</f>
        <v>855043381</v>
      </c>
      <c r="G4481" s="1" t="s">
        <v>33</v>
      </c>
      <c r="H4481" s="1" t="str">
        <f t="shared" si="836"/>
        <v>20220919</v>
      </c>
      <c r="I4481" s="1" t="str">
        <f>"120116"</f>
        <v>120116</v>
      </c>
      <c r="J4481" s="1" t="s">
        <v>34</v>
      </c>
      <c r="K4481" s="1" t="s">
        <v>34</v>
      </c>
      <c r="L4481" s="1" t="str">
        <f t="shared" si="837"/>
        <v>20220919</v>
      </c>
      <c r="M4481" s="1" t="str">
        <f>"121631"</f>
        <v>121631</v>
      </c>
      <c r="N4481" s="1" t="s">
        <v>46</v>
      </c>
      <c r="O4481" s="1" t="s">
        <v>28</v>
      </c>
      <c r="P4481" s="1" t="s">
        <v>55</v>
      </c>
      <c r="Q4481" s="1">
        <v>25</v>
      </c>
      <c r="R4481" s="1">
        <v>25</v>
      </c>
      <c r="S4481" s="1">
        <v>0</v>
      </c>
      <c r="T4481" s="1">
        <v>0</v>
      </c>
      <c r="U4481" s="1">
        <v>0</v>
      </c>
      <c r="V4481" s="1" t="str">
        <f t="shared" si="835"/>
        <v>里程返程</v>
      </c>
      <c r="W4481" s="1" t="str">
        <f t="shared" si="838"/>
        <v>2020</v>
      </c>
      <c r="X4481" s="1" t="s">
        <v>35</v>
      </c>
    </row>
    <row r="4482" spans="1:24" x14ac:dyDescent="0.3">
      <c r="A4482" s="1" t="str">
        <f t="shared" si="832"/>
        <v>59823</v>
      </c>
      <c r="B4482" s="1" t="s">
        <v>36</v>
      </c>
      <c r="C4482" s="1" t="s">
        <v>54</v>
      </c>
      <c r="D4482" s="1" t="str">
        <f t="shared" si="833"/>
        <v>9803</v>
      </c>
      <c r="E4482" s="1" t="s">
        <v>32</v>
      </c>
      <c r="F4482" s="1" t="str">
        <f>"1238947413"</f>
        <v>1238947413</v>
      </c>
      <c r="G4482" s="1" t="s">
        <v>33</v>
      </c>
      <c r="H4482" s="1" t="str">
        <f t="shared" si="836"/>
        <v>20220919</v>
      </c>
      <c r="I4482" s="1" t="str">
        <f>"120134"</f>
        <v>120134</v>
      </c>
      <c r="J4482" s="1" t="s">
        <v>34</v>
      </c>
      <c r="K4482" s="1" t="s">
        <v>34</v>
      </c>
      <c r="L4482" s="1" t="str">
        <f t="shared" si="837"/>
        <v>20220919</v>
      </c>
      <c r="M4482" s="1" t="str">
        <f>"122953"</f>
        <v>122953</v>
      </c>
      <c r="N4482" s="1" t="s">
        <v>28</v>
      </c>
      <c r="O4482" s="1" t="s">
        <v>28</v>
      </c>
      <c r="P4482" s="1" t="s">
        <v>55</v>
      </c>
      <c r="Q4482" s="1">
        <v>25</v>
      </c>
      <c r="R4482" s="1">
        <v>25</v>
      </c>
      <c r="S4482" s="1">
        <v>0</v>
      </c>
      <c r="T4482" s="1">
        <v>0</v>
      </c>
      <c r="U4482" s="1">
        <v>0</v>
      </c>
      <c r="V4482" s="1" t="str">
        <f t="shared" si="835"/>
        <v>里程返程</v>
      </c>
      <c r="W4482" s="1" t="str">
        <f t="shared" si="838"/>
        <v>2020</v>
      </c>
      <c r="X4482" s="1" t="s">
        <v>35</v>
      </c>
    </row>
    <row r="4483" spans="1:24" x14ac:dyDescent="0.3">
      <c r="A4483" s="1" t="str">
        <f t="shared" si="832"/>
        <v>59823</v>
      </c>
      <c r="B4483" s="1" t="s">
        <v>36</v>
      </c>
      <c r="C4483" s="1" t="s">
        <v>54</v>
      </c>
      <c r="D4483" s="1" t="str">
        <f t="shared" si="833"/>
        <v>9803</v>
      </c>
      <c r="E4483" s="1" t="s">
        <v>32</v>
      </c>
      <c r="F4483" s="1" t="str">
        <f>"901304961"</f>
        <v>901304961</v>
      </c>
      <c r="G4483" s="1" t="s">
        <v>33</v>
      </c>
      <c r="H4483" s="1" t="str">
        <f t="shared" si="836"/>
        <v>20220919</v>
      </c>
      <c r="I4483" s="1" t="str">
        <f>"123036"</f>
        <v>123036</v>
      </c>
      <c r="J4483" s="1" t="s">
        <v>28</v>
      </c>
      <c r="K4483" s="1" t="s">
        <v>28</v>
      </c>
      <c r="L4483" s="1" t="str">
        <f t="shared" si="837"/>
        <v>20220919</v>
      </c>
      <c r="M4483" s="1" t="str">
        <f>"124839"</f>
        <v>124839</v>
      </c>
      <c r="N4483" s="1" t="s">
        <v>34</v>
      </c>
      <c r="O4483" s="1" t="s">
        <v>34</v>
      </c>
      <c r="P4483" s="1" t="s">
        <v>55</v>
      </c>
      <c r="Q4483" s="1">
        <v>25</v>
      </c>
      <c r="R4483" s="1">
        <v>25</v>
      </c>
      <c r="S4483" s="1">
        <v>0</v>
      </c>
      <c r="T4483" s="1">
        <v>0</v>
      </c>
      <c r="U4483" s="1">
        <v>0</v>
      </c>
      <c r="V4483" s="1" t="str">
        <f>"里程去程"</f>
        <v>里程去程</v>
      </c>
      <c r="W4483" s="1" t="str">
        <f>"0120"</f>
        <v>0120</v>
      </c>
      <c r="X4483" s="1" t="s">
        <v>35</v>
      </c>
    </row>
    <row r="4484" spans="1:24" x14ac:dyDescent="0.3">
      <c r="A4484" s="1" t="str">
        <f t="shared" si="832"/>
        <v>59823</v>
      </c>
      <c r="B4484" s="1" t="s">
        <v>36</v>
      </c>
      <c r="C4484" s="1" t="s">
        <v>54</v>
      </c>
      <c r="D4484" s="1" t="str">
        <f t="shared" si="833"/>
        <v>9803</v>
      </c>
      <c r="E4484" s="1" t="s">
        <v>32</v>
      </c>
      <c r="F4484" s="1" t="str">
        <f>"55718F69C228040081200385000E0221"</f>
        <v>55718F69C228040081200385000E0221</v>
      </c>
      <c r="G4484" s="1" t="s">
        <v>58</v>
      </c>
      <c r="H4484" s="1" t="str">
        <f t="shared" si="836"/>
        <v>20220919</v>
      </c>
      <c r="I4484" s="1" t="str">
        <f>"123048"</f>
        <v>123048</v>
      </c>
      <c r="J4484" s="1" t="s">
        <v>28</v>
      </c>
      <c r="K4484" s="1" t="s">
        <v>28</v>
      </c>
      <c r="L4484" s="1" t="str">
        <f t="shared" si="837"/>
        <v>20220919</v>
      </c>
      <c r="M4484" s="1" t="str">
        <f>"124835"</f>
        <v>124835</v>
      </c>
      <c r="N4484" s="1" t="s">
        <v>34</v>
      </c>
      <c r="O4484" s="1" t="s">
        <v>34</v>
      </c>
      <c r="P4484" s="1" t="s">
        <v>55</v>
      </c>
      <c r="Q4484" s="1">
        <v>25</v>
      </c>
      <c r="R4484" s="1">
        <v>25</v>
      </c>
      <c r="S4484" s="1">
        <v>0</v>
      </c>
      <c r="T4484" s="1">
        <v>0</v>
      </c>
      <c r="U4484" s="1">
        <v>0</v>
      </c>
      <c r="V4484" s="1" t="str">
        <f>"里程去程"</f>
        <v>里程去程</v>
      </c>
      <c r="W4484" s="1" t="str">
        <f>"0020"</f>
        <v>0020</v>
      </c>
      <c r="X4484" s="1" t="s">
        <v>29</v>
      </c>
    </row>
    <row r="4485" spans="1:24" x14ac:dyDescent="0.3">
      <c r="A4485" s="1" t="str">
        <f t="shared" si="832"/>
        <v>59823</v>
      </c>
      <c r="B4485" s="1" t="s">
        <v>36</v>
      </c>
      <c r="C4485" s="1" t="s">
        <v>54</v>
      </c>
      <c r="D4485" s="1" t="str">
        <f t="shared" si="833"/>
        <v>9803</v>
      </c>
      <c r="E4485" s="1" t="s">
        <v>32</v>
      </c>
      <c r="F4485" s="1" t="str">
        <f>"F2EB21033B880400C834002000000015"</f>
        <v>F2EB21033B880400C834002000000015</v>
      </c>
      <c r="G4485" s="1" t="s">
        <v>58</v>
      </c>
      <c r="H4485" s="1" t="str">
        <f t="shared" si="836"/>
        <v>20220919</v>
      </c>
      <c r="I4485" s="1" t="str">
        <f>"123053"</f>
        <v>123053</v>
      </c>
      <c r="J4485" s="1" t="s">
        <v>28</v>
      </c>
      <c r="K4485" s="1" t="s">
        <v>28</v>
      </c>
      <c r="L4485" s="1" t="str">
        <f t="shared" si="837"/>
        <v>20220919</v>
      </c>
      <c r="M4485" s="1" t="str">
        <f>"124831"</f>
        <v>124831</v>
      </c>
      <c r="N4485" s="1" t="s">
        <v>34</v>
      </c>
      <c r="O4485" s="1" t="s">
        <v>34</v>
      </c>
      <c r="P4485" s="1" t="s">
        <v>55</v>
      </c>
      <c r="Q4485" s="1">
        <v>25</v>
      </c>
      <c r="R4485" s="1">
        <v>0</v>
      </c>
      <c r="S4485" s="1">
        <v>25</v>
      </c>
      <c r="T4485" s="1">
        <v>0</v>
      </c>
      <c r="U4485" s="1">
        <v>0</v>
      </c>
      <c r="V4485" s="1" t="str">
        <f>"里程去程"</f>
        <v>里程去程</v>
      </c>
      <c r="W4485" s="1" t="str">
        <f>"0620"</f>
        <v>0620</v>
      </c>
      <c r="X4485" s="1" t="s">
        <v>29</v>
      </c>
    </row>
    <row r="4486" spans="1:24" x14ac:dyDescent="0.3">
      <c r="A4486" s="1" t="str">
        <f t="shared" si="832"/>
        <v>59823</v>
      </c>
      <c r="B4486" s="1" t="s">
        <v>36</v>
      </c>
      <c r="C4486" s="1" t="s">
        <v>54</v>
      </c>
      <c r="D4486" s="1" t="str">
        <f t="shared" si="833"/>
        <v>9803</v>
      </c>
      <c r="E4486" s="1" t="s">
        <v>32</v>
      </c>
      <c r="F4486" s="1" t="str">
        <f>"463177853"</f>
        <v>463177853</v>
      </c>
      <c r="G4486" s="1" t="s">
        <v>33</v>
      </c>
      <c r="H4486" s="1" t="str">
        <f t="shared" si="836"/>
        <v>20220919</v>
      </c>
      <c r="I4486" s="1" t="str">
        <f>"130132"</f>
        <v>130132</v>
      </c>
      <c r="J4486" s="1" t="s">
        <v>34</v>
      </c>
      <c r="K4486" s="1" t="s">
        <v>34</v>
      </c>
      <c r="L4486" s="1" t="str">
        <f t="shared" si="837"/>
        <v>20220919</v>
      </c>
      <c r="M4486" s="1" t="str">
        <f>"132827"</f>
        <v>132827</v>
      </c>
      <c r="N4486" s="1" t="s">
        <v>28</v>
      </c>
      <c r="O4486" s="1" t="s">
        <v>28</v>
      </c>
      <c r="P4486" s="1" t="s">
        <v>55</v>
      </c>
      <c r="Q4486" s="1">
        <v>25</v>
      </c>
      <c r="R4486" s="1">
        <v>25</v>
      </c>
      <c r="S4486" s="1">
        <v>0</v>
      </c>
      <c r="T4486" s="1">
        <v>0</v>
      </c>
      <c r="U4486" s="1">
        <v>0</v>
      </c>
      <c r="V4486" s="1" t="str">
        <f t="shared" ref="V4486:V4497" si="839">"里程返程"</f>
        <v>里程返程</v>
      </c>
      <c r="W4486" s="1" t="str">
        <f>"0220"</f>
        <v>0220</v>
      </c>
      <c r="X4486" s="1" t="s">
        <v>35</v>
      </c>
    </row>
    <row r="4487" spans="1:24" x14ac:dyDescent="0.3">
      <c r="A4487" s="1" t="str">
        <f t="shared" si="832"/>
        <v>59823</v>
      </c>
      <c r="B4487" s="1" t="s">
        <v>36</v>
      </c>
      <c r="C4487" s="1" t="s">
        <v>54</v>
      </c>
      <c r="D4487" s="1" t="str">
        <f t="shared" si="833"/>
        <v>9803</v>
      </c>
      <c r="E4487" s="1" t="s">
        <v>32</v>
      </c>
      <c r="F4487" s="1" t="str">
        <f>"4118129155"</f>
        <v>4118129155</v>
      </c>
      <c r="G4487" s="1" t="s">
        <v>33</v>
      </c>
      <c r="H4487" s="1" t="str">
        <f t="shared" si="836"/>
        <v>20220919</v>
      </c>
      <c r="I4487" s="1" t="str">
        <f>"130135"</f>
        <v>130135</v>
      </c>
      <c r="J4487" s="1" t="s">
        <v>34</v>
      </c>
      <c r="K4487" s="1" t="s">
        <v>34</v>
      </c>
      <c r="L4487" s="1" t="str">
        <f t="shared" si="837"/>
        <v>20220919</v>
      </c>
      <c r="M4487" s="1" t="str">
        <f>"132823"</f>
        <v>132823</v>
      </c>
      <c r="N4487" s="1" t="s">
        <v>28</v>
      </c>
      <c r="O4487" s="1" t="s">
        <v>28</v>
      </c>
      <c r="P4487" s="1" t="s">
        <v>55</v>
      </c>
      <c r="Q4487" s="1">
        <v>25</v>
      </c>
      <c r="R4487" s="1">
        <v>25</v>
      </c>
      <c r="S4487" s="1">
        <v>0</v>
      </c>
      <c r="T4487" s="1">
        <v>0</v>
      </c>
      <c r="U4487" s="1">
        <v>0</v>
      </c>
      <c r="V4487" s="1" t="str">
        <f t="shared" si="839"/>
        <v>里程返程</v>
      </c>
      <c r="W4487" s="1" t="str">
        <f>"0220"</f>
        <v>0220</v>
      </c>
      <c r="X4487" s="1" t="s">
        <v>35</v>
      </c>
    </row>
    <row r="4488" spans="1:24" x14ac:dyDescent="0.3">
      <c r="A4488" s="1" t="str">
        <f t="shared" si="832"/>
        <v>59823</v>
      </c>
      <c r="B4488" s="1" t="s">
        <v>36</v>
      </c>
      <c r="C4488" s="1" t="s">
        <v>54</v>
      </c>
      <c r="D4488" s="1" t="str">
        <f t="shared" si="833"/>
        <v>9803</v>
      </c>
      <c r="E4488" s="1" t="s">
        <v>32</v>
      </c>
      <c r="F4488" s="1" t="str">
        <f>"653658581"</f>
        <v>653658581</v>
      </c>
      <c r="G4488" s="1" t="s">
        <v>33</v>
      </c>
      <c r="H4488" s="1" t="str">
        <f t="shared" si="836"/>
        <v>20220919</v>
      </c>
      <c r="I4488" s="1" t="str">
        <f>"130141"</f>
        <v>130141</v>
      </c>
      <c r="J4488" s="1" t="s">
        <v>34</v>
      </c>
      <c r="K4488" s="1" t="s">
        <v>34</v>
      </c>
      <c r="L4488" s="1" t="str">
        <f t="shared" si="837"/>
        <v>20220919</v>
      </c>
      <c r="M4488" s="1" t="str">
        <f>"132857"</f>
        <v>132857</v>
      </c>
      <c r="N4488" s="1" t="s">
        <v>28</v>
      </c>
      <c r="O4488" s="1" t="s">
        <v>28</v>
      </c>
      <c r="P4488" s="1" t="s">
        <v>55</v>
      </c>
      <c r="Q4488" s="1">
        <v>25</v>
      </c>
      <c r="R4488" s="1">
        <v>25</v>
      </c>
      <c r="S4488" s="1">
        <v>0</v>
      </c>
      <c r="T4488" s="1">
        <v>0</v>
      </c>
      <c r="U4488" s="1">
        <v>0</v>
      </c>
      <c r="V4488" s="1" t="str">
        <f t="shared" si="839"/>
        <v>里程返程</v>
      </c>
      <c r="W4488" s="1" t="str">
        <f>"2020"</f>
        <v>2020</v>
      </c>
      <c r="X4488" s="1" t="s">
        <v>35</v>
      </c>
    </row>
    <row r="4489" spans="1:24" x14ac:dyDescent="0.3">
      <c r="A4489" s="1" t="str">
        <f t="shared" si="832"/>
        <v>59823</v>
      </c>
      <c r="B4489" s="1" t="s">
        <v>36</v>
      </c>
      <c r="C4489" s="1" t="s">
        <v>54</v>
      </c>
      <c r="D4489" s="1" t="str">
        <f t="shared" si="833"/>
        <v>9803</v>
      </c>
      <c r="E4489" s="1" t="s">
        <v>32</v>
      </c>
      <c r="F4489" s="1" t="str">
        <f>"1703335013"</f>
        <v>1703335013</v>
      </c>
      <c r="G4489" s="1" t="s">
        <v>33</v>
      </c>
      <c r="H4489" s="1" t="str">
        <f t="shared" si="836"/>
        <v>20220919</v>
      </c>
      <c r="I4489" s="1" t="str">
        <f>"130153"</f>
        <v>130153</v>
      </c>
      <c r="J4489" s="1" t="s">
        <v>34</v>
      </c>
      <c r="K4489" s="1" t="s">
        <v>34</v>
      </c>
      <c r="L4489" s="1" t="str">
        <f t="shared" si="837"/>
        <v>20220919</v>
      </c>
      <c r="M4489" s="1" t="str">
        <f>"132851"</f>
        <v>132851</v>
      </c>
      <c r="N4489" s="1" t="s">
        <v>28</v>
      </c>
      <c r="O4489" s="1" t="s">
        <v>28</v>
      </c>
      <c r="P4489" s="1" t="s">
        <v>55</v>
      </c>
      <c r="Q4489" s="1">
        <v>25</v>
      </c>
      <c r="R4489" s="1">
        <v>25</v>
      </c>
      <c r="S4489" s="1">
        <v>0</v>
      </c>
      <c r="T4489" s="1">
        <v>0</v>
      </c>
      <c r="U4489" s="1">
        <v>0</v>
      </c>
      <c r="V4489" s="1" t="str">
        <f t="shared" si="839"/>
        <v>里程返程</v>
      </c>
      <c r="W4489" s="1" t="str">
        <f>"2020"</f>
        <v>2020</v>
      </c>
      <c r="X4489" s="1" t="s">
        <v>35</v>
      </c>
    </row>
    <row r="4490" spans="1:24" x14ac:dyDescent="0.3">
      <c r="A4490" s="1" t="str">
        <f t="shared" si="832"/>
        <v>59823</v>
      </c>
      <c r="B4490" s="1" t="s">
        <v>36</v>
      </c>
      <c r="C4490" s="1" t="s">
        <v>54</v>
      </c>
      <c r="D4490" s="1" t="str">
        <f t="shared" si="833"/>
        <v>9803</v>
      </c>
      <c r="E4490" s="1" t="s">
        <v>32</v>
      </c>
      <c r="F4490" s="1" t="str">
        <f>"1256688501"</f>
        <v>1256688501</v>
      </c>
      <c r="G4490" s="1" t="s">
        <v>33</v>
      </c>
      <c r="H4490" s="1" t="str">
        <f t="shared" si="836"/>
        <v>20220919</v>
      </c>
      <c r="I4490" s="1" t="str">
        <f>"130158"</f>
        <v>130158</v>
      </c>
      <c r="J4490" s="1" t="s">
        <v>34</v>
      </c>
      <c r="K4490" s="1" t="s">
        <v>34</v>
      </c>
      <c r="L4490" s="1" t="str">
        <f t="shared" si="837"/>
        <v>20220919</v>
      </c>
      <c r="M4490" s="1" t="str">
        <f>"132848"</f>
        <v>132848</v>
      </c>
      <c r="N4490" s="1" t="s">
        <v>28</v>
      </c>
      <c r="O4490" s="1" t="s">
        <v>28</v>
      </c>
      <c r="P4490" s="1" t="s">
        <v>55</v>
      </c>
      <c r="Q4490" s="1">
        <v>25</v>
      </c>
      <c r="R4490" s="1">
        <v>25</v>
      </c>
      <c r="S4490" s="1">
        <v>0</v>
      </c>
      <c r="T4490" s="1">
        <v>0</v>
      </c>
      <c r="U4490" s="1">
        <v>0</v>
      </c>
      <c r="V4490" s="1" t="str">
        <f t="shared" si="839"/>
        <v>里程返程</v>
      </c>
      <c r="W4490" s="1" t="str">
        <f>"2020"</f>
        <v>2020</v>
      </c>
      <c r="X4490" s="1" t="s">
        <v>35</v>
      </c>
    </row>
    <row r="4491" spans="1:24" x14ac:dyDescent="0.3">
      <c r="A4491" s="1" t="str">
        <f t="shared" si="832"/>
        <v>59823</v>
      </c>
      <c r="B4491" s="1" t="s">
        <v>36</v>
      </c>
      <c r="C4491" s="1" t="s">
        <v>54</v>
      </c>
      <c r="D4491" s="1" t="str">
        <f t="shared" si="833"/>
        <v>9803</v>
      </c>
      <c r="E4491" s="1" t="s">
        <v>32</v>
      </c>
      <c r="F4491" s="1" t="str">
        <f>"619166417"</f>
        <v>619166417</v>
      </c>
      <c r="G4491" s="1" t="s">
        <v>33</v>
      </c>
      <c r="H4491" s="1" t="str">
        <f t="shared" si="836"/>
        <v>20220919</v>
      </c>
      <c r="I4491" s="1" t="str">
        <f>"130202"</f>
        <v>130202</v>
      </c>
      <c r="J4491" s="1" t="s">
        <v>34</v>
      </c>
      <c r="K4491" s="1" t="s">
        <v>34</v>
      </c>
      <c r="L4491" s="1" t="str">
        <f t="shared" si="837"/>
        <v>20220919</v>
      </c>
      <c r="M4491" s="1" t="str">
        <f>"132839"</f>
        <v>132839</v>
      </c>
      <c r="N4491" s="1" t="s">
        <v>28</v>
      </c>
      <c r="O4491" s="1" t="s">
        <v>28</v>
      </c>
      <c r="P4491" s="1" t="s">
        <v>55</v>
      </c>
      <c r="Q4491" s="1">
        <v>25</v>
      </c>
      <c r="R4491" s="1">
        <v>25</v>
      </c>
      <c r="S4491" s="1">
        <v>0</v>
      </c>
      <c r="T4491" s="1">
        <v>0</v>
      </c>
      <c r="U4491" s="1">
        <v>0</v>
      </c>
      <c r="V4491" s="1" t="str">
        <f t="shared" si="839"/>
        <v>里程返程</v>
      </c>
      <c r="W4491" s="1" t="str">
        <f>"2120"</f>
        <v>2120</v>
      </c>
      <c r="X4491" s="1" t="s">
        <v>35</v>
      </c>
    </row>
    <row r="4492" spans="1:24" x14ac:dyDescent="0.3">
      <c r="A4492" s="1" t="str">
        <f t="shared" si="832"/>
        <v>59823</v>
      </c>
      <c r="B4492" s="1" t="s">
        <v>36</v>
      </c>
      <c r="C4492" s="1" t="s">
        <v>54</v>
      </c>
      <c r="D4492" s="1" t="str">
        <f t="shared" si="833"/>
        <v>9803</v>
      </c>
      <c r="E4492" s="1" t="s">
        <v>32</v>
      </c>
      <c r="F4492" s="1" t="str">
        <f>"206803823"</f>
        <v>206803823</v>
      </c>
      <c r="G4492" s="1" t="s">
        <v>33</v>
      </c>
      <c r="H4492" s="1" t="str">
        <f t="shared" si="836"/>
        <v>20220919</v>
      </c>
      <c r="I4492" s="1" t="str">
        <f>"130205"</f>
        <v>130205</v>
      </c>
      <c r="J4492" s="1" t="s">
        <v>34</v>
      </c>
      <c r="K4492" s="1" t="s">
        <v>34</v>
      </c>
      <c r="L4492" s="1" t="str">
        <f t="shared" si="837"/>
        <v>20220919</v>
      </c>
      <c r="M4492" s="1" t="str">
        <f>"132841"</f>
        <v>132841</v>
      </c>
      <c r="N4492" s="1" t="s">
        <v>28</v>
      </c>
      <c r="O4492" s="1" t="s">
        <v>28</v>
      </c>
      <c r="P4492" s="1" t="s">
        <v>55</v>
      </c>
      <c r="Q4492" s="1">
        <v>25</v>
      </c>
      <c r="R4492" s="1">
        <v>25</v>
      </c>
      <c r="S4492" s="1">
        <v>0</v>
      </c>
      <c r="T4492" s="1">
        <v>0</v>
      </c>
      <c r="U4492" s="1">
        <v>0</v>
      </c>
      <c r="V4492" s="1" t="str">
        <f t="shared" si="839"/>
        <v>里程返程</v>
      </c>
      <c r="W4492" s="1" t="str">
        <f>"0120"</f>
        <v>0120</v>
      </c>
      <c r="X4492" s="1" t="s">
        <v>35</v>
      </c>
    </row>
    <row r="4493" spans="1:24" x14ac:dyDescent="0.3">
      <c r="A4493" s="1" t="str">
        <f t="shared" si="832"/>
        <v>59823</v>
      </c>
      <c r="B4493" s="1" t="s">
        <v>36</v>
      </c>
      <c r="C4493" s="1" t="s">
        <v>54</v>
      </c>
      <c r="D4493" s="1" t="str">
        <f t="shared" si="833"/>
        <v>9803</v>
      </c>
      <c r="E4493" s="1" t="s">
        <v>32</v>
      </c>
      <c r="F4493" s="1" t="str">
        <f>"732230561"</f>
        <v>732230561</v>
      </c>
      <c r="G4493" s="1" t="s">
        <v>33</v>
      </c>
      <c r="H4493" s="1" t="str">
        <f t="shared" si="836"/>
        <v>20220919</v>
      </c>
      <c r="I4493" s="1" t="str">
        <f>"130210"</f>
        <v>130210</v>
      </c>
      <c r="J4493" s="1" t="s">
        <v>34</v>
      </c>
      <c r="K4493" s="1" t="s">
        <v>34</v>
      </c>
      <c r="L4493" s="1" t="str">
        <f t="shared" si="837"/>
        <v>20220919</v>
      </c>
      <c r="M4493" s="1" t="str">
        <f>"132907"</f>
        <v>132907</v>
      </c>
      <c r="N4493" s="1" t="s">
        <v>28</v>
      </c>
      <c r="O4493" s="1" t="s">
        <v>28</v>
      </c>
      <c r="P4493" s="1" t="s">
        <v>55</v>
      </c>
      <c r="Q4493" s="1">
        <v>25</v>
      </c>
      <c r="R4493" s="1">
        <v>25</v>
      </c>
      <c r="S4493" s="1">
        <v>0</v>
      </c>
      <c r="T4493" s="1">
        <v>0</v>
      </c>
      <c r="U4493" s="1">
        <v>0</v>
      </c>
      <c r="V4493" s="1" t="str">
        <f t="shared" si="839"/>
        <v>里程返程</v>
      </c>
      <c r="W4493" s="1" t="str">
        <f>"0820"</f>
        <v>0820</v>
      </c>
      <c r="X4493" s="1" t="s">
        <v>35</v>
      </c>
    </row>
    <row r="4494" spans="1:24" x14ac:dyDescent="0.3">
      <c r="A4494" s="1" t="str">
        <f t="shared" si="832"/>
        <v>59823</v>
      </c>
      <c r="B4494" s="1" t="s">
        <v>36</v>
      </c>
      <c r="C4494" s="1" t="s">
        <v>54</v>
      </c>
      <c r="D4494" s="1" t="str">
        <f t="shared" si="833"/>
        <v>9803</v>
      </c>
      <c r="E4494" s="1" t="s">
        <v>32</v>
      </c>
      <c r="F4494" s="1" t="str">
        <f>"1143434517"</f>
        <v>1143434517</v>
      </c>
      <c r="G4494" s="1" t="s">
        <v>33</v>
      </c>
      <c r="H4494" s="1" t="str">
        <f t="shared" si="836"/>
        <v>20220919</v>
      </c>
      <c r="I4494" s="1" t="str">
        <f>"130218"</f>
        <v>130218</v>
      </c>
      <c r="J4494" s="1" t="s">
        <v>34</v>
      </c>
      <c r="K4494" s="1" t="s">
        <v>34</v>
      </c>
      <c r="L4494" s="1" t="str">
        <f t="shared" si="837"/>
        <v>20220919</v>
      </c>
      <c r="M4494" s="1" t="str">
        <f>"132845"</f>
        <v>132845</v>
      </c>
      <c r="N4494" s="1" t="s">
        <v>28</v>
      </c>
      <c r="O4494" s="1" t="s">
        <v>28</v>
      </c>
      <c r="P4494" s="1" t="s">
        <v>55</v>
      </c>
      <c r="Q4494" s="1">
        <v>25</v>
      </c>
      <c r="R4494" s="1">
        <v>25</v>
      </c>
      <c r="S4494" s="1">
        <v>0</v>
      </c>
      <c r="T4494" s="1">
        <v>0</v>
      </c>
      <c r="U4494" s="1">
        <v>0</v>
      </c>
      <c r="V4494" s="1" t="str">
        <f t="shared" si="839"/>
        <v>里程返程</v>
      </c>
      <c r="W4494" s="1" t="str">
        <f>"0820"</f>
        <v>0820</v>
      </c>
      <c r="X4494" s="1" t="s">
        <v>35</v>
      </c>
    </row>
    <row r="4495" spans="1:24" x14ac:dyDescent="0.3">
      <c r="A4495" s="1" t="str">
        <f t="shared" si="832"/>
        <v>59823</v>
      </c>
      <c r="B4495" s="1" t="s">
        <v>36</v>
      </c>
      <c r="C4495" s="1" t="s">
        <v>54</v>
      </c>
      <c r="D4495" s="1" t="str">
        <f t="shared" si="833"/>
        <v>9803</v>
      </c>
      <c r="E4495" s="1" t="s">
        <v>32</v>
      </c>
      <c r="F4495" s="1" t="str">
        <f>"456061889"</f>
        <v>456061889</v>
      </c>
      <c r="G4495" s="1" t="s">
        <v>33</v>
      </c>
      <c r="H4495" s="1" t="str">
        <f t="shared" si="836"/>
        <v>20220919</v>
      </c>
      <c r="I4495" s="1" t="str">
        <f>"130222"</f>
        <v>130222</v>
      </c>
      <c r="J4495" s="1" t="s">
        <v>34</v>
      </c>
      <c r="K4495" s="1" t="s">
        <v>34</v>
      </c>
      <c r="L4495" s="1" t="str">
        <f t="shared" si="837"/>
        <v>20220919</v>
      </c>
      <c r="M4495" s="1" t="str">
        <f>"132902"</f>
        <v>132902</v>
      </c>
      <c r="N4495" s="1" t="s">
        <v>28</v>
      </c>
      <c r="O4495" s="1" t="s">
        <v>28</v>
      </c>
      <c r="P4495" s="1" t="s">
        <v>55</v>
      </c>
      <c r="Q4495" s="1">
        <v>25</v>
      </c>
      <c r="R4495" s="1">
        <v>25</v>
      </c>
      <c r="S4495" s="1">
        <v>0</v>
      </c>
      <c r="T4495" s="1">
        <v>0</v>
      </c>
      <c r="U4495" s="1">
        <v>0</v>
      </c>
      <c r="V4495" s="1" t="str">
        <f t="shared" si="839"/>
        <v>里程返程</v>
      </c>
      <c r="W4495" s="1" t="str">
        <f>"0120"</f>
        <v>0120</v>
      </c>
      <c r="X4495" s="1" t="s">
        <v>35</v>
      </c>
    </row>
    <row r="4496" spans="1:24" x14ac:dyDescent="0.3">
      <c r="A4496" s="1" t="str">
        <f t="shared" si="832"/>
        <v>59823</v>
      </c>
      <c r="B4496" s="1" t="s">
        <v>36</v>
      </c>
      <c r="C4496" s="1" t="s">
        <v>54</v>
      </c>
      <c r="D4496" s="1" t="str">
        <f t="shared" si="833"/>
        <v>9803</v>
      </c>
      <c r="E4496" s="1" t="s">
        <v>32</v>
      </c>
      <c r="F4496" s="1" t="str">
        <f>"D1071629E9280400F700000000000000"</f>
        <v>D1071629E9280400F700000000000000</v>
      </c>
      <c r="G4496" s="1" t="s">
        <v>58</v>
      </c>
      <c r="H4496" s="1" t="str">
        <f t="shared" si="836"/>
        <v>20220919</v>
      </c>
      <c r="I4496" s="1" t="str">
        <f>"130231"</f>
        <v>130231</v>
      </c>
      <c r="J4496" s="1" t="s">
        <v>34</v>
      </c>
      <c r="K4496" s="1" t="s">
        <v>34</v>
      </c>
      <c r="L4496" s="1" t="str">
        <f t="shared" si="837"/>
        <v>20220919</v>
      </c>
      <c r="M4496" s="1" t="str">
        <f>"132911"</f>
        <v>132911</v>
      </c>
      <c r="N4496" s="1" t="s">
        <v>28</v>
      </c>
      <c r="O4496" s="1" t="s">
        <v>28</v>
      </c>
      <c r="P4496" s="1" t="s">
        <v>55</v>
      </c>
      <c r="Q4496" s="1">
        <v>25</v>
      </c>
      <c r="R4496" s="1">
        <v>25</v>
      </c>
      <c r="S4496" s="1">
        <v>0</v>
      </c>
      <c r="T4496" s="1">
        <v>0</v>
      </c>
      <c r="U4496" s="1">
        <v>0</v>
      </c>
      <c r="V4496" s="1" t="str">
        <f t="shared" si="839"/>
        <v>里程返程</v>
      </c>
      <c r="W4496" s="1" t="str">
        <f>"0020"</f>
        <v>0020</v>
      </c>
      <c r="X4496" s="1" t="s">
        <v>29</v>
      </c>
    </row>
    <row r="4497" spans="1:24" x14ac:dyDescent="0.3">
      <c r="A4497" s="1" t="str">
        <f t="shared" si="832"/>
        <v>59823</v>
      </c>
      <c r="B4497" s="1" t="s">
        <v>36</v>
      </c>
      <c r="C4497" s="1" t="s">
        <v>54</v>
      </c>
      <c r="D4497" s="1" t="str">
        <f t="shared" si="833"/>
        <v>9803</v>
      </c>
      <c r="E4497" s="1" t="s">
        <v>32</v>
      </c>
      <c r="F4497" s="1" t="str">
        <f>"1735249109"</f>
        <v>1735249109</v>
      </c>
      <c r="G4497" s="1" t="s">
        <v>33</v>
      </c>
      <c r="H4497" s="1" t="str">
        <f t="shared" si="836"/>
        <v>20220919</v>
      </c>
      <c r="I4497" s="1" t="str">
        <f>"130236"</f>
        <v>130236</v>
      </c>
      <c r="J4497" s="1" t="s">
        <v>34</v>
      </c>
      <c r="K4497" s="1" t="s">
        <v>34</v>
      </c>
      <c r="L4497" s="1" t="str">
        <f t="shared" si="837"/>
        <v>20220919</v>
      </c>
      <c r="M4497" s="1" t="str">
        <f>"132830"</f>
        <v>132830</v>
      </c>
      <c r="N4497" s="1" t="s">
        <v>28</v>
      </c>
      <c r="O4497" s="1" t="s">
        <v>28</v>
      </c>
      <c r="P4497" s="1" t="s">
        <v>55</v>
      </c>
      <c r="Q4497" s="1">
        <v>25</v>
      </c>
      <c r="R4497" s="1">
        <v>0</v>
      </c>
      <c r="S4497" s="1">
        <v>25</v>
      </c>
      <c r="T4497" s="1">
        <v>0</v>
      </c>
      <c r="U4497" s="1">
        <v>0</v>
      </c>
      <c r="V4497" s="1" t="str">
        <f t="shared" si="839"/>
        <v>里程返程</v>
      </c>
      <c r="W4497" s="1" t="str">
        <f>"2120"</f>
        <v>2120</v>
      </c>
      <c r="X4497" s="1" t="s">
        <v>35</v>
      </c>
    </row>
    <row r="4498" spans="1:24" x14ac:dyDescent="0.3">
      <c r="A4498" s="1" t="str">
        <f t="shared" si="832"/>
        <v>59823</v>
      </c>
      <c r="B4498" s="1" t="s">
        <v>36</v>
      </c>
      <c r="C4498" s="1" t="s">
        <v>37</v>
      </c>
      <c r="D4498" s="1" t="str">
        <f t="shared" si="833"/>
        <v>9803</v>
      </c>
      <c r="E4498" s="1" t="s">
        <v>32</v>
      </c>
      <c r="F4498" s="1" t="str">
        <f>"643278741"</f>
        <v>643278741</v>
      </c>
      <c r="G4498" s="1" t="s">
        <v>33</v>
      </c>
      <c r="H4498" s="1" t="str">
        <f t="shared" si="836"/>
        <v>20220919</v>
      </c>
      <c r="I4498" s="1" t="str">
        <f>"153833"</f>
        <v>153833</v>
      </c>
      <c r="J4498" s="1" t="s">
        <v>28</v>
      </c>
      <c r="K4498" s="1" t="s">
        <v>28</v>
      </c>
      <c r="L4498" s="1" t="str">
        <f t="shared" si="837"/>
        <v>20220919</v>
      </c>
      <c r="M4498" s="1" t="str">
        <f>"155832"</f>
        <v>155832</v>
      </c>
      <c r="N4498" s="1" t="s">
        <v>34</v>
      </c>
      <c r="O4498" s="1" t="s">
        <v>34</v>
      </c>
      <c r="P4498" s="1" t="s">
        <v>55</v>
      </c>
      <c r="Q4498" s="1">
        <v>25</v>
      </c>
      <c r="R4498" s="1">
        <v>25</v>
      </c>
      <c r="S4498" s="1">
        <v>0</v>
      </c>
      <c r="T4498" s="1">
        <v>0</v>
      </c>
      <c r="U4498" s="1">
        <v>0</v>
      </c>
      <c r="V4498" s="1" t="str">
        <f>"里程去程"</f>
        <v>里程去程</v>
      </c>
      <c r="W4498" s="1" t="str">
        <f>"0120"</f>
        <v>0120</v>
      </c>
      <c r="X4498" s="1" t="s">
        <v>35</v>
      </c>
    </row>
    <row r="4499" spans="1:24" x14ac:dyDescent="0.3">
      <c r="A4499" s="1" t="str">
        <f t="shared" si="832"/>
        <v>59823</v>
      </c>
      <c r="B4499" s="1" t="s">
        <v>36</v>
      </c>
      <c r="C4499" s="1" t="s">
        <v>37</v>
      </c>
      <c r="D4499" s="1" t="str">
        <f t="shared" si="833"/>
        <v>9803</v>
      </c>
      <c r="E4499" s="1" t="s">
        <v>32</v>
      </c>
      <c r="F4499" s="1" t="str">
        <f>"B1212C45F9280400F700000000000000"</f>
        <v>B1212C45F9280400F700000000000000</v>
      </c>
      <c r="G4499" s="1" t="s">
        <v>58</v>
      </c>
      <c r="H4499" s="1" t="str">
        <f t="shared" si="836"/>
        <v>20220919</v>
      </c>
      <c r="I4499" s="1" t="str">
        <f>"173021"</f>
        <v>173021</v>
      </c>
      <c r="J4499" s="1" t="s">
        <v>34</v>
      </c>
      <c r="K4499" s="1" t="s">
        <v>34</v>
      </c>
      <c r="L4499" s="1" t="str">
        <f t="shared" si="837"/>
        <v>20220919</v>
      </c>
      <c r="M4499" s="1" t="str">
        <f>"175827"</f>
        <v>175827</v>
      </c>
      <c r="N4499" s="1" t="s">
        <v>28</v>
      </c>
      <c r="O4499" s="1" t="s">
        <v>28</v>
      </c>
      <c r="P4499" s="1" t="s">
        <v>55</v>
      </c>
      <c r="Q4499" s="1">
        <v>25</v>
      </c>
      <c r="R4499" s="1">
        <v>25</v>
      </c>
      <c r="S4499" s="1">
        <v>0</v>
      </c>
      <c r="T4499" s="1">
        <v>0</v>
      </c>
      <c r="U4499" s="1">
        <v>0</v>
      </c>
      <c r="V4499" s="1" t="str">
        <f t="shared" ref="V4499:V4507" si="840">"里程返程"</f>
        <v>里程返程</v>
      </c>
      <c r="W4499" s="1" t="str">
        <f>"0020"</f>
        <v>0020</v>
      </c>
      <c r="X4499" s="1" t="s">
        <v>29</v>
      </c>
    </row>
    <row r="4500" spans="1:24" x14ac:dyDescent="0.3">
      <c r="A4500" s="1" t="str">
        <f t="shared" si="832"/>
        <v>59823</v>
      </c>
      <c r="B4500" s="1" t="s">
        <v>36</v>
      </c>
      <c r="C4500" s="1" t="s">
        <v>37</v>
      </c>
      <c r="D4500" s="1" t="str">
        <f t="shared" si="833"/>
        <v>9803</v>
      </c>
      <c r="E4500" s="1" t="s">
        <v>32</v>
      </c>
      <c r="F4500" s="1" t="str">
        <f>"3554830339"</f>
        <v>3554830339</v>
      </c>
      <c r="G4500" s="1" t="s">
        <v>33</v>
      </c>
      <c r="H4500" s="1" t="str">
        <f t="shared" si="836"/>
        <v>20220919</v>
      </c>
      <c r="I4500" s="1" t="str">
        <f>"173025"</f>
        <v>173025</v>
      </c>
      <c r="J4500" s="1" t="s">
        <v>34</v>
      </c>
      <c r="K4500" s="1" t="s">
        <v>34</v>
      </c>
      <c r="L4500" s="1" t="str">
        <f t="shared" si="837"/>
        <v>20220919</v>
      </c>
      <c r="M4500" s="1" t="str">
        <f>"175903"</f>
        <v>175903</v>
      </c>
      <c r="N4500" s="1" t="s">
        <v>28</v>
      </c>
      <c r="O4500" s="1" t="s">
        <v>28</v>
      </c>
      <c r="P4500" s="1" t="s">
        <v>55</v>
      </c>
      <c r="Q4500" s="1">
        <v>25</v>
      </c>
      <c r="R4500" s="1">
        <v>25</v>
      </c>
      <c r="S4500" s="1">
        <v>0</v>
      </c>
      <c r="T4500" s="1">
        <v>0</v>
      </c>
      <c r="U4500" s="1">
        <v>0</v>
      </c>
      <c r="V4500" s="1" t="str">
        <f t="shared" si="840"/>
        <v>里程返程</v>
      </c>
      <c r="W4500" s="1" t="str">
        <f>"2020"</f>
        <v>2020</v>
      </c>
      <c r="X4500" s="1" t="s">
        <v>35</v>
      </c>
    </row>
    <row r="4501" spans="1:24" x14ac:dyDescent="0.3">
      <c r="A4501" s="1" t="str">
        <f t="shared" si="832"/>
        <v>59823</v>
      </c>
      <c r="B4501" s="1" t="s">
        <v>36</v>
      </c>
      <c r="C4501" s="1" t="s">
        <v>37</v>
      </c>
      <c r="D4501" s="1" t="str">
        <f t="shared" si="833"/>
        <v>9803</v>
      </c>
      <c r="E4501" s="1" t="s">
        <v>32</v>
      </c>
      <c r="F4501" s="1" t="str">
        <f>"1124422261"</f>
        <v>1124422261</v>
      </c>
      <c r="G4501" s="1" t="s">
        <v>33</v>
      </c>
      <c r="H4501" s="1" t="str">
        <f t="shared" si="836"/>
        <v>20220919</v>
      </c>
      <c r="I4501" s="1" t="str">
        <f>"173028"</f>
        <v>173028</v>
      </c>
      <c r="J4501" s="1" t="s">
        <v>34</v>
      </c>
      <c r="K4501" s="1" t="s">
        <v>34</v>
      </c>
      <c r="L4501" s="1" t="str">
        <f t="shared" si="837"/>
        <v>20220919</v>
      </c>
      <c r="M4501" s="1" t="str">
        <f>"175909"</f>
        <v>175909</v>
      </c>
      <c r="N4501" s="1" t="s">
        <v>28</v>
      </c>
      <c r="O4501" s="1" t="s">
        <v>28</v>
      </c>
      <c r="P4501" s="1" t="s">
        <v>55</v>
      </c>
      <c r="Q4501" s="1">
        <v>25</v>
      </c>
      <c r="R4501" s="1">
        <v>25</v>
      </c>
      <c r="S4501" s="1">
        <v>0</v>
      </c>
      <c r="T4501" s="1">
        <v>0</v>
      </c>
      <c r="U4501" s="1">
        <v>0</v>
      </c>
      <c r="V4501" s="1" t="str">
        <f t="shared" si="840"/>
        <v>里程返程</v>
      </c>
      <c r="W4501" s="1" t="str">
        <f>"2020"</f>
        <v>2020</v>
      </c>
      <c r="X4501" s="1" t="s">
        <v>35</v>
      </c>
    </row>
    <row r="4502" spans="1:24" x14ac:dyDescent="0.3">
      <c r="A4502" s="1" t="str">
        <f t="shared" si="832"/>
        <v>59823</v>
      </c>
      <c r="B4502" s="1" t="s">
        <v>36</v>
      </c>
      <c r="C4502" s="1" t="s">
        <v>37</v>
      </c>
      <c r="D4502" s="1" t="str">
        <f t="shared" si="833"/>
        <v>9803</v>
      </c>
      <c r="E4502" s="1" t="s">
        <v>32</v>
      </c>
      <c r="F4502" s="1" t="str">
        <f>"A13C324EE1280400F700000000000000"</f>
        <v>A13C324EE1280400F700000000000000</v>
      </c>
      <c r="G4502" s="1" t="s">
        <v>58</v>
      </c>
      <c r="H4502" s="1" t="str">
        <f t="shared" si="836"/>
        <v>20220919</v>
      </c>
      <c r="I4502" s="1" t="str">
        <f>"173034"</f>
        <v>173034</v>
      </c>
      <c r="J4502" s="1" t="s">
        <v>34</v>
      </c>
      <c r="K4502" s="1" t="s">
        <v>34</v>
      </c>
      <c r="L4502" s="1" t="str">
        <f t="shared" si="837"/>
        <v>20220919</v>
      </c>
      <c r="M4502" s="1" t="str">
        <f>"175816"</f>
        <v>175816</v>
      </c>
      <c r="N4502" s="1" t="s">
        <v>28</v>
      </c>
      <c r="O4502" s="1" t="s">
        <v>28</v>
      </c>
      <c r="P4502" s="1" t="s">
        <v>55</v>
      </c>
      <c r="Q4502" s="1">
        <v>25</v>
      </c>
      <c r="R4502" s="1">
        <v>25</v>
      </c>
      <c r="S4502" s="1">
        <v>0</v>
      </c>
      <c r="T4502" s="1">
        <v>0</v>
      </c>
      <c r="U4502" s="1">
        <v>0</v>
      </c>
      <c r="V4502" s="1" t="str">
        <f t="shared" si="840"/>
        <v>里程返程</v>
      </c>
      <c r="W4502" s="1" t="str">
        <f>"0020"</f>
        <v>0020</v>
      </c>
      <c r="X4502" s="1" t="s">
        <v>29</v>
      </c>
    </row>
    <row r="4503" spans="1:24" x14ac:dyDescent="0.3">
      <c r="A4503" s="1" t="str">
        <f t="shared" si="832"/>
        <v>59823</v>
      </c>
      <c r="B4503" s="1" t="s">
        <v>36</v>
      </c>
      <c r="C4503" s="1" t="s">
        <v>37</v>
      </c>
      <c r="D4503" s="1" t="str">
        <f t="shared" si="833"/>
        <v>9803</v>
      </c>
      <c r="E4503" s="1" t="s">
        <v>32</v>
      </c>
      <c r="F4503" s="1" t="str">
        <f>"99098597"</f>
        <v>99098597</v>
      </c>
      <c r="G4503" s="1" t="s">
        <v>33</v>
      </c>
      <c r="H4503" s="1" t="str">
        <f t="shared" si="836"/>
        <v>20220919</v>
      </c>
      <c r="I4503" s="1" t="str">
        <f>"173035"</f>
        <v>173035</v>
      </c>
      <c r="J4503" s="1" t="s">
        <v>34</v>
      </c>
      <c r="K4503" s="1" t="s">
        <v>34</v>
      </c>
      <c r="L4503" s="1" t="str">
        <f t="shared" si="837"/>
        <v>20220919</v>
      </c>
      <c r="M4503" s="1" t="str">
        <f>"175813"</f>
        <v>175813</v>
      </c>
      <c r="N4503" s="1" t="s">
        <v>28</v>
      </c>
      <c r="O4503" s="1" t="s">
        <v>28</v>
      </c>
      <c r="P4503" s="1" t="s">
        <v>55</v>
      </c>
      <c r="Q4503" s="1">
        <v>25</v>
      </c>
      <c r="R4503" s="1">
        <v>25</v>
      </c>
      <c r="S4503" s="1">
        <v>0</v>
      </c>
      <c r="T4503" s="1">
        <v>0</v>
      </c>
      <c r="U4503" s="1">
        <v>0</v>
      </c>
      <c r="V4503" s="1" t="str">
        <f t="shared" si="840"/>
        <v>里程返程</v>
      </c>
      <c r="W4503" s="1" t="str">
        <f>"1c20"</f>
        <v>1c20</v>
      </c>
      <c r="X4503" s="1" t="s">
        <v>35</v>
      </c>
    </row>
    <row r="4504" spans="1:24" x14ac:dyDescent="0.3">
      <c r="A4504" s="1" t="str">
        <f t="shared" si="832"/>
        <v>59823</v>
      </c>
      <c r="B4504" s="1" t="s">
        <v>36</v>
      </c>
      <c r="C4504" s="1" t="s">
        <v>37</v>
      </c>
      <c r="D4504" s="1" t="str">
        <f t="shared" si="833"/>
        <v>9803</v>
      </c>
      <c r="E4504" s="1" t="s">
        <v>32</v>
      </c>
      <c r="F4504" s="1" t="str">
        <f>"405208033"</f>
        <v>405208033</v>
      </c>
      <c r="G4504" s="1" t="s">
        <v>26</v>
      </c>
      <c r="H4504" s="1" t="str">
        <f t="shared" si="836"/>
        <v>20220919</v>
      </c>
      <c r="I4504" s="1" t="str">
        <f>"173051"</f>
        <v>173051</v>
      </c>
      <c r="J4504" s="1" t="s">
        <v>34</v>
      </c>
      <c r="K4504" s="1" t="s">
        <v>34</v>
      </c>
      <c r="L4504" s="1" t="str">
        <f t="shared" si="837"/>
        <v>20220919</v>
      </c>
      <c r="M4504" s="1" t="str">
        <f>"175852"</f>
        <v>175852</v>
      </c>
      <c r="N4504" s="1" t="s">
        <v>28</v>
      </c>
      <c r="O4504" s="1" t="s">
        <v>28</v>
      </c>
      <c r="P4504" s="1" t="s">
        <v>55</v>
      </c>
      <c r="Q4504" s="1">
        <v>13</v>
      </c>
      <c r="R4504" s="1">
        <v>13</v>
      </c>
      <c r="S4504" s="1">
        <v>0</v>
      </c>
      <c r="T4504" s="1">
        <v>0</v>
      </c>
      <c r="U4504" s="1">
        <v>0</v>
      </c>
      <c r="V4504" s="1" t="str">
        <f t="shared" si="840"/>
        <v>里程返程</v>
      </c>
      <c r="W4504" s="1" t="str">
        <f>"0820"</f>
        <v>0820</v>
      </c>
      <c r="X4504" s="1" t="s">
        <v>35</v>
      </c>
    </row>
    <row r="4505" spans="1:24" x14ac:dyDescent="0.3">
      <c r="A4505" s="1" t="str">
        <f t="shared" si="832"/>
        <v>59823</v>
      </c>
      <c r="B4505" s="1" t="s">
        <v>36</v>
      </c>
      <c r="C4505" s="1" t="s">
        <v>37</v>
      </c>
      <c r="D4505" s="1" t="str">
        <f t="shared" si="833"/>
        <v>9803</v>
      </c>
      <c r="E4505" s="1" t="s">
        <v>32</v>
      </c>
      <c r="F4505" s="1" t="str">
        <f>"1219154865"</f>
        <v>1219154865</v>
      </c>
      <c r="G4505" s="1" t="s">
        <v>33</v>
      </c>
      <c r="H4505" s="1" t="str">
        <f t="shared" si="836"/>
        <v>20220919</v>
      </c>
      <c r="I4505" s="1" t="str">
        <f>"173108"</f>
        <v>173108</v>
      </c>
      <c r="J4505" s="1" t="s">
        <v>34</v>
      </c>
      <c r="K4505" s="1" t="s">
        <v>34</v>
      </c>
      <c r="L4505" s="1" t="str">
        <f t="shared" si="837"/>
        <v>20220919</v>
      </c>
      <c r="M4505" s="1" t="str">
        <f>"175845"</f>
        <v>175845</v>
      </c>
      <c r="N4505" s="1" t="s">
        <v>28</v>
      </c>
      <c r="O4505" s="1" t="s">
        <v>28</v>
      </c>
      <c r="P4505" s="1" t="s">
        <v>55</v>
      </c>
      <c r="Q4505" s="1">
        <v>25</v>
      </c>
      <c r="R4505" s="1">
        <v>25</v>
      </c>
      <c r="S4505" s="1">
        <v>0</v>
      </c>
      <c r="T4505" s="1">
        <v>0</v>
      </c>
      <c r="U4505" s="1">
        <v>0</v>
      </c>
      <c r="V4505" s="1" t="str">
        <f t="shared" si="840"/>
        <v>里程返程</v>
      </c>
      <c r="W4505" s="1" t="str">
        <f>"0220"</f>
        <v>0220</v>
      </c>
      <c r="X4505" s="1" t="s">
        <v>35</v>
      </c>
    </row>
    <row r="4506" spans="1:24" x14ac:dyDescent="0.3">
      <c r="A4506" s="1" t="str">
        <f t="shared" si="832"/>
        <v>59823</v>
      </c>
      <c r="B4506" s="1" t="s">
        <v>36</v>
      </c>
      <c r="C4506" s="1" t="s">
        <v>37</v>
      </c>
      <c r="D4506" s="1" t="str">
        <f t="shared" si="833"/>
        <v>9803</v>
      </c>
      <c r="E4506" s="1" t="s">
        <v>32</v>
      </c>
      <c r="F4506" s="1" t="str">
        <f>"322772461"</f>
        <v>322772461</v>
      </c>
      <c r="G4506" s="1" t="s">
        <v>33</v>
      </c>
      <c r="H4506" s="1" t="str">
        <f t="shared" si="836"/>
        <v>20220919</v>
      </c>
      <c r="I4506" s="1" t="str">
        <f>"173121"</f>
        <v>173121</v>
      </c>
      <c r="J4506" s="1" t="s">
        <v>34</v>
      </c>
      <c r="K4506" s="1" t="s">
        <v>34</v>
      </c>
      <c r="L4506" s="1" t="str">
        <f t="shared" si="837"/>
        <v>20220919</v>
      </c>
      <c r="M4506" s="1" t="str">
        <f>"175841"</f>
        <v>175841</v>
      </c>
      <c r="N4506" s="1" t="s">
        <v>28</v>
      </c>
      <c r="O4506" s="1" t="s">
        <v>28</v>
      </c>
      <c r="P4506" s="1" t="s">
        <v>55</v>
      </c>
      <c r="Q4506" s="1">
        <v>25</v>
      </c>
      <c r="R4506" s="1">
        <v>25</v>
      </c>
      <c r="S4506" s="1">
        <v>0</v>
      </c>
      <c r="T4506" s="1">
        <v>0</v>
      </c>
      <c r="U4506" s="1">
        <v>0</v>
      </c>
      <c r="V4506" s="1" t="str">
        <f t="shared" si="840"/>
        <v>里程返程</v>
      </c>
      <c r="W4506" s="1" t="str">
        <f>"2020"</f>
        <v>2020</v>
      </c>
      <c r="X4506" s="1" t="s">
        <v>35</v>
      </c>
    </row>
    <row r="4507" spans="1:24" x14ac:dyDescent="0.3">
      <c r="A4507" s="1" t="str">
        <f t="shared" si="832"/>
        <v>59823</v>
      </c>
      <c r="B4507" s="1" t="s">
        <v>36</v>
      </c>
      <c r="C4507" s="1" t="s">
        <v>37</v>
      </c>
      <c r="D4507" s="1" t="str">
        <f t="shared" si="833"/>
        <v>9803</v>
      </c>
      <c r="E4507" s="1" t="s">
        <v>32</v>
      </c>
      <c r="F4507" s="1" t="str">
        <f>"763032277"</f>
        <v>763032277</v>
      </c>
      <c r="G4507" s="1" t="s">
        <v>33</v>
      </c>
      <c r="H4507" s="1" t="str">
        <f t="shared" ref="H4507:H4538" si="841">"20220919"</f>
        <v>20220919</v>
      </c>
      <c r="I4507" s="1" t="str">
        <f>"173126"</f>
        <v>173126</v>
      </c>
      <c r="J4507" s="1" t="s">
        <v>34</v>
      </c>
      <c r="K4507" s="1" t="s">
        <v>34</v>
      </c>
      <c r="L4507" s="1" t="str">
        <f t="shared" ref="L4507:L4538" si="842">"20220919"</f>
        <v>20220919</v>
      </c>
      <c r="M4507" s="1" t="str">
        <f>"175927"</f>
        <v>175927</v>
      </c>
      <c r="N4507" s="1" t="s">
        <v>28</v>
      </c>
      <c r="O4507" s="1" t="s">
        <v>28</v>
      </c>
      <c r="P4507" s="1" t="s">
        <v>55</v>
      </c>
      <c r="Q4507" s="1">
        <v>25</v>
      </c>
      <c r="R4507" s="1">
        <v>25</v>
      </c>
      <c r="S4507" s="1">
        <v>0</v>
      </c>
      <c r="T4507" s="1">
        <v>0</v>
      </c>
      <c r="U4507" s="1">
        <v>0</v>
      </c>
      <c r="V4507" s="1" t="str">
        <f t="shared" si="840"/>
        <v>里程返程</v>
      </c>
      <c r="W4507" s="1" t="str">
        <f>"2020"</f>
        <v>2020</v>
      </c>
      <c r="X4507" s="1" t="s">
        <v>35</v>
      </c>
    </row>
    <row r="4508" spans="1:24" x14ac:dyDescent="0.3">
      <c r="A4508" s="1" t="str">
        <f t="shared" ref="A4508:A4527" si="843">"59828"</f>
        <v>59828</v>
      </c>
      <c r="B4508" s="1" t="s">
        <v>23</v>
      </c>
      <c r="C4508" s="1" t="s">
        <v>24</v>
      </c>
      <c r="D4508" s="1" t="str">
        <f>"9805"</f>
        <v>9805</v>
      </c>
      <c r="E4508" s="1" t="s">
        <v>57</v>
      </c>
      <c r="F4508" s="1" t="str">
        <f>"F29BD102BA880400C834002000000015"</f>
        <v>F29BD102BA880400C834002000000015</v>
      </c>
      <c r="G4508" s="1" t="s">
        <v>26</v>
      </c>
      <c r="H4508" s="1" t="str">
        <f t="shared" si="841"/>
        <v>20220919</v>
      </c>
      <c r="I4508" s="1" t="str">
        <f>"104333"</f>
        <v>104333</v>
      </c>
      <c r="J4508" s="1" t="s">
        <v>28</v>
      </c>
      <c r="K4508" s="1" t="s">
        <v>28</v>
      </c>
      <c r="L4508" s="1" t="str">
        <f t="shared" si="842"/>
        <v>20220919</v>
      </c>
      <c r="M4508" s="1" t="str">
        <f>"105641"</f>
        <v>105641</v>
      </c>
      <c r="N4508" s="1" t="s">
        <v>62</v>
      </c>
      <c r="O4508" s="1" t="s">
        <v>28</v>
      </c>
      <c r="P4508" s="1" t="s">
        <v>68</v>
      </c>
      <c r="Q4508" s="1">
        <v>13</v>
      </c>
      <c r="R4508" s="1">
        <v>0</v>
      </c>
      <c r="S4508" s="1">
        <v>0</v>
      </c>
      <c r="T4508" s="1">
        <v>13</v>
      </c>
      <c r="U4508" s="1">
        <v>0</v>
      </c>
      <c r="V4508" s="1" t="str">
        <f t="shared" ref="V4508:V4519" si="844">"里程去程"</f>
        <v>里程去程</v>
      </c>
      <c r="W4508" s="1" t="str">
        <f>"0020"</f>
        <v>0020</v>
      </c>
      <c r="X4508" s="1" t="s">
        <v>29</v>
      </c>
    </row>
    <row r="4509" spans="1:24" x14ac:dyDescent="0.3">
      <c r="A4509" s="1" t="str">
        <f t="shared" si="843"/>
        <v>59828</v>
      </c>
      <c r="B4509" s="1" t="s">
        <v>23</v>
      </c>
      <c r="C4509" s="1" t="s">
        <v>24</v>
      </c>
      <c r="D4509" s="1" t="str">
        <f t="shared" ref="D4509:D4524" si="845">"9801"</f>
        <v>9801</v>
      </c>
      <c r="E4509" s="1" t="s">
        <v>25</v>
      </c>
      <c r="F4509" s="1" t="str">
        <f>"42AFE60209880400C834002000000015"</f>
        <v>42AFE60209880400C834002000000015</v>
      </c>
      <c r="G4509" s="1" t="s">
        <v>74</v>
      </c>
      <c r="H4509" s="1" t="str">
        <f t="shared" si="841"/>
        <v>20220919</v>
      </c>
      <c r="I4509" s="1" t="str">
        <f>"105957"</f>
        <v>105957</v>
      </c>
      <c r="J4509" s="1" t="s">
        <v>52</v>
      </c>
      <c r="K4509" s="1" t="s">
        <v>52</v>
      </c>
      <c r="L4509" s="1" t="str">
        <f t="shared" si="842"/>
        <v>20220919</v>
      </c>
      <c r="M4509" s="1" t="str">
        <f>"111530"</f>
        <v>111530</v>
      </c>
      <c r="N4509" s="1" t="s">
        <v>80</v>
      </c>
      <c r="O4509" s="1" t="s">
        <v>52</v>
      </c>
      <c r="P4509" s="1" t="s">
        <v>68</v>
      </c>
      <c r="Q4509" s="1">
        <v>13</v>
      </c>
      <c r="R4509" s="1">
        <v>0</v>
      </c>
      <c r="S4509" s="1">
        <v>0</v>
      </c>
      <c r="T4509" s="1">
        <v>13</v>
      </c>
      <c r="U4509" s="1">
        <v>0</v>
      </c>
      <c r="V4509" s="1" t="str">
        <f t="shared" si="844"/>
        <v>里程去程</v>
      </c>
      <c r="W4509" s="1" t="str">
        <f>"0020"</f>
        <v>0020</v>
      </c>
      <c r="X4509" s="1" t="s">
        <v>29</v>
      </c>
    </row>
    <row r="4510" spans="1:24" x14ac:dyDescent="0.3">
      <c r="A4510" s="1" t="str">
        <f t="shared" si="843"/>
        <v>59828</v>
      </c>
      <c r="B4510" s="1" t="s">
        <v>23</v>
      </c>
      <c r="C4510" s="1" t="s">
        <v>24</v>
      </c>
      <c r="D4510" s="1" t="str">
        <f t="shared" si="845"/>
        <v>9801</v>
      </c>
      <c r="E4510" s="1" t="s">
        <v>25</v>
      </c>
      <c r="F4510" s="1" t="str">
        <f>"477450417"</f>
        <v>477450417</v>
      </c>
      <c r="G4510" s="1" t="s">
        <v>33</v>
      </c>
      <c r="H4510" s="1" t="str">
        <f t="shared" si="841"/>
        <v>20220919</v>
      </c>
      <c r="I4510" s="1" t="str">
        <f>"113551"</f>
        <v>113551</v>
      </c>
      <c r="J4510" s="1" t="s">
        <v>27</v>
      </c>
      <c r="K4510" s="1" t="s">
        <v>28</v>
      </c>
      <c r="L4510" s="1" t="str">
        <f t="shared" si="842"/>
        <v>20220919</v>
      </c>
      <c r="M4510" s="1" t="str">
        <f>"114601"</f>
        <v>114601</v>
      </c>
      <c r="N4510" s="1" t="s">
        <v>45</v>
      </c>
      <c r="O4510" s="1" t="s">
        <v>45</v>
      </c>
      <c r="P4510" s="1" t="s">
        <v>55</v>
      </c>
      <c r="Q4510" s="1">
        <v>25</v>
      </c>
      <c r="R4510" s="1">
        <v>25</v>
      </c>
      <c r="S4510" s="1">
        <v>0</v>
      </c>
      <c r="T4510" s="1">
        <v>0</v>
      </c>
      <c r="U4510" s="1">
        <v>0</v>
      </c>
      <c r="V4510" s="1" t="str">
        <f t="shared" si="844"/>
        <v>里程去程</v>
      </c>
      <c r="W4510" s="1" t="str">
        <f>"0820"</f>
        <v>0820</v>
      </c>
      <c r="X4510" s="1" t="s">
        <v>35</v>
      </c>
    </row>
    <row r="4511" spans="1:24" x14ac:dyDescent="0.3">
      <c r="A4511" s="1" t="str">
        <f t="shared" si="843"/>
        <v>59828</v>
      </c>
      <c r="B4511" s="1" t="s">
        <v>23</v>
      </c>
      <c r="C4511" s="1" t="s">
        <v>24</v>
      </c>
      <c r="D4511" s="1" t="str">
        <f t="shared" si="845"/>
        <v>9801</v>
      </c>
      <c r="E4511" s="1" t="s">
        <v>25</v>
      </c>
      <c r="F4511" s="1" t="str">
        <f>"4251460257880400C821002000000015"</f>
        <v>4251460257880400C821002000000015</v>
      </c>
      <c r="G4511" s="1" t="s">
        <v>26</v>
      </c>
      <c r="H4511" s="1" t="str">
        <f t="shared" si="841"/>
        <v>20220919</v>
      </c>
      <c r="I4511" s="1" t="str">
        <f>"122328"</f>
        <v>122328</v>
      </c>
      <c r="J4511" s="1" t="s">
        <v>69</v>
      </c>
      <c r="K4511" s="1" t="s">
        <v>52</v>
      </c>
      <c r="L4511" s="1" t="str">
        <f t="shared" si="842"/>
        <v>20220919</v>
      </c>
      <c r="M4511" s="1" t="str">
        <f>"122858"</f>
        <v>122858</v>
      </c>
      <c r="N4511" s="1" t="s">
        <v>83</v>
      </c>
      <c r="O4511" s="1" t="s">
        <v>52</v>
      </c>
      <c r="P4511" s="1" t="s">
        <v>68</v>
      </c>
      <c r="Q4511" s="1">
        <v>13</v>
      </c>
      <c r="R4511" s="1">
        <v>0</v>
      </c>
      <c r="S4511" s="1">
        <v>0</v>
      </c>
      <c r="T4511" s="1">
        <v>13</v>
      </c>
      <c r="U4511" s="1">
        <v>0</v>
      </c>
      <c r="V4511" s="1" t="str">
        <f t="shared" si="844"/>
        <v>里程去程</v>
      </c>
      <c r="W4511" s="1" t="str">
        <f>"0020"</f>
        <v>0020</v>
      </c>
      <c r="X4511" s="1" t="s">
        <v>29</v>
      </c>
    </row>
    <row r="4512" spans="1:24" x14ac:dyDescent="0.3">
      <c r="A4512" s="1" t="str">
        <f t="shared" si="843"/>
        <v>59828</v>
      </c>
      <c r="B4512" s="1" t="s">
        <v>23</v>
      </c>
      <c r="C4512" s="1" t="s">
        <v>24</v>
      </c>
      <c r="D4512" s="1" t="str">
        <f t="shared" si="845"/>
        <v>9801</v>
      </c>
      <c r="E4512" s="1" t="s">
        <v>25</v>
      </c>
      <c r="F4512" s="1" t="str">
        <f>"8227D00277880400C834002000000015"</f>
        <v>8227D00277880400C834002000000015</v>
      </c>
      <c r="G4512" s="1" t="s">
        <v>26</v>
      </c>
      <c r="H4512" s="1" t="str">
        <f t="shared" si="841"/>
        <v>20220919</v>
      </c>
      <c r="I4512" s="1" t="str">
        <f>"122556"</f>
        <v>122556</v>
      </c>
      <c r="J4512" s="1" t="s">
        <v>78</v>
      </c>
      <c r="K4512" s="1" t="s">
        <v>52</v>
      </c>
      <c r="L4512" s="1" t="str">
        <f t="shared" si="842"/>
        <v>20220919</v>
      </c>
      <c r="M4512" s="1" t="str">
        <f>"123611"</f>
        <v>123611</v>
      </c>
      <c r="N4512" s="1" t="s">
        <v>70</v>
      </c>
      <c r="O4512" s="1" t="s">
        <v>28</v>
      </c>
      <c r="P4512" s="1" t="s">
        <v>68</v>
      </c>
      <c r="Q4512" s="1">
        <v>13</v>
      </c>
      <c r="R4512" s="1">
        <v>0</v>
      </c>
      <c r="S4512" s="1">
        <v>0</v>
      </c>
      <c r="T4512" s="1">
        <v>13</v>
      </c>
      <c r="U4512" s="1">
        <v>0</v>
      </c>
      <c r="V4512" s="1" t="str">
        <f t="shared" si="844"/>
        <v>里程去程</v>
      </c>
      <c r="W4512" s="1" t="str">
        <f>"0020"</f>
        <v>0020</v>
      </c>
      <c r="X4512" s="1" t="s">
        <v>29</v>
      </c>
    </row>
    <row r="4513" spans="1:24" x14ac:dyDescent="0.3">
      <c r="A4513" s="1" t="str">
        <f t="shared" si="843"/>
        <v>59828</v>
      </c>
      <c r="B4513" s="1" t="s">
        <v>23</v>
      </c>
      <c r="C4513" s="1" t="s">
        <v>24</v>
      </c>
      <c r="D4513" s="1" t="str">
        <f t="shared" si="845"/>
        <v>9801</v>
      </c>
      <c r="E4513" s="1" t="s">
        <v>25</v>
      </c>
      <c r="F4513" s="1" t="str">
        <f>"1379696577"</f>
        <v>1379696577</v>
      </c>
      <c r="G4513" s="1" t="s">
        <v>33</v>
      </c>
      <c r="H4513" s="1" t="str">
        <f t="shared" si="841"/>
        <v>20220919</v>
      </c>
      <c r="I4513" s="1" t="str">
        <f>"125935"</f>
        <v>125935</v>
      </c>
      <c r="J4513" s="1" t="s">
        <v>52</v>
      </c>
      <c r="K4513" s="1" t="s">
        <v>52</v>
      </c>
      <c r="L4513" s="1" t="str">
        <f t="shared" si="842"/>
        <v>20220919</v>
      </c>
      <c r="M4513" s="1" t="str">
        <f>"132937"</f>
        <v>132937</v>
      </c>
      <c r="N4513" s="1" t="s">
        <v>70</v>
      </c>
      <c r="O4513" s="1" t="s">
        <v>28</v>
      </c>
      <c r="P4513" s="1" t="s">
        <v>55</v>
      </c>
      <c r="Q4513" s="1">
        <v>25</v>
      </c>
      <c r="R4513" s="1">
        <v>25</v>
      </c>
      <c r="S4513" s="1">
        <v>0</v>
      </c>
      <c r="T4513" s="1">
        <v>0</v>
      </c>
      <c r="U4513" s="1">
        <v>0</v>
      </c>
      <c r="V4513" s="1" t="str">
        <f t="shared" si="844"/>
        <v>里程去程</v>
      </c>
      <c r="W4513" s="1" t="str">
        <f>"2120"</f>
        <v>2120</v>
      </c>
      <c r="X4513" s="1" t="s">
        <v>35</v>
      </c>
    </row>
    <row r="4514" spans="1:24" x14ac:dyDescent="0.3">
      <c r="A4514" s="1" t="str">
        <f t="shared" si="843"/>
        <v>59828</v>
      </c>
      <c r="B4514" s="1" t="s">
        <v>23</v>
      </c>
      <c r="C4514" s="1" t="s">
        <v>24</v>
      </c>
      <c r="D4514" s="1" t="str">
        <f t="shared" si="845"/>
        <v>9801</v>
      </c>
      <c r="E4514" s="1" t="s">
        <v>25</v>
      </c>
      <c r="F4514" s="1" t="str">
        <f>"82D5FB02AE880400C834002000000015"</f>
        <v>82D5FB02AE880400C834002000000015</v>
      </c>
      <c r="G4514" s="1" t="s">
        <v>26</v>
      </c>
      <c r="H4514" s="1" t="str">
        <f t="shared" si="841"/>
        <v>20220919</v>
      </c>
      <c r="I4514" s="1" t="str">
        <f>"130802"</f>
        <v>130802</v>
      </c>
      <c r="J4514" s="1" t="s">
        <v>51</v>
      </c>
      <c r="K4514" s="1" t="s">
        <v>52</v>
      </c>
      <c r="L4514" s="1" t="str">
        <f t="shared" si="842"/>
        <v>20220919</v>
      </c>
      <c r="M4514" s="1" t="str">
        <f>"131229"</f>
        <v>131229</v>
      </c>
      <c r="N4514" s="1" t="s">
        <v>65</v>
      </c>
      <c r="O4514" s="1" t="s">
        <v>52</v>
      </c>
      <c r="P4514" s="1" t="s">
        <v>68</v>
      </c>
      <c r="Q4514" s="1">
        <v>13</v>
      </c>
      <c r="R4514" s="1">
        <v>0</v>
      </c>
      <c r="S4514" s="1">
        <v>0</v>
      </c>
      <c r="T4514" s="1">
        <v>13</v>
      </c>
      <c r="U4514" s="1">
        <v>0</v>
      </c>
      <c r="V4514" s="1" t="str">
        <f t="shared" si="844"/>
        <v>里程去程</v>
      </c>
      <c r="W4514" s="1" t="str">
        <f>"0020"</f>
        <v>0020</v>
      </c>
      <c r="X4514" s="1" t="s">
        <v>29</v>
      </c>
    </row>
    <row r="4515" spans="1:24" x14ac:dyDescent="0.3">
      <c r="A4515" s="1" t="str">
        <f t="shared" si="843"/>
        <v>59828</v>
      </c>
      <c r="B4515" s="1" t="s">
        <v>23</v>
      </c>
      <c r="C4515" s="1" t="s">
        <v>24</v>
      </c>
      <c r="D4515" s="1" t="str">
        <f t="shared" si="845"/>
        <v>9801</v>
      </c>
      <c r="E4515" s="1" t="s">
        <v>25</v>
      </c>
      <c r="F4515" s="1" t="str">
        <f>"1735249109"</f>
        <v>1735249109</v>
      </c>
      <c r="G4515" s="1" t="s">
        <v>33</v>
      </c>
      <c r="H4515" s="1" t="str">
        <f t="shared" si="841"/>
        <v>20220919</v>
      </c>
      <c r="I4515" s="1" t="str">
        <f>"133319"</f>
        <v>133319</v>
      </c>
      <c r="J4515" s="1" t="s">
        <v>27</v>
      </c>
      <c r="K4515" s="1" t="s">
        <v>28</v>
      </c>
      <c r="L4515" s="1" t="str">
        <f t="shared" si="842"/>
        <v>20220919</v>
      </c>
      <c r="M4515" s="1" t="str">
        <f>"135601"</f>
        <v>135601</v>
      </c>
      <c r="N4515" s="1" t="s">
        <v>44</v>
      </c>
      <c r="O4515" s="1" t="s">
        <v>45</v>
      </c>
      <c r="P4515" s="1" t="s">
        <v>55</v>
      </c>
      <c r="Q4515" s="1">
        <v>25</v>
      </c>
      <c r="R4515" s="1">
        <v>0</v>
      </c>
      <c r="S4515" s="1">
        <v>25</v>
      </c>
      <c r="T4515" s="1">
        <v>0</v>
      </c>
      <c r="U4515" s="1">
        <v>0</v>
      </c>
      <c r="V4515" s="1" t="str">
        <f t="shared" si="844"/>
        <v>里程去程</v>
      </c>
      <c r="W4515" s="1" t="str">
        <f>"2020"</f>
        <v>2020</v>
      </c>
      <c r="X4515" s="1" t="s">
        <v>35</v>
      </c>
    </row>
    <row r="4516" spans="1:24" x14ac:dyDescent="0.3">
      <c r="A4516" s="1" t="str">
        <f t="shared" si="843"/>
        <v>59828</v>
      </c>
      <c r="B4516" s="1" t="s">
        <v>23</v>
      </c>
      <c r="C4516" s="1" t="s">
        <v>24</v>
      </c>
      <c r="D4516" s="1" t="str">
        <f t="shared" si="845"/>
        <v>9801</v>
      </c>
      <c r="E4516" s="1" t="s">
        <v>25</v>
      </c>
      <c r="F4516" s="1" t="str">
        <f>"1647675345"</f>
        <v>1647675345</v>
      </c>
      <c r="G4516" s="1" t="s">
        <v>33</v>
      </c>
      <c r="H4516" s="1" t="str">
        <f t="shared" si="841"/>
        <v>20220919</v>
      </c>
      <c r="I4516" s="1" t="str">
        <f>"133446"</f>
        <v>133446</v>
      </c>
      <c r="J4516" s="1" t="s">
        <v>27</v>
      </c>
      <c r="K4516" s="1" t="s">
        <v>28</v>
      </c>
      <c r="L4516" s="1" t="str">
        <f t="shared" si="842"/>
        <v>20220919</v>
      </c>
      <c r="M4516" s="1" t="str">
        <f>"135549"</f>
        <v>135549</v>
      </c>
      <c r="N4516" s="1" t="s">
        <v>44</v>
      </c>
      <c r="O4516" s="1" t="s">
        <v>45</v>
      </c>
      <c r="P4516" s="1" t="s">
        <v>55</v>
      </c>
      <c r="Q4516" s="1">
        <v>25</v>
      </c>
      <c r="R4516" s="1">
        <v>25</v>
      </c>
      <c r="S4516" s="1">
        <v>0</v>
      </c>
      <c r="T4516" s="1">
        <v>0</v>
      </c>
      <c r="U4516" s="1">
        <v>0</v>
      </c>
      <c r="V4516" s="1" t="str">
        <f t="shared" si="844"/>
        <v>里程去程</v>
      </c>
      <c r="W4516" s="1" t="str">
        <f>"2120"</f>
        <v>2120</v>
      </c>
      <c r="X4516" s="1" t="s">
        <v>35</v>
      </c>
    </row>
    <row r="4517" spans="1:24" x14ac:dyDescent="0.3">
      <c r="A4517" s="1" t="str">
        <f t="shared" si="843"/>
        <v>59828</v>
      </c>
      <c r="B4517" s="1" t="s">
        <v>23</v>
      </c>
      <c r="C4517" s="1" t="s">
        <v>24</v>
      </c>
      <c r="D4517" s="1" t="str">
        <f t="shared" si="845"/>
        <v>9801</v>
      </c>
      <c r="E4517" s="1" t="s">
        <v>25</v>
      </c>
      <c r="F4517" s="1" t="str">
        <f>"F27CE6026A880400C834002000000015"</f>
        <v>F27CE6026A880400C834002000000015</v>
      </c>
      <c r="G4517" s="1" t="s">
        <v>74</v>
      </c>
      <c r="H4517" s="1" t="str">
        <f t="shared" si="841"/>
        <v>20220919</v>
      </c>
      <c r="I4517" s="1" t="str">
        <f>"145847"</f>
        <v>145847</v>
      </c>
      <c r="J4517" s="1" t="s">
        <v>52</v>
      </c>
      <c r="K4517" s="1" t="s">
        <v>52</v>
      </c>
      <c r="L4517" s="1" t="str">
        <f t="shared" si="842"/>
        <v>20220919</v>
      </c>
      <c r="M4517" s="1" t="str">
        <f>"150513"</f>
        <v>150513</v>
      </c>
      <c r="N4517" s="1" t="s">
        <v>60</v>
      </c>
      <c r="O4517" s="1" t="s">
        <v>52</v>
      </c>
      <c r="P4517" s="1" t="s">
        <v>68</v>
      </c>
      <c r="Q4517" s="1">
        <v>13</v>
      </c>
      <c r="R4517" s="1">
        <v>0</v>
      </c>
      <c r="S4517" s="1">
        <v>0</v>
      </c>
      <c r="T4517" s="1">
        <v>13</v>
      </c>
      <c r="U4517" s="1">
        <v>0</v>
      </c>
      <c r="V4517" s="1" t="str">
        <f t="shared" si="844"/>
        <v>里程去程</v>
      </c>
      <c r="W4517" s="1" t="str">
        <f>"0020"</f>
        <v>0020</v>
      </c>
      <c r="X4517" s="1" t="s">
        <v>29</v>
      </c>
    </row>
    <row r="4518" spans="1:24" x14ac:dyDescent="0.3">
      <c r="A4518" s="1" t="str">
        <f t="shared" si="843"/>
        <v>59828</v>
      </c>
      <c r="B4518" s="1" t="s">
        <v>23</v>
      </c>
      <c r="C4518" s="1" t="s">
        <v>24</v>
      </c>
      <c r="D4518" s="1" t="str">
        <f t="shared" si="845"/>
        <v>9801</v>
      </c>
      <c r="E4518" s="1" t="s">
        <v>25</v>
      </c>
      <c r="F4518" s="1" t="str">
        <f>"32780D0344880400C834002000000015"</f>
        <v>32780D0344880400C834002000000015</v>
      </c>
      <c r="G4518" s="1" t="s">
        <v>26</v>
      </c>
      <c r="H4518" s="1" t="str">
        <f t="shared" si="841"/>
        <v>20220919</v>
      </c>
      <c r="I4518" s="1" t="str">
        <f>"155745"</f>
        <v>155745</v>
      </c>
      <c r="J4518" s="1" t="s">
        <v>52</v>
      </c>
      <c r="K4518" s="1" t="s">
        <v>52</v>
      </c>
      <c r="L4518" s="1" t="str">
        <f t="shared" si="842"/>
        <v>20220919</v>
      </c>
      <c r="M4518" s="1" t="str">
        <f>"163515"</f>
        <v>163515</v>
      </c>
      <c r="N4518" s="1" t="s">
        <v>70</v>
      </c>
      <c r="O4518" s="1" t="s">
        <v>28</v>
      </c>
      <c r="P4518" s="1" t="s">
        <v>68</v>
      </c>
      <c r="Q4518" s="1">
        <v>13</v>
      </c>
      <c r="R4518" s="1">
        <v>0</v>
      </c>
      <c r="S4518" s="1">
        <v>0</v>
      </c>
      <c r="T4518" s="1">
        <v>13</v>
      </c>
      <c r="U4518" s="1">
        <v>0</v>
      </c>
      <c r="V4518" s="1" t="str">
        <f t="shared" si="844"/>
        <v>里程去程</v>
      </c>
      <c r="W4518" s="1" t="str">
        <f>"0020"</f>
        <v>0020</v>
      </c>
      <c r="X4518" s="1" t="s">
        <v>29</v>
      </c>
    </row>
    <row r="4519" spans="1:24" x14ac:dyDescent="0.3">
      <c r="A4519" s="1" t="str">
        <f t="shared" si="843"/>
        <v>59828</v>
      </c>
      <c r="B4519" s="1" t="s">
        <v>23</v>
      </c>
      <c r="C4519" s="1" t="s">
        <v>24</v>
      </c>
      <c r="D4519" s="1" t="str">
        <f t="shared" si="845"/>
        <v>9801</v>
      </c>
      <c r="E4519" s="1" t="s">
        <v>25</v>
      </c>
      <c r="F4519" s="1" t="str">
        <f>"C2C219031A880400C834002000000015"</f>
        <v>C2C219031A880400C834002000000015</v>
      </c>
      <c r="G4519" s="1" t="s">
        <v>74</v>
      </c>
      <c r="H4519" s="1" t="str">
        <f t="shared" si="841"/>
        <v>20220919</v>
      </c>
      <c r="I4519" s="1" t="str">
        <f>"160723"</f>
        <v>160723</v>
      </c>
      <c r="J4519" s="1" t="s">
        <v>60</v>
      </c>
      <c r="K4519" s="1" t="s">
        <v>52</v>
      </c>
      <c r="L4519" s="1" t="str">
        <f t="shared" si="842"/>
        <v>20220919</v>
      </c>
      <c r="M4519" s="1" t="str">
        <f>"161716"</f>
        <v>161716</v>
      </c>
      <c r="N4519" s="1" t="s">
        <v>80</v>
      </c>
      <c r="O4519" s="1" t="s">
        <v>52</v>
      </c>
      <c r="P4519" s="1" t="s">
        <v>68</v>
      </c>
      <c r="Q4519" s="1">
        <v>13</v>
      </c>
      <c r="R4519" s="1">
        <v>0</v>
      </c>
      <c r="S4519" s="1">
        <v>0</v>
      </c>
      <c r="T4519" s="1">
        <v>13</v>
      </c>
      <c r="U4519" s="1">
        <v>0</v>
      </c>
      <c r="V4519" s="1" t="str">
        <f t="shared" si="844"/>
        <v>里程去程</v>
      </c>
      <c r="W4519" s="1" t="str">
        <f>"0020"</f>
        <v>0020</v>
      </c>
      <c r="X4519" s="1" t="s">
        <v>29</v>
      </c>
    </row>
    <row r="4520" spans="1:24" x14ac:dyDescent="0.3">
      <c r="A4520" s="1" t="str">
        <f t="shared" si="843"/>
        <v>59828</v>
      </c>
      <c r="B4520" s="1" t="s">
        <v>23</v>
      </c>
      <c r="C4520" s="1" t="s">
        <v>24</v>
      </c>
      <c r="D4520" s="1" t="str">
        <f t="shared" si="845"/>
        <v>9801</v>
      </c>
      <c r="E4520" s="1" t="s">
        <v>25</v>
      </c>
      <c r="F4520" s="1" t="str">
        <f>"3693775818"</f>
        <v>3693775818</v>
      </c>
      <c r="G4520" s="1" t="s">
        <v>33</v>
      </c>
      <c r="H4520" s="1" t="str">
        <f t="shared" si="841"/>
        <v>20220919</v>
      </c>
      <c r="I4520" s="1" t="str">
        <f>"172815"</f>
        <v>172815</v>
      </c>
      <c r="J4520" s="1" t="s">
        <v>44</v>
      </c>
      <c r="K4520" s="1" t="s">
        <v>45</v>
      </c>
      <c r="L4520" s="1" t="str">
        <f t="shared" si="842"/>
        <v>20220919</v>
      </c>
      <c r="M4520" s="1" t="str">
        <f>"173321"</f>
        <v>173321</v>
      </c>
      <c r="N4520" s="1" t="s">
        <v>44</v>
      </c>
      <c r="O4520" s="1" t="s">
        <v>45</v>
      </c>
      <c r="P4520" s="1" t="s">
        <v>55</v>
      </c>
      <c r="Q4520" s="1">
        <v>25</v>
      </c>
      <c r="R4520" s="1">
        <v>25</v>
      </c>
      <c r="S4520" s="1">
        <v>0</v>
      </c>
      <c r="T4520" s="1">
        <v>0</v>
      </c>
      <c r="U4520" s="1">
        <v>0</v>
      </c>
      <c r="V4520" s="1" t="str">
        <f>"里程返程"</f>
        <v>里程返程</v>
      </c>
      <c r="W4520" s="1" t="str">
        <f>"2020"</f>
        <v>2020</v>
      </c>
      <c r="X4520" s="1" t="s">
        <v>35</v>
      </c>
    </row>
    <row r="4521" spans="1:24" x14ac:dyDescent="0.3">
      <c r="A4521" s="1" t="str">
        <f t="shared" si="843"/>
        <v>59828</v>
      </c>
      <c r="B4521" s="1" t="s">
        <v>23</v>
      </c>
      <c r="C4521" s="1" t="s">
        <v>24</v>
      </c>
      <c r="D4521" s="1" t="str">
        <f t="shared" si="845"/>
        <v>9801</v>
      </c>
      <c r="E4521" s="1" t="s">
        <v>25</v>
      </c>
      <c r="F4521" s="1" t="str">
        <f>"422AE7028D880400C834002000000015"</f>
        <v>422AE7028D880400C834002000000015</v>
      </c>
      <c r="G4521" s="1" t="s">
        <v>74</v>
      </c>
      <c r="H4521" s="1" t="str">
        <f t="shared" si="841"/>
        <v>20220919</v>
      </c>
      <c r="I4521" s="1" t="str">
        <f>"172830"</f>
        <v>172830</v>
      </c>
      <c r="J4521" s="1" t="s">
        <v>44</v>
      </c>
      <c r="K4521" s="1" t="s">
        <v>45</v>
      </c>
      <c r="L4521" s="1" t="str">
        <f t="shared" si="842"/>
        <v>20220919</v>
      </c>
      <c r="M4521" s="1" t="str">
        <f>"175227"</f>
        <v>175227</v>
      </c>
      <c r="N4521" s="1" t="s">
        <v>28</v>
      </c>
      <c r="O4521" s="1" t="s">
        <v>28</v>
      </c>
      <c r="P4521" s="1" t="s">
        <v>68</v>
      </c>
      <c r="Q4521" s="1">
        <v>13</v>
      </c>
      <c r="R4521" s="1">
        <v>0</v>
      </c>
      <c r="S4521" s="1">
        <v>0</v>
      </c>
      <c r="T4521" s="1">
        <v>13</v>
      </c>
      <c r="U4521" s="1">
        <v>0</v>
      </c>
      <c r="V4521" s="1" t="str">
        <f>"里程返程"</f>
        <v>里程返程</v>
      </c>
      <c r="W4521" s="1" t="str">
        <f>"0020"</f>
        <v>0020</v>
      </c>
      <c r="X4521" s="1" t="s">
        <v>29</v>
      </c>
    </row>
    <row r="4522" spans="1:24" x14ac:dyDescent="0.3">
      <c r="A4522" s="1" t="str">
        <f t="shared" si="843"/>
        <v>59828</v>
      </c>
      <c r="B4522" s="1" t="s">
        <v>23</v>
      </c>
      <c r="C4522" s="1" t="s">
        <v>24</v>
      </c>
      <c r="D4522" s="1" t="str">
        <f t="shared" si="845"/>
        <v>9801</v>
      </c>
      <c r="E4522" s="1" t="s">
        <v>25</v>
      </c>
      <c r="F4522" s="1" t="str">
        <f>"9279870D61880400C848002000000017"</f>
        <v>9279870D61880400C848002000000017</v>
      </c>
      <c r="G4522" s="1" t="s">
        <v>59</v>
      </c>
      <c r="H4522" s="1" t="str">
        <f t="shared" si="841"/>
        <v>20220919</v>
      </c>
      <c r="I4522" s="1" t="str">
        <f>"183002"</f>
        <v>183002</v>
      </c>
      <c r="J4522" s="1" t="s">
        <v>44</v>
      </c>
      <c r="K4522" s="1" t="s">
        <v>45</v>
      </c>
      <c r="L4522" s="1" t="str">
        <f t="shared" si="842"/>
        <v>20220919</v>
      </c>
      <c r="M4522" s="1" t="str">
        <f>"185300"</f>
        <v>185300</v>
      </c>
      <c r="N4522" s="1" t="s">
        <v>28</v>
      </c>
      <c r="O4522" s="1" t="s">
        <v>28</v>
      </c>
      <c r="P4522" s="1" t="s">
        <v>55</v>
      </c>
      <c r="Q4522" s="1">
        <v>25</v>
      </c>
      <c r="R4522" s="1">
        <v>25</v>
      </c>
      <c r="S4522" s="1">
        <v>0</v>
      </c>
      <c r="T4522" s="1">
        <v>0</v>
      </c>
      <c r="U4522" s="1">
        <v>0</v>
      </c>
      <c r="V4522" s="1" t="str">
        <f>"里程返程"</f>
        <v>里程返程</v>
      </c>
      <c r="W4522" s="1" t="str">
        <f>"0020"</f>
        <v>0020</v>
      </c>
      <c r="X4522" s="1" t="s">
        <v>29</v>
      </c>
    </row>
    <row r="4523" spans="1:24" x14ac:dyDescent="0.3">
      <c r="A4523" s="1" t="str">
        <f t="shared" si="843"/>
        <v>59828</v>
      </c>
      <c r="B4523" s="1" t="s">
        <v>23</v>
      </c>
      <c r="C4523" s="1" t="s">
        <v>24</v>
      </c>
      <c r="D4523" s="1" t="str">
        <f t="shared" si="845"/>
        <v>9801</v>
      </c>
      <c r="E4523" s="1" t="s">
        <v>25</v>
      </c>
      <c r="F4523" s="1" t="str">
        <f>"11990F2FA888040043288DA200020912"</f>
        <v>11990F2FA888040043288DA200020912</v>
      </c>
      <c r="G4523" s="1" t="s">
        <v>58</v>
      </c>
      <c r="H4523" s="1" t="str">
        <f t="shared" si="841"/>
        <v>20220919</v>
      </c>
      <c r="I4523" s="1" t="str">
        <f>"183005"</f>
        <v>183005</v>
      </c>
      <c r="J4523" s="1" t="s">
        <v>44</v>
      </c>
      <c r="K4523" s="1" t="s">
        <v>45</v>
      </c>
      <c r="L4523" s="1" t="str">
        <f t="shared" si="842"/>
        <v>20220919</v>
      </c>
      <c r="M4523" s="1" t="str">
        <f>"185301"</f>
        <v>185301</v>
      </c>
      <c r="N4523" s="1" t="s">
        <v>28</v>
      </c>
      <c r="O4523" s="1" t="s">
        <v>28</v>
      </c>
      <c r="P4523" s="1" t="s">
        <v>55</v>
      </c>
      <c r="Q4523" s="1">
        <v>25</v>
      </c>
      <c r="R4523" s="1">
        <v>25</v>
      </c>
      <c r="S4523" s="1">
        <v>0</v>
      </c>
      <c r="T4523" s="1">
        <v>0</v>
      </c>
      <c r="U4523" s="1">
        <v>0</v>
      </c>
      <c r="V4523" s="1" t="str">
        <f>"里程返程"</f>
        <v>里程返程</v>
      </c>
      <c r="W4523" s="1" t="str">
        <f>"0020"</f>
        <v>0020</v>
      </c>
      <c r="X4523" s="1" t="s">
        <v>29</v>
      </c>
    </row>
    <row r="4524" spans="1:24" x14ac:dyDescent="0.3">
      <c r="A4524" s="1" t="str">
        <f t="shared" si="843"/>
        <v>59828</v>
      </c>
      <c r="B4524" s="1" t="s">
        <v>23</v>
      </c>
      <c r="C4524" s="1" t="s">
        <v>24</v>
      </c>
      <c r="D4524" s="1" t="str">
        <f t="shared" si="845"/>
        <v>9801</v>
      </c>
      <c r="E4524" s="1" t="s">
        <v>25</v>
      </c>
      <c r="F4524" s="1" t="str">
        <f>"1535779151"</f>
        <v>1535779151</v>
      </c>
      <c r="G4524" s="1" t="s">
        <v>33</v>
      </c>
      <c r="H4524" s="1" t="str">
        <f t="shared" si="841"/>
        <v>20220919</v>
      </c>
      <c r="I4524" s="1" t="str">
        <f>"185317"</f>
        <v>185317</v>
      </c>
      <c r="J4524" s="1" t="s">
        <v>28</v>
      </c>
      <c r="K4524" s="1" t="s">
        <v>28</v>
      </c>
      <c r="L4524" s="1" t="str">
        <f t="shared" si="842"/>
        <v>20220919</v>
      </c>
      <c r="M4524" s="1" t="str">
        <f>"191608"</f>
        <v>191608</v>
      </c>
      <c r="N4524" s="1" t="s">
        <v>65</v>
      </c>
      <c r="O4524" s="1" t="s">
        <v>52</v>
      </c>
      <c r="P4524" s="1" t="s">
        <v>55</v>
      </c>
      <c r="Q4524" s="1">
        <v>25</v>
      </c>
      <c r="R4524" s="1">
        <v>0</v>
      </c>
      <c r="S4524" s="1">
        <v>25</v>
      </c>
      <c r="T4524" s="1">
        <v>0</v>
      </c>
      <c r="U4524" s="1">
        <v>0</v>
      </c>
      <c r="V4524" s="1" t="str">
        <f>"里程返程"</f>
        <v>里程返程</v>
      </c>
      <c r="W4524" s="1" t="str">
        <f>"0820"</f>
        <v>0820</v>
      </c>
      <c r="X4524" s="1" t="s">
        <v>35</v>
      </c>
    </row>
    <row r="4525" spans="1:24" x14ac:dyDescent="0.3">
      <c r="A4525" s="1" t="str">
        <f t="shared" si="843"/>
        <v>59828</v>
      </c>
      <c r="B4525" s="1" t="s">
        <v>23</v>
      </c>
      <c r="C4525" s="1" t="s">
        <v>24</v>
      </c>
      <c r="D4525" s="1" t="str">
        <f>"9805"</f>
        <v>9805</v>
      </c>
      <c r="E4525" s="1" t="s">
        <v>57</v>
      </c>
      <c r="F4525" s="1" t="str">
        <f>"129A8D191C880400C824002000000020"</f>
        <v>129A8D191C880400C824002000000020</v>
      </c>
      <c r="G4525" s="1" t="s">
        <v>59</v>
      </c>
      <c r="H4525" s="1" t="str">
        <f t="shared" si="841"/>
        <v>20220919</v>
      </c>
      <c r="I4525" s="1" t="str">
        <f>"211922"</f>
        <v>211922</v>
      </c>
      <c r="J4525" s="1" t="s">
        <v>28</v>
      </c>
      <c r="K4525" s="1" t="s">
        <v>28</v>
      </c>
      <c r="L4525" s="1" t="str">
        <f t="shared" si="842"/>
        <v>20220919</v>
      </c>
      <c r="M4525" s="1" t="str">
        <f>"213530"</f>
        <v>213530</v>
      </c>
      <c r="N4525" s="1" t="s">
        <v>52</v>
      </c>
      <c r="O4525" s="1" t="s">
        <v>52</v>
      </c>
      <c r="P4525" s="1" t="s">
        <v>55</v>
      </c>
      <c r="Q4525" s="1">
        <v>25</v>
      </c>
      <c r="R4525" s="1">
        <v>25</v>
      </c>
      <c r="S4525" s="1">
        <v>0</v>
      </c>
      <c r="T4525" s="1">
        <v>0</v>
      </c>
      <c r="U4525" s="1">
        <v>0</v>
      </c>
      <c r="V4525" s="1" t="str">
        <f>"里程去程"</f>
        <v>里程去程</v>
      </c>
      <c r="W4525" s="1" t="str">
        <f>"0020"</f>
        <v>0020</v>
      </c>
      <c r="X4525" s="1" t="s">
        <v>29</v>
      </c>
    </row>
    <row r="4526" spans="1:24" x14ac:dyDescent="0.3">
      <c r="A4526" s="1" t="str">
        <f t="shared" si="843"/>
        <v>59828</v>
      </c>
      <c r="B4526" s="1" t="s">
        <v>23</v>
      </c>
      <c r="C4526" s="1" t="s">
        <v>24</v>
      </c>
      <c r="D4526" s="1" t="str">
        <f>"9805"</f>
        <v>9805</v>
      </c>
      <c r="E4526" s="1" t="s">
        <v>57</v>
      </c>
      <c r="F4526" s="1" t="str">
        <f>"3383112370"</f>
        <v>3383112370</v>
      </c>
      <c r="G4526" s="1" t="s">
        <v>33</v>
      </c>
      <c r="H4526" s="1" t="str">
        <f t="shared" si="841"/>
        <v>20220919</v>
      </c>
      <c r="I4526" s="1" t="str">
        <f>"211930"</f>
        <v>211930</v>
      </c>
      <c r="J4526" s="1" t="s">
        <v>28</v>
      </c>
      <c r="K4526" s="1" t="s">
        <v>28</v>
      </c>
      <c r="L4526" s="1" t="str">
        <f t="shared" si="842"/>
        <v>20220919</v>
      </c>
      <c r="M4526" s="1" t="str">
        <f>"213312"</f>
        <v>213312</v>
      </c>
      <c r="N4526" s="1" t="s">
        <v>62</v>
      </c>
      <c r="O4526" s="1" t="s">
        <v>28</v>
      </c>
      <c r="P4526" s="1" t="s">
        <v>55</v>
      </c>
      <c r="Q4526" s="1">
        <v>25</v>
      </c>
      <c r="R4526" s="1">
        <v>25</v>
      </c>
      <c r="S4526" s="1">
        <v>0</v>
      </c>
      <c r="T4526" s="1">
        <v>0</v>
      </c>
      <c r="U4526" s="1">
        <v>0</v>
      </c>
      <c r="V4526" s="1" t="str">
        <f>"里程去程"</f>
        <v>里程去程</v>
      </c>
      <c r="W4526" s="1" t="str">
        <f>"2020"</f>
        <v>2020</v>
      </c>
      <c r="X4526" s="1" t="s">
        <v>35</v>
      </c>
    </row>
    <row r="4527" spans="1:24" x14ac:dyDescent="0.3">
      <c r="A4527" s="1" t="str">
        <f t="shared" si="843"/>
        <v>59828</v>
      </c>
      <c r="B4527" s="1" t="s">
        <v>23</v>
      </c>
      <c r="C4527" s="1" t="s">
        <v>24</v>
      </c>
      <c r="D4527" s="1" t="str">
        <f>"9805"</f>
        <v>9805</v>
      </c>
      <c r="E4527" s="1" t="s">
        <v>57</v>
      </c>
      <c r="F4527" s="1" t="str">
        <f>"817650453"</f>
        <v>817650453</v>
      </c>
      <c r="G4527" s="1" t="s">
        <v>33</v>
      </c>
      <c r="H4527" s="1" t="str">
        <f t="shared" si="841"/>
        <v>20220919</v>
      </c>
      <c r="I4527" s="1" t="str">
        <f>"213957"</f>
        <v>213957</v>
      </c>
      <c r="J4527" s="1" t="s">
        <v>52</v>
      </c>
      <c r="K4527" s="1" t="s">
        <v>52</v>
      </c>
      <c r="L4527" s="1" t="str">
        <f t="shared" si="842"/>
        <v>20220919</v>
      </c>
      <c r="M4527" s="1" t="str">
        <f>"214735"</f>
        <v>214735</v>
      </c>
      <c r="N4527" s="1" t="s">
        <v>46</v>
      </c>
      <c r="O4527" s="1" t="s">
        <v>28</v>
      </c>
      <c r="P4527" s="1" t="s">
        <v>55</v>
      </c>
      <c r="Q4527" s="1">
        <v>25</v>
      </c>
      <c r="R4527" s="1">
        <v>25</v>
      </c>
      <c r="S4527" s="1">
        <v>0</v>
      </c>
      <c r="T4527" s="1">
        <v>0</v>
      </c>
      <c r="U4527" s="1">
        <v>0</v>
      </c>
      <c r="V4527" s="1" t="str">
        <f t="shared" ref="V4527:V4534" si="846">"里程返程"</f>
        <v>里程返程</v>
      </c>
      <c r="W4527" s="1" t="str">
        <f>"0320"</f>
        <v>0320</v>
      </c>
      <c r="X4527" s="1" t="s">
        <v>35</v>
      </c>
    </row>
    <row r="4528" spans="1:24" x14ac:dyDescent="0.3">
      <c r="A4528" s="1" t="str">
        <f t="shared" ref="A4528:A4545" si="847">"59829"</f>
        <v>59829</v>
      </c>
      <c r="B4528" s="1" t="s">
        <v>47</v>
      </c>
      <c r="C4528" s="1" t="s">
        <v>48</v>
      </c>
      <c r="D4528" s="1" t="str">
        <f t="shared" ref="D4528:D4534" si="848">"9801"</f>
        <v>9801</v>
      </c>
      <c r="E4528" s="1" t="s">
        <v>25</v>
      </c>
      <c r="F4528" s="1" t="str">
        <f>"F29BD102BA880400C834002000000015"</f>
        <v>F29BD102BA880400C834002000000015</v>
      </c>
      <c r="G4528" s="1" t="s">
        <v>26</v>
      </c>
      <c r="H4528" s="1" t="str">
        <f t="shared" si="841"/>
        <v>20220919</v>
      </c>
      <c r="I4528" s="1" t="str">
        <f>"083224"</f>
        <v>083224</v>
      </c>
      <c r="J4528" s="1" t="s">
        <v>44</v>
      </c>
      <c r="K4528" s="1" t="s">
        <v>45</v>
      </c>
      <c r="L4528" s="1" t="str">
        <f t="shared" si="842"/>
        <v>20220919</v>
      </c>
      <c r="M4528" s="1" t="str">
        <f>"085040"</f>
        <v>085040</v>
      </c>
      <c r="N4528" s="1" t="s">
        <v>95</v>
      </c>
      <c r="O4528" s="1" t="s">
        <v>28</v>
      </c>
      <c r="P4528" s="1" t="s">
        <v>68</v>
      </c>
      <c r="Q4528" s="1">
        <v>13</v>
      </c>
      <c r="R4528" s="1">
        <v>0</v>
      </c>
      <c r="S4528" s="1">
        <v>0</v>
      </c>
      <c r="T4528" s="1">
        <v>13</v>
      </c>
      <c r="U4528" s="1">
        <v>0</v>
      </c>
      <c r="V4528" s="1" t="str">
        <f t="shared" si="846"/>
        <v>里程返程</v>
      </c>
      <c r="W4528" s="1" t="str">
        <f>"0020"</f>
        <v>0020</v>
      </c>
      <c r="X4528" s="1" t="s">
        <v>29</v>
      </c>
    </row>
    <row r="4529" spans="1:24" x14ac:dyDescent="0.3">
      <c r="A4529" s="1" t="str">
        <f t="shared" si="847"/>
        <v>59829</v>
      </c>
      <c r="B4529" s="1" t="s">
        <v>47</v>
      </c>
      <c r="C4529" s="1" t="s">
        <v>48</v>
      </c>
      <c r="D4529" s="1" t="str">
        <f t="shared" si="848"/>
        <v>9801</v>
      </c>
      <c r="E4529" s="1" t="s">
        <v>25</v>
      </c>
      <c r="F4529" s="1" t="str">
        <f>"821C1A0387880400C834002000000015"</f>
        <v>821C1A0387880400C834002000000015</v>
      </c>
      <c r="G4529" s="1" t="s">
        <v>26</v>
      </c>
      <c r="H4529" s="1" t="str">
        <f t="shared" si="841"/>
        <v>20220919</v>
      </c>
      <c r="I4529" s="1" t="str">
        <f>"085131"</f>
        <v>085131</v>
      </c>
      <c r="J4529" s="1" t="s">
        <v>28</v>
      </c>
      <c r="K4529" s="1" t="s">
        <v>28</v>
      </c>
      <c r="L4529" s="1" t="str">
        <f t="shared" si="842"/>
        <v>20220919</v>
      </c>
      <c r="M4529" s="1" t="str">
        <f>"091230"</f>
        <v>091230</v>
      </c>
      <c r="N4529" s="1" t="s">
        <v>80</v>
      </c>
      <c r="O4529" s="1" t="s">
        <v>52</v>
      </c>
      <c r="P4529" s="1" t="s">
        <v>68</v>
      </c>
      <c r="Q4529" s="1">
        <v>13</v>
      </c>
      <c r="R4529" s="1">
        <v>0</v>
      </c>
      <c r="S4529" s="1">
        <v>0</v>
      </c>
      <c r="T4529" s="1">
        <v>13</v>
      </c>
      <c r="U4529" s="1">
        <v>0</v>
      </c>
      <c r="V4529" s="1" t="str">
        <f t="shared" si="846"/>
        <v>里程返程</v>
      </c>
      <c r="W4529" s="1" t="str">
        <f>"0020"</f>
        <v>0020</v>
      </c>
      <c r="X4529" s="1" t="s">
        <v>29</v>
      </c>
    </row>
    <row r="4530" spans="1:24" x14ac:dyDescent="0.3">
      <c r="A4530" s="1" t="str">
        <f t="shared" si="847"/>
        <v>59829</v>
      </c>
      <c r="B4530" s="1" t="s">
        <v>47</v>
      </c>
      <c r="C4530" s="1" t="s">
        <v>48</v>
      </c>
      <c r="D4530" s="1" t="str">
        <f t="shared" si="848"/>
        <v>9801</v>
      </c>
      <c r="E4530" s="1" t="s">
        <v>25</v>
      </c>
      <c r="F4530" s="1" t="str">
        <f>"03A6A9454988040048B994D749703809"</f>
        <v>03A6A9454988040048B994D749703809</v>
      </c>
      <c r="G4530" s="1" t="s">
        <v>64</v>
      </c>
      <c r="H4530" s="1" t="str">
        <f t="shared" si="841"/>
        <v>20220919</v>
      </c>
      <c r="I4530" s="1" t="str">
        <f>"085140"</f>
        <v>085140</v>
      </c>
      <c r="J4530" s="1" t="s">
        <v>28</v>
      </c>
      <c r="K4530" s="1" t="s">
        <v>28</v>
      </c>
      <c r="L4530" s="1" t="str">
        <f t="shared" si="842"/>
        <v>20220919</v>
      </c>
      <c r="M4530" s="1" t="str">
        <f>"090531"</f>
        <v>090531</v>
      </c>
      <c r="N4530" s="1" t="s">
        <v>78</v>
      </c>
      <c r="O4530" s="1" t="s">
        <v>52</v>
      </c>
      <c r="P4530" s="1" t="s">
        <v>55</v>
      </c>
      <c r="Q4530" s="1">
        <v>13</v>
      </c>
      <c r="R4530" s="1">
        <v>13</v>
      </c>
      <c r="S4530" s="1">
        <v>0</v>
      </c>
      <c r="T4530" s="1">
        <v>0</v>
      </c>
      <c r="U4530" s="1">
        <v>0</v>
      </c>
      <c r="V4530" s="1" t="str">
        <f t="shared" si="846"/>
        <v>里程返程</v>
      </c>
      <c r="W4530" s="1" t="str">
        <f>"0020"</f>
        <v>0020</v>
      </c>
      <c r="X4530" s="1" t="s">
        <v>29</v>
      </c>
    </row>
    <row r="4531" spans="1:24" x14ac:dyDescent="0.3">
      <c r="A4531" s="1" t="str">
        <f t="shared" si="847"/>
        <v>59829</v>
      </c>
      <c r="B4531" s="1" t="s">
        <v>47</v>
      </c>
      <c r="C4531" s="1" t="s">
        <v>48</v>
      </c>
      <c r="D4531" s="1" t="str">
        <f t="shared" si="848"/>
        <v>9801</v>
      </c>
      <c r="E4531" s="1" t="s">
        <v>25</v>
      </c>
      <c r="F4531" s="1" t="str">
        <f>"2201E702C6880400C834002000000015"</f>
        <v>2201E702C6880400C834002000000015</v>
      </c>
      <c r="G4531" s="1" t="s">
        <v>74</v>
      </c>
      <c r="H4531" s="1" t="str">
        <f t="shared" si="841"/>
        <v>20220919</v>
      </c>
      <c r="I4531" s="1" t="str">
        <f>"092750"</f>
        <v>092750</v>
      </c>
      <c r="J4531" s="1" t="s">
        <v>44</v>
      </c>
      <c r="K4531" s="1" t="s">
        <v>45</v>
      </c>
      <c r="L4531" s="1" t="str">
        <f t="shared" si="842"/>
        <v>20220919</v>
      </c>
      <c r="M4531" s="1" t="str">
        <f>"093109"</f>
        <v>093109</v>
      </c>
      <c r="N4531" s="1" t="s">
        <v>100</v>
      </c>
      <c r="O4531" s="1" t="s">
        <v>45</v>
      </c>
      <c r="P4531" s="1" t="s">
        <v>68</v>
      </c>
      <c r="Q4531" s="1">
        <v>13</v>
      </c>
      <c r="R4531" s="1">
        <v>0</v>
      </c>
      <c r="S4531" s="1">
        <v>0</v>
      </c>
      <c r="T4531" s="1">
        <v>13</v>
      </c>
      <c r="U4531" s="1">
        <v>0</v>
      </c>
      <c r="V4531" s="1" t="str">
        <f t="shared" si="846"/>
        <v>里程返程</v>
      </c>
      <c r="W4531" s="1" t="str">
        <f>"0020"</f>
        <v>0020</v>
      </c>
      <c r="X4531" s="1" t="s">
        <v>29</v>
      </c>
    </row>
    <row r="4532" spans="1:24" x14ac:dyDescent="0.3">
      <c r="A4532" s="1" t="str">
        <f t="shared" si="847"/>
        <v>59829</v>
      </c>
      <c r="B4532" s="1" t="s">
        <v>47</v>
      </c>
      <c r="C4532" s="1" t="s">
        <v>48</v>
      </c>
      <c r="D4532" s="1" t="str">
        <f t="shared" si="848"/>
        <v>9801</v>
      </c>
      <c r="E4532" s="1" t="s">
        <v>25</v>
      </c>
      <c r="F4532" s="1" t="str">
        <f>"1677253200"</f>
        <v>1677253200</v>
      </c>
      <c r="G4532" s="1" t="s">
        <v>33</v>
      </c>
      <c r="H4532" s="1" t="str">
        <f t="shared" si="841"/>
        <v>20220919</v>
      </c>
      <c r="I4532" s="1" t="str">
        <f>"093617"</f>
        <v>093617</v>
      </c>
      <c r="J4532" s="1" t="s">
        <v>91</v>
      </c>
      <c r="K4532" s="1" t="s">
        <v>45</v>
      </c>
      <c r="L4532" s="1" t="str">
        <f t="shared" si="842"/>
        <v>20220919</v>
      </c>
      <c r="M4532" s="1" t="str">
        <f>"095308"</f>
        <v>095308</v>
      </c>
      <c r="N4532" s="1" t="s">
        <v>28</v>
      </c>
      <c r="O4532" s="1" t="s">
        <v>28</v>
      </c>
      <c r="P4532" s="1" t="s">
        <v>55</v>
      </c>
      <c r="Q4532" s="1">
        <v>25</v>
      </c>
      <c r="R4532" s="1">
        <v>25</v>
      </c>
      <c r="S4532" s="1">
        <v>0</v>
      </c>
      <c r="T4532" s="1">
        <v>0</v>
      </c>
      <c r="U4532" s="1">
        <v>0</v>
      </c>
      <c r="V4532" s="1" t="str">
        <f t="shared" si="846"/>
        <v>里程返程</v>
      </c>
      <c r="W4532" s="1" t="str">
        <f>"2120"</f>
        <v>2120</v>
      </c>
      <c r="X4532" s="1" t="s">
        <v>35</v>
      </c>
    </row>
    <row r="4533" spans="1:24" x14ac:dyDescent="0.3">
      <c r="A4533" s="1" t="str">
        <f t="shared" si="847"/>
        <v>59829</v>
      </c>
      <c r="B4533" s="1" t="s">
        <v>47</v>
      </c>
      <c r="C4533" s="1" t="s">
        <v>48</v>
      </c>
      <c r="D4533" s="1" t="str">
        <f t="shared" si="848"/>
        <v>9801</v>
      </c>
      <c r="E4533" s="1" t="s">
        <v>25</v>
      </c>
      <c r="F4533" s="1" t="str">
        <f>"1705179733"</f>
        <v>1705179733</v>
      </c>
      <c r="G4533" s="1" t="s">
        <v>33</v>
      </c>
      <c r="H4533" s="1" t="str">
        <f t="shared" si="841"/>
        <v>20220919</v>
      </c>
      <c r="I4533" s="1" t="str">
        <f>"105405"</f>
        <v>105405</v>
      </c>
      <c r="J4533" s="1" t="s">
        <v>28</v>
      </c>
      <c r="K4533" s="1" t="s">
        <v>28</v>
      </c>
      <c r="L4533" s="1" t="str">
        <f t="shared" si="842"/>
        <v>20220919</v>
      </c>
      <c r="M4533" s="1" t="str">
        <f>"112529"</f>
        <v>112529</v>
      </c>
      <c r="N4533" s="1" t="s">
        <v>52</v>
      </c>
      <c r="O4533" s="1" t="s">
        <v>52</v>
      </c>
      <c r="P4533" s="1" t="s">
        <v>55</v>
      </c>
      <c r="Q4533" s="1">
        <v>25</v>
      </c>
      <c r="R4533" s="1">
        <v>0</v>
      </c>
      <c r="S4533" s="1">
        <v>25</v>
      </c>
      <c r="T4533" s="1">
        <v>0</v>
      </c>
      <c r="U4533" s="1">
        <v>0</v>
      </c>
      <c r="V4533" s="1" t="str">
        <f t="shared" si="846"/>
        <v>里程返程</v>
      </c>
      <c r="W4533" s="1" t="str">
        <f>"2120"</f>
        <v>2120</v>
      </c>
      <c r="X4533" s="1" t="s">
        <v>35</v>
      </c>
    </row>
    <row r="4534" spans="1:24" x14ac:dyDescent="0.3">
      <c r="A4534" s="1" t="str">
        <f t="shared" si="847"/>
        <v>59829</v>
      </c>
      <c r="B4534" s="1" t="s">
        <v>47</v>
      </c>
      <c r="C4534" s="1" t="s">
        <v>48</v>
      </c>
      <c r="D4534" s="1" t="str">
        <f t="shared" si="848"/>
        <v>9801</v>
      </c>
      <c r="E4534" s="1" t="s">
        <v>25</v>
      </c>
      <c r="F4534" s="1" t="str">
        <f>"7311150202020740"</f>
        <v>7311150202020740</v>
      </c>
      <c r="G4534" s="1" t="s">
        <v>33</v>
      </c>
      <c r="H4534" s="1" t="str">
        <f t="shared" si="841"/>
        <v>20220919</v>
      </c>
      <c r="I4534" s="1" t="str">
        <f>"115251"</f>
        <v>115251</v>
      </c>
      <c r="J4534" s="1" t="s">
        <v>28</v>
      </c>
      <c r="K4534" s="1" t="s">
        <v>28</v>
      </c>
      <c r="L4534" s="1" t="str">
        <f t="shared" si="842"/>
        <v>20220919</v>
      </c>
      <c r="M4534" s="1" t="str">
        <f>"122547"</f>
        <v>122547</v>
      </c>
      <c r="N4534" s="1" t="s">
        <v>52</v>
      </c>
      <c r="O4534" s="1" t="s">
        <v>52</v>
      </c>
      <c r="P4534" s="1" t="s">
        <v>55</v>
      </c>
      <c r="Q4534" s="1">
        <v>25</v>
      </c>
      <c r="R4534" s="1">
        <v>25</v>
      </c>
      <c r="S4534" s="1">
        <v>0</v>
      </c>
      <c r="T4534" s="1">
        <v>0</v>
      </c>
      <c r="U4534" s="1">
        <v>0</v>
      </c>
      <c r="V4534" s="1" t="str">
        <f t="shared" si="846"/>
        <v>里程返程</v>
      </c>
      <c r="W4534" s="1" t="str">
        <f>"3A3B"</f>
        <v>3A3B</v>
      </c>
      <c r="X4534" s="1" t="s">
        <v>109</v>
      </c>
    </row>
    <row r="4535" spans="1:24" x14ac:dyDescent="0.3">
      <c r="A4535" s="1" t="str">
        <f t="shared" si="847"/>
        <v>59829</v>
      </c>
      <c r="B4535" s="1" t="s">
        <v>47</v>
      </c>
      <c r="C4535" s="1" t="s">
        <v>48</v>
      </c>
      <c r="D4535" s="1" t="str">
        <f t="shared" ref="D4535:D4540" si="849">"9805"</f>
        <v>9805</v>
      </c>
      <c r="E4535" s="1" t="s">
        <v>57</v>
      </c>
      <c r="F4535" s="1" t="str">
        <f>"165635105"</f>
        <v>165635105</v>
      </c>
      <c r="G4535" s="1" t="s">
        <v>33</v>
      </c>
      <c r="H4535" s="1" t="str">
        <f t="shared" si="841"/>
        <v>20220919</v>
      </c>
      <c r="I4535" s="1" t="str">
        <f>"142719"</f>
        <v>142719</v>
      </c>
      <c r="J4535" s="1" t="s">
        <v>28</v>
      </c>
      <c r="K4535" s="1" t="s">
        <v>28</v>
      </c>
      <c r="L4535" s="1" t="str">
        <f t="shared" si="842"/>
        <v>20220919</v>
      </c>
      <c r="M4535" s="1" t="str">
        <f>"143916"</f>
        <v>143916</v>
      </c>
      <c r="N4535" s="1" t="s">
        <v>79</v>
      </c>
      <c r="O4535" s="1" t="s">
        <v>28</v>
      </c>
      <c r="P4535" s="1" t="s">
        <v>55</v>
      </c>
      <c r="Q4535" s="1">
        <v>25</v>
      </c>
      <c r="R4535" s="1">
        <v>25</v>
      </c>
      <c r="S4535" s="1">
        <v>0</v>
      </c>
      <c r="T4535" s="1">
        <v>0</v>
      </c>
      <c r="U4535" s="1">
        <v>0</v>
      </c>
      <c r="V4535" s="1" t="str">
        <f>"里程去程"</f>
        <v>里程去程</v>
      </c>
      <c r="W4535" s="1" t="str">
        <f>"2020"</f>
        <v>2020</v>
      </c>
      <c r="X4535" s="1" t="s">
        <v>35</v>
      </c>
    </row>
    <row r="4536" spans="1:24" x14ac:dyDescent="0.3">
      <c r="A4536" s="1" t="str">
        <f t="shared" si="847"/>
        <v>59829</v>
      </c>
      <c r="B4536" s="1" t="s">
        <v>47</v>
      </c>
      <c r="C4536" s="1" t="s">
        <v>48</v>
      </c>
      <c r="D4536" s="1" t="str">
        <f t="shared" si="849"/>
        <v>9805</v>
      </c>
      <c r="E4536" s="1" t="s">
        <v>57</v>
      </c>
      <c r="F4536" s="1" t="str">
        <f>"1005509985"</f>
        <v>1005509985</v>
      </c>
      <c r="G4536" s="1" t="s">
        <v>33</v>
      </c>
      <c r="H4536" s="1" t="str">
        <f t="shared" si="841"/>
        <v>20220919</v>
      </c>
      <c r="I4536" s="1" t="str">
        <f>"142726"</f>
        <v>142726</v>
      </c>
      <c r="J4536" s="1" t="s">
        <v>28</v>
      </c>
      <c r="K4536" s="1" t="s">
        <v>28</v>
      </c>
      <c r="L4536" s="1" t="str">
        <f t="shared" si="842"/>
        <v>20220919</v>
      </c>
      <c r="M4536" s="1" t="str">
        <f>"143731"</f>
        <v>143731</v>
      </c>
      <c r="N4536" s="1" t="s">
        <v>70</v>
      </c>
      <c r="O4536" s="1" t="s">
        <v>28</v>
      </c>
      <c r="P4536" s="1" t="s">
        <v>55</v>
      </c>
      <c r="Q4536" s="1">
        <v>25</v>
      </c>
      <c r="R4536" s="1">
        <v>25</v>
      </c>
      <c r="S4536" s="1">
        <v>0</v>
      </c>
      <c r="T4536" s="1">
        <v>0</v>
      </c>
      <c r="U4536" s="1">
        <v>0</v>
      </c>
      <c r="V4536" s="1" t="str">
        <f>"里程去程"</f>
        <v>里程去程</v>
      </c>
      <c r="W4536" s="1" t="str">
        <f>"0220"</f>
        <v>0220</v>
      </c>
      <c r="X4536" s="1" t="s">
        <v>35</v>
      </c>
    </row>
    <row r="4537" spans="1:24" x14ac:dyDescent="0.3">
      <c r="A4537" s="1" t="str">
        <f t="shared" si="847"/>
        <v>59829</v>
      </c>
      <c r="B4537" s="1" t="s">
        <v>47</v>
      </c>
      <c r="C4537" s="1" t="s">
        <v>48</v>
      </c>
      <c r="D4537" s="1" t="str">
        <f t="shared" si="849"/>
        <v>9805</v>
      </c>
      <c r="E4537" s="1" t="s">
        <v>57</v>
      </c>
      <c r="F4537" s="1" t="str">
        <f>"2098501690"</f>
        <v>2098501690</v>
      </c>
      <c r="G4537" s="1" t="s">
        <v>33</v>
      </c>
      <c r="H4537" s="1" t="str">
        <f t="shared" si="841"/>
        <v>20220919</v>
      </c>
      <c r="I4537" s="1" t="str">
        <f>"142728"</f>
        <v>142728</v>
      </c>
      <c r="J4537" s="1" t="s">
        <v>28</v>
      </c>
      <c r="K4537" s="1" t="s">
        <v>28</v>
      </c>
      <c r="L4537" s="1" t="str">
        <f t="shared" si="842"/>
        <v>20220919</v>
      </c>
      <c r="M4537" s="1" t="str">
        <f>"143734"</f>
        <v>143734</v>
      </c>
      <c r="N4537" s="1" t="s">
        <v>70</v>
      </c>
      <c r="O4537" s="1" t="s">
        <v>28</v>
      </c>
      <c r="P4537" s="1" t="s">
        <v>55</v>
      </c>
      <c r="Q4537" s="1">
        <v>25</v>
      </c>
      <c r="R4537" s="1">
        <v>25</v>
      </c>
      <c r="S4537" s="1">
        <v>0</v>
      </c>
      <c r="T4537" s="1">
        <v>0</v>
      </c>
      <c r="U4537" s="1">
        <v>0</v>
      </c>
      <c r="V4537" s="1" t="str">
        <f>"里程去程"</f>
        <v>里程去程</v>
      </c>
      <c r="W4537" s="1" t="str">
        <f>"2520"</f>
        <v>2520</v>
      </c>
      <c r="X4537" s="1" t="s">
        <v>35</v>
      </c>
    </row>
    <row r="4538" spans="1:24" x14ac:dyDescent="0.3">
      <c r="A4538" s="1" t="str">
        <f t="shared" si="847"/>
        <v>59829</v>
      </c>
      <c r="B4538" s="1" t="s">
        <v>47</v>
      </c>
      <c r="C4538" s="1" t="s">
        <v>48</v>
      </c>
      <c r="D4538" s="1" t="str">
        <f t="shared" si="849"/>
        <v>9805</v>
      </c>
      <c r="E4538" s="1" t="s">
        <v>57</v>
      </c>
      <c r="F4538" s="1" t="str">
        <f>"1661864789"</f>
        <v>1661864789</v>
      </c>
      <c r="G4538" s="1" t="s">
        <v>33</v>
      </c>
      <c r="H4538" s="1" t="str">
        <f t="shared" si="841"/>
        <v>20220919</v>
      </c>
      <c r="I4538" s="1" t="str">
        <f>"142732"</f>
        <v>142732</v>
      </c>
      <c r="J4538" s="1" t="s">
        <v>28</v>
      </c>
      <c r="K4538" s="1" t="s">
        <v>28</v>
      </c>
      <c r="L4538" s="1" t="str">
        <f t="shared" si="842"/>
        <v>20220919</v>
      </c>
      <c r="M4538" s="1" t="str">
        <f>"144108"</f>
        <v>144108</v>
      </c>
      <c r="N4538" s="1" t="s">
        <v>46</v>
      </c>
      <c r="O4538" s="1" t="s">
        <v>28</v>
      </c>
      <c r="P4538" s="1" t="s">
        <v>55</v>
      </c>
      <c r="Q4538" s="1">
        <v>25</v>
      </c>
      <c r="R4538" s="1">
        <v>0</v>
      </c>
      <c r="S4538" s="1">
        <v>25</v>
      </c>
      <c r="T4538" s="1">
        <v>0</v>
      </c>
      <c r="U4538" s="1">
        <v>0</v>
      </c>
      <c r="V4538" s="1" t="str">
        <f>"里程去程"</f>
        <v>里程去程</v>
      </c>
      <c r="W4538" s="1" t="str">
        <f>"0820"</f>
        <v>0820</v>
      </c>
      <c r="X4538" s="1" t="s">
        <v>35</v>
      </c>
    </row>
    <row r="4539" spans="1:24" x14ac:dyDescent="0.3">
      <c r="A4539" s="1" t="str">
        <f t="shared" si="847"/>
        <v>59829</v>
      </c>
      <c r="B4539" s="1" t="s">
        <v>47</v>
      </c>
      <c r="C4539" s="1" t="s">
        <v>48</v>
      </c>
      <c r="D4539" s="1" t="str">
        <f t="shared" si="849"/>
        <v>9805</v>
      </c>
      <c r="E4539" s="1" t="s">
        <v>57</v>
      </c>
      <c r="F4539" s="1" t="str">
        <f>"881384469"</f>
        <v>881384469</v>
      </c>
      <c r="G4539" s="1" t="s">
        <v>33</v>
      </c>
      <c r="H4539" s="1" t="str">
        <f t="shared" ref="H4539:H4545" si="850">"20220919"</f>
        <v>20220919</v>
      </c>
      <c r="I4539" s="1" t="str">
        <f>"142735"</f>
        <v>142735</v>
      </c>
      <c r="J4539" s="1" t="s">
        <v>28</v>
      </c>
      <c r="K4539" s="1" t="s">
        <v>28</v>
      </c>
      <c r="L4539" s="1" t="str">
        <f t="shared" ref="L4539:L4545" si="851">"20220919"</f>
        <v>20220919</v>
      </c>
      <c r="M4539" s="1" t="str">
        <f>"144102"</f>
        <v>144102</v>
      </c>
      <c r="N4539" s="1" t="s">
        <v>46</v>
      </c>
      <c r="O4539" s="1" t="s">
        <v>28</v>
      </c>
      <c r="P4539" s="1" t="s">
        <v>55</v>
      </c>
      <c r="Q4539" s="1">
        <v>25</v>
      </c>
      <c r="R4539" s="1">
        <v>0</v>
      </c>
      <c r="S4539" s="1">
        <v>25</v>
      </c>
      <c r="T4539" s="1">
        <v>0</v>
      </c>
      <c r="U4539" s="1">
        <v>0</v>
      </c>
      <c r="V4539" s="1" t="str">
        <f>"里程去程"</f>
        <v>里程去程</v>
      </c>
      <c r="W4539" s="1" t="str">
        <f>"0820"</f>
        <v>0820</v>
      </c>
      <c r="X4539" s="1" t="s">
        <v>35</v>
      </c>
    </row>
    <row r="4540" spans="1:24" x14ac:dyDescent="0.3">
      <c r="A4540" s="1" t="str">
        <f t="shared" si="847"/>
        <v>59829</v>
      </c>
      <c r="B4540" s="1" t="s">
        <v>47</v>
      </c>
      <c r="C4540" s="1" t="s">
        <v>48</v>
      </c>
      <c r="D4540" s="1" t="str">
        <f t="shared" si="849"/>
        <v>9805</v>
      </c>
      <c r="E4540" s="1" t="s">
        <v>57</v>
      </c>
      <c r="F4540" s="1" t="str">
        <f>"4076758034"</f>
        <v>4076758034</v>
      </c>
      <c r="G4540" s="1" t="s">
        <v>33</v>
      </c>
      <c r="H4540" s="1" t="str">
        <f t="shared" si="850"/>
        <v>20220919</v>
      </c>
      <c r="I4540" s="1" t="str">
        <f>"145733"</f>
        <v>145733</v>
      </c>
      <c r="J4540" s="1" t="s">
        <v>103</v>
      </c>
      <c r="K4540" s="1" t="s">
        <v>28</v>
      </c>
      <c r="L4540" s="1" t="str">
        <f t="shared" si="851"/>
        <v>20220919</v>
      </c>
      <c r="M4540" s="1" t="str">
        <f>"151031"</f>
        <v>151031</v>
      </c>
      <c r="N4540" s="1" t="s">
        <v>28</v>
      </c>
      <c r="O4540" s="1" t="s">
        <v>28</v>
      </c>
      <c r="P4540" s="1" t="s">
        <v>55</v>
      </c>
      <c r="Q4540" s="1">
        <v>25</v>
      </c>
      <c r="R4540" s="1">
        <v>0</v>
      </c>
      <c r="S4540" s="1">
        <v>25</v>
      </c>
      <c r="T4540" s="1">
        <v>0</v>
      </c>
      <c r="U4540" s="1">
        <v>0</v>
      </c>
      <c r="V4540" s="1" t="str">
        <f t="shared" ref="V4540:V4546" si="852">"里程返程"</f>
        <v>里程返程</v>
      </c>
      <c r="W4540" s="1" t="str">
        <f>"2120"</f>
        <v>2120</v>
      </c>
      <c r="X4540" s="1" t="s">
        <v>35</v>
      </c>
    </row>
    <row r="4541" spans="1:24" x14ac:dyDescent="0.3">
      <c r="A4541" s="1" t="str">
        <f t="shared" si="847"/>
        <v>59829</v>
      </c>
      <c r="B4541" s="1" t="s">
        <v>47</v>
      </c>
      <c r="C4541" s="1" t="s">
        <v>48</v>
      </c>
      <c r="D4541" s="1" t="str">
        <f>"9803"</f>
        <v>9803</v>
      </c>
      <c r="E4541" s="1" t="s">
        <v>32</v>
      </c>
      <c r="F4541" s="1" t="str">
        <f>"664640533"</f>
        <v>664640533</v>
      </c>
      <c r="G4541" s="1" t="s">
        <v>33</v>
      </c>
      <c r="H4541" s="1" t="str">
        <f t="shared" si="850"/>
        <v>20220919</v>
      </c>
      <c r="I4541" s="1" t="str">
        <f>"153150"</f>
        <v>153150</v>
      </c>
      <c r="J4541" s="1" t="s">
        <v>34</v>
      </c>
      <c r="K4541" s="1" t="s">
        <v>34</v>
      </c>
      <c r="L4541" s="1" t="str">
        <f t="shared" si="851"/>
        <v>20220919</v>
      </c>
      <c r="M4541" s="1" t="str">
        <f>"160856"</f>
        <v>160856</v>
      </c>
      <c r="N4541" s="1" t="s">
        <v>28</v>
      </c>
      <c r="O4541" s="1" t="s">
        <v>28</v>
      </c>
      <c r="P4541" s="1" t="s">
        <v>55</v>
      </c>
      <c r="Q4541" s="1">
        <v>25</v>
      </c>
      <c r="R4541" s="1">
        <v>25</v>
      </c>
      <c r="S4541" s="1">
        <v>0</v>
      </c>
      <c r="T4541" s="1">
        <v>0</v>
      </c>
      <c r="U4541" s="1">
        <v>0</v>
      </c>
      <c r="V4541" s="1" t="str">
        <f t="shared" si="852"/>
        <v>里程返程</v>
      </c>
      <c r="W4541" s="1" t="str">
        <f>"2020"</f>
        <v>2020</v>
      </c>
      <c r="X4541" s="1" t="s">
        <v>35</v>
      </c>
    </row>
    <row r="4542" spans="1:24" x14ac:dyDescent="0.3">
      <c r="A4542" s="1" t="str">
        <f t="shared" si="847"/>
        <v>59829</v>
      </c>
      <c r="B4542" s="1" t="s">
        <v>47</v>
      </c>
      <c r="C4542" s="1" t="s">
        <v>48</v>
      </c>
      <c r="D4542" s="1" t="str">
        <f>"9801"</f>
        <v>9801</v>
      </c>
      <c r="E4542" s="1" t="s">
        <v>25</v>
      </c>
      <c r="F4542" s="1" t="str">
        <f>"811406677"</f>
        <v>811406677</v>
      </c>
      <c r="G4542" s="1" t="s">
        <v>26</v>
      </c>
      <c r="H4542" s="1" t="str">
        <f t="shared" si="850"/>
        <v>20220919</v>
      </c>
      <c r="I4542" s="1" t="str">
        <f>"192311"</f>
        <v>192311</v>
      </c>
      <c r="J4542" s="1" t="s">
        <v>28</v>
      </c>
      <c r="K4542" s="1" t="s">
        <v>28</v>
      </c>
      <c r="L4542" s="1" t="str">
        <f t="shared" si="851"/>
        <v>20220919</v>
      </c>
      <c r="M4542" s="1" t="str">
        <f>"195338"</f>
        <v>195338</v>
      </c>
      <c r="N4542" s="1" t="s">
        <v>52</v>
      </c>
      <c r="O4542" s="1" t="s">
        <v>52</v>
      </c>
      <c r="P4542" s="1" t="s">
        <v>55</v>
      </c>
      <c r="Q4542" s="1">
        <v>13</v>
      </c>
      <c r="R4542" s="1">
        <v>0</v>
      </c>
      <c r="S4542" s="1">
        <v>13</v>
      </c>
      <c r="T4542" s="1">
        <v>0</v>
      </c>
      <c r="U4542" s="1">
        <v>0</v>
      </c>
      <c r="V4542" s="1" t="str">
        <f t="shared" si="852"/>
        <v>里程返程</v>
      </c>
      <c r="W4542" s="1" t="str">
        <f>"0820"</f>
        <v>0820</v>
      </c>
      <c r="X4542" s="1" t="s">
        <v>35</v>
      </c>
    </row>
    <row r="4543" spans="1:24" x14ac:dyDescent="0.3">
      <c r="A4543" s="1" t="str">
        <f t="shared" si="847"/>
        <v>59829</v>
      </c>
      <c r="B4543" s="1" t="s">
        <v>47</v>
      </c>
      <c r="C4543" s="1" t="s">
        <v>48</v>
      </c>
      <c r="D4543" s="1" t="str">
        <f>"9801"</f>
        <v>9801</v>
      </c>
      <c r="E4543" s="1" t="s">
        <v>25</v>
      </c>
      <c r="F4543" s="1" t="str">
        <f>"3236564931"</f>
        <v>3236564931</v>
      </c>
      <c r="G4543" s="1" t="s">
        <v>33</v>
      </c>
      <c r="H4543" s="1" t="str">
        <f t="shared" si="850"/>
        <v>20220919</v>
      </c>
      <c r="I4543" s="1" t="str">
        <f>"192315"</f>
        <v>192315</v>
      </c>
      <c r="J4543" s="1" t="s">
        <v>28</v>
      </c>
      <c r="K4543" s="1" t="s">
        <v>28</v>
      </c>
      <c r="L4543" s="1" t="str">
        <f t="shared" si="851"/>
        <v>20220919</v>
      </c>
      <c r="M4543" s="1" t="str">
        <f>"195343"</f>
        <v>195343</v>
      </c>
      <c r="N4543" s="1" t="s">
        <v>52</v>
      </c>
      <c r="O4543" s="1" t="s">
        <v>52</v>
      </c>
      <c r="P4543" s="1" t="s">
        <v>55</v>
      </c>
      <c r="Q4543" s="1">
        <v>25</v>
      </c>
      <c r="R4543" s="1">
        <v>0</v>
      </c>
      <c r="S4543" s="1">
        <v>25</v>
      </c>
      <c r="T4543" s="1">
        <v>0</v>
      </c>
      <c r="U4543" s="1">
        <v>0</v>
      </c>
      <c r="V4543" s="1" t="str">
        <f t="shared" si="852"/>
        <v>里程返程</v>
      </c>
      <c r="W4543" s="1" t="str">
        <f>"0820"</f>
        <v>0820</v>
      </c>
      <c r="X4543" s="1" t="s">
        <v>35</v>
      </c>
    </row>
    <row r="4544" spans="1:24" x14ac:dyDescent="0.3">
      <c r="A4544" s="1" t="str">
        <f t="shared" si="847"/>
        <v>59829</v>
      </c>
      <c r="B4544" s="1" t="s">
        <v>47</v>
      </c>
      <c r="C4544" s="1" t="s">
        <v>48</v>
      </c>
      <c r="D4544" s="1" t="str">
        <f>"9805"</f>
        <v>9805</v>
      </c>
      <c r="E4544" s="1" t="s">
        <v>57</v>
      </c>
      <c r="F4544" s="1" t="str">
        <f>"4069650798"</f>
        <v>4069650798</v>
      </c>
      <c r="G4544" s="1" t="s">
        <v>33</v>
      </c>
      <c r="H4544" s="1" t="str">
        <f t="shared" si="850"/>
        <v>20220919</v>
      </c>
      <c r="I4544" s="1" t="str">
        <f>"195459"</f>
        <v>195459</v>
      </c>
      <c r="J4544" s="1" t="s">
        <v>52</v>
      </c>
      <c r="K4544" s="1" t="s">
        <v>52</v>
      </c>
      <c r="L4544" s="1" t="str">
        <f t="shared" si="851"/>
        <v>20220919</v>
      </c>
      <c r="M4544" s="1" t="str">
        <f>"201814"</f>
        <v>201814</v>
      </c>
      <c r="N4544" s="1" t="s">
        <v>28</v>
      </c>
      <c r="O4544" s="1" t="s">
        <v>28</v>
      </c>
      <c r="P4544" s="1" t="s">
        <v>55</v>
      </c>
      <c r="Q4544" s="1">
        <v>25</v>
      </c>
      <c r="R4544" s="1">
        <v>25</v>
      </c>
      <c r="S4544" s="1">
        <v>0</v>
      </c>
      <c r="T4544" s="1">
        <v>0</v>
      </c>
      <c r="U4544" s="1">
        <v>0</v>
      </c>
      <c r="V4544" s="1" t="str">
        <f t="shared" si="852"/>
        <v>里程返程</v>
      </c>
      <c r="W4544" s="1" t="str">
        <f>"2020"</f>
        <v>2020</v>
      </c>
      <c r="X4544" s="1" t="s">
        <v>35</v>
      </c>
    </row>
    <row r="4545" spans="1:24" x14ac:dyDescent="0.3">
      <c r="A4545" s="1" t="str">
        <f t="shared" si="847"/>
        <v>59829</v>
      </c>
      <c r="B4545" s="1" t="s">
        <v>47</v>
      </c>
      <c r="C4545" s="1" t="s">
        <v>48</v>
      </c>
      <c r="D4545" s="1" t="str">
        <f>"9805"</f>
        <v>9805</v>
      </c>
      <c r="E4545" s="1" t="s">
        <v>57</v>
      </c>
      <c r="F4545" s="1" t="str">
        <f>"1734483201"</f>
        <v>1734483201</v>
      </c>
      <c r="G4545" s="1" t="s">
        <v>26</v>
      </c>
      <c r="H4545" s="1" t="str">
        <f t="shared" si="850"/>
        <v>20220919</v>
      </c>
      <c r="I4545" s="1" t="str">
        <f>"200512"</f>
        <v>200512</v>
      </c>
      <c r="J4545" s="1" t="s">
        <v>103</v>
      </c>
      <c r="K4545" s="1" t="s">
        <v>28</v>
      </c>
      <c r="L4545" s="1" t="str">
        <f t="shared" si="851"/>
        <v>20220919</v>
      </c>
      <c r="M4545" s="1" t="str">
        <f>"201803"</f>
        <v>201803</v>
      </c>
      <c r="N4545" s="1" t="s">
        <v>28</v>
      </c>
      <c r="O4545" s="1" t="s">
        <v>28</v>
      </c>
      <c r="P4545" s="1" t="s">
        <v>55</v>
      </c>
      <c r="Q4545" s="1">
        <v>13</v>
      </c>
      <c r="R4545" s="1">
        <v>0</v>
      </c>
      <c r="S4545" s="1">
        <v>13</v>
      </c>
      <c r="T4545" s="1">
        <v>0</v>
      </c>
      <c r="U4545" s="1">
        <v>0</v>
      </c>
      <c r="V4545" s="1" t="str">
        <f t="shared" si="852"/>
        <v>里程返程</v>
      </c>
      <c r="W4545" s="1" t="str">
        <f>"0820"</f>
        <v>0820</v>
      </c>
      <c r="X4545" s="1" t="s">
        <v>35</v>
      </c>
    </row>
    <row r="4546" spans="1:24" x14ac:dyDescent="0.3">
      <c r="A4546" s="1" t="str">
        <f t="shared" ref="A4546:A4560" si="853">"59820"</f>
        <v>59820</v>
      </c>
      <c r="B4546" s="1" t="s">
        <v>53</v>
      </c>
      <c r="C4546" s="1" t="s">
        <v>54</v>
      </c>
      <c r="D4546" s="1" t="str">
        <f t="shared" ref="D4546:D4560" si="854">"9801"</f>
        <v>9801</v>
      </c>
      <c r="E4546" s="1" t="s">
        <v>25</v>
      </c>
      <c r="F4546" s="1" t="str">
        <f>"E130C75F492804001C00000000000000"</f>
        <v>E130C75F492804001C00000000000000</v>
      </c>
      <c r="G4546" s="1" t="s">
        <v>58</v>
      </c>
      <c r="H4546" s="1" t="str">
        <f t="shared" ref="H4546:H4577" si="855">"20220920"</f>
        <v>20220920</v>
      </c>
      <c r="I4546" s="1" t="str">
        <f>"061427"</f>
        <v>061427</v>
      </c>
      <c r="J4546" s="1" t="s">
        <v>79</v>
      </c>
      <c r="K4546" s="1" t="s">
        <v>45</v>
      </c>
      <c r="L4546" s="1" t="str">
        <f t="shared" ref="L4546:L4581" si="856">"20220920"</f>
        <v>20220920</v>
      </c>
      <c r="M4546" s="1" t="str">
        <f>"062056"</f>
        <v>062056</v>
      </c>
      <c r="N4546" s="1" t="s">
        <v>28</v>
      </c>
      <c r="O4546" s="1" t="s">
        <v>28</v>
      </c>
      <c r="P4546" s="1" t="s">
        <v>55</v>
      </c>
      <c r="Q4546" s="1">
        <v>25</v>
      </c>
      <c r="R4546" s="1">
        <v>25</v>
      </c>
      <c r="S4546" s="1">
        <v>0</v>
      </c>
      <c r="T4546" s="1">
        <v>0</v>
      </c>
      <c r="U4546" s="1">
        <v>0</v>
      </c>
      <c r="V4546" s="1" t="str">
        <f t="shared" si="852"/>
        <v>里程返程</v>
      </c>
      <c r="W4546" s="1" t="str">
        <f>"0020"</f>
        <v>0020</v>
      </c>
      <c r="X4546" s="1" t="s">
        <v>29</v>
      </c>
    </row>
    <row r="4547" spans="1:24" x14ac:dyDescent="0.3">
      <c r="A4547" s="1" t="str">
        <f t="shared" si="853"/>
        <v>59820</v>
      </c>
      <c r="B4547" s="1" t="s">
        <v>53</v>
      </c>
      <c r="C4547" s="1" t="s">
        <v>54</v>
      </c>
      <c r="D4547" s="1" t="str">
        <f t="shared" si="854"/>
        <v>9801</v>
      </c>
      <c r="E4547" s="1" t="s">
        <v>25</v>
      </c>
      <c r="F4547" s="1" t="str">
        <f>"1204061808880400C814002000000019"</f>
        <v>1204061808880400C814002000000019</v>
      </c>
      <c r="G4547" s="1" t="s">
        <v>59</v>
      </c>
      <c r="H4547" s="1" t="str">
        <f t="shared" si="855"/>
        <v>20220920</v>
      </c>
      <c r="I4547" s="1" t="str">
        <f>"083311"</f>
        <v>083311</v>
      </c>
      <c r="J4547" s="1" t="s">
        <v>27</v>
      </c>
      <c r="K4547" s="1" t="s">
        <v>28</v>
      </c>
      <c r="L4547" s="1" t="str">
        <f t="shared" si="856"/>
        <v>20220920</v>
      </c>
      <c r="M4547" s="1" t="str">
        <f>"085434"</f>
        <v>085434</v>
      </c>
      <c r="N4547" s="1" t="s">
        <v>44</v>
      </c>
      <c r="O4547" s="1" t="s">
        <v>45</v>
      </c>
      <c r="P4547" s="1" t="s">
        <v>55</v>
      </c>
      <c r="Q4547" s="1">
        <v>25</v>
      </c>
      <c r="R4547" s="1">
        <v>0</v>
      </c>
      <c r="S4547" s="1">
        <v>25</v>
      </c>
      <c r="T4547" s="1">
        <v>0</v>
      </c>
      <c r="U4547" s="1">
        <v>0</v>
      </c>
      <c r="V4547" s="1" t="str">
        <f t="shared" ref="V4547:V4552" si="857">"里程去程"</f>
        <v>里程去程</v>
      </c>
      <c r="W4547" s="1" t="str">
        <f>"0620"</f>
        <v>0620</v>
      </c>
      <c r="X4547" s="1" t="s">
        <v>29</v>
      </c>
    </row>
    <row r="4548" spans="1:24" x14ac:dyDescent="0.3">
      <c r="A4548" s="1" t="str">
        <f t="shared" si="853"/>
        <v>59820</v>
      </c>
      <c r="B4548" s="1" t="s">
        <v>53</v>
      </c>
      <c r="C4548" s="1" t="s">
        <v>54</v>
      </c>
      <c r="D4548" s="1" t="str">
        <f t="shared" si="854"/>
        <v>9801</v>
      </c>
      <c r="E4548" s="1" t="s">
        <v>25</v>
      </c>
      <c r="F4548" s="1" t="str">
        <f>"1304950097"</f>
        <v>1304950097</v>
      </c>
      <c r="G4548" s="1" t="s">
        <v>26</v>
      </c>
      <c r="H4548" s="1" t="str">
        <f t="shared" si="855"/>
        <v>20220920</v>
      </c>
      <c r="I4548" s="1" t="str">
        <f>"083324"</f>
        <v>083324</v>
      </c>
      <c r="J4548" s="1" t="s">
        <v>27</v>
      </c>
      <c r="K4548" s="1" t="s">
        <v>28</v>
      </c>
      <c r="L4548" s="1" t="str">
        <f t="shared" si="856"/>
        <v>20220920</v>
      </c>
      <c r="M4548" s="1" t="str">
        <f>"085431"</f>
        <v>085431</v>
      </c>
      <c r="N4548" s="1" t="s">
        <v>44</v>
      </c>
      <c r="O4548" s="1" t="s">
        <v>45</v>
      </c>
      <c r="P4548" s="1" t="s">
        <v>55</v>
      </c>
      <c r="Q4548" s="1">
        <v>13</v>
      </c>
      <c r="R4548" s="1">
        <v>0</v>
      </c>
      <c r="S4548" s="1">
        <v>13</v>
      </c>
      <c r="T4548" s="1">
        <v>0</v>
      </c>
      <c r="U4548" s="1">
        <v>0</v>
      </c>
      <c r="V4548" s="1" t="str">
        <f t="shared" si="857"/>
        <v>里程去程</v>
      </c>
      <c r="W4548" s="1" t="str">
        <f>"2120"</f>
        <v>2120</v>
      </c>
      <c r="X4548" s="1" t="s">
        <v>35</v>
      </c>
    </row>
    <row r="4549" spans="1:24" x14ac:dyDescent="0.3">
      <c r="A4549" s="1" t="str">
        <f t="shared" si="853"/>
        <v>59820</v>
      </c>
      <c r="B4549" s="1" t="s">
        <v>53</v>
      </c>
      <c r="C4549" s="1" t="s">
        <v>54</v>
      </c>
      <c r="D4549" s="1" t="str">
        <f t="shared" si="854"/>
        <v>9801</v>
      </c>
      <c r="E4549" s="1" t="s">
        <v>25</v>
      </c>
      <c r="F4549" s="1" t="str">
        <f>"E220D10211880400C834002000000015"</f>
        <v>E220D10211880400C834002000000015</v>
      </c>
      <c r="G4549" s="1" t="s">
        <v>74</v>
      </c>
      <c r="H4549" s="1" t="str">
        <f t="shared" si="855"/>
        <v>20220920</v>
      </c>
      <c r="I4549" s="1" t="str">
        <f>"084246"</f>
        <v>084246</v>
      </c>
      <c r="J4549" s="1" t="s">
        <v>79</v>
      </c>
      <c r="K4549" s="1" t="s">
        <v>45</v>
      </c>
      <c r="L4549" s="1" t="str">
        <f t="shared" si="856"/>
        <v>20220920</v>
      </c>
      <c r="M4549" s="1" t="str">
        <f>"085009"</f>
        <v>085009</v>
      </c>
      <c r="N4549" s="1" t="s">
        <v>91</v>
      </c>
      <c r="O4549" s="1" t="s">
        <v>45</v>
      </c>
      <c r="P4549" s="1" t="s">
        <v>68</v>
      </c>
      <c r="Q4549" s="1">
        <v>13</v>
      </c>
      <c r="R4549" s="1">
        <v>0</v>
      </c>
      <c r="S4549" s="1">
        <v>0</v>
      </c>
      <c r="T4549" s="1">
        <v>13</v>
      </c>
      <c r="U4549" s="1">
        <v>0</v>
      </c>
      <c r="V4549" s="1" t="str">
        <f t="shared" si="857"/>
        <v>里程去程</v>
      </c>
      <c r="W4549" s="1" t="str">
        <f t="shared" ref="W4549:W4554" si="858">"0020"</f>
        <v>0020</v>
      </c>
      <c r="X4549" s="1" t="s">
        <v>29</v>
      </c>
    </row>
    <row r="4550" spans="1:24" x14ac:dyDescent="0.3">
      <c r="A4550" s="1" t="str">
        <f t="shared" si="853"/>
        <v>59820</v>
      </c>
      <c r="B4550" s="1" t="s">
        <v>53</v>
      </c>
      <c r="C4550" s="1" t="s">
        <v>54</v>
      </c>
      <c r="D4550" s="1" t="str">
        <f t="shared" si="854"/>
        <v>9801</v>
      </c>
      <c r="E4550" s="1" t="s">
        <v>25</v>
      </c>
      <c r="F4550" s="1" t="str">
        <f>"E293E60295880400C834002000000015"</f>
        <v>E293E60295880400C834002000000015</v>
      </c>
      <c r="G4550" s="1" t="s">
        <v>74</v>
      </c>
      <c r="H4550" s="1" t="str">
        <f t="shared" si="855"/>
        <v>20220920</v>
      </c>
      <c r="I4550" s="1" t="str">
        <f>"090748"</f>
        <v>090748</v>
      </c>
      <c r="J4550" s="1" t="s">
        <v>60</v>
      </c>
      <c r="K4550" s="1" t="s">
        <v>52</v>
      </c>
      <c r="L4550" s="1" t="str">
        <f t="shared" si="856"/>
        <v>20220920</v>
      </c>
      <c r="M4550" s="1" t="str">
        <f>"091520"</f>
        <v>091520</v>
      </c>
      <c r="N4550" s="1" t="s">
        <v>80</v>
      </c>
      <c r="O4550" s="1" t="s">
        <v>52</v>
      </c>
      <c r="P4550" s="1" t="s">
        <v>68</v>
      </c>
      <c r="Q4550" s="1">
        <v>13</v>
      </c>
      <c r="R4550" s="1">
        <v>0</v>
      </c>
      <c r="S4550" s="1">
        <v>0</v>
      </c>
      <c r="T4550" s="1">
        <v>13</v>
      </c>
      <c r="U4550" s="1">
        <v>0</v>
      </c>
      <c r="V4550" s="1" t="str">
        <f t="shared" si="857"/>
        <v>里程去程</v>
      </c>
      <c r="W4550" s="1" t="str">
        <f t="shared" si="858"/>
        <v>0020</v>
      </c>
      <c r="X4550" s="1" t="s">
        <v>29</v>
      </c>
    </row>
    <row r="4551" spans="1:24" x14ac:dyDescent="0.3">
      <c r="A4551" s="1" t="str">
        <f t="shared" si="853"/>
        <v>59820</v>
      </c>
      <c r="B4551" s="1" t="s">
        <v>53</v>
      </c>
      <c r="C4551" s="1" t="s">
        <v>54</v>
      </c>
      <c r="D4551" s="1" t="str">
        <f t="shared" si="854"/>
        <v>9801</v>
      </c>
      <c r="E4551" s="1" t="s">
        <v>25</v>
      </c>
      <c r="F4551" s="1" t="str">
        <f>"D2390E02E7880400C821002000000015"</f>
        <v>D2390E02E7880400C821002000000015</v>
      </c>
      <c r="G4551" s="1" t="s">
        <v>64</v>
      </c>
      <c r="H4551" s="1" t="str">
        <f t="shared" si="855"/>
        <v>20220920</v>
      </c>
      <c r="I4551" s="1" t="str">
        <f>"092454"</f>
        <v>092454</v>
      </c>
      <c r="J4551" s="1" t="s">
        <v>83</v>
      </c>
      <c r="K4551" s="1" t="s">
        <v>52</v>
      </c>
      <c r="L4551" s="1" t="str">
        <f t="shared" si="856"/>
        <v>20220920</v>
      </c>
      <c r="M4551" s="1" t="str">
        <f>"093218"</f>
        <v>093218</v>
      </c>
      <c r="N4551" s="1" t="s">
        <v>70</v>
      </c>
      <c r="O4551" s="1" t="s">
        <v>28</v>
      </c>
      <c r="P4551" s="1" t="s">
        <v>55</v>
      </c>
      <c r="Q4551" s="1">
        <v>13</v>
      </c>
      <c r="R4551" s="1">
        <v>13</v>
      </c>
      <c r="S4551" s="1">
        <v>0</v>
      </c>
      <c r="T4551" s="1">
        <v>0</v>
      </c>
      <c r="U4551" s="1">
        <v>0</v>
      </c>
      <c r="V4551" s="1" t="str">
        <f t="shared" si="857"/>
        <v>里程去程</v>
      </c>
      <c r="W4551" s="1" t="str">
        <f t="shared" si="858"/>
        <v>0020</v>
      </c>
      <c r="X4551" s="1" t="s">
        <v>29</v>
      </c>
    </row>
    <row r="4552" spans="1:24" x14ac:dyDescent="0.3">
      <c r="A4552" s="1" t="str">
        <f t="shared" si="853"/>
        <v>59820</v>
      </c>
      <c r="B4552" s="1" t="s">
        <v>53</v>
      </c>
      <c r="C4552" s="1" t="s">
        <v>54</v>
      </c>
      <c r="D4552" s="1" t="str">
        <f t="shared" si="854"/>
        <v>9801</v>
      </c>
      <c r="E4552" s="1" t="s">
        <v>25</v>
      </c>
      <c r="F4552" s="1" t="str">
        <f>"12D6AB1976880400C824002000000020"</f>
        <v>12D6AB1976880400C824002000000020</v>
      </c>
      <c r="G4552" s="1" t="s">
        <v>64</v>
      </c>
      <c r="H4552" s="1" t="str">
        <f t="shared" si="855"/>
        <v>20220920</v>
      </c>
      <c r="I4552" s="1" t="str">
        <f>"092502"</f>
        <v>092502</v>
      </c>
      <c r="J4552" s="1" t="s">
        <v>83</v>
      </c>
      <c r="K4552" s="1" t="s">
        <v>52</v>
      </c>
      <c r="L4552" s="1" t="str">
        <f t="shared" si="856"/>
        <v>20220920</v>
      </c>
      <c r="M4552" s="1" t="str">
        <f>"093213"</f>
        <v>093213</v>
      </c>
      <c r="N4552" s="1" t="s">
        <v>70</v>
      </c>
      <c r="O4552" s="1" t="s">
        <v>28</v>
      </c>
      <c r="P4552" s="1" t="s">
        <v>55</v>
      </c>
      <c r="Q4552" s="1">
        <v>13</v>
      </c>
      <c r="R4552" s="1">
        <v>13</v>
      </c>
      <c r="S4552" s="1">
        <v>0</v>
      </c>
      <c r="T4552" s="1">
        <v>0</v>
      </c>
      <c r="U4552" s="1">
        <v>0</v>
      </c>
      <c r="V4552" s="1" t="str">
        <f t="shared" si="857"/>
        <v>里程去程</v>
      </c>
      <c r="W4552" s="1" t="str">
        <f t="shared" si="858"/>
        <v>0020</v>
      </c>
      <c r="X4552" s="1" t="s">
        <v>29</v>
      </c>
    </row>
    <row r="4553" spans="1:24" x14ac:dyDescent="0.3">
      <c r="A4553" s="1" t="str">
        <f t="shared" si="853"/>
        <v>59820</v>
      </c>
      <c r="B4553" s="1" t="s">
        <v>53</v>
      </c>
      <c r="C4553" s="1" t="s">
        <v>54</v>
      </c>
      <c r="D4553" s="1" t="str">
        <f t="shared" si="854"/>
        <v>9801</v>
      </c>
      <c r="E4553" s="1" t="s">
        <v>25</v>
      </c>
      <c r="F4553" s="1" t="str">
        <f>"55D2A79CBC88040043265ABE00170710"</f>
        <v>55D2A79CBC88040043265ABE00170710</v>
      </c>
      <c r="G4553" s="1" t="s">
        <v>64</v>
      </c>
      <c r="H4553" s="1" t="str">
        <f t="shared" si="855"/>
        <v>20220920</v>
      </c>
      <c r="I4553" s="1" t="str">
        <f>"130631"</f>
        <v>130631</v>
      </c>
      <c r="J4553" s="1" t="s">
        <v>67</v>
      </c>
      <c r="K4553" s="1" t="s">
        <v>52</v>
      </c>
      <c r="L4553" s="1" t="str">
        <f t="shared" si="856"/>
        <v>20220920</v>
      </c>
      <c r="M4553" s="1" t="str">
        <f>"132201"</f>
        <v>132201</v>
      </c>
      <c r="N4553" s="1" t="s">
        <v>86</v>
      </c>
      <c r="O4553" s="1" t="s">
        <v>52</v>
      </c>
      <c r="P4553" s="1" t="s">
        <v>55</v>
      </c>
      <c r="Q4553" s="1">
        <v>13</v>
      </c>
      <c r="R4553" s="1">
        <v>13</v>
      </c>
      <c r="S4553" s="1">
        <v>0</v>
      </c>
      <c r="T4553" s="1">
        <v>0</v>
      </c>
      <c r="U4553" s="1">
        <v>0</v>
      </c>
      <c r="V4553" s="1" t="str">
        <f t="shared" ref="V4553:V4560" si="859">"里程返程"</f>
        <v>里程返程</v>
      </c>
      <c r="W4553" s="1" t="str">
        <f t="shared" si="858"/>
        <v>0020</v>
      </c>
      <c r="X4553" s="1" t="s">
        <v>29</v>
      </c>
    </row>
    <row r="4554" spans="1:24" x14ac:dyDescent="0.3">
      <c r="A4554" s="1" t="str">
        <f t="shared" si="853"/>
        <v>59820</v>
      </c>
      <c r="B4554" s="1" t="s">
        <v>53</v>
      </c>
      <c r="C4554" s="1" t="s">
        <v>54</v>
      </c>
      <c r="D4554" s="1" t="str">
        <f t="shared" si="854"/>
        <v>9801</v>
      </c>
      <c r="E4554" s="1" t="s">
        <v>25</v>
      </c>
      <c r="F4554" s="1" t="str">
        <f>"E220D10211880400C834002000000015"</f>
        <v>E220D10211880400C834002000000015</v>
      </c>
      <c r="G4554" s="1" t="s">
        <v>74</v>
      </c>
      <c r="H4554" s="1" t="str">
        <f t="shared" si="855"/>
        <v>20220920</v>
      </c>
      <c r="I4554" s="1" t="str">
        <f>"131327"</f>
        <v>131327</v>
      </c>
      <c r="J4554" s="1" t="s">
        <v>97</v>
      </c>
      <c r="K4554" s="1" t="s">
        <v>52</v>
      </c>
      <c r="L4554" s="1" t="str">
        <f t="shared" si="856"/>
        <v>20220920</v>
      </c>
      <c r="M4554" s="1" t="str">
        <f>"131515"</f>
        <v>131515</v>
      </c>
      <c r="N4554" s="1" t="s">
        <v>65</v>
      </c>
      <c r="O4554" s="1" t="s">
        <v>52</v>
      </c>
      <c r="P4554" s="1" t="s">
        <v>68</v>
      </c>
      <c r="Q4554" s="1">
        <v>13</v>
      </c>
      <c r="R4554" s="1">
        <v>0</v>
      </c>
      <c r="S4554" s="1">
        <v>0</v>
      </c>
      <c r="T4554" s="1">
        <v>13</v>
      </c>
      <c r="U4554" s="1">
        <v>0</v>
      </c>
      <c r="V4554" s="1" t="str">
        <f t="shared" si="859"/>
        <v>里程返程</v>
      </c>
      <c r="W4554" s="1" t="str">
        <f t="shared" si="858"/>
        <v>0020</v>
      </c>
      <c r="X4554" s="1" t="s">
        <v>29</v>
      </c>
    </row>
    <row r="4555" spans="1:24" x14ac:dyDescent="0.3">
      <c r="A4555" s="1" t="str">
        <f t="shared" si="853"/>
        <v>59820</v>
      </c>
      <c r="B4555" s="1" t="s">
        <v>53</v>
      </c>
      <c r="C4555" s="1" t="s">
        <v>54</v>
      </c>
      <c r="D4555" s="1" t="str">
        <f t="shared" si="854"/>
        <v>9801</v>
      </c>
      <c r="E4555" s="1" t="s">
        <v>25</v>
      </c>
      <c r="F4555" s="1" t="str">
        <f>"1213097057"</f>
        <v>1213097057</v>
      </c>
      <c r="G4555" s="1" t="s">
        <v>33</v>
      </c>
      <c r="H4555" s="1" t="str">
        <f t="shared" si="855"/>
        <v>20220920</v>
      </c>
      <c r="I4555" s="1" t="str">
        <f>"142520"</f>
        <v>142520</v>
      </c>
      <c r="J4555" s="1" t="s">
        <v>44</v>
      </c>
      <c r="K4555" s="1" t="s">
        <v>45</v>
      </c>
      <c r="L4555" s="1" t="str">
        <f t="shared" si="856"/>
        <v>20220920</v>
      </c>
      <c r="M4555" s="1" t="str">
        <f>"144949"</f>
        <v>144949</v>
      </c>
      <c r="N4555" s="1" t="s">
        <v>28</v>
      </c>
      <c r="O4555" s="1" t="s">
        <v>28</v>
      </c>
      <c r="P4555" s="1" t="s">
        <v>55</v>
      </c>
      <c r="Q4555" s="1">
        <v>25</v>
      </c>
      <c r="R4555" s="1">
        <v>0</v>
      </c>
      <c r="S4555" s="1">
        <v>25</v>
      </c>
      <c r="T4555" s="1">
        <v>0</v>
      </c>
      <c r="U4555" s="1">
        <v>0</v>
      </c>
      <c r="V4555" s="1" t="str">
        <f t="shared" si="859"/>
        <v>里程返程</v>
      </c>
      <c r="W4555" s="1" t="str">
        <f>"2120"</f>
        <v>2120</v>
      </c>
      <c r="X4555" s="1" t="s">
        <v>35</v>
      </c>
    </row>
    <row r="4556" spans="1:24" x14ac:dyDescent="0.3">
      <c r="A4556" s="1" t="str">
        <f t="shared" si="853"/>
        <v>59820</v>
      </c>
      <c r="B4556" s="1" t="s">
        <v>53</v>
      </c>
      <c r="C4556" s="1" t="s">
        <v>54</v>
      </c>
      <c r="D4556" s="1" t="str">
        <f t="shared" si="854"/>
        <v>9801</v>
      </c>
      <c r="E4556" s="1" t="s">
        <v>25</v>
      </c>
      <c r="F4556" s="1" t="str">
        <f>"1213091985"</f>
        <v>1213091985</v>
      </c>
      <c r="G4556" s="1" t="s">
        <v>33</v>
      </c>
      <c r="H4556" s="1" t="str">
        <f t="shared" si="855"/>
        <v>20220920</v>
      </c>
      <c r="I4556" s="1" t="str">
        <f>"142523"</f>
        <v>142523</v>
      </c>
      <c r="J4556" s="1" t="s">
        <v>44</v>
      </c>
      <c r="K4556" s="1" t="s">
        <v>45</v>
      </c>
      <c r="L4556" s="1" t="str">
        <f t="shared" si="856"/>
        <v>20220920</v>
      </c>
      <c r="M4556" s="1" t="str">
        <f>"144955"</f>
        <v>144955</v>
      </c>
      <c r="N4556" s="1" t="s">
        <v>28</v>
      </c>
      <c r="O4556" s="1" t="s">
        <v>28</v>
      </c>
      <c r="P4556" s="1" t="s">
        <v>55</v>
      </c>
      <c r="Q4556" s="1">
        <v>25</v>
      </c>
      <c r="R4556" s="1">
        <v>0</v>
      </c>
      <c r="S4556" s="1">
        <v>25</v>
      </c>
      <c r="T4556" s="1">
        <v>0</v>
      </c>
      <c r="U4556" s="1">
        <v>0</v>
      </c>
      <c r="V4556" s="1" t="str">
        <f t="shared" si="859"/>
        <v>里程返程</v>
      </c>
      <c r="W4556" s="1" t="str">
        <f>"2120"</f>
        <v>2120</v>
      </c>
      <c r="X4556" s="1" t="s">
        <v>35</v>
      </c>
    </row>
    <row r="4557" spans="1:24" x14ac:dyDescent="0.3">
      <c r="A4557" s="1" t="str">
        <f t="shared" si="853"/>
        <v>59820</v>
      </c>
      <c r="B4557" s="1" t="s">
        <v>53</v>
      </c>
      <c r="C4557" s="1" t="s">
        <v>54</v>
      </c>
      <c r="D4557" s="1" t="str">
        <f t="shared" si="854"/>
        <v>9801</v>
      </c>
      <c r="E4557" s="1" t="s">
        <v>25</v>
      </c>
      <c r="F4557" s="1" t="str">
        <f>"D2390E02E7880400C821002000000015"</f>
        <v>D2390E02E7880400C821002000000015</v>
      </c>
      <c r="G4557" s="1" t="s">
        <v>64</v>
      </c>
      <c r="H4557" s="1" t="str">
        <f t="shared" si="855"/>
        <v>20220920</v>
      </c>
      <c r="I4557" s="1" t="str">
        <f>"145012"</f>
        <v>145012</v>
      </c>
      <c r="J4557" s="1" t="s">
        <v>28</v>
      </c>
      <c r="K4557" s="1" t="s">
        <v>28</v>
      </c>
      <c r="L4557" s="1" t="str">
        <f t="shared" si="856"/>
        <v>20220920</v>
      </c>
      <c r="M4557" s="1" t="str">
        <f>"150029"</f>
        <v>150029</v>
      </c>
      <c r="N4557" s="1" t="s">
        <v>83</v>
      </c>
      <c r="O4557" s="1" t="s">
        <v>52</v>
      </c>
      <c r="P4557" s="1" t="s">
        <v>55</v>
      </c>
      <c r="Q4557" s="1">
        <v>13</v>
      </c>
      <c r="R4557" s="1">
        <v>0</v>
      </c>
      <c r="S4557" s="1">
        <v>13</v>
      </c>
      <c r="T4557" s="1">
        <v>0</v>
      </c>
      <c r="U4557" s="1">
        <v>0</v>
      </c>
      <c r="V4557" s="1" t="str">
        <f t="shared" si="859"/>
        <v>里程返程</v>
      </c>
      <c r="W4557" s="1" t="str">
        <f>"1120"</f>
        <v>1120</v>
      </c>
      <c r="X4557" s="1" t="s">
        <v>29</v>
      </c>
    </row>
    <row r="4558" spans="1:24" x14ac:dyDescent="0.3">
      <c r="A4558" s="1" t="str">
        <f t="shared" si="853"/>
        <v>59820</v>
      </c>
      <c r="B4558" s="1" t="s">
        <v>53</v>
      </c>
      <c r="C4558" s="1" t="s">
        <v>54</v>
      </c>
      <c r="D4558" s="1" t="str">
        <f t="shared" si="854"/>
        <v>9801</v>
      </c>
      <c r="E4558" s="1" t="s">
        <v>25</v>
      </c>
      <c r="F4558" s="1" t="str">
        <f>"12D6AB1976880400C824002000000020"</f>
        <v>12D6AB1976880400C824002000000020</v>
      </c>
      <c r="G4558" s="1" t="s">
        <v>64</v>
      </c>
      <c r="H4558" s="1" t="str">
        <f t="shared" si="855"/>
        <v>20220920</v>
      </c>
      <c r="I4558" s="1" t="str">
        <f>"145016"</f>
        <v>145016</v>
      </c>
      <c r="J4558" s="1" t="s">
        <v>28</v>
      </c>
      <c r="K4558" s="1" t="s">
        <v>28</v>
      </c>
      <c r="L4558" s="1" t="str">
        <f t="shared" si="856"/>
        <v>20220920</v>
      </c>
      <c r="M4558" s="1" t="str">
        <f>"150025"</f>
        <v>150025</v>
      </c>
      <c r="N4558" s="1" t="s">
        <v>83</v>
      </c>
      <c r="O4558" s="1" t="s">
        <v>52</v>
      </c>
      <c r="P4558" s="1" t="s">
        <v>55</v>
      </c>
      <c r="Q4558" s="1">
        <v>13</v>
      </c>
      <c r="R4558" s="1">
        <v>0</v>
      </c>
      <c r="S4558" s="1">
        <v>13</v>
      </c>
      <c r="T4558" s="1">
        <v>0</v>
      </c>
      <c r="U4558" s="1">
        <v>0</v>
      </c>
      <c r="V4558" s="1" t="str">
        <f t="shared" si="859"/>
        <v>里程返程</v>
      </c>
      <c r="W4558" s="1" t="str">
        <f>"1120"</f>
        <v>1120</v>
      </c>
      <c r="X4558" s="1" t="s">
        <v>29</v>
      </c>
    </row>
    <row r="4559" spans="1:24" x14ac:dyDescent="0.3">
      <c r="A4559" s="1" t="str">
        <f t="shared" si="853"/>
        <v>59820</v>
      </c>
      <c r="B4559" s="1" t="s">
        <v>53</v>
      </c>
      <c r="C4559" s="1" t="s">
        <v>54</v>
      </c>
      <c r="D4559" s="1" t="str">
        <f t="shared" si="854"/>
        <v>9801</v>
      </c>
      <c r="E4559" s="1" t="s">
        <v>25</v>
      </c>
      <c r="F4559" s="1" t="str">
        <f>"A239F5056B880400C838002000000015"</f>
        <v>A239F5056B880400C838002000000015</v>
      </c>
      <c r="G4559" s="1" t="s">
        <v>26</v>
      </c>
      <c r="H4559" s="1" t="str">
        <f t="shared" si="855"/>
        <v>20220920</v>
      </c>
      <c r="I4559" s="1" t="str">
        <f>"154944"</f>
        <v>154944</v>
      </c>
      <c r="J4559" s="1" t="s">
        <v>28</v>
      </c>
      <c r="K4559" s="1" t="s">
        <v>28</v>
      </c>
      <c r="L4559" s="1" t="str">
        <f t="shared" si="856"/>
        <v>20220920</v>
      </c>
      <c r="M4559" s="1" t="str">
        <f>"160442"</f>
        <v>160442</v>
      </c>
      <c r="N4559" s="1" t="s">
        <v>67</v>
      </c>
      <c r="O4559" s="1" t="s">
        <v>52</v>
      </c>
      <c r="P4559" s="1" t="s">
        <v>68</v>
      </c>
      <c r="Q4559" s="1">
        <v>13</v>
      </c>
      <c r="R4559" s="1">
        <v>0</v>
      </c>
      <c r="S4559" s="1">
        <v>0</v>
      </c>
      <c r="T4559" s="1">
        <v>13</v>
      </c>
      <c r="U4559" s="1">
        <v>0</v>
      </c>
      <c r="V4559" s="1" t="str">
        <f t="shared" si="859"/>
        <v>里程返程</v>
      </c>
      <c r="W4559" s="1" t="str">
        <f>"0020"</f>
        <v>0020</v>
      </c>
      <c r="X4559" s="1" t="s">
        <v>29</v>
      </c>
    </row>
    <row r="4560" spans="1:24" x14ac:dyDescent="0.3">
      <c r="A4560" s="1" t="str">
        <f t="shared" si="853"/>
        <v>59820</v>
      </c>
      <c r="B4560" s="1" t="s">
        <v>53</v>
      </c>
      <c r="C4560" s="1" t="s">
        <v>54</v>
      </c>
      <c r="D4560" s="1" t="str">
        <f t="shared" si="854"/>
        <v>9801</v>
      </c>
      <c r="E4560" s="1" t="s">
        <v>25</v>
      </c>
      <c r="F4560" s="1" t="str">
        <f>"4251460257880400C821002000000015"</f>
        <v>4251460257880400C821002000000015</v>
      </c>
      <c r="G4560" s="1" t="s">
        <v>26</v>
      </c>
      <c r="H4560" s="1" t="str">
        <f t="shared" si="855"/>
        <v>20220920</v>
      </c>
      <c r="I4560" s="1" t="str">
        <f>"160229"</f>
        <v>160229</v>
      </c>
      <c r="J4560" s="1" t="s">
        <v>83</v>
      </c>
      <c r="K4560" s="1" t="s">
        <v>52</v>
      </c>
      <c r="L4560" s="1" t="str">
        <f t="shared" si="856"/>
        <v>20220920</v>
      </c>
      <c r="M4560" s="1" t="str">
        <f>"160813"</f>
        <v>160813</v>
      </c>
      <c r="N4560" s="1" t="s">
        <v>69</v>
      </c>
      <c r="O4560" s="1" t="s">
        <v>52</v>
      </c>
      <c r="P4560" s="1" t="s">
        <v>68</v>
      </c>
      <c r="Q4560" s="1">
        <v>13</v>
      </c>
      <c r="R4560" s="1">
        <v>0</v>
      </c>
      <c r="S4560" s="1">
        <v>0</v>
      </c>
      <c r="T4560" s="1">
        <v>13</v>
      </c>
      <c r="U4560" s="1">
        <v>0</v>
      </c>
      <c r="V4560" s="1" t="str">
        <f t="shared" si="859"/>
        <v>里程返程</v>
      </c>
      <c r="W4560" s="1" t="str">
        <f>"0020"</f>
        <v>0020</v>
      </c>
      <c r="X4560" s="1" t="s">
        <v>29</v>
      </c>
    </row>
    <row r="4561" spans="1:24" x14ac:dyDescent="0.3">
      <c r="A4561" s="1" t="str">
        <f t="shared" ref="A4561:A4582" si="860">"59822"</f>
        <v>59822</v>
      </c>
      <c r="B4561" s="1" t="s">
        <v>39</v>
      </c>
      <c r="C4561" s="1" t="s">
        <v>40</v>
      </c>
      <c r="D4561" s="1" t="str">
        <f t="shared" ref="D4561:D4572" si="861">"9803"</f>
        <v>9803</v>
      </c>
      <c r="E4561" s="1" t="s">
        <v>32</v>
      </c>
      <c r="F4561" s="1" t="str">
        <f>"3762921799"</f>
        <v>3762921799</v>
      </c>
      <c r="G4561" s="1" t="s">
        <v>33</v>
      </c>
      <c r="H4561" s="1" t="str">
        <f t="shared" si="855"/>
        <v>20220920</v>
      </c>
      <c r="I4561" s="1" t="str">
        <f>"063335"</f>
        <v>063335</v>
      </c>
      <c r="J4561" s="1" t="s">
        <v>46</v>
      </c>
      <c r="K4561" s="1" t="s">
        <v>28</v>
      </c>
      <c r="L4561" s="1" t="str">
        <f t="shared" si="856"/>
        <v>20220920</v>
      </c>
      <c r="M4561" s="1" t="str">
        <f>"064209"</f>
        <v>064209</v>
      </c>
      <c r="N4561" s="1" t="s">
        <v>34</v>
      </c>
      <c r="O4561" s="1" t="s">
        <v>34</v>
      </c>
      <c r="P4561" s="1" t="s">
        <v>55</v>
      </c>
      <c r="Q4561" s="1">
        <v>25</v>
      </c>
      <c r="R4561" s="1">
        <v>25</v>
      </c>
      <c r="S4561" s="1">
        <v>0</v>
      </c>
      <c r="T4561" s="1">
        <v>0</v>
      </c>
      <c r="U4561" s="1">
        <v>0</v>
      </c>
      <c r="V4561" s="1" t="str">
        <f t="shared" ref="V4561:V4570" si="862">"里程去程"</f>
        <v>里程去程</v>
      </c>
      <c r="W4561" s="1" t="str">
        <f>"2120"</f>
        <v>2120</v>
      </c>
      <c r="X4561" s="1" t="s">
        <v>35</v>
      </c>
    </row>
    <row r="4562" spans="1:24" x14ac:dyDescent="0.3">
      <c r="A4562" s="1" t="str">
        <f t="shared" si="860"/>
        <v>59822</v>
      </c>
      <c r="B4562" s="1" t="s">
        <v>39</v>
      </c>
      <c r="C4562" s="1" t="s">
        <v>40</v>
      </c>
      <c r="D4562" s="1" t="str">
        <f t="shared" si="861"/>
        <v>9803</v>
      </c>
      <c r="E4562" s="1" t="s">
        <v>32</v>
      </c>
      <c r="F4562" s="1" t="str">
        <f>"4169A871F12804001C00000000000000"</f>
        <v>4169A871F12804001C00000000000000</v>
      </c>
      <c r="G4562" s="1" t="s">
        <v>58</v>
      </c>
      <c r="H4562" s="1" t="str">
        <f t="shared" si="855"/>
        <v>20220920</v>
      </c>
      <c r="I4562" s="1" t="str">
        <f>"081544"</f>
        <v>081544</v>
      </c>
      <c r="J4562" s="1" t="s">
        <v>28</v>
      </c>
      <c r="K4562" s="1" t="s">
        <v>28</v>
      </c>
      <c r="L4562" s="1" t="str">
        <f t="shared" si="856"/>
        <v>20220920</v>
      </c>
      <c r="M4562" s="1" t="str">
        <f>"083104"</f>
        <v>083104</v>
      </c>
      <c r="N4562" s="1" t="s">
        <v>34</v>
      </c>
      <c r="O4562" s="1" t="s">
        <v>34</v>
      </c>
      <c r="P4562" s="1" t="s">
        <v>55</v>
      </c>
      <c r="Q4562" s="1">
        <v>25</v>
      </c>
      <c r="R4562" s="1">
        <v>25</v>
      </c>
      <c r="S4562" s="1">
        <v>0</v>
      </c>
      <c r="T4562" s="1">
        <v>0</v>
      </c>
      <c r="U4562" s="1">
        <v>0</v>
      </c>
      <c r="V4562" s="1" t="str">
        <f t="shared" si="862"/>
        <v>里程去程</v>
      </c>
      <c r="W4562" s="1" t="str">
        <f>"0020"</f>
        <v>0020</v>
      </c>
      <c r="X4562" s="1" t="s">
        <v>29</v>
      </c>
    </row>
    <row r="4563" spans="1:24" x14ac:dyDescent="0.3">
      <c r="A4563" s="1" t="str">
        <f t="shared" si="860"/>
        <v>59822</v>
      </c>
      <c r="B4563" s="1" t="s">
        <v>39</v>
      </c>
      <c r="C4563" s="1" t="s">
        <v>40</v>
      </c>
      <c r="D4563" s="1" t="str">
        <f t="shared" si="861"/>
        <v>9803</v>
      </c>
      <c r="E4563" s="1" t="s">
        <v>32</v>
      </c>
      <c r="F4563" s="1" t="str">
        <f>"1671054568"</f>
        <v>1671054568</v>
      </c>
      <c r="G4563" s="1" t="s">
        <v>33</v>
      </c>
      <c r="H4563" s="1" t="str">
        <f t="shared" si="855"/>
        <v>20220920</v>
      </c>
      <c r="I4563" s="1" t="str">
        <f>"094746"</f>
        <v>094746</v>
      </c>
      <c r="J4563" s="1" t="s">
        <v>28</v>
      </c>
      <c r="K4563" s="1" t="s">
        <v>28</v>
      </c>
      <c r="L4563" s="1" t="str">
        <f t="shared" si="856"/>
        <v>20220920</v>
      </c>
      <c r="M4563" s="1" t="str">
        <f>"100805"</f>
        <v>100805</v>
      </c>
      <c r="N4563" s="1" t="s">
        <v>34</v>
      </c>
      <c r="O4563" s="1" t="s">
        <v>34</v>
      </c>
      <c r="P4563" s="1" t="s">
        <v>55</v>
      </c>
      <c r="Q4563" s="1">
        <v>25</v>
      </c>
      <c r="R4563" s="1">
        <v>0</v>
      </c>
      <c r="S4563" s="1">
        <v>25</v>
      </c>
      <c r="T4563" s="1">
        <v>0</v>
      </c>
      <c r="U4563" s="1">
        <v>0</v>
      </c>
      <c r="V4563" s="1" t="str">
        <f t="shared" si="862"/>
        <v>里程去程</v>
      </c>
      <c r="W4563" s="1" t="str">
        <f>"0820"</f>
        <v>0820</v>
      </c>
      <c r="X4563" s="1" t="s">
        <v>35</v>
      </c>
    </row>
    <row r="4564" spans="1:24" x14ac:dyDescent="0.3">
      <c r="A4564" s="1" t="str">
        <f t="shared" si="860"/>
        <v>59822</v>
      </c>
      <c r="B4564" s="1" t="s">
        <v>39</v>
      </c>
      <c r="C4564" s="1" t="s">
        <v>40</v>
      </c>
      <c r="D4564" s="1" t="str">
        <f t="shared" si="861"/>
        <v>9803</v>
      </c>
      <c r="E4564" s="1" t="s">
        <v>32</v>
      </c>
      <c r="F4564" s="1" t="str">
        <f>"1233889957"</f>
        <v>1233889957</v>
      </c>
      <c r="G4564" s="1" t="s">
        <v>26</v>
      </c>
      <c r="H4564" s="1" t="str">
        <f t="shared" si="855"/>
        <v>20220920</v>
      </c>
      <c r="I4564" s="1" t="str">
        <f>"094749"</f>
        <v>094749</v>
      </c>
      <c r="J4564" s="1" t="s">
        <v>28</v>
      </c>
      <c r="K4564" s="1" t="s">
        <v>28</v>
      </c>
      <c r="L4564" s="1" t="str">
        <f t="shared" si="856"/>
        <v>20220920</v>
      </c>
      <c r="M4564" s="1" t="str">
        <f>"100808"</f>
        <v>100808</v>
      </c>
      <c r="N4564" s="1" t="s">
        <v>34</v>
      </c>
      <c r="O4564" s="1" t="s">
        <v>34</v>
      </c>
      <c r="P4564" s="1" t="s">
        <v>55</v>
      </c>
      <c r="Q4564" s="1">
        <v>13</v>
      </c>
      <c r="R4564" s="1">
        <v>0</v>
      </c>
      <c r="S4564" s="1">
        <v>13</v>
      </c>
      <c r="T4564" s="1">
        <v>0</v>
      </c>
      <c r="U4564" s="1">
        <v>0</v>
      </c>
      <c r="V4564" s="1" t="str">
        <f t="shared" si="862"/>
        <v>里程去程</v>
      </c>
      <c r="W4564" s="1" t="str">
        <f>"0820"</f>
        <v>0820</v>
      </c>
      <c r="X4564" s="1" t="s">
        <v>35</v>
      </c>
    </row>
    <row r="4565" spans="1:24" x14ac:dyDescent="0.3">
      <c r="A4565" s="1" t="str">
        <f t="shared" si="860"/>
        <v>59822</v>
      </c>
      <c r="B4565" s="1" t="s">
        <v>39</v>
      </c>
      <c r="C4565" s="1" t="s">
        <v>40</v>
      </c>
      <c r="D4565" s="1" t="str">
        <f t="shared" si="861"/>
        <v>9803</v>
      </c>
      <c r="E4565" s="1" t="s">
        <v>32</v>
      </c>
      <c r="F4565" s="1" t="str">
        <f>"D2390E02E7880400C821002000000015"</f>
        <v>D2390E02E7880400C821002000000015</v>
      </c>
      <c r="G4565" s="1" t="s">
        <v>64</v>
      </c>
      <c r="H4565" s="1" t="str">
        <f t="shared" si="855"/>
        <v>20220920</v>
      </c>
      <c r="I4565" s="1" t="str">
        <f>"094757"</f>
        <v>094757</v>
      </c>
      <c r="J4565" s="1" t="s">
        <v>28</v>
      </c>
      <c r="K4565" s="1" t="s">
        <v>28</v>
      </c>
      <c r="L4565" s="1" t="str">
        <f t="shared" si="856"/>
        <v>20220920</v>
      </c>
      <c r="M4565" s="1" t="str">
        <f>"100752"</f>
        <v>100752</v>
      </c>
      <c r="N4565" s="1" t="s">
        <v>34</v>
      </c>
      <c r="O4565" s="1" t="s">
        <v>34</v>
      </c>
      <c r="P4565" s="1" t="s">
        <v>55</v>
      </c>
      <c r="Q4565" s="1">
        <v>13</v>
      </c>
      <c r="R4565" s="1">
        <v>0</v>
      </c>
      <c r="S4565" s="1">
        <v>13</v>
      </c>
      <c r="T4565" s="1">
        <v>0</v>
      </c>
      <c r="U4565" s="1">
        <v>0</v>
      </c>
      <c r="V4565" s="1" t="str">
        <f t="shared" si="862"/>
        <v>里程去程</v>
      </c>
      <c r="W4565" s="1" t="str">
        <f>"2020"</f>
        <v>2020</v>
      </c>
      <c r="X4565" s="1" t="s">
        <v>29</v>
      </c>
    </row>
    <row r="4566" spans="1:24" x14ac:dyDescent="0.3">
      <c r="A4566" s="1" t="str">
        <f t="shared" si="860"/>
        <v>59822</v>
      </c>
      <c r="B4566" s="1" t="s">
        <v>39</v>
      </c>
      <c r="C4566" s="1" t="s">
        <v>40</v>
      </c>
      <c r="D4566" s="1" t="str">
        <f t="shared" si="861"/>
        <v>9803</v>
      </c>
      <c r="E4566" s="1" t="s">
        <v>32</v>
      </c>
      <c r="F4566" s="1" t="str">
        <f>"1027405941"</f>
        <v>1027405941</v>
      </c>
      <c r="G4566" s="1" t="s">
        <v>33</v>
      </c>
      <c r="H4566" s="1" t="str">
        <f t="shared" si="855"/>
        <v>20220920</v>
      </c>
      <c r="I4566" s="1" t="str">
        <f>"094808"</f>
        <v>094808</v>
      </c>
      <c r="J4566" s="1" t="s">
        <v>28</v>
      </c>
      <c r="K4566" s="1" t="s">
        <v>28</v>
      </c>
      <c r="L4566" s="1" t="str">
        <f t="shared" si="856"/>
        <v>20220920</v>
      </c>
      <c r="M4566" s="1" t="str">
        <f>"100820"</f>
        <v>100820</v>
      </c>
      <c r="N4566" s="1" t="s">
        <v>34</v>
      </c>
      <c r="O4566" s="1" t="s">
        <v>34</v>
      </c>
      <c r="P4566" s="1" t="s">
        <v>55</v>
      </c>
      <c r="Q4566" s="1">
        <v>25</v>
      </c>
      <c r="R4566" s="1">
        <v>25</v>
      </c>
      <c r="S4566" s="1">
        <v>0</v>
      </c>
      <c r="T4566" s="1">
        <v>0</v>
      </c>
      <c r="U4566" s="1">
        <v>0</v>
      </c>
      <c r="V4566" s="1" t="str">
        <f t="shared" si="862"/>
        <v>里程去程</v>
      </c>
      <c r="W4566" s="1" t="str">
        <f>"0120"</f>
        <v>0120</v>
      </c>
      <c r="X4566" s="1" t="s">
        <v>35</v>
      </c>
    </row>
    <row r="4567" spans="1:24" x14ac:dyDescent="0.3">
      <c r="A4567" s="1" t="str">
        <f t="shared" si="860"/>
        <v>59822</v>
      </c>
      <c r="B4567" s="1" t="s">
        <v>39</v>
      </c>
      <c r="C4567" s="1" t="s">
        <v>40</v>
      </c>
      <c r="D4567" s="1" t="str">
        <f t="shared" si="861"/>
        <v>9803</v>
      </c>
      <c r="E4567" s="1" t="s">
        <v>32</v>
      </c>
      <c r="F4567" s="1" t="str">
        <f>"1295844305"</f>
        <v>1295844305</v>
      </c>
      <c r="G4567" s="1" t="s">
        <v>33</v>
      </c>
      <c r="H4567" s="1" t="str">
        <f t="shared" si="855"/>
        <v>20220920</v>
      </c>
      <c r="I4567" s="1" t="str">
        <f>"094819"</f>
        <v>094819</v>
      </c>
      <c r="J4567" s="1" t="s">
        <v>28</v>
      </c>
      <c r="K4567" s="1" t="s">
        <v>28</v>
      </c>
      <c r="L4567" s="1" t="str">
        <f t="shared" si="856"/>
        <v>20220920</v>
      </c>
      <c r="M4567" s="1" t="str">
        <f>"100757"</f>
        <v>100757</v>
      </c>
      <c r="N4567" s="1" t="s">
        <v>34</v>
      </c>
      <c r="O4567" s="1" t="s">
        <v>34</v>
      </c>
      <c r="P4567" s="1" t="s">
        <v>55</v>
      </c>
      <c r="Q4567" s="1">
        <v>25</v>
      </c>
      <c r="R4567" s="1">
        <v>25</v>
      </c>
      <c r="S4567" s="1">
        <v>0</v>
      </c>
      <c r="T4567" s="1">
        <v>0</v>
      </c>
      <c r="U4567" s="1">
        <v>0</v>
      </c>
      <c r="V4567" s="1" t="str">
        <f t="shared" si="862"/>
        <v>里程去程</v>
      </c>
      <c r="W4567" s="1" t="str">
        <f>"1420"</f>
        <v>1420</v>
      </c>
      <c r="X4567" s="1" t="s">
        <v>35</v>
      </c>
    </row>
    <row r="4568" spans="1:24" x14ac:dyDescent="0.3">
      <c r="A4568" s="1" t="str">
        <f t="shared" si="860"/>
        <v>59822</v>
      </c>
      <c r="B4568" s="1" t="s">
        <v>39</v>
      </c>
      <c r="C4568" s="1" t="s">
        <v>40</v>
      </c>
      <c r="D4568" s="1" t="str">
        <f t="shared" si="861"/>
        <v>9803</v>
      </c>
      <c r="E4568" s="1" t="s">
        <v>32</v>
      </c>
      <c r="F4568" s="1" t="str">
        <f>"12D6AB1976880400C824002000000020"</f>
        <v>12D6AB1976880400C824002000000020</v>
      </c>
      <c r="G4568" s="1" t="s">
        <v>64</v>
      </c>
      <c r="H4568" s="1" t="str">
        <f t="shared" si="855"/>
        <v>20220920</v>
      </c>
      <c r="I4568" s="1" t="str">
        <f>"094823"</f>
        <v>094823</v>
      </c>
      <c r="J4568" s="1" t="s">
        <v>28</v>
      </c>
      <c r="K4568" s="1" t="s">
        <v>28</v>
      </c>
      <c r="L4568" s="1" t="str">
        <f t="shared" si="856"/>
        <v>20220920</v>
      </c>
      <c r="M4568" s="1" t="str">
        <f>"100749"</f>
        <v>100749</v>
      </c>
      <c r="N4568" s="1" t="s">
        <v>34</v>
      </c>
      <c r="O4568" s="1" t="s">
        <v>34</v>
      </c>
      <c r="P4568" s="1" t="s">
        <v>55</v>
      </c>
      <c r="Q4568" s="1">
        <v>13</v>
      </c>
      <c r="R4568" s="1">
        <v>0</v>
      </c>
      <c r="S4568" s="1">
        <v>13</v>
      </c>
      <c r="T4568" s="1">
        <v>0</v>
      </c>
      <c r="U4568" s="1">
        <v>0</v>
      </c>
      <c r="V4568" s="1" t="str">
        <f t="shared" si="862"/>
        <v>里程去程</v>
      </c>
      <c r="W4568" s="1" t="str">
        <f>"2020"</f>
        <v>2020</v>
      </c>
      <c r="X4568" s="1" t="s">
        <v>29</v>
      </c>
    </row>
    <row r="4569" spans="1:24" x14ac:dyDescent="0.3">
      <c r="A4569" s="1" t="str">
        <f t="shared" si="860"/>
        <v>59822</v>
      </c>
      <c r="B4569" s="1" t="s">
        <v>39</v>
      </c>
      <c r="C4569" s="1" t="s">
        <v>40</v>
      </c>
      <c r="D4569" s="1" t="str">
        <f t="shared" si="861"/>
        <v>9803</v>
      </c>
      <c r="E4569" s="1" t="s">
        <v>32</v>
      </c>
      <c r="F4569" s="1" t="str">
        <f>"847025461"</f>
        <v>847025461</v>
      </c>
      <c r="G4569" s="1" t="s">
        <v>33</v>
      </c>
      <c r="H4569" s="1" t="str">
        <f t="shared" si="855"/>
        <v>20220920</v>
      </c>
      <c r="I4569" s="1" t="str">
        <f>"094830"</f>
        <v>094830</v>
      </c>
      <c r="J4569" s="1" t="s">
        <v>28</v>
      </c>
      <c r="K4569" s="1" t="s">
        <v>28</v>
      </c>
      <c r="L4569" s="1" t="str">
        <f t="shared" si="856"/>
        <v>20220920</v>
      </c>
      <c r="M4569" s="1" t="str">
        <f>"100802"</f>
        <v>100802</v>
      </c>
      <c r="N4569" s="1" t="s">
        <v>34</v>
      </c>
      <c r="O4569" s="1" t="s">
        <v>34</v>
      </c>
      <c r="P4569" s="1" t="s">
        <v>55</v>
      </c>
      <c r="Q4569" s="1">
        <v>25</v>
      </c>
      <c r="R4569" s="1">
        <v>25</v>
      </c>
      <c r="S4569" s="1">
        <v>0</v>
      </c>
      <c r="T4569" s="1">
        <v>0</v>
      </c>
      <c r="U4569" s="1">
        <v>0</v>
      </c>
      <c r="V4569" s="1" t="str">
        <f t="shared" si="862"/>
        <v>里程去程</v>
      </c>
      <c r="W4569" s="1" t="str">
        <f>"0120"</f>
        <v>0120</v>
      </c>
      <c r="X4569" s="1" t="s">
        <v>35</v>
      </c>
    </row>
    <row r="4570" spans="1:24" x14ac:dyDescent="0.3">
      <c r="A4570" s="1" t="str">
        <f t="shared" si="860"/>
        <v>59822</v>
      </c>
      <c r="B4570" s="1" t="s">
        <v>39</v>
      </c>
      <c r="C4570" s="1" t="s">
        <v>40</v>
      </c>
      <c r="D4570" s="1" t="str">
        <f t="shared" si="861"/>
        <v>9803</v>
      </c>
      <c r="E4570" s="1" t="s">
        <v>32</v>
      </c>
      <c r="F4570" s="1" t="str">
        <f>"D2044C1B81880400C822002000000021"</f>
        <v>D2044C1B81880400C822002000000021</v>
      </c>
      <c r="G4570" s="1" t="s">
        <v>58</v>
      </c>
      <c r="H4570" s="1" t="str">
        <f t="shared" si="855"/>
        <v>20220920</v>
      </c>
      <c r="I4570" s="1" t="str">
        <f>"094838"</f>
        <v>094838</v>
      </c>
      <c r="J4570" s="1" t="s">
        <v>28</v>
      </c>
      <c r="K4570" s="1" t="s">
        <v>28</v>
      </c>
      <c r="L4570" s="1" t="str">
        <f t="shared" si="856"/>
        <v>20220920</v>
      </c>
      <c r="M4570" s="1" t="str">
        <f>"100811"</f>
        <v>100811</v>
      </c>
      <c r="N4570" s="1" t="s">
        <v>34</v>
      </c>
      <c r="O4570" s="1" t="s">
        <v>34</v>
      </c>
      <c r="P4570" s="1" t="s">
        <v>55</v>
      </c>
      <c r="Q4570" s="1">
        <v>25</v>
      </c>
      <c r="R4570" s="1">
        <v>25</v>
      </c>
      <c r="S4570" s="1">
        <v>0</v>
      </c>
      <c r="T4570" s="1">
        <v>0</v>
      </c>
      <c r="U4570" s="1">
        <v>0</v>
      </c>
      <c r="V4570" s="1" t="str">
        <f t="shared" si="862"/>
        <v>里程去程</v>
      </c>
      <c r="W4570" s="1" t="str">
        <f>"0020"</f>
        <v>0020</v>
      </c>
      <c r="X4570" s="1" t="s">
        <v>29</v>
      </c>
    </row>
    <row r="4571" spans="1:24" x14ac:dyDescent="0.3">
      <c r="A4571" s="1" t="str">
        <f t="shared" si="860"/>
        <v>59822</v>
      </c>
      <c r="B4571" s="1" t="s">
        <v>39</v>
      </c>
      <c r="C4571" s="1" t="s">
        <v>40</v>
      </c>
      <c r="D4571" s="1" t="str">
        <f t="shared" si="861"/>
        <v>9803</v>
      </c>
      <c r="E4571" s="1" t="s">
        <v>32</v>
      </c>
      <c r="F4571" s="1" t="str">
        <f>"D2390E02E7880400C821002000000015"</f>
        <v>D2390E02E7880400C821002000000015</v>
      </c>
      <c r="G4571" s="1" t="s">
        <v>64</v>
      </c>
      <c r="H4571" s="1" t="str">
        <f t="shared" si="855"/>
        <v>20220920</v>
      </c>
      <c r="I4571" s="1" t="str">
        <f>"104008"</f>
        <v>104008</v>
      </c>
      <c r="J4571" s="1" t="s">
        <v>34</v>
      </c>
      <c r="K4571" s="1" t="s">
        <v>34</v>
      </c>
      <c r="L4571" s="1" t="str">
        <f t="shared" si="856"/>
        <v>20220920</v>
      </c>
      <c r="M4571" s="1" t="str">
        <f>"110840"</f>
        <v>110840</v>
      </c>
      <c r="N4571" s="1" t="s">
        <v>28</v>
      </c>
      <c r="O4571" s="1" t="s">
        <v>28</v>
      </c>
      <c r="P4571" s="1" t="s">
        <v>55</v>
      </c>
      <c r="Q4571" s="1">
        <v>13</v>
      </c>
      <c r="R4571" s="1">
        <v>13</v>
      </c>
      <c r="S4571" s="1">
        <v>0</v>
      </c>
      <c r="T4571" s="1">
        <v>0</v>
      </c>
      <c r="U4571" s="1">
        <v>0</v>
      </c>
      <c r="V4571" s="1" t="str">
        <f>"里程返程"</f>
        <v>里程返程</v>
      </c>
      <c r="W4571" s="1" t="str">
        <f>"0020"</f>
        <v>0020</v>
      </c>
      <c r="X4571" s="1" t="s">
        <v>29</v>
      </c>
    </row>
    <row r="4572" spans="1:24" x14ac:dyDescent="0.3">
      <c r="A4572" s="1" t="str">
        <f t="shared" si="860"/>
        <v>59822</v>
      </c>
      <c r="B4572" s="1" t="s">
        <v>39</v>
      </c>
      <c r="C4572" s="1" t="s">
        <v>40</v>
      </c>
      <c r="D4572" s="1" t="str">
        <f t="shared" si="861"/>
        <v>9803</v>
      </c>
      <c r="E4572" s="1" t="s">
        <v>32</v>
      </c>
      <c r="F4572" s="1" t="str">
        <f>"12D6AB1976880400C824002000000020"</f>
        <v>12D6AB1976880400C824002000000020</v>
      </c>
      <c r="G4572" s="1" t="s">
        <v>64</v>
      </c>
      <c r="H4572" s="1" t="str">
        <f t="shared" si="855"/>
        <v>20220920</v>
      </c>
      <c r="I4572" s="1" t="str">
        <f>"104011"</f>
        <v>104011</v>
      </c>
      <c r="J4572" s="1" t="s">
        <v>34</v>
      </c>
      <c r="K4572" s="1" t="s">
        <v>34</v>
      </c>
      <c r="L4572" s="1" t="str">
        <f t="shared" si="856"/>
        <v>20220920</v>
      </c>
      <c r="M4572" s="1" t="str">
        <f>"110837"</f>
        <v>110837</v>
      </c>
      <c r="N4572" s="1" t="s">
        <v>28</v>
      </c>
      <c r="O4572" s="1" t="s">
        <v>28</v>
      </c>
      <c r="P4572" s="1" t="s">
        <v>55</v>
      </c>
      <c r="Q4572" s="1">
        <v>13</v>
      </c>
      <c r="R4572" s="1">
        <v>13</v>
      </c>
      <c r="S4572" s="1">
        <v>0</v>
      </c>
      <c r="T4572" s="1">
        <v>0</v>
      </c>
      <c r="U4572" s="1">
        <v>0</v>
      </c>
      <c r="V4572" s="1" t="str">
        <f>"里程返程"</f>
        <v>里程返程</v>
      </c>
      <c r="W4572" s="1" t="str">
        <f>"0020"</f>
        <v>0020</v>
      </c>
      <c r="X4572" s="1" t="s">
        <v>29</v>
      </c>
    </row>
    <row r="4573" spans="1:24" x14ac:dyDescent="0.3">
      <c r="A4573" s="1" t="str">
        <f t="shared" si="860"/>
        <v>59822</v>
      </c>
      <c r="B4573" s="1" t="s">
        <v>39</v>
      </c>
      <c r="C4573" s="1" t="s">
        <v>40</v>
      </c>
      <c r="D4573" s="1" t="str">
        <f>"9805"</f>
        <v>9805</v>
      </c>
      <c r="E4573" s="1" t="s">
        <v>57</v>
      </c>
      <c r="F4573" s="1" t="str">
        <f>"2657975471"</f>
        <v>2657975471</v>
      </c>
      <c r="G4573" s="1" t="s">
        <v>33</v>
      </c>
      <c r="H4573" s="1" t="str">
        <f t="shared" si="855"/>
        <v>20220920</v>
      </c>
      <c r="I4573" s="1" t="str">
        <f>"120916"</f>
        <v>120916</v>
      </c>
      <c r="J4573" s="1" t="s">
        <v>28</v>
      </c>
      <c r="K4573" s="1" t="s">
        <v>28</v>
      </c>
      <c r="L4573" s="1" t="str">
        <f t="shared" si="856"/>
        <v>20220920</v>
      </c>
      <c r="M4573" s="1" t="str">
        <f>"122013"</f>
        <v>122013</v>
      </c>
      <c r="N4573" s="1" t="s">
        <v>46</v>
      </c>
      <c r="O4573" s="1" t="s">
        <v>28</v>
      </c>
      <c r="P4573" s="1" t="s">
        <v>55</v>
      </c>
      <c r="Q4573" s="1">
        <v>25</v>
      </c>
      <c r="R4573" s="1">
        <v>25</v>
      </c>
      <c r="S4573" s="1">
        <v>0</v>
      </c>
      <c r="T4573" s="1">
        <v>0</v>
      </c>
      <c r="U4573" s="1">
        <v>0</v>
      </c>
      <c r="V4573" s="1" t="str">
        <f>"里程去程"</f>
        <v>里程去程</v>
      </c>
      <c r="W4573" s="1" t="str">
        <f>"1320"</f>
        <v>1320</v>
      </c>
      <c r="X4573" s="1" t="s">
        <v>35</v>
      </c>
    </row>
    <row r="4574" spans="1:24" x14ac:dyDescent="0.3">
      <c r="A4574" s="1" t="str">
        <f t="shared" si="860"/>
        <v>59822</v>
      </c>
      <c r="B4574" s="1" t="s">
        <v>39</v>
      </c>
      <c r="C4574" s="1" t="s">
        <v>40</v>
      </c>
      <c r="D4574" s="1" t="str">
        <f t="shared" ref="D4574:D4582" si="863">"9803"</f>
        <v>9803</v>
      </c>
      <c r="E4574" s="1" t="s">
        <v>32</v>
      </c>
      <c r="F4574" s="1" t="str">
        <f>"739903969"</f>
        <v>739903969</v>
      </c>
      <c r="G4574" s="1" t="s">
        <v>33</v>
      </c>
      <c r="H4574" s="1" t="str">
        <f t="shared" si="855"/>
        <v>20220920</v>
      </c>
      <c r="I4574" s="1" t="str">
        <f>"132846"</f>
        <v>132846</v>
      </c>
      <c r="J4574" s="1" t="s">
        <v>28</v>
      </c>
      <c r="K4574" s="1" t="s">
        <v>28</v>
      </c>
      <c r="L4574" s="1" t="str">
        <f t="shared" si="856"/>
        <v>20220920</v>
      </c>
      <c r="M4574" s="1" t="str">
        <f>"134733"</f>
        <v>134733</v>
      </c>
      <c r="N4574" s="1" t="s">
        <v>34</v>
      </c>
      <c r="O4574" s="1" t="s">
        <v>34</v>
      </c>
      <c r="P4574" s="1" t="s">
        <v>55</v>
      </c>
      <c r="Q4574" s="1">
        <v>25</v>
      </c>
      <c r="R4574" s="1">
        <v>25</v>
      </c>
      <c r="S4574" s="1">
        <v>0</v>
      </c>
      <c r="T4574" s="1">
        <v>0</v>
      </c>
      <c r="U4574" s="1">
        <v>0</v>
      </c>
      <c r="V4574" s="1" t="str">
        <f>"里程去程"</f>
        <v>里程去程</v>
      </c>
      <c r="W4574" s="1" t="str">
        <f>"0820"</f>
        <v>0820</v>
      </c>
      <c r="X4574" s="1" t="s">
        <v>35</v>
      </c>
    </row>
    <row r="4575" spans="1:24" x14ac:dyDescent="0.3">
      <c r="A4575" s="1" t="str">
        <f t="shared" si="860"/>
        <v>59822</v>
      </c>
      <c r="B4575" s="1" t="s">
        <v>39</v>
      </c>
      <c r="C4575" s="1" t="s">
        <v>40</v>
      </c>
      <c r="D4575" s="1" t="str">
        <f t="shared" si="863"/>
        <v>9803</v>
      </c>
      <c r="E4575" s="1" t="s">
        <v>32</v>
      </c>
      <c r="F4575" s="1" t="str">
        <f>"2981728424"</f>
        <v>2981728424</v>
      </c>
      <c r="G4575" s="1" t="s">
        <v>33</v>
      </c>
      <c r="H4575" s="1" t="str">
        <f t="shared" si="855"/>
        <v>20220920</v>
      </c>
      <c r="I4575" s="1" t="str">
        <f>"132856"</f>
        <v>132856</v>
      </c>
      <c r="J4575" s="1" t="s">
        <v>28</v>
      </c>
      <c r="K4575" s="1" t="s">
        <v>28</v>
      </c>
      <c r="L4575" s="1" t="str">
        <f t="shared" si="856"/>
        <v>20220920</v>
      </c>
      <c r="M4575" s="1" t="str">
        <f>"134737"</f>
        <v>134737</v>
      </c>
      <c r="N4575" s="1" t="s">
        <v>34</v>
      </c>
      <c r="O4575" s="1" t="s">
        <v>34</v>
      </c>
      <c r="P4575" s="1" t="s">
        <v>55</v>
      </c>
      <c r="Q4575" s="1">
        <v>25</v>
      </c>
      <c r="R4575" s="1">
        <v>25</v>
      </c>
      <c r="S4575" s="1">
        <v>0</v>
      </c>
      <c r="T4575" s="1">
        <v>0</v>
      </c>
      <c r="U4575" s="1">
        <v>0</v>
      </c>
      <c r="V4575" s="1" t="str">
        <f>"里程去程"</f>
        <v>里程去程</v>
      </c>
      <c r="W4575" s="1" t="str">
        <f>"0320"</f>
        <v>0320</v>
      </c>
      <c r="X4575" s="1" t="s">
        <v>35</v>
      </c>
    </row>
    <row r="4576" spans="1:24" x14ac:dyDescent="0.3">
      <c r="A4576" s="1" t="str">
        <f t="shared" si="860"/>
        <v>59822</v>
      </c>
      <c r="B4576" s="1" t="s">
        <v>39</v>
      </c>
      <c r="C4576" s="1" t="s">
        <v>40</v>
      </c>
      <c r="D4576" s="1" t="str">
        <f t="shared" si="863"/>
        <v>9803</v>
      </c>
      <c r="E4576" s="1" t="s">
        <v>32</v>
      </c>
      <c r="F4576" s="1" t="str">
        <f>"245509745"</f>
        <v>245509745</v>
      </c>
      <c r="G4576" s="1" t="s">
        <v>33</v>
      </c>
      <c r="H4576" s="1" t="str">
        <f t="shared" si="855"/>
        <v>20220920</v>
      </c>
      <c r="I4576" s="1" t="str">
        <f>"134809"</f>
        <v>134809</v>
      </c>
      <c r="J4576" s="1" t="s">
        <v>34</v>
      </c>
      <c r="K4576" s="1" t="s">
        <v>34</v>
      </c>
      <c r="L4576" s="1" t="str">
        <f t="shared" si="856"/>
        <v>20220920</v>
      </c>
      <c r="M4576" s="1" t="str">
        <f>"142933"</f>
        <v>142933</v>
      </c>
      <c r="N4576" s="1" t="s">
        <v>28</v>
      </c>
      <c r="O4576" s="1" t="s">
        <v>28</v>
      </c>
      <c r="P4576" s="1" t="s">
        <v>55</v>
      </c>
      <c r="Q4576" s="1">
        <v>25</v>
      </c>
      <c r="R4576" s="1">
        <v>25</v>
      </c>
      <c r="S4576" s="1">
        <v>0</v>
      </c>
      <c r="T4576" s="1">
        <v>0</v>
      </c>
      <c r="U4576" s="1">
        <v>0</v>
      </c>
      <c r="V4576" s="1" t="str">
        <f t="shared" ref="V4576:V4584" si="864">"里程返程"</f>
        <v>里程返程</v>
      </c>
      <c r="W4576" s="1" t="str">
        <f>"0c20"</f>
        <v>0c20</v>
      </c>
      <c r="X4576" s="1" t="s">
        <v>35</v>
      </c>
    </row>
    <row r="4577" spans="1:24" x14ac:dyDescent="0.3">
      <c r="A4577" s="1" t="str">
        <f t="shared" si="860"/>
        <v>59822</v>
      </c>
      <c r="B4577" s="1" t="s">
        <v>39</v>
      </c>
      <c r="C4577" s="1" t="s">
        <v>40</v>
      </c>
      <c r="D4577" s="1" t="str">
        <f t="shared" si="863"/>
        <v>9803</v>
      </c>
      <c r="E4577" s="1" t="s">
        <v>32</v>
      </c>
      <c r="F4577" s="1" t="str">
        <f>"4071146158"</f>
        <v>4071146158</v>
      </c>
      <c r="G4577" s="1" t="s">
        <v>33</v>
      </c>
      <c r="H4577" s="1" t="str">
        <f t="shared" si="855"/>
        <v>20220920</v>
      </c>
      <c r="I4577" s="1" t="str">
        <f>"134815"</f>
        <v>134815</v>
      </c>
      <c r="J4577" s="1" t="s">
        <v>34</v>
      </c>
      <c r="K4577" s="1" t="s">
        <v>34</v>
      </c>
      <c r="L4577" s="1" t="str">
        <f t="shared" si="856"/>
        <v>20220920</v>
      </c>
      <c r="M4577" s="1" t="str">
        <f>"142920"</f>
        <v>142920</v>
      </c>
      <c r="N4577" s="1" t="s">
        <v>28</v>
      </c>
      <c r="O4577" s="1" t="s">
        <v>28</v>
      </c>
      <c r="P4577" s="1" t="s">
        <v>55</v>
      </c>
      <c r="Q4577" s="1">
        <v>25</v>
      </c>
      <c r="R4577" s="1">
        <v>25</v>
      </c>
      <c r="S4577" s="1">
        <v>0</v>
      </c>
      <c r="T4577" s="1">
        <v>0</v>
      </c>
      <c r="U4577" s="1">
        <v>0</v>
      </c>
      <c r="V4577" s="1" t="str">
        <f t="shared" si="864"/>
        <v>里程返程</v>
      </c>
      <c r="W4577" s="1" t="str">
        <f>"0820"</f>
        <v>0820</v>
      </c>
      <c r="X4577" s="1" t="s">
        <v>35</v>
      </c>
    </row>
    <row r="4578" spans="1:24" x14ac:dyDescent="0.3">
      <c r="A4578" s="1" t="str">
        <f t="shared" si="860"/>
        <v>59822</v>
      </c>
      <c r="B4578" s="1" t="s">
        <v>39</v>
      </c>
      <c r="C4578" s="1" t="s">
        <v>40</v>
      </c>
      <c r="D4578" s="1" t="str">
        <f t="shared" si="863"/>
        <v>9803</v>
      </c>
      <c r="E4578" s="1" t="s">
        <v>32</v>
      </c>
      <c r="F4578" s="1" t="str">
        <f>"1081391073"</f>
        <v>1081391073</v>
      </c>
      <c r="G4578" s="1" t="s">
        <v>33</v>
      </c>
      <c r="H4578" s="1" t="str">
        <f t="shared" ref="H4578:H4609" si="865">"20220920"</f>
        <v>20220920</v>
      </c>
      <c r="I4578" s="1" t="str">
        <f>"134831"</f>
        <v>134831</v>
      </c>
      <c r="J4578" s="1" t="s">
        <v>34</v>
      </c>
      <c r="K4578" s="1" t="s">
        <v>34</v>
      </c>
      <c r="L4578" s="1" t="str">
        <f t="shared" si="856"/>
        <v>20220920</v>
      </c>
      <c r="M4578" s="1" t="str">
        <f>"142915"</f>
        <v>142915</v>
      </c>
      <c r="N4578" s="1" t="s">
        <v>28</v>
      </c>
      <c r="O4578" s="1" t="s">
        <v>28</v>
      </c>
      <c r="P4578" s="1" t="s">
        <v>55</v>
      </c>
      <c r="Q4578" s="1">
        <v>25</v>
      </c>
      <c r="R4578" s="1">
        <v>25</v>
      </c>
      <c r="S4578" s="1">
        <v>0</v>
      </c>
      <c r="T4578" s="1">
        <v>0</v>
      </c>
      <c r="U4578" s="1">
        <v>0</v>
      </c>
      <c r="V4578" s="1" t="str">
        <f t="shared" si="864"/>
        <v>里程返程</v>
      </c>
      <c r="W4578" s="1" t="str">
        <f>"0e20"</f>
        <v>0e20</v>
      </c>
      <c r="X4578" s="1" t="s">
        <v>35</v>
      </c>
    </row>
    <row r="4579" spans="1:24" x14ac:dyDescent="0.3">
      <c r="A4579" s="1" t="str">
        <f t="shared" si="860"/>
        <v>59822</v>
      </c>
      <c r="B4579" s="1" t="s">
        <v>39</v>
      </c>
      <c r="C4579" s="1" t="s">
        <v>40</v>
      </c>
      <c r="D4579" s="1" t="str">
        <f t="shared" si="863"/>
        <v>9803</v>
      </c>
      <c r="E4579" s="1" t="s">
        <v>32</v>
      </c>
      <c r="F4579" s="1" t="str">
        <f>"F288F61A96880400C817002000000021"</f>
        <v>F288F61A96880400C817002000000021</v>
      </c>
      <c r="G4579" s="1" t="s">
        <v>58</v>
      </c>
      <c r="H4579" s="1" t="str">
        <f t="shared" si="865"/>
        <v>20220920</v>
      </c>
      <c r="I4579" s="1" t="str">
        <f>"134834"</f>
        <v>134834</v>
      </c>
      <c r="J4579" s="1" t="s">
        <v>34</v>
      </c>
      <c r="K4579" s="1" t="s">
        <v>34</v>
      </c>
      <c r="L4579" s="1" t="str">
        <f t="shared" si="856"/>
        <v>20220920</v>
      </c>
      <c r="M4579" s="1" t="str">
        <f>"142938"</f>
        <v>142938</v>
      </c>
      <c r="N4579" s="1" t="s">
        <v>28</v>
      </c>
      <c r="O4579" s="1" t="s">
        <v>28</v>
      </c>
      <c r="P4579" s="1" t="s">
        <v>55</v>
      </c>
      <c r="Q4579" s="1">
        <v>25</v>
      </c>
      <c r="R4579" s="1">
        <v>25</v>
      </c>
      <c r="S4579" s="1">
        <v>0</v>
      </c>
      <c r="T4579" s="1">
        <v>0</v>
      </c>
      <c r="U4579" s="1">
        <v>0</v>
      </c>
      <c r="V4579" s="1" t="str">
        <f t="shared" si="864"/>
        <v>里程返程</v>
      </c>
      <c r="W4579" s="1" t="str">
        <f>"0020"</f>
        <v>0020</v>
      </c>
      <c r="X4579" s="1" t="s">
        <v>29</v>
      </c>
    </row>
    <row r="4580" spans="1:24" x14ac:dyDescent="0.3">
      <c r="A4580" s="1" t="str">
        <f t="shared" si="860"/>
        <v>59822</v>
      </c>
      <c r="B4580" s="1" t="s">
        <v>39</v>
      </c>
      <c r="C4580" s="1" t="s">
        <v>40</v>
      </c>
      <c r="D4580" s="1" t="str">
        <f t="shared" si="863"/>
        <v>9803</v>
      </c>
      <c r="E4580" s="1" t="s">
        <v>32</v>
      </c>
      <c r="F4580" s="1" t="str">
        <f>"901492408"</f>
        <v>901492408</v>
      </c>
      <c r="G4580" s="1" t="s">
        <v>33</v>
      </c>
      <c r="H4580" s="1" t="str">
        <f t="shared" si="865"/>
        <v>20220920</v>
      </c>
      <c r="I4580" s="1" t="str">
        <f>"134841"</f>
        <v>134841</v>
      </c>
      <c r="J4580" s="1" t="s">
        <v>34</v>
      </c>
      <c r="K4580" s="1" t="s">
        <v>34</v>
      </c>
      <c r="L4580" s="1" t="str">
        <f t="shared" si="856"/>
        <v>20220920</v>
      </c>
      <c r="M4580" s="1" t="str">
        <f>"142912"</f>
        <v>142912</v>
      </c>
      <c r="N4580" s="1" t="s">
        <v>28</v>
      </c>
      <c r="O4580" s="1" t="s">
        <v>28</v>
      </c>
      <c r="P4580" s="1" t="s">
        <v>55</v>
      </c>
      <c r="Q4580" s="1">
        <v>25</v>
      </c>
      <c r="R4580" s="1">
        <v>25</v>
      </c>
      <c r="S4580" s="1">
        <v>0</v>
      </c>
      <c r="T4580" s="1">
        <v>0</v>
      </c>
      <c r="U4580" s="1">
        <v>0</v>
      </c>
      <c r="V4580" s="1" t="str">
        <f t="shared" si="864"/>
        <v>里程返程</v>
      </c>
      <c r="W4580" s="1" t="str">
        <f>"0e20"</f>
        <v>0e20</v>
      </c>
      <c r="X4580" s="1" t="s">
        <v>35</v>
      </c>
    </row>
    <row r="4581" spans="1:24" x14ac:dyDescent="0.3">
      <c r="A4581" s="1" t="str">
        <f t="shared" si="860"/>
        <v>59822</v>
      </c>
      <c r="B4581" s="1" t="s">
        <v>39</v>
      </c>
      <c r="C4581" s="1" t="s">
        <v>40</v>
      </c>
      <c r="D4581" s="1" t="str">
        <f t="shared" si="863"/>
        <v>9803</v>
      </c>
      <c r="E4581" s="1" t="s">
        <v>32</v>
      </c>
      <c r="F4581" s="1" t="str">
        <f>"1775467249"</f>
        <v>1775467249</v>
      </c>
      <c r="G4581" s="1" t="s">
        <v>33</v>
      </c>
      <c r="H4581" s="1" t="str">
        <f t="shared" si="865"/>
        <v>20220920</v>
      </c>
      <c r="I4581" s="1" t="str">
        <f>"134847"</f>
        <v>134847</v>
      </c>
      <c r="J4581" s="1" t="s">
        <v>34</v>
      </c>
      <c r="K4581" s="1" t="s">
        <v>34</v>
      </c>
      <c r="L4581" s="1" t="str">
        <f t="shared" si="856"/>
        <v>20220920</v>
      </c>
      <c r="M4581" s="1" t="str">
        <f>"142904"</f>
        <v>142904</v>
      </c>
      <c r="N4581" s="1" t="s">
        <v>28</v>
      </c>
      <c r="O4581" s="1" t="s">
        <v>28</v>
      </c>
      <c r="P4581" s="1" t="s">
        <v>55</v>
      </c>
      <c r="Q4581" s="1">
        <v>25</v>
      </c>
      <c r="R4581" s="1">
        <v>25</v>
      </c>
      <c r="S4581" s="1">
        <v>0</v>
      </c>
      <c r="T4581" s="1">
        <v>0</v>
      </c>
      <c r="U4581" s="1">
        <v>0</v>
      </c>
      <c r="V4581" s="1" t="str">
        <f t="shared" si="864"/>
        <v>里程返程</v>
      </c>
      <c r="W4581" s="1" t="str">
        <f>"0a20"</f>
        <v>0a20</v>
      </c>
      <c r="X4581" s="1" t="s">
        <v>35</v>
      </c>
    </row>
    <row r="4582" spans="1:24" x14ac:dyDescent="0.3">
      <c r="A4582" s="1" t="str">
        <f t="shared" si="860"/>
        <v>59822</v>
      </c>
      <c r="B4582" s="1" t="s">
        <v>39</v>
      </c>
      <c r="C4582" s="1" t="s">
        <v>40</v>
      </c>
      <c r="D4582" s="1" t="str">
        <f t="shared" si="863"/>
        <v>9803</v>
      </c>
      <c r="E4582" s="1" t="s">
        <v>32</v>
      </c>
      <c r="F4582" s="1" t="str">
        <f>"C2281C03F5880400C834002000000015"</f>
        <v>C2281C03F5880400C834002000000015</v>
      </c>
      <c r="G4582" s="1" t="s">
        <v>26</v>
      </c>
      <c r="H4582" s="1" t="str">
        <f t="shared" si="865"/>
        <v>20220920</v>
      </c>
      <c r="I4582" s="1" t="str">
        <f>"134927"</f>
        <v>134927</v>
      </c>
      <c r="J4582" s="1" t="s">
        <v>34</v>
      </c>
      <c r="K4582" s="1" t="s">
        <v>34</v>
      </c>
      <c r="L4582" s="1" t="str">
        <f>""</f>
        <v/>
      </c>
      <c r="M4582" s="1" t="str">
        <f>""</f>
        <v/>
      </c>
      <c r="P4582" s="1" t="s">
        <v>88</v>
      </c>
      <c r="Q4582" s="1">
        <v>13</v>
      </c>
      <c r="R4582" s="1">
        <v>13</v>
      </c>
      <c r="S4582" s="1">
        <v>0</v>
      </c>
      <c r="T4582" s="1">
        <v>0</v>
      </c>
      <c r="U4582" s="1">
        <v>0</v>
      </c>
      <c r="V4582" s="1" t="str">
        <f t="shared" si="864"/>
        <v>里程返程</v>
      </c>
      <c r="W4582" s="1" t="str">
        <f>"1120"</f>
        <v>1120</v>
      </c>
      <c r="X4582" s="1" t="s">
        <v>29</v>
      </c>
    </row>
    <row r="4583" spans="1:24" x14ac:dyDescent="0.3">
      <c r="A4583" s="1" t="str">
        <f t="shared" ref="A4583:A4620" si="866">"59823"</f>
        <v>59823</v>
      </c>
      <c r="B4583" s="1" t="s">
        <v>36</v>
      </c>
      <c r="C4583" s="1" t="s">
        <v>37</v>
      </c>
      <c r="D4583" s="1" t="str">
        <f>"9806"</f>
        <v>9806</v>
      </c>
      <c r="E4583" s="1" t="s">
        <v>49</v>
      </c>
      <c r="F4583" s="1" t="str">
        <f>"1202E702F5880400C834002000000015"</f>
        <v>1202E702F5880400C834002000000015</v>
      </c>
      <c r="G4583" s="1" t="s">
        <v>74</v>
      </c>
      <c r="H4583" s="1" t="str">
        <f t="shared" si="865"/>
        <v>20220920</v>
      </c>
      <c r="I4583" s="1" t="str">
        <f>"065539"</f>
        <v>065539</v>
      </c>
      <c r="J4583" s="1" t="s">
        <v>101</v>
      </c>
      <c r="K4583" s="1" t="s">
        <v>28</v>
      </c>
      <c r="L4583" s="1" t="str">
        <f t="shared" ref="L4583:L4614" si="867">"20220920"</f>
        <v>20220920</v>
      </c>
      <c r="M4583" s="1" t="str">
        <f>"070646"</f>
        <v>070646</v>
      </c>
      <c r="N4583" s="1" t="s">
        <v>99</v>
      </c>
      <c r="O4583" s="1" t="s">
        <v>28</v>
      </c>
      <c r="P4583" s="1" t="s">
        <v>68</v>
      </c>
      <c r="Q4583" s="1">
        <v>13</v>
      </c>
      <c r="R4583" s="1">
        <v>0</v>
      </c>
      <c r="S4583" s="1">
        <v>0</v>
      </c>
      <c r="T4583" s="1">
        <v>13</v>
      </c>
      <c r="U4583" s="1">
        <v>0</v>
      </c>
      <c r="V4583" s="1" t="str">
        <f t="shared" si="864"/>
        <v>里程返程</v>
      </c>
      <c r="W4583" s="1" t="str">
        <f>"0020"</f>
        <v>0020</v>
      </c>
      <c r="X4583" s="1" t="s">
        <v>29</v>
      </c>
    </row>
    <row r="4584" spans="1:24" x14ac:dyDescent="0.3">
      <c r="A4584" s="1" t="str">
        <f t="shared" si="866"/>
        <v>59823</v>
      </c>
      <c r="B4584" s="1" t="s">
        <v>36</v>
      </c>
      <c r="C4584" s="1" t="s">
        <v>37</v>
      </c>
      <c r="D4584" s="1" t="str">
        <f>"9806"</f>
        <v>9806</v>
      </c>
      <c r="E4584" s="1" t="s">
        <v>49</v>
      </c>
      <c r="F4584" s="1" t="str">
        <f>"B211E70246880400C834002000000015"</f>
        <v>B211E70246880400C834002000000015</v>
      </c>
      <c r="G4584" s="1" t="s">
        <v>74</v>
      </c>
      <c r="H4584" s="1" t="str">
        <f t="shared" si="865"/>
        <v>20220920</v>
      </c>
      <c r="I4584" s="1" t="str">
        <f>"065544"</f>
        <v>065544</v>
      </c>
      <c r="J4584" s="1" t="s">
        <v>101</v>
      </c>
      <c r="K4584" s="1" t="s">
        <v>28</v>
      </c>
      <c r="L4584" s="1" t="str">
        <f t="shared" si="867"/>
        <v>20220920</v>
      </c>
      <c r="M4584" s="1" t="str">
        <f>"070642"</f>
        <v>070642</v>
      </c>
      <c r="N4584" s="1" t="s">
        <v>99</v>
      </c>
      <c r="O4584" s="1" t="s">
        <v>28</v>
      </c>
      <c r="P4584" s="1" t="s">
        <v>68</v>
      </c>
      <c r="Q4584" s="1">
        <v>13</v>
      </c>
      <c r="R4584" s="1">
        <v>0</v>
      </c>
      <c r="S4584" s="1">
        <v>0</v>
      </c>
      <c r="T4584" s="1">
        <v>13</v>
      </c>
      <c r="U4584" s="1">
        <v>0</v>
      </c>
      <c r="V4584" s="1" t="str">
        <f t="shared" si="864"/>
        <v>里程返程</v>
      </c>
      <c r="W4584" s="1" t="str">
        <f>"0020"</f>
        <v>0020</v>
      </c>
      <c r="X4584" s="1" t="s">
        <v>29</v>
      </c>
    </row>
    <row r="4585" spans="1:24" x14ac:dyDescent="0.3">
      <c r="A4585" s="1" t="str">
        <f t="shared" si="866"/>
        <v>59823</v>
      </c>
      <c r="B4585" s="1" t="s">
        <v>36</v>
      </c>
      <c r="C4585" s="1" t="s">
        <v>37</v>
      </c>
      <c r="D4585" s="1" t="str">
        <f t="shared" ref="D4585:D4619" si="868">"9803"</f>
        <v>9803</v>
      </c>
      <c r="E4585" s="1" t="s">
        <v>32</v>
      </c>
      <c r="F4585" s="1" t="str">
        <f>"1017559589"</f>
        <v>1017559589</v>
      </c>
      <c r="G4585" s="1" t="s">
        <v>33</v>
      </c>
      <c r="H4585" s="1" t="str">
        <f t="shared" si="865"/>
        <v>20220920</v>
      </c>
      <c r="I4585" s="1" t="str">
        <f>"083005"</f>
        <v>083005</v>
      </c>
      <c r="J4585" s="1" t="s">
        <v>28</v>
      </c>
      <c r="K4585" s="1" t="s">
        <v>28</v>
      </c>
      <c r="L4585" s="1" t="str">
        <f t="shared" si="867"/>
        <v>20220920</v>
      </c>
      <c r="M4585" s="1" t="str">
        <f>"084619"</f>
        <v>084619</v>
      </c>
      <c r="N4585" s="1" t="s">
        <v>93</v>
      </c>
      <c r="O4585" s="1" t="s">
        <v>28</v>
      </c>
      <c r="P4585" s="1" t="s">
        <v>55</v>
      </c>
      <c r="Q4585" s="1">
        <v>25</v>
      </c>
      <c r="R4585" s="1">
        <v>25</v>
      </c>
      <c r="S4585" s="1">
        <v>0</v>
      </c>
      <c r="T4585" s="1">
        <v>0</v>
      </c>
      <c r="U4585" s="1">
        <v>0</v>
      </c>
      <c r="V4585" s="1" t="str">
        <f>"里程去程"</f>
        <v>里程去程</v>
      </c>
      <c r="W4585" s="1" t="str">
        <f>"0820"</f>
        <v>0820</v>
      </c>
      <c r="X4585" s="1" t="s">
        <v>35</v>
      </c>
    </row>
    <row r="4586" spans="1:24" x14ac:dyDescent="0.3">
      <c r="A4586" s="1" t="str">
        <f t="shared" si="866"/>
        <v>59823</v>
      </c>
      <c r="B4586" s="1" t="s">
        <v>36</v>
      </c>
      <c r="C4586" s="1" t="s">
        <v>37</v>
      </c>
      <c r="D4586" s="1" t="str">
        <f t="shared" si="868"/>
        <v>9803</v>
      </c>
      <c r="E4586" s="1" t="s">
        <v>32</v>
      </c>
      <c r="F4586" s="1" t="str">
        <f>"324DF81691880400C814002000000019"</f>
        <v>324DF81691880400C814002000000019</v>
      </c>
      <c r="G4586" s="1" t="s">
        <v>59</v>
      </c>
      <c r="H4586" s="1" t="str">
        <f t="shared" si="865"/>
        <v>20220920</v>
      </c>
      <c r="I4586" s="1" t="str">
        <f>"112947"</f>
        <v>112947</v>
      </c>
      <c r="J4586" s="1" t="s">
        <v>28</v>
      </c>
      <c r="K4586" s="1" t="s">
        <v>28</v>
      </c>
      <c r="L4586" s="1" t="str">
        <f t="shared" si="867"/>
        <v>20220920</v>
      </c>
      <c r="M4586" s="1" t="str">
        <f>"114842"</f>
        <v>114842</v>
      </c>
      <c r="N4586" s="1" t="s">
        <v>34</v>
      </c>
      <c r="O4586" s="1" t="s">
        <v>34</v>
      </c>
      <c r="P4586" s="1" t="s">
        <v>55</v>
      </c>
      <c r="Q4586" s="1">
        <v>25</v>
      </c>
      <c r="R4586" s="1">
        <v>25</v>
      </c>
      <c r="S4586" s="1">
        <v>0</v>
      </c>
      <c r="T4586" s="1">
        <v>0</v>
      </c>
      <c r="U4586" s="1">
        <v>0</v>
      </c>
      <c r="V4586" s="1" t="str">
        <f>"里程去程"</f>
        <v>里程去程</v>
      </c>
      <c r="W4586" s="1" t="str">
        <f>"0020"</f>
        <v>0020</v>
      </c>
      <c r="X4586" s="1" t="s">
        <v>29</v>
      </c>
    </row>
    <row r="4587" spans="1:24" x14ac:dyDescent="0.3">
      <c r="A4587" s="1" t="str">
        <f t="shared" si="866"/>
        <v>59823</v>
      </c>
      <c r="B4587" s="1" t="s">
        <v>36</v>
      </c>
      <c r="C4587" s="1" t="s">
        <v>37</v>
      </c>
      <c r="D4587" s="1" t="str">
        <f t="shared" si="868"/>
        <v>9803</v>
      </c>
      <c r="E4587" s="1" t="s">
        <v>32</v>
      </c>
      <c r="F4587" s="1" t="str">
        <f>"1755376981"</f>
        <v>1755376981</v>
      </c>
      <c r="G4587" s="1" t="s">
        <v>33</v>
      </c>
      <c r="H4587" s="1" t="str">
        <f t="shared" si="865"/>
        <v>20220920</v>
      </c>
      <c r="I4587" s="1" t="str">
        <f>"112952"</f>
        <v>112952</v>
      </c>
      <c r="J4587" s="1" t="s">
        <v>28</v>
      </c>
      <c r="K4587" s="1" t="s">
        <v>28</v>
      </c>
      <c r="L4587" s="1" t="str">
        <f t="shared" si="867"/>
        <v>20220920</v>
      </c>
      <c r="M4587" s="1" t="str">
        <f>"114844"</f>
        <v>114844</v>
      </c>
      <c r="N4587" s="1" t="s">
        <v>34</v>
      </c>
      <c r="O4587" s="1" t="s">
        <v>34</v>
      </c>
      <c r="P4587" s="1" t="s">
        <v>55</v>
      </c>
      <c r="Q4587" s="1">
        <v>25</v>
      </c>
      <c r="R4587" s="1">
        <v>25</v>
      </c>
      <c r="S4587" s="1">
        <v>0</v>
      </c>
      <c r="T4587" s="1">
        <v>0</v>
      </c>
      <c r="U4587" s="1">
        <v>0</v>
      </c>
      <c r="V4587" s="1" t="str">
        <f>"里程去程"</f>
        <v>里程去程</v>
      </c>
      <c r="W4587" s="1" t="str">
        <f>"0820"</f>
        <v>0820</v>
      </c>
      <c r="X4587" s="1" t="s">
        <v>35</v>
      </c>
    </row>
    <row r="4588" spans="1:24" x14ac:dyDescent="0.3">
      <c r="A4588" s="1" t="str">
        <f t="shared" si="866"/>
        <v>59823</v>
      </c>
      <c r="B4588" s="1" t="s">
        <v>36</v>
      </c>
      <c r="C4588" s="1" t="s">
        <v>37</v>
      </c>
      <c r="D4588" s="1" t="str">
        <f t="shared" si="868"/>
        <v>9803</v>
      </c>
      <c r="E4588" s="1" t="s">
        <v>32</v>
      </c>
      <c r="F4588" s="1" t="str">
        <f>"788431445"</f>
        <v>788431445</v>
      </c>
      <c r="G4588" s="1" t="s">
        <v>33</v>
      </c>
      <c r="H4588" s="1" t="str">
        <f t="shared" si="865"/>
        <v>20220920</v>
      </c>
      <c r="I4588" s="1" t="str">
        <f>"113005"</f>
        <v>113005</v>
      </c>
      <c r="J4588" s="1" t="s">
        <v>28</v>
      </c>
      <c r="K4588" s="1" t="s">
        <v>28</v>
      </c>
      <c r="L4588" s="1" t="str">
        <f t="shared" si="867"/>
        <v>20220920</v>
      </c>
      <c r="M4588" s="1" t="str">
        <f>"114837"</f>
        <v>114837</v>
      </c>
      <c r="N4588" s="1" t="s">
        <v>34</v>
      </c>
      <c r="O4588" s="1" t="s">
        <v>34</v>
      </c>
      <c r="P4588" s="1" t="s">
        <v>55</v>
      </c>
      <c r="Q4588" s="1">
        <v>25</v>
      </c>
      <c r="R4588" s="1">
        <v>25</v>
      </c>
      <c r="S4588" s="1">
        <v>0</v>
      </c>
      <c r="T4588" s="1">
        <v>0</v>
      </c>
      <c r="U4588" s="1">
        <v>0</v>
      </c>
      <c r="V4588" s="1" t="str">
        <f>"里程去程"</f>
        <v>里程去程</v>
      </c>
      <c r="W4588" s="1" t="str">
        <f>"0120"</f>
        <v>0120</v>
      </c>
      <c r="X4588" s="1" t="s">
        <v>35</v>
      </c>
    </row>
    <row r="4589" spans="1:24" x14ac:dyDescent="0.3">
      <c r="A4589" s="1" t="str">
        <f t="shared" si="866"/>
        <v>59823</v>
      </c>
      <c r="B4589" s="1" t="s">
        <v>36</v>
      </c>
      <c r="C4589" s="1" t="s">
        <v>37</v>
      </c>
      <c r="D4589" s="1" t="str">
        <f t="shared" si="868"/>
        <v>9803</v>
      </c>
      <c r="E4589" s="1" t="s">
        <v>32</v>
      </c>
      <c r="F4589" s="1" t="str">
        <f>"7511190184004537"</f>
        <v>7511190184004537</v>
      </c>
      <c r="G4589" s="1" t="s">
        <v>33</v>
      </c>
      <c r="H4589" s="1" t="str">
        <f t="shared" si="865"/>
        <v>20220920</v>
      </c>
      <c r="I4589" s="1" t="str">
        <f>"113009"</f>
        <v>113009</v>
      </c>
      <c r="J4589" s="1" t="s">
        <v>28</v>
      </c>
      <c r="K4589" s="1" t="s">
        <v>28</v>
      </c>
      <c r="L4589" s="1" t="str">
        <f t="shared" si="867"/>
        <v>20220920</v>
      </c>
      <c r="M4589" s="1" t="str">
        <f>"114821"</f>
        <v>114821</v>
      </c>
      <c r="N4589" s="1" t="s">
        <v>34</v>
      </c>
      <c r="O4589" s="1" t="s">
        <v>34</v>
      </c>
      <c r="P4589" s="1" t="s">
        <v>55</v>
      </c>
      <c r="Q4589" s="1">
        <v>25</v>
      </c>
      <c r="R4589" s="1">
        <v>25</v>
      </c>
      <c r="S4589" s="1">
        <v>0</v>
      </c>
      <c r="T4589" s="1">
        <v>0</v>
      </c>
      <c r="U4589" s="1">
        <v>0</v>
      </c>
      <c r="V4589" s="1" t="str">
        <f>"里程去程"</f>
        <v>里程去程</v>
      </c>
      <c r="W4589" s="1" t="str">
        <f>"083B"</f>
        <v>083B</v>
      </c>
      <c r="X4589" s="1" t="s">
        <v>109</v>
      </c>
    </row>
    <row r="4590" spans="1:24" x14ac:dyDescent="0.3">
      <c r="A4590" s="1" t="str">
        <f t="shared" si="866"/>
        <v>59823</v>
      </c>
      <c r="B4590" s="1" t="s">
        <v>36</v>
      </c>
      <c r="C4590" s="1" t="s">
        <v>37</v>
      </c>
      <c r="D4590" s="1" t="str">
        <f t="shared" si="868"/>
        <v>9803</v>
      </c>
      <c r="E4590" s="1" t="s">
        <v>32</v>
      </c>
      <c r="F4590" s="1" t="str">
        <f>"813312449"</f>
        <v>813312449</v>
      </c>
      <c r="G4590" s="1" t="s">
        <v>33</v>
      </c>
      <c r="H4590" s="1" t="str">
        <f t="shared" si="865"/>
        <v>20220920</v>
      </c>
      <c r="I4590" s="1" t="str">
        <f>"115955"</f>
        <v>115955</v>
      </c>
      <c r="J4590" s="1" t="s">
        <v>34</v>
      </c>
      <c r="K4590" s="1" t="s">
        <v>34</v>
      </c>
      <c r="L4590" s="1" t="str">
        <f t="shared" si="867"/>
        <v>20220920</v>
      </c>
      <c r="M4590" s="1" t="str">
        <f>"122913"</f>
        <v>122913</v>
      </c>
      <c r="N4590" s="1" t="s">
        <v>28</v>
      </c>
      <c r="O4590" s="1" t="s">
        <v>28</v>
      </c>
      <c r="P4590" s="1" t="s">
        <v>55</v>
      </c>
      <c r="Q4590" s="1">
        <v>25</v>
      </c>
      <c r="R4590" s="1">
        <v>25</v>
      </c>
      <c r="S4590" s="1">
        <v>0</v>
      </c>
      <c r="T4590" s="1">
        <v>0</v>
      </c>
      <c r="U4590" s="1">
        <v>0</v>
      </c>
      <c r="V4590" s="1" t="str">
        <f t="shared" ref="V4590:V4596" si="869">"里程返程"</f>
        <v>里程返程</v>
      </c>
      <c r="W4590" s="1" t="str">
        <f>"0120"</f>
        <v>0120</v>
      </c>
      <c r="X4590" s="1" t="s">
        <v>35</v>
      </c>
    </row>
    <row r="4591" spans="1:24" x14ac:dyDescent="0.3">
      <c r="A4591" s="1" t="str">
        <f t="shared" si="866"/>
        <v>59823</v>
      </c>
      <c r="B4591" s="1" t="s">
        <v>36</v>
      </c>
      <c r="C4591" s="1" t="s">
        <v>37</v>
      </c>
      <c r="D4591" s="1" t="str">
        <f t="shared" si="868"/>
        <v>9803</v>
      </c>
      <c r="E4591" s="1" t="s">
        <v>32</v>
      </c>
      <c r="F4591" s="1" t="str">
        <f>"E11D5762C92804001C00000000000000"</f>
        <v>E11D5762C92804001C00000000000000</v>
      </c>
      <c r="G4591" s="1" t="s">
        <v>58</v>
      </c>
      <c r="H4591" s="1" t="str">
        <f t="shared" si="865"/>
        <v>20220920</v>
      </c>
      <c r="I4591" s="1" t="str">
        <f>"120005"</f>
        <v>120005</v>
      </c>
      <c r="J4591" s="1" t="s">
        <v>34</v>
      </c>
      <c r="K4591" s="1" t="s">
        <v>34</v>
      </c>
      <c r="L4591" s="1" t="str">
        <f t="shared" si="867"/>
        <v>20220920</v>
      </c>
      <c r="M4591" s="1" t="str">
        <f>"122939"</f>
        <v>122939</v>
      </c>
      <c r="N4591" s="1" t="s">
        <v>28</v>
      </c>
      <c r="O4591" s="1" t="s">
        <v>28</v>
      </c>
      <c r="P4591" s="1" t="s">
        <v>55</v>
      </c>
      <c r="Q4591" s="1">
        <v>25</v>
      </c>
      <c r="R4591" s="1">
        <v>25</v>
      </c>
      <c r="S4591" s="1">
        <v>0</v>
      </c>
      <c r="T4591" s="1">
        <v>0</v>
      </c>
      <c r="U4591" s="1">
        <v>0</v>
      </c>
      <c r="V4591" s="1" t="str">
        <f t="shared" si="869"/>
        <v>里程返程</v>
      </c>
      <c r="W4591" s="1" t="str">
        <f>"0020"</f>
        <v>0020</v>
      </c>
      <c r="X4591" s="1" t="s">
        <v>29</v>
      </c>
    </row>
    <row r="4592" spans="1:24" x14ac:dyDescent="0.3">
      <c r="A4592" s="1" t="str">
        <f t="shared" si="866"/>
        <v>59823</v>
      </c>
      <c r="B4592" s="1" t="s">
        <v>36</v>
      </c>
      <c r="C4592" s="1" t="s">
        <v>37</v>
      </c>
      <c r="D4592" s="1" t="str">
        <f t="shared" si="868"/>
        <v>9803</v>
      </c>
      <c r="E4592" s="1" t="s">
        <v>32</v>
      </c>
      <c r="F4592" s="1" t="str">
        <f>"812E1049F62804001C00000000000000"</f>
        <v>812E1049F62804001C00000000000000</v>
      </c>
      <c r="G4592" s="1" t="s">
        <v>58</v>
      </c>
      <c r="H4592" s="1" t="str">
        <f t="shared" si="865"/>
        <v>20220920</v>
      </c>
      <c r="I4592" s="1" t="str">
        <f>"120047"</f>
        <v>120047</v>
      </c>
      <c r="J4592" s="1" t="s">
        <v>34</v>
      </c>
      <c r="K4592" s="1" t="s">
        <v>34</v>
      </c>
      <c r="L4592" s="1" t="str">
        <f t="shared" si="867"/>
        <v>20220920</v>
      </c>
      <c r="M4592" s="1" t="str">
        <f>"122944"</f>
        <v>122944</v>
      </c>
      <c r="N4592" s="1" t="s">
        <v>28</v>
      </c>
      <c r="O4592" s="1" t="s">
        <v>28</v>
      </c>
      <c r="P4592" s="1" t="s">
        <v>55</v>
      </c>
      <c r="Q4592" s="1">
        <v>25</v>
      </c>
      <c r="R4592" s="1">
        <v>25</v>
      </c>
      <c r="S4592" s="1">
        <v>0</v>
      </c>
      <c r="T4592" s="1">
        <v>0</v>
      </c>
      <c r="U4592" s="1">
        <v>0</v>
      </c>
      <c r="V4592" s="1" t="str">
        <f t="shared" si="869"/>
        <v>里程返程</v>
      </c>
      <c r="W4592" s="1" t="str">
        <f>"0020"</f>
        <v>0020</v>
      </c>
      <c r="X4592" s="1" t="s">
        <v>29</v>
      </c>
    </row>
    <row r="4593" spans="1:24" x14ac:dyDescent="0.3">
      <c r="A4593" s="1" t="str">
        <f t="shared" si="866"/>
        <v>59823</v>
      </c>
      <c r="B4593" s="1" t="s">
        <v>36</v>
      </c>
      <c r="C4593" s="1" t="s">
        <v>37</v>
      </c>
      <c r="D4593" s="1" t="str">
        <f t="shared" si="868"/>
        <v>9803</v>
      </c>
      <c r="E4593" s="1" t="s">
        <v>32</v>
      </c>
      <c r="F4593" s="1" t="str">
        <f>"3760011783"</f>
        <v>3760011783</v>
      </c>
      <c r="G4593" s="1" t="s">
        <v>33</v>
      </c>
      <c r="H4593" s="1" t="str">
        <f t="shared" si="865"/>
        <v>20220920</v>
      </c>
      <c r="I4593" s="1" t="str">
        <f>"120055"</f>
        <v>120055</v>
      </c>
      <c r="J4593" s="1" t="s">
        <v>34</v>
      </c>
      <c r="K4593" s="1" t="s">
        <v>34</v>
      </c>
      <c r="L4593" s="1" t="str">
        <f t="shared" si="867"/>
        <v>20220920</v>
      </c>
      <c r="M4593" s="1" t="str">
        <f>"122927"</f>
        <v>122927</v>
      </c>
      <c r="N4593" s="1" t="s">
        <v>28</v>
      </c>
      <c r="O4593" s="1" t="s">
        <v>28</v>
      </c>
      <c r="P4593" s="1" t="s">
        <v>55</v>
      </c>
      <c r="Q4593" s="1">
        <v>25</v>
      </c>
      <c r="R4593" s="1">
        <v>25</v>
      </c>
      <c r="S4593" s="1">
        <v>0</v>
      </c>
      <c r="T4593" s="1">
        <v>0</v>
      </c>
      <c r="U4593" s="1">
        <v>0</v>
      </c>
      <c r="V4593" s="1" t="str">
        <f t="shared" si="869"/>
        <v>里程返程</v>
      </c>
      <c r="W4593" s="1" t="str">
        <f>"2020"</f>
        <v>2020</v>
      </c>
      <c r="X4593" s="1" t="s">
        <v>35</v>
      </c>
    </row>
    <row r="4594" spans="1:24" x14ac:dyDescent="0.3">
      <c r="A4594" s="1" t="str">
        <f t="shared" si="866"/>
        <v>59823</v>
      </c>
      <c r="B4594" s="1" t="s">
        <v>36</v>
      </c>
      <c r="C4594" s="1" t="s">
        <v>37</v>
      </c>
      <c r="D4594" s="1" t="str">
        <f t="shared" si="868"/>
        <v>9803</v>
      </c>
      <c r="E4594" s="1" t="s">
        <v>32</v>
      </c>
      <c r="F4594" s="1" t="str">
        <f>"113223317"</f>
        <v>113223317</v>
      </c>
      <c r="G4594" s="1" t="s">
        <v>33</v>
      </c>
      <c r="H4594" s="1" t="str">
        <f t="shared" si="865"/>
        <v>20220920</v>
      </c>
      <c r="I4594" s="1" t="str">
        <f>"120102"</f>
        <v>120102</v>
      </c>
      <c r="J4594" s="1" t="s">
        <v>34</v>
      </c>
      <c r="K4594" s="1" t="s">
        <v>34</v>
      </c>
      <c r="L4594" s="1" t="str">
        <f t="shared" si="867"/>
        <v>20220920</v>
      </c>
      <c r="M4594" s="1" t="str">
        <f>"122931"</f>
        <v>122931</v>
      </c>
      <c r="N4594" s="1" t="s">
        <v>28</v>
      </c>
      <c r="O4594" s="1" t="s">
        <v>28</v>
      </c>
      <c r="P4594" s="1" t="s">
        <v>55</v>
      </c>
      <c r="Q4594" s="1">
        <v>25</v>
      </c>
      <c r="R4594" s="1">
        <v>25</v>
      </c>
      <c r="S4594" s="1">
        <v>0</v>
      </c>
      <c r="T4594" s="1">
        <v>0</v>
      </c>
      <c r="U4594" s="1">
        <v>0</v>
      </c>
      <c r="V4594" s="1" t="str">
        <f t="shared" si="869"/>
        <v>里程返程</v>
      </c>
      <c r="W4594" s="1" t="str">
        <f>"2020"</f>
        <v>2020</v>
      </c>
      <c r="X4594" s="1" t="s">
        <v>35</v>
      </c>
    </row>
    <row r="4595" spans="1:24" x14ac:dyDescent="0.3">
      <c r="A4595" s="1" t="str">
        <f t="shared" si="866"/>
        <v>59823</v>
      </c>
      <c r="B4595" s="1" t="s">
        <v>36</v>
      </c>
      <c r="C4595" s="1" t="s">
        <v>37</v>
      </c>
      <c r="D4595" s="1" t="str">
        <f t="shared" si="868"/>
        <v>9803</v>
      </c>
      <c r="E4595" s="1" t="s">
        <v>32</v>
      </c>
      <c r="F4595" s="1" t="str">
        <f>"855043381"</f>
        <v>855043381</v>
      </c>
      <c r="G4595" s="1" t="s">
        <v>33</v>
      </c>
      <c r="H4595" s="1" t="str">
        <f t="shared" si="865"/>
        <v>20220920</v>
      </c>
      <c r="I4595" s="1" t="str">
        <f>"122213"</f>
        <v>122213</v>
      </c>
      <c r="J4595" s="1" t="s">
        <v>92</v>
      </c>
      <c r="K4595" s="1" t="s">
        <v>28</v>
      </c>
      <c r="L4595" s="1" t="str">
        <f t="shared" si="867"/>
        <v>20220920</v>
      </c>
      <c r="M4595" s="1" t="str">
        <f>"122920"</f>
        <v>122920</v>
      </c>
      <c r="N4595" s="1" t="s">
        <v>28</v>
      </c>
      <c r="O4595" s="1" t="s">
        <v>28</v>
      </c>
      <c r="P4595" s="1" t="s">
        <v>55</v>
      </c>
      <c r="Q4595" s="1">
        <v>25</v>
      </c>
      <c r="R4595" s="1">
        <v>25</v>
      </c>
      <c r="S4595" s="1">
        <v>0</v>
      </c>
      <c r="T4595" s="1">
        <v>0</v>
      </c>
      <c r="U4595" s="1">
        <v>0</v>
      </c>
      <c r="V4595" s="1" t="str">
        <f t="shared" si="869"/>
        <v>里程返程</v>
      </c>
      <c r="W4595" s="1" t="str">
        <f>"2020"</f>
        <v>2020</v>
      </c>
      <c r="X4595" s="1" t="s">
        <v>35</v>
      </c>
    </row>
    <row r="4596" spans="1:24" x14ac:dyDescent="0.3">
      <c r="A4596" s="1" t="str">
        <f t="shared" si="866"/>
        <v>59823</v>
      </c>
      <c r="B4596" s="1" t="s">
        <v>36</v>
      </c>
      <c r="C4596" s="1" t="s">
        <v>37</v>
      </c>
      <c r="D4596" s="1" t="str">
        <f t="shared" si="868"/>
        <v>9803</v>
      </c>
      <c r="E4596" s="1" t="s">
        <v>32</v>
      </c>
      <c r="F4596" s="1" t="str">
        <f>"1656503345"</f>
        <v>1656503345</v>
      </c>
      <c r="G4596" s="1" t="s">
        <v>33</v>
      </c>
      <c r="H4596" s="1" t="str">
        <f t="shared" si="865"/>
        <v>20220920</v>
      </c>
      <c r="I4596" s="1" t="str">
        <f>"122215"</f>
        <v>122215</v>
      </c>
      <c r="J4596" s="1" t="s">
        <v>92</v>
      </c>
      <c r="K4596" s="1" t="s">
        <v>28</v>
      </c>
      <c r="L4596" s="1" t="str">
        <f t="shared" si="867"/>
        <v>20220920</v>
      </c>
      <c r="M4596" s="1" t="str">
        <f>"122923"</f>
        <v>122923</v>
      </c>
      <c r="N4596" s="1" t="s">
        <v>28</v>
      </c>
      <c r="O4596" s="1" t="s">
        <v>28</v>
      </c>
      <c r="P4596" s="1" t="s">
        <v>55</v>
      </c>
      <c r="Q4596" s="1">
        <v>25</v>
      </c>
      <c r="R4596" s="1">
        <v>25</v>
      </c>
      <c r="S4596" s="1">
        <v>0</v>
      </c>
      <c r="T4596" s="1">
        <v>0</v>
      </c>
      <c r="U4596" s="1">
        <v>0</v>
      </c>
      <c r="V4596" s="1" t="str">
        <f t="shared" si="869"/>
        <v>里程返程</v>
      </c>
      <c r="W4596" s="1" t="str">
        <f>"2020"</f>
        <v>2020</v>
      </c>
      <c r="X4596" s="1" t="s">
        <v>35</v>
      </c>
    </row>
    <row r="4597" spans="1:24" x14ac:dyDescent="0.3">
      <c r="A4597" s="1" t="str">
        <f t="shared" si="866"/>
        <v>59823</v>
      </c>
      <c r="B4597" s="1" t="s">
        <v>36</v>
      </c>
      <c r="C4597" s="1" t="s">
        <v>37</v>
      </c>
      <c r="D4597" s="1" t="str">
        <f t="shared" si="868"/>
        <v>9803</v>
      </c>
      <c r="E4597" s="1" t="s">
        <v>32</v>
      </c>
      <c r="F4597" s="1" t="str">
        <f>"814142689"</f>
        <v>814142689</v>
      </c>
      <c r="G4597" s="1" t="s">
        <v>26</v>
      </c>
      <c r="H4597" s="1" t="str">
        <f t="shared" si="865"/>
        <v>20220920</v>
      </c>
      <c r="I4597" s="1" t="str">
        <f>"123011"</f>
        <v>123011</v>
      </c>
      <c r="J4597" s="1" t="s">
        <v>28</v>
      </c>
      <c r="K4597" s="1" t="s">
        <v>28</v>
      </c>
      <c r="L4597" s="1" t="str">
        <f t="shared" si="867"/>
        <v>20220920</v>
      </c>
      <c r="M4597" s="1" t="str">
        <f>"123938"</f>
        <v>123938</v>
      </c>
      <c r="N4597" s="1" t="s">
        <v>79</v>
      </c>
      <c r="O4597" s="1" t="s">
        <v>28</v>
      </c>
      <c r="P4597" s="1" t="s">
        <v>55</v>
      </c>
      <c r="Q4597" s="1">
        <v>13</v>
      </c>
      <c r="R4597" s="1">
        <v>0</v>
      </c>
      <c r="S4597" s="1">
        <v>13</v>
      </c>
      <c r="T4597" s="1">
        <v>0</v>
      </c>
      <c r="U4597" s="1">
        <v>0</v>
      </c>
      <c r="V4597" s="1" t="str">
        <f t="shared" ref="V4597:V4604" si="870">"里程去程"</f>
        <v>里程去程</v>
      </c>
      <c r="W4597" s="1" t="str">
        <f>"0820"</f>
        <v>0820</v>
      </c>
      <c r="X4597" s="1" t="s">
        <v>35</v>
      </c>
    </row>
    <row r="4598" spans="1:24" x14ac:dyDescent="0.3">
      <c r="A4598" s="1" t="str">
        <f t="shared" si="866"/>
        <v>59823</v>
      </c>
      <c r="B4598" s="1" t="s">
        <v>36</v>
      </c>
      <c r="C4598" s="1" t="s">
        <v>37</v>
      </c>
      <c r="D4598" s="1" t="str">
        <f t="shared" si="868"/>
        <v>9803</v>
      </c>
      <c r="E4598" s="1" t="s">
        <v>32</v>
      </c>
      <c r="F4598" s="1" t="str">
        <f>"888690417"</f>
        <v>888690417</v>
      </c>
      <c r="G4598" s="1" t="s">
        <v>26</v>
      </c>
      <c r="H4598" s="1" t="str">
        <f t="shared" si="865"/>
        <v>20220920</v>
      </c>
      <c r="I4598" s="1" t="str">
        <f>"123014"</f>
        <v>123014</v>
      </c>
      <c r="J4598" s="1" t="s">
        <v>28</v>
      </c>
      <c r="K4598" s="1" t="s">
        <v>28</v>
      </c>
      <c r="L4598" s="1" t="str">
        <f t="shared" si="867"/>
        <v>20220920</v>
      </c>
      <c r="M4598" s="1" t="str">
        <f>"123935"</f>
        <v>123935</v>
      </c>
      <c r="N4598" s="1" t="s">
        <v>79</v>
      </c>
      <c r="O4598" s="1" t="s">
        <v>28</v>
      </c>
      <c r="P4598" s="1" t="s">
        <v>55</v>
      </c>
      <c r="Q4598" s="1">
        <v>13</v>
      </c>
      <c r="R4598" s="1">
        <v>0</v>
      </c>
      <c r="S4598" s="1">
        <v>13</v>
      </c>
      <c r="T4598" s="1">
        <v>0</v>
      </c>
      <c r="U4598" s="1">
        <v>0</v>
      </c>
      <c r="V4598" s="1" t="str">
        <f t="shared" si="870"/>
        <v>里程去程</v>
      </c>
      <c r="W4598" s="1" t="str">
        <f>"0820"</f>
        <v>0820</v>
      </c>
      <c r="X4598" s="1" t="s">
        <v>35</v>
      </c>
    </row>
    <row r="4599" spans="1:24" x14ac:dyDescent="0.3">
      <c r="A4599" s="1" t="str">
        <f t="shared" si="866"/>
        <v>59823</v>
      </c>
      <c r="B4599" s="1" t="s">
        <v>36</v>
      </c>
      <c r="C4599" s="1" t="s">
        <v>37</v>
      </c>
      <c r="D4599" s="1" t="str">
        <f t="shared" si="868"/>
        <v>9803</v>
      </c>
      <c r="E4599" s="1" t="s">
        <v>32</v>
      </c>
      <c r="F4599" s="1" t="str">
        <f>"33F3EADBF188040046BA14184D900910"</f>
        <v>33F3EADBF188040046BA14184D900910</v>
      </c>
      <c r="G4599" s="1" t="s">
        <v>64</v>
      </c>
      <c r="H4599" s="1" t="str">
        <f t="shared" si="865"/>
        <v>20220920</v>
      </c>
      <c r="I4599" s="1" t="str">
        <f>"123021"</f>
        <v>123021</v>
      </c>
      <c r="J4599" s="1" t="s">
        <v>28</v>
      </c>
      <c r="K4599" s="1" t="s">
        <v>28</v>
      </c>
      <c r="L4599" s="1" t="str">
        <f t="shared" si="867"/>
        <v>20220920</v>
      </c>
      <c r="M4599" s="1" t="str">
        <f>"125004"</f>
        <v>125004</v>
      </c>
      <c r="N4599" s="1" t="s">
        <v>34</v>
      </c>
      <c r="O4599" s="1" t="s">
        <v>34</v>
      </c>
      <c r="P4599" s="1" t="s">
        <v>55</v>
      </c>
      <c r="Q4599" s="1">
        <v>13</v>
      </c>
      <c r="R4599" s="1">
        <v>13</v>
      </c>
      <c r="S4599" s="1">
        <v>0</v>
      </c>
      <c r="T4599" s="1">
        <v>0</v>
      </c>
      <c r="U4599" s="1">
        <v>0</v>
      </c>
      <c r="V4599" s="1" t="str">
        <f t="shared" si="870"/>
        <v>里程去程</v>
      </c>
      <c r="W4599" s="1" t="str">
        <f>"0020"</f>
        <v>0020</v>
      </c>
      <c r="X4599" s="1" t="s">
        <v>29</v>
      </c>
    </row>
    <row r="4600" spans="1:24" x14ac:dyDescent="0.3">
      <c r="A4600" s="1" t="str">
        <f t="shared" si="866"/>
        <v>59823</v>
      </c>
      <c r="B4600" s="1" t="s">
        <v>36</v>
      </c>
      <c r="C4600" s="1" t="s">
        <v>37</v>
      </c>
      <c r="D4600" s="1" t="str">
        <f t="shared" si="868"/>
        <v>9803</v>
      </c>
      <c r="E4600" s="1" t="s">
        <v>32</v>
      </c>
      <c r="F4600" s="1" t="str">
        <f>"811892837"</f>
        <v>811892837</v>
      </c>
      <c r="G4600" s="1" t="s">
        <v>33</v>
      </c>
      <c r="H4600" s="1" t="str">
        <f t="shared" si="865"/>
        <v>20220920</v>
      </c>
      <c r="I4600" s="1" t="str">
        <f>"123024"</f>
        <v>123024</v>
      </c>
      <c r="J4600" s="1" t="s">
        <v>28</v>
      </c>
      <c r="K4600" s="1" t="s">
        <v>28</v>
      </c>
      <c r="L4600" s="1" t="str">
        <f t="shared" si="867"/>
        <v>20220920</v>
      </c>
      <c r="M4600" s="1" t="str">
        <f>"125024"</f>
        <v>125024</v>
      </c>
      <c r="N4600" s="1" t="s">
        <v>34</v>
      </c>
      <c r="O4600" s="1" t="s">
        <v>34</v>
      </c>
      <c r="P4600" s="1" t="s">
        <v>55</v>
      </c>
      <c r="Q4600" s="1">
        <v>25</v>
      </c>
      <c r="R4600" s="1">
        <v>25</v>
      </c>
      <c r="S4600" s="1">
        <v>0</v>
      </c>
      <c r="T4600" s="1">
        <v>0</v>
      </c>
      <c r="U4600" s="1">
        <v>0</v>
      </c>
      <c r="V4600" s="1" t="str">
        <f t="shared" si="870"/>
        <v>里程去程</v>
      </c>
      <c r="W4600" s="1" t="str">
        <f>"0320"</f>
        <v>0320</v>
      </c>
      <c r="X4600" s="1" t="s">
        <v>35</v>
      </c>
    </row>
    <row r="4601" spans="1:24" x14ac:dyDescent="0.3">
      <c r="A4601" s="1" t="str">
        <f t="shared" si="866"/>
        <v>59823</v>
      </c>
      <c r="B4601" s="1" t="s">
        <v>36</v>
      </c>
      <c r="C4601" s="1" t="s">
        <v>37</v>
      </c>
      <c r="D4601" s="1" t="str">
        <f t="shared" si="868"/>
        <v>9803</v>
      </c>
      <c r="E4601" s="1" t="s">
        <v>32</v>
      </c>
      <c r="F4601" s="1" t="str">
        <f>"1138630837"</f>
        <v>1138630837</v>
      </c>
      <c r="G4601" s="1" t="s">
        <v>33</v>
      </c>
      <c r="H4601" s="1" t="str">
        <f t="shared" si="865"/>
        <v>20220920</v>
      </c>
      <c r="I4601" s="1" t="str">
        <f>"123033"</f>
        <v>123033</v>
      </c>
      <c r="J4601" s="1" t="s">
        <v>28</v>
      </c>
      <c r="K4601" s="1" t="s">
        <v>28</v>
      </c>
      <c r="L4601" s="1" t="str">
        <f t="shared" si="867"/>
        <v>20220920</v>
      </c>
      <c r="M4601" s="1" t="str">
        <f>"125000"</f>
        <v>125000</v>
      </c>
      <c r="N4601" s="1" t="s">
        <v>34</v>
      </c>
      <c r="O4601" s="1" t="s">
        <v>34</v>
      </c>
      <c r="P4601" s="1" t="s">
        <v>55</v>
      </c>
      <c r="Q4601" s="1">
        <v>25</v>
      </c>
      <c r="R4601" s="1">
        <v>25</v>
      </c>
      <c r="S4601" s="1">
        <v>0</v>
      </c>
      <c r="T4601" s="1">
        <v>0</v>
      </c>
      <c r="U4601" s="1">
        <v>0</v>
      </c>
      <c r="V4601" s="1" t="str">
        <f t="shared" si="870"/>
        <v>里程去程</v>
      </c>
      <c r="W4601" s="1" t="str">
        <f>"0e20"</f>
        <v>0e20</v>
      </c>
      <c r="X4601" s="1" t="s">
        <v>35</v>
      </c>
    </row>
    <row r="4602" spans="1:24" x14ac:dyDescent="0.3">
      <c r="A4602" s="1" t="str">
        <f t="shared" si="866"/>
        <v>59823</v>
      </c>
      <c r="B4602" s="1" t="s">
        <v>36</v>
      </c>
      <c r="C4602" s="1" t="s">
        <v>37</v>
      </c>
      <c r="D4602" s="1" t="str">
        <f t="shared" si="868"/>
        <v>9803</v>
      </c>
      <c r="E4602" s="1" t="s">
        <v>32</v>
      </c>
      <c r="F4602" s="1" t="str">
        <f>"12DAF3162D880400C814002000000019"</f>
        <v>12DAF3162D880400C814002000000019</v>
      </c>
      <c r="G4602" s="1" t="s">
        <v>64</v>
      </c>
      <c r="H4602" s="1" t="str">
        <f t="shared" si="865"/>
        <v>20220920</v>
      </c>
      <c r="I4602" s="1" t="str">
        <f>"123103"</f>
        <v>123103</v>
      </c>
      <c r="J4602" s="1" t="s">
        <v>28</v>
      </c>
      <c r="K4602" s="1" t="s">
        <v>28</v>
      </c>
      <c r="L4602" s="1" t="str">
        <f t="shared" si="867"/>
        <v>20220920</v>
      </c>
      <c r="M4602" s="1" t="str">
        <f>"125013"</f>
        <v>125013</v>
      </c>
      <c r="N4602" s="1" t="s">
        <v>34</v>
      </c>
      <c r="O4602" s="1" t="s">
        <v>34</v>
      </c>
      <c r="P4602" s="1" t="s">
        <v>55</v>
      </c>
      <c r="Q4602" s="1">
        <v>13</v>
      </c>
      <c r="R4602" s="1">
        <v>0</v>
      </c>
      <c r="S4602" s="1">
        <v>13</v>
      </c>
      <c r="T4602" s="1">
        <v>0</v>
      </c>
      <c r="U4602" s="1">
        <v>0</v>
      </c>
      <c r="V4602" s="1" t="str">
        <f t="shared" si="870"/>
        <v>里程去程</v>
      </c>
      <c r="W4602" s="1" t="str">
        <f>"0620"</f>
        <v>0620</v>
      </c>
      <c r="X4602" s="1" t="s">
        <v>29</v>
      </c>
    </row>
    <row r="4603" spans="1:24" x14ac:dyDescent="0.3">
      <c r="A4603" s="1" t="str">
        <f t="shared" si="866"/>
        <v>59823</v>
      </c>
      <c r="B4603" s="1" t="s">
        <v>36</v>
      </c>
      <c r="C4603" s="1" t="s">
        <v>37</v>
      </c>
      <c r="D4603" s="1" t="str">
        <f t="shared" si="868"/>
        <v>9803</v>
      </c>
      <c r="E4603" s="1" t="s">
        <v>32</v>
      </c>
      <c r="F4603" s="1" t="str">
        <f>"1722258085"</f>
        <v>1722258085</v>
      </c>
      <c r="G4603" s="1" t="s">
        <v>38</v>
      </c>
      <c r="H4603" s="1" t="str">
        <f t="shared" si="865"/>
        <v>20220920</v>
      </c>
      <c r="I4603" s="1" t="str">
        <f>"123119"</f>
        <v>123119</v>
      </c>
      <c r="J4603" s="1" t="s">
        <v>28</v>
      </c>
      <c r="K4603" s="1" t="s">
        <v>28</v>
      </c>
      <c r="L4603" s="1" t="str">
        <f t="shared" si="867"/>
        <v>20220920</v>
      </c>
      <c r="M4603" s="1" t="str">
        <f>"125027"</f>
        <v>125027</v>
      </c>
      <c r="N4603" s="1" t="s">
        <v>34</v>
      </c>
      <c r="O4603" s="1" t="s">
        <v>34</v>
      </c>
      <c r="P4603" s="1" t="s">
        <v>55</v>
      </c>
      <c r="Q4603" s="1">
        <v>25</v>
      </c>
      <c r="R4603" s="1">
        <v>25</v>
      </c>
      <c r="S4603" s="1">
        <v>0</v>
      </c>
      <c r="T4603" s="1">
        <v>0</v>
      </c>
      <c r="U4603" s="1">
        <v>0</v>
      </c>
      <c r="V4603" s="1" t="str">
        <f t="shared" si="870"/>
        <v>里程去程</v>
      </c>
      <c r="W4603" s="1" t="str">
        <f>"1620"</f>
        <v>1620</v>
      </c>
      <c r="X4603" s="1" t="s">
        <v>35</v>
      </c>
    </row>
    <row r="4604" spans="1:24" x14ac:dyDescent="0.3">
      <c r="A4604" s="1" t="str">
        <f t="shared" si="866"/>
        <v>59823</v>
      </c>
      <c r="B4604" s="1" t="s">
        <v>36</v>
      </c>
      <c r="C4604" s="1" t="s">
        <v>37</v>
      </c>
      <c r="D4604" s="1" t="str">
        <f t="shared" si="868"/>
        <v>9803</v>
      </c>
      <c r="E4604" s="1" t="s">
        <v>32</v>
      </c>
      <c r="F4604" s="1" t="str">
        <f>"1123628689"</f>
        <v>1123628689</v>
      </c>
      <c r="G4604" s="1" t="s">
        <v>33</v>
      </c>
      <c r="H4604" s="1" t="str">
        <f t="shared" si="865"/>
        <v>20220920</v>
      </c>
      <c r="I4604" s="1" t="str">
        <f>"123137"</f>
        <v>123137</v>
      </c>
      <c r="J4604" s="1" t="s">
        <v>28</v>
      </c>
      <c r="K4604" s="1" t="s">
        <v>28</v>
      </c>
      <c r="L4604" s="1" t="str">
        <f t="shared" si="867"/>
        <v>20220920</v>
      </c>
      <c r="M4604" s="1" t="str">
        <f>"125018"</f>
        <v>125018</v>
      </c>
      <c r="N4604" s="1" t="s">
        <v>34</v>
      </c>
      <c r="O4604" s="1" t="s">
        <v>34</v>
      </c>
      <c r="P4604" s="1" t="s">
        <v>55</v>
      </c>
      <c r="Q4604" s="1">
        <v>25</v>
      </c>
      <c r="R4604" s="1">
        <v>25</v>
      </c>
      <c r="S4604" s="1">
        <v>0</v>
      </c>
      <c r="T4604" s="1">
        <v>0</v>
      </c>
      <c r="U4604" s="1">
        <v>0</v>
      </c>
      <c r="V4604" s="1" t="str">
        <f t="shared" si="870"/>
        <v>里程去程</v>
      </c>
      <c r="W4604" s="1" t="str">
        <f>"0620"</f>
        <v>0620</v>
      </c>
      <c r="X4604" s="1" t="s">
        <v>35</v>
      </c>
    </row>
    <row r="4605" spans="1:24" x14ac:dyDescent="0.3">
      <c r="A4605" s="1" t="str">
        <f t="shared" si="866"/>
        <v>59823</v>
      </c>
      <c r="B4605" s="1" t="s">
        <v>36</v>
      </c>
      <c r="C4605" s="1" t="s">
        <v>37</v>
      </c>
      <c r="D4605" s="1" t="str">
        <f t="shared" si="868"/>
        <v>9803</v>
      </c>
      <c r="E4605" s="1" t="s">
        <v>32</v>
      </c>
      <c r="F4605" s="1" t="str">
        <f>"F12EBF0060880400432494C60005080E"</f>
        <v>F12EBF0060880400432494C60005080E</v>
      </c>
      <c r="G4605" s="1" t="s">
        <v>64</v>
      </c>
      <c r="H4605" s="1" t="str">
        <f t="shared" si="865"/>
        <v>20220920</v>
      </c>
      <c r="I4605" s="1" t="str">
        <f>"131230"</f>
        <v>131230</v>
      </c>
      <c r="J4605" s="1" t="s">
        <v>46</v>
      </c>
      <c r="K4605" s="1" t="s">
        <v>28</v>
      </c>
      <c r="L4605" s="1" t="str">
        <f t="shared" si="867"/>
        <v>20220920</v>
      </c>
      <c r="M4605" s="1" t="str">
        <f>"132810"</f>
        <v>132810</v>
      </c>
      <c r="N4605" s="1" t="s">
        <v>28</v>
      </c>
      <c r="O4605" s="1" t="s">
        <v>28</v>
      </c>
      <c r="P4605" s="1" t="s">
        <v>55</v>
      </c>
      <c r="Q4605" s="1">
        <v>13</v>
      </c>
      <c r="R4605" s="1">
        <v>13</v>
      </c>
      <c r="S4605" s="1">
        <v>0</v>
      </c>
      <c r="T4605" s="1">
        <v>0</v>
      </c>
      <c r="U4605" s="1">
        <v>0</v>
      </c>
      <c r="V4605" s="1" t="str">
        <f t="shared" ref="V4605:V4620" si="871">"里程返程"</f>
        <v>里程返程</v>
      </c>
      <c r="W4605" s="1" t="str">
        <f>"0020"</f>
        <v>0020</v>
      </c>
      <c r="X4605" s="1" t="s">
        <v>29</v>
      </c>
    </row>
    <row r="4606" spans="1:24" x14ac:dyDescent="0.3">
      <c r="A4606" s="1" t="str">
        <f t="shared" si="866"/>
        <v>59823</v>
      </c>
      <c r="B4606" s="1" t="s">
        <v>36</v>
      </c>
      <c r="C4606" s="1" t="s">
        <v>37</v>
      </c>
      <c r="D4606" s="1" t="str">
        <f t="shared" si="868"/>
        <v>9803</v>
      </c>
      <c r="E4606" s="1" t="s">
        <v>32</v>
      </c>
      <c r="F4606" s="1" t="str">
        <f>"E8D48D8130880400468E1E1341500713"</f>
        <v>E8D48D8130880400468E1E1341500713</v>
      </c>
      <c r="G4606" s="1" t="s">
        <v>64</v>
      </c>
      <c r="H4606" s="1" t="str">
        <f t="shared" si="865"/>
        <v>20220920</v>
      </c>
      <c r="I4606" s="1" t="str">
        <f>"131232"</f>
        <v>131232</v>
      </c>
      <c r="J4606" s="1" t="s">
        <v>46</v>
      </c>
      <c r="K4606" s="1" t="s">
        <v>28</v>
      </c>
      <c r="L4606" s="1" t="str">
        <f t="shared" si="867"/>
        <v>20220920</v>
      </c>
      <c r="M4606" s="1" t="str">
        <f>"132804"</f>
        <v>132804</v>
      </c>
      <c r="N4606" s="1" t="s">
        <v>28</v>
      </c>
      <c r="O4606" s="1" t="s">
        <v>28</v>
      </c>
      <c r="P4606" s="1" t="s">
        <v>55</v>
      </c>
      <c r="Q4606" s="1">
        <v>13</v>
      </c>
      <c r="R4606" s="1">
        <v>13</v>
      </c>
      <c r="S4606" s="1">
        <v>0</v>
      </c>
      <c r="T4606" s="1">
        <v>0</v>
      </c>
      <c r="U4606" s="1">
        <v>0</v>
      </c>
      <c r="V4606" s="1" t="str">
        <f t="shared" si="871"/>
        <v>里程返程</v>
      </c>
      <c r="W4606" s="1" t="str">
        <f>"0020"</f>
        <v>0020</v>
      </c>
      <c r="X4606" s="1" t="s">
        <v>29</v>
      </c>
    </row>
    <row r="4607" spans="1:24" x14ac:dyDescent="0.3">
      <c r="A4607" s="1" t="str">
        <f t="shared" si="866"/>
        <v>59823</v>
      </c>
      <c r="B4607" s="1" t="s">
        <v>36</v>
      </c>
      <c r="C4607" s="1" t="s">
        <v>37</v>
      </c>
      <c r="D4607" s="1" t="str">
        <f t="shared" si="868"/>
        <v>9803</v>
      </c>
      <c r="E4607" s="1" t="s">
        <v>32</v>
      </c>
      <c r="F4607" s="1" t="str">
        <f>"1764161189"</f>
        <v>1764161189</v>
      </c>
      <c r="G4607" s="1" t="s">
        <v>33</v>
      </c>
      <c r="H4607" s="1" t="str">
        <f t="shared" si="865"/>
        <v>20220920</v>
      </c>
      <c r="I4607" s="1" t="str">
        <f>"161110"</f>
        <v>161110</v>
      </c>
      <c r="J4607" s="1" t="s">
        <v>34</v>
      </c>
      <c r="K4607" s="1" t="s">
        <v>34</v>
      </c>
      <c r="L4607" s="1" t="str">
        <f t="shared" si="867"/>
        <v>20220920</v>
      </c>
      <c r="M4607" s="1" t="str">
        <f>"164013"</f>
        <v>164013</v>
      </c>
      <c r="N4607" s="1" t="s">
        <v>28</v>
      </c>
      <c r="O4607" s="1" t="s">
        <v>28</v>
      </c>
      <c r="P4607" s="1" t="s">
        <v>55</v>
      </c>
      <c r="Q4607" s="1">
        <v>25</v>
      </c>
      <c r="R4607" s="1">
        <v>25</v>
      </c>
      <c r="S4607" s="1">
        <v>0</v>
      </c>
      <c r="T4607" s="1">
        <v>0</v>
      </c>
      <c r="U4607" s="1">
        <v>0</v>
      </c>
      <c r="V4607" s="1" t="str">
        <f t="shared" si="871"/>
        <v>里程返程</v>
      </c>
      <c r="W4607" s="1" t="str">
        <f>"2020"</f>
        <v>2020</v>
      </c>
      <c r="X4607" s="1" t="s">
        <v>35</v>
      </c>
    </row>
    <row r="4608" spans="1:24" x14ac:dyDescent="0.3">
      <c r="A4608" s="1" t="str">
        <f t="shared" si="866"/>
        <v>59823</v>
      </c>
      <c r="B4608" s="1" t="s">
        <v>36</v>
      </c>
      <c r="C4608" s="1" t="s">
        <v>37</v>
      </c>
      <c r="D4608" s="1" t="str">
        <f t="shared" si="868"/>
        <v>9803</v>
      </c>
      <c r="E4608" s="1" t="s">
        <v>32</v>
      </c>
      <c r="F4608" s="1" t="str">
        <f>"D204451784880400C814002000000019"</f>
        <v>D204451784880400C814002000000019</v>
      </c>
      <c r="G4608" s="1" t="s">
        <v>58</v>
      </c>
      <c r="H4608" s="1" t="str">
        <f t="shared" si="865"/>
        <v>20220920</v>
      </c>
      <c r="I4608" s="1" t="str">
        <f>"161113"</f>
        <v>161113</v>
      </c>
      <c r="J4608" s="1" t="s">
        <v>34</v>
      </c>
      <c r="K4608" s="1" t="s">
        <v>34</v>
      </c>
      <c r="L4608" s="1" t="str">
        <f t="shared" si="867"/>
        <v>20220920</v>
      </c>
      <c r="M4608" s="1" t="str">
        <f>"164011"</f>
        <v>164011</v>
      </c>
      <c r="N4608" s="1" t="s">
        <v>28</v>
      </c>
      <c r="O4608" s="1" t="s">
        <v>28</v>
      </c>
      <c r="P4608" s="1" t="s">
        <v>55</v>
      </c>
      <c r="Q4608" s="1">
        <v>25</v>
      </c>
      <c r="R4608" s="1">
        <v>25</v>
      </c>
      <c r="S4608" s="1">
        <v>0</v>
      </c>
      <c r="T4608" s="1">
        <v>0</v>
      </c>
      <c r="U4608" s="1">
        <v>0</v>
      </c>
      <c r="V4608" s="1" t="str">
        <f t="shared" si="871"/>
        <v>里程返程</v>
      </c>
      <c r="W4608" s="1" t="str">
        <f>"0020"</f>
        <v>0020</v>
      </c>
      <c r="X4608" s="1" t="s">
        <v>29</v>
      </c>
    </row>
    <row r="4609" spans="1:24" x14ac:dyDescent="0.3">
      <c r="A4609" s="1" t="str">
        <f t="shared" si="866"/>
        <v>59823</v>
      </c>
      <c r="B4609" s="1" t="s">
        <v>36</v>
      </c>
      <c r="C4609" s="1" t="s">
        <v>37</v>
      </c>
      <c r="D4609" s="1" t="str">
        <f t="shared" si="868"/>
        <v>9803</v>
      </c>
      <c r="E4609" s="1" t="s">
        <v>32</v>
      </c>
      <c r="F4609" s="1" t="str">
        <f>"1138285717"</f>
        <v>1138285717</v>
      </c>
      <c r="G4609" s="1" t="s">
        <v>33</v>
      </c>
      <c r="H4609" s="1" t="str">
        <f t="shared" si="865"/>
        <v>20220920</v>
      </c>
      <c r="I4609" s="1" t="str">
        <f>"161120"</f>
        <v>161120</v>
      </c>
      <c r="J4609" s="1" t="s">
        <v>34</v>
      </c>
      <c r="K4609" s="1" t="s">
        <v>34</v>
      </c>
      <c r="L4609" s="1" t="str">
        <f t="shared" si="867"/>
        <v>20220920</v>
      </c>
      <c r="M4609" s="1" t="str">
        <f>"163930"</f>
        <v>163930</v>
      </c>
      <c r="N4609" s="1" t="s">
        <v>28</v>
      </c>
      <c r="O4609" s="1" t="s">
        <v>28</v>
      </c>
      <c r="P4609" s="1" t="s">
        <v>55</v>
      </c>
      <c r="Q4609" s="1">
        <v>25</v>
      </c>
      <c r="R4609" s="1">
        <v>25</v>
      </c>
      <c r="S4609" s="1">
        <v>0</v>
      </c>
      <c r="T4609" s="1">
        <v>0</v>
      </c>
      <c r="U4609" s="1">
        <v>0</v>
      </c>
      <c r="V4609" s="1" t="str">
        <f t="shared" si="871"/>
        <v>里程返程</v>
      </c>
      <c r="W4609" s="1" t="str">
        <f>"0620"</f>
        <v>0620</v>
      </c>
      <c r="X4609" s="1" t="s">
        <v>35</v>
      </c>
    </row>
    <row r="4610" spans="1:24" x14ac:dyDescent="0.3">
      <c r="A4610" s="1" t="str">
        <f t="shared" si="866"/>
        <v>59823</v>
      </c>
      <c r="B4610" s="1" t="s">
        <v>36</v>
      </c>
      <c r="C4610" s="1" t="s">
        <v>37</v>
      </c>
      <c r="D4610" s="1" t="str">
        <f t="shared" si="868"/>
        <v>9803</v>
      </c>
      <c r="E4610" s="1" t="s">
        <v>32</v>
      </c>
      <c r="F4610" s="1" t="str">
        <f>"931620613"</f>
        <v>931620613</v>
      </c>
      <c r="G4610" s="1" t="s">
        <v>38</v>
      </c>
      <c r="H4610" s="1" t="str">
        <f t="shared" ref="H4610:H4641" si="872">"20220920"</f>
        <v>20220920</v>
      </c>
      <c r="I4610" s="1" t="str">
        <f>"161122"</f>
        <v>161122</v>
      </c>
      <c r="J4610" s="1" t="s">
        <v>34</v>
      </c>
      <c r="K4610" s="1" t="s">
        <v>34</v>
      </c>
      <c r="L4610" s="1" t="str">
        <f t="shared" si="867"/>
        <v>20220920</v>
      </c>
      <c r="M4610" s="1" t="str">
        <f>"163925"</f>
        <v>163925</v>
      </c>
      <c r="N4610" s="1" t="s">
        <v>28</v>
      </c>
      <c r="O4610" s="1" t="s">
        <v>28</v>
      </c>
      <c r="P4610" s="1" t="s">
        <v>55</v>
      </c>
      <c r="Q4610" s="1">
        <v>25</v>
      </c>
      <c r="R4610" s="1">
        <v>25</v>
      </c>
      <c r="S4610" s="1">
        <v>0</v>
      </c>
      <c r="T4610" s="1">
        <v>0</v>
      </c>
      <c r="U4610" s="1">
        <v>0</v>
      </c>
      <c r="V4610" s="1" t="str">
        <f t="shared" si="871"/>
        <v>里程返程</v>
      </c>
      <c r="W4610" s="1" t="str">
        <f>"1420"</f>
        <v>1420</v>
      </c>
      <c r="X4610" s="1" t="s">
        <v>35</v>
      </c>
    </row>
    <row r="4611" spans="1:24" x14ac:dyDescent="0.3">
      <c r="A4611" s="1" t="str">
        <f t="shared" si="866"/>
        <v>59823</v>
      </c>
      <c r="B4611" s="1" t="s">
        <v>36</v>
      </c>
      <c r="C4611" s="1" t="s">
        <v>37</v>
      </c>
      <c r="D4611" s="1" t="str">
        <f t="shared" si="868"/>
        <v>9803</v>
      </c>
      <c r="E4611" s="1" t="s">
        <v>32</v>
      </c>
      <c r="F4611" s="1" t="str">
        <f>"1174343653"</f>
        <v>1174343653</v>
      </c>
      <c r="G4611" s="1" t="s">
        <v>38</v>
      </c>
      <c r="H4611" s="1" t="str">
        <f t="shared" si="872"/>
        <v>20220920</v>
      </c>
      <c r="I4611" s="1" t="str">
        <f>"161131"</f>
        <v>161131</v>
      </c>
      <c r="J4611" s="1" t="s">
        <v>34</v>
      </c>
      <c r="K4611" s="1" t="s">
        <v>34</v>
      </c>
      <c r="L4611" s="1" t="str">
        <f t="shared" si="867"/>
        <v>20220920</v>
      </c>
      <c r="M4611" s="1" t="str">
        <f>"163955"</f>
        <v>163955</v>
      </c>
      <c r="N4611" s="1" t="s">
        <v>28</v>
      </c>
      <c r="O4611" s="1" t="s">
        <v>28</v>
      </c>
      <c r="P4611" s="1" t="s">
        <v>55</v>
      </c>
      <c r="Q4611" s="1">
        <v>25</v>
      </c>
      <c r="R4611" s="1">
        <v>25</v>
      </c>
      <c r="S4611" s="1">
        <v>0</v>
      </c>
      <c r="T4611" s="1">
        <v>0</v>
      </c>
      <c r="U4611" s="1">
        <v>0</v>
      </c>
      <c r="V4611" s="1" t="str">
        <f t="shared" si="871"/>
        <v>里程返程</v>
      </c>
      <c r="W4611" s="1" t="str">
        <f>"0820"</f>
        <v>0820</v>
      </c>
      <c r="X4611" s="1" t="s">
        <v>35</v>
      </c>
    </row>
    <row r="4612" spans="1:24" x14ac:dyDescent="0.3">
      <c r="A4612" s="1" t="str">
        <f t="shared" si="866"/>
        <v>59823</v>
      </c>
      <c r="B4612" s="1" t="s">
        <v>36</v>
      </c>
      <c r="C4612" s="1" t="s">
        <v>37</v>
      </c>
      <c r="D4612" s="1" t="str">
        <f t="shared" si="868"/>
        <v>9803</v>
      </c>
      <c r="E4612" s="1" t="s">
        <v>32</v>
      </c>
      <c r="F4612" s="1" t="str">
        <f>"B2C6420E38880400C806002000000018"</f>
        <v>B2C6420E38880400C806002000000018</v>
      </c>
      <c r="G4612" s="1" t="s">
        <v>59</v>
      </c>
      <c r="H4612" s="1" t="str">
        <f t="shared" si="872"/>
        <v>20220920</v>
      </c>
      <c r="I4612" s="1" t="str">
        <f>"161137"</f>
        <v>161137</v>
      </c>
      <c r="J4612" s="1" t="s">
        <v>34</v>
      </c>
      <c r="K4612" s="1" t="s">
        <v>34</v>
      </c>
      <c r="L4612" s="1" t="str">
        <f t="shared" si="867"/>
        <v>20220920</v>
      </c>
      <c r="M4612" s="1" t="str">
        <f>"163938"</f>
        <v>163938</v>
      </c>
      <c r="N4612" s="1" t="s">
        <v>28</v>
      </c>
      <c r="O4612" s="1" t="s">
        <v>28</v>
      </c>
      <c r="P4612" s="1" t="s">
        <v>55</v>
      </c>
      <c r="Q4612" s="1">
        <v>25</v>
      </c>
      <c r="R4612" s="1">
        <v>25</v>
      </c>
      <c r="S4612" s="1">
        <v>0</v>
      </c>
      <c r="T4612" s="1">
        <v>0</v>
      </c>
      <c r="U4612" s="1">
        <v>0</v>
      </c>
      <c r="V4612" s="1" t="str">
        <f t="shared" si="871"/>
        <v>里程返程</v>
      </c>
      <c r="W4612" s="1" t="str">
        <f>"0020"</f>
        <v>0020</v>
      </c>
      <c r="X4612" s="1" t="s">
        <v>29</v>
      </c>
    </row>
    <row r="4613" spans="1:24" x14ac:dyDescent="0.3">
      <c r="A4613" s="1" t="str">
        <f t="shared" si="866"/>
        <v>59823</v>
      </c>
      <c r="B4613" s="1" t="s">
        <v>36</v>
      </c>
      <c r="C4613" s="1" t="s">
        <v>37</v>
      </c>
      <c r="D4613" s="1" t="str">
        <f t="shared" si="868"/>
        <v>9803</v>
      </c>
      <c r="E4613" s="1" t="s">
        <v>32</v>
      </c>
      <c r="F4613" s="1" t="str">
        <f>"1499316321"</f>
        <v>1499316321</v>
      </c>
      <c r="G4613" s="1" t="s">
        <v>33</v>
      </c>
      <c r="H4613" s="1" t="str">
        <f t="shared" si="872"/>
        <v>20220920</v>
      </c>
      <c r="I4613" s="1" t="str">
        <f>"161147"</f>
        <v>161147</v>
      </c>
      <c r="J4613" s="1" t="s">
        <v>34</v>
      </c>
      <c r="K4613" s="1" t="s">
        <v>34</v>
      </c>
      <c r="L4613" s="1" t="str">
        <f t="shared" si="867"/>
        <v>20220920</v>
      </c>
      <c r="M4613" s="1" t="str">
        <f>"163950"</f>
        <v>163950</v>
      </c>
      <c r="N4613" s="1" t="s">
        <v>28</v>
      </c>
      <c r="O4613" s="1" t="s">
        <v>28</v>
      </c>
      <c r="P4613" s="1" t="s">
        <v>55</v>
      </c>
      <c r="Q4613" s="1">
        <v>25</v>
      </c>
      <c r="R4613" s="1">
        <v>25</v>
      </c>
      <c r="S4613" s="1">
        <v>0</v>
      </c>
      <c r="T4613" s="1">
        <v>0</v>
      </c>
      <c r="U4613" s="1">
        <v>0</v>
      </c>
      <c r="V4613" s="1" t="str">
        <f t="shared" si="871"/>
        <v>里程返程</v>
      </c>
      <c r="W4613" s="1" t="str">
        <f>"0820"</f>
        <v>0820</v>
      </c>
      <c r="X4613" s="1" t="s">
        <v>35</v>
      </c>
    </row>
    <row r="4614" spans="1:24" x14ac:dyDescent="0.3">
      <c r="A4614" s="1" t="str">
        <f t="shared" si="866"/>
        <v>59823</v>
      </c>
      <c r="B4614" s="1" t="s">
        <v>36</v>
      </c>
      <c r="C4614" s="1" t="s">
        <v>37</v>
      </c>
      <c r="D4614" s="1" t="str">
        <f t="shared" si="868"/>
        <v>9803</v>
      </c>
      <c r="E4614" s="1" t="s">
        <v>32</v>
      </c>
      <c r="F4614" s="1" t="str">
        <f>"52DC6A0AEE880400C810002000000016"</f>
        <v>52DC6A0AEE880400C810002000000016</v>
      </c>
      <c r="G4614" s="1" t="s">
        <v>59</v>
      </c>
      <c r="H4614" s="1" t="str">
        <f t="shared" si="872"/>
        <v>20220920</v>
      </c>
      <c r="I4614" s="1" t="str">
        <f>"161203"</f>
        <v>161203</v>
      </c>
      <c r="J4614" s="1" t="s">
        <v>34</v>
      </c>
      <c r="K4614" s="1" t="s">
        <v>34</v>
      </c>
      <c r="L4614" s="1" t="str">
        <f t="shared" si="867"/>
        <v>20220920</v>
      </c>
      <c r="M4614" s="1" t="str">
        <f>"164001"</f>
        <v>164001</v>
      </c>
      <c r="N4614" s="1" t="s">
        <v>28</v>
      </c>
      <c r="O4614" s="1" t="s">
        <v>28</v>
      </c>
      <c r="P4614" s="1" t="s">
        <v>55</v>
      </c>
      <c r="Q4614" s="1">
        <v>25</v>
      </c>
      <c r="R4614" s="1">
        <v>25</v>
      </c>
      <c r="S4614" s="1">
        <v>0</v>
      </c>
      <c r="T4614" s="1">
        <v>0</v>
      </c>
      <c r="U4614" s="1">
        <v>0</v>
      </c>
      <c r="V4614" s="1" t="str">
        <f t="shared" si="871"/>
        <v>里程返程</v>
      </c>
      <c r="W4614" s="1" t="str">
        <f>"0020"</f>
        <v>0020</v>
      </c>
      <c r="X4614" s="1" t="s">
        <v>29</v>
      </c>
    </row>
    <row r="4615" spans="1:24" x14ac:dyDescent="0.3">
      <c r="A4615" s="1" t="str">
        <f t="shared" si="866"/>
        <v>59823</v>
      </c>
      <c r="B4615" s="1" t="s">
        <v>36</v>
      </c>
      <c r="C4615" s="1" t="s">
        <v>37</v>
      </c>
      <c r="D4615" s="1" t="str">
        <f t="shared" si="868"/>
        <v>9803</v>
      </c>
      <c r="E4615" s="1" t="s">
        <v>32</v>
      </c>
      <c r="F4615" s="1" t="str">
        <f>"799366689"</f>
        <v>799366689</v>
      </c>
      <c r="G4615" s="1" t="s">
        <v>33</v>
      </c>
      <c r="H4615" s="1" t="str">
        <f t="shared" si="872"/>
        <v>20220920</v>
      </c>
      <c r="I4615" s="1" t="str">
        <f>"161208"</f>
        <v>161208</v>
      </c>
      <c r="J4615" s="1" t="s">
        <v>34</v>
      </c>
      <c r="K4615" s="1" t="s">
        <v>34</v>
      </c>
      <c r="L4615" s="1" t="str">
        <f t="shared" ref="L4615:L4646" si="873">"20220920"</f>
        <v>20220920</v>
      </c>
      <c r="M4615" s="1" t="str">
        <f>"163948"</f>
        <v>163948</v>
      </c>
      <c r="N4615" s="1" t="s">
        <v>28</v>
      </c>
      <c r="O4615" s="1" t="s">
        <v>28</v>
      </c>
      <c r="P4615" s="1" t="s">
        <v>55</v>
      </c>
      <c r="Q4615" s="1">
        <v>25</v>
      </c>
      <c r="R4615" s="1">
        <v>25</v>
      </c>
      <c r="S4615" s="1">
        <v>0</v>
      </c>
      <c r="T4615" s="1">
        <v>0</v>
      </c>
      <c r="U4615" s="1">
        <v>0</v>
      </c>
      <c r="V4615" s="1" t="str">
        <f t="shared" si="871"/>
        <v>里程返程</v>
      </c>
      <c r="W4615" s="1" t="str">
        <f>"2020"</f>
        <v>2020</v>
      </c>
      <c r="X4615" s="1" t="s">
        <v>35</v>
      </c>
    </row>
    <row r="4616" spans="1:24" x14ac:dyDescent="0.3">
      <c r="A4616" s="1" t="str">
        <f t="shared" si="866"/>
        <v>59823</v>
      </c>
      <c r="B4616" s="1" t="s">
        <v>36</v>
      </c>
      <c r="C4616" s="1" t="s">
        <v>37</v>
      </c>
      <c r="D4616" s="1" t="str">
        <f t="shared" si="868"/>
        <v>9803</v>
      </c>
      <c r="E4616" s="1" t="s">
        <v>32</v>
      </c>
      <c r="F4616" s="1" t="str">
        <f>"3759063079"</f>
        <v>3759063079</v>
      </c>
      <c r="G4616" s="1" t="s">
        <v>33</v>
      </c>
      <c r="H4616" s="1" t="str">
        <f t="shared" si="872"/>
        <v>20220920</v>
      </c>
      <c r="I4616" s="1" t="str">
        <f>"161214"</f>
        <v>161214</v>
      </c>
      <c r="J4616" s="1" t="s">
        <v>34</v>
      </c>
      <c r="K4616" s="1" t="s">
        <v>34</v>
      </c>
      <c r="L4616" s="1" t="str">
        <f t="shared" si="873"/>
        <v>20220920</v>
      </c>
      <c r="M4616" s="1" t="str">
        <f>"163945"</f>
        <v>163945</v>
      </c>
      <c r="N4616" s="1" t="s">
        <v>28</v>
      </c>
      <c r="O4616" s="1" t="s">
        <v>28</v>
      </c>
      <c r="P4616" s="1" t="s">
        <v>55</v>
      </c>
      <c r="Q4616" s="1">
        <v>25</v>
      </c>
      <c r="R4616" s="1">
        <v>25</v>
      </c>
      <c r="S4616" s="1">
        <v>0</v>
      </c>
      <c r="T4616" s="1">
        <v>0</v>
      </c>
      <c r="U4616" s="1">
        <v>0</v>
      </c>
      <c r="V4616" s="1" t="str">
        <f t="shared" si="871"/>
        <v>里程返程</v>
      </c>
      <c r="W4616" s="1" t="str">
        <f>"2020"</f>
        <v>2020</v>
      </c>
      <c r="X4616" s="1" t="s">
        <v>35</v>
      </c>
    </row>
    <row r="4617" spans="1:24" x14ac:dyDescent="0.3">
      <c r="A4617" s="1" t="str">
        <f t="shared" si="866"/>
        <v>59823</v>
      </c>
      <c r="B4617" s="1" t="s">
        <v>36</v>
      </c>
      <c r="C4617" s="1" t="s">
        <v>37</v>
      </c>
      <c r="D4617" s="1" t="str">
        <f t="shared" si="868"/>
        <v>9803</v>
      </c>
      <c r="E4617" s="1" t="s">
        <v>32</v>
      </c>
      <c r="F4617" s="1" t="str">
        <f>"188104341"</f>
        <v>188104341</v>
      </c>
      <c r="G4617" s="1" t="s">
        <v>33</v>
      </c>
      <c r="H4617" s="1" t="str">
        <f t="shared" si="872"/>
        <v>20220920</v>
      </c>
      <c r="I4617" s="1" t="str">
        <f>"161217"</f>
        <v>161217</v>
      </c>
      <c r="J4617" s="1" t="s">
        <v>34</v>
      </c>
      <c r="K4617" s="1" t="s">
        <v>34</v>
      </c>
      <c r="L4617" s="1" t="str">
        <f t="shared" si="873"/>
        <v>20220920</v>
      </c>
      <c r="M4617" s="1" t="str">
        <f>"164007"</f>
        <v>164007</v>
      </c>
      <c r="N4617" s="1" t="s">
        <v>28</v>
      </c>
      <c r="O4617" s="1" t="s">
        <v>28</v>
      </c>
      <c r="P4617" s="1" t="s">
        <v>55</v>
      </c>
      <c r="Q4617" s="1">
        <v>25</v>
      </c>
      <c r="R4617" s="1">
        <v>25</v>
      </c>
      <c r="S4617" s="1">
        <v>0</v>
      </c>
      <c r="T4617" s="1">
        <v>0</v>
      </c>
      <c r="U4617" s="1">
        <v>0</v>
      </c>
      <c r="V4617" s="1" t="str">
        <f t="shared" si="871"/>
        <v>里程返程</v>
      </c>
      <c r="W4617" s="1" t="str">
        <f>"0820"</f>
        <v>0820</v>
      </c>
      <c r="X4617" s="1" t="s">
        <v>35</v>
      </c>
    </row>
    <row r="4618" spans="1:24" x14ac:dyDescent="0.3">
      <c r="A4618" s="1" t="str">
        <f t="shared" si="866"/>
        <v>59823</v>
      </c>
      <c r="B4618" s="1" t="s">
        <v>36</v>
      </c>
      <c r="C4618" s="1" t="s">
        <v>37</v>
      </c>
      <c r="D4618" s="1" t="str">
        <f t="shared" si="868"/>
        <v>9803</v>
      </c>
      <c r="E4618" s="1" t="s">
        <v>32</v>
      </c>
      <c r="F4618" s="1" t="str">
        <f>"1054125633"</f>
        <v>1054125633</v>
      </c>
      <c r="G4618" s="1" t="s">
        <v>33</v>
      </c>
      <c r="H4618" s="1" t="str">
        <f t="shared" si="872"/>
        <v>20220920</v>
      </c>
      <c r="I4618" s="1" t="str">
        <f>"161231"</f>
        <v>161231</v>
      </c>
      <c r="J4618" s="1" t="s">
        <v>34</v>
      </c>
      <c r="K4618" s="1" t="s">
        <v>34</v>
      </c>
      <c r="L4618" s="1" t="str">
        <f t="shared" si="873"/>
        <v>20220920</v>
      </c>
      <c r="M4618" s="1" t="str">
        <f>"164016"</f>
        <v>164016</v>
      </c>
      <c r="N4618" s="1" t="s">
        <v>28</v>
      </c>
      <c r="O4618" s="1" t="s">
        <v>28</v>
      </c>
      <c r="P4618" s="1" t="s">
        <v>55</v>
      </c>
      <c r="Q4618" s="1">
        <v>25</v>
      </c>
      <c r="R4618" s="1">
        <v>25</v>
      </c>
      <c r="S4618" s="1">
        <v>0</v>
      </c>
      <c r="T4618" s="1">
        <v>0</v>
      </c>
      <c r="U4618" s="1">
        <v>0</v>
      </c>
      <c r="V4618" s="1" t="str">
        <f t="shared" si="871"/>
        <v>里程返程</v>
      </c>
      <c r="W4618" s="1" t="str">
        <f>"2020"</f>
        <v>2020</v>
      </c>
      <c r="X4618" s="1" t="s">
        <v>35</v>
      </c>
    </row>
    <row r="4619" spans="1:24" x14ac:dyDescent="0.3">
      <c r="A4619" s="1" t="str">
        <f t="shared" si="866"/>
        <v>59823</v>
      </c>
      <c r="B4619" s="1" t="s">
        <v>36</v>
      </c>
      <c r="C4619" s="1" t="s">
        <v>37</v>
      </c>
      <c r="D4619" s="1" t="str">
        <f t="shared" si="868"/>
        <v>9803</v>
      </c>
      <c r="E4619" s="1" t="s">
        <v>32</v>
      </c>
      <c r="F4619" s="1" t="str">
        <f>"934879365"</f>
        <v>934879365</v>
      </c>
      <c r="G4619" s="1" t="s">
        <v>38</v>
      </c>
      <c r="H4619" s="1" t="str">
        <f t="shared" si="872"/>
        <v>20220920</v>
      </c>
      <c r="I4619" s="1" t="str">
        <f>"173041"</f>
        <v>173041</v>
      </c>
      <c r="J4619" s="1" t="s">
        <v>34</v>
      </c>
      <c r="K4619" s="1" t="s">
        <v>34</v>
      </c>
      <c r="L4619" s="1" t="str">
        <f t="shared" si="873"/>
        <v>20220920</v>
      </c>
      <c r="M4619" s="1" t="str">
        <f>"175833"</f>
        <v>175833</v>
      </c>
      <c r="N4619" s="1" t="s">
        <v>28</v>
      </c>
      <c r="O4619" s="1" t="s">
        <v>28</v>
      </c>
      <c r="P4619" s="1" t="s">
        <v>55</v>
      </c>
      <c r="Q4619" s="1">
        <v>25</v>
      </c>
      <c r="R4619" s="1">
        <v>25</v>
      </c>
      <c r="S4619" s="1">
        <v>0</v>
      </c>
      <c r="T4619" s="1">
        <v>0</v>
      </c>
      <c r="U4619" s="1">
        <v>0</v>
      </c>
      <c r="V4619" s="1" t="str">
        <f t="shared" si="871"/>
        <v>里程返程</v>
      </c>
      <c r="W4619" s="1" t="str">
        <f>"0320"</f>
        <v>0320</v>
      </c>
      <c r="X4619" s="1" t="s">
        <v>35</v>
      </c>
    </row>
    <row r="4620" spans="1:24" x14ac:dyDescent="0.3">
      <c r="A4620" s="1" t="str">
        <f t="shared" si="866"/>
        <v>59823</v>
      </c>
      <c r="B4620" s="1" t="s">
        <v>36</v>
      </c>
      <c r="C4620" s="1" t="s">
        <v>37</v>
      </c>
      <c r="D4620" s="1" t="str">
        <f>"9805"</f>
        <v>9805</v>
      </c>
      <c r="E4620" s="1" t="s">
        <v>57</v>
      </c>
      <c r="F4620" s="1" t="str">
        <f>"2113329634"</f>
        <v>2113329634</v>
      </c>
      <c r="G4620" s="1" t="s">
        <v>26</v>
      </c>
      <c r="H4620" s="1" t="str">
        <f t="shared" si="872"/>
        <v>20220920</v>
      </c>
      <c r="I4620" s="1" t="str">
        <f>"181652"</f>
        <v>181652</v>
      </c>
      <c r="J4620" s="1" t="s">
        <v>52</v>
      </c>
      <c r="K4620" s="1" t="s">
        <v>52</v>
      </c>
      <c r="L4620" s="1" t="str">
        <f t="shared" si="873"/>
        <v>20220920</v>
      </c>
      <c r="M4620" s="1" t="str">
        <f>"183812"</f>
        <v>183812</v>
      </c>
      <c r="N4620" s="1" t="s">
        <v>28</v>
      </c>
      <c r="O4620" s="1" t="s">
        <v>28</v>
      </c>
      <c r="P4620" s="1" t="s">
        <v>55</v>
      </c>
      <c r="Q4620" s="1">
        <v>13</v>
      </c>
      <c r="R4620" s="1">
        <v>0</v>
      </c>
      <c r="S4620" s="1">
        <v>13</v>
      </c>
      <c r="T4620" s="1">
        <v>0</v>
      </c>
      <c r="U4620" s="1">
        <v>0</v>
      </c>
      <c r="V4620" s="1" t="str">
        <f t="shared" si="871"/>
        <v>里程返程</v>
      </c>
      <c r="W4620" s="1" t="str">
        <f>"2020"</f>
        <v>2020</v>
      </c>
      <c r="X4620" s="1" t="s">
        <v>35</v>
      </c>
    </row>
    <row r="4621" spans="1:24" x14ac:dyDescent="0.3">
      <c r="A4621" s="1" t="str">
        <f t="shared" ref="A4621:A4639" si="874">"59828"</f>
        <v>59828</v>
      </c>
      <c r="B4621" s="1" t="s">
        <v>23</v>
      </c>
      <c r="C4621" s="1" t="s">
        <v>24</v>
      </c>
      <c r="D4621" s="1" t="str">
        <f t="shared" ref="D4621:D4653" si="875">"9801"</f>
        <v>9801</v>
      </c>
      <c r="E4621" s="1" t="s">
        <v>25</v>
      </c>
      <c r="F4621" s="1" t="str">
        <f>"4251460257880400C821002000000015"</f>
        <v>4251460257880400C821002000000015</v>
      </c>
      <c r="G4621" s="1" t="s">
        <v>26</v>
      </c>
      <c r="H4621" s="1" t="str">
        <f t="shared" si="872"/>
        <v>20220920</v>
      </c>
      <c r="I4621" s="1" t="str">
        <f>"121843"</f>
        <v>121843</v>
      </c>
      <c r="J4621" s="1" t="s">
        <v>69</v>
      </c>
      <c r="K4621" s="1" t="s">
        <v>52</v>
      </c>
      <c r="L4621" s="1" t="str">
        <f t="shared" si="873"/>
        <v>20220920</v>
      </c>
      <c r="M4621" s="1" t="str">
        <f>"122317"</f>
        <v>122317</v>
      </c>
      <c r="N4621" s="1" t="s">
        <v>83</v>
      </c>
      <c r="O4621" s="1" t="s">
        <v>52</v>
      </c>
      <c r="P4621" s="1" t="s">
        <v>68</v>
      </c>
      <c r="Q4621" s="1">
        <v>13</v>
      </c>
      <c r="R4621" s="1">
        <v>0</v>
      </c>
      <c r="S4621" s="1">
        <v>0</v>
      </c>
      <c r="T4621" s="1">
        <v>13</v>
      </c>
      <c r="U4621" s="1">
        <v>0</v>
      </c>
      <c r="V4621" s="1" t="str">
        <f t="shared" ref="V4621:V4637" si="876">"里程去程"</f>
        <v>里程去程</v>
      </c>
      <c r="W4621" s="1" t="str">
        <f>"0020"</f>
        <v>0020</v>
      </c>
      <c r="X4621" s="1" t="s">
        <v>29</v>
      </c>
    </row>
    <row r="4622" spans="1:24" x14ac:dyDescent="0.3">
      <c r="A4622" s="1" t="str">
        <f t="shared" si="874"/>
        <v>59828</v>
      </c>
      <c r="B4622" s="1" t="s">
        <v>23</v>
      </c>
      <c r="C4622" s="1" t="s">
        <v>24</v>
      </c>
      <c r="D4622" s="1" t="str">
        <f t="shared" si="875"/>
        <v>9801</v>
      </c>
      <c r="E4622" s="1" t="s">
        <v>25</v>
      </c>
      <c r="F4622" s="1" t="str">
        <f>"245651509"</f>
        <v>245651509</v>
      </c>
      <c r="G4622" s="1" t="s">
        <v>33</v>
      </c>
      <c r="H4622" s="1" t="str">
        <f t="shared" si="872"/>
        <v>20220920</v>
      </c>
      <c r="I4622" s="1" t="str">
        <f>"122925"</f>
        <v>122925</v>
      </c>
      <c r="J4622" s="1" t="s">
        <v>27</v>
      </c>
      <c r="K4622" s="1" t="s">
        <v>28</v>
      </c>
      <c r="L4622" s="1" t="str">
        <f t="shared" si="873"/>
        <v>20220920</v>
      </c>
      <c r="M4622" s="1" t="str">
        <f>"124745"</f>
        <v>124745</v>
      </c>
      <c r="N4622" s="1" t="s">
        <v>75</v>
      </c>
      <c r="O4622" s="1" t="s">
        <v>45</v>
      </c>
      <c r="P4622" s="1" t="s">
        <v>55</v>
      </c>
      <c r="Q4622" s="1">
        <v>25</v>
      </c>
      <c r="R4622" s="1">
        <v>25</v>
      </c>
      <c r="S4622" s="1">
        <v>0</v>
      </c>
      <c r="T4622" s="1">
        <v>0</v>
      </c>
      <c r="U4622" s="1">
        <v>0</v>
      </c>
      <c r="V4622" s="1" t="str">
        <f t="shared" si="876"/>
        <v>里程去程</v>
      </c>
      <c r="W4622" s="1" t="str">
        <f>"2120"</f>
        <v>2120</v>
      </c>
      <c r="X4622" s="1" t="s">
        <v>35</v>
      </c>
    </row>
    <row r="4623" spans="1:24" x14ac:dyDescent="0.3">
      <c r="A4623" s="1" t="str">
        <f t="shared" si="874"/>
        <v>59828</v>
      </c>
      <c r="B4623" s="1" t="s">
        <v>23</v>
      </c>
      <c r="C4623" s="1" t="s">
        <v>24</v>
      </c>
      <c r="D4623" s="1" t="str">
        <f t="shared" si="875"/>
        <v>9801</v>
      </c>
      <c r="E4623" s="1" t="s">
        <v>25</v>
      </c>
      <c r="F4623" s="1" t="str">
        <f>"82A6BC029A880400C834002000000015"</f>
        <v>82A6BC029A880400C834002000000015</v>
      </c>
      <c r="G4623" s="1" t="s">
        <v>26</v>
      </c>
      <c r="H4623" s="1" t="str">
        <f t="shared" si="872"/>
        <v>20220920</v>
      </c>
      <c r="I4623" s="1" t="str">
        <f>"123041"</f>
        <v>123041</v>
      </c>
      <c r="J4623" s="1" t="s">
        <v>27</v>
      </c>
      <c r="K4623" s="1" t="s">
        <v>28</v>
      </c>
      <c r="L4623" s="1" t="str">
        <f t="shared" si="873"/>
        <v>20220920</v>
      </c>
      <c r="M4623" s="1" t="str">
        <f>"125733"</f>
        <v>125733</v>
      </c>
      <c r="N4623" s="1" t="s">
        <v>44</v>
      </c>
      <c r="O4623" s="1" t="s">
        <v>45</v>
      </c>
      <c r="P4623" s="1" t="s">
        <v>68</v>
      </c>
      <c r="Q4623" s="1">
        <v>13</v>
      </c>
      <c r="R4623" s="1">
        <v>0</v>
      </c>
      <c r="S4623" s="1">
        <v>0</v>
      </c>
      <c r="T4623" s="1">
        <v>13</v>
      </c>
      <c r="U4623" s="1">
        <v>0</v>
      </c>
      <c r="V4623" s="1" t="str">
        <f t="shared" si="876"/>
        <v>里程去程</v>
      </c>
      <c r="W4623" s="1" t="str">
        <f>"0020"</f>
        <v>0020</v>
      </c>
      <c r="X4623" s="1" t="s">
        <v>29</v>
      </c>
    </row>
    <row r="4624" spans="1:24" x14ac:dyDescent="0.3">
      <c r="A4624" s="1" t="str">
        <f t="shared" si="874"/>
        <v>59828</v>
      </c>
      <c r="B4624" s="1" t="s">
        <v>23</v>
      </c>
      <c r="C4624" s="1" t="s">
        <v>24</v>
      </c>
      <c r="D4624" s="1" t="str">
        <f t="shared" si="875"/>
        <v>9801</v>
      </c>
      <c r="E4624" s="1" t="s">
        <v>25</v>
      </c>
      <c r="F4624" s="1" t="str">
        <f>"D2D2F701F6880400C821002000000015"</f>
        <v>D2D2F701F6880400C821002000000015</v>
      </c>
      <c r="G4624" s="1" t="s">
        <v>58</v>
      </c>
      <c r="H4624" s="1" t="str">
        <f t="shared" si="872"/>
        <v>20220920</v>
      </c>
      <c r="I4624" s="1" t="str">
        <f>"123048"</f>
        <v>123048</v>
      </c>
      <c r="J4624" s="1" t="s">
        <v>27</v>
      </c>
      <c r="K4624" s="1" t="s">
        <v>28</v>
      </c>
      <c r="L4624" s="1" t="str">
        <f t="shared" si="873"/>
        <v>20220920</v>
      </c>
      <c r="M4624" s="1" t="str">
        <f>"125647"</f>
        <v>125647</v>
      </c>
      <c r="N4624" s="1" t="s">
        <v>44</v>
      </c>
      <c r="O4624" s="1" t="s">
        <v>45</v>
      </c>
      <c r="P4624" s="1" t="s">
        <v>55</v>
      </c>
      <c r="Q4624" s="1">
        <v>25</v>
      </c>
      <c r="R4624" s="1">
        <v>25</v>
      </c>
      <c r="S4624" s="1">
        <v>0</v>
      </c>
      <c r="T4624" s="1">
        <v>0</v>
      </c>
      <c r="U4624" s="1">
        <v>0</v>
      </c>
      <c r="V4624" s="1" t="str">
        <f t="shared" si="876"/>
        <v>里程去程</v>
      </c>
      <c r="W4624" s="1" t="str">
        <f>"0020"</f>
        <v>0020</v>
      </c>
      <c r="X4624" s="1" t="s">
        <v>29</v>
      </c>
    </row>
    <row r="4625" spans="1:24" x14ac:dyDescent="0.3">
      <c r="A4625" s="1" t="str">
        <f t="shared" si="874"/>
        <v>59828</v>
      </c>
      <c r="B4625" s="1" t="s">
        <v>23</v>
      </c>
      <c r="C4625" s="1" t="s">
        <v>24</v>
      </c>
      <c r="D4625" s="1" t="str">
        <f t="shared" si="875"/>
        <v>9801</v>
      </c>
      <c r="E4625" s="1" t="s">
        <v>25</v>
      </c>
      <c r="F4625" s="1" t="str">
        <f>"42CD0D0381880400C834002000000015"</f>
        <v>42CD0D0381880400C834002000000015</v>
      </c>
      <c r="G4625" s="1" t="s">
        <v>26</v>
      </c>
      <c r="H4625" s="1" t="str">
        <f t="shared" si="872"/>
        <v>20220920</v>
      </c>
      <c r="I4625" s="1" t="str">
        <f>"123056"</f>
        <v>123056</v>
      </c>
      <c r="J4625" s="1" t="s">
        <v>27</v>
      </c>
      <c r="K4625" s="1" t="s">
        <v>28</v>
      </c>
      <c r="L4625" s="1" t="str">
        <f t="shared" si="873"/>
        <v>20220920</v>
      </c>
      <c r="M4625" s="1" t="str">
        <f>"125411"</f>
        <v>125411</v>
      </c>
      <c r="N4625" s="1" t="s">
        <v>44</v>
      </c>
      <c r="O4625" s="1" t="s">
        <v>45</v>
      </c>
      <c r="P4625" s="1" t="s">
        <v>68</v>
      </c>
      <c r="Q4625" s="1">
        <v>13</v>
      </c>
      <c r="R4625" s="1">
        <v>0</v>
      </c>
      <c r="S4625" s="1">
        <v>0</v>
      </c>
      <c r="T4625" s="1">
        <v>13</v>
      </c>
      <c r="U4625" s="1">
        <v>0</v>
      </c>
      <c r="V4625" s="1" t="str">
        <f t="shared" si="876"/>
        <v>里程去程</v>
      </c>
      <c r="W4625" s="1" t="str">
        <f>"0020"</f>
        <v>0020</v>
      </c>
      <c r="X4625" s="1" t="s">
        <v>29</v>
      </c>
    </row>
    <row r="4626" spans="1:24" x14ac:dyDescent="0.3">
      <c r="A4626" s="1" t="str">
        <f t="shared" si="874"/>
        <v>59828</v>
      </c>
      <c r="B4626" s="1" t="s">
        <v>23</v>
      </c>
      <c r="C4626" s="1" t="s">
        <v>24</v>
      </c>
      <c r="D4626" s="1" t="str">
        <f t="shared" si="875"/>
        <v>9801</v>
      </c>
      <c r="E4626" s="1" t="s">
        <v>25</v>
      </c>
      <c r="F4626" s="1" t="str">
        <f>"71411426028804004328091300160212"</f>
        <v>71411426028804004328091300160212</v>
      </c>
      <c r="G4626" s="1" t="s">
        <v>26</v>
      </c>
      <c r="H4626" s="1" t="str">
        <f t="shared" si="872"/>
        <v>20220920</v>
      </c>
      <c r="I4626" s="1" t="str">
        <f>"123111"</f>
        <v>123111</v>
      </c>
      <c r="J4626" s="1" t="s">
        <v>27</v>
      </c>
      <c r="K4626" s="1" t="s">
        <v>28</v>
      </c>
      <c r="L4626" s="1" t="str">
        <f t="shared" si="873"/>
        <v>20220920</v>
      </c>
      <c r="M4626" s="1" t="str">
        <f>"125203"</f>
        <v>125203</v>
      </c>
      <c r="N4626" s="1" t="s">
        <v>100</v>
      </c>
      <c r="O4626" s="1" t="s">
        <v>45</v>
      </c>
      <c r="P4626" s="1" t="s">
        <v>55</v>
      </c>
      <c r="Q4626" s="1">
        <v>13</v>
      </c>
      <c r="R4626" s="1">
        <v>0</v>
      </c>
      <c r="S4626" s="1">
        <v>13</v>
      </c>
      <c r="T4626" s="1">
        <v>0</v>
      </c>
      <c r="U4626" s="1">
        <v>0</v>
      </c>
      <c r="V4626" s="1" t="str">
        <f t="shared" si="876"/>
        <v>里程去程</v>
      </c>
      <c r="W4626" s="1" t="str">
        <f>"0620"</f>
        <v>0620</v>
      </c>
      <c r="X4626" s="1" t="s">
        <v>29</v>
      </c>
    </row>
    <row r="4627" spans="1:24" x14ac:dyDescent="0.3">
      <c r="A4627" s="1" t="str">
        <f t="shared" si="874"/>
        <v>59828</v>
      </c>
      <c r="B4627" s="1" t="s">
        <v>23</v>
      </c>
      <c r="C4627" s="1" t="s">
        <v>24</v>
      </c>
      <c r="D4627" s="1" t="str">
        <f t="shared" si="875"/>
        <v>9801</v>
      </c>
      <c r="E4627" s="1" t="s">
        <v>25</v>
      </c>
      <c r="F4627" s="1" t="str">
        <f>"1894224283"</f>
        <v>1894224283</v>
      </c>
      <c r="G4627" s="1" t="s">
        <v>33</v>
      </c>
      <c r="H4627" s="1" t="str">
        <f t="shared" si="872"/>
        <v>20220920</v>
      </c>
      <c r="I4627" s="1" t="str">
        <f>"133132"</f>
        <v>133132</v>
      </c>
      <c r="J4627" s="1" t="s">
        <v>27</v>
      </c>
      <c r="K4627" s="1" t="s">
        <v>28</v>
      </c>
      <c r="L4627" s="1" t="str">
        <f t="shared" si="873"/>
        <v>20220920</v>
      </c>
      <c r="M4627" s="1" t="str">
        <f>"134606"</f>
        <v>134606</v>
      </c>
      <c r="N4627" s="1" t="s">
        <v>61</v>
      </c>
      <c r="O4627" s="1" t="s">
        <v>45</v>
      </c>
      <c r="P4627" s="1" t="s">
        <v>55</v>
      </c>
      <c r="Q4627" s="1">
        <v>25</v>
      </c>
      <c r="R4627" s="1">
        <v>25</v>
      </c>
      <c r="S4627" s="1">
        <v>0</v>
      </c>
      <c r="T4627" s="1">
        <v>0</v>
      </c>
      <c r="U4627" s="1">
        <v>0</v>
      </c>
      <c r="V4627" s="1" t="str">
        <f t="shared" si="876"/>
        <v>里程去程</v>
      </c>
      <c r="W4627" s="1" t="str">
        <f>"2120"</f>
        <v>2120</v>
      </c>
      <c r="X4627" s="1" t="s">
        <v>35</v>
      </c>
    </row>
    <row r="4628" spans="1:24" x14ac:dyDescent="0.3">
      <c r="A4628" s="1" t="str">
        <f t="shared" si="874"/>
        <v>59828</v>
      </c>
      <c r="B4628" s="1" t="s">
        <v>23</v>
      </c>
      <c r="C4628" s="1" t="s">
        <v>24</v>
      </c>
      <c r="D4628" s="1" t="str">
        <f t="shared" si="875"/>
        <v>9801</v>
      </c>
      <c r="E4628" s="1" t="s">
        <v>25</v>
      </c>
      <c r="F4628" s="1" t="str">
        <f>"91725C308F280400F700000000000000"</f>
        <v>91725C308F280400F700000000000000</v>
      </c>
      <c r="G4628" s="1" t="s">
        <v>58</v>
      </c>
      <c r="H4628" s="1" t="str">
        <f t="shared" si="872"/>
        <v>20220920</v>
      </c>
      <c r="I4628" s="1" t="str">
        <f>"133141"</f>
        <v>133141</v>
      </c>
      <c r="J4628" s="1" t="s">
        <v>27</v>
      </c>
      <c r="K4628" s="1" t="s">
        <v>28</v>
      </c>
      <c r="L4628" s="1" t="str">
        <f t="shared" si="873"/>
        <v>20220920</v>
      </c>
      <c r="M4628" s="1" t="str">
        <f>"135537"</f>
        <v>135537</v>
      </c>
      <c r="N4628" s="1" t="s">
        <v>44</v>
      </c>
      <c r="O4628" s="1" t="s">
        <v>45</v>
      </c>
      <c r="P4628" s="1" t="s">
        <v>55</v>
      </c>
      <c r="Q4628" s="1">
        <v>25</v>
      </c>
      <c r="R4628" s="1">
        <v>25</v>
      </c>
      <c r="S4628" s="1">
        <v>0</v>
      </c>
      <c r="T4628" s="1">
        <v>0</v>
      </c>
      <c r="U4628" s="1">
        <v>0</v>
      </c>
      <c r="V4628" s="1" t="str">
        <f t="shared" si="876"/>
        <v>里程去程</v>
      </c>
      <c r="W4628" s="1" t="str">
        <f>"0020"</f>
        <v>0020</v>
      </c>
      <c r="X4628" s="1" t="s">
        <v>29</v>
      </c>
    </row>
    <row r="4629" spans="1:24" x14ac:dyDescent="0.3">
      <c r="A4629" s="1" t="str">
        <f t="shared" si="874"/>
        <v>59828</v>
      </c>
      <c r="B4629" s="1" t="s">
        <v>23</v>
      </c>
      <c r="C4629" s="1" t="s">
        <v>24</v>
      </c>
      <c r="D4629" s="1" t="str">
        <f t="shared" si="875"/>
        <v>9801</v>
      </c>
      <c r="E4629" s="1" t="s">
        <v>25</v>
      </c>
      <c r="F4629" s="1" t="str">
        <f>"1815871781"</f>
        <v>1815871781</v>
      </c>
      <c r="G4629" s="1" t="s">
        <v>38</v>
      </c>
      <c r="H4629" s="1" t="str">
        <f t="shared" si="872"/>
        <v>20220920</v>
      </c>
      <c r="I4629" s="1" t="str">
        <f>"133145"</f>
        <v>133145</v>
      </c>
      <c r="J4629" s="1" t="s">
        <v>27</v>
      </c>
      <c r="K4629" s="1" t="s">
        <v>28</v>
      </c>
      <c r="L4629" s="1" t="str">
        <f t="shared" si="873"/>
        <v>20220920</v>
      </c>
      <c r="M4629" s="1" t="str">
        <f>"134602"</f>
        <v>134602</v>
      </c>
      <c r="N4629" s="1" t="s">
        <v>61</v>
      </c>
      <c r="O4629" s="1" t="s">
        <v>45</v>
      </c>
      <c r="P4629" s="1" t="s">
        <v>55</v>
      </c>
      <c r="Q4629" s="1">
        <v>25</v>
      </c>
      <c r="R4629" s="1">
        <v>0</v>
      </c>
      <c r="S4629" s="1">
        <v>25</v>
      </c>
      <c r="T4629" s="1">
        <v>0</v>
      </c>
      <c r="U4629" s="1">
        <v>0</v>
      </c>
      <c r="V4629" s="1" t="str">
        <f t="shared" si="876"/>
        <v>里程去程</v>
      </c>
      <c r="W4629" s="1" t="str">
        <f>"0820"</f>
        <v>0820</v>
      </c>
      <c r="X4629" s="1" t="s">
        <v>35</v>
      </c>
    </row>
    <row r="4630" spans="1:24" x14ac:dyDescent="0.3">
      <c r="A4630" s="1" t="str">
        <f t="shared" si="874"/>
        <v>59828</v>
      </c>
      <c r="B4630" s="1" t="s">
        <v>23</v>
      </c>
      <c r="C4630" s="1" t="s">
        <v>24</v>
      </c>
      <c r="D4630" s="1" t="str">
        <f t="shared" si="875"/>
        <v>9801</v>
      </c>
      <c r="E4630" s="1" t="s">
        <v>25</v>
      </c>
      <c r="F4630" s="1" t="str">
        <f>"9232BD021F880400C834002000000015"</f>
        <v>9232BD021F880400C834002000000015</v>
      </c>
      <c r="G4630" s="1" t="s">
        <v>26</v>
      </c>
      <c r="H4630" s="1" t="str">
        <f t="shared" si="872"/>
        <v>20220920</v>
      </c>
      <c r="I4630" s="1" t="str">
        <f>"135308"</f>
        <v>135308</v>
      </c>
      <c r="J4630" s="1" t="s">
        <v>100</v>
      </c>
      <c r="K4630" s="1" t="s">
        <v>45</v>
      </c>
      <c r="L4630" s="1" t="str">
        <f t="shared" si="873"/>
        <v>20220920</v>
      </c>
      <c r="M4630" s="1" t="str">
        <f>"135530"</f>
        <v>135530</v>
      </c>
      <c r="N4630" s="1" t="s">
        <v>44</v>
      </c>
      <c r="O4630" s="1" t="s">
        <v>45</v>
      </c>
      <c r="P4630" s="1" t="s">
        <v>68</v>
      </c>
      <c r="Q4630" s="1">
        <v>13</v>
      </c>
      <c r="R4630" s="1">
        <v>0</v>
      </c>
      <c r="S4630" s="1">
        <v>0</v>
      </c>
      <c r="T4630" s="1">
        <v>13</v>
      </c>
      <c r="U4630" s="1">
        <v>0</v>
      </c>
      <c r="V4630" s="1" t="str">
        <f t="shared" si="876"/>
        <v>里程去程</v>
      </c>
      <c r="W4630" s="1" t="str">
        <f>"0020"</f>
        <v>0020</v>
      </c>
      <c r="X4630" s="1" t="s">
        <v>29</v>
      </c>
    </row>
    <row r="4631" spans="1:24" x14ac:dyDescent="0.3">
      <c r="A4631" s="1" t="str">
        <f t="shared" si="874"/>
        <v>59828</v>
      </c>
      <c r="B4631" s="1" t="s">
        <v>23</v>
      </c>
      <c r="C4631" s="1" t="s">
        <v>24</v>
      </c>
      <c r="D4631" s="1" t="str">
        <f t="shared" si="875"/>
        <v>9801</v>
      </c>
      <c r="E4631" s="1" t="s">
        <v>25</v>
      </c>
      <c r="F4631" s="1" t="str">
        <f>"F27CE6026A880400C834002000000015"</f>
        <v>F27CE6026A880400C834002000000015</v>
      </c>
      <c r="G4631" s="1" t="s">
        <v>74</v>
      </c>
      <c r="H4631" s="1" t="str">
        <f t="shared" si="872"/>
        <v>20220920</v>
      </c>
      <c r="I4631" s="1" t="str">
        <f>"145818"</f>
        <v>145818</v>
      </c>
      <c r="J4631" s="1" t="s">
        <v>52</v>
      </c>
      <c r="K4631" s="1" t="s">
        <v>52</v>
      </c>
      <c r="L4631" s="1" t="str">
        <f t="shared" si="873"/>
        <v>20220920</v>
      </c>
      <c r="M4631" s="1" t="str">
        <f>"150814"</f>
        <v>150814</v>
      </c>
      <c r="N4631" s="1" t="s">
        <v>60</v>
      </c>
      <c r="O4631" s="1" t="s">
        <v>52</v>
      </c>
      <c r="P4631" s="1" t="s">
        <v>68</v>
      </c>
      <c r="Q4631" s="1">
        <v>13</v>
      </c>
      <c r="R4631" s="1">
        <v>0</v>
      </c>
      <c r="S4631" s="1">
        <v>0</v>
      </c>
      <c r="T4631" s="1">
        <v>13</v>
      </c>
      <c r="U4631" s="1">
        <v>0</v>
      </c>
      <c r="V4631" s="1" t="str">
        <f t="shared" si="876"/>
        <v>里程去程</v>
      </c>
      <c r="W4631" s="1" t="str">
        <f>"0020"</f>
        <v>0020</v>
      </c>
      <c r="X4631" s="1" t="s">
        <v>29</v>
      </c>
    </row>
    <row r="4632" spans="1:24" x14ac:dyDescent="0.3">
      <c r="A4632" s="1" t="str">
        <f t="shared" si="874"/>
        <v>59828</v>
      </c>
      <c r="B4632" s="1" t="s">
        <v>23</v>
      </c>
      <c r="C4632" s="1" t="s">
        <v>24</v>
      </c>
      <c r="D4632" s="1" t="str">
        <f t="shared" si="875"/>
        <v>9801</v>
      </c>
      <c r="E4632" s="1" t="s">
        <v>25</v>
      </c>
      <c r="F4632" s="1" t="str">
        <f>"C2F219032A880400C834002000000015"</f>
        <v>C2F219032A880400C834002000000015</v>
      </c>
      <c r="G4632" s="1" t="s">
        <v>26</v>
      </c>
      <c r="H4632" s="1" t="str">
        <f t="shared" si="872"/>
        <v>20220920</v>
      </c>
      <c r="I4632" s="1" t="str">
        <f>"150621"</f>
        <v>150621</v>
      </c>
      <c r="J4632" s="1" t="s">
        <v>86</v>
      </c>
      <c r="K4632" s="1" t="s">
        <v>52</v>
      </c>
      <c r="L4632" s="1" t="str">
        <f t="shared" si="873"/>
        <v>20220920</v>
      </c>
      <c r="M4632" s="1" t="str">
        <f>"151007"</f>
        <v>151007</v>
      </c>
      <c r="N4632" s="1" t="s">
        <v>51</v>
      </c>
      <c r="O4632" s="1" t="s">
        <v>52</v>
      </c>
      <c r="P4632" s="1" t="s">
        <v>68</v>
      </c>
      <c r="Q4632" s="1">
        <v>13</v>
      </c>
      <c r="R4632" s="1">
        <v>0</v>
      </c>
      <c r="S4632" s="1">
        <v>0</v>
      </c>
      <c r="T4632" s="1">
        <v>13</v>
      </c>
      <c r="U4632" s="1">
        <v>0</v>
      </c>
      <c r="V4632" s="1" t="str">
        <f t="shared" si="876"/>
        <v>里程去程</v>
      </c>
      <c r="W4632" s="1" t="str">
        <f>"0020"</f>
        <v>0020</v>
      </c>
      <c r="X4632" s="1" t="s">
        <v>29</v>
      </c>
    </row>
    <row r="4633" spans="1:24" x14ac:dyDescent="0.3">
      <c r="A4633" s="1" t="str">
        <f t="shared" si="874"/>
        <v>59828</v>
      </c>
      <c r="B4633" s="1" t="s">
        <v>23</v>
      </c>
      <c r="C4633" s="1" t="s">
        <v>24</v>
      </c>
      <c r="D4633" s="1" t="str">
        <f t="shared" si="875"/>
        <v>9801</v>
      </c>
      <c r="E4633" s="1" t="s">
        <v>25</v>
      </c>
      <c r="F4633" s="1" t="str">
        <f>"A239F5056B880400C838002000000015"</f>
        <v>A239F5056B880400C838002000000015</v>
      </c>
      <c r="G4633" s="1" t="s">
        <v>26</v>
      </c>
      <c r="H4633" s="1" t="str">
        <f t="shared" si="872"/>
        <v>20220920</v>
      </c>
      <c r="I4633" s="1" t="str">
        <f>"152452"</f>
        <v>152452</v>
      </c>
      <c r="J4633" s="1" t="s">
        <v>67</v>
      </c>
      <c r="K4633" s="1" t="s">
        <v>52</v>
      </c>
      <c r="L4633" s="1" t="str">
        <f t="shared" si="873"/>
        <v>20220920</v>
      </c>
      <c r="M4633" s="1" t="str">
        <f>"153251"</f>
        <v>153251</v>
      </c>
      <c r="N4633" s="1" t="s">
        <v>70</v>
      </c>
      <c r="O4633" s="1" t="s">
        <v>28</v>
      </c>
      <c r="P4633" s="1" t="s">
        <v>68</v>
      </c>
      <c r="Q4633" s="1">
        <v>13</v>
      </c>
      <c r="R4633" s="1">
        <v>0</v>
      </c>
      <c r="S4633" s="1">
        <v>0</v>
      </c>
      <c r="T4633" s="1">
        <v>13</v>
      </c>
      <c r="U4633" s="1">
        <v>0</v>
      </c>
      <c r="V4633" s="1" t="str">
        <f t="shared" si="876"/>
        <v>里程去程</v>
      </c>
      <c r="W4633" s="1" t="str">
        <f>"0020"</f>
        <v>0020</v>
      </c>
      <c r="X4633" s="1" t="s">
        <v>29</v>
      </c>
    </row>
    <row r="4634" spans="1:24" x14ac:dyDescent="0.3">
      <c r="A4634" s="1" t="str">
        <f t="shared" si="874"/>
        <v>59828</v>
      </c>
      <c r="B4634" s="1" t="s">
        <v>23</v>
      </c>
      <c r="C4634" s="1" t="s">
        <v>24</v>
      </c>
      <c r="D4634" s="1" t="str">
        <f t="shared" si="875"/>
        <v>9801</v>
      </c>
      <c r="E4634" s="1" t="s">
        <v>25</v>
      </c>
      <c r="F4634" s="1" t="str">
        <f>"55D2A79CBC88040043265ABE00170710"</f>
        <v>55D2A79CBC88040043265ABE00170710</v>
      </c>
      <c r="G4634" s="1" t="s">
        <v>64</v>
      </c>
      <c r="H4634" s="1" t="str">
        <f t="shared" si="872"/>
        <v>20220920</v>
      </c>
      <c r="I4634" s="1" t="str">
        <f>"160015"</f>
        <v>160015</v>
      </c>
      <c r="J4634" s="1" t="s">
        <v>52</v>
      </c>
      <c r="K4634" s="1" t="s">
        <v>52</v>
      </c>
      <c r="L4634" s="1" t="str">
        <f t="shared" si="873"/>
        <v>20220920</v>
      </c>
      <c r="M4634" s="1" t="str">
        <f>"162349"</f>
        <v>162349</v>
      </c>
      <c r="N4634" s="1" t="s">
        <v>67</v>
      </c>
      <c r="O4634" s="1" t="s">
        <v>52</v>
      </c>
      <c r="P4634" s="1" t="s">
        <v>55</v>
      </c>
      <c r="Q4634" s="1">
        <v>13</v>
      </c>
      <c r="R4634" s="1">
        <v>13</v>
      </c>
      <c r="S4634" s="1">
        <v>0</v>
      </c>
      <c r="T4634" s="1">
        <v>0</v>
      </c>
      <c r="U4634" s="1">
        <v>0</v>
      </c>
      <c r="V4634" s="1" t="str">
        <f t="shared" si="876"/>
        <v>里程去程</v>
      </c>
      <c r="W4634" s="1" t="str">
        <f>"0020"</f>
        <v>0020</v>
      </c>
      <c r="X4634" s="1" t="s">
        <v>29</v>
      </c>
    </row>
    <row r="4635" spans="1:24" x14ac:dyDescent="0.3">
      <c r="A4635" s="1" t="str">
        <f t="shared" si="874"/>
        <v>59828</v>
      </c>
      <c r="B4635" s="1" t="s">
        <v>23</v>
      </c>
      <c r="C4635" s="1" t="s">
        <v>24</v>
      </c>
      <c r="D4635" s="1" t="str">
        <f t="shared" si="875"/>
        <v>9801</v>
      </c>
      <c r="E4635" s="1" t="s">
        <v>25</v>
      </c>
      <c r="F4635" s="1" t="str">
        <f>"685121701"</f>
        <v>685121701</v>
      </c>
      <c r="G4635" s="1" t="s">
        <v>33</v>
      </c>
      <c r="H4635" s="1" t="str">
        <f t="shared" si="872"/>
        <v>20220920</v>
      </c>
      <c r="I4635" s="1" t="str">
        <f>"160625"</f>
        <v>160625</v>
      </c>
      <c r="J4635" s="1" t="s">
        <v>60</v>
      </c>
      <c r="K4635" s="1" t="s">
        <v>52</v>
      </c>
      <c r="L4635" s="1" t="str">
        <f t="shared" si="873"/>
        <v>20220920</v>
      </c>
      <c r="M4635" s="1" t="str">
        <f>"163226"</f>
        <v>163226</v>
      </c>
      <c r="N4635" s="1" t="s">
        <v>70</v>
      </c>
      <c r="O4635" s="1" t="s">
        <v>28</v>
      </c>
      <c r="P4635" s="1" t="s">
        <v>55</v>
      </c>
      <c r="Q4635" s="1">
        <v>25</v>
      </c>
      <c r="R4635" s="1">
        <v>25</v>
      </c>
      <c r="S4635" s="1">
        <v>0</v>
      </c>
      <c r="T4635" s="1">
        <v>0</v>
      </c>
      <c r="U4635" s="1">
        <v>0</v>
      </c>
      <c r="V4635" s="1" t="str">
        <f t="shared" si="876"/>
        <v>里程去程</v>
      </c>
      <c r="W4635" s="1" t="str">
        <f>"0620"</f>
        <v>0620</v>
      </c>
      <c r="X4635" s="1" t="s">
        <v>35</v>
      </c>
    </row>
    <row r="4636" spans="1:24" x14ac:dyDescent="0.3">
      <c r="A4636" s="1" t="str">
        <f t="shared" si="874"/>
        <v>59828</v>
      </c>
      <c r="B4636" s="1" t="s">
        <v>23</v>
      </c>
      <c r="C4636" s="1" t="s">
        <v>24</v>
      </c>
      <c r="D4636" s="1" t="str">
        <f t="shared" si="875"/>
        <v>9801</v>
      </c>
      <c r="E4636" s="1" t="s">
        <v>25</v>
      </c>
      <c r="F4636" s="1" t="str">
        <f>"8227D00277880400C834002000000015"</f>
        <v>8227D00277880400C834002000000015</v>
      </c>
      <c r="G4636" s="1" t="s">
        <v>26</v>
      </c>
      <c r="H4636" s="1" t="str">
        <f t="shared" si="872"/>
        <v>20220920</v>
      </c>
      <c r="I4636" s="1" t="str">
        <f>"162300"</f>
        <v>162300</v>
      </c>
      <c r="J4636" s="1" t="s">
        <v>78</v>
      </c>
      <c r="K4636" s="1" t="s">
        <v>52</v>
      </c>
      <c r="L4636" s="1" t="str">
        <f t="shared" si="873"/>
        <v>20220920</v>
      </c>
      <c r="M4636" s="1" t="str">
        <f>"163222"</f>
        <v>163222</v>
      </c>
      <c r="N4636" s="1" t="s">
        <v>70</v>
      </c>
      <c r="O4636" s="1" t="s">
        <v>28</v>
      </c>
      <c r="P4636" s="1" t="s">
        <v>68</v>
      </c>
      <c r="Q4636" s="1">
        <v>13</v>
      </c>
      <c r="R4636" s="1">
        <v>0</v>
      </c>
      <c r="S4636" s="1">
        <v>0</v>
      </c>
      <c r="T4636" s="1">
        <v>13</v>
      </c>
      <c r="U4636" s="1">
        <v>0</v>
      </c>
      <c r="V4636" s="1" t="str">
        <f t="shared" si="876"/>
        <v>里程去程</v>
      </c>
      <c r="W4636" s="1" t="str">
        <f>"0020"</f>
        <v>0020</v>
      </c>
      <c r="X4636" s="1" t="s">
        <v>29</v>
      </c>
    </row>
    <row r="4637" spans="1:24" x14ac:dyDescent="0.3">
      <c r="A4637" s="1" t="str">
        <f t="shared" si="874"/>
        <v>59828</v>
      </c>
      <c r="B4637" s="1" t="s">
        <v>23</v>
      </c>
      <c r="C4637" s="1" t="s">
        <v>24</v>
      </c>
      <c r="D4637" s="1" t="str">
        <f t="shared" si="875"/>
        <v>9801</v>
      </c>
      <c r="E4637" s="1" t="s">
        <v>25</v>
      </c>
      <c r="F4637" s="1" t="str">
        <f>"2113329634"</f>
        <v>2113329634</v>
      </c>
      <c r="G4637" s="1" t="s">
        <v>26</v>
      </c>
      <c r="H4637" s="1" t="str">
        <f t="shared" si="872"/>
        <v>20220920</v>
      </c>
      <c r="I4637" s="1" t="str">
        <f>"163301"</f>
        <v>163301</v>
      </c>
      <c r="J4637" s="1" t="s">
        <v>27</v>
      </c>
      <c r="K4637" s="1" t="s">
        <v>28</v>
      </c>
      <c r="L4637" s="1" t="str">
        <f t="shared" si="873"/>
        <v>20220920</v>
      </c>
      <c r="M4637" s="1" t="str">
        <f>"165607"</f>
        <v>165607</v>
      </c>
      <c r="N4637" s="1" t="s">
        <v>44</v>
      </c>
      <c r="O4637" s="1" t="s">
        <v>45</v>
      </c>
      <c r="P4637" s="1" t="s">
        <v>55</v>
      </c>
      <c r="Q4637" s="1">
        <v>13</v>
      </c>
      <c r="R4637" s="1">
        <v>13</v>
      </c>
      <c r="S4637" s="1">
        <v>0</v>
      </c>
      <c r="T4637" s="1">
        <v>0</v>
      </c>
      <c r="U4637" s="1">
        <v>0</v>
      </c>
      <c r="V4637" s="1" t="str">
        <f t="shared" si="876"/>
        <v>里程去程</v>
      </c>
      <c r="W4637" s="1" t="str">
        <f>"0220"</f>
        <v>0220</v>
      </c>
      <c r="X4637" s="1" t="s">
        <v>35</v>
      </c>
    </row>
    <row r="4638" spans="1:24" x14ac:dyDescent="0.3">
      <c r="A4638" s="1" t="str">
        <f t="shared" si="874"/>
        <v>59828</v>
      </c>
      <c r="B4638" s="1" t="s">
        <v>23</v>
      </c>
      <c r="C4638" s="1" t="s">
        <v>24</v>
      </c>
      <c r="D4638" s="1" t="str">
        <f t="shared" si="875"/>
        <v>9801</v>
      </c>
      <c r="E4638" s="1" t="s">
        <v>25</v>
      </c>
      <c r="F4638" s="1" t="str">
        <f>"422AE7028D880400C834002000000015"</f>
        <v>422AE7028D880400C834002000000015</v>
      </c>
      <c r="G4638" s="1" t="s">
        <v>74</v>
      </c>
      <c r="H4638" s="1" t="str">
        <f t="shared" si="872"/>
        <v>20220920</v>
      </c>
      <c r="I4638" s="1" t="str">
        <f>"172830"</f>
        <v>172830</v>
      </c>
      <c r="J4638" s="1" t="s">
        <v>44</v>
      </c>
      <c r="K4638" s="1" t="s">
        <v>45</v>
      </c>
      <c r="L4638" s="1" t="str">
        <f t="shared" si="873"/>
        <v>20220920</v>
      </c>
      <c r="M4638" s="1" t="str">
        <f>"175229"</f>
        <v>175229</v>
      </c>
      <c r="N4638" s="1" t="s">
        <v>28</v>
      </c>
      <c r="O4638" s="1" t="s">
        <v>28</v>
      </c>
      <c r="P4638" s="1" t="s">
        <v>68</v>
      </c>
      <c r="Q4638" s="1">
        <v>13</v>
      </c>
      <c r="R4638" s="1">
        <v>0</v>
      </c>
      <c r="S4638" s="1">
        <v>0</v>
      </c>
      <c r="T4638" s="1">
        <v>13</v>
      </c>
      <c r="U4638" s="1">
        <v>0</v>
      </c>
      <c r="V4638" s="1" t="str">
        <f>"里程返程"</f>
        <v>里程返程</v>
      </c>
      <c r="W4638" s="1" t="str">
        <f>"0020"</f>
        <v>0020</v>
      </c>
      <c r="X4638" s="1" t="s">
        <v>29</v>
      </c>
    </row>
    <row r="4639" spans="1:24" x14ac:dyDescent="0.3">
      <c r="A4639" s="1" t="str">
        <f t="shared" si="874"/>
        <v>59828</v>
      </c>
      <c r="B4639" s="1" t="s">
        <v>23</v>
      </c>
      <c r="C4639" s="1" t="s">
        <v>24</v>
      </c>
      <c r="D4639" s="1" t="str">
        <f t="shared" si="875"/>
        <v>9801</v>
      </c>
      <c r="E4639" s="1" t="s">
        <v>25</v>
      </c>
      <c r="F4639" s="1" t="str">
        <f>"55D2A79CBC88040043265ABE00170710"</f>
        <v>55D2A79CBC88040043265ABE00170710</v>
      </c>
      <c r="G4639" s="1" t="s">
        <v>64</v>
      </c>
      <c r="H4639" s="1" t="str">
        <f t="shared" si="872"/>
        <v>20220920</v>
      </c>
      <c r="I4639" s="1" t="str">
        <f>"180648"</f>
        <v>180648</v>
      </c>
      <c r="J4639" s="1" t="s">
        <v>67</v>
      </c>
      <c r="K4639" s="1" t="s">
        <v>52</v>
      </c>
      <c r="L4639" s="1" t="str">
        <f t="shared" si="873"/>
        <v>20220920</v>
      </c>
      <c r="M4639" s="1" t="str">
        <f>"182913"</f>
        <v>182913</v>
      </c>
      <c r="N4639" s="1" t="s">
        <v>86</v>
      </c>
      <c r="O4639" s="1" t="s">
        <v>52</v>
      </c>
      <c r="P4639" s="1" t="s">
        <v>55</v>
      </c>
      <c r="Q4639" s="1">
        <v>13</v>
      </c>
      <c r="R4639" s="1">
        <v>13</v>
      </c>
      <c r="S4639" s="1">
        <v>0</v>
      </c>
      <c r="T4639" s="1">
        <v>0</v>
      </c>
      <c r="U4639" s="1">
        <v>0</v>
      </c>
      <c r="V4639" s="1" t="str">
        <f>"里程返程"</f>
        <v>里程返程</v>
      </c>
      <c r="W4639" s="1" t="str">
        <f>"0020"</f>
        <v>0020</v>
      </c>
      <c r="X4639" s="1" t="s">
        <v>29</v>
      </c>
    </row>
    <row r="4640" spans="1:24" x14ac:dyDescent="0.3">
      <c r="A4640" s="1" t="str">
        <f t="shared" ref="A4640:A4664" si="877">"59829"</f>
        <v>59829</v>
      </c>
      <c r="B4640" s="1" t="s">
        <v>47</v>
      </c>
      <c r="C4640" s="1" t="s">
        <v>48</v>
      </c>
      <c r="D4640" s="1" t="str">
        <f t="shared" si="875"/>
        <v>9801</v>
      </c>
      <c r="E4640" s="1" t="s">
        <v>25</v>
      </c>
      <c r="F4640" s="1" t="str">
        <f>"1454364865"</f>
        <v>1454364865</v>
      </c>
      <c r="G4640" s="1" t="s">
        <v>33</v>
      </c>
      <c r="H4640" s="1" t="str">
        <f t="shared" si="872"/>
        <v>20220920</v>
      </c>
      <c r="I4640" s="1" t="str">
        <f>"082649"</f>
        <v>082649</v>
      </c>
      <c r="J4640" s="1" t="s">
        <v>52</v>
      </c>
      <c r="K4640" s="1" t="s">
        <v>52</v>
      </c>
      <c r="L4640" s="1" t="str">
        <f t="shared" si="873"/>
        <v>20220920</v>
      </c>
      <c r="M4640" s="1" t="str">
        <f>"082702"</f>
        <v>082702</v>
      </c>
      <c r="N4640" s="1" t="s">
        <v>86</v>
      </c>
      <c r="O4640" s="1" t="s">
        <v>52</v>
      </c>
      <c r="P4640" s="1" t="s">
        <v>55</v>
      </c>
      <c r="Q4640" s="1">
        <v>25</v>
      </c>
      <c r="R4640" s="1">
        <v>25</v>
      </c>
      <c r="S4640" s="1">
        <v>0</v>
      </c>
      <c r="T4640" s="1">
        <v>0</v>
      </c>
      <c r="U4640" s="1">
        <v>0</v>
      </c>
      <c r="V4640" s="1" t="str">
        <f>"里程去程"</f>
        <v>里程去程</v>
      </c>
      <c r="W4640" s="1" t="str">
        <f>"2020"</f>
        <v>2020</v>
      </c>
      <c r="X4640" s="1" t="s">
        <v>35</v>
      </c>
    </row>
    <row r="4641" spans="1:24" x14ac:dyDescent="0.3">
      <c r="A4641" s="1" t="str">
        <f t="shared" si="877"/>
        <v>59829</v>
      </c>
      <c r="B4641" s="1" t="s">
        <v>47</v>
      </c>
      <c r="C4641" s="1" t="s">
        <v>48</v>
      </c>
      <c r="D4641" s="1" t="str">
        <f t="shared" si="875"/>
        <v>9801</v>
      </c>
      <c r="E4641" s="1" t="s">
        <v>25</v>
      </c>
      <c r="F4641" s="1" t="str">
        <f>"841598885"</f>
        <v>841598885</v>
      </c>
      <c r="G4641" s="1" t="s">
        <v>26</v>
      </c>
      <c r="H4641" s="1" t="str">
        <f t="shared" si="872"/>
        <v>20220920</v>
      </c>
      <c r="I4641" s="1" t="str">
        <f>"082835"</f>
        <v>082835</v>
      </c>
      <c r="J4641" s="1" t="s">
        <v>44</v>
      </c>
      <c r="K4641" s="1" t="s">
        <v>45</v>
      </c>
      <c r="L4641" s="1" t="str">
        <f t="shared" si="873"/>
        <v>20220920</v>
      </c>
      <c r="M4641" s="1" t="str">
        <f>"085050"</f>
        <v>085050</v>
      </c>
      <c r="N4641" s="1" t="s">
        <v>28</v>
      </c>
      <c r="O4641" s="1" t="s">
        <v>28</v>
      </c>
      <c r="P4641" s="1" t="s">
        <v>55</v>
      </c>
      <c r="Q4641" s="1">
        <v>13</v>
      </c>
      <c r="R4641" s="1">
        <v>13</v>
      </c>
      <c r="S4641" s="1">
        <v>0</v>
      </c>
      <c r="T4641" s="1">
        <v>0</v>
      </c>
      <c r="U4641" s="1">
        <v>0</v>
      </c>
      <c r="V4641" s="1" t="str">
        <f t="shared" ref="V4641:V4654" si="878">"里程返程"</f>
        <v>里程返程</v>
      </c>
      <c r="W4641" s="1" t="str">
        <f>"2120"</f>
        <v>2120</v>
      </c>
      <c r="X4641" s="1" t="s">
        <v>35</v>
      </c>
    </row>
    <row r="4642" spans="1:24" x14ac:dyDescent="0.3">
      <c r="A4642" s="1" t="str">
        <f t="shared" si="877"/>
        <v>59829</v>
      </c>
      <c r="B4642" s="1" t="s">
        <v>47</v>
      </c>
      <c r="C4642" s="1" t="s">
        <v>48</v>
      </c>
      <c r="D4642" s="1" t="str">
        <f t="shared" si="875"/>
        <v>9801</v>
      </c>
      <c r="E4642" s="1" t="s">
        <v>25</v>
      </c>
      <c r="F4642" s="1" t="str">
        <f>"F29BD102BA880400C834002000000015"</f>
        <v>F29BD102BA880400C834002000000015</v>
      </c>
      <c r="G4642" s="1" t="s">
        <v>26</v>
      </c>
      <c r="H4642" s="1" t="str">
        <f t="shared" ref="H4642:H4664" si="879">"20220920"</f>
        <v>20220920</v>
      </c>
      <c r="I4642" s="1" t="str">
        <f>"083216"</f>
        <v>083216</v>
      </c>
      <c r="J4642" s="1" t="s">
        <v>44</v>
      </c>
      <c r="K4642" s="1" t="s">
        <v>45</v>
      </c>
      <c r="L4642" s="1" t="str">
        <f t="shared" si="873"/>
        <v>20220920</v>
      </c>
      <c r="M4642" s="1" t="str">
        <f>"085026"</f>
        <v>085026</v>
      </c>
      <c r="N4642" s="1" t="s">
        <v>28</v>
      </c>
      <c r="O4642" s="1" t="s">
        <v>28</v>
      </c>
      <c r="P4642" s="1" t="s">
        <v>68</v>
      </c>
      <c r="Q4642" s="1">
        <v>13</v>
      </c>
      <c r="R4642" s="1">
        <v>0</v>
      </c>
      <c r="S4642" s="1">
        <v>0</v>
      </c>
      <c r="T4642" s="1">
        <v>13</v>
      </c>
      <c r="U4642" s="1">
        <v>0</v>
      </c>
      <c r="V4642" s="1" t="str">
        <f t="shared" si="878"/>
        <v>里程返程</v>
      </c>
      <c r="W4642" s="1" t="str">
        <f>"0020"</f>
        <v>0020</v>
      </c>
      <c r="X4642" s="1" t="s">
        <v>29</v>
      </c>
    </row>
    <row r="4643" spans="1:24" x14ac:dyDescent="0.3">
      <c r="A4643" s="1" t="str">
        <f t="shared" si="877"/>
        <v>59829</v>
      </c>
      <c r="B4643" s="1" t="s">
        <v>47</v>
      </c>
      <c r="C4643" s="1" t="s">
        <v>48</v>
      </c>
      <c r="D4643" s="1" t="str">
        <f t="shared" si="875"/>
        <v>9801</v>
      </c>
      <c r="E4643" s="1" t="s">
        <v>25</v>
      </c>
      <c r="F4643" s="1" t="str">
        <f>"03A6A9454988040048B994D749703809"</f>
        <v>03A6A9454988040048B994D749703809</v>
      </c>
      <c r="G4643" s="1" t="s">
        <v>64</v>
      </c>
      <c r="H4643" s="1" t="str">
        <f t="shared" si="879"/>
        <v>20220920</v>
      </c>
      <c r="I4643" s="1" t="str">
        <f>"085202"</f>
        <v>085202</v>
      </c>
      <c r="J4643" s="1" t="s">
        <v>28</v>
      </c>
      <c r="K4643" s="1" t="s">
        <v>28</v>
      </c>
      <c r="L4643" s="1" t="str">
        <f t="shared" si="873"/>
        <v>20220920</v>
      </c>
      <c r="M4643" s="1" t="str">
        <f>"090323"</f>
        <v>090323</v>
      </c>
      <c r="N4643" s="1" t="s">
        <v>78</v>
      </c>
      <c r="O4643" s="1" t="s">
        <v>52</v>
      </c>
      <c r="P4643" s="1" t="s">
        <v>55</v>
      </c>
      <c r="Q4643" s="1">
        <v>13</v>
      </c>
      <c r="R4643" s="1">
        <v>13</v>
      </c>
      <c r="S4643" s="1">
        <v>0</v>
      </c>
      <c r="T4643" s="1">
        <v>0</v>
      </c>
      <c r="U4643" s="1">
        <v>0</v>
      </c>
      <c r="V4643" s="1" t="str">
        <f t="shared" si="878"/>
        <v>里程返程</v>
      </c>
      <c r="W4643" s="1" t="str">
        <f>"0020"</f>
        <v>0020</v>
      </c>
      <c r="X4643" s="1" t="s">
        <v>29</v>
      </c>
    </row>
    <row r="4644" spans="1:24" x14ac:dyDescent="0.3">
      <c r="A4644" s="1" t="str">
        <f t="shared" si="877"/>
        <v>59829</v>
      </c>
      <c r="B4644" s="1" t="s">
        <v>47</v>
      </c>
      <c r="C4644" s="1" t="s">
        <v>48</v>
      </c>
      <c r="D4644" s="1" t="str">
        <f t="shared" si="875"/>
        <v>9801</v>
      </c>
      <c r="E4644" s="1" t="s">
        <v>25</v>
      </c>
      <c r="F4644" s="1" t="str">
        <f>"E220D10211880400C834002000000015"</f>
        <v>E220D10211880400C834002000000015</v>
      </c>
      <c r="G4644" s="1" t="s">
        <v>74</v>
      </c>
      <c r="H4644" s="1" t="str">
        <f t="shared" si="879"/>
        <v>20220920</v>
      </c>
      <c r="I4644" s="1" t="str">
        <f>"093609"</f>
        <v>093609</v>
      </c>
      <c r="J4644" s="1" t="s">
        <v>91</v>
      </c>
      <c r="K4644" s="1" t="s">
        <v>45</v>
      </c>
      <c r="L4644" s="1" t="str">
        <f t="shared" si="873"/>
        <v>20220920</v>
      </c>
      <c r="M4644" s="1" t="str">
        <f>"094346"</f>
        <v>094346</v>
      </c>
      <c r="N4644" s="1" t="s">
        <v>79</v>
      </c>
      <c r="O4644" s="1" t="s">
        <v>45</v>
      </c>
      <c r="P4644" s="1" t="s">
        <v>68</v>
      </c>
      <c r="Q4644" s="1">
        <v>13</v>
      </c>
      <c r="R4644" s="1">
        <v>0</v>
      </c>
      <c r="S4644" s="1">
        <v>0</v>
      </c>
      <c r="T4644" s="1">
        <v>13</v>
      </c>
      <c r="U4644" s="1">
        <v>0</v>
      </c>
      <c r="V4644" s="1" t="str">
        <f t="shared" si="878"/>
        <v>里程返程</v>
      </c>
      <c r="W4644" s="1" t="str">
        <f>"0020"</f>
        <v>0020</v>
      </c>
      <c r="X4644" s="1" t="s">
        <v>29</v>
      </c>
    </row>
    <row r="4645" spans="1:24" x14ac:dyDescent="0.3">
      <c r="A4645" s="1" t="str">
        <f t="shared" si="877"/>
        <v>59829</v>
      </c>
      <c r="B4645" s="1" t="s">
        <v>47</v>
      </c>
      <c r="C4645" s="1" t="s">
        <v>48</v>
      </c>
      <c r="D4645" s="1" t="str">
        <f t="shared" si="875"/>
        <v>9801</v>
      </c>
      <c r="E4645" s="1" t="s">
        <v>25</v>
      </c>
      <c r="F4645" s="1" t="str">
        <f>"211863265"</f>
        <v>211863265</v>
      </c>
      <c r="G4645" s="1" t="s">
        <v>33</v>
      </c>
      <c r="H4645" s="1" t="str">
        <f t="shared" si="879"/>
        <v>20220920</v>
      </c>
      <c r="I4645" s="1" t="str">
        <f>"095022"</f>
        <v>095022</v>
      </c>
      <c r="J4645" s="1" t="s">
        <v>28</v>
      </c>
      <c r="K4645" s="1" t="s">
        <v>28</v>
      </c>
      <c r="L4645" s="1" t="str">
        <f t="shared" si="873"/>
        <v>20220920</v>
      </c>
      <c r="M4645" s="1" t="str">
        <f>"100200"</f>
        <v>100200</v>
      </c>
      <c r="N4645" s="1" t="s">
        <v>83</v>
      </c>
      <c r="O4645" s="1" t="s">
        <v>52</v>
      </c>
      <c r="P4645" s="1" t="s">
        <v>55</v>
      </c>
      <c r="Q4645" s="1">
        <v>25</v>
      </c>
      <c r="R4645" s="1">
        <v>25</v>
      </c>
      <c r="S4645" s="1">
        <v>0</v>
      </c>
      <c r="T4645" s="1">
        <v>0</v>
      </c>
      <c r="U4645" s="1">
        <v>0</v>
      </c>
      <c r="V4645" s="1" t="str">
        <f t="shared" si="878"/>
        <v>里程返程</v>
      </c>
      <c r="W4645" s="1" t="str">
        <f>"0320"</f>
        <v>0320</v>
      </c>
      <c r="X4645" s="1" t="s">
        <v>35</v>
      </c>
    </row>
    <row r="4646" spans="1:24" x14ac:dyDescent="0.3">
      <c r="A4646" s="1" t="str">
        <f t="shared" si="877"/>
        <v>59829</v>
      </c>
      <c r="B4646" s="1" t="s">
        <v>47</v>
      </c>
      <c r="C4646" s="1" t="s">
        <v>48</v>
      </c>
      <c r="D4646" s="1" t="str">
        <f t="shared" si="875"/>
        <v>9801</v>
      </c>
      <c r="E4646" s="1" t="s">
        <v>25</v>
      </c>
      <c r="F4646" s="1" t="str">
        <f>"FBEF9B2BA488040047C139B2E5003808"</f>
        <v>FBEF9B2BA488040047C139B2E5003808</v>
      </c>
      <c r="G4646" s="1" t="s">
        <v>58</v>
      </c>
      <c r="H4646" s="1" t="str">
        <f t="shared" si="879"/>
        <v>20220920</v>
      </c>
      <c r="I4646" s="1" t="str">
        <f>"095033"</f>
        <v>095033</v>
      </c>
      <c r="J4646" s="1" t="s">
        <v>28</v>
      </c>
      <c r="K4646" s="1" t="s">
        <v>28</v>
      </c>
      <c r="L4646" s="1" t="str">
        <f t="shared" si="873"/>
        <v>20220920</v>
      </c>
      <c r="M4646" s="1" t="str">
        <f>"101456"</f>
        <v>101456</v>
      </c>
      <c r="N4646" s="1" t="s">
        <v>72</v>
      </c>
      <c r="O4646" s="1" t="s">
        <v>52</v>
      </c>
      <c r="P4646" s="1" t="s">
        <v>55</v>
      </c>
      <c r="Q4646" s="1">
        <v>25</v>
      </c>
      <c r="R4646" s="1">
        <v>25</v>
      </c>
      <c r="S4646" s="1">
        <v>0</v>
      </c>
      <c r="T4646" s="1">
        <v>0</v>
      </c>
      <c r="U4646" s="1">
        <v>0</v>
      </c>
      <c r="V4646" s="1" t="str">
        <f t="shared" si="878"/>
        <v>里程返程</v>
      </c>
      <c r="W4646" s="1" t="str">
        <f>"0020"</f>
        <v>0020</v>
      </c>
      <c r="X4646" s="1" t="s">
        <v>29</v>
      </c>
    </row>
    <row r="4647" spans="1:24" x14ac:dyDescent="0.3">
      <c r="A4647" s="1" t="str">
        <f t="shared" si="877"/>
        <v>59829</v>
      </c>
      <c r="B4647" s="1" t="s">
        <v>47</v>
      </c>
      <c r="C4647" s="1" t="s">
        <v>48</v>
      </c>
      <c r="D4647" s="1" t="str">
        <f t="shared" si="875"/>
        <v>9801</v>
      </c>
      <c r="E4647" s="1" t="s">
        <v>25</v>
      </c>
      <c r="F4647" s="1" t="str">
        <f>"12D0BA027A880400C834002000000015"</f>
        <v>12D0BA027A880400C834002000000015</v>
      </c>
      <c r="G4647" s="1" t="s">
        <v>26</v>
      </c>
      <c r="H4647" s="1" t="str">
        <f t="shared" si="879"/>
        <v>20220920</v>
      </c>
      <c r="I4647" s="1" t="str">
        <f>"101854"</f>
        <v>101854</v>
      </c>
      <c r="J4647" s="1" t="s">
        <v>60</v>
      </c>
      <c r="K4647" s="1" t="s">
        <v>52</v>
      </c>
      <c r="L4647" s="1" t="str">
        <f t="shared" ref="L4647:L4664" si="880">"20220920"</f>
        <v>20220920</v>
      </c>
      <c r="M4647" s="1" t="str">
        <f>"102225"</f>
        <v>102225</v>
      </c>
      <c r="N4647" s="1" t="s">
        <v>52</v>
      </c>
      <c r="O4647" s="1" t="s">
        <v>52</v>
      </c>
      <c r="P4647" s="1" t="s">
        <v>68</v>
      </c>
      <c r="Q4647" s="1">
        <v>13</v>
      </c>
      <c r="R4647" s="1">
        <v>0</v>
      </c>
      <c r="S4647" s="1">
        <v>0</v>
      </c>
      <c r="T4647" s="1">
        <v>13</v>
      </c>
      <c r="U4647" s="1">
        <v>0</v>
      </c>
      <c r="V4647" s="1" t="str">
        <f t="shared" si="878"/>
        <v>里程返程</v>
      </c>
      <c r="W4647" s="1" t="str">
        <f>"0020"</f>
        <v>0020</v>
      </c>
      <c r="X4647" s="1" t="s">
        <v>29</v>
      </c>
    </row>
    <row r="4648" spans="1:24" x14ac:dyDescent="0.3">
      <c r="A4648" s="1" t="str">
        <f t="shared" si="877"/>
        <v>59829</v>
      </c>
      <c r="B4648" s="1" t="s">
        <v>47</v>
      </c>
      <c r="C4648" s="1" t="s">
        <v>48</v>
      </c>
      <c r="D4648" s="1" t="str">
        <f t="shared" si="875"/>
        <v>9801</v>
      </c>
      <c r="E4648" s="1" t="s">
        <v>25</v>
      </c>
      <c r="F4648" s="1" t="str">
        <f>"880763713"</f>
        <v>880763713</v>
      </c>
      <c r="G4648" s="1" t="s">
        <v>33</v>
      </c>
      <c r="H4648" s="1" t="str">
        <f t="shared" si="879"/>
        <v>20220920</v>
      </c>
      <c r="I4648" s="1" t="str">
        <f>"102321"</f>
        <v>102321</v>
      </c>
      <c r="J4648" s="1" t="s">
        <v>44</v>
      </c>
      <c r="K4648" s="1" t="s">
        <v>45</v>
      </c>
      <c r="L4648" s="1" t="str">
        <f t="shared" si="880"/>
        <v>20220920</v>
      </c>
      <c r="M4648" s="1" t="str">
        <f>"105106"</f>
        <v>105106</v>
      </c>
      <c r="N4648" s="1" t="s">
        <v>28</v>
      </c>
      <c r="O4648" s="1" t="s">
        <v>28</v>
      </c>
      <c r="P4648" s="1" t="s">
        <v>55</v>
      </c>
      <c r="Q4648" s="1">
        <v>25</v>
      </c>
      <c r="R4648" s="1">
        <v>25</v>
      </c>
      <c r="S4648" s="1">
        <v>0</v>
      </c>
      <c r="T4648" s="1">
        <v>0</v>
      </c>
      <c r="U4648" s="1">
        <v>0</v>
      </c>
      <c r="V4648" s="1" t="str">
        <f t="shared" si="878"/>
        <v>里程返程</v>
      </c>
      <c r="W4648" s="1" t="str">
        <f>"2120"</f>
        <v>2120</v>
      </c>
      <c r="X4648" s="1" t="s">
        <v>35</v>
      </c>
    </row>
    <row r="4649" spans="1:24" x14ac:dyDescent="0.3">
      <c r="A4649" s="1" t="str">
        <f t="shared" si="877"/>
        <v>59829</v>
      </c>
      <c r="B4649" s="1" t="s">
        <v>47</v>
      </c>
      <c r="C4649" s="1" t="s">
        <v>48</v>
      </c>
      <c r="D4649" s="1" t="str">
        <f t="shared" si="875"/>
        <v>9801</v>
      </c>
      <c r="E4649" s="1" t="s">
        <v>25</v>
      </c>
      <c r="F4649" s="1" t="str">
        <f>"211863265"</f>
        <v>211863265</v>
      </c>
      <c r="G4649" s="1" t="s">
        <v>33</v>
      </c>
      <c r="H4649" s="1" t="str">
        <f t="shared" si="879"/>
        <v>20220920</v>
      </c>
      <c r="I4649" s="1" t="str">
        <f>"110159"</f>
        <v>110159</v>
      </c>
      <c r="J4649" s="1" t="s">
        <v>83</v>
      </c>
      <c r="K4649" s="1" t="s">
        <v>52</v>
      </c>
      <c r="L4649" s="1" t="str">
        <f t="shared" si="880"/>
        <v>20220920</v>
      </c>
      <c r="M4649" s="1" t="str">
        <f>"110934"</f>
        <v>110934</v>
      </c>
      <c r="N4649" s="1" t="s">
        <v>80</v>
      </c>
      <c r="O4649" s="1" t="s">
        <v>52</v>
      </c>
      <c r="P4649" s="1" t="s">
        <v>55</v>
      </c>
      <c r="Q4649" s="1">
        <v>25</v>
      </c>
      <c r="R4649" s="1">
        <v>25</v>
      </c>
      <c r="S4649" s="1">
        <v>0</v>
      </c>
      <c r="T4649" s="1">
        <v>0</v>
      </c>
      <c r="U4649" s="1">
        <v>0</v>
      </c>
      <c r="V4649" s="1" t="str">
        <f t="shared" si="878"/>
        <v>里程返程</v>
      </c>
      <c r="W4649" s="1" t="str">
        <f>"2020"</f>
        <v>2020</v>
      </c>
      <c r="X4649" s="1" t="s">
        <v>35</v>
      </c>
    </row>
    <row r="4650" spans="1:24" x14ac:dyDescent="0.3">
      <c r="A4650" s="1" t="str">
        <f t="shared" si="877"/>
        <v>59829</v>
      </c>
      <c r="B4650" s="1" t="s">
        <v>47</v>
      </c>
      <c r="C4650" s="1" t="s">
        <v>48</v>
      </c>
      <c r="D4650" s="1" t="str">
        <f t="shared" si="875"/>
        <v>9801</v>
      </c>
      <c r="E4650" s="1" t="s">
        <v>25</v>
      </c>
      <c r="F4650" s="1" t="str">
        <f>"687606977"</f>
        <v>687606977</v>
      </c>
      <c r="G4650" s="1" t="s">
        <v>33</v>
      </c>
      <c r="H4650" s="1" t="str">
        <f t="shared" si="879"/>
        <v>20220920</v>
      </c>
      <c r="I4650" s="1" t="str">
        <f>"115456"</f>
        <v>115456</v>
      </c>
      <c r="J4650" s="1" t="s">
        <v>28</v>
      </c>
      <c r="K4650" s="1" t="s">
        <v>28</v>
      </c>
      <c r="L4650" s="1" t="str">
        <f t="shared" si="880"/>
        <v>20220920</v>
      </c>
      <c r="M4650" s="1" t="str">
        <f>"122406"</f>
        <v>122406</v>
      </c>
      <c r="N4650" s="1" t="s">
        <v>60</v>
      </c>
      <c r="O4650" s="1" t="s">
        <v>52</v>
      </c>
      <c r="P4650" s="1" t="s">
        <v>55</v>
      </c>
      <c r="Q4650" s="1">
        <v>25</v>
      </c>
      <c r="R4650" s="1">
        <v>25</v>
      </c>
      <c r="S4650" s="1">
        <v>0</v>
      </c>
      <c r="T4650" s="1">
        <v>0</v>
      </c>
      <c r="U4650" s="1">
        <v>0</v>
      </c>
      <c r="V4650" s="1" t="str">
        <f t="shared" si="878"/>
        <v>里程返程</v>
      </c>
      <c r="W4650" s="1" t="str">
        <f>"2020"</f>
        <v>2020</v>
      </c>
      <c r="X4650" s="1" t="s">
        <v>35</v>
      </c>
    </row>
    <row r="4651" spans="1:24" x14ac:dyDescent="0.3">
      <c r="A4651" s="1" t="str">
        <f t="shared" si="877"/>
        <v>59829</v>
      </c>
      <c r="B4651" s="1" t="s">
        <v>47</v>
      </c>
      <c r="C4651" s="1" t="s">
        <v>48</v>
      </c>
      <c r="D4651" s="1" t="str">
        <f t="shared" si="875"/>
        <v>9801</v>
      </c>
      <c r="E4651" s="1" t="s">
        <v>25</v>
      </c>
      <c r="F4651" s="1" t="str">
        <f>"12814718CC880400C819002000000019"</f>
        <v>12814718CC880400C819002000000019</v>
      </c>
      <c r="G4651" s="1" t="s">
        <v>26</v>
      </c>
      <c r="H4651" s="1" t="str">
        <f t="shared" si="879"/>
        <v>20220920</v>
      </c>
      <c r="I4651" s="1" t="str">
        <f>"115459"</f>
        <v>115459</v>
      </c>
      <c r="J4651" s="1" t="s">
        <v>28</v>
      </c>
      <c r="K4651" s="1" t="s">
        <v>28</v>
      </c>
      <c r="L4651" s="1" t="str">
        <f t="shared" si="880"/>
        <v>20220920</v>
      </c>
      <c r="M4651" s="1" t="str">
        <f>"121811"</f>
        <v>121811</v>
      </c>
      <c r="N4651" s="1" t="s">
        <v>65</v>
      </c>
      <c r="O4651" s="1" t="s">
        <v>52</v>
      </c>
      <c r="P4651" s="1" t="s">
        <v>55</v>
      </c>
      <c r="Q4651" s="1">
        <v>13</v>
      </c>
      <c r="R4651" s="1">
        <v>0</v>
      </c>
      <c r="S4651" s="1">
        <v>13</v>
      </c>
      <c r="T4651" s="1">
        <v>0</v>
      </c>
      <c r="U4651" s="1">
        <v>0</v>
      </c>
      <c r="V4651" s="1" t="str">
        <f t="shared" si="878"/>
        <v>里程返程</v>
      </c>
      <c r="W4651" s="1" t="str">
        <f>"0620"</f>
        <v>0620</v>
      </c>
      <c r="X4651" s="1" t="s">
        <v>29</v>
      </c>
    </row>
    <row r="4652" spans="1:24" x14ac:dyDescent="0.3">
      <c r="A4652" s="1" t="str">
        <f t="shared" si="877"/>
        <v>59829</v>
      </c>
      <c r="B4652" s="1" t="s">
        <v>47</v>
      </c>
      <c r="C4652" s="1" t="s">
        <v>48</v>
      </c>
      <c r="D4652" s="1" t="str">
        <f t="shared" si="875"/>
        <v>9801</v>
      </c>
      <c r="E4652" s="1" t="s">
        <v>25</v>
      </c>
      <c r="F4652" s="1" t="str">
        <f>"1629749189"</f>
        <v>1629749189</v>
      </c>
      <c r="G4652" s="1" t="s">
        <v>33</v>
      </c>
      <c r="H4652" s="1" t="str">
        <f t="shared" si="879"/>
        <v>20220920</v>
      </c>
      <c r="I4652" s="1" t="str">
        <f>"115512"</f>
        <v>115512</v>
      </c>
      <c r="J4652" s="1" t="s">
        <v>28</v>
      </c>
      <c r="K4652" s="1" t="s">
        <v>28</v>
      </c>
      <c r="L4652" s="1" t="str">
        <f t="shared" si="880"/>
        <v>20220920</v>
      </c>
      <c r="M4652" s="1" t="str">
        <f>"121957"</f>
        <v>121957</v>
      </c>
      <c r="N4652" s="1" t="s">
        <v>72</v>
      </c>
      <c r="O4652" s="1" t="s">
        <v>52</v>
      </c>
      <c r="P4652" s="1" t="s">
        <v>55</v>
      </c>
      <c r="Q4652" s="1">
        <v>25</v>
      </c>
      <c r="R4652" s="1">
        <v>0</v>
      </c>
      <c r="S4652" s="1">
        <v>25</v>
      </c>
      <c r="T4652" s="1">
        <v>0</v>
      </c>
      <c r="U4652" s="1">
        <v>0</v>
      </c>
      <c r="V4652" s="1" t="str">
        <f t="shared" si="878"/>
        <v>里程返程</v>
      </c>
      <c r="W4652" s="1" t="str">
        <f>"0820"</f>
        <v>0820</v>
      </c>
      <c r="X4652" s="1" t="s">
        <v>35</v>
      </c>
    </row>
    <row r="4653" spans="1:24" x14ac:dyDescent="0.3">
      <c r="A4653" s="1" t="str">
        <f t="shared" si="877"/>
        <v>59829</v>
      </c>
      <c r="B4653" s="1" t="s">
        <v>47</v>
      </c>
      <c r="C4653" s="1" t="s">
        <v>48</v>
      </c>
      <c r="D4653" s="1" t="str">
        <f t="shared" si="875"/>
        <v>9801</v>
      </c>
      <c r="E4653" s="1" t="s">
        <v>25</v>
      </c>
      <c r="F4653" s="1" t="str">
        <f>"E295E60293880400C834002000000015"</f>
        <v>E295E60293880400C834002000000015</v>
      </c>
      <c r="G4653" s="1" t="s">
        <v>74</v>
      </c>
      <c r="H4653" s="1" t="str">
        <f t="shared" si="879"/>
        <v>20220920</v>
      </c>
      <c r="I4653" s="1" t="str">
        <f>"115514"</f>
        <v>115514</v>
      </c>
      <c r="J4653" s="1" t="s">
        <v>28</v>
      </c>
      <c r="K4653" s="1" t="s">
        <v>28</v>
      </c>
      <c r="L4653" s="1" t="str">
        <f t="shared" si="880"/>
        <v>20220920</v>
      </c>
      <c r="M4653" s="1" t="str">
        <f>"122852"</f>
        <v>122852</v>
      </c>
      <c r="N4653" s="1" t="s">
        <v>52</v>
      </c>
      <c r="O4653" s="1" t="s">
        <v>52</v>
      </c>
      <c r="P4653" s="1" t="s">
        <v>68</v>
      </c>
      <c r="Q4653" s="1">
        <v>13</v>
      </c>
      <c r="R4653" s="1">
        <v>0</v>
      </c>
      <c r="S4653" s="1">
        <v>0</v>
      </c>
      <c r="T4653" s="1">
        <v>13</v>
      </c>
      <c r="U4653" s="1">
        <v>0</v>
      </c>
      <c r="V4653" s="1" t="str">
        <f t="shared" si="878"/>
        <v>里程返程</v>
      </c>
      <c r="W4653" s="1" t="str">
        <f>"0020"</f>
        <v>0020</v>
      </c>
      <c r="X4653" s="1" t="s">
        <v>29</v>
      </c>
    </row>
    <row r="4654" spans="1:24" x14ac:dyDescent="0.3">
      <c r="A4654" s="1" t="str">
        <f t="shared" si="877"/>
        <v>59829</v>
      </c>
      <c r="B4654" s="1" t="s">
        <v>47</v>
      </c>
      <c r="C4654" s="1" t="s">
        <v>48</v>
      </c>
      <c r="D4654" s="1" t="str">
        <f>"9805"</f>
        <v>9805</v>
      </c>
      <c r="E4654" s="1" t="s">
        <v>57</v>
      </c>
      <c r="F4654" s="1" t="str">
        <f>"A14B2A33F38804004325B8B800130B0F"</f>
        <v>A14B2A33F38804004325B8B800130B0F</v>
      </c>
      <c r="G4654" s="1" t="s">
        <v>64</v>
      </c>
      <c r="H4654" s="1" t="str">
        <f t="shared" si="879"/>
        <v>20220920</v>
      </c>
      <c r="I4654" s="1" t="str">
        <f>"133355"</f>
        <v>133355</v>
      </c>
      <c r="J4654" s="1" t="s">
        <v>62</v>
      </c>
      <c r="K4654" s="1" t="s">
        <v>28</v>
      </c>
      <c r="L4654" s="1" t="str">
        <f t="shared" si="880"/>
        <v>20220920</v>
      </c>
      <c r="M4654" s="1" t="str">
        <f>"133638"</f>
        <v>133638</v>
      </c>
      <c r="N4654" s="1" t="s">
        <v>94</v>
      </c>
      <c r="O4654" s="1" t="s">
        <v>28</v>
      </c>
      <c r="P4654" s="1" t="s">
        <v>55</v>
      </c>
      <c r="Q4654" s="1">
        <v>13</v>
      </c>
      <c r="R4654" s="1">
        <v>0</v>
      </c>
      <c r="S4654" s="1">
        <v>13</v>
      </c>
      <c r="T4654" s="1">
        <v>0</v>
      </c>
      <c r="U4654" s="1">
        <v>0</v>
      </c>
      <c r="V4654" s="1" t="str">
        <f t="shared" si="878"/>
        <v>里程返程</v>
      </c>
      <c r="W4654" s="1" t="str">
        <f>"1120"</f>
        <v>1120</v>
      </c>
      <c r="X4654" s="1" t="s">
        <v>29</v>
      </c>
    </row>
    <row r="4655" spans="1:24" x14ac:dyDescent="0.3">
      <c r="A4655" s="1" t="str">
        <f t="shared" si="877"/>
        <v>59829</v>
      </c>
      <c r="B4655" s="1" t="s">
        <v>47</v>
      </c>
      <c r="C4655" s="1" t="s">
        <v>48</v>
      </c>
      <c r="D4655" s="1" t="str">
        <f>"9805"</f>
        <v>9805</v>
      </c>
      <c r="E4655" s="1" t="s">
        <v>57</v>
      </c>
      <c r="F4655" s="1" t="str">
        <f>"992678933"</f>
        <v>992678933</v>
      </c>
      <c r="G4655" s="1" t="s">
        <v>33</v>
      </c>
      <c r="H4655" s="1" t="str">
        <f t="shared" si="879"/>
        <v>20220920</v>
      </c>
      <c r="I4655" s="1" t="str">
        <f>"142436"</f>
        <v>142436</v>
      </c>
      <c r="J4655" s="1" t="s">
        <v>28</v>
      </c>
      <c r="K4655" s="1" t="s">
        <v>28</v>
      </c>
      <c r="L4655" s="1" t="str">
        <f t="shared" si="880"/>
        <v>20220920</v>
      </c>
      <c r="M4655" s="1" t="str">
        <f>"144145"</f>
        <v>144145</v>
      </c>
      <c r="N4655" s="1" t="s">
        <v>56</v>
      </c>
      <c r="O4655" s="1" t="s">
        <v>28</v>
      </c>
      <c r="P4655" s="1" t="s">
        <v>55</v>
      </c>
      <c r="Q4655" s="1">
        <v>25</v>
      </c>
      <c r="R4655" s="1">
        <v>0</v>
      </c>
      <c r="S4655" s="1">
        <v>25</v>
      </c>
      <c r="T4655" s="1">
        <v>0</v>
      </c>
      <c r="U4655" s="1">
        <v>0</v>
      </c>
      <c r="V4655" s="1" t="str">
        <f>"里程去程"</f>
        <v>里程去程</v>
      </c>
      <c r="W4655" s="1" t="str">
        <f>"0820"</f>
        <v>0820</v>
      </c>
      <c r="X4655" s="1" t="s">
        <v>35</v>
      </c>
    </row>
    <row r="4656" spans="1:24" x14ac:dyDescent="0.3">
      <c r="A4656" s="1" t="str">
        <f t="shared" si="877"/>
        <v>59829</v>
      </c>
      <c r="B4656" s="1" t="s">
        <v>47</v>
      </c>
      <c r="C4656" s="1" t="s">
        <v>48</v>
      </c>
      <c r="D4656" s="1" t="str">
        <f>"9805"</f>
        <v>9805</v>
      </c>
      <c r="E4656" s="1" t="s">
        <v>57</v>
      </c>
      <c r="F4656" s="1" t="str">
        <f>"1537530328"</f>
        <v>1537530328</v>
      </c>
      <c r="G4656" s="1" t="s">
        <v>33</v>
      </c>
      <c r="H4656" s="1" t="str">
        <f t="shared" si="879"/>
        <v>20220920</v>
      </c>
      <c r="I4656" s="1" t="str">
        <f>"142446"</f>
        <v>142446</v>
      </c>
      <c r="J4656" s="1" t="s">
        <v>28</v>
      </c>
      <c r="K4656" s="1" t="s">
        <v>28</v>
      </c>
      <c r="L4656" s="1" t="str">
        <f t="shared" si="880"/>
        <v>20220920</v>
      </c>
      <c r="M4656" s="1" t="str">
        <f>"144150"</f>
        <v>144150</v>
      </c>
      <c r="N4656" s="1" t="s">
        <v>56</v>
      </c>
      <c r="O4656" s="1" t="s">
        <v>28</v>
      </c>
      <c r="P4656" s="1" t="s">
        <v>55</v>
      </c>
      <c r="Q4656" s="1">
        <v>25</v>
      </c>
      <c r="R4656" s="1">
        <v>0</v>
      </c>
      <c r="S4656" s="1">
        <v>25</v>
      </c>
      <c r="T4656" s="1">
        <v>0</v>
      </c>
      <c r="U4656" s="1">
        <v>0</v>
      </c>
      <c r="V4656" s="1" t="str">
        <f>"里程去程"</f>
        <v>里程去程</v>
      </c>
      <c r="W4656" s="1" t="str">
        <f>"0820"</f>
        <v>0820</v>
      </c>
      <c r="X4656" s="1" t="s">
        <v>35</v>
      </c>
    </row>
    <row r="4657" spans="1:24" x14ac:dyDescent="0.3">
      <c r="A4657" s="1" t="str">
        <f t="shared" si="877"/>
        <v>59829</v>
      </c>
      <c r="B4657" s="1" t="s">
        <v>47</v>
      </c>
      <c r="C4657" s="1" t="s">
        <v>48</v>
      </c>
      <c r="D4657" s="1" t="str">
        <f>"9805"</f>
        <v>9805</v>
      </c>
      <c r="E4657" s="1" t="s">
        <v>57</v>
      </c>
      <c r="F4657" s="1" t="str">
        <f>"1695708368"</f>
        <v>1695708368</v>
      </c>
      <c r="G4657" s="1" t="s">
        <v>33</v>
      </c>
      <c r="H4657" s="1" t="str">
        <f t="shared" si="879"/>
        <v>20220920</v>
      </c>
      <c r="I4657" s="1" t="str">
        <f>"144808"</f>
        <v>144808</v>
      </c>
      <c r="J4657" s="1" t="s">
        <v>52</v>
      </c>
      <c r="K4657" s="1" t="s">
        <v>52</v>
      </c>
      <c r="L4657" s="1" t="str">
        <f t="shared" si="880"/>
        <v>20220920</v>
      </c>
      <c r="M4657" s="1" t="str">
        <f>"150738"</f>
        <v>150738</v>
      </c>
      <c r="N4657" s="1" t="s">
        <v>28</v>
      </c>
      <c r="O4657" s="1" t="s">
        <v>28</v>
      </c>
      <c r="P4657" s="1" t="s">
        <v>55</v>
      </c>
      <c r="Q4657" s="1">
        <v>25</v>
      </c>
      <c r="R4657" s="1">
        <v>0</v>
      </c>
      <c r="S4657" s="1">
        <v>25</v>
      </c>
      <c r="T4657" s="1">
        <v>0</v>
      </c>
      <c r="U4657" s="1">
        <v>0</v>
      </c>
      <c r="V4657" s="1" t="str">
        <f>"里程返程"</f>
        <v>里程返程</v>
      </c>
      <c r="W4657" s="1" t="str">
        <f>"2120"</f>
        <v>2120</v>
      </c>
      <c r="X4657" s="1" t="s">
        <v>35</v>
      </c>
    </row>
    <row r="4658" spans="1:24" x14ac:dyDescent="0.3">
      <c r="A4658" s="1" t="str">
        <f t="shared" si="877"/>
        <v>59829</v>
      </c>
      <c r="B4658" s="1" t="s">
        <v>47</v>
      </c>
      <c r="C4658" s="1" t="s">
        <v>48</v>
      </c>
      <c r="D4658" s="1" t="str">
        <f>"9803"</f>
        <v>9803</v>
      </c>
      <c r="E4658" s="1" t="s">
        <v>32</v>
      </c>
      <c r="F4658" s="1" t="str">
        <f>"1150189621"</f>
        <v>1150189621</v>
      </c>
      <c r="G4658" s="1" t="s">
        <v>33</v>
      </c>
      <c r="H4658" s="1" t="str">
        <f t="shared" si="879"/>
        <v>20220920</v>
      </c>
      <c r="I4658" s="1" t="str">
        <f>"150759"</f>
        <v>150759</v>
      </c>
      <c r="J4658" s="1" t="s">
        <v>28</v>
      </c>
      <c r="K4658" s="1" t="s">
        <v>28</v>
      </c>
      <c r="L4658" s="1" t="str">
        <f t="shared" si="880"/>
        <v>20220920</v>
      </c>
      <c r="M4658" s="1" t="str">
        <f>"152601"</f>
        <v>152601</v>
      </c>
      <c r="N4658" s="1" t="s">
        <v>93</v>
      </c>
      <c r="O4658" s="1" t="s">
        <v>28</v>
      </c>
      <c r="P4658" s="1" t="s">
        <v>55</v>
      </c>
      <c r="Q4658" s="1">
        <v>25</v>
      </c>
      <c r="R4658" s="1">
        <v>25</v>
      </c>
      <c r="S4658" s="1">
        <v>0</v>
      </c>
      <c r="T4658" s="1">
        <v>0</v>
      </c>
      <c r="U4658" s="1">
        <v>0</v>
      </c>
      <c r="V4658" s="1" t="str">
        <f>"里程去程"</f>
        <v>里程去程</v>
      </c>
      <c r="W4658" s="1" t="str">
        <f>"1420"</f>
        <v>1420</v>
      </c>
      <c r="X4658" s="1" t="s">
        <v>35</v>
      </c>
    </row>
    <row r="4659" spans="1:24" x14ac:dyDescent="0.3">
      <c r="A4659" s="1" t="str">
        <f t="shared" si="877"/>
        <v>59829</v>
      </c>
      <c r="B4659" s="1" t="s">
        <v>47</v>
      </c>
      <c r="C4659" s="1" t="s">
        <v>48</v>
      </c>
      <c r="D4659" s="1" t="str">
        <f>"9803"</f>
        <v>9803</v>
      </c>
      <c r="E4659" s="1" t="s">
        <v>32</v>
      </c>
      <c r="F4659" s="1" t="str">
        <f>"248664822"</f>
        <v>248664822</v>
      </c>
      <c r="G4659" s="1" t="s">
        <v>33</v>
      </c>
      <c r="H4659" s="1" t="str">
        <f t="shared" si="879"/>
        <v>20220920</v>
      </c>
      <c r="I4659" s="1" t="str">
        <f>"153131"</f>
        <v>153131</v>
      </c>
      <c r="J4659" s="1" t="s">
        <v>34</v>
      </c>
      <c r="K4659" s="1" t="s">
        <v>34</v>
      </c>
      <c r="L4659" s="1" t="str">
        <f t="shared" si="880"/>
        <v>20220920</v>
      </c>
      <c r="M4659" s="1" t="str">
        <f>"160828"</f>
        <v>160828</v>
      </c>
      <c r="N4659" s="1" t="s">
        <v>28</v>
      </c>
      <c r="O4659" s="1" t="s">
        <v>28</v>
      </c>
      <c r="P4659" s="1" t="s">
        <v>55</v>
      </c>
      <c r="Q4659" s="1">
        <v>25</v>
      </c>
      <c r="R4659" s="1">
        <v>25</v>
      </c>
      <c r="S4659" s="1">
        <v>0</v>
      </c>
      <c r="T4659" s="1">
        <v>0</v>
      </c>
      <c r="U4659" s="1">
        <v>0</v>
      </c>
      <c r="V4659" s="1" t="str">
        <f>"里程返程"</f>
        <v>里程返程</v>
      </c>
      <c r="W4659" s="1" t="str">
        <f>"0820"</f>
        <v>0820</v>
      </c>
      <c r="X4659" s="1" t="s">
        <v>35</v>
      </c>
    </row>
    <row r="4660" spans="1:24" x14ac:dyDescent="0.3">
      <c r="A4660" s="1" t="str">
        <f t="shared" si="877"/>
        <v>59829</v>
      </c>
      <c r="B4660" s="1" t="s">
        <v>47</v>
      </c>
      <c r="C4660" s="1" t="s">
        <v>48</v>
      </c>
      <c r="D4660" s="1" t="str">
        <f>"9803"</f>
        <v>9803</v>
      </c>
      <c r="E4660" s="1" t="s">
        <v>32</v>
      </c>
      <c r="F4660" s="1" t="str">
        <f>"1657923333"</f>
        <v>1657923333</v>
      </c>
      <c r="G4660" s="1" t="s">
        <v>33</v>
      </c>
      <c r="H4660" s="1" t="str">
        <f t="shared" si="879"/>
        <v>20220920</v>
      </c>
      <c r="I4660" s="1" t="str">
        <f>"153134"</f>
        <v>153134</v>
      </c>
      <c r="J4660" s="1" t="s">
        <v>34</v>
      </c>
      <c r="K4660" s="1" t="s">
        <v>34</v>
      </c>
      <c r="L4660" s="1" t="str">
        <f t="shared" si="880"/>
        <v>20220920</v>
      </c>
      <c r="M4660" s="1" t="str">
        <f>"160850"</f>
        <v>160850</v>
      </c>
      <c r="N4660" s="1" t="s">
        <v>28</v>
      </c>
      <c r="O4660" s="1" t="s">
        <v>28</v>
      </c>
      <c r="P4660" s="1" t="s">
        <v>55</v>
      </c>
      <c r="Q4660" s="1">
        <v>25</v>
      </c>
      <c r="R4660" s="1">
        <v>25</v>
      </c>
      <c r="S4660" s="1">
        <v>0</v>
      </c>
      <c r="T4660" s="1">
        <v>0</v>
      </c>
      <c r="U4660" s="1">
        <v>0</v>
      </c>
      <c r="V4660" s="1" t="str">
        <f>"里程返程"</f>
        <v>里程返程</v>
      </c>
      <c r="W4660" s="1" t="str">
        <f>"0820"</f>
        <v>0820</v>
      </c>
      <c r="X4660" s="1" t="s">
        <v>35</v>
      </c>
    </row>
    <row r="4661" spans="1:24" x14ac:dyDescent="0.3">
      <c r="A4661" s="1" t="str">
        <f t="shared" si="877"/>
        <v>59829</v>
      </c>
      <c r="B4661" s="1" t="s">
        <v>47</v>
      </c>
      <c r="C4661" s="1" t="s">
        <v>48</v>
      </c>
      <c r="D4661" s="1" t="str">
        <f>"9803"</f>
        <v>9803</v>
      </c>
      <c r="E4661" s="1" t="s">
        <v>32</v>
      </c>
      <c r="F4661" s="1" t="str">
        <f>"B2196416D9880400C814002000000019"</f>
        <v>B2196416D9880400C814002000000019</v>
      </c>
      <c r="G4661" s="1" t="s">
        <v>59</v>
      </c>
      <c r="H4661" s="1" t="str">
        <f t="shared" si="879"/>
        <v>20220920</v>
      </c>
      <c r="I4661" s="1" t="str">
        <f>"153138"</f>
        <v>153138</v>
      </c>
      <c r="J4661" s="1" t="s">
        <v>34</v>
      </c>
      <c r="K4661" s="1" t="s">
        <v>34</v>
      </c>
      <c r="L4661" s="1" t="str">
        <f t="shared" si="880"/>
        <v>20220920</v>
      </c>
      <c r="M4661" s="1" t="str">
        <f>"160820"</f>
        <v>160820</v>
      </c>
      <c r="N4661" s="1" t="s">
        <v>28</v>
      </c>
      <c r="O4661" s="1" t="s">
        <v>28</v>
      </c>
      <c r="P4661" s="1" t="s">
        <v>55</v>
      </c>
      <c r="Q4661" s="1">
        <v>25</v>
      </c>
      <c r="R4661" s="1">
        <v>25</v>
      </c>
      <c r="S4661" s="1">
        <v>0</v>
      </c>
      <c r="T4661" s="1">
        <v>0</v>
      </c>
      <c r="U4661" s="1">
        <v>0</v>
      </c>
      <c r="V4661" s="1" t="str">
        <f>"里程返程"</f>
        <v>里程返程</v>
      </c>
      <c r="W4661" s="1" t="str">
        <f>"0020"</f>
        <v>0020</v>
      </c>
      <c r="X4661" s="1" t="s">
        <v>29</v>
      </c>
    </row>
    <row r="4662" spans="1:24" x14ac:dyDescent="0.3">
      <c r="A4662" s="1" t="str">
        <f t="shared" si="877"/>
        <v>59829</v>
      </c>
      <c r="B4662" s="1" t="s">
        <v>47</v>
      </c>
      <c r="C4662" s="1" t="s">
        <v>48</v>
      </c>
      <c r="D4662" s="1" t="str">
        <f>"9806"</f>
        <v>9806</v>
      </c>
      <c r="E4662" s="1" t="s">
        <v>49</v>
      </c>
      <c r="F4662" s="1" t="str">
        <f>"1202E702F5880400C834002000000015"</f>
        <v>1202E702F5880400C834002000000015</v>
      </c>
      <c r="G4662" s="1" t="s">
        <v>74</v>
      </c>
      <c r="H4662" s="1" t="str">
        <f t="shared" si="879"/>
        <v>20220920</v>
      </c>
      <c r="I4662" s="1" t="str">
        <f>"163629"</f>
        <v>163629</v>
      </c>
      <c r="J4662" s="1" t="s">
        <v>76</v>
      </c>
      <c r="K4662" s="1" t="s">
        <v>28</v>
      </c>
      <c r="L4662" s="1" t="str">
        <f t="shared" si="880"/>
        <v>20220920</v>
      </c>
      <c r="M4662" s="1" t="str">
        <f>"164645"</f>
        <v>164645</v>
      </c>
      <c r="N4662" s="1" t="s">
        <v>84</v>
      </c>
      <c r="O4662" s="1" t="s">
        <v>28</v>
      </c>
      <c r="P4662" s="1" t="s">
        <v>68</v>
      </c>
      <c r="Q4662" s="1">
        <v>13</v>
      </c>
      <c r="R4662" s="1">
        <v>0</v>
      </c>
      <c r="S4662" s="1">
        <v>0</v>
      </c>
      <c r="T4662" s="1">
        <v>13</v>
      </c>
      <c r="U4662" s="1">
        <v>0</v>
      </c>
      <c r="V4662" s="1" t="str">
        <f>"里程去程"</f>
        <v>里程去程</v>
      </c>
      <c r="W4662" s="1" t="str">
        <f>"0020"</f>
        <v>0020</v>
      </c>
      <c r="X4662" s="1" t="s">
        <v>29</v>
      </c>
    </row>
    <row r="4663" spans="1:24" x14ac:dyDescent="0.3">
      <c r="A4663" s="1" t="str">
        <f t="shared" si="877"/>
        <v>59829</v>
      </c>
      <c r="B4663" s="1" t="s">
        <v>47</v>
      </c>
      <c r="C4663" s="1" t="s">
        <v>48</v>
      </c>
      <c r="D4663" s="1" t="str">
        <f>"9806"</f>
        <v>9806</v>
      </c>
      <c r="E4663" s="1" t="s">
        <v>49</v>
      </c>
      <c r="F4663" s="1" t="str">
        <f>"B211E70246880400C834002000000015"</f>
        <v>B211E70246880400C834002000000015</v>
      </c>
      <c r="G4663" s="1" t="s">
        <v>74</v>
      </c>
      <c r="H4663" s="1" t="str">
        <f t="shared" si="879"/>
        <v>20220920</v>
      </c>
      <c r="I4663" s="1" t="str">
        <f>"163633"</f>
        <v>163633</v>
      </c>
      <c r="J4663" s="1" t="s">
        <v>76</v>
      </c>
      <c r="K4663" s="1" t="s">
        <v>28</v>
      </c>
      <c r="L4663" s="1" t="str">
        <f t="shared" si="880"/>
        <v>20220920</v>
      </c>
      <c r="M4663" s="1" t="str">
        <f>"164639"</f>
        <v>164639</v>
      </c>
      <c r="N4663" s="1" t="s">
        <v>84</v>
      </c>
      <c r="O4663" s="1" t="s">
        <v>28</v>
      </c>
      <c r="P4663" s="1" t="s">
        <v>68</v>
      </c>
      <c r="Q4663" s="1">
        <v>13</v>
      </c>
      <c r="R4663" s="1">
        <v>0</v>
      </c>
      <c r="S4663" s="1">
        <v>0</v>
      </c>
      <c r="T4663" s="1">
        <v>13</v>
      </c>
      <c r="U4663" s="1">
        <v>0</v>
      </c>
      <c r="V4663" s="1" t="str">
        <f>"里程去程"</f>
        <v>里程去程</v>
      </c>
      <c r="W4663" s="1" t="str">
        <f>"0020"</f>
        <v>0020</v>
      </c>
      <c r="X4663" s="1" t="s">
        <v>29</v>
      </c>
    </row>
    <row r="4664" spans="1:24" x14ac:dyDescent="0.3">
      <c r="A4664" s="1" t="str">
        <f t="shared" si="877"/>
        <v>59829</v>
      </c>
      <c r="B4664" s="1" t="s">
        <v>47</v>
      </c>
      <c r="C4664" s="1" t="s">
        <v>48</v>
      </c>
      <c r="D4664" s="1" t="str">
        <f>"9806"</f>
        <v>9806</v>
      </c>
      <c r="E4664" s="1" t="s">
        <v>49</v>
      </c>
      <c r="F4664" s="1" t="str">
        <f>"1695105317"</f>
        <v>1695105317</v>
      </c>
      <c r="G4664" s="1" t="s">
        <v>33</v>
      </c>
      <c r="H4664" s="1" t="str">
        <f t="shared" si="879"/>
        <v>20220920</v>
      </c>
      <c r="I4664" s="1" t="str">
        <f>"163640"</f>
        <v>163640</v>
      </c>
      <c r="J4664" s="1" t="s">
        <v>76</v>
      </c>
      <c r="K4664" s="1" t="s">
        <v>28</v>
      </c>
      <c r="L4664" s="1" t="str">
        <f t="shared" si="880"/>
        <v>20220920</v>
      </c>
      <c r="M4664" s="1" t="str">
        <f>"164948"</f>
        <v>164948</v>
      </c>
      <c r="N4664" s="1" t="s">
        <v>28</v>
      </c>
      <c r="O4664" s="1" t="s">
        <v>28</v>
      </c>
      <c r="P4664" s="1" t="s">
        <v>55</v>
      </c>
      <c r="Q4664" s="1">
        <v>25</v>
      </c>
      <c r="R4664" s="1">
        <v>25</v>
      </c>
      <c r="S4664" s="1">
        <v>0</v>
      </c>
      <c r="T4664" s="1">
        <v>0</v>
      </c>
      <c r="U4664" s="1">
        <v>0</v>
      </c>
      <c r="V4664" s="1" t="str">
        <f>"里程去程"</f>
        <v>里程去程</v>
      </c>
      <c r="W4664" s="1" t="str">
        <f>"2020"</f>
        <v>2020</v>
      </c>
      <c r="X4664" s="1" t="s">
        <v>35</v>
      </c>
    </row>
    <row r="4665" spans="1:24" x14ac:dyDescent="0.3">
      <c r="A4665" s="1" t="str">
        <f t="shared" ref="A4665:A4680" si="881">"59820"</f>
        <v>59820</v>
      </c>
      <c r="B4665" s="1" t="s">
        <v>53</v>
      </c>
      <c r="C4665" s="1" t="s">
        <v>54</v>
      </c>
      <c r="D4665" s="1" t="str">
        <f t="shared" ref="D4665:D4680" si="882">"9801"</f>
        <v>9801</v>
      </c>
      <c r="E4665" s="1" t="s">
        <v>25</v>
      </c>
      <c r="F4665" s="1" t="str">
        <f>"03A6A9454988040048B994D749703809"</f>
        <v>03A6A9454988040048B994D749703809</v>
      </c>
      <c r="G4665" s="1" t="s">
        <v>64</v>
      </c>
      <c r="H4665" s="1" t="str">
        <f t="shared" ref="H4665:H4696" si="883">"20220921"</f>
        <v>20220921</v>
      </c>
      <c r="I4665" s="1" t="str">
        <f>"071856"</f>
        <v>071856</v>
      </c>
      <c r="J4665" s="1" t="s">
        <v>28</v>
      </c>
      <c r="K4665" s="1" t="s">
        <v>28</v>
      </c>
      <c r="L4665" s="1" t="str">
        <f t="shared" ref="L4665:L4696" si="884">"20220921"</f>
        <v>20220921</v>
      </c>
      <c r="M4665" s="1" t="str">
        <f>"073242"</f>
        <v>073242</v>
      </c>
      <c r="N4665" s="1" t="s">
        <v>78</v>
      </c>
      <c r="O4665" s="1" t="s">
        <v>52</v>
      </c>
      <c r="P4665" s="1" t="s">
        <v>55</v>
      </c>
      <c r="Q4665" s="1">
        <v>13</v>
      </c>
      <c r="R4665" s="1">
        <v>13</v>
      </c>
      <c r="S4665" s="1">
        <v>0</v>
      </c>
      <c r="T4665" s="1">
        <v>0</v>
      </c>
      <c r="U4665" s="1">
        <v>0</v>
      </c>
      <c r="V4665" s="1" t="str">
        <f>"里程返程"</f>
        <v>里程返程</v>
      </c>
      <c r="W4665" s="1" t="str">
        <f>"0020"</f>
        <v>0020</v>
      </c>
      <c r="X4665" s="1" t="s">
        <v>29</v>
      </c>
    </row>
    <row r="4666" spans="1:24" x14ac:dyDescent="0.3">
      <c r="A4666" s="1" t="str">
        <f t="shared" si="881"/>
        <v>59820</v>
      </c>
      <c r="B4666" s="1" t="s">
        <v>53</v>
      </c>
      <c r="C4666" s="1" t="s">
        <v>54</v>
      </c>
      <c r="D4666" s="1" t="str">
        <f t="shared" si="882"/>
        <v>9801</v>
      </c>
      <c r="E4666" s="1" t="s">
        <v>25</v>
      </c>
      <c r="F4666" s="1" t="str">
        <f>"1759959808"</f>
        <v>1759959808</v>
      </c>
      <c r="G4666" s="1" t="s">
        <v>33</v>
      </c>
      <c r="H4666" s="1" t="str">
        <f t="shared" si="883"/>
        <v>20220921</v>
      </c>
      <c r="I4666" s="1" t="str">
        <f>"074206"</f>
        <v>074206</v>
      </c>
      <c r="J4666" s="1" t="s">
        <v>80</v>
      </c>
      <c r="K4666" s="1" t="s">
        <v>52</v>
      </c>
      <c r="L4666" s="1" t="str">
        <f t="shared" si="884"/>
        <v>20220921</v>
      </c>
      <c r="M4666" s="1" t="str">
        <f>"075054"</f>
        <v>075054</v>
      </c>
      <c r="N4666" s="1" t="s">
        <v>60</v>
      </c>
      <c r="O4666" s="1" t="s">
        <v>52</v>
      </c>
      <c r="P4666" s="1" t="s">
        <v>55</v>
      </c>
      <c r="Q4666" s="1">
        <v>25</v>
      </c>
      <c r="R4666" s="1">
        <v>25</v>
      </c>
      <c r="S4666" s="1">
        <v>0</v>
      </c>
      <c r="T4666" s="1">
        <v>0</v>
      </c>
      <c r="U4666" s="1">
        <v>0</v>
      </c>
      <c r="V4666" s="1" t="str">
        <f>"里程返程"</f>
        <v>里程返程</v>
      </c>
      <c r="W4666" s="1" t="str">
        <f>"2020"</f>
        <v>2020</v>
      </c>
      <c r="X4666" s="1" t="s">
        <v>35</v>
      </c>
    </row>
    <row r="4667" spans="1:24" x14ac:dyDescent="0.3">
      <c r="A4667" s="1" t="str">
        <f t="shared" si="881"/>
        <v>59820</v>
      </c>
      <c r="B4667" s="1" t="s">
        <v>53</v>
      </c>
      <c r="C4667" s="1" t="s">
        <v>54</v>
      </c>
      <c r="D4667" s="1" t="str">
        <f t="shared" si="882"/>
        <v>9801</v>
      </c>
      <c r="E4667" s="1" t="s">
        <v>25</v>
      </c>
      <c r="F4667" s="1" t="str">
        <f>"7227E702B0880400C834002000000015"</f>
        <v>7227E702B0880400C834002000000015</v>
      </c>
      <c r="G4667" s="1" t="s">
        <v>74</v>
      </c>
      <c r="H4667" s="1" t="str">
        <f t="shared" si="883"/>
        <v>20220921</v>
      </c>
      <c r="I4667" s="1" t="str">
        <f>"075756"</f>
        <v>075756</v>
      </c>
      <c r="J4667" s="1" t="s">
        <v>52</v>
      </c>
      <c r="K4667" s="1" t="s">
        <v>52</v>
      </c>
      <c r="L4667" s="1" t="str">
        <f t="shared" si="884"/>
        <v>20220921</v>
      </c>
      <c r="M4667" s="1" t="str">
        <f>"081612"</f>
        <v>081612</v>
      </c>
      <c r="N4667" s="1" t="s">
        <v>80</v>
      </c>
      <c r="O4667" s="1" t="s">
        <v>52</v>
      </c>
      <c r="P4667" s="1" t="s">
        <v>68</v>
      </c>
      <c r="Q4667" s="1">
        <v>13</v>
      </c>
      <c r="R4667" s="1">
        <v>0</v>
      </c>
      <c r="S4667" s="1">
        <v>0</v>
      </c>
      <c r="T4667" s="1">
        <v>13</v>
      </c>
      <c r="U4667" s="1">
        <v>0</v>
      </c>
      <c r="V4667" s="1" t="str">
        <f t="shared" ref="V4667:V4672" si="885">"里程去程"</f>
        <v>里程去程</v>
      </c>
      <c r="W4667" s="1" t="str">
        <f>"0020"</f>
        <v>0020</v>
      </c>
      <c r="X4667" s="1" t="s">
        <v>29</v>
      </c>
    </row>
    <row r="4668" spans="1:24" x14ac:dyDescent="0.3">
      <c r="A4668" s="1" t="str">
        <f t="shared" si="881"/>
        <v>59820</v>
      </c>
      <c r="B4668" s="1" t="s">
        <v>53</v>
      </c>
      <c r="C4668" s="1" t="s">
        <v>54</v>
      </c>
      <c r="D4668" s="1" t="str">
        <f t="shared" si="882"/>
        <v>9801</v>
      </c>
      <c r="E4668" s="1" t="s">
        <v>25</v>
      </c>
      <c r="F4668" s="1" t="str">
        <f>"829DFE02E3880400C834002000000015"</f>
        <v>829DFE02E3880400C834002000000015</v>
      </c>
      <c r="G4668" s="1" t="s">
        <v>26</v>
      </c>
      <c r="H4668" s="1" t="str">
        <f t="shared" si="883"/>
        <v>20220921</v>
      </c>
      <c r="I4668" s="1" t="str">
        <f>"075805"</f>
        <v>075805</v>
      </c>
      <c r="J4668" s="1" t="s">
        <v>52</v>
      </c>
      <c r="K4668" s="1" t="s">
        <v>52</v>
      </c>
      <c r="L4668" s="1" t="str">
        <f t="shared" si="884"/>
        <v>20220921</v>
      </c>
      <c r="M4668" s="1" t="str">
        <f>"080626"</f>
        <v>080626</v>
      </c>
      <c r="N4668" s="1" t="s">
        <v>60</v>
      </c>
      <c r="O4668" s="1" t="s">
        <v>52</v>
      </c>
      <c r="P4668" s="1" t="s">
        <v>68</v>
      </c>
      <c r="Q4668" s="1">
        <v>13</v>
      </c>
      <c r="R4668" s="1">
        <v>0</v>
      </c>
      <c r="S4668" s="1">
        <v>0</v>
      </c>
      <c r="T4668" s="1">
        <v>13</v>
      </c>
      <c r="U4668" s="1">
        <v>0</v>
      </c>
      <c r="V4668" s="1" t="str">
        <f t="shared" si="885"/>
        <v>里程去程</v>
      </c>
      <c r="W4668" s="1" t="str">
        <f>"0020"</f>
        <v>0020</v>
      </c>
      <c r="X4668" s="1" t="s">
        <v>29</v>
      </c>
    </row>
    <row r="4669" spans="1:24" x14ac:dyDescent="0.3">
      <c r="A4669" s="1" t="str">
        <f t="shared" si="881"/>
        <v>59820</v>
      </c>
      <c r="B4669" s="1" t="s">
        <v>53</v>
      </c>
      <c r="C4669" s="1" t="s">
        <v>54</v>
      </c>
      <c r="D4669" s="1" t="str">
        <f t="shared" si="882"/>
        <v>9801</v>
      </c>
      <c r="E4669" s="1" t="s">
        <v>25</v>
      </c>
      <c r="F4669" s="1" t="str">
        <f>"82730F18E6880400C814002000000019"</f>
        <v>82730F18E6880400C814002000000019</v>
      </c>
      <c r="G4669" s="1" t="s">
        <v>59</v>
      </c>
      <c r="H4669" s="1" t="str">
        <f t="shared" si="883"/>
        <v>20220921</v>
      </c>
      <c r="I4669" s="1" t="str">
        <f>"083218"</f>
        <v>083218</v>
      </c>
      <c r="J4669" s="1" t="s">
        <v>27</v>
      </c>
      <c r="K4669" s="1" t="s">
        <v>28</v>
      </c>
      <c r="L4669" s="1" t="str">
        <f t="shared" si="884"/>
        <v>20220921</v>
      </c>
      <c r="M4669" s="1" t="str">
        <f>"085547"</f>
        <v>085547</v>
      </c>
      <c r="N4669" s="1" t="s">
        <v>44</v>
      </c>
      <c r="O4669" s="1" t="s">
        <v>45</v>
      </c>
      <c r="P4669" s="1" t="s">
        <v>55</v>
      </c>
      <c r="Q4669" s="1">
        <v>25</v>
      </c>
      <c r="R4669" s="1">
        <v>25</v>
      </c>
      <c r="S4669" s="1">
        <v>0</v>
      </c>
      <c r="T4669" s="1">
        <v>0</v>
      </c>
      <c r="U4669" s="1">
        <v>0</v>
      </c>
      <c r="V4669" s="1" t="str">
        <f t="shared" si="885"/>
        <v>里程去程</v>
      </c>
      <c r="W4669" s="1" t="str">
        <f>"0020"</f>
        <v>0020</v>
      </c>
      <c r="X4669" s="1" t="s">
        <v>29</v>
      </c>
    </row>
    <row r="4670" spans="1:24" x14ac:dyDescent="0.3">
      <c r="A4670" s="1" t="str">
        <f t="shared" si="881"/>
        <v>59820</v>
      </c>
      <c r="B4670" s="1" t="s">
        <v>53</v>
      </c>
      <c r="C4670" s="1" t="s">
        <v>54</v>
      </c>
      <c r="D4670" s="1" t="str">
        <f t="shared" si="882"/>
        <v>9801</v>
      </c>
      <c r="E4670" s="1" t="s">
        <v>25</v>
      </c>
      <c r="F4670" s="1" t="str">
        <f>"E282A20FCD880400C820002000000018"</f>
        <v>E282A20FCD880400C820002000000018</v>
      </c>
      <c r="G4670" s="1" t="s">
        <v>58</v>
      </c>
      <c r="H4670" s="1" t="str">
        <f t="shared" si="883"/>
        <v>20220921</v>
      </c>
      <c r="I4670" s="1" t="str">
        <f>"083302"</f>
        <v>083302</v>
      </c>
      <c r="J4670" s="1" t="s">
        <v>27</v>
      </c>
      <c r="K4670" s="1" t="s">
        <v>28</v>
      </c>
      <c r="L4670" s="1" t="str">
        <f t="shared" si="884"/>
        <v>20220921</v>
      </c>
      <c r="M4670" s="1" t="str">
        <f>"085550"</f>
        <v>085550</v>
      </c>
      <c r="N4670" s="1" t="s">
        <v>44</v>
      </c>
      <c r="O4670" s="1" t="s">
        <v>45</v>
      </c>
      <c r="P4670" s="1" t="s">
        <v>55</v>
      </c>
      <c r="Q4670" s="1">
        <v>25</v>
      </c>
      <c r="R4670" s="1">
        <v>0</v>
      </c>
      <c r="S4670" s="1">
        <v>25</v>
      </c>
      <c r="T4670" s="1">
        <v>0</v>
      </c>
      <c r="U4670" s="1">
        <v>0</v>
      </c>
      <c r="V4670" s="1" t="str">
        <f t="shared" si="885"/>
        <v>里程去程</v>
      </c>
      <c r="W4670" s="1" t="str">
        <f>"0620"</f>
        <v>0620</v>
      </c>
      <c r="X4670" s="1" t="s">
        <v>29</v>
      </c>
    </row>
    <row r="4671" spans="1:24" x14ac:dyDescent="0.3">
      <c r="A4671" s="1" t="str">
        <f t="shared" si="881"/>
        <v>59820</v>
      </c>
      <c r="B4671" s="1" t="s">
        <v>53</v>
      </c>
      <c r="C4671" s="1" t="s">
        <v>54</v>
      </c>
      <c r="D4671" s="1" t="str">
        <f t="shared" si="882"/>
        <v>9801</v>
      </c>
      <c r="E4671" s="1" t="s">
        <v>25</v>
      </c>
      <c r="F4671" s="1" t="str">
        <f>"B114110FBB280400F700000000000000"</f>
        <v>B114110FBB280400F700000000000000</v>
      </c>
      <c r="G4671" s="1" t="s">
        <v>58</v>
      </c>
      <c r="H4671" s="1" t="str">
        <f t="shared" si="883"/>
        <v>20220921</v>
      </c>
      <c r="I4671" s="1" t="str">
        <f>"093246"</f>
        <v>093246</v>
      </c>
      <c r="J4671" s="1" t="s">
        <v>27</v>
      </c>
      <c r="K4671" s="1" t="s">
        <v>28</v>
      </c>
      <c r="L4671" s="1" t="str">
        <f t="shared" si="884"/>
        <v>20220921</v>
      </c>
      <c r="M4671" s="1" t="str">
        <f>"094400"</f>
        <v>094400</v>
      </c>
      <c r="N4671" s="1" t="s">
        <v>79</v>
      </c>
      <c r="O4671" s="1" t="s">
        <v>45</v>
      </c>
      <c r="P4671" s="1" t="s">
        <v>55</v>
      </c>
      <c r="Q4671" s="1">
        <v>25</v>
      </c>
      <c r="R4671" s="1">
        <v>25</v>
      </c>
      <c r="S4671" s="1">
        <v>0</v>
      </c>
      <c r="T4671" s="1">
        <v>0</v>
      </c>
      <c r="U4671" s="1">
        <v>0</v>
      </c>
      <c r="V4671" s="1" t="str">
        <f t="shared" si="885"/>
        <v>里程去程</v>
      </c>
      <c r="W4671" s="1" t="str">
        <f>"0020"</f>
        <v>0020</v>
      </c>
      <c r="X4671" s="1" t="s">
        <v>29</v>
      </c>
    </row>
    <row r="4672" spans="1:24" x14ac:dyDescent="0.3">
      <c r="A4672" s="1" t="str">
        <f t="shared" si="881"/>
        <v>59820</v>
      </c>
      <c r="B4672" s="1" t="s">
        <v>53</v>
      </c>
      <c r="C4672" s="1" t="s">
        <v>54</v>
      </c>
      <c r="D4672" s="1" t="str">
        <f t="shared" si="882"/>
        <v>9801</v>
      </c>
      <c r="E4672" s="1" t="s">
        <v>25</v>
      </c>
      <c r="F4672" s="1" t="str">
        <f>"A29FCF06F4880400C838002000000015"</f>
        <v>A29FCF06F4880400C838002000000015</v>
      </c>
      <c r="G4672" s="1" t="s">
        <v>26</v>
      </c>
      <c r="H4672" s="1" t="str">
        <f t="shared" si="883"/>
        <v>20220921</v>
      </c>
      <c r="I4672" s="1" t="str">
        <f>"093252"</f>
        <v>093252</v>
      </c>
      <c r="J4672" s="1" t="s">
        <v>27</v>
      </c>
      <c r="K4672" s="1" t="s">
        <v>28</v>
      </c>
      <c r="L4672" s="1" t="str">
        <f t="shared" si="884"/>
        <v>20220921</v>
      </c>
      <c r="M4672" s="1" t="str">
        <f>"095543"</f>
        <v>095543</v>
      </c>
      <c r="N4672" s="1" t="s">
        <v>44</v>
      </c>
      <c r="O4672" s="1" t="s">
        <v>45</v>
      </c>
      <c r="P4672" s="1" t="s">
        <v>68</v>
      </c>
      <c r="Q4672" s="1">
        <v>13</v>
      </c>
      <c r="R4672" s="1">
        <v>0</v>
      </c>
      <c r="S4672" s="1">
        <v>0</v>
      </c>
      <c r="T4672" s="1">
        <v>13</v>
      </c>
      <c r="U4672" s="1">
        <v>0</v>
      </c>
      <c r="V4672" s="1" t="str">
        <f t="shared" si="885"/>
        <v>里程去程</v>
      </c>
      <c r="W4672" s="1" t="str">
        <f>"0020"</f>
        <v>0020</v>
      </c>
      <c r="X4672" s="1" t="s">
        <v>29</v>
      </c>
    </row>
    <row r="4673" spans="1:24" x14ac:dyDescent="0.3">
      <c r="A4673" s="1" t="str">
        <f t="shared" si="881"/>
        <v>59820</v>
      </c>
      <c r="B4673" s="1" t="s">
        <v>53</v>
      </c>
      <c r="C4673" s="1" t="s">
        <v>54</v>
      </c>
      <c r="D4673" s="1" t="str">
        <f t="shared" si="882"/>
        <v>9801</v>
      </c>
      <c r="E4673" s="1" t="s">
        <v>25</v>
      </c>
      <c r="F4673" s="1" t="str">
        <f>"E220D10211880400C834002000000015"</f>
        <v>E220D10211880400C834002000000015</v>
      </c>
      <c r="G4673" s="1" t="s">
        <v>74</v>
      </c>
      <c r="H4673" s="1" t="str">
        <f t="shared" si="883"/>
        <v>20220921</v>
      </c>
      <c r="I4673" s="1" t="str">
        <f>"131003"</f>
        <v>131003</v>
      </c>
      <c r="J4673" s="1" t="s">
        <v>97</v>
      </c>
      <c r="K4673" s="1" t="s">
        <v>52</v>
      </c>
      <c r="L4673" s="1" t="str">
        <f t="shared" si="884"/>
        <v>20220921</v>
      </c>
      <c r="M4673" s="1" t="str">
        <f>"131232"</f>
        <v>131232</v>
      </c>
      <c r="N4673" s="1" t="s">
        <v>65</v>
      </c>
      <c r="O4673" s="1" t="s">
        <v>52</v>
      </c>
      <c r="P4673" s="1" t="s">
        <v>68</v>
      </c>
      <c r="Q4673" s="1">
        <v>13</v>
      </c>
      <c r="R4673" s="1">
        <v>0</v>
      </c>
      <c r="S4673" s="1">
        <v>0</v>
      </c>
      <c r="T4673" s="1">
        <v>13</v>
      </c>
      <c r="U4673" s="1">
        <v>0</v>
      </c>
      <c r="V4673" s="1" t="str">
        <f t="shared" ref="V4673:V4681" si="886">"里程返程"</f>
        <v>里程返程</v>
      </c>
      <c r="W4673" s="1" t="str">
        <f>"0020"</f>
        <v>0020</v>
      </c>
      <c r="X4673" s="1" t="s">
        <v>29</v>
      </c>
    </row>
    <row r="4674" spans="1:24" x14ac:dyDescent="0.3">
      <c r="A4674" s="1" t="str">
        <f t="shared" si="881"/>
        <v>59820</v>
      </c>
      <c r="B4674" s="1" t="s">
        <v>53</v>
      </c>
      <c r="C4674" s="1" t="s">
        <v>54</v>
      </c>
      <c r="D4674" s="1" t="str">
        <f t="shared" si="882"/>
        <v>9801</v>
      </c>
      <c r="E4674" s="1" t="s">
        <v>25</v>
      </c>
      <c r="F4674" s="1" t="str">
        <f>"82D5FB02AE880400C834002000000015"</f>
        <v>82D5FB02AE880400C834002000000015</v>
      </c>
      <c r="G4674" s="1" t="s">
        <v>26</v>
      </c>
      <c r="H4674" s="1" t="str">
        <f t="shared" si="883"/>
        <v>20220921</v>
      </c>
      <c r="I4674" s="1" t="str">
        <f>"131315"</f>
        <v>131315</v>
      </c>
      <c r="J4674" s="1" t="s">
        <v>65</v>
      </c>
      <c r="K4674" s="1" t="s">
        <v>52</v>
      </c>
      <c r="L4674" s="1" t="str">
        <f t="shared" si="884"/>
        <v>20220921</v>
      </c>
      <c r="M4674" s="1" t="str">
        <f>"131657"</f>
        <v>131657</v>
      </c>
      <c r="N4674" s="1" t="s">
        <v>51</v>
      </c>
      <c r="O4674" s="1" t="s">
        <v>52</v>
      </c>
      <c r="P4674" s="1" t="s">
        <v>68</v>
      </c>
      <c r="Q4674" s="1">
        <v>13</v>
      </c>
      <c r="R4674" s="1">
        <v>0</v>
      </c>
      <c r="S4674" s="1">
        <v>0</v>
      </c>
      <c r="T4674" s="1">
        <v>13</v>
      </c>
      <c r="U4674" s="1">
        <v>0</v>
      </c>
      <c r="V4674" s="1" t="str">
        <f t="shared" si="886"/>
        <v>里程返程</v>
      </c>
      <c r="W4674" s="1" t="str">
        <f>"0020"</f>
        <v>0020</v>
      </c>
      <c r="X4674" s="1" t="s">
        <v>29</v>
      </c>
    </row>
    <row r="4675" spans="1:24" x14ac:dyDescent="0.3">
      <c r="A4675" s="1" t="str">
        <f t="shared" si="881"/>
        <v>59820</v>
      </c>
      <c r="B4675" s="1" t="s">
        <v>53</v>
      </c>
      <c r="C4675" s="1" t="s">
        <v>54</v>
      </c>
      <c r="D4675" s="1" t="str">
        <f t="shared" si="882"/>
        <v>9801</v>
      </c>
      <c r="E4675" s="1" t="s">
        <v>25</v>
      </c>
      <c r="F4675" s="1" t="str">
        <f>"029DE6027B880400C834002000000015"</f>
        <v>029DE6027B880400C834002000000015</v>
      </c>
      <c r="G4675" s="1" t="s">
        <v>74</v>
      </c>
      <c r="H4675" s="1" t="str">
        <f t="shared" si="883"/>
        <v>20220921</v>
      </c>
      <c r="I4675" s="1" t="str">
        <f>"131840"</f>
        <v>131840</v>
      </c>
      <c r="J4675" s="1" t="s">
        <v>60</v>
      </c>
      <c r="K4675" s="1" t="s">
        <v>52</v>
      </c>
      <c r="L4675" s="1" t="str">
        <f t="shared" si="884"/>
        <v>20220921</v>
      </c>
      <c r="M4675" s="1" t="str">
        <f>"132243"</f>
        <v>132243</v>
      </c>
      <c r="N4675" s="1" t="s">
        <v>52</v>
      </c>
      <c r="O4675" s="1" t="s">
        <v>52</v>
      </c>
      <c r="P4675" s="1" t="s">
        <v>68</v>
      </c>
      <c r="Q4675" s="1">
        <v>13</v>
      </c>
      <c r="R4675" s="1">
        <v>0</v>
      </c>
      <c r="S4675" s="1">
        <v>0</v>
      </c>
      <c r="T4675" s="1">
        <v>13</v>
      </c>
      <c r="U4675" s="1">
        <v>0</v>
      </c>
      <c r="V4675" s="1" t="str">
        <f t="shared" si="886"/>
        <v>里程返程</v>
      </c>
      <c r="W4675" s="1" t="str">
        <f>"0020"</f>
        <v>0020</v>
      </c>
      <c r="X4675" s="1" t="s">
        <v>29</v>
      </c>
    </row>
    <row r="4676" spans="1:24" x14ac:dyDescent="0.3">
      <c r="A4676" s="1" t="str">
        <f t="shared" si="881"/>
        <v>59820</v>
      </c>
      <c r="B4676" s="1" t="s">
        <v>53</v>
      </c>
      <c r="C4676" s="1" t="s">
        <v>54</v>
      </c>
      <c r="D4676" s="1" t="str">
        <f t="shared" si="882"/>
        <v>9801</v>
      </c>
      <c r="E4676" s="1" t="s">
        <v>25</v>
      </c>
      <c r="F4676" s="1" t="str">
        <f>"1423105809"</f>
        <v>1423105809</v>
      </c>
      <c r="G4676" s="1" t="s">
        <v>33</v>
      </c>
      <c r="H4676" s="1" t="str">
        <f t="shared" si="883"/>
        <v>20220921</v>
      </c>
      <c r="I4676" s="1" t="str">
        <f>"131845"</f>
        <v>131845</v>
      </c>
      <c r="J4676" s="1" t="s">
        <v>60</v>
      </c>
      <c r="K4676" s="1" t="s">
        <v>52</v>
      </c>
      <c r="L4676" s="1" t="str">
        <f t="shared" si="884"/>
        <v>20220921</v>
      </c>
      <c r="M4676" s="1" t="str">
        <f>"132256"</f>
        <v>132256</v>
      </c>
      <c r="N4676" s="1" t="s">
        <v>52</v>
      </c>
      <c r="O4676" s="1" t="s">
        <v>52</v>
      </c>
      <c r="P4676" s="1" t="s">
        <v>55</v>
      </c>
      <c r="Q4676" s="1">
        <v>25</v>
      </c>
      <c r="R4676" s="1">
        <v>25</v>
      </c>
      <c r="S4676" s="1">
        <v>0</v>
      </c>
      <c r="T4676" s="1">
        <v>0</v>
      </c>
      <c r="U4676" s="1">
        <v>0</v>
      </c>
      <c r="V4676" s="1" t="str">
        <f t="shared" si="886"/>
        <v>里程返程</v>
      </c>
      <c r="W4676" s="1" t="str">
        <f>"2020"</f>
        <v>2020</v>
      </c>
      <c r="X4676" s="1" t="s">
        <v>35</v>
      </c>
    </row>
    <row r="4677" spans="1:24" x14ac:dyDescent="0.3">
      <c r="A4677" s="1" t="str">
        <f t="shared" si="881"/>
        <v>59820</v>
      </c>
      <c r="B4677" s="1" t="s">
        <v>53</v>
      </c>
      <c r="C4677" s="1" t="s">
        <v>54</v>
      </c>
      <c r="D4677" s="1" t="str">
        <f t="shared" si="882"/>
        <v>9801</v>
      </c>
      <c r="E4677" s="1" t="s">
        <v>25</v>
      </c>
      <c r="F4677" s="1" t="str">
        <f>"808410421"</f>
        <v>808410421</v>
      </c>
      <c r="G4677" s="1" t="s">
        <v>26</v>
      </c>
      <c r="H4677" s="1" t="str">
        <f t="shared" si="883"/>
        <v>20220921</v>
      </c>
      <c r="I4677" s="1" t="str">
        <f>"152348"</f>
        <v>152348</v>
      </c>
      <c r="J4677" s="1" t="s">
        <v>44</v>
      </c>
      <c r="K4677" s="1" t="s">
        <v>45</v>
      </c>
      <c r="L4677" s="1" t="str">
        <f t="shared" si="884"/>
        <v>20220921</v>
      </c>
      <c r="M4677" s="1" t="str">
        <f>"154925"</f>
        <v>154925</v>
      </c>
      <c r="N4677" s="1" t="s">
        <v>28</v>
      </c>
      <c r="O4677" s="1" t="s">
        <v>28</v>
      </c>
      <c r="P4677" s="1" t="s">
        <v>55</v>
      </c>
      <c r="Q4677" s="1">
        <v>13</v>
      </c>
      <c r="R4677" s="1">
        <v>0</v>
      </c>
      <c r="S4677" s="1">
        <v>13</v>
      </c>
      <c r="T4677" s="1">
        <v>0</v>
      </c>
      <c r="U4677" s="1">
        <v>0</v>
      </c>
      <c r="V4677" s="1" t="str">
        <f t="shared" si="886"/>
        <v>里程返程</v>
      </c>
      <c r="W4677" s="1" t="str">
        <f>"2120"</f>
        <v>2120</v>
      </c>
      <c r="X4677" s="1" t="s">
        <v>35</v>
      </c>
    </row>
    <row r="4678" spans="1:24" x14ac:dyDescent="0.3">
      <c r="A4678" s="1" t="str">
        <f t="shared" si="881"/>
        <v>59820</v>
      </c>
      <c r="B4678" s="1" t="s">
        <v>53</v>
      </c>
      <c r="C4678" s="1" t="s">
        <v>54</v>
      </c>
      <c r="D4678" s="1" t="str">
        <f t="shared" si="882"/>
        <v>9801</v>
      </c>
      <c r="E4678" s="1" t="s">
        <v>25</v>
      </c>
      <c r="F4678" s="1" t="str">
        <f>"4251460257880400C821002000000015"</f>
        <v>4251460257880400C821002000000015</v>
      </c>
      <c r="G4678" s="1" t="s">
        <v>26</v>
      </c>
      <c r="H4678" s="1" t="str">
        <f t="shared" si="883"/>
        <v>20220921</v>
      </c>
      <c r="I4678" s="1" t="str">
        <f>"160057"</f>
        <v>160057</v>
      </c>
      <c r="J4678" s="1" t="s">
        <v>83</v>
      </c>
      <c r="K4678" s="1" t="s">
        <v>52</v>
      </c>
      <c r="L4678" s="1" t="str">
        <f t="shared" si="884"/>
        <v>20220921</v>
      </c>
      <c r="M4678" s="1" t="str">
        <f>"160416"</f>
        <v>160416</v>
      </c>
      <c r="N4678" s="1" t="s">
        <v>69</v>
      </c>
      <c r="O4678" s="1" t="s">
        <v>52</v>
      </c>
      <c r="P4678" s="1" t="s">
        <v>68</v>
      </c>
      <c r="Q4678" s="1">
        <v>13</v>
      </c>
      <c r="R4678" s="1">
        <v>0</v>
      </c>
      <c r="S4678" s="1">
        <v>0</v>
      </c>
      <c r="T4678" s="1">
        <v>13</v>
      </c>
      <c r="U4678" s="1">
        <v>0</v>
      </c>
      <c r="V4678" s="1" t="str">
        <f t="shared" si="886"/>
        <v>里程返程</v>
      </c>
      <c r="W4678" s="1" t="str">
        <f>"0020"</f>
        <v>0020</v>
      </c>
      <c r="X4678" s="1" t="s">
        <v>29</v>
      </c>
    </row>
    <row r="4679" spans="1:24" x14ac:dyDescent="0.3">
      <c r="A4679" s="1" t="str">
        <f t="shared" si="881"/>
        <v>59820</v>
      </c>
      <c r="B4679" s="1" t="s">
        <v>53</v>
      </c>
      <c r="C4679" s="1" t="s">
        <v>54</v>
      </c>
      <c r="D4679" s="1" t="str">
        <f t="shared" si="882"/>
        <v>9801</v>
      </c>
      <c r="E4679" s="1" t="s">
        <v>25</v>
      </c>
      <c r="F4679" s="1" t="str">
        <f>"42AFE60209880400C834002000000015"</f>
        <v>42AFE60209880400C834002000000015</v>
      </c>
      <c r="G4679" s="1" t="s">
        <v>74</v>
      </c>
      <c r="H4679" s="1" t="str">
        <f t="shared" si="883"/>
        <v>20220921</v>
      </c>
      <c r="I4679" s="1" t="str">
        <f>"160840"</f>
        <v>160840</v>
      </c>
      <c r="J4679" s="1" t="s">
        <v>80</v>
      </c>
      <c r="K4679" s="1" t="s">
        <v>52</v>
      </c>
      <c r="L4679" s="1" t="str">
        <f t="shared" si="884"/>
        <v>20220921</v>
      </c>
      <c r="M4679" s="1" t="str">
        <f>"162228"</f>
        <v>162228</v>
      </c>
      <c r="N4679" s="1" t="s">
        <v>52</v>
      </c>
      <c r="O4679" s="1" t="s">
        <v>52</v>
      </c>
      <c r="P4679" s="1" t="s">
        <v>68</v>
      </c>
      <c r="Q4679" s="1">
        <v>13</v>
      </c>
      <c r="R4679" s="1">
        <v>0</v>
      </c>
      <c r="S4679" s="1">
        <v>0</v>
      </c>
      <c r="T4679" s="1">
        <v>13</v>
      </c>
      <c r="U4679" s="1">
        <v>0</v>
      </c>
      <c r="V4679" s="1" t="str">
        <f t="shared" si="886"/>
        <v>里程返程</v>
      </c>
      <c r="W4679" s="1" t="str">
        <f>"0020"</f>
        <v>0020</v>
      </c>
      <c r="X4679" s="1" t="s">
        <v>29</v>
      </c>
    </row>
    <row r="4680" spans="1:24" x14ac:dyDescent="0.3">
      <c r="A4680" s="1" t="str">
        <f t="shared" si="881"/>
        <v>59820</v>
      </c>
      <c r="B4680" s="1" t="s">
        <v>53</v>
      </c>
      <c r="C4680" s="1" t="s">
        <v>54</v>
      </c>
      <c r="D4680" s="1" t="str">
        <f t="shared" si="882"/>
        <v>9801</v>
      </c>
      <c r="E4680" s="1" t="s">
        <v>25</v>
      </c>
      <c r="F4680" s="1" t="str">
        <f>"1503519329"</f>
        <v>1503519329</v>
      </c>
      <c r="G4680" s="1" t="s">
        <v>33</v>
      </c>
      <c r="H4680" s="1" t="str">
        <f t="shared" si="883"/>
        <v>20220921</v>
      </c>
      <c r="I4680" s="1" t="str">
        <f>"163428"</f>
        <v>163428</v>
      </c>
      <c r="J4680" s="1" t="s">
        <v>44</v>
      </c>
      <c r="K4680" s="1" t="s">
        <v>45</v>
      </c>
      <c r="L4680" s="1" t="str">
        <f t="shared" si="884"/>
        <v>20220921</v>
      </c>
      <c r="M4680" s="1" t="str">
        <f>"165251"</f>
        <v>165251</v>
      </c>
      <c r="N4680" s="1" t="s">
        <v>28</v>
      </c>
      <c r="O4680" s="1" t="s">
        <v>28</v>
      </c>
      <c r="P4680" s="1" t="s">
        <v>55</v>
      </c>
      <c r="Q4680" s="1">
        <v>25</v>
      </c>
      <c r="R4680" s="1">
        <v>25</v>
      </c>
      <c r="S4680" s="1">
        <v>0</v>
      </c>
      <c r="T4680" s="1">
        <v>0</v>
      </c>
      <c r="U4680" s="1">
        <v>0</v>
      </c>
      <c r="V4680" s="1" t="str">
        <f t="shared" si="886"/>
        <v>里程返程</v>
      </c>
      <c r="W4680" s="1" t="str">
        <f>"2020"</f>
        <v>2020</v>
      </c>
      <c r="X4680" s="1" t="s">
        <v>35</v>
      </c>
    </row>
    <row r="4681" spans="1:24" x14ac:dyDescent="0.3">
      <c r="A4681" s="1" t="str">
        <f t="shared" ref="A4681:A4706" si="887">"59822"</f>
        <v>59822</v>
      </c>
      <c r="B4681" s="1" t="s">
        <v>39</v>
      </c>
      <c r="C4681" s="1" t="s">
        <v>40</v>
      </c>
      <c r="D4681" s="1" t="str">
        <f>"9806"</f>
        <v>9806</v>
      </c>
      <c r="E4681" s="1" t="s">
        <v>49</v>
      </c>
      <c r="F4681" s="1" t="str">
        <f>"5294A50063880400C801002000000015"</f>
        <v>5294A50063880400C801002000000015</v>
      </c>
      <c r="G4681" s="1" t="s">
        <v>58</v>
      </c>
      <c r="H4681" s="1" t="str">
        <f t="shared" si="883"/>
        <v>20220921</v>
      </c>
      <c r="I4681" s="1" t="str">
        <f>"065748"</f>
        <v>065748</v>
      </c>
      <c r="J4681" s="1" t="s">
        <v>63</v>
      </c>
      <c r="K4681" s="1" t="s">
        <v>28</v>
      </c>
      <c r="L4681" s="1" t="str">
        <f t="shared" si="884"/>
        <v>20220921</v>
      </c>
      <c r="M4681" s="1" t="str">
        <f>"070337"</f>
        <v>070337</v>
      </c>
      <c r="N4681" s="1" t="s">
        <v>99</v>
      </c>
      <c r="O4681" s="1" t="s">
        <v>28</v>
      </c>
      <c r="P4681" s="1" t="s">
        <v>55</v>
      </c>
      <c r="Q4681" s="1">
        <v>25</v>
      </c>
      <c r="R4681" s="1">
        <v>0</v>
      </c>
      <c r="S4681" s="1">
        <v>25</v>
      </c>
      <c r="T4681" s="1">
        <v>0</v>
      </c>
      <c r="U4681" s="1">
        <v>0</v>
      </c>
      <c r="V4681" s="1" t="str">
        <f t="shared" si="886"/>
        <v>里程返程</v>
      </c>
      <c r="W4681" s="1" t="str">
        <f>"1120"</f>
        <v>1120</v>
      </c>
      <c r="X4681" s="1" t="s">
        <v>29</v>
      </c>
    </row>
    <row r="4682" spans="1:24" x14ac:dyDescent="0.3">
      <c r="A4682" s="1" t="str">
        <f t="shared" si="887"/>
        <v>59822</v>
      </c>
      <c r="B4682" s="1" t="s">
        <v>39</v>
      </c>
      <c r="C4682" s="1" t="s">
        <v>40</v>
      </c>
      <c r="D4682" s="1" t="str">
        <f t="shared" ref="D4682:D4704" si="888">"9803"</f>
        <v>9803</v>
      </c>
      <c r="E4682" s="1" t="s">
        <v>32</v>
      </c>
      <c r="F4682" s="1" t="str">
        <f>"1640015685"</f>
        <v>1640015685</v>
      </c>
      <c r="G4682" s="1" t="s">
        <v>33</v>
      </c>
      <c r="H4682" s="1" t="str">
        <f t="shared" si="883"/>
        <v>20220921</v>
      </c>
      <c r="I4682" s="1" t="str">
        <f>"073228"</f>
        <v>073228</v>
      </c>
      <c r="J4682" s="1" t="s">
        <v>28</v>
      </c>
      <c r="K4682" s="1" t="s">
        <v>28</v>
      </c>
      <c r="L4682" s="1" t="str">
        <f t="shared" si="884"/>
        <v>20220921</v>
      </c>
      <c r="M4682" s="1" t="str">
        <f>"074938"</f>
        <v>074938</v>
      </c>
      <c r="N4682" s="1" t="s">
        <v>34</v>
      </c>
      <c r="O4682" s="1" t="s">
        <v>34</v>
      </c>
      <c r="P4682" s="1" t="s">
        <v>55</v>
      </c>
      <c r="Q4682" s="1">
        <v>25</v>
      </c>
      <c r="R4682" s="1">
        <v>25</v>
      </c>
      <c r="S4682" s="1">
        <v>0</v>
      </c>
      <c r="T4682" s="1">
        <v>0</v>
      </c>
      <c r="U4682" s="1">
        <v>0</v>
      </c>
      <c r="V4682" s="1" t="str">
        <f>"里程去程"</f>
        <v>里程去程</v>
      </c>
      <c r="W4682" s="1" t="str">
        <f>"0120"</f>
        <v>0120</v>
      </c>
      <c r="X4682" s="1" t="s">
        <v>35</v>
      </c>
    </row>
    <row r="4683" spans="1:24" x14ac:dyDescent="0.3">
      <c r="A4683" s="1" t="str">
        <f t="shared" si="887"/>
        <v>59822</v>
      </c>
      <c r="B4683" s="1" t="s">
        <v>39</v>
      </c>
      <c r="C4683" s="1" t="s">
        <v>40</v>
      </c>
      <c r="D4683" s="1" t="str">
        <f t="shared" si="888"/>
        <v>9803</v>
      </c>
      <c r="E4683" s="1" t="s">
        <v>32</v>
      </c>
      <c r="F4683" s="1" t="str">
        <f>"1403511537"</f>
        <v>1403511537</v>
      </c>
      <c r="G4683" s="1" t="s">
        <v>33</v>
      </c>
      <c r="H4683" s="1" t="str">
        <f t="shared" si="883"/>
        <v>20220921</v>
      </c>
      <c r="I4683" s="1" t="str">
        <f>"103012"</f>
        <v>103012</v>
      </c>
      <c r="J4683" s="1" t="s">
        <v>28</v>
      </c>
      <c r="K4683" s="1" t="s">
        <v>28</v>
      </c>
      <c r="L4683" s="1" t="str">
        <f t="shared" si="884"/>
        <v>20220921</v>
      </c>
      <c r="M4683" s="1" t="str">
        <f>"104622"</f>
        <v>104622</v>
      </c>
      <c r="N4683" s="1" t="s">
        <v>34</v>
      </c>
      <c r="O4683" s="1" t="s">
        <v>34</v>
      </c>
      <c r="P4683" s="1" t="s">
        <v>55</v>
      </c>
      <c r="Q4683" s="1">
        <v>25</v>
      </c>
      <c r="R4683" s="1">
        <v>25</v>
      </c>
      <c r="S4683" s="1">
        <v>0</v>
      </c>
      <c r="T4683" s="1">
        <v>0</v>
      </c>
      <c r="U4683" s="1">
        <v>0</v>
      </c>
      <c r="V4683" s="1" t="str">
        <f>"里程去程"</f>
        <v>里程去程</v>
      </c>
      <c r="W4683" s="1" t="str">
        <f>"0120"</f>
        <v>0120</v>
      </c>
      <c r="X4683" s="1" t="s">
        <v>35</v>
      </c>
    </row>
    <row r="4684" spans="1:24" x14ac:dyDescent="0.3">
      <c r="A4684" s="1" t="str">
        <f t="shared" si="887"/>
        <v>59822</v>
      </c>
      <c r="B4684" s="1" t="s">
        <v>39</v>
      </c>
      <c r="C4684" s="1" t="s">
        <v>40</v>
      </c>
      <c r="D4684" s="1" t="str">
        <f t="shared" si="888"/>
        <v>9803</v>
      </c>
      <c r="E4684" s="1" t="s">
        <v>32</v>
      </c>
      <c r="F4684" s="1" t="str">
        <f>"1278116053"</f>
        <v>1278116053</v>
      </c>
      <c r="G4684" s="1" t="s">
        <v>33</v>
      </c>
      <c r="H4684" s="1" t="str">
        <f t="shared" si="883"/>
        <v>20220921</v>
      </c>
      <c r="I4684" s="1" t="str">
        <f>"103041"</f>
        <v>103041</v>
      </c>
      <c r="J4684" s="1" t="s">
        <v>28</v>
      </c>
      <c r="K4684" s="1" t="s">
        <v>28</v>
      </c>
      <c r="L4684" s="1" t="str">
        <f t="shared" si="884"/>
        <v>20220921</v>
      </c>
      <c r="M4684" s="1" t="str">
        <f>"104623"</f>
        <v>104623</v>
      </c>
      <c r="N4684" s="1" t="s">
        <v>34</v>
      </c>
      <c r="O4684" s="1" t="s">
        <v>34</v>
      </c>
      <c r="P4684" s="1" t="s">
        <v>55</v>
      </c>
      <c r="Q4684" s="1">
        <v>25</v>
      </c>
      <c r="R4684" s="1">
        <v>25</v>
      </c>
      <c r="S4684" s="1">
        <v>0</v>
      </c>
      <c r="T4684" s="1">
        <v>0</v>
      </c>
      <c r="U4684" s="1">
        <v>0</v>
      </c>
      <c r="V4684" s="1" t="str">
        <f>"里程去程"</f>
        <v>里程去程</v>
      </c>
      <c r="W4684" s="1" t="str">
        <f>"0120"</f>
        <v>0120</v>
      </c>
      <c r="X4684" s="1" t="s">
        <v>35</v>
      </c>
    </row>
    <row r="4685" spans="1:24" x14ac:dyDescent="0.3">
      <c r="A4685" s="1" t="str">
        <f t="shared" si="887"/>
        <v>59822</v>
      </c>
      <c r="B4685" s="1" t="s">
        <v>39</v>
      </c>
      <c r="C4685" s="1" t="s">
        <v>40</v>
      </c>
      <c r="D4685" s="1" t="str">
        <f t="shared" si="888"/>
        <v>9803</v>
      </c>
      <c r="E4685" s="1" t="s">
        <v>32</v>
      </c>
      <c r="F4685" s="1" t="str">
        <f>"91B92B1516280400F700000000000000"</f>
        <v>91B92B1516280400F700000000000000</v>
      </c>
      <c r="G4685" s="1" t="s">
        <v>58</v>
      </c>
      <c r="H4685" s="1" t="str">
        <f t="shared" si="883"/>
        <v>20220921</v>
      </c>
      <c r="I4685" s="1" t="str">
        <f>"112158"</f>
        <v>112158</v>
      </c>
      <c r="J4685" s="1" t="s">
        <v>92</v>
      </c>
      <c r="K4685" s="1" t="s">
        <v>28</v>
      </c>
      <c r="L4685" s="1" t="str">
        <f t="shared" si="884"/>
        <v>20220921</v>
      </c>
      <c r="M4685" s="1" t="str">
        <f>"112935"</f>
        <v>112935</v>
      </c>
      <c r="N4685" s="1" t="s">
        <v>28</v>
      </c>
      <c r="O4685" s="1" t="s">
        <v>28</v>
      </c>
      <c r="P4685" s="1" t="s">
        <v>55</v>
      </c>
      <c r="Q4685" s="1">
        <v>25</v>
      </c>
      <c r="R4685" s="1">
        <v>25</v>
      </c>
      <c r="S4685" s="1">
        <v>0</v>
      </c>
      <c r="T4685" s="1">
        <v>0</v>
      </c>
      <c r="U4685" s="1">
        <v>0</v>
      </c>
      <c r="V4685" s="1" t="str">
        <f t="shared" ref="V4685:V4693" si="889">"里程返程"</f>
        <v>里程返程</v>
      </c>
      <c r="W4685" s="1" t="str">
        <f>"0020"</f>
        <v>0020</v>
      </c>
      <c r="X4685" s="1" t="s">
        <v>29</v>
      </c>
    </row>
    <row r="4686" spans="1:24" x14ac:dyDescent="0.3">
      <c r="A4686" s="1" t="str">
        <f t="shared" si="887"/>
        <v>59822</v>
      </c>
      <c r="B4686" s="1" t="s">
        <v>39</v>
      </c>
      <c r="C4686" s="1" t="s">
        <v>40</v>
      </c>
      <c r="D4686" s="1" t="str">
        <f t="shared" si="888"/>
        <v>9803</v>
      </c>
      <c r="E4686" s="1" t="s">
        <v>32</v>
      </c>
      <c r="F4686" s="1" t="str">
        <f>"12DAF3162D880400C814002000000019"</f>
        <v>12DAF3162D880400C814002000000019</v>
      </c>
      <c r="G4686" s="1" t="s">
        <v>64</v>
      </c>
      <c r="H4686" s="1" t="str">
        <f t="shared" si="883"/>
        <v>20220921</v>
      </c>
      <c r="I4686" s="1" t="str">
        <f>"115738"</f>
        <v>115738</v>
      </c>
      <c r="J4686" s="1" t="s">
        <v>34</v>
      </c>
      <c r="K4686" s="1" t="s">
        <v>34</v>
      </c>
      <c r="L4686" s="1" t="str">
        <f t="shared" si="884"/>
        <v>20220921</v>
      </c>
      <c r="M4686" s="1" t="str">
        <f>"122730"</f>
        <v>122730</v>
      </c>
      <c r="N4686" s="1" t="s">
        <v>28</v>
      </c>
      <c r="O4686" s="1" t="s">
        <v>28</v>
      </c>
      <c r="P4686" s="1" t="s">
        <v>55</v>
      </c>
      <c r="Q4686" s="1">
        <v>13</v>
      </c>
      <c r="R4686" s="1">
        <v>13</v>
      </c>
      <c r="S4686" s="1">
        <v>0</v>
      </c>
      <c r="T4686" s="1">
        <v>0</v>
      </c>
      <c r="U4686" s="1">
        <v>0</v>
      </c>
      <c r="V4686" s="1" t="str">
        <f t="shared" si="889"/>
        <v>里程返程</v>
      </c>
      <c r="W4686" s="1" t="str">
        <f>"0020"</f>
        <v>0020</v>
      </c>
      <c r="X4686" s="1" t="s">
        <v>29</v>
      </c>
    </row>
    <row r="4687" spans="1:24" x14ac:dyDescent="0.3">
      <c r="A4687" s="1" t="str">
        <f t="shared" si="887"/>
        <v>59822</v>
      </c>
      <c r="B4687" s="1" t="s">
        <v>39</v>
      </c>
      <c r="C4687" s="1" t="s">
        <v>40</v>
      </c>
      <c r="D4687" s="1" t="str">
        <f t="shared" si="888"/>
        <v>9803</v>
      </c>
      <c r="E4687" s="1" t="s">
        <v>32</v>
      </c>
      <c r="F4687" s="1" t="str">
        <f>"33F3EADBF188040046BA14184D900910"</f>
        <v>33F3EADBF188040046BA14184D900910</v>
      </c>
      <c r="G4687" s="1" t="s">
        <v>64</v>
      </c>
      <c r="H4687" s="1" t="str">
        <f t="shared" si="883"/>
        <v>20220921</v>
      </c>
      <c r="I4687" s="1" t="str">
        <f>"115745"</f>
        <v>115745</v>
      </c>
      <c r="J4687" s="1" t="s">
        <v>34</v>
      </c>
      <c r="K4687" s="1" t="s">
        <v>34</v>
      </c>
      <c r="L4687" s="1" t="str">
        <f t="shared" si="884"/>
        <v>20220921</v>
      </c>
      <c r="M4687" s="1" t="str">
        <f>"122716"</f>
        <v>122716</v>
      </c>
      <c r="N4687" s="1" t="s">
        <v>28</v>
      </c>
      <c r="O4687" s="1" t="s">
        <v>28</v>
      </c>
      <c r="P4687" s="1" t="s">
        <v>55</v>
      </c>
      <c r="Q4687" s="1">
        <v>13</v>
      </c>
      <c r="R4687" s="1">
        <v>13</v>
      </c>
      <c r="S4687" s="1">
        <v>0</v>
      </c>
      <c r="T4687" s="1">
        <v>0</v>
      </c>
      <c r="U4687" s="1">
        <v>0</v>
      </c>
      <c r="V4687" s="1" t="str">
        <f t="shared" si="889"/>
        <v>里程返程</v>
      </c>
      <c r="W4687" s="1" t="str">
        <f>"0020"</f>
        <v>0020</v>
      </c>
      <c r="X4687" s="1" t="s">
        <v>29</v>
      </c>
    </row>
    <row r="4688" spans="1:24" x14ac:dyDescent="0.3">
      <c r="A4688" s="1" t="str">
        <f t="shared" si="887"/>
        <v>59822</v>
      </c>
      <c r="B4688" s="1" t="s">
        <v>39</v>
      </c>
      <c r="C4688" s="1" t="s">
        <v>40</v>
      </c>
      <c r="D4688" s="1" t="str">
        <f t="shared" si="888"/>
        <v>9803</v>
      </c>
      <c r="E4688" s="1" t="s">
        <v>32</v>
      </c>
      <c r="F4688" s="1" t="str">
        <f>"1049795093"</f>
        <v>1049795093</v>
      </c>
      <c r="G4688" s="1" t="s">
        <v>26</v>
      </c>
      <c r="H4688" s="1" t="str">
        <f t="shared" si="883"/>
        <v>20220921</v>
      </c>
      <c r="I4688" s="1" t="str">
        <f>"115753"</f>
        <v>115753</v>
      </c>
      <c r="J4688" s="1" t="s">
        <v>34</v>
      </c>
      <c r="K4688" s="1" t="s">
        <v>34</v>
      </c>
      <c r="L4688" s="1" t="str">
        <f t="shared" si="884"/>
        <v>20220921</v>
      </c>
      <c r="M4688" s="1" t="str">
        <f>"122725"</f>
        <v>122725</v>
      </c>
      <c r="N4688" s="1" t="s">
        <v>28</v>
      </c>
      <c r="O4688" s="1" t="s">
        <v>28</v>
      </c>
      <c r="P4688" s="1" t="s">
        <v>55</v>
      </c>
      <c r="Q4688" s="1">
        <v>13</v>
      </c>
      <c r="R4688" s="1">
        <v>13</v>
      </c>
      <c r="S4688" s="1">
        <v>0</v>
      </c>
      <c r="T4688" s="1">
        <v>0</v>
      </c>
      <c r="U4688" s="1">
        <v>0</v>
      </c>
      <c r="V4688" s="1" t="str">
        <f t="shared" si="889"/>
        <v>里程返程</v>
      </c>
      <c r="W4688" s="1" t="str">
        <f>"0220"</f>
        <v>0220</v>
      </c>
      <c r="X4688" s="1" t="s">
        <v>35</v>
      </c>
    </row>
    <row r="4689" spans="1:24" x14ac:dyDescent="0.3">
      <c r="A4689" s="1" t="str">
        <f t="shared" si="887"/>
        <v>59822</v>
      </c>
      <c r="B4689" s="1" t="s">
        <v>39</v>
      </c>
      <c r="C4689" s="1" t="s">
        <v>40</v>
      </c>
      <c r="D4689" s="1" t="str">
        <f t="shared" si="888"/>
        <v>9803</v>
      </c>
      <c r="E4689" s="1" t="s">
        <v>32</v>
      </c>
      <c r="F4689" s="1" t="str">
        <f>"924950549"</f>
        <v>924950549</v>
      </c>
      <c r="G4689" s="1" t="s">
        <v>26</v>
      </c>
      <c r="H4689" s="1" t="str">
        <f t="shared" si="883"/>
        <v>20220921</v>
      </c>
      <c r="I4689" s="1" t="str">
        <f>"115759"</f>
        <v>115759</v>
      </c>
      <c r="J4689" s="1" t="s">
        <v>34</v>
      </c>
      <c r="K4689" s="1" t="s">
        <v>34</v>
      </c>
      <c r="L4689" s="1" t="str">
        <f t="shared" si="884"/>
        <v>20220921</v>
      </c>
      <c r="M4689" s="1" t="str">
        <f>"122738"</f>
        <v>122738</v>
      </c>
      <c r="N4689" s="1" t="s">
        <v>28</v>
      </c>
      <c r="O4689" s="1" t="s">
        <v>28</v>
      </c>
      <c r="P4689" s="1" t="s">
        <v>55</v>
      </c>
      <c r="Q4689" s="1">
        <v>13</v>
      </c>
      <c r="R4689" s="1">
        <v>13</v>
      </c>
      <c r="S4689" s="1">
        <v>0</v>
      </c>
      <c r="T4689" s="1">
        <v>0</v>
      </c>
      <c r="U4689" s="1">
        <v>0</v>
      </c>
      <c r="V4689" s="1" t="str">
        <f t="shared" si="889"/>
        <v>里程返程</v>
      </c>
      <c r="W4689" s="1" t="str">
        <f>"0220"</f>
        <v>0220</v>
      </c>
      <c r="X4689" s="1" t="s">
        <v>35</v>
      </c>
    </row>
    <row r="4690" spans="1:24" x14ac:dyDescent="0.3">
      <c r="A4690" s="1" t="str">
        <f t="shared" si="887"/>
        <v>59822</v>
      </c>
      <c r="B4690" s="1" t="s">
        <v>39</v>
      </c>
      <c r="C4690" s="1" t="s">
        <v>40</v>
      </c>
      <c r="D4690" s="1" t="str">
        <f t="shared" si="888"/>
        <v>9803</v>
      </c>
      <c r="E4690" s="1" t="s">
        <v>32</v>
      </c>
      <c r="F4690" s="1" t="str">
        <f>"788566805"</f>
        <v>788566805</v>
      </c>
      <c r="G4690" s="1" t="s">
        <v>33</v>
      </c>
      <c r="H4690" s="1" t="str">
        <f t="shared" si="883"/>
        <v>20220921</v>
      </c>
      <c r="I4690" s="1" t="str">
        <f>"115805"</f>
        <v>115805</v>
      </c>
      <c r="J4690" s="1" t="s">
        <v>34</v>
      </c>
      <c r="K4690" s="1" t="s">
        <v>34</v>
      </c>
      <c r="L4690" s="1" t="str">
        <f t="shared" si="884"/>
        <v>20220921</v>
      </c>
      <c r="M4690" s="1" t="str">
        <f>"122742"</f>
        <v>122742</v>
      </c>
      <c r="N4690" s="1" t="s">
        <v>28</v>
      </c>
      <c r="O4690" s="1" t="s">
        <v>28</v>
      </c>
      <c r="P4690" s="1" t="s">
        <v>55</v>
      </c>
      <c r="Q4690" s="1">
        <v>25</v>
      </c>
      <c r="R4690" s="1">
        <v>25</v>
      </c>
      <c r="S4690" s="1">
        <v>0</v>
      </c>
      <c r="T4690" s="1">
        <v>0</v>
      </c>
      <c r="U4690" s="1">
        <v>0</v>
      </c>
      <c r="V4690" s="1" t="str">
        <f t="shared" si="889"/>
        <v>里程返程</v>
      </c>
      <c r="W4690" s="1" t="str">
        <f>"2020"</f>
        <v>2020</v>
      </c>
      <c r="X4690" s="1" t="s">
        <v>35</v>
      </c>
    </row>
    <row r="4691" spans="1:24" x14ac:dyDescent="0.3">
      <c r="A4691" s="1" t="str">
        <f t="shared" si="887"/>
        <v>59822</v>
      </c>
      <c r="B4691" s="1" t="s">
        <v>39</v>
      </c>
      <c r="C4691" s="1" t="s">
        <v>40</v>
      </c>
      <c r="D4691" s="1" t="str">
        <f t="shared" si="888"/>
        <v>9803</v>
      </c>
      <c r="E4691" s="1" t="s">
        <v>32</v>
      </c>
      <c r="F4691" s="1" t="str">
        <f>"1081151889"</f>
        <v>1081151889</v>
      </c>
      <c r="G4691" s="1" t="s">
        <v>33</v>
      </c>
      <c r="H4691" s="1" t="str">
        <f t="shared" si="883"/>
        <v>20220921</v>
      </c>
      <c r="I4691" s="1" t="str">
        <f>"115810"</f>
        <v>115810</v>
      </c>
      <c r="J4691" s="1" t="s">
        <v>34</v>
      </c>
      <c r="K4691" s="1" t="s">
        <v>34</v>
      </c>
      <c r="L4691" s="1" t="str">
        <f t="shared" si="884"/>
        <v>20220921</v>
      </c>
      <c r="M4691" s="1" t="str">
        <f>"122735"</f>
        <v>122735</v>
      </c>
      <c r="N4691" s="1" t="s">
        <v>28</v>
      </c>
      <c r="O4691" s="1" t="s">
        <v>28</v>
      </c>
      <c r="P4691" s="1" t="s">
        <v>55</v>
      </c>
      <c r="Q4691" s="1">
        <v>25</v>
      </c>
      <c r="R4691" s="1">
        <v>25</v>
      </c>
      <c r="S4691" s="1">
        <v>0</v>
      </c>
      <c r="T4691" s="1">
        <v>0</v>
      </c>
      <c r="U4691" s="1">
        <v>0</v>
      </c>
      <c r="V4691" s="1" t="str">
        <f t="shared" si="889"/>
        <v>里程返程</v>
      </c>
      <c r="W4691" s="1" t="str">
        <f>"2020"</f>
        <v>2020</v>
      </c>
      <c r="X4691" s="1" t="s">
        <v>35</v>
      </c>
    </row>
    <row r="4692" spans="1:24" x14ac:dyDescent="0.3">
      <c r="A4692" s="1" t="str">
        <f t="shared" si="887"/>
        <v>59822</v>
      </c>
      <c r="B4692" s="1" t="s">
        <v>39</v>
      </c>
      <c r="C4692" s="1" t="s">
        <v>40</v>
      </c>
      <c r="D4692" s="1" t="str">
        <f t="shared" si="888"/>
        <v>9803</v>
      </c>
      <c r="E4692" s="1" t="s">
        <v>32</v>
      </c>
      <c r="F4692" s="1" t="str">
        <f>"3056847702"</f>
        <v>3056847702</v>
      </c>
      <c r="G4692" s="1" t="s">
        <v>33</v>
      </c>
      <c r="H4692" s="1" t="str">
        <f t="shared" si="883"/>
        <v>20220921</v>
      </c>
      <c r="I4692" s="1" t="str">
        <f>"115824"</f>
        <v>115824</v>
      </c>
      <c r="J4692" s="1" t="s">
        <v>34</v>
      </c>
      <c r="K4692" s="1" t="s">
        <v>34</v>
      </c>
      <c r="L4692" s="1" t="str">
        <f t="shared" si="884"/>
        <v>20220921</v>
      </c>
      <c r="M4692" s="1" t="str">
        <f>"122722"</f>
        <v>122722</v>
      </c>
      <c r="N4692" s="1" t="s">
        <v>28</v>
      </c>
      <c r="O4692" s="1" t="s">
        <v>28</v>
      </c>
      <c r="P4692" s="1" t="s">
        <v>55</v>
      </c>
      <c r="Q4692" s="1">
        <v>25</v>
      </c>
      <c r="R4692" s="1">
        <v>25</v>
      </c>
      <c r="S4692" s="1">
        <v>0</v>
      </c>
      <c r="T4692" s="1">
        <v>0</v>
      </c>
      <c r="U4692" s="1">
        <v>0</v>
      </c>
      <c r="V4692" s="1" t="str">
        <f t="shared" si="889"/>
        <v>里程返程</v>
      </c>
      <c r="W4692" s="1" t="str">
        <f>"0120"</f>
        <v>0120</v>
      </c>
      <c r="X4692" s="1" t="s">
        <v>35</v>
      </c>
    </row>
    <row r="4693" spans="1:24" x14ac:dyDescent="0.3">
      <c r="A4693" s="1" t="str">
        <f t="shared" si="887"/>
        <v>59822</v>
      </c>
      <c r="B4693" s="1" t="s">
        <v>39</v>
      </c>
      <c r="C4693" s="1" t="s">
        <v>40</v>
      </c>
      <c r="D4693" s="1" t="str">
        <f t="shared" si="888"/>
        <v>9803</v>
      </c>
      <c r="E4693" s="1" t="s">
        <v>32</v>
      </c>
      <c r="F4693" s="1" t="str">
        <f>"4066683587"</f>
        <v>4066683587</v>
      </c>
      <c r="G4693" s="1" t="s">
        <v>33</v>
      </c>
      <c r="H4693" s="1" t="str">
        <f t="shared" si="883"/>
        <v>20220921</v>
      </c>
      <c r="I4693" s="1" t="str">
        <f>"115829"</f>
        <v>115829</v>
      </c>
      <c r="J4693" s="1" t="s">
        <v>34</v>
      </c>
      <c r="K4693" s="1" t="s">
        <v>34</v>
      </c>
      <c r="L4693" s="1" t="str">
        <f t="shared" si="884"/>
        <v>20220921</v>
      </c>
      <c r="M4693" s="1" t="str">
        <f>"122720"</f>
        <v>122720</v>
      </c>
      <c r="N4693" s="1" t="s">
        <v>28</v>
      </c>
      <c r="O4693" s="1" t="s">
        <v>28</v>
      </c>
      <c r="P4693" s="1" t="s">
        <v>55</v>
      </c>
      <c r="Q4693" s="1">
        <v>25</v>
      </c>
      <c r="R4693" s="1">
        <v>25</v>
      </c>
      <c r="S4693" s="1">
        <v>0</v>
      </c>
      <c r="T4693" s="1">
        <v>0</v>
      </c>
      <c r="U4693" s="1">
        <v>0</v>
      </c>
      <c r="V4693" s="1" t="str">
        <f t="shared" si="889"/>
        <v>里程返程</v>
      </c>
      <c r="W4693" s="1" t="str">
        <f>"0820"</f>
        <v>0820</v>
      </c>
      <c r="X4693" s="1" t="s">
        <v>35</v>
      </c>
    </row>
    <row r="4694" spans="1:24" x14ac:dyDescent="0.3">
      <c r="A4694" s="1" t="str">
        <f t="shared" si="887"/>
        <v>59822</v>
      </c>
      <c r="B4694" s="1" t="s">
        <v>39</v>
      </c>
      <c r="C4694" s="1" t="s">
        <v>40</v>
      </c>
      <c r="D4694" s="1" t="str">
        <f t="shared" si="888"/>
        <v>9803</v>
      </c>
      <c r="E4694" s="1" t="s">
        <v>32</v>
      </c>
      <c r="F4694" s="1" t="str">
        <f>"914A7C3E99280400F700000000000000"</f>
        <v>914A7C3E99280400F700000000000000</v>
      </c>
      <c r="G4694" s="1" t="s">
        <v>58</v>
      </c>
      <c r="H4694" s="1" t="str">
        <f t="shared" si="883"/>
        <v>20220921</v>
      </c>
      <c r="I4694" s="1" t="str">
        <f>"122801"</f>
        <v>122801</v>
      </c>
      <c r="J4694" s="1" t="s">
        <v>28</v>
      </c>
      <c r="K4694" s="1" t="s">
        <v>28</v>
      </c>
      <c r="L4694" s="1" t="str">
        <f t="shared" si="884"/>
        <v>20220921</v>
      </c>
      <c r="M4694" s="1" t="str">
        <f>"124752"</f>
        <v>124752</v>
      </c>
      <c r="N4694" s="1" t="s">
        <v>34</v>
      </c>
      <c r="O4694" s="1" t="s">
        <v>34</v>
      </c>
      <c r="P4694" s="1" t="s">
        <v>55</v>
      </c>
      <c r="Q4694" s="1">
        <v>25</v>
      </c>
      <c r="R4694" s="1">
        <v>25</v>
      </c>
      <c r="S4694" s="1">
        <v>0</v>
      </c>
      <c r="T4694" s="1">
        <v>0</v>
      </c>
      <c r="U4694" s="1">
        <v>0</v>
      </c>
      <c r="V4694" s="1" t="str">
        <f>"里程去程"</f>
        <v>里程去程</v>
      </c>
      <c r="W4694" s="1" t="str">
        <f>"0020"</f>
        <v>0020</v>
      </c>
      <c r="X4694" s="1" t="s">
        <v>29</v>
      </c>
    </row>
    <row r="4695" spans="1:24" x14ac:dyDescent="0.3">
      <c r="A4695" s="1" t="str">
        <f t="shared" si="887"/>
        <v>59822</v>
      </c>
      <c r="B4695" s="1" t="s">
        <v>39</v>
      </c>
      <c r="C4695" s="1" t="s">
        <v>40</v>
      </c>
      <c r="D4695" s="1" t="str">
        <f t="shared" si="888"/>
        <v>9803</v>
      </c>
      <c r="E4695" s="1" t="s">
        <v>32</v>
      </c>
      <c r="F4695" s="1" t="str">
        <f>"852728433"</f>
        <v>852728433</v>
      </c>
      <c r="G4695" s="1" t="s">
        <v>33</v>
      </c>
      <c r="H4695" s="1" t="str">
        <f t="shared" si="883"/>
        <v>20220921</v>
      </c>
      <c r="I4695" s="1" t="str">
        <f>"122805"</f>
        <v>122805</v>
      </c>
      <c r="J4695" s="1" t="s">
        <v>28</v>
      </c>
      <c r="K4695" s="1" t="s">
        <v>28</v>
      </c>
      <c r="L4695" s="1" t="str">
        <f t="shared" si="884"/>
        <v>20220921</v>
      </c>
      <c r="M4695" s="1" t="str">
        <f>"124804"</f>
        <v>124804</v>
      </c>
      <c r="N4695" s="1" t="s">
        <v>34</v>
      </c>
      <c r="O4695" s="1" t="s">
        <v>34</v>
      </c>
      <c r="P4695" s="1" t="s">
        <v>55</v>
      </c>
      <c r="Q4695" s="1">
        <v>25</v>
      </c>
      <c r="R4695" s="1">
        <v>25</v>
      </c>
      <c r="S4695" s="1">
        <v>0</v>
      </c>
      <c r="T4695" s="1">
        <v>0</v>
      </c>
      <c r="U4695" s="1">
        <v>0</v>
      </c>
      <c r="V4695" s="1" t="str">
        <f>"里程去程"</f>
        <v>里程去程</v>
      </c>
      <c r="W4695" s="1" t="str">
        <f>"0820"</f>
        <v>0820</v>
      </c>
      <c r="X4695" s="1" t="s">
        <v>35</v>
      </c>
    </row>
    <row r="4696" spans="1:24" x14ac:dyDescent="0.3">
      <c r="A4696" s="1" t="str">
        <f t="shared" si="887"/>
        <v>59822</v>
      </c>
      <c r="B4696" s="1" t="s">
        <v>39</v>
      </c>
      <c r="C4696" s="1" t="s">
        <v>40</v>
      </c>
      <c r="D4696" s="1" t="str">
        <f t="shared" si="888"/>
        <v>9803</v>
      </c>
      <c r="E4696" s="1" t="s">
        <v>32</v>
      </c>
      <c r="F4696" s="1" t="str">
        <f>"4172445069"</f>
        <v>4172445069</v>
      </c>
      <c r="G4696" s="1" t="s">
        <v>33</v>
      </c>
      <c r="H4696" s="1" t="str">
        <f t="shared" si="883"/>
        <v>20220921</v>
      </c>
      <c r="I4696" s="1" t="str">
        <f>"122814"</f>
        <v>122814</v>
      </c>
      <c r="J4696" s="1" t="s">
        <v>28</v>
      </c>
      <c r="K4696" s="1" t="s">
        <v>28</v>
      </c>
      <c r="L4696" s="1" t="str">
        <f t="shared" si="884"/>
        <v>20220921</v>
      </c>
      <c r="M4696" s="1" t="str">
        <f>"124801"</f>
        <v>124801</v>
      </c>
      <c r="N4696" s="1" t="s">
        <v>34</v>
      </c>
      <c r="O4696" s="1" t="s">
        <v>34</v>
      </c>
      <c r="P4696" s="1" t="s">
        <v>55</v>
      </c>
      <c r="Q4696" s="1">
        <v>25</v>
      </c>
      <c r="R4696" s="1">
        <v>25</v>
      </c>
      <c r="S4696" s="1">
        <v>0</v>
      </c>
      <c r="T4696" s="1">
        <v>0</v>
      </c>
      <c r="U4696" s="1">
        <v>0</v>
      </c>
      <c r="V4696" s="1" t="str">
        <f>"里程去程"</f>
        <v>里程去程</v>
      </c>
      <c r="W4696" s="1" t="str">
        <f>"0820"</f>
        <v>0820</v>
      </c>
      <c r="X4696" s="1" t="s">
        <v>35</v>
      </c>
    </row>
    <row r="4697" spans="1:24" x14ac:dyDescent="0.3">
      <c r="A4697" s="1" t="str">
        <f t="shared" si="887"/>
        <v>59822</v>
      </c>
      <c r="B4697" s="1" t="s">
        <v>39</v>
      </c>
      <c r="C4697" s="1" t="s">
        <v>40</v>
      </c>
      <c r="D4697" s="1" t="str">
        <f t="shared" si="888"/>
        <v>9803</v>
      </c>
      <c r="E4697" s="1" t="s">
        <v>32</v>
      </c>
      <c r="F4697" s="1" t="str">
        <f>"E3A8BCE91E88040048BA145049901210"</f>
        <v>E3A8BCE91E88040048BA145049901210</v>
      </c>
      <c r="G4697" s="1" t="s">
        <v>59</v>
      </c>
      <c r="H4697" s="1" t="str">
        <f t="shared" ref="H4697:H4728" si="890">"20220921"</f>
        <v>20220921</v>
      </c>
      <c r="I4697" s="1" t="str">
        <f>"122818"</f>
        <v>122818</v>
      </c>
      <c r="J4697" s="1" t="s">
        <v>28</v>
      </c>
      <c r="K4697" s="1" t="s">
        <v>28</v>
      </c>
      <c r="L4697" s="1" t="str">
        <f t="shared" ref="L4697:L4728" si="891">"20220921"</f>
        <v>20220921</v>
      </c>
      <c r="M4697" s="1" t="str">
        <f>"124754"</f>
        <v>124754</v>
      </c>
      <c r="N4697" s="1" t="s">
        <v>34</v>
      </c>
      <c r="O4697" s="1" t="s">
        <v>34</v>
      </c>
      <c r="P4697" s="1" t="s">
        <v>55</v>
      </c>
      <c r="Q4697" s="1">
        <v>25</v>
      </c>
      <c r="R4697" s="1">
        <v>25</v>
      </c>
      <c r="S4697" s="1">
        <v>0</v>
      </c>
      <c r="T4697" s="1">
        <v>0</v>
      </c>
      <c r="U4697" s="1">
        <v>0</v>
      </c>
      <c r="V4697" s="1" t="str">
        <f>"里程去程"</f>
        <v>里程去程</v>
      </c>
      <c r="W4697" s="1" t="str">
        <f>"0020"</f>
        <v>0020</v>
      </c>
      <c r="X4697" s="1" t="s">
        <v>29</v>
      </c>
    </row>
    <row r="4698" spans="1:24" x14ac:dyDescent="0.3">
      <c r="A4698" s="1" t="str">
        <f t="shared" si="887"/>
        <v>59822</v>
      </c>
      <c r="B4698" s="1" t="s">
        <v>39</v>
      </c>
      <c r="C4698" s="1" t="s">
        <v>40</v>
      </c>
      <c r="D4698" s="1" t="str">
        <f t="shared" si="888"/>
        <v>9803</v>
      </c>
      <c r="E4698" s="1" t="s">
        <v>32</v>
      </c>
      <c r="F4698" s="1" t="str">
        <f>"537EF1DB0788040046BA14184D900910"</f>
        <v>537EF1DB0788040046BA14184D900910</v>
      </c>
      <c r="G4698" s="1" t="s">
        <v>59</v>
      </c>
      <c r="H4698" s="1" t="str">
        <f t="shared" si="890"/>
        <v>20220921</v>
      </c>
      <c r="I4698" s="1" t="str">
        <f>"122824"</f>
        <v>122824</v>
      </c>
      <c r="J4698" s="1" t="s">
        <v>28</v>
      </c>
      <c r="K4698" s="1" t="s">
        <v>28</v>
      </c>
      <c r="L4698" s="1" t="str">
        <f t="shared" si="891"/>
        <v>20220921</v>
      </c>
      <c r="M4698" s="1" t="str">
        <f>"124757"</f>
        <v>124757</v>
      </c>
      <c r="N4698" s="1" t="s">
        <v>34</v>
      </c>
      <c r="O4698" s="1" t="s">
        <v>34</v>
      </c>
      <c r="P4698" s="1" t="s">
        <v>55</v>
      </c>
      <c r="Q4698" s="1">
        <v>25</v>
      </c>
      <c r="R4698" s="1">
        <v>0</v>
      </c>
      <c r="S4698" s="1">
        <v>25</v>
      </c>
      <c r="T4698" s="1">
        <v>0</v>
      </c>
      <c r="U4698" s="1">
        <v>0</v>
      </c>
      <c r="V4698" s="1" t="str">
        <f>"里程去程"</f>
        <v>里程去程</v>
      </c>
      <c r="W4698" s="1" t="str">
        <f>"0620"</f>
        <v>0620</v>
      </c>
      <c r="X4698" s="1" t="s">
        <v>29</v>
      </c>
    </row>
    <row r="4699" spans="1:24" x14ac:dyDescent="0.3">
      <c r="A4699" s="1" t="str">
        <f t="shared" si="887"/>
        <v>59822</v>
      </c>
      <c r="B4699" s="1" t="s">
        <v>39</v>
      </c>
      <c r="C4699" s="1" t="s">
        <v>40</v>
      </c>
      <c r="D4699" s="1" t="str">
        <f t="shared" si="888"/>
        <v>9803</v>
      </c>
      <c r="E4699" s="1" t="s">
        <v>32</v>
      </c>
      <c r="F4699" s="1" t="str">
        <f>"184782717"</f>
        <v>184782717</v>
      </c>
      <c r="G4699" s="1" t="s">
        <v>33</v>
      </c>
      <c r="H4699" s="1" t="str">
        <f t="shared" si="890"/>
        <v>20220921</v>
      </c>
      <c r="I4699" s="1" t="str">
        <f>"160946"</f>
        <v>160946</v>
      </c>
      <c r="J4699" s="1" t="s">
        <v>34</v>
      </c>
      <c r="K4699" s="1" t="s">
        <v>34</v>
      </c>
      <c r="L4699" s="1" t="str">
        <f t="shared" si="891"/>
        <v>20220921</v>
      </c>
      <c r="M4699" s="1" t="str">
        <f>"163938"</f>
        <v>163938</v>
      </c>
      <c r="N4699" s="1" t="s">
        <v>28</v>
      </c>
      <c r="O4699" s="1" t="s">
        <v>28</v>
      </c>
      <c r="P4699" s="1" t="s">
        <v>55</v>
      </c>
      <c r="Q4699" s="1">
        <v>25</v>
      </c>
      <c r="R4699" s="1">
        <v>25</v>
      </c>
      <c r="S4699" s="1">
        <v>0</v>
      </c>
      <c r="T4699" s="1">
        <v>0</v>
      </c>
      <c r="U4699" s="1">
        <v>0</v>
      </c>
      <c r="V4699" s="1" t="str">
        <f t="shared" ref="V4699:V4704" si="892">"里程返程"</f>
        <v>里程返程</v>
      </c>
      <c r="W4699" s="1" t="str">
        <f>"2020"</f>
        <v>2020</v>
      </c>
      <c r="X4699" s="1" t="s">
        <v>35</v>
      </c>
    </row>
    <row r="4700" spans="1:24" x14ac:dyDescent="0.3">
      <c r="A4700" s="1" t="str">
        <f t="shared" si="887"/>
        <v>59822</v>
      </c>
      <c r="B4700" s="1" t="s">
        <v>39</v>
      </c>
      <c r="C4700" s="1" t="s">
        <v>40</v>
      </c>
      <c r="D4700" s="1" t="str">
        <f t="shared" si="888"/>
        <v>9803</v>
      </c>
      <c r="E4700" s="1" t="s">
        <v>32</v>
      </c>
      <c r="F4700" s="1" t="str">
        <f>"1644640744"</f>
        <v>1644640744</v>
      </c>
      <c r="G4700" s="1" t="s">
        <v>33</v>
      </c>
      <c r="H4700" s="1" t="str">
        <f t="shared" si="890"/>
        <v>20220921</v>
      </c>
      <c r="I4700" s="1" t="str">
        <f>"160948"</f>
        <v>160948</v>
      </c>
      <c r="J4700" s="1" t="s">
        <v>34</v>
      </c>
      <c r="K4700" s="1" t="s">
        <v>34</v>
      </c>
      <c r="L4700" s="1" t="str">
        <f t="shared" si="891"/>
        <v>20220921</v>
      </c>
      <c r="M4700" s="1" t="str">
        <f>"163935"</f>
        <v>163935</v>
      </c>
      <c r="N4700" s="1" t="s">
        <v>28</v>
      </c>
      <c r="O4700" s="1" t="s">
        <v>28</v>
      </c>
      <c r="P4700" s="1" t="s">
        <v>55</v>
      </c>
      <c r="Q4700" s="1">
        <v>25</v>
      </c>
      <c r="R4700" s="1">
        <v>25</v>
      </c>
      <c r="S4700" s="1">
        <v>0</v>
      </c>
      <c r="T4700" s="1">
        <v>0</v>
      </c>
      <c r="U4700" s="1">
        <v>0</v>
      </c>
      <c r="V4700" s="1" t="str">
        <f t="shared" si="892"/>
        <v>里程返程</v>
      </c>
      <c r="W4700" s="1" t="str">
        <f>"2020"</f>
        <v>2020</v>
      </c>
      <c r="X4700" s="1" t="s">
        <v>35</v>
      </c>
    </row>
    <row r="4701" spans="1:24" x14ac:dyDescent="0.3">
      <c r="A4701" s="1" t="str">
        <f t="shared" si="887"/>
        <v>59822</v>
      </c>
      <c r="B4701" s="1" t="s">
        <v>39</v>
      </c>
      <c r="C4701" s="1" t="s">
        <v>40</v>
      </c>
      <c r="D4701" s="1" t="str">
        <f t="shared" si="888"/>
        <v>9803</v>
      </c>
      <c r="E4701" s="1" t="s">
        <v>32</v>
      </c>
      <c r="F4701" s="1" t="str">
        <f>"1159848033"</f>
        <v>1159848033</v>
      </c>
      <c r="G4701" s="1" t="s">
        <v>33</v>
      </c>
      <c r="H4701" s="1" t="str">
        <f t="shared" si="890"/>
        <v>20220921</v>
      </c>
      <c r="I4701" s="1" t="str">
        <f>"160951"</f>
        <v>160951</v>
      </c>
      <c r="J4701" s="1" t="s">
        <v>34</v>
      </c>
      <c r="K4701" s="1" t="s">
        <v>34</v>
      </c>
      <c r="L4701" s="1" t="str">
        <f t="shared" si="891"/>
        <v>20220921</v>
      </c>
      <c r="M4701" s="1" t="str">
        <f>"163928"</f>
        <v>163928</v>
      </c>
      <c r="N4701" s="1" t="s">
        <v>28</v>
      </c>
      <c r="O4701" s="1" t="s">
        <v>28</v>
      </c>
      <c r="P4701" s="1" t="s">
        <v>55</v>
      </c>
      <c r="Q4701" s="1">
        <v>25</v>
      </c>
      <c r="R4701" s="1">
        <v>25</v>
      </c>
      <c r="S4701" s="1">
        <v>0</v>
      </c>
      <c r="T4701" s="1">
        <v>0</v>
      </c>
      <c r="U4701" s="1">
        <v>0</v>
      </c>
      <c r="V4701" s="1" t="str">
        <f t="shared" si="892"/>
        <v>里程返程</v>
      </c>
      <c r="W4701" s="1" t="str">
        <f>"2120"</f>
        <v>2120</v>
      </c>
      <c r="X4701" s="1" t="s">
        <v>35</v>
      </c>
    </row>
    <row r="4702" spans="1:24" x14ac:dyDescent="0.3">
      <c r="A4702" s="1" t="str">
        <f t="shared" si="887"/>
        <v>59822</v>
      </c>
      <c r="B4702" s="1" t="s">
        <v>39</v>
      </c>
      <c r="C4702" s="1" t="s">
        <v>40</v>
      </c>
      <c r="D4702" s="1" t="str">
        <f t="shared" si="888"/>
        <v>9803</v>
      </c>
      <c r="E4702" s="1" t="s">
        <v>32</v>
      </c>
      <c r="F4702" s="1" t="str">
        <f>"21BCEE493A280400F700000000000000"</f>
        <v>21BCEE493A280400F700000000000000</v>
      </c>
      <c r="G4702" s="1" t="s">
        <v>58</v>
      </c>
      <c r="H4702" s="1" t="str">
        <f t="shared" si="890"/>
        <v>20220921</v>
      </c>
      <c r="I4702" s="1" t="str">
        <f>"161038"</f>
        <v>161038</v>
      </c>
      <c r="J4702" s="1" t="s">
        <v>34</v>
      </c>
      <c r="K4702" s="1" t="s">
        <v>34</v>
      </c>
      <c r="L4702" s="1" t="str">
        <f t="shared" si="891"/>
        <v>20220921</v>
      </c>
      <c r="M4702" s="1" t="str">
        <f>"163945"</f>
        <v>163945</v>
      </c>
      <c r="N4702" s="1" t="s">
        <v>28</v>
      </c>
      <c r="O4702" s="1" t="s">
        <v>28</v>
      </c>
      <c r="P4702" s="1" t="s">
        <v>55</v>
      </c>
      <c r="Q4702" s="1">
        <v>25</v>
      </c>
      <c r="R4702" s="1">
        <v>25</v>
      </c>
      <c r="S4702" s="1">
        <v>0</v>
      </c>
      <c r="T4702" s="1">
        <v>0</v>
      </c>
      <c r="U4702" s="1">
        <v>0</v>
      </c>
      <c r="V4702" s="1" t="str">
        <f t="shared" si="892"/>
        <v>里程返程</v>
      </c>
      <c r="W4702" s="1" t="str">
        <f>"0020"</f>
        <v>0020</v>
      </c>
      <c r="X4702" s="1" t="s">
        <v>29</v>
      </c>
    </row>
    <row r="4703" spans="1:24" x14ac:dyDescent="0.3">
      <c r="A4703" s="1" t="str">
        <f t="shared" si="887"/>
        <v>59822</v>
      </c>
      <c r="B4703" s="1" t="s">
        <v>39</v>
      </c>
      <c r="C4703" s="1" t="s">
        <v>40</v>
      </c>
      <c r="D4703" s="1" t="str">
        <f t="shared" si="888"/>
        <v>9803</v>
      </c>
      <c r="E4703" s="1" t="s">
        <v>32</v>
      </c>
      <c r="F4703" s="1" t="str">
        <f>"1651900437"</f>
        <v>1651900437</v>
      </c>
      <c r="G4703" s="1" t="s">
        <v>33</v>
      </c>
      <c r="H4703" s="1" t="str">
        <f t="shared" si="890"/>
        <v>20220921</v>
      </c>
      <c r="I4703" s="1" t="str">
        <f>"161042"</f>
        <v>161042</v>
      </c>
      <c r="J4703" s="1" t="s">
        <v>34</v>
      </c>
      <c r="K4703" s="1" t="s">
        <v>34</v>
      </c>
      <c r="L4703" s="1" t="str">
        <f t="shared" si="891"/>
        <v>20220921</v>
      </c>
      <c r="M4703" s="1" t="str">
        <f>"163941"</f>
        <v>163941</v>
      </c>
      <c r="N4703" s="1" t="s">
        <v>28</v>
      </c>
      <c r="O4703" s="1" t="s">
        <v>28</v>
      </c>
      <c r="P4703" s="1" t="s">
        <v>55</v>
      </c>
      <c r="Q4703" s="1">
        <v>25</v>
      </c>
      <c r="R4703" s="1">
        <v>25</v>
      </c>
      <c r="S4703" s="1">
        <v>0</v>
      </c>
      <c r="T4703" s="1">
        <v>0</v>
      </c>
      <c r="U4703" s="1">
        <v>0</v>
      </c>
      <c r="V4703" s="1" t="str">
        <f t="shared" si="892"/>
        <v>里程返程</v>
      </c>
      <c r="W4703" s="1" t="str">
        <f>"0220"</f>
        <v>0220</v>
      </c>
      <c r="X4703" s="1" t="s">
        <v>35</v>
      </c>
    </row>
    <row r="4704" spans="1:24" x14ac:dyDescent="0.3">
      <c r="A4704" s="1" t="str">
        <f t="shared" si="887"/>
        <v>59822</v>
      </c>
      <c r="B4704" s="1" t="s">
        <v>39</v>
      </c>
      <c r="C4704" s="1" t="s">
        <v>40</v>
      </c>
      <c r="D4704" s="1" t="str">
        <f t="shared" si="888"/>
        <v>9803</v>
      </c>
      <c r="E4704" s="1" t="s">
        <v>32</v>
      </c>
      <c r="F4704" s="1" t="str">
        <f>"1709069061"</f>
        <v>1709069061</v>
      </c>
      <c r="G4704" s="1" t="s">
        <v>33</v>
      </c>
      <c r="H4704" s="1" t="str">
        <f t="shared" si="890"/>
        <v>20220921</v>
      </c>
      <c r="I4704" s="1" t="str">
        <f>"172853"</f>
        <v>172853</v>
      </c>
      <c r="J4704" s="1" t="s">
        <v>34</v>
      </c>
      <c r="K4704" s="1" t="s">
        <v>34</v>
      </c>
      <c r="L4704" s="1" t="str">
        <f t="shared" si="891"/>
        <v>20220921</v>
      </c>
      <c r="M4704" s="1" t="str">
        <f>"174120"</f>
        <v>174120</v>
      </c>
      <c r="N4704" s="1" t="s">
        <v>46</v>
      </c>
      <c r="O4704" s="1" t="s">
        <v>28</v>
      </c>
      <c r="P4704" s="1" t="s">
        <v>55</v>
      </c>
      <c r="Q4704" s="1">
        <v>25</v>
      </c>
      <c r="R4704" s="1">
        <v>25</v>
      </c>
      <c r="S4704" s="1">
        <v>0</v>
      </c>
      <c r="T4704" s="1">
        <v>0</v>
      </c>
      <c r="U4704" s="1">
        <v>0</v>
      </c>
      <c r="V4704" s="1" t="str">
        <f t="shared" si="892"/>
        <v>里程返程</v>
      </c>
      <c r="W4704" s="1" t="str">
        <f>"2020"</f>
        <v>2020</v>
      </c>
      <c r="X4704" s="1" t="s">
        <v>35</v>
      </c>
    </row>
    <row r="4705" spans="1:24" x14ac:dyDescent="0.3">
      <c r="A4705" s="1" t="str">
        <f t="shared" si="887"/>
        <v>59822</v>
      </c>
      <c r="B4705" s="1" t="s">
        <v>39</v>
      </c>
      <c r="C4705" s="1" t="s">
        <v>40</v>
      </c>
      <c r="D4705" s="1" t="str">
        <f>"9805"</f>
        <v>9805</v>
      </c>
      <c r="E4705" s="1" t="s">
        <v>57</v>
      </c>
      <c r="F4705" s="1" t="str">
        <f>"846900965"</f>
        <v>846900965</v>
      </c>
      <c r="G4705" s="1" t="s">
        <v>26</v>
      </c>
      <c r="H4705" s="1" t="str">
        <f t="shared" si="890"/>
        <v>20220921</v>
      </c>
      <c r="I4705" s="1" t="str">
        <f>"175921"</f>
        <v>175921</v>
      </c>
      <c r="J4705" s="1" t="s">
        <v>28</v>
      </c>
      <c r="K4705" s="1" t="s">
        <v>28</v>
      </c>
      <c r="L4705" s="1" t="str">
        <f t="shared" si="891"/>
        <v>20220921</v>
      </c>
      <c r="M4705" s="1" t="str">
        <f>"181522"</f>
        <v>181522</v>
      </c>
      <c r="N4705" s="1" t="s">
        <v>52</v>
      </c>
      <c r="O4705" s="1" t="s">
        <v>52</v>
      </c>
      <c r="P4705" s="1" t="s">
        <v>55</v>
      </c>
      <c r="Q4705" s="1">
        <v>13</v>
      </c>
      <c r="R4705" s="1">
        <v>13</v>
      </c>
      <c r="S4705" s="1">
        <v>0</v>
      </c>
      <c r="T4705" s="1">
        <v>0</v>
      </c>
      <c r="U4705" s="1">
        <v>0</v>
      </c>
      <c r="V4705" s="1" t="str">
        <f>"里程去程"</f>
        <v>里程去程</v>
      </c>
      <c r="W4705" s="1" t="str">
        <f>"0c20"</f>
        <v>0c20</v>
      </c>
      <c r="X4705" s="1" t="s">
        <v>35</v>
      </c>
    </row>
    <row r="4706" spans="1:24" x14ac:dyDescent="0.3">
      <c r="A4706" s="1" t="str">
        <f t="shared" si="887"/>
        <v>59822</v>
      </c>
      <c r="B4706" s="1" t="s">
        <v>39</v>
      </c>
      <c r="C4706" s="1" t="s">
        <v>40</v>
      </c>
      <c r="D4706" s="1" t="str">
        <f>"9805"</f>
        <v>9805</v>
      </c>
      <c r="E4706" s="1" t="s">
        <v>57</v>
      </c>
      <c r="F4706" s="1" t="str">
        <f>"B2BACC06C2880400C838002000000015"</f>
        <v>B2BACC06C2880400C838002000000015</v>
      </c>
      <c r="G4706" s="1" t="s">
        <v>26</v>
      </c>
      <c r="H4706" s="1" t="str">
        <f t="shared" si="890"/>
        <v>20220921</v>
      </c>
      <c r="I4706" s="1" t="str">
        <f>"175925"</f>
        <v>175925</v>
      </c>
      <c r="J4706" s="1" t="s">
        <v>28</v>
      </c>
      <c r="K4706" s="1" t="s">
        <v>28</v>
      </c>
      <c r="L4706" s="1" t="str">
        <f t="shared" si="891"/>
        <v>20220921</v>
      </c>
      <c r="M4706" s="1" t="str">
        <f>"181527"</f>
        <v>181527</v>
      </c>
      <c r="N4706" s="1" t="s">
        <v>52</v>
      </c>
      <c r="O4706" s="1" t="s">
        <v>52</v>
      </c>
      <c r="P4706" s="1" t="s">
        <v>68</v>
      </c>
      <c r="Q4706" s="1">
        <v>13</v>
      </c>
      <c r="R4706" s="1">
        <v>0</v>
      </c>
      <c r="S4706" s="1">
        <v>0</v>
      </c>
      <c r="T4706" s="1">
        <v>13</v>
      </c>
      <c r="U4706" s="1">
        <v>0</v>
      </c>
      <c r="V4706" s="1" t="str">
        <f>"里程去程"</f>
        <v>里程去程</v>
      </c>
      <c r="W4706" s="1" t="str">
        <f>"0020"</f>
        <v>0020</v>
      </c>
      <c r="X4706" s="1" t="s">
        <v>29</v>
      </c>
    </row>
    <row r="4707" spans="1:24" x14ac:dyDescent="0.3">
      <c r="A4707" s="1" t="str">
        <f t="shared" ref="A4707:A4732" si="893">"59825"</f>
        <v>59825</v>
      </c>
      <c r="B4707" s="1" t="s">
        <v>30</v>
      </c>
      <c r="C4707" s="1" t="s">
        <v>31</v>
      </c>
      <c r="D4707" s="1" t="str">
        <f>"9806"</f>
        <v>9806</v>
      </c>
      <c r="E4707" s="1" t="s">
        <v>49</v>
      </c>
      <c r="F4707" s="1" t="str">
        <f>"1202E702F5880400C834002000000015"</f>
        <v>1202E702F5880400C834002000000015</v>
      </c>
      <c r="G4707" s="1" t="s">
        <v>74</v>
      </c>
      <c r="H4707" s="1" t="str">
        <f t="shared" si="890"/>
        <v>20220921</v>
      </c>
      <c r="I4707" s="1" t="str">
        <f>"073538"</f>
        <v>073538</v>
      </c>
      <c r="J4707" s="1" t="s">
        <v>101</v>
      </c>
      <c r="K4707" s="1" t="s">
        <v>28</v>
      </c>
      <c r="L4707" s="1" t="str">
        <f t="shared" si="891"/>
        <v>20220921</v>
      </c>
      <c r="M4707" s="1" t="str">
        <f>"074755"</f>
        <v>074755</v>
      </c>
      <c r="N4707" s="1" t="s">
        <v>99</v>
      </c>
      <c r="O4707" s="1" t="s">
        <v>28</v>
      </c>
      <c r="P4707" s="1" t="s">
        <v>68</v>
      </c>
      <c r="Q4707" s="1">
        <v>13</v>
      </c>
      <c r="R4707" s="1">
        <v>0</v>
      </c>
      <c r="S4707" s="1">
        <v>0</v>
      </c>
      <c r="T4707" s="1">
        <v>13</v>
      </c>
      <c r="U4707" s="1">
        <v>0</v>
      </c>
      <c r="V4707" s="1" t="str">
        <f>"里程返程"</f>
        <v>里程返程</v>
      </c>
      <c r="W4707" s="1" t="str">
        <f>"0020"</f>
        <v>0020</v>
      </c>
      <c r="X4707" s="1" t="s">
        <v>29</v>
      </c>
    </row>
    <row r="4708" spans="1:24" x14ac:dyDescent="0.3">
      <c r="A4708" s="1" t="str">
        <f t="shared" si="893"/>
        <v>59825</v>
      </c>
      <c r="B4708" s="1" t="s">
        <v>30</v>
      </c>
      <c r="C4708" s="1" t="s">
        <v>31</v>
      </c>
      <c r="D4708" s="1" t="str">
        <f t="shared" ref="D4708:D4718" si="894">"9803"</f>
        <v>9803</v>
      </c>
      <c r="E4708" s="1" t="s">
        <v>32</v>
      </c>
      <c r="F4708" s="1" t="str">
        <f>"32AFFC1677880400C814002000000019"</f>
        <v>32AFFC1677880400C814002000000019</v>
      </c>
      <c r="G4708" s="1" t="s">
        <v>59</v>
      </c>
      <c r="H4708" s="1" t="str">
        <f t="shared" si="890"/>
        <v>20220921</v>
      </c>
      <c r="I4708" s="1" t="str">
        <f>"080943"</f>
        <v>080943</v>
      </c>
      <c r="J4708" s="1" t="s">
        <v>28</v>
      </c>
      <c r="K4708" s="1" t="s">
        <v>28</v>
      </c>
      <c r="L4708" s="1" t="str">
        <f t="shared" si="891"/>
        <v>20220921</v>
      </c>
      <c r="M4708" s="1" t="str">
        <f>"082929"</f>
        <v>082929</v>
      </c>
      <c r="N4708" s="1" t="s">
        <v>34</v>
      </c>
      <c r="O4708" s="1" t="s">
        <v>34</v>
      </c>
      <c r="P4708" s="1" t="s">
        <v>55</v>
      </c>
      <c r="Q4708" s="1">
        <v>25</v>
      </c>
      <c r="R4708" s="1">
        <v>0</v>
      </c>
      <c r="S4708" s="1">
        <v>25</v>
      </c>
      <c r="T4708" s="1">
        <v>0</v>
      </c>
      <c r="U4708" s="1">
        <v>0</v>
      </c>
      <c r="V4708" s="1" t="str">
        <f t="shared" ref="V4708:V4717" si="895">"里程去程"</f>
        <v>里程去程</v>
      </c>
      <c r="W4708" s="1" t="str">
        <f>"0620"</f>
        <v>0620</v>
      </c>
      <c r="X4708" s="1" t="s">
        <v>29</v>
      </c>
    </row>
    <row r="4709" spans="1:24" x14ac:dyDescent="0.3">
      <c r="A4709" s="1" t="str">
        <f t="shared" si="893"/>
        <v>59825</v>
      </c>
      <c r="B4709" s="1" t="s">
        <v>30</v>
      </c>
      <c r="C4709" s="1" t="s">
        <v>31</v>
      </c>
      <c r="D4709" s="1" t="str">
        <f t="shared" si="894"/>
        <v>9803</v>
      </c>
      <c r="E4709" s="1" t="s">
        <v>32</v>
      </c>
      <c r="F4709" s="1" t="str">
        <f>"1034584277"</f>
        <v>1034584277</v>
      </c>
      <c r="G4709" s="1" t="s">
        <v>33</v>
      </c>
      <c r="H4709" s="1" t="str">
        <f t="shared" si="890"/>
        <v>20220921</v>
      </c>
      <c r="I4709" s="1" t="str">
        <f>"080948"</f>
        <v>080948</v>
      </c>
      <c r="J4709" s="1" t="s">
        <v>28</v>
      </c>
      <c r="K4709" s="1" t="s">
        <v>28</v>
      </c>
      <c r="L4709" s="1" t="str">
        <f t="shared" si="891"/>
        <v>20220921</v>
      </c>
      <c r="M4709" s="1" t="str">
        <f>"082926"</f>
        <v>082926</v>
      </c>
      <c r="N4709" s="1" t="s">
        <v>34</v>
      </c>
      <c r="O4709" s="1" t="s">
        <v>34</v>
      </c>
      <c r="P4709" s="1" t="s">
        <v>55</v>
      </c>
      <c r="Q4709" s="1">
        <v>25</v>
      </c>
      <c r="R4709" s="1">
        <v>25</v>
      </c>
      <c r="S4709" s="1">
        <v>0</v>
      </c>
      <c r="T4709" s="1">
        <v>0</v>
      </c>
      <c r="U4709" s="1">
        <v>0</v>
      </c>
      <c r="V4709" s="1" t="str">
        <f t="shared" si="895"/>
        <v>里程去程</v>
      </c>
      <c r="W4709" s="1" t="str">
        <f>"1420"</f>
        <v>1420</v>
      </c>
      <c r="X4709" s="1" t="s">
        <v>35</v>
      </c>
    </row>
    <row r="4710" spans="1:24" x14ac:dyDescent="0.3">
      <c r="A4710" s="1" t="str">
        <f t="shared" si="893"/>
        <v>59825</v>
      </c>
      <c r="B4710" s="1" t="s">
        <v>30</v>
      </c>
      <c r="C4710" s="1" t="s">
        <v>31</v>
      </c>
      <c r="D4710" s="1" t="str">
        <f t="shared" si="894"/>
        <v>9803</v>
      </c>
      <c r="E4710" s="1" t="s">
        <v>32</v>
      </c>
      <c r="F4710" s="1" t="str">
        <f>"427B490070880400C837002000000014"</f>
        <v>427B490070880400C837002000000014</v>
      </c>
      <c r="G4710" s="1" t="s">
        <v>58</v>
      </c>
      <c r="H4710" s="1" t="str">
        <f t="shared" si="890"/>
        <v>20220921</v>
      </c>
      <c r="I4710" s="1" t="str">
        <f>"080951"</f>
        <v>080951</v>
      </c>
      <c r="J4710" s="1" t="s">
        <v>28</v>
      </c>
      <c r="K4710" s="1" t="s">
        <v>28</v>
      </c>
      <c r="L4710" s="1" t="str">
        <f t="shared" si="891"/>
        <v>20220921</v>
      </c>
      <c r="M4710" s="1" t="str">
        <f>"082932"</f>
        <v>082932</v>
      </c>
      <c r="N4710" s="1" t="s">
        <v>34</v>
      </c>
      <c r="O4710" s="1" t="s">
        <v>34</v>
      </c>
      <c r="P4710" s="1" t="s">
        <v>55</v>
      </c>
      <c r="Q4710" s="1">
        <v>25</v>
      </c>
      <c r="R4710" s="1">
        <v>0</v>
      </c>
      <c r="S4710" s="1">
        <v>25</v>
      </c>
      <c r="T4710" s="1">
        <v>0</v>
      </c>
      <c r="U4710" s="1">
        <v>0</v>
      </c>
      <c r="V4710" s="1" t="str">
        <f t="shared" si="895"/>
        <v>里程去程</v>
      </c>
      <c r="W4710" s="1" t="str">
        <f>"0620"</f>
        <v>0620</v>
      </c>
      <c r="X4710" s="1" t="s">
        <v>29</v>
      </c>
    </row>
    <row r="4711" spans="1:24" x14ac:dyDescent="0.3">
      <c r="A4711" s="1" t="str">
        <f t="shared" si="893"/>
        <v>59825</v>
      </c>
      <c r="B4711" s="1" t="s">
        <v>30</v>
      </c>
      <c r="C4711" s="1" t="s">
        <v>31</v>
      </c>
      <c r="D4711" s="1" t="str">
        <f t="shared" si="894"/>
        <v>9803</v>
      </c>
      <c r="E4711" s="1" t="s">
        <v>32</v>
      </c>
      <c r="F4711" s="1" t="str">
        <f>"0507EE9B778804004327BBD200170B07"</f>
        <v>0507EE9B778804004327BBD200170B07</v>
      </c>
      <c r="G4711" s="1" t="s">
        <v>58</v>
      </c>
      <c r="H4711" s="1" t="str">
        <f t="shared" si="890"/>
        <v>20220921</v>
      </c>
      <c r="I4711" s="1" t="str">
        <f>"080953"</f>
        <v>080953</v>
      </c>
      <c r="J4711" s="1" t="s">
        <v>28</v>
      </c>
      <c r="K4711" s="1" t="s">
        <v>28</v>
      </c>
      <c r="L4711" s="1" t="str">
        <f t="shared" si="891"/>
        <v>20220921</v>
      </c>
      <c r="M4711" s="1" t="str">
        <f>"082934"</f>
        <v>082934</v>
      </c>
      <c r="N4711" s="1" t="s">
        <v>34</v>
      </c>
      <c r="O4711" s="1" t="s">
        <v>34</v>
      </c>
      <c r="P4711" s="1" t="s">
        <v>55</v>
      </c>
      <c r="Q4711" s="1">
        <v>25</v>
      </c>
      <c r="R4711" s="1">
        <v>0</v>
      </c>
      <c r="S4711" s="1">
        <v>25</v>
      </c>
      <c r="T4711" s="1">
        <v>0</v>
      </c>
      <c r="U4711" s="1">
        <v>0</v>
      </c>
      <c r="V4711" s="1" t="str">
        <f t="shared" si="895"/>
        <v>里程去程</v>
      </c>
      <c r="W4711" s="1" t="str">
        <f>"0620"</f>
        <v>0620</v>
      </c>
      <c r="X4711" s="1" t="s">
        <v>29</v>
      </c>
    </row>
    <row r="4712" spans="1:24" x14ac:dyDescent="0.3">
      <c r="A4712" s="1" t="str">
        <f t="shared" si="893"/>
        <v>59825</v>
      </c>
      <c r="B4712" s="1" t="s">
        <v>30</v>
      </c>
      <c r="C4712" s="1" t="s">
        <v>31</v>
      </c>
      <c r="D4712" s="1" t="str">
        <f t="shared" si="894"/>
        <v>9803</v>
      </c>
      <c r="E4712" s="1" t="s">
        <v>32</v>
      </c>
      <c r="F4712" s="1" t="str">
        <f>"715216149"</f>
        <v>715216149</v>
      </c>
      <c r="G4712" s="1" t="s">
        <v>33</v>
      </c>
      <c r="H4712" s="1" t="str">
        <f t="shared" si="890"/>
        <v>20220921</v>
      </c>
      <c r="I4712" s="1" t="str">
        <f>"080956"</f>
        <v>080956</v>
      </c>
      <c r="J4712" s="1" t="s">
        <v>28</v>
      </c>
      <c r="K4712" s="1" t="s">
        <v>28</v>
      </c>
      <c r="L4712" s="1" t="str">
        <f t="shared" si="891"/>
        <v>20220921</v>
      </c>
      <c r="M4712" s="1" t="str">
        <f>"082948"</f>
        <v>082948</v>
      </c>
      <c r="N4712" s="1" t="s">
        <v>34</v>
      </c>
      <c r="O4712" s="1" t="s">
        <v>34</v>
      </c>
      <c r="P4712" s="1" t="s">
        <v>55</v>
      </c>
      <c r="Q4712" s="1">
        <v>25</v>
      </c>
      <c r="R4712" s="1">
        <v>0</v>
      </c>
      <c r="S4712" s="1">
        <v>25</v>
      </c>
      <c r="T4712" s="1">
        <v>0</v>
      </c>
      <c r="U4712" s="1">
        <v>0</v>
      </c>
      <c r="V4712" s="1" t="str">
        <f t="shared" si="895"/>
        <v>里程去程</v>
      </c>
      <c r="W4712" s="1" t="str">
        <f>"0820"</f>
        <v>0820</v>
      </c>
      <c r="X4712" s="1" t="s">
        <v>35</v>
      </c>
    </row>
    <row r="4713" spans="1:24" x14ac:dyDescent="0.3">
      <c r="A4713" s="1" t="str">
        <f t="shared" si="893"/>
        <v>59825</v>
      </c>
      <c r="B4713" s="1" t="s">
        <v>30</v>
      </c>
      <c r="C4713" s="1" t="s">
        <v>31</v>
      </c>
      <c r="D4713" s="1" t="str">
        <f t="shared" si="894"/>
        <v>9803</v>
      </c>
      <c r="E4713" s="1" t="s">
        <v>32</v>
      </c>
      <c r="F4713" s="1" t="str">
        <f>"1418892881"</f>
        <v>1418892881</v>
      </c>
      <c r="G4713" s="1" t="s">
        <v>33</v>
      </c>
      <c r="H4713" s="1" t="str">
        <f t="shared" si="890"/>
        <v>20220921</v>
      </c>
      <c r="I4713" s="1" t="str">
        <f>"081000"</f>
        <v>081000</v>
      </c>
      <c r="J4713" s="1" t="s">
        <v>28</v>
      </c>
      <c r="K4713" s="1" t="s">
        <v>28</v>
      </c>
      <c r="L4713" s="1" t="str">
        <f t="shared" si="891"/>
        <v>20220921</v>
      </c>
      <c r="M4713" s="1" t="str">
        <f>"082943"</f>
        <v>082943</v>
      </c>
      <c r="N4713" s="1" t="s">
        <v>34</v>
      </c>
      <c r="O4713" s="1" t="s">
        <v>34</v>
      </c>
      <c r="P4713" s="1" t="s">
        <v>55</v>
      </c>
      <c r="Q4713" s="1">
        <v>25</v>
      </c>
      <c r="R4713" s="1">
        <v>0</v>
      </c>
      <c r="S4713" s="1">
        <v>25</v>
      </c>
      <c r="T4713" s="1">
        <v>0</v>
      </c>
      <c r="U4713" s="1">
        <v>0</v>
      </c>
      <c r="V4713" s="1" t="str">
        <f t="shared" si="895"/>
        <v>里程去程</v>
      </c>
      <c r="W4713" s="1" t="str">
        <f>"0820"</f>
        <v>0820</v>
      </c>
      <c r="X4713" s="1" t="s">
        <v>35</v>
      </c>
    </row>
    <row r="4714" spans="1:24" x14ac:dyDescent="0.3">
      <c r="A4714" s="1" t="str">
        <f t="shared" si="893"/>
        <v>59825</v>
      </c>
      <c r="B4714" s="1" t="s">
        <v>30</v>
      </c>
      <c r="C4714" s="1" t="s">
        <v>31</v>
      </c>
      <c r="D4714" s="1" t="str">
        <f t="shared" si="894"/>
        <v>9803</v>
      </c>
      <c r="E4714" s="1" t="s">
        <v>32</v>
      </c>
      <c r="F4714" s="1" t="str">
        <f>"1782076341"</f>
        <v>1782076341</v>
      </c>
      <c r="G4714" s="1" t="s">
        <v>33</v>
      </c>
      <c r="H4714" s="1" t="str">
        <f t="shared" si="890"/>
        <v>20220921</v>
      </c>
      <c r="I4714" s="1" t="str">
        <f>"095058"</f>
        <v>095058</v>
      </c>
      <c r="J4714" s="1" t="s">
        <v>28</v>
      </c>
      <c r="K4714" s="1" t="s">
        <v>28</v>
      </c>
      <c r="L4714" s="1" t="str">
        <f t="shared" si="891"/>
        <v>20220921</v>
      </c>
      <c r="M4714" s="1" t="str">
        <f>"100924"</f>
        <v>100924</v>
      </c>
      <c r="N4714" s="1" t="s">
        <v>34</v>
      </c>
      <c r="O4714" s="1" t="s">
        <v>34</v>
      </c>
      <c r="P4714" s="1" t="s">
        <v>55</v>
      </c>
      <c r="Q4714" s="1">
        <v>25</v>
      </c>
      <c r="R4714" s="1">
        <v>25</v>
      </c>
      <c r="S4714" s="1">
        <v>0</v>
      </c>
      <c r="T4714" s="1">
        <v>0</v>
      </c>
      <c r="U4714" s="1">
        <v>0</v>
      </c>
      <c r="V4714" s="1" t="str">
        <f t="shared" si="895"/>
        <v>里程去程</v>
      </c>
      <c r="W4714" s="1" t="str">
        <f>"0020"</f>
        <v>0020</v>
      </c>
      <c r="X4714" s="1" t="s">
        <v>35</v>
      </c>
    </row>
    <row r="4715" spans="1:24" x14ac:dyDescent="0.3">
      <c r="A4715" s="1" t="str">
        <f t="shared" si="893"/>
        <v>59825</v>
      </c>
      <c r="B4715" s="1" t="s">
        <v>30</v>
      </c>
      <c r="C4715" s="1" t="s">
        <v>31</v>
      </c>
      <c r="D4715" s="1" t="str">
        <f t="shared" si="894"/>
        <v>9803</v>
      </c>
      <c r="E4715" s="1" t="s">
        <v>32</v>
      </c>
      <c r="F4715" s="1" t="str">
        <f>"8244B81B65880400C822002000000021"</f>
        <v>8244B81B65880400C822002000000021</v>
      </c>
      <c r="G4715" s="1" t="s">
        <v>58</v>
      </c>
      <c r="H4715" s="1" t="str">
        <f t="shared" si="890"/>
        <v>20220921</v>
      </c>
      <c r="I4715" s="1" t="str">
        <f>"095110"</f>
        <v>095110</v>
      </c>
      <c r="J4715" s="1" t="s">
        <v>28</v>
      </c>
      <c r="K4715" s="1" t="s">
        <v>28</v>
      </c>
      <c r="L4715" s="1" t="str">
        <f t="shared" si="891"/>
        <v>20220921</v>
      </c>
      <c r="M4715" s="1" t="str">
        <f>"100919"</f>
        <v>100919</v>
      </c>
      <c r="N4715" s="1" t="s">
        <v>34</v>
      </c>
      <c r="O4715" s="1" t="s">
        <v>34</v>
      </c>
      <c r="P4715" s="1" t="s">
        <v>55</v>
      </c>
      <c r="Q4715" s="1">
        <v>25</v>
      </c>
      <c r="R4715" s="1">
        <v>25</v>
      </c>
      <c r="S4715" s="1">
        <v>0</v>
      </c>
      <c r="T4715" s="1">
        <v>0</v>
      </c>
      <c r="U4715" s="1">
        <v>0</v>
      </c>
      <c r="V4715" s="1" t="str">
        <f t="shared" si="895"/>
        <v>里程去程</v>
      </c>
      <c r="W4715" s="1" t="str">
        <f>"0020"</f>
        <v>0020</v>
      </c>
      <c r="X4715" s="1" t="s">
        <v>29</v>
      </c>
    </row>
    <row r="4716" spans="1:24" x14ac:dyDescent="0.3">
      <c r="A4716" s="1" t="str">
        <f t="shared" si="893"/>
        <v>59825</v>
      </c>
      <c r="B4716" s="1" t="s">
        <v>30</v>
      </c>
      <c r="C4716" s="1" t="s">
        <v>31</v>
      </c>
      <c r="D4716" s="1" t="str">
        <f t="shared" si="894"/>
        <v>9803</v>
      </c>
      <c r="E4716" s="1" t="s">
        <v>32</v>
      </c>
      <c r="F4716" s="1" t="str">
        <f>"4108905C852804001C00000000000000"</f>
        <v>4108905C852804001C00000000000000</v>
      </c>
      <c r="G4716" s="1" t="s">
        <v>58</v>
      </c>
      <c r="H4716" s="1" t="str">
        <f t="shared" si="890"/>
        <v>20220921</v>
      </c>
      <c r="I4716" s="1" t="str">
        <f>"095115"</f>
        <v>095115</v>
      </c>
      <c r="J4716" s="1" t="s">
        <v>28</v>
      </c>
      <c r="K4716" s="1" t="s">
        <v>28</v>
      </c>
      <c r="L4716" s="1" t="str">
        <f t="shared" si="891"/>
        <v>20220921</v>
      </c>
      <c r="M4716" s="1" t="str">
        <f>"100911"</f>
        <v>100911</v>
      </c>
      <c r="N4716" s="1" t="s">
        <v>34</v>
      </c>
      <c r="O4716" s="1" t="s">
        <v>34</v>
      </c>
      <c r="P4716" s="1" t="s">
        <v>55</v>
      </c>
      <c r="Q4716" s="1">
        <v>25</v>
      </c>
      <c r="R4716" s="1">
        <v>25</v>
      </c>
      <c r="S4716" s="1">
        <v>0</v>
      </c>
      <c r="T4716" s="1">
        <v>0</v>
      </c>
      <c r="U4716" s="1">
        <v>0</v>
      </c>
      <c r="V4716" s="1" t="str">
        <f t="shared" si="895"/>
        <v>里程去程</v>
      </c>
      <c r="W4716" s="1" t="str">
        <f>"0020"</f>
        <v>0020</v>
      </c>
      <c r="X4716" s="1" t="s">
        <v>29</v>
      </c>
    </row>
    <row r="4717" spans="1:24" x14ac:dyDescent="0.3">
      <c r="A4717" s="1" t="str">
        <f t="shared" si="893"/>
        <v>59825</v>
      </c>
      <c r="B4717" s="1" t="s">
        <v>30</v>
      </c>
      <c r="C4717" s="1" t="s">
        <v>31</v>
      </c>
      <c r="D4717" s="1" t="str">
        <f t="shared" si="894"/>
        <v>9803</v>
      </c>
      <c r="E4717" s="1" t="s">
        <v>32</v>
      </c>
      <c r="F4717" s="1" t="str">
        <f>"98177537"</f>
        <v>98177537</v>
      </c>
      <c r="G4717" s="1" t="s">
        <v>33</v>
      </c>
      <c r="H4717" s="1" t="str">
        <f t="shared" si="890"/>
        <v>20220921</v>
      </c>
      <c r="I4717" s="1" t="str">
        <f>"095149"</f>
        <v>095149</v>
      </c>
      <c r="J4717" s="1" t="s">
        <v>28</v>
      </c>
      <c r="K4717" s="1" t="s">
        <v>28</v>
      </c>
      <c r="L4717" s="1" t="str">
        <f t="shared" si="891"/>
        <v>20220921</v>
      </c>
      <c r="M4717" s="1" t="str">
        <f>"100928"</f>
        <v>100928</v>
      </c>
      <c r="N4717" s="1" t="s">
        <v>34</v>
      </c>
      <c r="O4717" s="1" t="s">
        <v>34</v>
      </c>
      <c r="P4717" s="1" t="s">
        <v>55</v>
      </c>
      <c r="Q4717" s="1">
        <v>25</v>
      </c>
      <c r="R4717" s="1">
        <v>25</v>
      </c>
      <c r="S4717" s="1">
        <v>0</v>
      </c>
      <c r="T4717" s="1">
        <v>0</v>
      </c>
      <c r="U4717" s="1">
        <v>0</v>
      </c>
      <c r="V4717" s="1" t="str">
        <f t="shared" si="895"/>
        <v>里程去程</v>
      </c>
      <c r="W4717" s="1" t="str">
        <f>"0320"</f>
        <v>0320</v>
      </c>
      <c r="X4717" s="1" t="s">
        <v>35</v>
      </c>
    </row>
    <row r="4718" spans="1:24" x14ac:dyDescent="0.3">
      <c r="A4718" s="1" t="str">
        <f t="shared" si="893"/>
        <v>59825</v>
      </c>
      <c r="B4718" s="1" t="s">
        <v>30</v>
      </c>
      <c r="C4718" s="1" t="s">
        <v>31</v>
      </c>
      <c r="D4718" s="1" t="str">
        <f t="shared" si="894"/>
        <v>9803</v>
      </c>
      <c r="E4718" s="1" t="s">
        <v>32</v>
      </c>
      <c r="F4718" s="1" t="str">
        <f>"1150189621"</f>
        <v>1150189621</v>
      </c>
      <c r="G4718" s="1" t="s">
        <v>33</v>
      </c>
      <c r="H4718" s="1" t="str">
        <f t="shared" si="890"/>
        <v>20220921</v>
      </c>
      <c r="I4718" s="1" t="str">
        <f>"104407"</f>
        <v>104407</v>
      </c>
      <c r="J4718" s="1" t="s">
        <v>34</v>
      </c>
      <c r="K4718" s="1" t="s">
        <v>34</v>
      </c>
      <c r="L4718" s="1" t="str">
        <f t="shared" si="891"/>
        <v>20220921</v>
      </c>
      <c r="M4718" s="1" t="str">
        <f>"111012"</f>
        <v>111012</v>
      </c>
      <c r="N4718" s="1" t="s">
        <v>28</v>
      </c>
      <c r="O4718" s="1" t="s">
        <v>28</v>
      </c>
      <c r="P4718" s="1" t="s">
        <v>55</v>
      </c>
      <c r="Q4718" s="1">
        <v>25</v>
      </c>
      <c r="R4718" s="1">
        <v>25</v>
      </c>
      <c r="S4718" s="1">
        <v>0</v>
      </c>
      <c r="T4718" s="1">
        <v>0</v>
      </c>
      <c r="U4718" s="1">
        <v>0</v>
      </c>
      <c r="V4718" s="1" t="str">
        <f>"里程返程"</f>
        <v>里程返程</v>
      </c>
      <c r="W4718" s="1" t="str">
        <f>"2020"</f>
        <v>2020</v>
      </c>
      <c r="X4718" s="1" t="s">
        <v>35</v>
      </c>
    </row>
    <row r="4719" spans="1:24" x14ac:dyDescent="0.3">
      <c r="A4719" s="1" t="str">
        <f t="shared" si="893"/>
        <v>59825</v>
      </c>
      <c r="B4719" s="1" t="s">
        <v>30</v>
      </c>
      <c r="C4719" s="1" t="s">
        <v>31</v>
      </c>
      <c r="D4719" s="1" t="str">
        <f t="shared" ref="D4719:D4724" si="896">"9805"</f>
        <v>9805</v>
      </c>
      <c r="E4719" s="1" t="s">
        <v>57</v>
      </c>
      <c r="F4719" s="1" t="str">
        <f>"1744789365"</f>
        <v>1744789365</v>
      </c>
      <c r="G4719" s="1" t="s">
        <v>33</v>
      </c>
      <c r="H4719" s="1" t="str">
        <f t="shared" si="890"/>
        <v>20220921</v>
      </c>
      <c r="I4719" s="1" t="str">
        <f>"120820"</f>
        <v>120820</v>
      </c>
      <c r="J4719" s="1" t="s">
        <v>28</v>
      </c>
      <c r="K4719" s="1" t="s">
        <v>28</v>
      </c>
      <c r="L4719" s="1" t="str">
        <f t="shared" si="891"/>
        <v>20220921</v>
      </c>
      <c r="M4719" s="1" t="str">
        <f>"122321"</f>
        <v>122321</v>
      </c>
      <c r="N4719" s="1" t="s">
        <v>62</v>
      </c>
      <c r="O4719" s="1" t="s">
        <v>28</v>
      </c>
      <c r="P4719" s="1" t="s">
        <v>55</v>
      </c>
      <c r="Q4719" s="1">
        <v>25</v>
      </c>
      <c r="R4719" s="1">
        <v>0</v>
      </c>
      <c r="S4719" s="1">
        <v>25</v>
      </c>
      <c r="T4719" s="1">
        <v>0</v>
      </c>
      <c r="U4719" s="1">
        <v>0</v>
      </c>
      <c r="V4719" s="1" t="str">
        <f>"里程去程"</f>
        <v>里程去程</v>
      </c>
      <c r="W4719" s="1" t="str">
        <f>"0820"</f>
        <v>0820</v>
      </c>
      <c r="X4719" s="1" t="s">
        <v>35</v>
      </c>
    </row>
    <row r="4720" spans="1:24" x14ac:dyDescent="0.3">
      <c r="A4720" s="1" t="str">
        <f t="shared" si="893"/>
        <v>59825</v>
      </c>
      <c r="B4720" s="1" t="s">
        <v>30</v>
      </c>
      <c r="C4720" s="1" t="s">
        <v>31</v>
      </c>
      <c r="D4720" s="1" t="str">
        <f t="shared" si="896"/>
        <v>9805</v>
      </c>
      <c r="E4720" s="1" t="s">
        <v>57</v>
      </c>
      <c r="F4720" s="1" t="str">
        <f>"1107493349"</f>
        <v>1107493349</v>
      </c>
      <c r="G4720" s="1" t="s">
        <v>38</v>
      </c>
      <c r="H4720" s="1" t="str">
        <f t="shared" si="890"/>
        <v>20220921</v>
      </c>
      <c r="I4720" s="1" t="str">
        <f>"120931"</f>
        <v>120931</v>
      </c>
      <c r="J4720" s="1" t="s">
        <v>28</v>
      </c>
      <c r="K4720" s="1" t="s">
        <v>28</v>
      </c>
      <c r="L4720" s="1" t="str">
        <f t="shared" si="891"/>
        <v>20220921</v>
      </c>
      <c r="M4720" s="1" t="str">
        <f>"122634"</f>
        <v>122634</v>
      </c>
      <c r="N4720" s="1" t="s">
        <v>52</v>
      </c>
      <c r="O4720" s="1" t="s">
        <v>52</v>
      </c>
      <c r="P4720" s="1" t="s">
        <v>55</v>
      </c>
      <c r="Q4720" s="1">
        <v>25</v>
      </c>
      <c r="R4720" s="1">
        <v>25</v>
      </c>
      <c r="S4720" s="1">
        <v>0</v>
      </c>
      <c r="T4720" s="1">
        <v>0</v>
      </c>
      <c r="U4720" s="1">
        <v>0</v>
      </c>
      <c r="V4720" s="1" t="str">
        <f>"里程去程"</f>
        <v>里程去程</v>
      </c>
      <c r="W4720" s="1" t="str">
        <f>"2020"</f>
        <v>2020</v>
      </c>
      <c r="X4720" s="1" t="s">
        <v>35</v>
      </c>
    </row>
    <row r="4721" spans="1:24" x14ac:dyDescent="0.3">
      <c r="A4721" s="1" t="str">
        <f t="shared" si="893"/>
        <v>59825</v>
      </c>
      <c r="B4721" s="1" t="s">
        <v>30</v>
      </c>
      <c r="C4721" s="1" t="s">
        <v>31</v>
      </c>
      <c r="D4721" s="1" t="str">
        <f t="shared" si="896"/>
        <v>9805</v>
      </c>
      <c r="E4721" s="1" t="s">
        <v>57</v>
      </c>
      <c r="F4721" s="1" t="str">
        <f>"1735249109"</f>
        <v>1735249109</v>
      </c>
      <c r="G4721" s="1" t="s">
        <v>33</v>
      </c>
      <c r="H4721" s="1" t="str">
        <f t="shared" si="890"/>
        <v>20220921</v>
      </c>
      <c r="I4721" s="1" t="str">
        <f>"130830"</f>
        <v>130830</v>
      </c>
      <c r="J4721" s="1" t="s">
        <v>52</v>
      </c>
      <c r="K4721" s="1" t="s">
        <v>52</v>
      </c>
      <c r="L4721" s="1" t="str">
        <f t="shared" si="891"/>
        <v>20220921</v>
      </c>
      <c r="M4721" s="1" t="str">
        <f>"132811"</f>
        <v>132811</v>
      </c>
      <c r="N4721" s="1" t="s">
        <v>28</v>
      </c>
      <c r="O4721" s="1" t="s">
        <v>28</v>
      </c>
      <c r="P4721" s="1" t="s">
        <v>55</v>
      </c>
      <c r="Q4721" s="1">
        <v>25</v>
      </c>
      <c r="R4721" s="1">
        <v>25</v>
      </c>
      <c r="S4721" s="1">
        <v>0</v>
      </c>
      <c r="T4721" s="1">
        <v>0</v>
      </c>
      <c r="U4721" s="1">
        <v>0</v>
      </c>
      <c r="V4721" s="1" t="str">
        <f>"里程返程"</f>
        <v>里程返程</v>
      </c>
      <c r="W4721" s="1" t="str">
        <f>"2020"</f>
        <v>2020</v>
      </c>
      <c r="X4721" s="1" t="s">
        <v>35</v>
      </c>
    </row>
    <row r="4722" spans="1:24" x14ac:dyDescent="0.3">
      <c r="A4722" s="1" t="str">
        <f t="shared" si="893"/>
        <v>59825</v>
      </c>
      <c r="B4722" s="1" t="s">
        <v>30</v>
      </c>
      <c r="C4722" s="1" t="s">
        <v>31</v>
      </c>
      <c r="D4722" s="1" t="str">
        <f t="shared" si="896"/>
        <v>9805</v>
      </c>
      <c r="E4722" s="1" t="s">
        <v>57</v>
      </c>
      <c r="F4722" s="1" t="str">
        <f>"1744789365"</f>
        <v>1744789365</v>
      </c>
      <c r="G4722" s="1" t="s">
        <v>33</v>
      </c>
      <c r="H4722" s="1" t="str">
        <f t="shared" si="890"/>
        <v>20220921</v>
      </c>
      <c r="I4722" s="1" t="str">
        <f>"131415"</f>
        <v>131415</v>
      </c>
      <c r="J4722" s="1" t="s">
        <v>62</v>
      </c>
      <c r="K4722" s="1" t="s">
        <v>28</v>
      </c>
      <c r="L4722" s="1" t="str">
        <f t="shared" si="891"/>
        <v>20220921</v>
      </c>
      <c r="M4722" s="1" t="str">
        <f>"132800"</f>
        <v>132800</v>
      </c>
      <c r="N4722" s="1" t="s">
        <v>28</v>
      </c>
      <c r="O4722" s="1" t="s">
        <v>28</v>
      </c>
      <c r="P4722" s="1" t="s">
        <v>55</v>
      </c>
      <c r="Q4722" s="1">
        <v>25</v>
      </c>
      <c r="R4722" s="1">
        <v>25</v>
      </c>
      <c r="S4722" s="1">
        <v>0</v>
      </c>
      <c r="T4722" s="1">
        <v>0</v>
      </c>
      <c r="U4722" s="1">
        <v>0</v>
      </c>
      <c r="V4722" s="1" t="str">
        <f>"里程返程"</f>
        <v>里程返程</v>
      </c>
      <c r="W4722" s="1" t="str">
        <f>"2020"</f>
        <v>2020</v>
      </c>
      <c r="X4722" s="1" t="s">
        <v>35</v>
      </c>
    </row>
    <row r="4723" spans="1:24" x14ac:dyDescent="0.3">
      <c r="A4723" s="1" t="str">
        <f t="shared" si="893"/>
        <v>59825</v>
      </c>
      <c r="B4723" s="1" t="s">
        <v>30</v>
      </c>
      <c r="C4723" s="1" t="s">
        <v>31</v>
      </c>
      <c r="D4723" s="1" t="str">
        <f t="shared" si="896"/>
        <v>9805</v>
      </c>
      <c r="E4723" s="1" t="s">
        <v>57</v>
      </c>
      <c r="F4723" s="1" t="str">
        <f>"1200623297"</f>
        <v>1200623297</v>
      </c>
      <c r="G4723" s="1" t="s">
        <v>33</v>
      </c>
      <c r="H4723" s="1" t="str">
        <f t="shared" si="890"/>
        <v>20220921</v>
      </c>
      <c r="I4723" s="1" t="str">
        <f>"131617"</f>
        <v>131617</v>
      </c>
      <c r="J4723" s="1" t="s">
        <v>103</v>
      </c>
      <c r="K4723" s="1" t="s">
        <v>28</v>
      </c>
      <c r="L4723" s="1" t="str">
        <f t="shared" si="891"/>
        <v>20220921</v>
      </c>
      <c r="M4723" s="1" t="str">
        <f>"132807"</f>
        <v>132807</v>
      </c>
      <c r="N4723" s="1" t="s">
        <v>28</v>
      </c>
      <c r="O4723" s="1" t="s">
        <v>28</v>
      </c>
      <c r="P4723" s="1" t="s">
        <v>55</v>
      </c>
      <c r="Q4723" s="1">
        <v>25</v>
      </c>
      <c r="R4723" s="1">
        <v>25</v>
      </c>
      <c r="S4723" s="1">
        <v>0</v>
      </c>
      <c r="T4723" s="1">
        <v>0</v>
      </c>
      <c r="U4723" s="1">
        <v>0</v>
      </c>
      <c r="V4723" s="1" t="str">
        <f>"里程返程"</f>
        <v>里程返程</v>
      </c>
      <c r="W4723" s="1" t="str">
        <f>"0620"</f>
        <v>0620</v>
      </c>
      <c r="X4723" s="1" t="s">
        <v>35</v>
      </c>
    </row>
    <row r="4724" spans="1:24" x14ac:dyDescent="0.3">
      <c r="A4724" s="1" t="str">
        <f t="shared" si="893"/>
        <v>59825</v>
      </c>
      <c r="B4724" s="1" t="s">
        <v>30</v>
      </c>
      <c r="C4724" s="1" t="s">
        <v>31</v>
      </c>
      <c r="D4724" s="1" t="str">
        <f t="shared" si="896"/>
        <v>9805</v>
      </c>
      <c r="E4724" s="1" t="s">
        <v>57</v>
      </c>
      <c r="F4724" s="1" t="str">
        <f>"3A36805DD1880400C185149965704512"</f>
        <v>3A36805DD1880400C185149965704512</v>
      </c>
      <c r="G4724" s="1" t="s">
        <v>58</v>
      </c>
      <c r="H4724" s="1" t="str">
        <f t="shared" si="890"/>
        <v>20220921</v>
      </c>
      <c r="I4724" s="1" t="str">
        <f>"131654"</f>
        <v>131654</v>
      </c>
      <c r="J4724" s="1" t="s">
        <v>94</v>
      </c>
      <c r="K4724" s="1" t="s">
        <v>28</v>
      </c>
      <c r="L4724" s="1" t="str">
        <f t="shared" si="891"/>
        <v>20220921</v>
      </c>
      <c r="M4724" s="1" t="str">
        <f>"132814"</f>
        <v>132814</v>
      </c>
      <c r="N4724" s="1" t="s">
        <v>28</v>
      </c>
      <c r="O4724" s="1" t="s">
        <v>28</v>
      </c>
      <c r="P4724" s="1" t="s">
        <v>55</v>
      </c>
      <c r="Q4724" s="1">
        <v>25</v>
      </c>
      <c r="R4724" s="1">
        <v>25</v>
      </c>
      <c r="S4724" s="1">
        <v>0</v>
      </c>
      <c r="T4724" s="1">
        <v>0</v>
      </c>
      <c r="U4724" s="1">
        <v>0</v>
      </c>
      <c r="V4724" s="1" t="str">
        <f>"里程返程"</f>
        <v>里程返程</v>
      </c>
      <c r="W4724" s="1" t="str">
        <f>"0020"</f>
        <v>0020</v>
      </c>
      <c r="X4724" s="1" t="s">
        <v>29</v>
      </c>
    </row>
    <row r="4725" spans="1:24" x14ac:dyDescent="0.3">
      <c r="A4725" s="1" t="str">
        <f t="shared" si="893"/>
        <v>59825</v>
      </c>
      <c r="B4725" s="1" t="s">
        <v>30</v>
      </c>
      <c r="C4725" s="1" t="s">
        <v>31</v>
      </c>
      <c r="D4725" s="1" t="str">
        <f t="shared" ref="D4725:D4730" si="897">"9803"</f>
        <v>9803</v>
      </c>
      <c r="E4725" s="1" t="s">
        <v>32</v>
      </c>
      <c r="F4725" s="1" t="str">
        <f>"3201553251"</f>
        <v>3201553251</v>
      </c>
      <c r="G4725" s="1" t="s">
        <v>33</v>
      </c>
      <c r="H4725" s="1" t="str">
        <f t="shared" si="890"/>
        <v>20220921</v>
      </c>
      <c r="I4725" s="1" t="str">
        <f>"132845"</f>
        <v>132845</v>
      </c>
      <c r="J4725" s="1" t="s">
        <v>28</v>
      </c>
      <c r="K4725" s="1" t="s">
        <v>28</v>
      </c>
      <c r="L4725" s="1" t="str">
        <f t="shared" si="891"/>
        <v>20220921</v>
      </c>
      <c r="M4725" s="1" t="str">
        <f>"134806"</f>
        <v>134806</v>
      </c>
      <c r="N4725" s="1" t="s">
        <v>34</v>
      </c>
      <c r="O4725" s="1" t="s">
        <v>34</v>
      </c>
      <c r="P4725" s="1" t="s">
        <v>55</v>
      </c>
      <c r="Q4725" s="1">
        <v>25</v>
      </c>
      <c r="R4725" s="1">
        <v>0</v>
      </c>
      <c r="S4725" s="1">
        <v>25</v>
      </c>
      <c r="T4725" s="1">
        <v>0</v>
      </c>
      <c r="U4725" s="1">
        <v>0</v>
      </c>
      <c r="V4725" s="1" t="str">
        <f>"里程去程"</f>
        <v>里程去程</v>
      </c>
      <c r="W4725" s="1" t="str">
        <f>"0820"</f>
        <v>0820</v>
      </c>
      <c r="X4725" s="1" t="s">
        <v>35</v>
      </c>
    </row>
    <row r="4726" spans="1:24" x14ac:dyDescent="0.3">
      <c r="A4726" s="1" t="str">
        <f t="shared" si="893"/>
        <v>59825</v>
      </c>
      <c r="B4726" s="1" t="s">
        <v>30</v>
      </c>
      <c r="C4726" s="1" t="s">
        <v>31</v>
      </c>
      <c r="D4726" s="1" t="str">
        <f t="shared" si="897"/>
        <v>9803</v>
      </c>
      <c r="E4726" s="1" t="s">
        <v>32</v>
      </c>
      <c r="F4726" s="1" t="str">
        <f>"F545339C1F88040043265ABE00040710"</f>
        <v>F545339C1F88040043265ABE00040710</v>
      </c>
      <c r="G4726" s="1" t="s">
        <v>58</v>
      </c>
      <c r="H4726" s="1" t="str">
        <f t="shared" si="890"/>
        <v>20220921</v>
      </c>
      <c r="I4726" s="1" t="str">
        <f>"132859"</f>
        <v>132859</v>
      </c>
      <c r="J4726" s="1" t="s">
        <v>28</v>
      </c>
      <c r="K4726" s="1" t="s">
        <v>28</v>
      </c>
      <c r="L4726" s="1" t="str">
        <f t="shared" si="891"/>
        <v>20220921</v>
      </c>
      <c r="M4726" s="1" t="str">
        <f>"134816"</f>
        <v>134816</v>
      </c>
      <c r="N4726" s="1" t="s">
        <v>34</v>
      </c>
      <c r="O4726" s="1" t="s">
        <v>34</v>
      </c>
      <c r="P4726" s="1" t="s">
        <v>55</v>
      </c>
      <c r="Q4726" s="1">
        <v>25</v>
      </c>
      <c r="R4726" s="1">
        <v>25</v>
      </c>
      <c r="S4726" s="1">
        <v>0</v>
      </c>
      <c r="T4726" s="1">
        <v>0</v>
      </c>
      <c r="U4726" s="1">
        <v>0</v>
      </c>
      <c r="V4726" s="1" t="str">
        <f>"里程去程"</f>
        <v>里程去程</v>
      </c>
      <c r="W4726" s="1" t="str">
        <f>"0020"</f>
        <v>0020</v>
      </c>
      <c r="X4726" s="1" t="s">
        <v>29</v>
      </c>
    </row>
    <row r="4727" spans="1:24" x14ac:dyDescent="0.3">
      <c r="A4727" s="1" t="str">
        <f t="shared" si="893"/>
        <v>59825</v>
      </c>
      <c r="B4727" s="1" t="s">
        <v>30</v>
      </c>
      <c r="C4727" s="1" t="s">
        <v>110</v>
      </c>
      <c r="D4727" s="1" t="str">
        <f t="shared" si="897"/>
        <v>9803</v>
      </c>
      <c r="E4727" s="1" t="s">
        <v>32</v>
      </c>
      <c r="F4727" s="1" t="str">
        <f>"7311170772001901"</f>
        <v>7311170772001901</v>
      </c>
      <c r="G4727" s="1" t="s">
        <v>33</v>
      </c>
      <c r="H4727" s="1" t="str">
        <f t="shared" si="890"/>
        <v>20220921</v>
      </c>
      <c r="I4727" s="1" t="str">
        <f>"134852"</f>
        <v>134852</v>
      </c>
      <c r="J4727" s="1" t="s">
        <v>34</v>
      </c>
      <c r="K4727" s="1" t="s">
        <v>34</v>
      </c>
      <c r="L4727" s="1" t="str">
        <f t="shared" si="891"/>
        <v>20220921</v>
      </c>
      <c r="M4727" s="1" t="str">
        <f>"142915"</f>
        <v>142915</v>
      </c>
      <c r="N4727" s="1" t="s">
        <v>28</v>
      </c>
      <c r="O4727" s="1" t="s">
        <v>28</v>
      </c>
      <c r="P4727" s="1" t="s">
        <v>55</v>
      </c>
      <c r="Q4727" s="1">
        <v>25</v>
      </c>
      <c r="R4727" s="1">
        <v>25</v>
      </c>
      <c r="S4727" s="1">
        <v>0</v>
      </c>
      <c r="T4727" s="1">
        <v>0</v>
      </c>
      <c r="U4727" s="1">
        <v>0</v>
      </c>
      <c r="V4727" s="1" t="str">
        <f>"里程返程"</f>
        <v>里程返程</v>
      </c>
      <c r="W4727" s="1" t="str">
        <f>"3B8B"</f>
        <v>3B8B</v>
      </c>
      <c r="X4727" s="1" t="s">
        <v>109</v>
      </c>
    </row>
    <row r="4728" spans="1:24" x14ac:dyDescent="0.3">
      <c r="A4728" s="1" t="str">
        <f t="shared" si="893"/>
        <v>59825</v>
      </c>
      <c r="B4728" s="1" t="s">
        <v>30</v>
      </c>
      <c r="C4728" s="1" t="s">
        <v>31</v>
      </c>
      <c r="D4728" s="1" t="str">
        <f t="shared" si="897"/>
        <v>9803</v>
      </c>
      <c r="E4728" s="1" t="s">
        <v>32</v>
      </c>
      <c r="F4728" s="1" t="str">
        <f>"932737429"</f>
        <v>932737429</v>
      </c>
      <c r="G4728" s="1" t="s">
        <v>33</v>
      </c>
      <c r="H4728" s="1" t="str">
        <f t="shared" si="890"/>
        <v>20220921</v>
      </c>
      <c r="I4728" s="1" t="str">
        <f>"134901"</f>
        <v>134901</v>
      </c>
      <c r="J4728" s="1" t="s">
        <v>34</v>
      </c>
      <c r="K4728" s="1" t="s">
        <v>34</v>
      </c>
      <c r="L4728" s="1" t="str">
        <f t="shared" si="891"/>
        <v>20220921</v>
      </c>
      <c r="M4728" s="1" t="str">
        <f>"142906"</f>
        <v>142906</v>
      </c>
      <c r="N4728" s="1" t="s">
        <v>28</v>
      </c>
      <c r="O4728" s="1" t="s">
        <v>28</v>
      </c>
      <c r="P4728" s="1" t="s">
        <v>55</v>
      </c>
      <c r="Q4728" s="1">
        <v>25</v>
      </c>
      <c r="R4728" s="1">
        <v>25</v>
      </c>
      <c r="S4728" s="1">
        <v>0</v>
      </c>
      <c r="T4728" s="1">
        <v>0</v>
      </c>
      <c r="U4728" s="1">
        <v>0</v>
      </c>
      <c r="V4728" s="1" t="str">
        <f>"里程返程"</f>
        <v>里程返程</v>
      </c>
      <c r="W4728" s="1" t="str">
        <f>"1220"</f>
        <v>1220</v>
      </c>
      <c r="X4728" s="1" t="s">
        <v>35</v>
      </c>
    </row>
    <row r="4729" spans="1:24" x14ac:dyDescent="0.3">
      <c r="A4729" s="1" t="str">
        <f t="shared" si="893"/>
        <v>59825</v>
      </c>
      <c r="B4729" s="1" t="s">
        <v>30</v>
      </c>
      <c r="C4729" s="1" t="s">
        <v>31</v>
      </c>
      <c r="D4729" s="1" t="str">
        <f t="shared" si="897"/>
        <v>9803</v>
      </c>
      <c r="E4729" s="1" t="s">
        <v>32</v>
      </c>
      <c r="F4729" s="1" t="str">
        <f>"F19B57300D280400F700000000000000"</f>
        <v>F19B57300D280400F700000000000000</v>
      </c>
      <c r="G4729" s="1" t="s">
        <v>58</v>
      </c>
      <c r="H4729" s="1" t="str">
        <f t="shared" ref="H4729:H4760" si="898">"20220921"</f>
        <v>20220921</v>
      </c>
      <c r="I4729" s="1" t="str">
        <f>"134904"</f>
        <v>134904</v>
      </c>
      <c r="J4729" s="1" t="s">
        <v>34</v>
      </c>
      <c r="K4729" s="1" t="s">
        <v>34</v>
      </c>
      <c r="L4729" s="1" t="str">
        <f t="shared" ref="L4729:L4760" si="899">"20220921"</f>
        <v>20220921</v>
      </c>
      <c r="M4729" s="1" t="str">
        <f>"142857"</f>
        <v>142857</v>
      </c>
      <c r="N4729" s="1" t="s">
        <v>28</v>
      </c>
      <c r="O4729" s="1" t="s">
        <v>28</v>
      </c>
      <c r="P4729" s="1" t="s">
        <v>55</v>
      </c>
      <c r="Q4729" s="1">
        <v>25</v>
      </c>
      <c r="R4729" s="1">
        <v>25</v>
      </c>
      <c r="S4729" s="1">
        <v>0</v>
      </c>
      <c r="T4729" s="1">
        <v>0</v>
      </c>
      <c r="U4729" s="1">
        <v>0</v>
      </c>
      <c r="V4729" s="1" t="str">
        <f>"里程返程"</f>
        <v>里程返程</v>
      </c>
      <c r="W4729" s="1" t="str">
        <f>"0020"</f>
        <v>0020</v>
      </c>
      <c r="X4729" s="1" t="s">
        <v>29</v>
      </c>
    </row>
    <row r="4730" spans="1:24" x14ac:dyDescent="0.3">
      <c r="A4730" s="1" t="str">
        <f t="shared" si="893"/>
        <v>59825</v>
      </c>
      <c r="B4730" s="1" t="s">
        <v>30</v>
      </c>
      <c r="C4730" s="1" t="s">
        <v>31</v>
      </c>
      <c r="D4730" s="1" t="str">
        <f t="shared" si="897"/>
        <v>9803</v>
      </c>
      <c r="E4730" s="1" t="s">
        <v>32</v>
      </c>
      <c r="F4730" s="1" t="str">
        <f>"1049665713"</f>
        <v>1049665713</v>
      </c>
      <c r="G4730" s="1" t="s">
        <v>33</v>
      </c>
      <c r="H4730" s="1" t="str">
        <f t="shared" si="898"/>
        <v>20220921</v>
      </c>
      <c r="I4730" s="1" t="str">
        <f>"134909"</f>
        <v>134909</v>
      </c>
      <c r="J4730" s="1" t="s">
        <v>34</v>
      </c>
      <c r="K4730" s="1" t="s">
        <v>34</v>
      </c>
      <c r="L4730" s="1" t="str">
        <f t="shared" si="899"/>
        <v>20220921</v>
      </c>
      <c r="M4730" s="1" t="str">
        <f>"142910"</f>
        <v>142910</v>
      </c>
      <c r="N4730" s="1" t="s">
        <v>28</v>
      </c>
      <c r="O4730" s="1" t="s">
        <v>28</v>
      </c>
      <c r="P4730" s="1" t="s">
        <v>55</v>
      </c>
      <c r="Q4730" s="1">
        <v>25</v>
      </c>
      <c r="R4730" s="1">
        <v>25</v>
      </c>
      <c r="S4730" s="1">
        <v>0</v>
      </c>
      <c r="T4730" s="1">
        <v>0</v>
      </c>
      <c r="U4730" s="1">
        <v>0</v>
      </c>
      <c r="V4730" s="1" t="str">
        <f>"里程返程"</f>
        <v>里程返程</v>
      </c>
      <c r="W4730" s="1" t="str">
        <f>"0120"</f>
        <v>0120</v>
      </c>
      <c r="X4730" s="1" t="s">
        <v>35</v>
      </c>
    </row>
    <row r="4731" spans="1:24" x14ac:dyDescent="0.3">
      <c r="A4731" s="1" t="str">
        <f t="shared" si="893"/>
        <v>59825</v>
      </c>
      <c r="B4731" s="1" t="s">
        <v>30</v>
      </c>
      <c r="C4731" s="1" t="s">
        <v>31</v>
      </c>
      <c r="D4731" s="1" t="str">
        <f>"9806"</f>
        <v>9806</v>
      </c>
      <c r="E4731" s="1" t="s">
        <v>49</v>
      </c>
      <c r="F4731" s="1" t="str">
        <f>"963143281"</f>
        <v>963143281</v>
      </c>
      <c r="G4731" s="1" t="s">
        <v>33</v>
      </c>
      <c r="H4731" s="1" t="str">
        <f t="shared" si="898"/>
        <v>20220921</v>
      </c>
      <c r="I4731" s="1" t="str">
        <f>"172646"</f>
        <v>172646</v>
      </c>
      <c r="J4731" s="1" t="s">
        <v>76</v>
      </c>
      <c r="K4731" s="1" t="s">
        <v>28</v>
      </c>
      <c r="L4731" s="1" t="str">
        <f t="shared" si="899"/>
        <v>20220921</v>
      </c>
      <c r="M4731" s="1" t="str">
        <f>"174142"</f>
        <v>174142</v>
      </c>
      <c r="N4731" s="1" t="s">
        <v>28</v>
      </c>
      <c r="O4731" s="1" t="s">
        <v>28</v>
      </c>
      <c r="P4731" s="1" t="s">
        <v>55</v>
      </c>
      <c r="Q4731" s="1">
        <v>25</v>
      </c>
      <c r="R4731" s="1">
        <v>25</v>
      </c>
      <c r="S4731" s="1">
        <v>0</v>
      </c>
      <c r="T4731" s="1">
        <v>0</v>
      </c>
      <c r="U4731" s="1">
        <v>0</v>
      </c>
      <c r="V4731" s="1" t="str">
        <f>"里程去程"</f>
        <v>里程去程</v>
      </c>
      <c r="W4731" s="1" t="str">
        <f>"2120"</f>
        <v>2120</v>
      </c>
      <c r="X4731" s="1" t="s">
        <v>35</v>
      </c>
    </row>
    <row r="4732" spans="1:24" x14ac:dyDescent="0.3">
      <c r="A4732" s="1" t="str">
        <f t="shared" si="893"/>
        <v>59825</v>
      </c>
      <c r="B4732" s="1" t="s">
        <v>30</v>
      </c>
      <c r="C4732" s="1" t="s">
        <v>31</v>
      </c>
      <c r="D4732" s="1" t="str">
        <f>"9803"</f>
        <v>9803</v>
      </c>
      <c r="E4732" s="1" t="s">
        <v>32</v>
      </c>
      <c r="F4732" s="1" t="str">
        <f>"1033863857"</f>
        <v>1033863857</v>
      </c>
      <c r="G4732" s="1" t="s">
        <v>33</v>
      </c>
      <c r="H4732" s="1" t="str">
        <f t="shared" si="898"/>
        <v>20220921</v>
      </c>
      <c r="I4732" s="1" t="str">
        <f>"181016"</f>
        <v>181016</v>
      </c>
      <c r="J4732" s="1" t="s">
        <v>34</v>
      </c>
      <c r="K4732" s="1" t="s">
        <v>34</v>
      </c>
      <c r="L4732" s="1" t="str">
        <f t="shared" si="899"/>
        <v>20220921</v>
      </c>
      <c r="M4732" s="1" t="str">
        <f>"183816"</f>
        <v>183816</v>
      </c>
      <c r="N4732" s="1" t="s">
        <v>28</v>
      </c>
      <c r="O4732" s="1" t="s">
        <v>28</v>
      </c>
      <c r="P4732" s="1" t="s">
        <v>55</v>
      </c>
      <c r="Q4732" s="1">
        <v>25</v>
      </c>
      <c r="R4732" s="1">
        <v>25</v>
      </c>
      <c r="S4732" s="1">
        <v>0</v>
      </c>
      <c r="T4732" s="1">
        <v>0</v>
      </c>
      <c r="U4732" s="1">
        <v>0</v>
      </c>
      <c r="V4732" s="1" t="str">
        <f>"里程返程"</f>
        <v>里程返程</v>
      </c>
      <c r="W4732" s="1" t="str">
        <f>"0120"</f>
        <v>0120</v>
      </c>
      <c r="X4732" s="1" t="s">
        <v>35</v>
      </c>
    </row>
    <row r="4733" spans="1:24" x14ac:dyDescent="0.3">
      <c r="A4733" s="1" t="str">
        <f t="shared" ref="A4733:A4760" si="900">"59828"</f>
        <v>59828</v>
      </c>
      <c r="B4733" s="1" t="s">
        <v>23</v>
      </c>
      <c r="C4733" s="1" t="s">
        <v>24</v>
      </c>
      <c r="D4733" s="1" t="str">
        <f>"9805"</f>
        <v>9805</v>
      </c>
      <c r="E4733" s="1" t="s">
        <v>57</v>
      </c>
      <c r="F4733" s="1" t="str">
        <f>"1740615365"</f>
        <v>1740615365</v>
      </c>
      <c r="G4733" s="1" t="s">
        <v>33</v>
      </c>
      <c r="H4733" s="1" t="str">
        <f t="shared" si="898"/>
        <v>20220921</v>
      </c>
      <c r="I4733" s="1" t="str">
        <f>"103927"</f>
        <v>103927</v>
      </c>
      <c r="J4733" s="1" t="s">
        <v>28</v>
      </c>
      <c r="K4733" s="1" t="s">
        <v>28</v>
      </c>
      <c r="L4733" s="1" t="str">
        <f t="shared" si="899"/>
        <v>20220921</v>
      </c>
      <c r="M4733" s="1" t="str">
        <f>"105547"</f>
        <v>105547</v>
      </c>
      <c r="N4733" s="1" t="s">
        <v>52</v>
      </c>
      <c r="O4733" s="1" t="s">
        <v>52</v>
      </c>
      <c r="P4733" s="1" t="s">
        <v>55</v>
      </c>
      <c r="Q4733" s="1">
        <v>25</v>
      </c>
      <c r="R4733" s="1">
        <v>0</v>
      </c>
      <c r="S4733" s="1">
        <v>25</v>
      </c>
      <c r="T4733" s="1">
        <v>0</v>
      </c>
      <c r="U4733" s="1">
        <v>0</v>
      </c>
      <c r="V4733" s="1" t="str">
        <f t="shared" ref="V4733:V4754" si="901">"里程去程"</f>
        <v>里程去程</v>
      </c>
      <c r="W4733" s="1" t="str">
        <f>"0820"</f>
        <v>0820</v>
      </c>
      <c r="X4733" s="1" t="s">
        <v>35</v>
      </c>
    </row>
    <row r="4734" spans="1:24" x14ac:dyDescent="0.3">
      <c r="A4734" s="1" t="str">
        <f t="shared" si="900"/>
        <v>59828</v>
      </c>
      <c r="B4734" s="1" t="s">
        <v>23</v>
      </c>
      <c r="C4734" s="1" t="s">
        <v>24</v>
      </c>
      <c r="D4734" s="1" t="str">
        <f>"9805"</f>
        <v>9805</v>
      </c>
      <c r="E4734" s="1" t="s">
        <v>57</v>
      </c>
      <c r="F4734" s="1" t="str">
        <f>"3A36805DD1880400C185149965704512"</f>
        <v>3A36805DD1880400C185149965704512</v>
      </c>
      <c r="G4734" s="1" t="s">
        <v>58</v>
      </c>
      <c r="H4734" s="1" t="str">
        <f t="shared" si="898"/>
        <v>20220921</v>
      </c>
      <c r="I4734" s="1" t="str">
        <f>"103932"</f>
        <v>103932</v>
      </c>
      <c r="J4734" s="1" t="s">
        <v>28</v>
      </c>
      <c r="K4734" s="1" t="s">
        <v>28</v>
      </c>
      <c r="L4734" s="1" t="str">
        <f t="shared" si="899"/>
        <v>20220921</v>
      </c>
      <c r="M4734" s="1" t="str">
        <f>"105123"</f>
        <v>105123</v>
      </c>
      <c r="N4734" s="1" t="s">
        <v>61</v>
      </c>
      <c r="O4734" s="1" t="s">
        <v>28</v>
      </c>
      <c r="P4734" s="1" t="s">
        <v>55</v>
      </c>
      <c r="Q4734" s="1">
        <v>25</v>
      </c>
      <c r="R4734" s="1">
        <v>25</v>
      </c>
      <c r="S4734" s="1">
        <v>0</v>
      </c>
      <c r="T4734" s="1">
        <v>0</v>
      </c>
      <c r="U4734" s="1">
        <v>0</v>
      </c>
      <c r="V4734" s="1" t="str">
        <f t="shared" si="901"/>
        <v>里程去程</v>
      </c>
      <c r="W4734" s="1" t="str">
        <f>"0020"</f>
        <v>0020</v>
      </c>
      <c r="X4734" s="1" t="s">
        <v>29</v>
      </c>
    </row>
    <row r="4735" spans="1:24" x14ac:dyDescent="0.3">
      <c r="A4735" s="1" t="str">
        <f t="shared" si="900"/>
        <v>59828</v>
      </c>
      <c r="B4735" s="1" t="s">
        <v>23</v>
      </c>
      <c r="C4735" s="1" t="s">
        <v>24</v>
      </c>
      <c r="D4735" s="1" t="str">
        <f t="shared" ref="D4735:D4770" si="902">"9801"</f>
        <v>9801</v>
      </c>
      <c r="E4735" s="1" t="s">
        <v>25</v>
      </c>
      <c r="F4735" s="1" t="str">
        <f>"42AFE60209880400C834002000000015"</f>
        <v>42AFE60209880400C834002000000015</v>
      </c>
      <c r="G4735" s="1" t="s">
        <v>74</v>
      </c>
      <c r="H4735" s="1" t="str">
        <f t="shared" si="898"/>
        <v>20220921</v>
      </c>
      <c r="I4735" s="1" t="str">
        <f>"105647"</f>
        <v>105647</v>
      </c>
      <c r="J4735" s="1" t="s">
        <v>52</v>
      </c>
      <c r="K4735" s="1" t="s">
        <v>52</v>
      </c>
      <c r="L4735" s="1" t="str">
        <f t="shared" si="899"/>
        <v>20220921</v>
      </c>
      <c r="M4735" s="1" t="str">
        <f>"111528"</f>
        <v>111528</v>
      </c>
      <c r="N4735" s="1" t="s">
        <v>80</v>
      </c>
      <c r="O4735" s="1" t="s">
        <v>52</v>
      </c>
      <c r="P4735" s="1" t="s">
        <v>68</v>
      </c>
      <c r="Q4735" s="1">
        <v>13</v>
      </c>
      <c r="R4735" s="1">
        <v>0</v>
      </c>
      <c r="S4735" s="1">
        <v>0</v>
      </c>
      <c r="T4735" s="1">
        <v>13</v>
      </c>
      <c r="U4735" s="1">
        <v>0</v>
      </c>
      <c r="V4735" s="1" t="str">
        <f t="shared" si="901"/>
        <v>里程去程</v>
      </c>
      <c r="W4735" s="1" t="str">
        <f>"0020"</f>
        <v>0020</v>
      </c>
      <c r="X4735" s="1" t="s">
        <v>29</v>
      </c>
    </row>
    <row r="4736" spans="1:24" x14ac:dyDescent="0.3">
      <c r="A4736" s="1" t="str">
        <f t="shared" si="900"/>
        <v>59828</v>
      </c>
      <c r="B4736" s="1" t="s">
        <v>23</v>
      </c>
      <c r="C4736" s="1" t="s">
        <v>24</v>
      </c>
      <c r="D4736" s="1" t="str">
        <f t="shared" si="902"/>
        <v>9801</v>
      </c>
      <c r="E4736" s="1" t="s">
        <v>25</v>
      </c>
      <c r="F4736" s="1" t="str">
        <f>"82D5FB02AE880400C834002000000015"</f>
        <v>82D5FB02AE880400C834002000000015</v>
      </c>
      <c r="G4736" s="1" t="s">
        <v>26</v>
      </c>
      <c r="H4736" s="1" t="str">
        <f t="shared" si="898"/>
        <v>20220921</v>
      </c>
      <c r="I4736" s="1" t="str">
        <f>"110806"</f>
        <v>110806</v>
      </c>
      <c r="J4736" s="1" t="s">
        <v>51</v>
      </c>
      <c r="K4736" s="1" t="s">
        <v>52</v>
      </c>
      <c r="L4736" s="1" t="str">
        <f t="shared" si="899"/>
        <v>20220921</v>
      </c>
      <c r="M4736" s="1" t="str">
        <f>"111058"</f>
        <v>111058</v>
      </c>
      <c r="N4736" s="1" t="s">
        <v>72</v>
      </c>
      <c r="O4736" s="1" t="s">
        <v>52</v>
      </c>
      <c r="P4736" s="1" t="s">
        <v>68</v>
      </c>
      <c r="Q4736" s="1">
        <v>13</v>
      </c>
      <c r="R4736" s="1">
        <v>0</v>
      </c>
      <c r="S4736" s="1">
        <v>0</v>
      </c>
      <c r="T4736" s="1">
        <v>13</v>
      </c>
      <c r="U4736" s="1">
        <v>0</v>
      </c>
      <c r="V4736" s="1" t="str">
        <f t="shared" si="901"/>
        <v>里程去程</v>
      </c>
      <c r="W4736" s="1" t="str">
        <f>"0020"</f>
        <v>0020</v>
      </c>
      <c r="X4736" s="1" t="s">
        <v>29</v>
      </c>
    </row>
    <row r="4737" spans="1:24" x14ac:dyDescent="0.3">
      <c r="A4737" s="1" t="str">
        <f t="shared" si="900"/>
        <v>59828</v>
      </c>
      <c r="B4737" s="1" t="s">
        <v>23</v>
      </c>
      <c r="C4737" s="1" t="s">
        <v>24</v>
      </c>
      <c r="D4737" s="1" t="str">
        <f t="shared" si="902"/>
        <v>9801</v>
      </c>
      <c r="E4737" s="1" t="s">
        <v>25</v>
      </c>
      <c r="F4737" s="1" t="str">
        <f>"32780D0344880400C834002000000015"</f>
        <v>32780D0344880400C834002000000015</v>
      </c>
      <c r="G4737" s="1" t="s">
        <v>26</v>
      </c>
      <c r="H4737" s="1" t="str">
        <f t="shared" si="898"/>
        <v>20220921</v>
      </c>
      <c r="I4737" s="1" t="str">
        <f>"115939"</f>
        <v>115939</v>
      </c>
      <c r="J4737" s="1" t="s">
        <v>52</v>
      </c>
      <c r="K4737" s="1" t="s">
        <v>52</v>
      </c>
      <c r="L4737" s="1" t="str">
        <f t="shared" si="899"/>
        <v>20220921</v>
      </c>
      <c r="M4737" s="1" t="str">
        <f>"123018"</f>
        <v>123018</v>
      </c>
      <c r="N4737" s="1" t="s">
        <v>70</v>
      </c>
      <c r="O4737" s="1" t="s">
        <v>28</v>
      </c>
      <c r="P4737" s="1" t="s">
        <v>68</v>
      </c>
      <c r="Q4737" s="1">
        <v>13</v>
      </c>
      <c r="R4737" s="1">
        <v>0</v>
      </c>
      <c r="S4737" s="1">
        <v>0</v>
      </c>
      <c r="T4737" s="1">
        <v>13</v>
      </c>
      <c r="U4737" s="1">
        <v>0</v>
      </c>
      <c r="V4737" s="1" t="str">
        <f t="shared" si="901"/>
        <v>里程去程</v>
      </c>
      <c r="W4737" s="1" t="str">
        <f>"0020"</f>
        <v>0020</v>
      </c>
      <c r="X4737" s="1" t="s">
        <v>29</v>
      </c>
    </row>
    <row r="4738" spans="1:24" x14ac:dyDescent="0.3">
      <c r="A4738" s="1" t="str">
        <f t="shared" si="900"/>
        <v>59828</v>
      </c>
      <c r="B4738" s="1" t="s">
        <v>23</v>
      </c>
      <c r="C4738" s="1" t="s">
        <v>24</v>
      </c>
      <c r="D4738" s="1" t="str">
        <f t="shared" si="902"/>
        <v>9801</v>
      </c>
      <c r="E4738" s="1" t="s">
        <v>25</v>
      </c>
      <c r="F4738" s="1" t="str">
        <f>"4251460257880400C821002000000015"</f>
        <v>4251460257880400C821002000000015</v>
      </c>
      <c r="G4738" s="1" t="s">
        <v>26</v>
      </c>
      <c r="H4738" s="1" t="str">
        <f t="shared" si="898"/>
        <v>20220921</v>
      </c>
      <c r="I4738" s="1" t="str">
        <f>"122028"</f>
        <v>122028</v>
      </c>
      <c r="J4738" s="1" t="s">
        <v>69</v>
      </c>
      <c r="K4738" s="1" t="s">
        <v>52</v>
      </c>
      <c r="L4738" s="1" t="str">
        <f t="shared" si="899"/>
        <v>20220921</v>
      </c>
      <c r="M4738" s="1" t="str">
        <f>"122449"</f>
        <v>122449</v>
      </c>
      <c r="N4738" s="1" t="s">
        <v>83</v>
      </c>
      <c r="O4738" s="1" t="s">
        <v>52</v>
      </c>
      <c r="P4738" s="1" t="s">
        <v>68</v>
      </c>
      <c r="Q4738" s="1">
        <v>13</v>
      </c>
      <c r="R4738" s="1">
        <v>0</v>
      </c>
      <c r="S4738" s="1">
        <v>0</v>
      </c>
      <c r="T4738" s="1">
        <v>13</v>
      </c>
      <c r="U4738" s="1">
        <v>0</v>
      </c>
      <c r="V4738" s="1" t="str">
        <f t="shared" si="901"/>
        <v>里程去程</v>
      </c>
      <c r="W4738" s="1" t="str">
        <f>"0020"</f>
        <v>0020</v>
      </c>
      <c r="X4738" s="1" t="s">
        <v>29</v>
      </c>
    </row>
    <row r="4739" spans="1:24" x14ac:dyDescent="0.3">
      <c r="A4739" s="1" t="str">
        <f t="shared" si="900"/>
        <v>59828</v>
      </c>
      <c r="B4739" s="1" t="s">
        <v>23</v>
      </c>
      <c r="C4739" s="1" t="s">
        <v>24</v>
      </c>
      <c r="D4739" s="1" t="str">
        <f t="shared" si="902"/>
        <v>9801</v>
      </c>
      <c r="E4739" s="1" t="s">
        <v>25</v>
      </c>
      <c r="F4739" s="1" t="str">
        <f>"243234863"</f>
        <v>243234863</v>
      </c>
      <c r="G4739" s="1" t="s">
        <v>33</v>
      </c>
      <c r="H4739" s="1" t="str">
        <f t="shared" si="898"/>
        <v>20220921</v>
      </c>
      <c r="I4739" s="1" t="str">
        <f>"123150"</f>
        <v>123150</v>
      </c>
      <c r="J4739" s="1" t="s">
        <v>27</v>
      </c>
      <c r="K4739" s="1" t="s">
        <v>28</v>
      </c>
      <c r="L4739" s="1" t="str">
        <f t="shared" si="899"/>
        <v>20220921</v>
      </c>
      <c r="M4739" s="1" t="str">
        <f>"125536"</f>
        <v>125536</v>
      </c>
      <c r="N4739" s="1" t="s">
        <v>44</v>
      </c>
      <c r="O4739" s="1" t="s">
        <v>45</v>
      </c>
      <c r="P4739" s="1" t="s">
        <v>55</v>
      </c>
      <c r="Q4739" s="1">
        <v>25</v>
      </c>
      <c r="R4739" s="1">
        <v>25</v>
      </c>
      <c r="S4739" s="1">
        <v>0</v>
      </c>
      <c r="T4739" s="1">
        <v>0</v>
      </c>
      <c r="U4739" s="1">
        <v>0</v>
      </c>
      <c r="V4739" s="1" t="str">
        <f t="shared" si="901"/>
        <v>里程去程</v>
      </c>
      <c r="W4739" s="1" t="str">
        <f>"0820"</f>
        <v>0820</v>
      </c>
      <c r="X4739" s="1" t="s">
        <v>35</v>
      </c>
    </row>
    <row r="4740" spans="1:24" x14ac:dyDescent="0.3">
      <c r="A4740" s="1" t="str">
        <f t="shared" si="900"/>
        <v>59828</v>
      </c>
      <c r="B4740" s="1" t="s">
        <v>23</v>
      </c>
      <c r="C4740" s="1" t="s">
        <v>24</v>
      </c>
      <c r="D4740" s="1" t="str">
        <f t="shared" si="902"/>
        <v>9801</v>
      </c>
      <c r="E4740" s="1" t="s">
        <v>25</v>
      </c>
      <c r="F4740" s="1" t="str">
        <f>"1836706501"</f>
        <v>1836706501</v>
      </c>
      <c r="G4740" s="1" t="s">
        <v>33</v>
      </c>
      <c r="H4740" s="1" t="str">
        <f t="shared" si="898"/>
        <v>20220921</v>
      </c>
      <c r="I4740" s="1" t="str">
        <f>"123520"</f>
        <v>123520</v>
      </c>
      <c r="J4740" s="1" t="s">
        <v>27</v>
      </c>
      <c r="K4740" s="1" t="s">
        <v>28</v>
      </c>
      <c r="L4740" s="1" t="str">
        <f t="shared" si="899"/>
        <v>20220921</v>
      </c>
      <c r="M4740" s="1" t="str">
        <f>"125557"</f>
        <v>125557</v>
      </c>
      <c r="N4740" s="1" t="s">
        <v>44</v>
      </c>
      <c r="O4740" s="1" t="s">
        <v>45</v>
      </c>
      <c r="P4740" s="1" t="s">
        <v>55</v>
      </c>
      <c r="Q4740" s="1">
        <v>25</v>
      </c>
      <c r="R4740" s="1">
        <v>25</v>
      </c>
      <c r="S4740" s="1">
        <v>0</v>
      </c>
      <c r="T4740" s="1">
        <v>0</v>
      </c>
      <c r="U4740" s="1">
        <v>0</v>
      </c>
      <c r="V4740" s="1" t="str">
        <f t="shared" si="901"/>
        <v>里程去程</v>
      </c>
      <c r="W4740" s="1" t="str">
        <f>"0820"</f>
        <v>0820</v>
      </c>
      <c r="X4740" s="1" t="s">
        <v>35</v>
      </c>
    </row>
    <row r="4741" spans="1:24" x14ac:dyDescent="0.3">
      <c r="A4741" s="1" t="str">
        <f t="shared" si="900"/>
        <v>59828</v>
      </c>
      <c r="B4741" s="1" t="s">
        <v>23</v>
      </c>
      <c r="C4741" s="1" t="s">
        <v>24</v>
      </c>
      <c r="D4741" s="1" t="str">
        <f t="shared" si="902"/>
        <v>9801</v>
      </c>
      <c r="E4741" s="1" t="s">
        <v>25</v>
      </c>
      <c r="F4741" s="1" t="str">
        <f>"1807390209"</f>
        <v>1807390209</v>
      </c>
      <c r="G4741" s="1" t="s">
        <v>33</v>
      </c>
      <c r="H4741" s="1" t="str">
        <f t="shared" si="898"/>
        <v>20220921</v>
      </c>
      <c r="I4741" s="1" t="str">
        <f>"123529"</f>
        <v>123529</v>
      </c>
      <c r="J4741" s="1" t="s">
        <v>27</v>
      </c>
      <c r="K4741" s="1" t="s">
        <v>28</v>
      </c>
      <c r="L4741" s="1" t="str">
        <f t="shared" si="899"/>
        <v>20220921</v>
      </c>
      <c r="M4741" s="1" t="str">
        <f>"125554"</f>
        <v>125554</v>
      </c>
      <c r="N4741" s="1" t="s">
        <v>44</v>
      </c>
      <c r="O4741" s="1" t="s">
        <v>45</v>
      </c>
      <c r="P4741" s="1" t="s">
        <v>55</v>
      </c>
      <c r="Q4741" s="1">
        <v>25</v>
      </c>
      <c r="R4741" s="1">
        <v>25</v>
      </c>
      <c r="S4741" s="1">
        <v>0</v>
      </c>
      <c r="T4741" s="1">
        <v>0</v>
      </c>
      <c r="U4741" s="1">
        <v>0</v>
      </c>
      <c r="V4741" s="1" t="str">
        <f t="shared" si="901"/>
        <v>里程去程</v>
      </c>
      <c r="W4741" s="1" t="str">
        <f>"0820"</f>
        <v>0820</v>
      </c>
      <c r="X4741" s="1" t="s">
        <v>35</v>
      </c>
    </row>
    <row r="4742" spans="1:24" x14ac:dyDescent="0.3">
      <c r="A4742" s="1" t="str">
        <f t="shared" si="900"/>
        <v>59828</v>
      </c>
      <c r="B4742" s="1" t="s">
        <v>23</v>
      </c>
      <c r="C4742" s="1" t="s">
        <v>24</v>
      </c>
      <c r="D4742" s="1" t="str">
        <f t="shared" si="902"/>
        <v>9801</v>
      </c>
      <c r="E4742" s="1" t="s">
        <v>25</v>
      </c>
      <c r="F4742" s="1" t="str">
        <f>"1729474149"</f>
        <v>1729474149</v>
      </c>
      <c r="G4742" s="1" t="s">
        <v>33</v>
      </c>
      <c r="H4742" s="1" t="str">
        <f t="shared" si="898"/>
        <v>20220921</v>
      </c>
      <c r="I4742" s="1" t="str">
        <f>"133146"</f>
        <v>133146</v>
      </c>
      <c r="J4742" s="1" t="s">
        <v>27</v>
      </c>
      <c r="K4742" s="1" t="s">
        <v>28</v>
      </c>
      <c r="L4742" s="1" t="str">
        <f t="shared" si="899"/>
        <v>20220921</v>
      </c>
      <c r="M4742" s="1" t="str">
        <f>"134824"</f>
        <v>134824</v>
      </c>
      <c r="N4742" s="1" t="s">
        <v>75</v>
      </c>
      <c r="O4742" s="1" t="s">
        <v>45</v>
      </c>
      <c r="P4742" s="1" t="s">
        <v>55</v>
      </c>
      <c r="Q4742" s="1">
        <v>25</v>
      </c>
      <c r="R4742" s="1">
        <v>25</v>
      </c>
      <c r="S4742" s="1">
        <v>0</v>
      </c>
      <c r="T4742" s="1">
        <v>0</v>
      </c>
      <c r="U4742" s="1">
        <v>0</v>
      </c>
      <c r="V4742" s="1" t="str">
        <f t="shared" si="901"/>
        <v>里程去程</v>
      </c>
      <c r="W4742" s="1" t="str">
        <f>"0120"</f>
        <v>0120</v>
      </c>
      <c r="X4742" s="1" t="s">
        <v>35</v>
      </c>
    </row>
    <row r="4743" spans="1:24" x14ac:dyDescent="0.3">
      <c r="A4743" s="1" t="str">
        <f t="shared" si="900"/>
        <v>59828</v>
      </c>
      <c r="B4743" s="1" t="s">
        <v>23</v>
      </c>
      <c r="C4743" s="1" t="s">
        <v>24</v>
      </c>
      <c r="D4743" s="1" t="str">
        <f t="shared" si="902"/>
        <v>9801</v>
      </c>
      <c r="E4743" s="1" t="s">
        <v>25</v>
      </c>
      <c r="F4743" s="1" t="str">
        <f>"1920934241"</f>
        <v>1920934241</v>
      </c>
      <c r="G4743" s="1" t="s">
        <v>33</v>
      </c>
      <c r="H4743" s="1" t="str">
        <f t="shared" si="898"/>
        <v>20220921</v>
      </c>
      <c r="I4743" s="1" t="str">
        <f>"133200"</f>
        <v>133200</v>
      </c>
      <c r="J4743" s="1" t="s">
        <v>27</v>
      </c>
      <c r="K4743" s="1" t="s">
        <v>28</v>
      </c>
      <c r="L4743" s="1" t="str">
        <f t="shared" si="899"/>
        <v>20220921</v>
      </c>
      <c r="M4743" s="1" t="str">
        <f>"134820"</f>
        <v>134820</v>
      </c>
      <c r="N4743" s="1" t="s">
        <v>75</v>
      </c>
      <c r="O4743" s="1" t="s">
        <v>45</v>
      </c>
      <c r="P4743" s="1" t="s">
        <v>55</v>
      </c>
      <c r="Q4743" s="1">
        <v>25</v>
      </c>
      <c r="R4743" s="1">
        <v>25</v>
      </c>
      <c r="S4743" s="1">
        <v>0</v>
      </c>
      <c r="T4743" s="1">
        <v>0</v>
      </c>
      <c r="U4743" s="1">
        <v>0</v>
      </c>
      <c r="V4743" s="1" t="str">
        <f t="shared" si="901"/>
        <v>里程去程</v>
      </c>
      <c r="W4743" s="1" t="str">
        <f>"0120"</f>
        <v>0120</v>
      </c>
      <c r="X4743" s="1" t="s">
        <v>35</v>
      </c>
    </row>
    <row r="4744" spans="1:24" x14ac:dyDescent="0.3">
      <c r="A4744" s="1" t="str">
        <f t="shared" si="900"/>
        <v>59828</v>
      </c>
      <c r="B4744" s="1" t="s">
        <v>23</v>
      </c>
      <c r="C4744" s="1" t="s">
        <v>24</v>
      </c>
      <c r="D4744" s="1" t="str">
        <f t="shared" si="902"/>
        <v>9801</v>
      </c>
      <c r="E4744" s="1" t="s">
        <v>25</v>
      </c>
      <c r="F4744" s="1" t="str">
        <f>"F27CE6026A880400C834002000000015"</f>
        <v>F27CE6026A880400C834002000000015</v>
      </c>
      <c r="G4744" s="1" t="s">
        <v>74</v>
      </c>
      <c r="H4744" s="1" t="str">
        <f t="shared" si="898"/>
        <v>20220921</v>
      </c>
      <c r="I4744" s="1" t="str">
        <f>"150007"</f>
        <v>150007</v>
      </c>
      <c r="J4744" s="1" t="s">
        <v>52</v>
      </c>
      <c r="K4744" s="1" t="s">
        <v>52</v>
      </c>
      <c r="L4744" s="1" t="str">
        <f t="shared" si="899"/>
        <v>20220921</v>
      </c>
      <c r="M4744" s="1" t="str">
        <f>"150553"</f>
        <v>150553</v>
      </c>
      <c r="N4744" s="1" t="s">
        <v>60</v>
      </c>
      <c r="O4744" s="1" t="s">
        <v>52</v>
      </c>
      <c r="P4744" s="1" t="s">
        <v>68</v>
      </c>
      <c r="Q4744" s="1">
        <v>13</v>
      </c>
      <c r="R4744" s="1">
        <v>0</v>
      </c>
      <c r="S4744" s="1">
        <v>0</v>
      </c>
      <c r="T4744" s="1">
        <v>13</v>
      </c>
      <c r="U4744" s="1">
        <v>0</v>
      </c>
      <c r="V4744" s="1" t="str">
        <f t="shared" si="901"/>
        <v>里程去程</v>
      </c>
      <c r="W4744" s="1" t="str">
        <f>"0020"</f>
        <v>0020</v>
      </c>
      <c r="X4744" s="1" t="s">
        <v>29</v>
      </c>
    </row>
    <row r="4745" spans="1:24" x14ac:dyDescent="0.3">
      <c r="A4745" s="1" t="str">
        <f t="shared" si="900"/>
        <v>59828</v>
      </c>
      <c r="B4745" s="1" t="s">
        <v>23</v>
      </c>
      <c r="C4745" s="1" t="s">
        <v>24</v>
      </c>
      <c r="D4745" s="1" t="str">
        <f t="shared" si="902"/>
        <v>9801</v>
      </c>
      <c r="E4745" s="1" t="s">
        <v>25</v>
      </c>
      <c r="F4745" s="1" t="str">
        <f>"C2F219032A880400C834002000000015"</f>
        <v>C2F219032A880400C834002000000015</v>
      </c>
      <c r="G4745" s="1" t="s">
        <v>26</v>
      </c>
      <c r="H4745" s="1" t="str">
        <f t="shared" si="898"/>
        <v>20220921</v>
      </c>
      <c r="I4745" s="1" t="str">
        <f>"150435"</f>
        <v>150435</v>
      </c>
      <c r="J4745" s="1" t="s">
        <v>86</v>
      </c>
      <c r="K4745" s="1" t="s">
        <v>52</v>
      </c>
      <c r="L4745" s="1" t="str">
        <f t="shared" si="899"/>
        <v>20220921</v>
      </c>
      <c r="M4745" s="1" t="str">
        <f>"150810"</f>
        <v>150810</v>
      </c>
      <c r="N4745" s="1" t="s">
        <v>51</v>
      </c>
      <c r="O4745" s="1" t="s">
        <v>52</v>
      </c>
      <c r="P4745" s="1" t="s">
        <v>68</v>
      </c>
      <c r="Q4745" s="1">
        <v>13</v>
      </c>
      <c r="R4745" s="1">
        <v>0</v>
      </c>
      <c r="S4745" s="1">
        <v>0</v>
      </c>
      <c r="T4745" s="1">
        <v>13</v>
      </c>
      <c r="U4745" s="1">
        <v>0</v>
      </c>
      <c r="V4745" s="1" t="str">
        <f t="shared" si="901"/>
        <v>里程去程</v>
      </c>
      <c r="W4745" s="1" t="str">
        <f>"0020"</f>
        <v>0020</v>
      </c>
      <c r="X4745" s="1" t="s">
        <v>29</v>
      </c>
    </row>
    <row r="4746" spans="1:24" x14ac:dyDescent="0.3">
      <c r="A4746" s="1" t="str">
        <f t="shared" si="900"/>
        <v>59828</v>
      </c>
      <c r="B4746" s="1" t="s">
        <v>23</v>
      </c>
      <c r="C4746" s="1" t="s">
        <v>24</v>
      </c>
      <c r="D4746" s="1" t="str">
        <f t="shared" si="902"/>
        <v>9801</v>
      </c>
      <c r="E4746" s="1" t="s">
        <v>25</v>
      </c>
      <c r="F4746" s="1" t="str">
        <f>"62BCB0117F28040080CEBCD141912418"</f>
        <v>62BCB0117F28040080CEBCD141912418</v>
      </c>
      <c r="G4746" s="1" t="s">
        <v>59</v>
      </c>
      <c r="H4746" s="1" t="str">
        <f t="shared" si="898"/>
        <v>20220921</v>
      </c>
      <c r="I4746" s="1" t="str">
        <f>"151237"</f>
        <v>151237</v>
      </c>
      <c r="J4746" s="1" t="s">
        <v>65</v>
      </c>
      <c r="K4746" s="1" t="s">
        <v>52</v>
      </c>
      <c r="L4746" s="1" t="str">
        <f t="shared" si="899"/>
        <v>20220921</v>
      </c>
      <c r="M4746" s="1" t="str">
        <f>"154827"</f>
        <v>154827</v>
      </c>
      <c r="N4746" s="1" t="s">
        <v>91</v>
      </c>
      <c r="O4746" s="1" t="s">
        <v>45</v>
      </c>
      <c r="P4746" s="1" t="s">
        <v>55</v>
      </c>
      <c r="Q4746" s="1">
        <v>50</v>
      </c>
      <c r="R4746" s="1">
        <v>50</v>
      </c>
      <c r="S4746" s="1">
        <v>0</v>
      </c>
      <c r="T4746" s="1">
        <v>0</v>
      </c>
      <c r="U4746" s="1">
        <v>0</v>
      </c>
      <c r="V4746" s="1" t="str">
        <f t="shared" si="901"/>
        <v>里程去程</v>
      </c>
      <c r="W4746" s="1" t="str">
        <f>"0020"</f>
        <v>0020</v>
      </c>
      <c r="X4746" s="1" t="s">
        <v>29</v>
      </c>
    </row>
    <row r="4747" spans="1:24" x14ac:dyDescent="0.3">
      <c r="A4747" s="1" t="str">
        <f t="shared" si="900"/>
        <v>59828</v>
      </c>
      <c r="B4747" s="1" t="s">
        <v>23</v>
      </c>
      <c r="C4747" s="1" t="s">
        <v>24</v>
      </c>
      <c r="D4747" s="1" t="str">
        <f t="shared" si="902"/>
        <v>9801</v>
      </c>
      <c r="E4747" s="1" t="s">
        <v>25</v>
      </c>
      <c r="F4747" s="1" t="str">
        <f>"A239F5056B880400C838002000000015"</f>
        <v>A239F5056B880400C838002000000015</v>
      </c>
      <c r="G4747" s="1" t="s">
        <v>26</v>
      </c>
      <c r="H4747" s="1" t="str">
        <f t="shared" si="898"/>
        <v>20220921</v>
      </c>
      <c r="I4747" s="1" t="str">
        <f>"152459"</f>
        <v>152459</v>
      </c>
      <c r="J4747" s="1" t="s">
        <v>67</v>
      </c>
      <c r="K4747" s="1" t="s">
        <v>52</v>
      </c>
      <c r="L4747" s="1" t="str">
        <f t="shared" si="899"/>
        <v>20220921</v>
      </c>
      <c r="M4747" s="1" t="str">
        <f>"153109"</f>
        <v>153109</v>
      </c>
      <c r="N4747" s="1" t="s">
        <v>70</v>
      </c>
      <c r="O4747" s="1" t="s">
        <v>28</v>
      </c>
      <c r="P4747" s="1" t="s">
        <v>68</v>
      </c>
      <c r="Q4747" s="1">
        <v>13</v>
      </c>
      <c r="R4747" s="1">
        <v>0</v>
      </c>
      <c r="S4747" s="1">
        <v>0</v>
      </c>
      <c r="T4747" s="1">
        <v>13</v>
      </c>
      <c r="U4747" s="1">
        <v>0</v>
      </c>
      <c r="V4747" s="1" t="str">
        <f t="shared" si="901"/>
        <v>里程去程</v>
      </c>
      <c r="W4747" s="1" t="str">
        <f>"0020"</f>
        <v>0020</v>
      </c>
      <c r="X4747" s="1" t="s">
        <v>29</v>
      </c>
    </row>
    <row r="4748" spans="1:24" x14ac:dyDescent="0.3">
      <c r="A4748" s="1" t="str">
        <f t="shared" si="900"/>
        <v>59828</v>
      </c>
      <c r="B4748" s="1" t="s">
        <v>23</v>
      </c>
      <c r="C4748" s="1" t="s">
        <v>24</v>
      </c>
      <c r="D4748" s="1" t="str">
        <f t="shared" si="902"/>
        <v>9801</v>
      </c>
      <c r="E4748" s="1" t="s">
        <v>25</v>
      </c>
      <c r="F4748" s="1" t="str">
        <f>"276899471"</f>
        <v>276899471</v>
      </c>
      <c r="G4748" s="1" t="s">
        <v>33</v>
      </c>
      <c r="H4748" s="1" t="str">
        <f t="shared" si="898"/>
        <v>20220921</v>
      </c>
      <c r="I4748" s="1" t="str">
        <f>"153131"</f>
        <v>153131</v>
      </c>
      <c r="J4748" s="1" t="s">
        <v>27</v>
      </c>
      <c r="K4748" s="1" t="s">
        <v>28</v>
      </c>
      <c r="L4748" s="1" t="str">
        <f t="shared" si="899"/>
        <v>20220921</v>
      </c>
      <c r="M4748" s="1" t="str">
        <f>"154652"</f>
        <v>154652</v>
      </c>
      <c r="N4748" s="1" t="s">
        <v>75</v>
      </c>
      <c r="O4748" s="1" t="s">
        <v>45</v>
      </c>
      <c r="P4748" s="1" t="s">
        <v>55</v>
      </c>
      <c r="Q4748" s="1">
        <v>25</v>
      </c>
      <c r="R4748" s="1">
        <v>0</v>
      </c>
      <c r="S4748" s="1">
        <v>25</v>
      </c>
      <c r="T4748" s="1">
        <v>0</v>
      </c>
      <c r="U4748" s="1">
        <v>0</v>
      </c>
      <c r="V4748" s="1" t="str">
        <f t="shared" si="901"/>
        <v>里程去程</v>
      </c>
      <c r="W4748" s="1" t="str">
        <f>"0820"</f>
        <v>0820</v>
      </c>
      <c r="X4748" s="1" t="s">
        <v>35</v>
      </c>
    </row>
    <row r="4749" spans="1:24" x14ac:dyDescent="0.3">
      <c r="A4749" s="1" t="str">
        <f t="shared" si="900"/>
        <v>59828</v>
      </c>
      <c r="B4749" s="1" t="s">
        <v>23</v>
      </c>
      <c r="C4749" s="1" t="s">
        <v>24</v>
      </c>
      <c r="D4749" s="1" t="str">
        <f t="shared" si="902"/>
        <v>9801</v>
      </c>
      <c r="E4749" s="1" t="s">
        <v>25</v>
      </c>
      <c r="F4749" s="1" t="str">
        <f>"108515121"</f>
        <v>108515121</v>
      </c>
      <c r="G4749" s="1" t="s">
        <v>33</v>
      </c>
      <c r="H4749" s="1" t="str">
        <f t="shared" si="898"/>
        <v>20220921</v>
      </c>
      <c r="I4749" s="1" t="str">
        <f>"153135"</f>
        <v>153135</v>
      </c>
      <c r="J4749" s="1" t="s">
        <v>27</v>
      </c>
      <c r="K4749" s="1" t="s">
        <v>28</v>
      </c>
      <c r="L4749" s="1" t="str">
        <f t="shared" si="899"/>
        <v>20220921</v>
      </c>
      <c r="M4749" s="1" t="str">
        <f>"154646"</f>
        <v>154646</v>
      </c>
      <c r="N4749" s="1" t="s">
        <v>75</v>
      </c>
      <c r="O4749" s="1" t="s">
        <v>45</v>
      </c>
      <c r="P4749" s="1" t="s">
        <v>55</v>
      </c>
      <c r="Q4749" s="1">
        <v>25</v>
      </c>
      <c r="R4749" s="1">
        <v>25</v>
      </c>
      <c r="S4749" s="1">
        <v>0</v>
      </c>
      <c r="T4749" s="1">
        <v>0</v>
      </c>
      <c r="U4749" s="1">
        <v>0</v>
      </c>
      <c r="V4749" s="1" t="str">
        <f t="shared" si="901"/>
        <v>里程去程</v>
      </c>
      <c r="W4749" s="1" t="str">
        <f>"1420"</f>
        <v>1420</v>
      </c>
      <c r="X4749" s="1" t="s">
        <v>35</v>
      </c>
    </row>
    <row r="4750" spans="1:24" x14ac:dyDescent="0.3">
      <c r="A4750" s="1" t="str">
        <f t="shared" si="900"/>
        <v>59828</v>
      </c>
      <c r="B4750" s="1" t="s">
        <v>23</v>
      </c>
      <c r="C4750" s="1" t="s">
        <v>24</v>
      </c>
      <c r="D4750" s="1" t="str">
        <f t="shared" si="902"/>
        <v>9801</v>
      </c>
      <c r="E4750" s="1" t="s">
        <v>25</v>
      </c>
      <c r="F4750" s="1" t="str">
        <f>"647863665"</f>
        <v>647863665</v>
      </c>
      <c r="G4750" s="1" t="s">
        <v>33</v>
      </c>
      <c r="H4750" s="1" t="str">
        <f t="shared" si="898"/>
        <v>20220921</v>
      </c>
      <c r="I4750" s="1" t="str">
        <f>"153146"</f>
        <v>153146</v>
      </c>
      <c r="J4750" s="1" t="s">
        <v>27</v>
      </c>
      <c r="K4750" s="1" t="s">
        <v>28</v>
      </c>
      <c r="L4750" s="1" t="str">
        <f t="shared" si="899"/>
        <v>20220921</v>
      </c>
      <c r="M4750" s="1" t="str">
        <f>"154649"</f>
        <v>154649</v>
      </c>
      <c r="N4750" s="1" t="s">
        <v>75</v>
      </c>
      <c r="O4750" s="1" t="s">
        <v>45</v>
      </c>
      <c r="P4750" s="1" t="s">
        <v>55</v>
      </c>
      <c r="Q4750" s="1">
        <v>25</v>
      </c>
      <c r="R4750" s="1">
        <v>25</v>
      </c>
      <c r="S4750" s="1">
        <v>0</v>
      </c>
      <c r="T4750" s="1">
        <v>0</v>
      </c>
      <c r="U4750" s="1">
        <v>0</v>
      </c>
      <c r="V4750" s="1" t="str">
        <f t="shared" si="901"/>
        <v>里程去程</v>
      </c>
      <c r="W4750" s="1" t="str">
        <f>"1420"</f>
        <v>1420</v>
      </c>
      <c r="X4750" s="1" t="s">
        <v>35</v>
      </c>
    </row>
    <row r="4751" spans="1:24" x14ac:dyDescent="0.3">
      <c r="A4751" s="1" t="str">
        <f t="shared" si="900"/>
        <v>59828</v>
      </c>
      <c r="B4751" s="1" t="s">
        <v>23</v>
      </c>
      <c r="C4751" s="1" t="s">
        <v>24</v>
      </c>
      <c r="D4751" s="1" t="str">
        <f t="shared" si="902"/>
        <v>9801</v>
      </c>
      <c r="E4751" s="1" t="s">
        <v>25</v>
      </c>
      <c r="F4751" s="1" t="str">
        <f>"C2C219031A880400C834002000000015"</f>
        <v>C2C219031A880400C834002000000015</v>
      </c>
      <c r="G4751" s="1" t="s">
        <v>74</v>
      </c>
      <c r="H4751" s="1" t="str">
        <f t="shared" si="898"/>
        <v>20220921</v>
      </c>
      <c r="I4751" s="1" t="str">
        <f>"160713"</f>
        <v>160713</v>
      </c>
      <c r="J4751" s="1" t="s">
        <v>60</v>
      </c>
      <c r="K4751" s="1" t="s">
        <v>52</v>
      </c>
      <c r="L4751" s="1" t="str">
        <f t="shared" si="899"/>
        <v>20220921</v>
      </c>
      <c r="M4751" s="1" t="str">
        <f>"161553"</f>
        <v>161553</v>
      </c>
      <c r="N4751" s="1" t="s">
        <v>80</v>
      </c>
      <c r="O4751" s="1" t="s">
        <v>52</v>
      </c>
      <c r="P4751" s="1" t="s">
        <v>68</v>
      </c>
      <c r="Q4751" s="1">
        <v>13</v>
      </c>
      <c r="R4751" s="1">
        <v>0</v>
      </c>
      <c r="S4751" s="1">
        <v>0</v>
      </c>
      <c r="T4751" s="1">
        <v>13</v>
      </c>
      <c r="U4751" s="1">
        <v>0</v>
      </c>
      <c r="V4751" s="1" t="str">
        <f t="shared" si="901"/>
        <v>里程去程</v>
      </c>
      <c r="W4751" s="1" t="str">
        <f>"0020"</f>
        <v>0020</v>
      </c>
      <c r="X4751" s="1" t="s">
        <v>29</v>
      </c>
    </row>
    <row r="4752" spans="1:24" x14ac:dyDescent="0.3">
      <c r="A4752" s="1" t="str">
        <f t="shared" si="900"/>
        <v>59828</v>
      </c>
      <c r="B4752" s="1" t="s">
        <v>23</v>
      </c>
      <c r="C4752" s="1" t="s">
        <v>24</v>
      </c>
      <c r="D4752" s="1" t="str">
        <f t="shared" si="902"/>
        <v>9801</v>
      </c>
      <c r="E4752" s="1" t="s">
        <v>25</v>
      </c>
      <c r="F4752" s="1" t="str">
        <f>"8227D00277880400C834002000000015"</f>
        <v>8227D00277880400C834002000000015</v>
      </c>
      <c r="G4752" s="1" t="s">
        <v>26</v>
      </c>
      <c r="H4752" s="1" t="str">
        <f t="shared" si="898"/>
        <v>20220921</v>
      </c>
      <c r="I4752" s="1" t="str">
        <f>"162518"</f>
        <v>162518</v>
      </c>
      <c r="J4752" s="1" t="s">
        <v>67</v>
      </c>
      <c r="K4752" s="1" t="s">
        <v>52</v>
      </c>
      <c r="L4752" s="1" t="str">
        <f t="shared" si="899"/>
        <v>20220921</v>
      </c>
      <c r="M4752" s="1" t="str">
        <f>"163457"</f>
        <v>163457</v>
      </c>
      <c r="N4752" s="1" t="s">
        <v>70</v>
      </c>
      <c r="O4752" s="1" t="s">
        <v>28</v>
      </c>
      <c r="P4752" s="1" t="s">
        <v>68</v>
      </c>
      <c r="Q4752" s="1">
        <v>13</v>
      </c>
      <c r="R4752" s="1">
        <v>0</v>
      </c>
      <c r="S4752" s="1">
        <v>0</v>
      </c>
      <c r="T4752" s="1">
        <v>13</v>
      </c>
      <c r="U4752" s="1">
        <v>0</v>
      </c>
      <c r="V4752" s="1" t="str">
        <f t="shared" si="901"/>
        <v>里程去程</v>
      </c>
      <c r="W4752" s="1" t="str">
        <f>"0020"</f>
        <v>0020</v>
      </c>
      <c r="X4752" s="1" t="s">
        <v>29</v>
      </c>
    </row>
    <row r="4753" spans="1:24" x14ac:dyDescent="0.3">
      <c r="A4753" s="1" t="str">
        <f t="shared" si="900"/>
        <v>59828</v>
      </c>
      <c r="B4753" s="1" t="s">
        <v>23</v>
      </c>
      <c r="C4753" s="1" t="s">
        <v>24</v>
      </c>
      <c r="D4753" s="1" t="str">
        <f t="shared" si="902"/>
        <v>9801</v>
      </c>
      <c r="E4753" s="1" t="s">
        <v>25</v>
      </c>
      <c r="F4753" s="1" t="str">
        <f>"29892700878804004326B53100080211"</f>
        <v>29892700878804004326B53100080211</v>
      </c>
      <c r="G4753" s="1" t="s">
        <v>58</v>
      </c>
      <c r="H4753" s="1" t="str">
        <f t="shared" si="898"/>
        <v>20220921</v>
      </c>
      <c r="I4753" s="1" t="str">
        <f>"162654"</f>
        <v>162654</v>
      </c>
      <c r="J4753" s="1" t="s">
        <v>83</v>
      </c>
      <c r="K4753" s="1" t="s">
        <v>52</v>
      </c>
      <c r="L4753" s="1" t="str">
        <f t="shared" si="899"/>
        <v>20220921</v>
      </c>
      <c r="M4753" s="1" t="str">
        <f>"163501"</f>
        <v>163501</v>
      </c>
      <c r="N4753" s="1" t="s">
        <v>70</v>
      </c>
      <c r="O4753" s="1" t="s">
        <v>28</v>
      </c>
      <c r="P4753" s="1" t="s">
        <v>55</v>
      </c>
      <c r="Q4753" s="1">
        <v>25</v>
      </c>
      <c r="R4753" s="1">
        <v>0</v>
      </c>
      <c r="S4753" s="1">
        <v>25</v>
      </c>
      <c r="T4753" s="1">
        <v>0</v>
      </c>
      <c r="U4753" s="1">
        <v>0</v>
      </c>
      <c r="V4753" s="1" t="str">
        <f t="shared" si="901"/>
        <v>里程去程</v>
      </c>
      <c r="W4753" s="1" t="str">
        <f>"1120"</f>
        <v>1120</v>
      </c>
      <c r="X4753" s="1" t="s">
        <v>29</v>
      </c>
    </row>
    <row r="4754" spans="1:24" x14ac:dyDescent="0.3">
      <c r="A4754" s="1" t="str">
        <f t="shared" si="900"/>
        <v>59828</v>
      </c>
      <c r="B4754" s="1" t="s">
        <v>23</v>
      </c>
      <c r="C4754" s="1" t="s">
        <v>24</v>
      </c>
      <c r="D4754" s="1" t="str">
        <f t="shared" si="902"/>
        <v>9801</v>
      </c>
      <c r="E4754" s="1" t="s">
        <v>25</v>
      </c>
      <c r="F4754" s="1" t="str">
        <f>"3756075971"</f>
        <v>3756075971</v>
      </c>
      <c r="G4754" s="1" t="s">
        <v>33</v>
      </c>
      <c r="H4754" s="1" t="str">
        <f t="shared" si="898"/>
        <v>20220921</v>
      </c>
      <c r="I4754" s="1" t="str">
        <f>"165018"</f>
        <v>165018</v>
      </c>
      <c r="J4754" s="1" t="s">
        <v>75</v>
      </c>
      <c r="K4754" s="1" t="s">
        <v>45</v>
      </c>
      <c r="L4754" s="1" t="str">
        <f t="shared" si="899"/>
        <v>20220921</v>
      </c>
      <c r="M4754" s="1" t="str">
        <f>"165759"</f>
        <v>165759</v>
      </c>
      <c r="N4754" s="1" t="s">
        <v>44</v>
      </c>
      <c r="O4754" s="1" t="s">
        <v>45</v>
      </c>
      <c r="P4754" s="1" t="s">
        <v>55</v>
      </c>
      <c r="Q4754" s="1">
        <v>25</v>
      </c>
      <c r="R4754" s="1">
        <v>25</v>
      </c>
      <c r="S4754" s="1">
        <v>0</v>
      </c>
      <c r="T4754" s="1">
        <v>0</v>
      </c>
      <c r="U4754" s="1">
        <v>0</v>
      </c>
      <c r="V4754" s="1" t="str">
        <f t="shared" si="901"/>
        <v>里程去程</v>
      </c>
      <c r="W4754" s="1" t="str">
        <f>"0820"</f>
        <v>0820</v>
      </c>
      <c r="X4754" s="1" t="s">
        <v>35</v>
      </c>
    </row>
    <row r="4755" spans="1:24" x14ac:dyDescent="0.3">
      <c r="A4755" s="1" t="str">
        <f t="shared" si="900"/>
        <v>59828</v>
      </c>
      <c r="B4755" s="1" t="s">
        <v>23</v>
      </c>
      <c r="C4755" s="1" t="s">
        <v>24</v>
      </c>
      <c r="D4755" s="1" t="str">
        <f t="shared" si="902"/>
        <v>9801</v>
      </c>
      <c r="E4755" s="1" t="s">
        <v>25</v>
      </c>
      <c r="F4755" s="1" t="str">
        <f>"422AE7028D880400C834002000000015"</f>
        <v>422AE7028D880400C834002000000015</v>
      </c>
      <c r="G4755" s="1" t="s">
        <v>74</v>
      </c>
      <c r="H4755" s="1" t="str">
        <f t="shared" si="898"/>
        <v>20220921</v>
      </c>
      <c r="I4755" s="1" t="str">
        <f>"172937"</f>
        <v>172937</v>
      </c>
      <c r="J4755" s="1" t="s">
        <v>44</v>
      </c>
      <c r="K4755" s="1" t="s">
        <v>45</v>
      </c>
      <c r="L4755" s="1" t="str">
        <f t="shared" si="899"/>
        <v>20220921</v>
      </c>
      <c r="M4755" s="1" t="str">
        <f>"175410"</f>
        <v>175410</v>
      </c>
      <c r="N4755" s="1" t="s">
        <v>28</v>
      </c>
      <c r="O4755" s="1" t="s">
        <v>28</v>
      </c>
      <c r="P4755" s="1" t="s">
        <v>68</v>
      </c>
      <c r="Q4755" s="1">
        <v>13</v>
      </c>
      <c r="R4755" s="1">
        <v>0</v>
      </c>
      <c r="S4755" s="1">
        <v>0</v>
      </c>
      <c r="T4755" s="1">
        <v>13</v>
      </c>
      <c r="U4755" s="1">
        <v>0</v>
      </c>
      <c r="V4755" s="1" t="str">
        <f t="shared" ref="V4755:V4770" si="903">"里程返程"</f>
        <v>里程返程</v>
      </c>
      <c r="W4755" s="1" t="str">
        <f>"0020"</f>
        <v>0020</v>
      </c>
      <c r="X4755" s="1" t="s">
        <v>29</v>
      </c>
    </row>
    <row r="4756" spans="1:24" x14ac:dyDescent="0.3">
      <c r="A4756" s="1" t="str">
        <f t="shared" si="900"/>
        <v>59828</v>
      </c>
      <c r="B4756" s="1" t="s">
        <v>23</v>
      </c>
      <c r="C4756" s="1" t="s">
        <v>24</v>
      </c>
      <c r="D4756" s="1" t="str">
        <f t="shared" si="902"/>
        <v>9801</v>
      </c>
      <c r="E4756" s="1" t="s">
        <v>25</v>
      </c>
      <c r="F4756" s="1" t="str">
        <f>"975DC31D148804004324988F0008090E"</f>
        <v>975DC31D148804004324988F0008090E</v>
      </c>
      <c r="G4756" s="1" t="s">
        <v>58</v>
      </c>
      <c r="H4756" s="1" t="str">
        <f t="shared" si="898"/>
        <v>20220921</v>
      </c>
      <c r="I4756" s="1" t="str">
        <f>"175426"</f>
        <v>175426</v>
      </c>
      <c r="J4756" s="1" t="s">
        <v>28</v>
      </c>
      <c r="K4756" s="1" t="s">
        <v>28</v>
      </c>
      <c r="L4756" s="1" t="str">
        <f t="shared" si="899"/>
        <v>20220921</v>
      </c>
      <c r="M4756" s="1" t="str">
        <f>"182908"</f>
        <v>182908</v>
      </c>
      <c r="N4756" s="1" t="s">
        <v>52</v>
      </c>
      <c r="O4756" s="1" t="s">
        <v>52</v>
      </c>
      <c r="P4756" s="1" t="s">
        <v>55</v>
      </c>
      <c r="Q4756" s="1">
        <v>25</v>
      </c>
      <c r="R4756" s="1">
        <v>25</v>
      </c>
      <c r="S4756" s="1">
        <v>0</v>
      </c>
      <c r="T4756" s="1">
        <v>0</v>
      </c>
      <c r="U4756" s="1">
        <v>0</v>
      </c>
      <c r="V4756" s="1" t="str">
        <f t="shared" si="903"/>
        <v>里程返程</v>
      </c>
      <c r="W4756" s="1" t="str">
        <f>"0020"</f>
        <v>0020</v>
      </c>
      <c r="X4756" s="1" t="s">
        <v>29</v>
      </c>
    </row>
    <row r="4757" spans="1:24" x14ac:dyDescent="0.3">
      <c r="A4757" s="1" t="str">
        <f t="shared" si="900"/>
        <v>59828</v>
      </c>
      <c r="B4757" s="1" t="s">
        <v>23</v>
      </c>
      <c r="C4757" s="1" t="s">
        <v>24</v>
      </c>
      <c r="D4757" s="1" t="str">
        <f t="shared" si="902"/>
        <v>9801</v>
      </c>
      <c r="E4757" s="1" t="s">
        <v>25</v>
      </c>
      <c r="F4757" s="1" t="str">
        <f>"3756075971"</f>
        <v>3756075971</v>
      </c>
      <c r="G4757" s="1" t="s">
        <v>33</v>
      </c>
      <c r="H4757" s="1" t="str">
        <f t="shared" si="898"/>
        <v>20220921</v>
      </c>
      <c r="I4757" s="1" t="str">
        <f>"182941"</f>
        <v>182941</v>
      </c>
      <c r="J4757" s="1" t="s">
        <v>44</v>
      </c>
      <c r="K4757" s="1" t="s">
        <v>45</v>
      </c>
      <c r="L4757" s="1" t="str">
        <f t="shared" si="899"/>
        <v>20220921</v>
      </c>
      <c r="M4757" s="1" t="str">
        <f>"183838"</f>
        <v>183838</v>
      </c>
      <c r="N4757" s="1" t="s">
        <v>75</v>
      </c>
      <c r="O4757" s="1" t="s">
        <v>45</v>
      </c>
      <c r="P4757" s="1" t="s">
        <v>55</v>
      </c>
      <c r="Q4757" s="1">
        <v>25</v>
      </c>
      <c r="R4757" s="1">
        <v>25</v>
      </c>
      <c r="S4757" s="1">
        <v>0</v>
      </c>
      <c r="T4757" s="1">
        <v>0</v>
      </c>
      <c r="U4757" s="1">
        <v>0</v>
      </c>
      <c r="V4757" s="1" t="str">
        <f t="shared" si="903"/>
        <v>里程返程</v>
      </c>
      <c r="W4757" s="1" t="str">
        <f>"2020"</f>
        <v>2020</v>
      </c>
      <c r="X4757" s="1" t="s">
        <v>35</v>
      </c>
    </row>
    <row r="4758" spans="1:24" x14ac:dyDescent="0.3">
      <c r="A4758" s="1" t="str">
        <f t="shared" si="900"/>
        <v>59828</v>
      </c>
      <c r="B4758" s="1" t="s">
        <v>23</v>
      </c>
      <c r="C4758" s="1" t="s">
        <v>24</v>
      </c>
      <c r="D4758" s="1" t="str">
        <f t="shared" si="902"/>
        <v>9801</v>
      </c>
      <c r="E4758" s="1" t="s">
        <v>25</v>
      </c>
      <c r="F4758" s="1" t="str">
        <f>"62BCB0117F28040080CEBCD141912418"</f>
        <v>62BCB0117F28040080CEBCD141912418</v>
      </c>
      <c r="G4758" s="1" t="s">
        <v>59</v>
      </c>
      <c r="H4758" s="1" t="str">
        <f t="shared" si="898"/>
        <v>20220921</v>
      </c>
      <c r="I4758" s="1" t="str">
        <f>"183627"</f>
        <v>183627</v>
      </c>
      <c r="J4758" s="1" t="s">
        <v>91</v>
      </c>
      <c r="K4758" s="1" t="s">
        <v>45</v>
      </c>
      <c r="L4758" s="1" t="str">
        <f t="shared" si="899"/>
        <v>20220921</v>
      </c>
      <c r="M4758" s="1" t="str">
        <f>"192147"</f>
        <v>192147</v>
      </c>
      <c r="N4758" s="1" t="s">
        <v>60</v>
      </c>
      <c r="O4758" s="1" t="s">
        <v>52</v>
      </c>
      <c r="P4758" s="1" t="s">
        <v>55</v>
      </c>
      <c r="Q4758" s="1">
        <v>50</v>
      </c>
      <c r="R4758" s="1">
        <v>50</v>
      </c>
      <c r="S4758" s="1">
        <v>0</v>
      </c>
      <c r="T4758" s="1">
        <v>0</v>
      </c>
      <c r="U4758" s="1">
        <v>0</v>
      </c>
      <c r="V4758" s="1" t="str">
        <f t="shared" si="903"/>
        <v>里程返程</v>
      </c>
      <c r="W4758" s="1" t="str">
        <f>"0020"</f>
        <v>0020</v>
      </c>
      <c r="X4758" s="1" t="s">
        <v>29</v>
      </c>
    </row>
    <row r="4759" spans="1:24" x14ac:dyDescent="0.3">
      <c r="A4759" s="1" t="str">
        <f t="shared" si="900"/>
        <v>59828</v>
      </c>
      <c r="B4759" s="1" t="s">
        <v>23</v>
      </c>
      <c r="C4759" s="1" t="s">
        <v>24</v>
      </c>
      <c r="D4759" s="1" t="str">
        <f t="shared" si="902"/>
        <v>9801</v>
      </c>
      <c r="E4759" s="1" t="s">
        <v>25</v>
      </c>
      <c r="F4759" s="1" t="str">
        <f>"2919C50FFA8804004326A4E600070211"</f>
        <v>2919C50FFA8804004326A4E600070211</v>
      </c>
      <c r="G4759" s="1" t="s">
        <v>64</v>
      </c>
      <c r="H4759" s="1" t="str">
        <f t="shared" si="898"/>
        <v>20220921</v>
      </c>
      <c r="I4759" s="1" t="str">
        <f>"185100"</f>
        <v>185100</v>
      </c>
      <c r="J4759" s="1" t="s">
        <v>28</v>
      </c>
      <c r="K4759" s="1" t="s">
        <v>28</v>
      </c>
      <c r="L4759" s="1" t="str">
        <f t="shared" si="899"/>
        <v>20220921</v>
      </c>
      <c r="M4759" s="1" t="str">
        <f>"190452"</f>
        <v>190452</v>
      </c>
      <c r="N4759" s="1" t="s">
        <v>78</v>
      </c>
      <c r="O4759" s="1" t="s">
        <v>52</v>
      </c>
      <c r="P4759" s="1" t="s">
        <v>55</v>
      </c>
      <c r="Q4759" s="1">
        <v>13</v>
      </c>
      <c r="R4759" s="1">
        <v>13</v>
      </c>
      <c r="S4759" s="1">
        <v>0</v>
      </c>
      <c r="T4759" s="1">
        <v>0</v>
      </c>
      <c r="U4759" s="1">
        <v>0</v>
      </c>
      <c r="V4759" s="1" t="str">
        <f t="shared" si="903"/>
        <v>里程返程</v>
      </c>
      <c r="W4759" s="1" t="str">
        <f>"0020"</f>
        <v>0020</v>
      </c>
      <c r="X4759" s="1" t="s">
        <v>29</v>
      </c>
    </row>
    <row r="4760" spans="1:24" x14ac:dyDescent="0.3">
      <c r="A4760" s="1" t="str">
        <f t="shared" si="900"/>
        <v>59828</v>
      </c>
      <c r="B4760" s="1" t="s">
        <v>23</v>
      </c>
      <c r="C4760" s="1" t="s">
        <v>24</v>
      </c>
      <c r="D4760" s="1" t="str">
        <f t="shared" si="902"/>
        <v>9801</v>
      </c>
      <c r="E4760" s="1" t="s">
        <v>25</v>
      </c>
      <c r="F4760" s="1" t="str">
        <f>"1027383246"</f>
        <v>1027383246</v>
      </c>
      <c r="G4760" s="1" t="s">
        <v>33</v>
      </c>
      <c r="H4760" s="1" t="str">
        <f t="shared" si="898"/>
        <v>20220921</v>
      </c>
      <c r="I4760" s="1" t="str">
        <f>"185733"</f>
        <v>185733</v>
      </c>
      <c r="J4760" s="1" t="s">
        <v>85</v>
      </c>
      <c r="K4760" s="1" t="s">
        <v>28</v>
      </c>
      <c r="L4760" s="1" t="str">
        <f t="shared" si="899"/>
        <v>20220921</v>
      </c>
      <c r="M4760" s="1" t="str">
        <f>"191211"</f>
        <v>191211</v>
      </c>
      <c r="N4760" s="1" t="s">
        <v>80</v>
      </c>
      <c r="O4760" s="1" t="s">
        <v>52</v>
      </c>
      <c r="P4760" s="1" t="s">
        <v>55</v>
      </c>
      <c r="Q4760" s="1">
        <v>25</v>
      </c>
      <c r="R4760" s="1">
        <v>0</v>
      </c>
      <c r="S4760" s="1">
        <v>25</v>
      </c>
      <c r="T4760" s="1">
        <v>0</v>
      </c>
      <c r="U4760" s="1">
        <v>0</v>
      </c>
      <c r="V4760" s="1" t="str">
        <f t="shared" si="903"/>
        <v>里程返程</v>
      </c>
      <c r="W4760" s="1" t="str">
        <f>"2120"</f>
        <v>2120</v>
      </c>
      <c r="X4760" s="1" t="s">
        <v>35</v>
      </c>
    </row>
    <row r="4761" spans="1:24" x14ac:dyDescent="0.3">
      <c r="A4761" s="1" t="str">
        <f t="shared" ref="A4761:A4779" si="904">"59829"</f>
        <v>59829</v>
      </c>
      <c r="B4761" s="1" t="s">
        <v>47</v>
      </c>
      <c r="C4761" s="1" t="s">
        <v>48</v>
      </c>
      <c r="D4761" s="1" t="str">
        <f t="shared" si="902"/>
        <v>9801</v>
      </c>
      <c r="E4761" s="1" t="s">
        <v>25</v>
      </c>
      <c r="F4761" s="1" t="str">
        <f>"1611623912"</f>
        <v>1611623912</v>
      </c>
      <c r="G4761" s="1" t="s">
        <v>26</v>
      </c>
      <c r="H4761" s="1" t="str">
        <f t="shared" ref="H4761:H4779" si="905">"20220921"</f>
        <v>20220921</v>
      </c>
      <c r="I4761" s="1" t="str">
        <f>"084351"</f>
        <v>084351</v>
      </c>
      <c r="J4761" s="1" t="s">
        <v>75</v>
      </c>
      <c r="K4761" s="1" t="s">
        <v>45</v>
      </c>
      <c r="L4761" s="1" t="str">
        <f t="shared" ref="L4761:L4779" si="906">"20220921"</f>
        <v>20220921</v>
      </c>
      <c r="M4761" s="1" t="str">
        <f>"085219"</f>
        <v>085219</v>
      </c>
      <c r="N4761" s="1" t="s">
        <v>95</v>
      </c>
      <c r="O4761" s="1" t="s">
        <v>28</v>
      </c>
      <c r="P4761" s="1" t="s">
        <v>55</v>
      </c>
      <c r="Q4761" s="1">
        <v>13</v>
      </c>
      <c r="R4761" s="1">
        <v>13</v>
      </c>
      <c r="S4761" s="1">
        <v>0</v>
      </c>
      <c r="T4761" s="1">
        <v>0</v>
      </c>
      <c r="U4761" s="1">
        <v>0</v>
      </c>
      <c r="V4761" s="1" t="str">
        <f t="shared" si="903"/>
        <v>里程返程</v>
      </c>
      <c r="W4761" s="1" t="str">
        <f>"2020"</f>
        <v>2020</v>
      </c>
      <c r="X4761" s="1" t="s">
        <v>35</v>
      </c>
    </row>
    <row r="4762" spans="1:24" x14ac:dyDescent="0.3">
      <c r="A4762" s="1" t="str">
        <f t="shared" si="904"/>
        <v>59829</v>
      </c>
      <c r="B4762" s="1" t="s">
        <v>47</v>
      </c>
      <c r="C4762" s="1" t="s">
        <v>48</v>
      </c>
      <c r="D4762" s="1" t="str">
        <f t="shared" si="902"/>
        <v>9801</v>
      </c>
      <c r="E4762" s="1" t="s">
        <v>25</v>
      </c>
      <c r="F4762" s="1" t="str">
        <f>"997462661"</f>
        <v>997462661</v>
      </c>
      <c r="G4762" s="1" t="s">
        <v>26</v>
      </c>
      <c r="H4762" s="1" t="str">
        <f t="shared" si="905"/>
        <v>20220921</v>
      </c>
      <c r="I4762" s="1" t="str">
        <f>"084356"</f>
        <v>084356</v>
      </c>
      <c r="J4762" s="1" t="s">
        <v>75</v>
      </c>
      <c r="K4762" s="1" t="s">
        <v>45</v>
      </c>
      <c r="L4762" s="1" t="str">
        <f t="shared" si="906"/>
        <v>20220921</v>
      </c>
      <c r="M4762" s="1" t="str">
        <f>"085224"</f>
        <v>085224</v>
      </c>
      <c r="N4762" s="1" t="s">
        <v>95</v>
      </c>
      <c r="O4762" s="1" t="s">
        <v>28</v>
      </c>
      <c r="P4762" s="1" t="s">
        <v>55</v>
      </c>
      <c r="Q4762" s="1">
        <v>13</v>
      </c>
      <c r="R4762" s="1">
        <v>13</v>
      </c>
      <c r="S4762" s="1">
        <v>0</v>
      </c>
      <c r="T4762" s="1">
        <v>0</v>
      </c>
      <c r="U4762" s="1">
        <v>0</v>
      </c>
      <c r="V4762" s="1" t="str">
        <f t="shared" si="903"/>
        <v>里程返程</v>
      </c>
      <c r="W4762" s="1" t="str">
        <f>"2020"</f>
        <v>2020</v>
      </c>
      <c r="X4762" s="1" t="s">
        <v>35</v>
      </c>
    </row>
    <row r="4763" spans="1:24" x14ac:dyDescent="0.3">
      <c r="A4763" s="1" t="str">
        <f t="shared" si="904"/>
        <v>59829</v>
      </c>
      <c r="B4763" s="1" t="s">
        <v>47</v>
      </c>
      <c r="C4763" s="1" t="s">
        <v>48</v>
      </c>
      <c r="D4763" s="1" t="str">
        <f t="shared" si="902"/>
        <v>9801</v>
      </c>
      <c r="E4763" s="1" t="s">
        <v>25</v>
      </c>
      <c r="F4763" s="1" t="str">
        <f>"F29BD102BA880400C834002000000015"</f>
        <v>F29BD102BA880400C834002000000015</v>
      </c>
      <c r="G4763" s="1" t="s">
        <v>26</v>
      </c>
      <c r="H4763" s="1" t="str">
        <f t="shared" si="905"/>
        <v>20220921</v>
      </c>
      <c r="I4763" s="1" t="str">
        <f>"085148"</f>
        <v>085148</v>
      </c>
      <c r="J4763" s="1" t="s">
        <v>27</v>
      </c>
      <c r="K4763" s="1" t="s">
        <v>28</v>
      </c>
      <c r="L4763" s="1" t="str">
        <f t="shared" si="906"/>
        <v>20220921</v>
      </c>
      <c r="M4763" s="1" t="str">
        <f>"085202"</f>
        <v>085202</v>
      </c>
      <c r="N4763" s="1" t="s">
        <v>95</v>
      </c>
      <c r="O4763" s="1" t="s">
        <v>28</v>
      </c>
      <c r="P4763" s="1" t="s">
        <v>68</v>
      </c>
      <c r="Q4763" s="1">
        <v>13</v>
      </c>
      <c r="R4763" s="1">
        <v>0</v>
      </c>
      <c r="S4763" s="1">
        <v>0</v>
      </c>
      <c r="T4763" s="1">
        <v>13</v>
      </c>
      <c r="U4763" s="1">
        <v>0</v>
      </c>
      <c r="V4763" s="1" t="str">
        <f t="shared" si="903"/>
        <v>里程返程</v>
      </c>
      <c r="W4763" s="1" t="str">
        <f>"0020"</f>
        <v>0020</v>
      </c>
      <c r="X4763" s="1" t="s">
        <v>29</v>
      </c>
    </row>
    <row r="4764" spans="1:24" x14ac:dyDescent="0.3">
      <c r="A4764" s="1" t="str">
        <f t="shared" si="904"/>
        <v>59829</v>
      </c>
      <c r="B4764" s="1" t="s">
        <v>47</v>
      </c>
      <c r="C4764" s="1" t="s">
        <v>48</v>
      </c>
      <c r="D4764" s="1" t="str">
        <f t="shared" si="902"/>
        <v>9801</v>
      </c>
      <c r="E4764" s="1" t="s">
        <v>25</v>
      </c>
      <c r="F4764" s="1" t="str">
        <f>"C2884B0908880400C810002000000016"</f>
        <v>C2884B0908880400C810002000000016</v>
      </c>
      <c r="G4764" s="1" t="s">
        <v>58</v>
      </c>
      <c r="H4764" s="1" t="str">
        <f t="shared" si="905"/>
        <v>20220921</v>
      </c>
      <c r="I4764" s="1" t="str">
        <f>"095459"</f>
        <v>095459</v>
      </c>
      <c r="J4764" s="1" t="s">
        <v>28</v>
      </c>
      <c r="K4764" s="1" t="s">
        <v>28</v>
      </c>
      <c r="L4764" s="1" t="str">
        <f t="shared" si="906"/>
        <v>20220921</v>
      </c>
      <c r="M4764" s="1" t="str">
        <f>"101226"</f>
        <v>101226</v>
      </c>
      <c r="N4764" s="1" t="s">
        <v>65</v>
      </c>
      <c r="O4764" s="1" t="s">
        <v>52</v>
      </c>
      <c r="P4764" s="1" t="s">
        <v>55</v>
      </c>
      <c r="Q4764" s="1">
        <v>25</v>
      </c>
      <c r="R4764" s="1">
        <v>25</v>
      </c>
      <c r="S4764" s="1">
        <v>0</v>
      </c>
      <c r="T4764" s="1">
        <v>0</v>
      </c>
      <c r="U4764" s="1">
        <v>0</v>
      </c>
      <c r="V4764" s="1" t="str">
        <f t="shared" si="903"/>
        <v>里程返程</v>
      </c>
      <c r="W4764" s="1" t="str">
        <f>"0020"</f>
        <v>0020</v>
      </c>
      <c r="X4764" s="1" t="s">
        <v>29</v>
      </c>
    </row>
    <row r="4765" spans="1:24" x14ac:dyDescent="0.3">
      <c r="A4765" s="1" t="str">
        <f t="shared" si="904"/>
        <v>59829</v>
      </c>
      <c r="B4765" s="1" t="s">
        <v>47</v>
      </c>
      <c r="C4765" s="1" t="s">
        <v>48</v>
      </c>
      <c r="D4765" s="1" t="str">
        <f t="shared" si="902"/>
        <v>9801</v>
      </c>
      <c r="E4765" s="1" t="s">
        <v>25</v>
      </c>
      <c r="F4765" s="1" t="str">
        <f>"522BF3058F880400C838002000000015"</f>
        <v>522BF3058F880400C838002000000015</v>
      </c>
      <c r="G4765" s="1" t="s">
        <v>26</v>
      </c>
      <c r="H4765" s="1" t="str">
        <f t="shared" si="905"/>
        <v>20220921</v>
      </c>
      <c r="I4765" s="1" t="str">
        <f>"095509"</f>
        <v>095509</v>
      </c>
      <c r="J4765" s="1" t="s">
        <v>28</v>
      </c>
      <c r="K4765" s="1" t="s">
        <v>28</v>
      </c>
      <c r="L4765" s="1" t="str">
        <f t="shared" si="906"/>
        <v>20220921</v>
      </c>
      <c r="M4765" s="1" t="str">
        <f>"101935"</f>
        <v>101935</v>
      </c>
      <c r="N4765" s="1" t="s">
        <v>52</v>
      </c>
      <c r="O4765" s="1" t="s">
        <v>52</v>
      </c>
      <c r="P4765" s="1" t="s">
        <v>68</v>
      </c>
      <c r="Q4765" s="1">
        <v>13</v>
      </c>
      <c r="R4765" s="1">
        <v>0</v>
      </c>
      <c r="S4765" s="1">
        <v>0</v>
      </c>
      <c r="T4765" s="1">
        <v>13</v>
      </c>
      <c r="U4765" s="1">
        <v>0</v>
      </c>
      <c r="V4765" s="1" t="str">
        <f t="shared" si="903"/>
        <v>里程返程</v>
      </c>
      <c r="W4765" s="1" t="str">
        <f>"0020"</f>
        <v>0020</v>
      </c>
      <c r="X4765" s="1" t="s">
        <v>29</v>
      </c>
    </row>
    <row r="4766" spans="1:24" x14ac:dyDescent="0.3">
      <c r="A4766" s="1" t="str">
        <f t="shared" si="904"/>
        <v>59829</v>
      </c>
      <c r="B4766" s="1" t="s">
        <v>47</v>
      </c>
      <c r="C4766" s="1" t="s">
        <v>48</v>
      </c>
      <c r="D4766" s="1" t="str">
        <f t="shared" si="902"/>
        <v>9801</v>
      </c>
      <c r="E4766" s="1" t="s">
        <v>25</v>
      </c>
      <c r="F4766" s="1" t="str">
        <f>"211826053"</f>
        <v>211826053</v>
      </c>
      <c r="G4766" s="1" t="s">
        <v>33</v>
      </c>
      <c r="H4766" s="1" t="str">
        <f t="shared" si="905"/>
        <v>20220921</v>
      </c>
      <c r="I4766" s="1" t="str">
        <f>"103352"</f>
        <v>103352</v>
      </c>
      <c r="J4766" s="1" t="s">
        <v>100</v>
      </c>
      <c r="K4766" s="1" t="s">
        <v>45</v>
      </c>
      <c r="L4766" s="1" t="str">
        <f t="shared" si="906"/>
        <v>20220921</v>
      </c>
      <c r="M4766" s="1" t="str">
        <f>"105058"</f>
        <v>105058</v>
      </c>
      <c r="N4766" s="1" t="s">
        <v>28</v>
      </c>
      <c r="O4766" s="1" t="s">
        <v>28</v>
      </c>
      <c r="P4766" s="1" t="s">
        <v>55</v>
      </c>
      <c r="Q4766" s="1">
        <v>25</v>
      </c>
      <c r="R4766" s="1">
        <v>25</v>
      </c>
      <c r="S4766" s="1">
        <v>0</v>
      </c>
      <c r="T4766" s="1">
        <v>0</v>
      </c>
      <c r="U4766" s="1">
        <v>0</v>
      </c>
      <c r="V4766" s="1" t="str">
        <f t="shared" si="903"/>
        <v>里程返程</v>
      </c>
      <c r="W4766" s="1" t="str">
        <f>"2120"</f>
        <v>2120</v>
      </c>
      <c r="X4766" s="1" t="s">
        <v>35</v>
      </c>
    </row>
    <row r="4767" spans="1:24" x14ac:dyDescent="0.3">
      <c r="A4767" s="1" t="str">
        <f t="shared" si="904"/>
        <v>59829</v>
      </c>
      <c r="B4767" s="1" t="s">
        <v>47</v>
      </c>
      <c r="C4767" s="1" t="s">
        <v>48</v>
      </c>
      <c r="D4767" s="1" t="str">
        <f t="shared" si="902"/>
        <v>9801</v>
      </c>
      <c r="E4767" s="1" t="s">
        <v>25</v>
      </c>
      <c r="F4767" s="1" t="str">
        <f>"1570929745"</f>
        <v>1570929745</v>
      </c>
      <c r="G4767" s="1" t="s">
        <v>33</v>
      </c>
      <c r="H4767" s="1" t="str">
        <f t="shared" si="905"/>
        <v>20220921</v>
      </c>
      <c r="I4767" s="1" t="str">
        <f>"104107"</f>
        <v>104107</v>
      </c>
      <c r="J4767" s="1" t="s">
        <v>56</v>
      </c>
      <c r="K4767" s="1" t="s">
        <v>45</v>
      </c>
      <c r="L4767" s="1" t="str">
        <f t="shared" si="906"/>
        <v>20220921</v>
      </c>
      <c r="M4767" s="1" t="str">
        <f>"105102"</f>
        <v>105102</v>
      </c>
      <c r="N4767" s="1" t="s">
        <v>28</v>
      </c>
      <c r="O4767" s="1" t="s">
        <v>28</v>
      </c>
      <c r="P4767" s="1" t="s">
        <v>55</v>
      </c>
      <c r="Q4767" s="1">
        <v>25</v>
      </c>
      <c r="R4767" s="1">
        <v>25</v>
      </c>
      <c r="S4767" s="1">
        <v>0</v>
      </c>
      <c r="T4767" s="1">
        <v>0</v>
      </c>
      <c r="U4767" s="1">
        <v>0</v>
      </c>
      <c r="V4767" s="1" t="str">
        <f t="shared" si="903"/>
        <v>里程返程</v>
      </c>
      <c r="W4767" s="1" t="str">
        <f>"1420"</f>
        <v>1420</v>
      </c>
      <c r="X4767" s="1" t="s">
        <v>35</v>
      </c>
    </row>
    <row r="4768" spans="1:24" x14ac:dyDescent="0.3">
      <c r="A4768" s="1" t="str">
        <f t="shared" si="904"/>
        <v>59829</v>
      </c>
      <c r="B4768" s="1" t="s">
        <v>47</v>
      </c>
      <c r="C4768" s="1" t="s">
        <v>48</v>
      </c>
      <c r="D4768" s="1" t="str">
        <f t="shared" si="902"/>
        <v>9801</v>
      </c>
      <c r="E4768" s="1" t="s">
        <v>25</v>
      </c>
      <c r="F4768" s="1" t="str">
        <f>"1004582821"</f>
        <v>1004582821</v>
      </c>
      <c r="G4768" s="1" t="s">
        <v>33</v>
      </c>
      <c r="H4768" s="1" t="str">
        <f t="shared" si="905"/>
        <v>20220921</v>
      </c>
      <c r="I4768" s="1" t="str">
        <f>"115448"</f>
        <v>115448</v>
      </c>
      <c r="J4768" s="1" t="s">
        <v>28</v>
      </c>
      <c r="K4768" s="1" t="s">
        <v>28</v>
      </c>
      <c r="L4768" s="1" t="str">
        <f t="shared" si="906"/>
        <v>20220921</v>
      </c>
      <c r="M4768" s="1" t="str">
        <f>"121716"</f>
        <v>121716</v>
      </c>
      <c r="N4768" s="1" t="s">
        <v>65</v>
      </c>
      <c r="O4768" s="1" t="s">
        <v>52</v>
      </c>
      <c r="P4768" s="1" t="s">
        <v>55</v>
      </c>
      <c r="Q4768" s="1">
        <v>25</v>
      </c>
      <c r="R4768" s="1">
        <v>0</v>
      </c>
      <c r="S4768" s="1">
        <v>25</v>
      </c>
      <c r="T4768" s="1">
        <v>0</v>
      </c>
      <c r="U4768" s="1">
        <v>0</v>
      </c>
      <c r="V4768" s="1" t="str">
        <f t="shared" si="903"/>
        <v>里程返程</v>
      </c>
      <c r="W4768" s="1" t="str">
        <f>"0820"</f>
        <v>0820</v>
      </c>
      <c r="X4768" s="1" t="s">
        <v>35</v>
      </c>
    </row>
    <row r="4769" spans="1:24" x14ac:dyDescent="0.3">
      <c r="A4769" s="1" t="str">
        <f t="shared" si="904"/>
        <v>59829</v>
      </c>
      <c r="B4769" s="1" t="s">
        <v>47</v>
      </c>
      <c r="C4769" s="1" t="s">
        <v>48</v>
      </c>
      <c r="D4769" s="1" t="str">
        <f t="shared" si="902"/>
        <v>9801</v>
      </c>
      <c r="E4769" s="1" t="s">
        <v>25</v>
      </c>
      <c r="F4769" s="1" t="str">
        <f>"2373303355"</f>
        <v>2373303355</v>
      </c>
      <c r="G4769" s="1" t="s">
        <v>96</v>
      </c>
      <c r="H4769" s="1" t="str">
        <f t="shared" si="905"/>
        <v>20220921</v>
      </c>
      <c r="I4769" s="1" t="str">
        <f>"115504"</f>
        <v>115504</v>
      </c>
      <c r="J4769" s="1" t="s">
        <v>28</v>
      </c>
      <c r="K4769" s="1" t="s">
        <v>28</v>
      </c>
      <c r="L4769" s="1" t="str">
        <f t="shared" si="906"/>
        <v>20220921</v>
      </c>
      <c r="M4769" s="1" t="str">
        <f>"121247"</f>
        <v>121247</v>
      </c>
      <c r="N4769" s="1" t="s">
        <v>80</v>
      </c>
      <c r="O4769" s="1" t="s">
        <v>52</v>
      </c>
      <c r="P4769" s="1" t="s">
        <v>55</v>
      </c>
      <c r="Q4769" s="1">
        <v>13</v>
      </c>
      <c r="R4769" s="1">
        <v>13</v>
      </c>
      <c r="S4769" s="1">
        <v>0</v>
      </c>
      <c r="T4769" s="1">
        <v>0</v>
      </c>
      <c r="U4769" s="1">
        <v>0</v>
      </c>
      <c r="V4769" s="1" t="str">
        <f t="shared" si="903"/>
        <v>里程返程</v>
      </c>
      <c r="W4769" s="1" t="str">
        <f>"0120"</f>
        <v>0120</v>
      </c>
      <c r="X4769" s="1" t="s">
        <v>35</v>
      </c>
    </row>
    <row r="4770" spans="1:24" x14ac:dyDescent="0.3">
      <c r="A4770" s="1" t="str">
        <f t="shared" si="904"/>
        <v>59829</v>
      </c>
      <c r="B4770" s="1" t="s">
        <v>47</v>
      </c>
      <c r="C4770" s="1" t="s">
        <v>48</v>
      </c>
      <c r="D4770" s="1" t="str">
        <f t="shared" si="902"/>
        <v>9801</v>
      </c>
      <c r="E4770" s="1" t="s">
        <v>25</v>
      </c>
      <c r="F4770" s="1" t="str">
        <f>"323CC116D9880400C814002000000019"</f>
        <v>323CC116D9880400C814002000000019</v>
      </c>
      <c r="G4770" s="1" t="s">
        <v>64</v>
      </c>
      <c r="H4770" s="1" t="str">
        <f t="shared" si="905"/>
        <v>20220921</v>
      </c>
      <c r="I4770" s="1" t="str">
        <f>"115541"</f>
        <v>115541</v>
      </c>
      <c r="J4770" s="1" t="s">
        <v>28</v>
      </c>
      <c r="K4770" s="1" t="s">
        <v>28</v>
      </c>
      <c r="L4770" s="1" t="str">
        <f t="shared" si="906"/>
        <v>20220921</v>
      </c>
      <c r="M4770" s="1" t="str">
        <f>"122528"</f>
        <v>122528</v>
      </c>
      <c r="N4770" s="1" t="s">
        <v>52</v>
      </c>
      <c r="O4770" s="1" t="s">
        <v>52</v>
      </c>
      <c r="P4770" s="1" t="s">
        <v>55</v>
      </c>
      <c r="Q4770" s="1">
        <v>13</v>
      </c>
      <c r="R4770" s="1">
        <v>13</v>
      </c>
      <c r="S4770" s="1">
        <v>0</v>
      </c>
      <c r="T4770" s="1">
        <v>0</v>
      </c>
      <c r="U4770" s="1">
        <v>0</v>
      </c>
      <c r="V4770" s="1" t="str">
        <f t="shared" si="903"/>
        <v>里程返程</v>
      </c>
      <c r="W4770" s="1" t="str">
        <f>"0020"</f>
        <v>0020</v>
      </c>
      <c r="X4770" s="1" t="s">
        <v>29</v>
      </c>
    </row>
    <row r="4771" spans="1:24" x14ac:dyDescent="0.3">
      <c r="A4771" s="1" t="str">
        <f t="shared" si="904"/>
        <v>59829</v>
      </c>
      <c r="B4771" s="1" t="s">
        <v>47</v>
      </c>
      <c r="C4771" s="1" t="s">
        <v>48</v>
      </c>
      <c r="D4771" s="1" t="str">
        <f>"9805"</f>
        <v>9805</v>
      </c>
      <c r="E4771" s="1" t="s">
        <v>57</v>
      </c>
      <c r="F4771" s="1" t="str">
        <f>"1256272005"</f>
        <v>1256272005</v>
      </c>
      <c r="G4771" s="1" t="s">
        <v>33</v>
      </c>
      <c r="H4771" s="1" t="str">
        <f t="shared" si="905"/>
        <v>20220921</v>
      </c>
      <c r="I4771" s="1" t="str">
        <f>"142821"</f>
        <v>142821</v>
      </c>
      <c r="J4771" s="1" t="s">
        <v>28</v>
      </c>
      <c r="K4771" s="1" t="s">
        <v>28</v>
      </c>
      <c r="L4771" s="1" t="str">
        <f t="shared" si="906"/>
        <v>20220921</v>
      </c>
      <c r="M4771" s="1" t="str">
        <f>"143808"</f>
        <v>143808</v>
      </c>
      <c r="N4771" s="1" t="s">
        <v>46</v>
      </c>
      <c r="O4771" s="1" t="s">
        <v>28</v>
      </c>
      <c r="P4771" s="1" t="s">
        <v>55</v>
      </c>
      <c r="Q4771" s="1">
        <v>25</v>
      </c>
      <c r="R4771" s="1">
        <v>25</v>
      </c>
      <c r="S4771" s="1">
        <v>0</v>
      </c>
      <c r="T4771" s="1">
        <v>0</v>
      </c>
      <c r="U4771" s="1">
        <v>0</v>
      </c>
      <c r="V4771" s="1" t="str">
        <f>"里程去程"</f>
        <v>里程去程</v>
      </c>
      <c r="W4771" s="1" t="str">
        <f>"0820"</f>
        <v>0820</v>
      </c>
      <c r="X4771" s="1" t="s">
        <v>35</v>
      </c>
    </row>
    <row r="4772" spans="1:24" x14ac:dyDescent="0.3">
      <c r="A4772" s="1" t="str">
        <f t="shared" si="904"/>
        <v>59829</v>
      </c>
      <c r="B4772" s="1" t="s">
        <v>47</v>
      </c>
      <c r="C4772" s="1" t="s">
        <v>48</v>
      </c>
      <c r="D4772" s="1" t="str">
        <f>"9805"</f>
        <v>9805</v>
      </c>
      <c r="E4772" s="1" t="s">
        <v>57</v>
      </c>
      <c r="F4772" s="1" t="str">
        <f>"1047716629"</f>
        <v>1047716629</v>
      </c>
      <c r="G4772" s="1" t="s">
        <v>33</v>
      </c>
      <c r="H4772" s="1" t="str">
        <f t="shared" si="905"/>
        <v>20220921</v>
      </c>
      <c r="I4772" s="1" t="str">
        <f>"142849"</f>
        <v>142849</v>
      </c>
      <c r="J4772" s="1" t="s">
        <v>28</v>
      </c>
      <c r="K4772" s="1" t="s">
        <v>28</v>
      </c>
      <c r="L4772" s="1" t="str">
        <f t="shared" si="906"/>
        <v>20220921</v>
      </c>
      <c r="M4772" s="1" t="str">
        <f>"143647"</f>
        <v>143647</v>
      </c>
      <c r="N4772" s="1" t="s">
        <v>46</v>
      </c>
      <c r="O4772" s="1" t="s">
        <v>28</v>
      </c>
      <c r="P4772" s="1" t="s">
        <v>55</v>
      </c>
      <c r="Q4772" s="1">
        <v>25</v>
      </c>
      <c r="R4772" s="1">
        <v>25</v>
      </c>
      <c r="S4772" s="1">
        <v>0</v>
      </c>
      <c r="T4772" s="1">
        <v>0</v>
      </c>
      <c r="U4772" s="1">
        <v>0</v>
      </c>
      <c r="V4772" s="1" t="str">
        <f>"里程去程"</f>
        <v>里程去程</v>
      </c>
      <c r="W4772" s="1" t="str">
        <f>"0120"</f>
        <v>0120</v>
      </c>
      <c r="X4772" s="1" t="s">
        <v>35</v>
      </c>
    </row>
    <row r="4773" spans="1:24" x14ac:dyDescent="0.3">
      <c r="A4773" s="1" t="str">
        <f t="shared" si="904"/>
        <v>59829</v>
      </c>
      <c r="B4773" s="1" t="s">
        <v>47</v>
      </c>
      <c r="C4773" s="1" t="s">
        <v>48</v>
      </c>
      <c r="D4773" s="1" t="str">
        <f>"9805"</f>
        <v>9805</v>
      </c>
      <c r="E4773" s="1" t="s">
        <v>57</v>
      </c>
      <c r="F4773" s="1" t="str">
        <f>"110292213"</f>
        <v>110292213</v>
      </c>
      <c r="G4773" s="1" t="s">
        <v>33</v>
      </c>
      <c r="H4773" s="1" t="str">
        <f t="shared" si="905"/>
        <v>20220921</v>
      </c>
      <c r="I4773" s="1" t="str">
        <f>"142853"</f>
        <v>142853</v>
      </c>
      <c r="J4773" s="1" t="s">
        <v>28</v>
      </c>
      <c r="K4773" s="1" t="s">
        <v>28</v>
      </c>
      <c r="L4773" s="1" t="str">
        <f t="shared" si="906"/>
        <v>20220921</v>
      </c>
      <c r="M4773" s="1" t="str">
        <f>"143805"</f>
        <v>143805</v>
      </c>
      <c r="N4773" s="1" t="s">
        <v>46</v>
      </c>
      <c r="O4773" s="1" t="s">
        <v>28</v>
      </c>
      <c r="P4773" s="1" t="s">
        <v>55</v>
      </c>
      <c r="Q4773" s="1">
        <v>25</v>
      </c>
      <c r="R4773" s="1">
        <v>25</v>
      </c>
      <c r="S4773" s="1">
        <v>0</v>
      </c>
      <c r="T4773" s="1">
        <v>0</v>
      </c>
      <c r="U4773" s="1">
        <v>0</v>
      </c>
      <c r="V4773" s="1" t="str">
        <f>"里程去程"</f>
        <v>里程去程</v>
      </c>
      <c r="W4773" s="1" t="str">
        <f>"0820"</f>
        <v>0820</v>
      </c>
      <c r="X4773" s="1" t="s">
        <v>35</v>
      </c>
    </row>
    <row r="4774" spans="1:24" x14ac:dyDescent="0.3">
      <c r="A4774" s="1" t="str">
        <f t="shared" si="904"/>
        <v>59829</v>
      </c>
      <c r="B4774" s="1" t="s">
        <v>47</v>
      </c>
      <c r="C4774" s="1" t="s">
        <v>48</v>
      </c>
      <c r="D4774" s="1" t="str">
        <f>"9803"</f>
        <v>9803</v>
      </c>
      <c r="E4774" s="1" t="s">
        <v>32</v>
      </c>
      <c r="F4774" s="1" t="str">
        <f>"1709069061"</f>
        <v>1709069061</v>
      </c>
      <c r="G4774" s="1" t="s">
        <v>33</v>
      </c>
      <c r="H4774" s="1" t="str">
        <f t="shared" si="905"/>
        <v>20220921</v>
      </c>
      <c r="I4774" s="1" t="str">
        <f>"152141"</f>
        <v>152141</v>
      </c>
      <c r="J4774" s="1" t="s">
        <v>46</v>
      </c>
      <c r="K4774" s="1" t="s">
        <v>28</v>
      </c>
      <c r="L4774" s="1" t="str">
        <f t="shared" si="906"/>
        <v>20220921</v>
      </c>
      <c r="M4774" s="1" t="str">
        <f>"153108"</f>
        <v>153108</v>
      </c>
      <c r="N4774" s="1" t="s">
        <v>34</v>
      </c>
      <c r="O4774" s="1" t="s">
        <v>34</v>
      </c>
      <c r="P4774" s="1" t="s">
        <v>55</v>
      </c>
      <c r="Q4774" s="1">
        <v>25</v>
      </c>
      <c r="R4774" s="1">
        <v>25</v>
      </c>
      <c r="S4774" s="1">
        <v>0</v>
      </c>
      <c r="T4774" s="1">
        <v>0</v>
      </c>
      <c r="U4774" s="1">
        <v>0</v>
      </c>
      <c r="V4774" s="1" t="str">
        <f>"里程去程"</f>
        <v>里程去程</v>
      </c>
      <c r="W4774" s="1" t="str">
        <f>"2020"</f>
        <v>2020</v>
      </c>
      <c r="X4774" s="1" t="s">
        <v>35</v>
      </c>
    </row>
    <row r="4775" spans="1:24" x14ac:dyDescent="0.3">
      <c r="A4775" s="1" t="str">
        <f t="shared" si="904"/>
        <v>59829</v>
      </c>
      <c r="B4775" s="1" t="s">
        <v>47</v>
      </c>
      <c r="C4775" s="1" t="s">
        <v>48</v>
      </c>
      <c r="D4775" s="1" t="str">
        <f>"9803"</f>
        <v>9803</v>
      </c>
      <c r="E4775" s="1" t="s">
        <v>32</v>
      </c>
      <c r="F4775" s="1" t="str">
        <f>"1755376981"</f>
        <v>1755376981</v>
      </c>
      <c r="G4775" s="1" t="s">
        <v>33</v>
      </c>
      <c r="H4775" s="1" t="str">
        <f t="shared" si="905"/>
        <v>20220921</v>
      </c>
      <c r="I4775" s="1" t="str">
        <f>"153202"</f>
        <v>153202</v>
      </c>
      <c r="J4775" s="1" t="s">
        <v>34</v>
      </c>
      <c r="K4775" s="1" t="s">
        <v>34</v>
      </c>
      <c r="L4775" s="1" t="str">
        <f t="shared" si="906"/>
        <v>20220921</v>
      </c>
      <c r="M4775" s="1" t="str">
        <f>"160830"</f>
        <v>160830</v>
      </c>
      <c r="N4775" s="1" t="s">
        <v>28</v>
      </c>
      <c r="O4775" s="1" t="s">
        <v>28</v>
      </c>
      <c r="P4775" s="1" t="s">
        <v>55</v>
      </c>
      <c r="Q4775" s="1">
        <v>25</v>
      </c>
      <c r="R4775" s="1">
        <v>25</v>
      </c>
      <c r="S4775" s="1">
        <v>0</v>
      </c>
      <c r="T4775" s="1">
        <v>0</v>
      </c>
      <c r="U4775" s="1">
        <v>0</v>
      </c>
      <c r="V4775" s="1" t="str">
        <f>"里程返程"</f>
        <v>里程返程</v>
      </c>
      <c r="W4775" s="1" t="str">
        <f>"2020"</f>
        <v>2020</v>
      </c>
      <c r="X4775" s="1" t="s">
        <v>35</v>
      </c>
    </row>
    <row r="4776" spans="1:24" x14ac:dyDescent="0.3">
      <c r="A4776" s="1" t="str">
        <f t="shared" si="904"/>
        <v>59829</v>
      </c>
      <c r="B4776" s="1" t="s">
        <v>47</v>
      </c>
      <c r="C4776" s="1" t="s">
        <v>48</v>
      </c>
      <c r="D4776" s="1" t="str">
        <f>"9803"</f>
        <v>9803</v>
      </c>
      <c r="E4776" s="1" t="s">
        <v>32</v>
      </c>
      <c r="F4776" s="1" t="str">
        <f>"5437610"</f>
        <v>5437610</v>
      </c>
      <c r="G4776" s="1" t="s">
        <v>33</v>
      </c>
      <c r="H4776" s="1" t="str">
        <f t="shared" si="905"/>
        <v>20220921</v>
      </c>
      <c r="I4776" s="1" t="str">
        <f>"153901"</f>
        <v>153901</v>
      </c>
      <c r="J4776" s="1" t="s">
        <v>34</v>
      </c>
      <c r="K4776" s="1" t="s">
        <v>34</v>
      </c>
      <c r="L4776" s="1" t="str">
        <f t="shared" si="906"/>
        <v>20220921</v>
      </c>
      <c r="M4776" s="1" t="str">
        <f>"160827"</f>
        <v>160827</v>
      </c>
      <c r="N4776" s="1" t="s">
        <v>28</v>
      </c>
      <c r="O4776" s="1" t="s">
        <v>28</v>
      </c>
      <c r="P4776" s="1" t="s">
        <v>55</v>
      </c>
      <c r="Q4776" s="1">
        <v>25</v>
      </c>
      <c r="R4776" s="1">
        <v>25</v>
      </c>
      <c r="S4776" s="1">
        <v>0</v>
      </c>
      <c r="T4776" s="1">
        <v>0</v>
      </c>
      <c r="U4776" s="1">
        <v>0</v>
      </c>
      <c r="V4776" s="1" t="str">
        <f>"里程返程"</f>
        <v>里程返程</v>
      </c>
      <c r="W4776" s="1" t="str">
        <f>"2020"</f>
        <v>2020</v>
      </c>
      <c r="X4776" s="1" t="s">
        <v>35</v>
      </c>
    </row>
    <row r="4777" spans="1:24" x14ac:dyDescent="0.3">
      <c r="A4777" s="1" t="str">
        <f t="shared" si="904"/>
        <v>59829</v>
      </c>
      <c r="B4777" s="1" t="s">
        <v>47</v>
      </c>
      <c r="C4777" s="1" t="s">
        <v>48</v>
      </c>
      <c r="D4777" s="1" t="str">
        <f>"9803"</f>
        <v>9803</v>
      </c>
      <c r="E4777" s="1" t="s">
        <v>32</v>
      </c>
      <c r="F4777" s="1" t="str">
        <f>"1722258085"</f>
        <v>1722258085</v>
      </c>
      <c r="G4777" s="1" t="s">
        <v>38</v>
      </c>
      <c r="H4777" s="1" t="str">
        <f t="shared" si="905"/>
        <v>20220921</v>
      </c>
      <c r="I4777" s="1" t="str">
        <f>"154001"</f>
        <v>154001</v>
      </c>
      <c r="J4777" s="1" t="s">
        <v>34</v>
      </c>
      <c r="K4777" s="1" t="s">
        <v>34</v>
      </c>
      <c r="L4777" s="1" t="str">
        <f t="shared" si="906"/>
        <v>20220921</v>
      </c>
      <c r="M4777" s="1" t="str">
        <f>"155142"</f>
        <v>155142</v>
      </c>
      <c r="N4777" s="1" t="s">
        <v>46</v>
      </c>
      <c r="O4777" s="1" t="s">
        <v>28</v>
      </c>
      <c r="P4777" s="1" t="s">
        <v>55</v>
      </c>
      <c r="Q4777" s="1">
        <v>25</v>
      </c>
      <c r="R4777" s="1">
        <v>25</v>
      </c>
      <c r="S4777" s="1">
        <v>0</v>
      </c>
      <c r="T4777" s="1">
        <v>0</v>
      </c>
      <c r="U4777" s="1">
        <v>0</v>
      </c>
      <c r="V4777" s="1" t="str">
        <f>"里程返程"</f>
        <v>里程返程</v>
      </c>
      <c r="W4777" s="1" t="str">
        <f>"2020"</f>
        <v>2020</v>
      </c>
      <c r="X4777" s="1" t="s">
        <v>35</v>
      </c>
    </row>
    <row r="4778" spans="1:24" x14ac:dyDescent="0.3">
      <c r="A4778" s="1" t="str">
        <f t="shared" si="904"/>
        <v>59829</v>
      </c>
      <c r="B4778" s="1" t="s">
        <v>47</v>
      </c>
      <c r="C4778" s="1" t="s">
        <v>48</v>
      </c>
      <c r="D4778" s="1" t="str">
        <f>"9806"</f>
        <v>9806</v>
      </c>
      <c r="E4778" s="1" t="s">
        <v>49</v>
      </c>
      <c r="F4778" s="1" t="str">
        <f>"538267473"</f>
        <v>538267473</v>
      </c>
      <c r="G4778" s="1" t="s">
        <v>33</v>
      </c>
      <c r="H4778" s="1" t="str">
        <f t="shared" si="905"/>
        <v>20220921</v>
      </c>
      <c r="I4778" s="1" t="str">
        <f>"163340"</f>
        <v>163340</v>
      </c>
      <c r="J4778" s="1" t="s">
        <v>76</v>
      </c>
      <c r="K4778" s="1" t="s">
        <v>28</v>
      </c>
      <c r="L4778" s="1" t="str">
        <f t="shared" si="906"/>
        <v>20220921</v>
      </c>
      <c r="M4778" s="1" t="str">
        <f>"164731"</f>
        <v>164731</v>
      </c>
      <c r="N4778" s="1" t="s">
        <v>28</v>
      </c>
      <c r="O4778" s="1" t="s">
        <v>28</v>
      </c>
      <c r="P4778" s="1" t="s">
        <v>55</v>
      </c>
      <c r="Q4778" s="1">
        <v>25</v>
      </c>
      <c r="R4778" s="1">
        <v>25</v>
      </c>
      <c r="S4778" s="1">
        <v>0</v>
      </c>
      <c r="T4778" s="1">
        <v>0</v>
      </c>
      <c r="U4778" s="1">
        <v>0</v>
      </c>
      <c r="V4778" s="1" t="str">
        <f t="shared" ref="V4778:V4798" si="907">"里程去程"</f>
        <v>里程去程</v>
      </c>
      <c r="W4778" s="1" t="str">
        <f>"2020"</f>
        <v>2020</v>
      </c>
      <c r="X4778" s="1" t="s">
        <v>35</v>
      </c>
    </row>
    <row r="4779" spans="1:24" x14ac:dyDescent="0.3">
      <c r="A4779" s="1" t="str">
        <f t="shared" si="904"/>
        <v>59829</v>
      </c>
      <c r="B4779" s="1" t="s">
        <v>47</v>
      </c>
      <c r="C4779" s="1" t="s">
        <v>48</v>
      </c>
      <c r="D4779" s="1" t="str">
        <f>"9806"</f>
        <v>9806</v>
      </c>
      <c r="E4779" s="1" t="s">
        <v>49</v>
      </c>
      <c r="F4779" s="1" t="str">
        <f>"1695105317"</f>
        <v>1695105317</v>
      </c>
      <c r="G4779" s="1" t="s">
        <v>33</v>
      </c>
      <c r="H4779" s="1" t="str">
        <f t="shared" si="905"/>
        <v>20220921</v>
      </c>
      <c r="I4779" s="1" t="str">
        <f>"163349"</f>
        <v>163349</v>
      </c>
      <c r="J4779" s="1" t="s">
        <v>76</v>
      </c>
      <c r="K4779" s="1" t="s">
        <v>28</v>
      </c>
      <c r="L4779" s="1" t="str">
        <f t="shared" si="906"/>
        <v>20220921</v>
      </c>
      <c r="M4779" s="1" t="str">
        <f>"164727"</f>
        <v>164727</v>
      </c>
      <c r="N4779" s="1" t="s">
        <v>28</v>
      </c>
      <c r="O4779" s="1" t="s">
        <v>28</v>
      </c>
      <c r="P4779" s="1" t="s">
        <v>55</v>
      </c>
      <c r="Q4779" s="1">
        <v>25</v>
      </c>
      <c r="R4779" s="1">
        <v>25</v>
      </c>
      <c r="S4779" s="1">
        <v>0</v>
      </c>
      <c r="T4779" s="1">
        <v>0</v>
      </c>
      <c r="U4779" s="1">
        <v>0</v>
      </c>
      <c r="V4779" s="1" t="str">
        <f t="shared" si="907"/>
        <v>里程去程</v>
      </c>
      <c r="W4779" s="1" t="str">
        <f>"0820"</f>
        <v>0820</v>
      </c>
      <c r="X4779" s="1" t="s">
        <v>35</v>
      </c>
    </row>
    <row r="4780" spans="1:24" x14ac:dyDescent="0.3">
      <c r="A4780" s="1" t="str">
        <f t="shared" ref="A4780:A4803" si="908">"59809"</f>
        <v>59809</v>
      </c>
      <c r="B4780" s="1" t="s">
        <v>42</v>
      </c>
      <c r="C4780" s="1" t="s">
        <v>43</v>
      </c>
      <c r="D4780" s="1" t="str">
        <f>"9805"</f>
        <v>9805</v>
      </c>
      <c r="E4780" s="1" t="s">
        <v>57</v>
      </c>
      <c r="F4780" s="1" t="str">
        <f>"F29BD102BA880400C834002000000015"</f>
        <v>F29BD102BA880400C834002000000015</v>
      </c>
      <c r="G4780" s="1" t="s">
        <v>26</v>
      </c>
      <c r="H4780" s="1" t="str">
        <f t="shared" ref="H4780:H4811" si="909">"20220922"</f>
        <v>20220922</v>
      </c>
      <c r="I4780" s="1" t="str">
        <f>"104213"</f>
        <v>104213</v>
      </c>
      <c r="J4780" s="1" t="s">
        <v>28</v>
      </c>
      <c r="K4780" s="1" t="s">
        <v>28</v>
      </c>
      <c r="L4780" s="1" t="str">
        <f t="shared" ref="L4780:L4816" si="910">"20220922"</f>
        <v>20220922</v>
      </c>
      <c r="M4780" s="1" t="str">
        <f>"105512"</f>
        <v>105512</v>
      </c>
      <c r="N4780" s="1" t="s">
        <v>62</v>
      </c>
      <c r="O4780" s="1" t="s">
        <v>28</v>
      </c>
      <c r="P4780" s="1" t="s">
        <v>68</v>
      </c>
      <c r="Q4780" s="1">
        <v>13</v>
      </c>
      <c r="R4780" s="1">
        <v>0</v>
      </c>
      <c r="S4780" s="1">
        <v>0</v>
      </c>
      <c r="T4780" s="1">
        <v>13</v>
      </c>
      <c r="U4780" s="1">
        <v>0</v>
      </c>
      <c r="V4780" s="1" t="str">
        <f t="shared" si="907"/>
        <v>里程去程</v>
      </c>
      <c r="W4780" s="1" t="str">
        <f>"0020"</f>
        <v>0020</v>
      </c>
      <c r="X4780" s="1" t="s">
        <v>29</v>
      </c>
    </row>
    <row r="4781" spans="1:24" x14ac:dyDescent="0.3">
      <c r="A4781" s="1" t="str">
        <f t="shared" si="908"/>
        <v>59809</v>
      </c>
      <c r="B4781" s="1" t="s">
        <v>42</v>
      </c>
      <c r="C4781" s="1" t="s">
        <v>43</v>
      </c>
      <c r="D4781" s="1" t="str">
        <f>"9805"</f>
        <v>9805</v>
      </c>
      <c r="E4781" s="1" t="s">
        <v>57</v>
      </c>
      <c r="F4781" s="1" t="str">
        <f>"526DD202EF880400C834002000000015"</f>
        <v>526DD202EF880400C834002000000015</v>
      </c>
      <c r="G4781" s="1" t="s">
        <v>26</v>
      </c>
      <c r="H4781" s="1" t="str">
        <f t="shared" si="909"/>
        <v>20220922</v>
      </c>
      <c r="I4781" s="1" t="str">
        <f>"104216"</f>
        <v>104216</v>
      </c>
      <c r="J4781" s="1" t="s">
        <v>28</v>
      </c>
      <c r="K4781" s="1" t="s">
        <v>28</v>
      </c>
      <c r="L4781" s="1" t="str">
        <f t="shared" si="910"/>
        <v>20220922</v>
      </c>
      <c r="M4781" s="1" t="str">
        <f>"105419"</f>
        <v>105419</v>
      </c>
      <c r="N4781" s="1" t="s">
        <v>56</v>
      </c>
      <c r="O4781" s="1" t="s">
        <v>28</v>
      </c>
      <c r="P4781" s="1" t="s">
        <v>68</v>
      </c>
      <c r="Q4781" s="1">
        <v>13</v>
      </c>
      <c r="R4781" s="1">
        <v>0</v>
      </c>
      <c r="S4781" s="1">
        <v>0</v>
      </c>
      <c r="T4781" s="1">
        <v>13</v>
      </c>
      <c r="U4781" s="1">
        <v>0</v>
      </c>
      <c r="V4781" s="1" t="str">
        <f t="shared" si="907"/>
        <v>里程去程</v>
      </c>
      <c r="W4781" s="1" t="str">
        <f>"0020"</f>
        <v>0020</v>
      </c>
      <c r="X4781" s="1" t="s">
        <v>29</v>
      </c>
    </row>
    <row r="4782" spans="1:24" x14ac:dyDescent="0.3">
      <c r="A4782" s="1" t="str">
        <f t="shared" si="908"/>
        <v>59809</v>
      </c>
      <c r="B4782" s="1" t="s">
        <v>42</v>
      </c>
      <c r="C4782" s="1" t="s">
        <v>43</v>
      </c>
      <c r="D4782" s="1" t="str">
        <f>"9805"</f>
        <v>9805</v>
      </c>
      <c r="E4782" s="1" t="s">
        <v>57</v>
      </c>
      <c r="F4782" s="1" t="str">
        <f>"32780D0344880400C834002000000015"</f>
        <v>32780D0344880400C834002000000015</v>
      </c>
      <c r="G4782" s="1" t="s">
        <v>26</v>
      </c>
      <c r="H4782" s="1" t="str">
        <f t="shared" si="909"/>
        <v>20220922</v>
      </c>
      <c r="I4782" s="1" t="str">
        <f>"105343"</f>
        <v>105343</v>
      </c>
      <c r="J4782" s="1" t="s">
        <v>56</v>
      </c>
      <c r="K4782" s="1" t="s">
        <v>28</v>
      </c>
      <c r="L4782" s="1" t="str">
        <f t="shared" si="910"/>
        <v>20220922</v>
      </c>
      <c r="M4782" s="1" t="str">
        <f>"105528"</f>
        <v>105528</v>
      </c>
      <c r="N4782" s="1" t="s">
        <v>62</v>
      </c>
      <c r="O4782" s="1" t="s">
        <v>28</v>
      </c>
      <c r="P4782" s="1" t="s">
        <v>68</v>
      </c>
      <c r="Q4782" s="1">
        <v>13</v>
      </c>
      <c r="R4782" s="1">
        <v>0</v>
      </c>
      <c r="S4782" s="1">
        <v>0</v>
      </c>
      <c r="T4782" s="1">
        <v>13</v>
      </c>
      <c r="U4782" s="1">
        <v>0</v>
      </c>
      <c r="V4782" s="1" t="str">
        <f t="shared" si="907"/>
        <v>里程去程</v>
      </c>
      <c r="W4782" s="1" t="str">
        <f>"0020"</f>
        <v>0020</v>
      </c>
      <c r="X4782" s="1" t="s">
        <v>29</v>
      </c>
    </row>
    <row r="4783" spans="1:24" x14ac:dyDescent="0.3">
      <c r="A4783" s="1" t="str">
        <f t="shared" si="908"/>
        <v>59809</v>
      </c>
      <c r="B4783" s="1" t="s">
        <v>42</v>
      </c>
      <c r="C4783" s="1" t="s">
        <v>43</v>
      </c>
      <c r="D4783" s="1" t="str">
        <f t="shared" ref="D4783:D4802" si="911">"9801"</f>
        <v>9801</v>
      </c>
      <c r="E4783" s="1" t="s">
        <v>25</v>
      </c>
      <c r="F4783" s="1" t="str">
        <f>"1725435766"</f>
        <v>1725435766</v>
      </c>
      <c r="G4783" s="1" t="s">
        <v>26</v>
      </c>
      <c r="H4783" s="1" t="str">
        <f t="shared" si="909"/>
        <v>20220922</v>
      </c>
      <c r="I4783" s="1" t="str">
        <f>"110756"</f>
        <v>110756</v>
      </c>
      <c r="J4783" s="1" t="s">
        <v>51</v>
      </c>
      <c r="K4783" s="1" t="s">
        <v>52</v>
      </c>
      <c r="L4783" s="1" t="str">
        <f t="shared" si="910"/>
        <v>20220922</v>
      </c>
      <c r="M4783" s="1" t="str">
        <f>"112028"</f>
        <v>112028</v>
      </c>
      <c r="N4783" s="1" t="s">
        <v>69</v>
      </c>
      <c r="O4783" s="1" t="s">
        <v>52</v>
      </c>
      <c r="P4783" s="1" t="s">
        <v>55</v>
      </c>
      <c r="Q4783" s="1">
        <v>13</v>
      </c>
      <c r="R4783" s="1">
        <v>0</v>
      </c>
      <c r="S4783" s="1">
        <v>13</v>
      </c>
      <c r="T4783" s="1">
        <v>0</v>
      </c>
      <c r="U4783" s="1">
        <v>0</v>
      </c>
      <c r="V4783" s="1" t="str">
        <f t="shared" si="907"/>
        <v>里程去程</v>
      </c>
      <c r="W4783" s="1" t="str">
        <f>"2020"</f>
        <v>2020</v>
      </c>
      <c r="X4783" s="1" t="s">
        <v>35</v>
      </c>
    </row>
    <row r="4784" spans="1:24" x14ac:dyDescent="0.3">
      <c r="A4784" s="1" t="str">
        <f t="shared" si="908"/>
        <v>59809</v>
      </c>
      <c r="B4784" s="1" t="s">
        <v>42</v>
      </c>
      <c r="C4784" s="1" t="s">
        <v>43</v>
      </c>
      <c r="D4784" s="1" t="str">
        <f t="shared" si="911"/>
        <v>9801</v>
      </c>
      <c r="E4784" s="1" t="s">
        <v>25</v>
      </c>
      <c r="F4784" s="1" t="str">
        <f>"1129190405"</f>
        <v>1129190405</v>
      </c>
      <c r="G4784" s="1" t="s">
        <v>33</v>
      </c>
      <c r="H4784" s="1" t="str">
        <f t="shared" si="909"/>
        <v>20220922</v>
      </c>
      <c r="I4784" s="1" t="str">
        <f>"111238"</f>
        <v>111238</v>
      </c>
      <c r="J4784" s="1" t="s">
        <v>65</v>
      </c>
      <c r="K4784" s="1" t="s">
        <v>52</v>
      </c>
      <c r="L4784" s="1" t="str">
        <f t="shared" si="910"/>
        <v>20220922</v>
      </c>
      <c r="M4784" s="1" t="str">
        <f>"112713"</f>
        <v>112713</v>
      </c>
      <c r="N4784" s="1" t="s">
        <v>84</v>
      </c>
      <c r="O4784" s="1" t="s">
        <v>28</v>
      </c>
      <c r="P4784" s="1" t="s">
        <v>55</v>
      </c>
      <c r="Q4784" s="1">
        <v>25</v>
      </c>
      <c r="R4784" s="1">
        <v>0</v>
      </c>
      <c r="S4784" s="1">
        <v>25</v>
      </c>
      <c r="T4784" s="1">
        <v>0</v>
      </c>
      <c r="U4784" s="1">
        <v>0</v>
      </c>
      <c r="V4784" s="1" t="str">
        <f t="shared" si="907"/>
        <v>里程去程</v>
      </c>
      <c r="W4784" s="1" t="str">
        <f>"2120"</f>
        <v>2120</v>
      </c>
      <c r="X4784" s="1" t="s">
        <v>35</v>
      </c>
    </row>
    <row r="4785" spans="1:24" x14ac:dyDescent="0.3">
      <c r="A4785" s="1" t="str">
        <f t="shared" si="908"/>
        <v>59809</v>
      </c>
      <c r="B4785" s="1" t="s">
        <v>42</v>
      </c>
      <c r="C4785" s="1" t="s">
        <v>43</v>
      </c>
      <c r="D4785" s="1" t="str">
        <f t="shared" si="911"/>
        <v>9801</v>
      </c>
      <c r="E4785" s="1" t="s">
        <v>25</v>
      </c>
      <c r="F4785" s="1" t="str">
        <f>"1382277185"</f>
        <v>1382277185</v>
      </c>
      <c r="G4785" s="1" t="s">
        <v>33</v>
      </c>
      <c r="H4785" s="1" t="str">
        <f t="shared" si="909"/>
        <v>20220922</v>
      </c>
      <c r="I4785" s="1" t="str">
        <f>"111530"</f>
        <v>111530</v>
      </c>
      <c r="J4785" s="1" t="s">
        <v>80</v>
      </c>
      <c r="K4785" s="1" t="s">
        <v>52</v>
      </c>
      <c r="L4785" s="1" t="str">
        <f t="shared" si="910"/>
        <v>20220922</v>
      </c>
      <c r="M4785" s="1" t="str">
        <f>"113243"</f>
        <v>113243</v>
      </c>
      <c r="N4785" s="1" t="s">
        <v>70</v>
      </c>
      <c r="O4785" s="1" t="s">
        <v>28</v>
      </c>
      <c r="P4785" s="1" t="s">
        <v>55</v>
      </c>
      <c r="Q4785" s="1">
        <v>25</v>
      </c>
      <c r="R4785" s="1">
        <v>25</v>
      </c>
      <c r="S4785" s="1">
        <v>0</v>
      </c>
      <c r="T4785" s="1">
        <v>0</v>
      </c>
      <c r="U4785" s="1">
        <v>0</v>
      </c>
      <c r="V4785" s="1" t="str">
        <f t="shared" si="907"/>
        <v>里程去程</v>
      </c>
      <c r="W4785" s="1" t="str">
        <f>"0820"</f>
        <v>0820</v>
      </c>
      <c r="X4785" s="1" t="s">
        <v>35</v>
      </c>
    </row>
    <row r="4786" spans="1:24" x14ac:dyDescent="0.3">
      <c r="A4786" s="1" t="str">
        <f t="shared" si="908"/>
        <v>59809</v>
      </c>
      <c r="B4786" s="1" t="s">
        <v>42</v>
      </c>
      <c r="C4786" s="1" t="s">
        <v>43</v>
      </c>
      <c r="D4786" s="1" t="str">
        <f t="shared" si="911"/>
        <v>9801</v>
      </c>
      <c r="E4786" s="1" t="s">
        <v>25</v>
      </c>
      <c r="F4786" s="1" t="str">
        <f>"22C31018E9880400C814002000000019"</f>
        <v>22C31018E9880400C814002000000019</v>
      </c>
      <c r="G4786" s="1" t="s">
        <v>26</v>
      </c>
      <c r="H4786" s="1" t="str">
        <f t="shared" si="909"/>
        <v>20220922</v>
      </c>
      <c r="I4786" s="1" t="str">
        <f>"113646"</f>
        <v>113646</v>
      </c>
      <c r="J4786" s="1" t="s">
        <v>27</v>
      </c>
      <c r="K4786" s="1" t="s">
        <v>28</v>
      </c>
      <c r="L4786" s="1" t="str">
        <f t="shared" si="910"/>
        <v>20220922</v>
      </c>
      <c r="M4786" s="1" t="str">
        <f>"115603"</f>
        <v>115603</v>
      </c>
      <c r="N4786" s="1" t="s">
        <v>44</v>
      </c>
      <c r="O4786" s="1" t="s">
        <v>45</v>
      </c>
      <c r="P4786" s="1" t="s">
        <v>55</v>
      </c>
      <c r="Q4786" s="1">
        <v>13</v>
      </c>
      <c r="R4786" s="1">
        <v>0</v>
      </c>
      <c r="S4786" s="1">
        <v>13</v>
      </c>
      <c r="T4786" s="1">
        <v>0</v>
      </c>
      <c r="U4786" s="1">
        <v>0</v>
      </c>
      <c r="V4786" s="1" t="str">
        <f t="shared" si="907"/>
        <v>里程去程</v>
      </c>
      <c r="W4786" s="1" t="str">
        <f>"0620"</f>
        <v>0620</v>
      </c>
      <c r="X4786" s="1" t="s">
        <v>29</v>
      </c>
    </row>
    <row r="4787" spans="1:24" x14ac:dyDescent="0.3">
      <c r="A4787" s="1" t="str">
        <f t="shared" si="908"/>
        <v>59809</v>
      </c>
      <c r="B4787" s="1" t="s">
        <v>42</v>
      </c>
      <c r="C4787" s="1" t="s">
        <v>43</v>
      </c>
      <c r="D4787" s="1" t="str">
        <f t="shared" si="911"/>
        <v>9801</v>
      </c>
      <c r="E4787" s="1" t="s">
        <v>25</v>
      </c>
      <c r="F4787" s="1" t="str">
        <f>"87AB983A8E280400F700000000000000"</f>
        <v>87AB983A8E280400F700000000000000</v>
      </c>
      <c r="G4787" s="1" t="s">
        <v>58</v>
      </c>
      <c r="H4787" s="1" t="str">
        <f t="shared" si="909"/>
        <v>20220922</v>
      </c>
      <c r="I4787" s="1" t="str">
        <f>"121404"</f>
        <v>121404</v>
      </c>
      <c r="J4787" s="1" t="s">
        <v>80</v>
      </c>
      <c r="K4787" s="1" t="s">
        <v>52</v>
      </c>
      <c r="L4787" s="1" t="str">
        <f t="shared" si="910"/>
        <v>20220922</v>
      </c>
      <c r="M4787" s="1" t="str">
        <f>"122902"</f>
        <v>122902</v>
      </c>
      <c r="N4787" s="1" t="s">
        <v>70</v>
      </c>
      <c r="O4787" s="1" t="s">
        <v>28</v>
      </c>
      <c r="P4787" s="1" t="s">
        <v>55</v>
      </c>
      <c r="Q4787" s="1">
        <v>25</v>
      </c>
      <c r="R4787" s="1">
        <v>25</v>
      </c>
      <c r="S4787" s="1">
        <v>0</v>
      </c>
      <c r="T4787" s="1">
        <v>0</v>
      </c>
      <c r="U4787" s="1">
        <v>0</v>
      </c>
      <c r="V4787" s="1" t="str">
        <f t="shared" si="907"/>
        <v>里程去程</v>
      </c>
      <c r="W4787" s="1" t="str">
        <f>"0020"</f>
        <v>0020</v>
      </c>
      <c r="X4787" s="1" t="s">
        <v>29</v>
      </c>
    </row>
    <row r="4788" spans="1:24" x14ac:dyDescent="0.3">
      <c r="A4788" s="1" t="str">
        <f t="shared" si="908"/>
        <v>59809</v>
      </c>
      <c r="B4788" s="1" t="s">
        <v>42</v>
      </c>
      <c r="C4788" s="1" t="s">
        <v>43</v>
      </c>
      <c r="D4788" s="1" t="str">
        <f t="shared" si="911"/>
        <v>9801</v>
      </c>
      <c r="E4788" s="1" t="s">
        <v>25</v>
      </c>
      <c r="F4788" s="1" t="str">
        <f>"8227D00277880400C834002000000015"</f>
        <v>8227D00277880400C834002000000015</v>
      </c>
      <c r="G4788" s="1" t="s">
        <v>26</v>
      </c>
      <c r="H4788" s="1" t="str">
        <f t="shared" si="909"/>
        <v>20220922</v>
      </c>
      <c r="I4788" s="1" t="str">
        <f>"122041"</f>
        <v>122041</v>
      </c>
      <c r="J4788" s="1" t="s">
        <v>78</v>
      </c>
      <c r="K4788" s="1" t="s">
        <v>52</v>
      </c>
      <c r="L4788" s="1" t="str">
        <f t="shared" si="910"/>
        <v>20220922</v>
      </c>
      <c r="M4788" s="1" t="str">
        <f>"122855"</f>
        <v>122855</v>
      </c>
      <c r="N4788" s="1" t="s">
        <v>70</v>
      </c>
      <c r="O4788" s="1" t="s">
        <v>28</v>
      </c>
      <c r="P4788" s="1" t="s">
        <v>68</v>
      </c>
      <c r="Q4788" s="1">
        <v>13</v>
      </c>
      <c r="R4788" s="1">
        <v>0</v>
      </c>
      <c r="S4788" s="1">
        <v>0</v>
      </c>
      <c r="T4788" s="1">
        <v>13</v>
      </c>
      <c r="U4788" s="1">
        <v>0</v>
      </c>
      <c r="V4788" s="1" t="str">
        <f t="shared" si="907"/>
        <v>里程去程</v>
      </c>
      <c r="W4788" s="1" t="str">
        <f>"0020"</f>
        <v>0020</v>
      </c>
      <c r="X4788" s="1" t="s">
        <v>29</v>
      </c>
    </row>
    <row r="4789" spans="1:24" x14ac:dyDescent="0.3">
      <c r="A4789" s="1" t="str">
        <f t="shared" si="908"/>
        <v>59809</v>
      </c>
      <c r="B4789" s="1" t="s">
        <v>42</v>
      </c>
      <c r="C4789" s="1" t="s">
        <v>43</v>
      </c>
      <c r="D4789" s="1" t="str">
        <f t="shared" si="911"/>
        <v>9801</v>
      </c>
      <c r="E4789" s="1" t="s">
        <v>25</v>
      </c>
      <c r="F4789" s="1" t="str">
        <f>"32780D0344880400C834002000000015"</f>
        <v>32780D0344880400C834002000000015</v>
      </c>
      <c r="G4789" s="1" t="s">
        <v>26</v>
      </c>
      <c r="H4789" s="1" t="str">
        <f t="shared" si="909"/>
        <v>20220922</v>
      </c>
      <c r="I4789" s="1" t="str">
        <f>"123635"</f>
        <v>123635</v>
      </c>
      <c r="J4789" s="1" t="s">
        <v>27</v>
      </c>
      <c r="K4789" s="1" t="s">
        <v>28</v>
      </c>
      <c r="L4789" s="1" t="str">
        <f t="shared" si="910"/>
        <v>20220922</v>
      </c>
      <c r="M4789" s="1" t="str">
        <f>"124550"</f>
        <v>124550</v>
      </c>
      <c r="N4789" s="1" t="s">
        <v>56</v>
      </c>
      <c r="O4789" s="1" t="s">
        <v>45</v>
      </c>
      <c r="P4789" s="1" t="s">
        <v>68</v>
      </c>
      <c r="Q4789" s="1">
        <v>13</v>
      </c>
      <c r="R4789" s="1">
        <v>0</v>
      </c>
      <c r="S4789" s="1">
        <v>0</v>
      </c>
      <c r="T4789" s="1">
        <v>13</v>
      </c>
      <c r="U4789" s="1">
        <v>0</v>
      </c>
      <c r="V4789" s="1" t="str">
        <f t="shared" si="907"/>
        <v>里程去程</v>
      </c>
      <c r="W4789" s="1" t="str">
        <f>"0020"</f>
        <v>0020</v>
      </c>
      <c r="X4789" s="1" t="s">
        <v>29</v>
      </c>
    </row>
    <row r="4790" spans="1:24" x14ac:dyDescent="0.3">
      <c r="A4790" s="1" t="str">
        <f t="shared" si="908"/>
        <v>59809</v>
      </c>
      <c r="B4790" s="1" t="s">
        <v>42</v>
      </c>
      <c r="C4790" s="1" t="s">
        <v>43</v>
      </c>
      <c r="D4790" s="1" t="str">
        <f t="shared" si="911"/>
        <v>9801</v>
      </c>
      <c r="E4790" s="1" t="s">
        <v>25</v>
      </c>
      <c r="F4790" s="1" t="str">
        <f>"42720D033E880400C834002000000015"</f>
        <v>42720D033E880400C834002000000015</v>
      </c>
      <c r="G4790" s="1" t="s">
        <v>26</v>
      </c>
      <c r="H4790" s="1" t="str">
        <f t="shared" si="909"/>
        <v>20220922</v>
      </c>
      <c r="I4790" s="1" t="str">
        <f>"123821"</f>
        <v>123821</v>
      </c>
      <c r="J4790" s="1" t="s">
        <v>27</v>
      </c>
      <c r="K4790" s="1" t="s">
        <v>28</v>
      </c>
      <c r="L4790" s="1" t="str">
        <f t="shared" si="910"/>
        <v>20220922</v>
      </c>
      <c r="M4790" s="1" t="str">
        <f>"124556"</f>
        <v>124556</v>
      </c>
      <c r="N4790" s="1" t="s">
        <v>56</v>
      </c>
      <c r="O4790" s="1" t="s">
        <v>45</v>
      </c>
      <c r="P4790" s="1" t="s">
        <v>68</v>
      </c>
      <c r="Q4790" s="1">
        <v>13</v>
      </c>
      <c r="R4790" s="1">
        <v>0</v>
      </c>
      <c r="S4790" s="1">
        <v>0</v>
      </c>
      <c r="T4790" s="1">
        <v>13</v>
      </c>
      <c r="U4790" s="1">
        <v>0</v>
      </c>
      <c r="V4790" s="1" t="str">
        <f t="shared" si="907"/>
        <v>里程去程</v>
      </c>
      <c r="W4790" s="1" t="str">
        <f>"0020"</f>
        <v>0020</v>
      </c>
      <c r="X4790" s="1" t="s">
        <v>29</v>
      </c>
    </row>
    <row r="4791" spans="1:24" x14ac:dyDescent="0.3">
      <c r="A4791" s="1" t="str">
        <f t="shared" si="908"/>
        <v>59809</v>
      </c>
      <c r="B4791" s="1" t="s">
        <v>42</v>
      </c>
      <c r="C4791" s="1" t="s">
        <v>43</v>
      </c>
      <c r="D4791" s="1" t="str">
        <f t="shared" si="911"/>
        <v>9801</v>
      </c>
      <c r="E4791" s="1" t="s">
        <v>25</v>
      </c>
      <c r="F4791" s="1" t="str">
        <f>"02870E159E28040080CEDA1449914018"</f>
        <v>02870E159E28040080CEDA1449914018</v>
      </c>
      <c r="G4791" s="1" t="s">
        <v>58</v>
      </c>
      <c r="H4791" s="1" t="str">
        <f t="shared" si="909"/>
        <v>20220922</v>
      </c>
      <c r="I4791" s="1" t="str">
        <f>"133136"</f>
        <v>133136</v>
      </c>
      <c r="J4791" s="1" t="s">
        <v>27</v>
      </c>
      <c r="K4791" s="1" t="s">
        <v>28</v>
      </c>
      <c r="L4791" s="1" t="str">
        <f t="shared" si="910"/>
        <v>20220922</v>
      </c>
      <c r="M4791" s="1" t="str">
        <f>"135408"</f>
        <v>135408</v>
      </c>
      <c r="N4791" s="1" t="s">
        <v>44</v>
      </c>
      <c r="O4791" s="1" t="s">
        <v>45</v>
      </c>
      <c r="P4791" s="1" t="s">
        <v>55</v>
      </c>
      <c r="Q4791" s="1">
        <v>25</v>
      </c>
      <c r="R4791" s="1">
        <v>25</v>
      </c>
      <c r="S4791" s="1">
        <v>0</v>
      </c>
      <c r="T4791" s="1">
        <v>0</v>
      </c>
      <c r="U4791" s="1">
        <v>0</v>
      </c>
      <c r="V4791" s="1" t="str">
        <f t="shared" si="907"/>
        <v>里程去程</v>
      </c>
      <c r="W4791" s="1" t="str">
        <f>"0020"</f>
        <v>0020</v>
      </c>
      <c r="X4791" s="1" t="s">
        <v>29</v>
      </c>
    </row>
    <row r="4792" spans="1:24" x14ac:dyDescent="0.3">
      <c r="A4792" s="1" t="str">
        <f t="shared" si="908"/>
        <v>59809</v>
      </c>
      <c r="B4792" s="1" t="s">
        <v>42</v>
      </c>
      <c r="C4792" s="1" t="s">
        <v>43</v>
      </c>
      <c r="D4792" s="1" t="str">
        <f t="shared" si="911"/>
        <v>9801</v>
      </c>
      <c r="E4792" s="1" t="s">
        <v>25</v>
      </c>
      <c r="F4792" s="1" t="str">
        <f>"B1D30C4A248804004325BD2700030B0F"</f>
        <v>B1D30C4A248804004325BD2700030B0F</v>
      </c>
      <c r="G4792" s="1" t="s">
        <v>26</v>
      </c>
      <c r="H4792" s="1" t="str">
        <f t="shared" si="909"/>
        <v>20220922</v>
      </c>
      <c r="I4792" s="1" t="str">
        <f>"133316"</f>
        <v>133316</v>
      </c>
      <c r="J4792" s="1" t="s">
        <v>27</v>
      </c>
      <c r="K4792" s="1" t="s">
        <v>28</v>
      </c>
      <c r="L4792" s="1" t="str">
        <f t="shared" si="910"/>
        <v>20220922</v>
      </c>
      <c r="M4792" s="1" t="str">
        <f>"134547"</f>
        <v>134547</v>
      </c>
      <c r="N4792" s="1" t="s">
        <v>61</v>
      </c>
      <c r="O4792" s="1" t="s">
        <v>45</v>
      </c>
      <c r="P4792" s="1" t="s">
        <v>55</v>
      </c>
      <c r="Q4792" s="1">
        <v>13</v>
      </c>
      <c r="R4792" s="1">
        <v>0</v>
      </c>
      <c r="S4792" s="1">
        <v>13</v>
      </c>
      <c r="T4792" s="1">
        <v>0</v>
      </c>
      <c r="U4792" s="1">
        <v>0</v>
      </c>
      <c r="V4792" s="1" t="str">
        <f t="shared" si="907"/>
        <v>里程去程</v>
      </c>
      <c r="W4792" s="1" t="str">
        <f>"0620"</f>
        <v>0620</v>
      </c>
      <c r="X4792" s="1" t="s">
        <v>29</v>
      </c>
    </row>
    <row r="4793" spans="1:24" x14ac:dyDescent="0.3">
      <c r="A4793" s="1" t="str">
        <f t="shared" si="908"/>
        <v>59809</v>
      </c>
      <c r="B4793" s="1" t="s">
        <v>42</v>
      </c>
      <c r="C4793" s="1" t="s">
        <v>43</v>
      </c>
      <c r="D4793" s="1" t="str">
        <f t="shared" si="911"/>
        <v>9801</v>
      </c>
      <c r="E4793" s="1" t="s">
        <v>25</v>
      </c>
      <c r="F4793" s="1" t="str">
        <f>"A2BEA819AD880400C824002000000020"</f>
        <v>A2BEA819AD880400C824002000000020</v>
      </c>
      <c r="G4793" s="1" t="s">
        <v>59</v>
      </c>
      <c r="H4793" s="1" t="str">
        <f t="shared" si="909"/>
        <v>20220922</v>
      </c>
      <c r="I4793" s="1" t="str">
        <f>"145321"</f>
        <v>145321</v>
      </c>
      <c r="J4793" s="1" t="s">
        <v>52</v>
      </c>
      <c r="K4793" s="1" t="s">
        <v>52</v>
      </c>
      <c r="L4793" s="1" t="str">
        <f t="shared" si="910"/>
        <v>20220922</v>
      </c>
      <c r="M4793" s="1" t="str">
        <f>"150827"</f>
        <v>150827</v>
      </c>
      <c r="N4793" s="1" t="s">
        <v>51</v>
      </c>
      <c r="O4793" s="1" t="s">
        <v>52</v>
      </c>
      <c r="P4793" s="1" t="s">
        <v>55</v>
      </c>
      <c r="Q4793" s="1">
        <v>25</v>
      </c>
      <c r="R4793" s="1">
        <v>0</v>
      </c>
      <c r="S4793" s="1">
        <v>25</v>
      </c>
      <c r="T4793" s="1">
        <v>0</v>
      </c>
      <c r="U4793" s="1">
        <v>0</v>
      </c>
      <c r="V4793" s="1" t="str">
        <f t="shared" si="907"/>
        <v>里程去程</v>
      </c>
      <c r="W4793" s="1" t="str">
        <f>"1120"</f>
        <v>1120</v>
      </c>
      <c r="X4793" s="1" t="s">
        <v>29</v>
      </c>
    </row>
    <row r="4794" spans="1:24" x14ac:dyDescent="0.3">
      <c r="A4794" s="1" t="str">
        <f t="shared" si="908"/>
        <v>59809</v>
      </c>
      <c r="B4794" s="1" t="s">
        <v>42</v>
      </c>
      <c r="C4794" s="1" t="s">
        <v>43</v>
      </c>
      <c r="D4794" s="1" t="str">
        <f t="shared" si="911"/>
        <v>9801</v>
      </c>
      <c r="E4794" s="1" t="s">
        <v>25</v>
      </c>
      <c r="F4794" s="1" t="str">
        <f>"C2438F1917880400C824002000000020"</f>
        <v>C2438F1917880400C824002000000020</v>
      </c>
      <c r="G4794" s="1" t="s">
        <v>59</v>
      </c>
      <c r="H4794" s="1" t="str">
        <f t="shared" si="909"/>
        <v>20220922</v>
      </c>
      <c r="I4794" s="1" t="str">
        <f>"145325"</f>
        <v>145325</v>
      </c>
      <c r="J4794" s="1" t="s">
        <v>52</v>
      </c>
      <c r="K4794" s="1" t="s">
        <v>52</v>
      </c>
      <c r="L4794" s="1" t="str">
        <f t="shared" si="910"/>
        <v>20220922</v>
      </c>
      <c r="M4794" s="1" t="str">
        <f>"150830"</f>
        <v>150830</v>
      </c>
      <c r="N4794" s="1" t="s">
        <v>51</v>
      </c>
      <c r="O4794" s="1" t="s">
        <v>52</v>
      </c>
      <c r="P4794" s="1" t="s">
        <v>55</v>
      </c>
      <c r="Q4794" s="1">
        <v>25</v>
      </c>
      <c r="R4794" s="1">
        <v>0</v>
      </c>
      <c r="S4794" s="1">
        <v>25</v>
      </c>
      <c r="T4794" s="1">
        <v>0</v>
      </c>
      <c r="U4794" s="1">
        <v>0</v>
      </c>
      <c r="V4794" s="1" t="str">
        <f t="shared" si="907"/>
        <v>里程去程</v>
      </c>
      <c r="W4794" s="1" t="str">
        <f>"2020"</f>
        <v>2020</v>
      </c>
      <c r="X4794" s="1" t="s">
        <v>29</v>
      </c>
    </row>
    <row r="4795" spans="1:24" x14ac:dyDescent="0.3">
      <c r="A4795" s="1" t="str">
        <f t="shared" si="908"/>
        <v>59809</v>
      </c>
      <c r="B4795" s="1" t="s">
        <v>42</v>
      </c>
      <c r="C4795" s="1" t="s">
        <v>43</v>
      </c>
      <c r="D4795" s="1" t="str">
        <f t="shared" si="911"/>
        <v>9801</v>
      </c>
      <c r="E4795" s="1" t="s">
        <v>25</v>
      </c>
      <c r="F4795" s="1" t="str">
        <f>"F27CE6026A880400C834002000000015"</f>
        <v>F27CE6026A880400C834002000000015</v>
      </c>
      <c r="G4795" s="1" t="s">
        <v>74</v>
      </c>
      <c r="H4795" s="1" t="str">
        <f t="shared" si="909"/>
        <v>20220922</v>
      </c>
      <c r="I4795" s="1" t="str">
        <f>"145328"</f>
        <v>145328</v>
      </c>
      <c r="J4795" s="1" t="s">
        <v>52</v>
      </c>
      <c r="K4795" s="1" t="s">
        <v>52</v>
      </c>
      <c r="L4795" s="1" t="str">
        <f t="shared" si="910"/>
        <v>20220922</v>
      </c>
      <c r="M4795" s="1" t="str">
        <f>"150543"</f>
        <v>150543</v>
      </c>
      <c r="N4795" s="1" t="s">
        <v>60</v>
      </c>
      <c r="O4795" s="1" t="s">
        <v>52</v>
      </c>
      <c r="P4795" s="1" t="s">
        <v>68</v>
      </c>
      <c r="Q4795" s="1">
        <v>13</v>
      </c>
      <c r="R4795" s="1">
        <v>0</v>
      </c>
      <c r="S4795" s="1">
        <v>0</v>
      </c>
      <c r="T4795" s="1">
        <v>13</v>
      </c>
      <c r="U4795" s="1">
        <v>0</v>
      </c>
      <c r="V4795" s="1" t="str">
        <f t="shared" si="907"/>
        <v>里程去程</v>
      </c>
      <c r="W4795" s="1" t="str">
        <f>"0020"</f>
        <v>0020</v>
      </c>
      <c r="X4795" s="1" t="s">
        <v>29</v>
      </c>
    </row>
    <row r="4796" spans="1:24" x14ac:dyDescent="0.3">
      <c r="A4796" s="1" t="str">
        <f t="shared" si="908"/>
        <v>59809</v>
      </c>
      <c r="B4796" s="1" t="s">
        <v>42</v>
      </c>
      <c r="C4796" s="1" t="s">
        <v>43</v>
      </c>
      <c r="D4796" s="1" t="str">
        <f t="shared" si="911"/>
        <v>9801</v>
      </c>
      <c r="E4796" s="1" t="s">
        <v>25</v>
      </c>
      <c r="F4796" s="1" t="str">
        <f>"803865797"</f>
        <v>803865797</v>
      </c>
      <c r="G4796" s="1" t="s">
        <v>38</v>
      </c>
      <c r="H4796" s="1" t="str">
        <f t="shared" si="909"/>
        <v>20220922</v>
      </c>
      <c r="I4796" s="1" t="str">
        <f>"145532"</f>
        <v>145532</v>
      </c>
      <c r="J4796" s="1" t="s">
        <v>52</v>
      </c>
      <c r="K4796" s="1" t="s">
        <v>52</v>
      </c>
      <c r="L4796" s="1" t="str">
        <f t="shared" si="910"/>
        <v>20220922</v>
      </c>
      <c r="M4796" s="1" t="str">
        <f>"152829"</f>
        <v>152829</v>
      </c>
      <c r="N4796" s="1" t="s">
        <v>70</v>
      </c>
      <c r="O4796" s="1" t="s">
        <v>28</v>
      </c>
      <c r="P4796" s="1" t="s">
        <v>55</v>
      </c>
      <c r="Q4796" s="1">
        <v>25</v>
      </c>
      <c r="R4796" s="1">
        <v>25</v>
      </c>
      <c r="S4796" s="1">
        <v>0</v>
      </c>
      <c r="T4796" s="1">
        <v>0</v>
      </c>
      <c r="U4796" s="1">
        <v>0</v>
      </c>
      <c r="V4796" s="1" t="str">
        <f t="shared" si="907"/>
        <v>里程去程</v>
      </c>
      <c r="W4796" s="1" t="str">
        <f>"1420"</f>
        <v>1420</v>
      </c>
      <c r="X4796" s="1" t="s">
        <v>35</v>
      </c>
    </row>
    <row r="4797" spans="1:24" x14ac:dyDescent="0.3">
      <c r="A4797" s="1" t="str">
        <f t="shared" si="908"/>
        <v>59809</v>
      </c>
      <c r="B4797" s="1" t="s">
        <v>42</v>
      </c>
      <c r="C4797" s="1" t="s">
        <v>43</v>
      </c>
      <c r="D4797" s="1" t="str">
        <f t="shared" si="911"/>
        <v>9801</v>
      </c>
      <c r="E4797" s="1" t="s">
        <v>25</v>
      </c>
      <c r="F4797" s="1" t="str">
        <f>"72BFE5022A880400C834002000000015"</f>
        <v>72BFE5022A880400C834002000000015</v>
      </c>
      <c r="G4797" s="1" t="s">
        <v>26</v>
      </c>
      <c r="H4797" s="1" t="str">
        <f t="shared" si="909"/>
        <v>20220922</v>
      </c>
      <c r="I4797" s="1" t="str">
        <f>"152840"</f>
        <v>152840</v>
      </c>
      <c r="J4797" s="1" t="s">
        <v>27</v>
      </c>
      <c r="K4797" s="1" t="s">
        <v>28</v>
      </c>
      <c r="L4797" s="1" t="str">
        <f t="shared" si="910"/>
        <v>20220922</v>
      </c>
      <c r="M4797" s="1" t="str">
        <f>"154509"</f>
        <v>154509</v>
      </c>
      <c r="N4797" s="1" t="s">
        <v>61</v>
      </c>
      <c r="O4797" s="1" t="s">
        <v>45</v>
      </c>
      <c r="P4797" s="1" t="s">
        <v>68</v>
      </c>
      <c r="Q4797" s="1">
        <v>13</v>
      </c>
      <c r="R4797" s="1">
        <v>0</v>
      </c>
      <c r="S4797" s="1">
        <v>0</v>
      </c>
      <c r="T4797" s="1">
        <v>13</v>
      </c>
      <c r="U4797" s="1">
        <v>0</v>
      </c>
      <c r="V4797" s="1" t="str">
        <f t="shared" si="907"/>
        <v>里程去程</v>
      </c>
      <c r="W4797" s="1" t="str">
        <f>"0020"</f>
        <v>0020</v>
      </c>
      <c r="X4797" s="1" t="s">
        <v>29</v>
      </c>
    </row>
    <row r="4798" spans="1:24" x14ac:dyDescent="0.3">
      <c r="A4798" s="1" t="str">
        <f t="shared" si="908"/>
        <v>59809</v>
      </c>
      <c r="B4798" s="1" t="s">
        <v>42</v>
      </c>
      <c r="C4798" s="1" t="s">
        <v>43</v>
      </c>
      <c r="D4798" s="1" t="str">
        <f t="shared" si="911"/>
        <v>9801</v>
      </c>
      <c r="E4798" s="1" t="s">
        <v>25</v>
      </c>
      <c r="F4798" s="1" t="str">
        <f>"C2C219031A880400C834002000000015"</f>
        <v>C2C219031A880400C834002000000015</v>
      </c>
      <c r="G4798" s="1" t="s">
        <v>74</v>
      </c>
      <c r="H4798" s="1" t="str">
        <f t="shared" si="909"/>
        <v>20220922</v>
      </c>
      <c r="I4798" s="1" t="str">
        <f>"160607"</f>
        <v>160607</v>
      </c>
      <c r="J4798" s="1" t="s">
        <v>60</v>
      </c>
      <c r="K4798" s="1" t="s">
        <v>52</v>
      </c>
      <c r="L4798" s="1" t="str">
        <f t="shared" si="910"/>
        <v>20220922</v>
      </c>
      <c r="M4798" s="1" t="str">
        <f>"161551"</f>
        <v>161551</v>
      </c>
      <c r="N4798" s="1" t="s">
        <v>80</v>
      </c>
      <c r="O4798" s="1" t="s">
        <v>52</v>
      </c>
      <c r="P4798" s="1" t="s">
        <v>68</v>
      </c>
      <c r="Q4798" s="1">
        <v>13</v>
      </c>
      <c r="R4798" s="1">
        <v>0</v>
      </c>
      <c r="S4798" s="1">
        <v>0</v>
      </c>
      <c r="T4798" s="1">
        <v>13</v>
      </c>
      <c r="U4798" s="1">
        <v>0</v>
      </c>
      <c r="V4798" s="1" t="str">
        <f t="shared" si="907"/>
        <v>里程去程</v>
      </c>
      <c r="W4798" s="1" t="str">
        <f>"0020"</f>
        <v>0020</v>
      </c>
      <c r="X4798" s="1" t="s">
        <v>29</v>
      </c>
    </row>
    <row r="4799" spans="1:24" x14ac:dyDescent="0.3">
      <c r="A4799" s="1" t="str">
        <f t="shared" si="908"/>
        <v>59809</v>
      </c>
      <c r="B4799" s="1" t="s">
        <v>42</v>
      </c>
      <c r="C4799" s="1" t="s">
        <v>43</v>
      </c>
      <c r="D4799" s="1" t="str">
        <f t="shared" si="911"/>
        <v>9801</v>
      </c>
      <c r="E4799" s="1" t="s">
        <v>25</v>
      </c>
      <c r="F4799" s="1" t="str">
        <f>"422AE7028D880400C834002000000015"</f>
        <v>422AE7028D880400C834002000000015</v>
      </c>
      <c r="G4799" s="1" t="s">
        <v>74</v>
      </c>
      <c r="H4799" s="1" t="str">
        <f t="shared" si="909"/>
        <v>20220922</v>
      </c>
      <c r="I4799" s="1" t="str">
        <f>"172639"</f>
        <v>172639</v>
      </c>
      <c r="J4799" s="1" t="s">
        <v>44</v>
      </c>
      <c r="K4799" s="1" t="s">
        <v>45</v>
      </c>
      <c r="L4799" s="1" t="str">
        <f t="shared" si="910"/>
        <v>20220922</v>
      </c>
      <c r="M4799" s="1" t="str">
        <f>"174934"</f>
        <v>174934</v>
      </c>
      <c r="N4799" s="1" t="s">
        <v>85</v>
      </c>
      <c r="O4799" s="1" t="s">
        <v>28</v>
      </c>
      <c r="P4799" s="1" t="s">
        <v>68</v>
      </c>
      <c r="Q4799" s="1">
        <v>13</v>
      </c>
      <c r="R4799" s="1">
        <v>0</v>
      </c>
      <c r="S4799" s="1">
        <v>0</v>
      </c>
      <c r="T4799" s="1">
        <v>13</v>
      </c>
      <c r="U4799" s="1">
        <v>0</v>
      </c>
      <c r="V4799" s="1" t="str">
        <f>"里程返程"</f>
        <v>里程返程</v>
      </c>
      <c r="W4799" s="1" t="str">
        <f>"0020"</f>
        <v>0020</v>
      </c>
      <c r="X4799" s="1" t="s">
        <v>29</v>
      </c>
    </row>
    <row r="4800" spans="1:24" x14ac:dyDescent="0.3">
      <c r="A4800" s="1" t="str">
        <f t="shared" si="908"/>
        <v>59809</v>
      </c>
      <c r="B4800" s="1" t="s">
        <v>42</v>
      </c>
      <c r="C4800" s="1" t="s">
        <v>43</v>
      </c>
      <c r="D4800" s="1" t="str">
        <f t="shared" si="911"/>
        <v>9801</v>
      </c>
      <c r="E4800" s="1" t="s">
        <v>25</v>
      </c>
      <c r="F4800" s="1" t="str">
        <f>"3822676174"</f>
        <v>3822676174</v>
      </c>
      <c r="G4800" s="1" t="s">
        <v>33</v>
      </c>
      <c r="H4800" s="1" t="str">
        <f t="shared" si="909"/>
        <v>20220922</v>
      </c>
      <c r="I4800" s="1" t="str">
        <f>"185053"</f>
        <v>185053</v>
      </c>
      <c r="J4800" s="1" t="s">
        <v>28</v>
      </c>
      <c r="K4800" s="1" t="s">
        <v>28</v>
      </c>
      <c r="L4800" s="1" t="str">
        <f t="shared" si="910"/>
        <v>20220922</v>
      </c>
      <c r="M4800" s="1" t="str">
        <f>"191225"</f>
        <v>191225</v>
      </c>
      <c r="N4800" s="1" t="s">
        <v>65</v>
      </c>
      <c r="O4800" s="1" t="s">
        <v>52</v>
      </c>
      <c r="P4800" s="1" t="s">
        <v>55</v>
      </c>
      <c r="Q4800" s="1">
        <v>25</v>
      </c>
      <c r="R4800" s="1">
        <v>25</v>
      </c>
      <c r="S4800" s="1">
        <v>0</v>
      </c>
      <c r="T4800" s="1">
        <v>0</v>
      </c>
      <c r="U4800" s="1">
        <v>0</v>
      </c>
      <c r="V4800" s="1" t="str">
        <f>"里程返程"</f>
        <v>里程返程</v>
      </c>
      <c r="W4800" s="1" t="str">
        <f>"0b20"</f>
        <v>0b20</v>
      </c>
      <c r="X4800" s="1" t="s">
        <v>35</v>
      </c>
    </row>
    <row r="4801" spans="1:24" x14ac:dyDescent="0.3">
      <c r="A4801" s="1" t="str">
        <f t="shared" si="908"/>
        <v>59809</v>
      </c>
      <c r="B4801" s="1" t="s">
        <v>42</v>
      </c>
      <c r="C4801" s="1" t="s">
        <v>43</v>
      </c>
      <c r="D4801" s="1" t="str">
        <f t="shared" si="911"/>
        <v>9801</v>
      </c>
      <c r="E4801" s="1" t="s">
        <v>25</v>
      </c>
      <c r="F4801" s="1" t="str">
        <f>"836060737"</f>
        <v>836060737</v>
      </c>
      <c r="G4801" s="1" t="s">
        <v>33</v>
      </c>
      <c r="H4801" s="1" t="str">
        <f t="shared" si="909"/>
        <v>20220922</v>
      </c>
      <c r="I4801" s="1" t="str">
        <f>"185225"</f>
        <v>185225</v>
      </c>
      <c r="J4801" s="1" t="s">
        <v>28</v>
      </c>
      <c r="K4801" s="1" t="s">
        <v>28</v>
      </c>
      <c r="L4801" s="1" t="str">
        <f t="shared" si="910"/>
        <v>20220922</v>
      </c>
      <c r="M4801" s="1" t="str">
        <f>"190917"</f>
        <v>190917</v>
      </c>
      <c r="N4801" s="1" t="s">
        <v>80</v>
      </c>
      <c r="O4801" s="1" t="s">
        <v>52</v>
      </c>
      <c r="P4801" s="1" t="s">
        <v>55</v>
      </c>
      <c r="Q4801" s="1">
        <v>25</v>
      </c>
      <c r="R4801" s="1">
        <v>0</v>
      </c>
      <c r="S4801" s="1">
        <v>25</v>
      </c>
      <c r="T4801" s="1">
        <v>0</v>
      </c>
      <c r="U4801" s="1">
        <v>0</v>
      </c>
      <c r="V4801" s="1" t="str">
        <f>"里程返程"</f>
        <v>里程返程</v>
      </c>
      <c r="W4801" s="1" t="str">
        <f>"0820"</f>
        <v>0820</v>
      </c>
      <c r="X4801" s="1" t="s">
        <v>35</v>
      </c>
    </row>
    <row r="4802" spans="1:24" x14ac:dyDescent="0.3">
      <c r="A4802" s="1" t="str">
        <f t="shared" si="908"/>
        <v>59809</v>
      </c>
      <c r="B4802" s="1" t="s">
        <v>42</v>
      </c>
      <c r="C4802" s="1" t="s">
        <v>43</v>
      </c>
      <c r="D4802" s="1" t="str">
        <f t="shared" si="911"/>
        <v>9801</v>
      </c>
      <c r="E4802" s="1" t="s">
        <v>25</v>
      </c>
      <c r="F4802" s="1" t="str">
        <f>"1012768869"</f>
        <v>1012768869</v>
      </c>
      <c r="G4802" s="1" t="s">
        <v>33</v>
      </c>
      <c r="H4802" s="1" t="str">
        <f t="shared" si="909"/>
        <v>20220922</v>
      </c>
      <c r="I4802" s="1" t="str">
        <f>"203122"</f>
        <v>203122</v>
      </c>
      <c r="J4802" s="1" t="s">
        <v>27</v>
      </c>
      <c r="K4802" s="1" t="s">
        <v>28</v>
      </c>
      <c r="L4802" s="1" t="str">
        <f t="shared" si="910"/>
        <v>20220922</v>
      </c>
      <c r="M4802" s="1" t="str">
        <f>"204359"</f>
        <v>204359</v>
      </c>
      <c r="N4802" s="1" t="s">
        <v>61</v>
      </c>
      <c r="O4802" s="1" t="s">
        <v>45</v>
      </c>
      <c r="P4802" s="1" t="s">
        <v>55</v>
      </c>
      <c r="Q4802" s="1">
        <v>25</v>
      </c>
      <c r="R4802" s="1">
        <v>25</v>
      </c>
      <c r="S4802" s="1">
        <v>0</v>
      </c>
      <c r="T4802" s="1">
        <v>0</v>
      </c>
      <c r="U4802" s="1">
        <v>0</v>
      </c>
      <c r="V4802" s="1" t="str">
        <f>"里程去程"</f>
        <v>里程去程</v>
      </c>
      <c r="W4802" s="1" t="str">
        <f>"0120"</f>
        <v>0120</v>
      </c>
      <c r="X4802" s="1" t="s">
        <v>35</v>
      </c>
    </row>
    <row r="4803" spans="1:24" x14ac:dyDescent="0.3">
      <c r="A4803" s="1" t="str">
        <f t="shared" si="908"/>
        <v>59809</v>
      </c>
      <c r="B4803" s="1" t="s">
        <v>42</v>
      </c>
      <c r="C4803" s="1" t="s">
        <v>43</v>
      </c>
      <c r="D4803" s="1" t="str">
        <f>"9805"</f>
        <v>9805</v>
      </c>
      <c r="E4803" s="1" t="s">
        <v>57</v>
      </c>
      <c r="F4803" s="1" t="str">
        <f>"1275300037"</f>
        <v>1275300037</v>
      </c>
      <c r="G4803" s="1" t="s">
        <v>33</v>
      </c>
      <c r="H4803" s="1" t="str">
        <f t="shared" si="909"/>
        <v>20220922</v>
      </c>
      <c r="I4803" s="1" t="str">
        <f>"211456"</f>
        <v>211456</v>
      </c>
      <c r="J4803" s="1" t="s">
        <v>28</v>
      </c>
      <c r="K4803" s="1" t="s">
        <v>28</v>
      </c>
      <c r="L4803" s="1" t="str">
        <f t="shared" si="910"/>
        <v>20220922</v>
      </c>
      <c r="M4803" s="1" t="str">
        <f>"213211"</f>
        <v>213211</v>
      </c>
      <c r="N4803" s="1" t="s">
        <v>56</v>
      </c>
      <c r="O4803" s="1" t="s">
        <v>28</v>
      </c>
      <c r="P4803" s="1" t="s">
        <v>55</v>
      </c>
      <c r="Q4803" s="1">
        <v>25</v>
      </c>
      <c r="R4803" s="1">
        <v>25</v>
      </c>
      <c r="S4803" s="1">
        <v>0</v>
      </c>
      <c r="T4803" s="1">
        <v>0</v>
      </c>
      <c r="U4803" s="1">
        <v>0</v>
      </c>
      <c r="V4803" s="1" t="str">
        <f>"里程去程"</f>
        <v>里程去程</v>
      </c>
      <c r="W4803" s="1" t="str">
        <f>"2120"</f>
        <v>2120</v>
      </c>
      <c r="X4803" s="1" t="s">
        <v>35</v>
      </c>
    </row>
    <row r="4804" spans="1:24" x14ac:dyDescent="0.3">
      <c r="A4804" s="1" t="str">
        <f t="shared" ref="A4804:A4823" si="912">"59820"</f>
        <v>59820</v>
      </c>
      <c r="B4804" s="1" t="s">
        <v>53</v>
      </c>
      <c r="C4804" s="1" t="s">
        <v>54</v>
      </c>
      <c r="D4804" s="1" t="str">
        <f t="shared" ref="D4804:D4823" si="913">"9801"</f>
        <v>9801</v>
      </c>
      <c r="E4804" s="1" t="s">
        <v>25</v>
      </c>
      <c r="F4804" s="1" t="str">
        <f>"1661864789"</f>
        <v>1661864789</v>
      </c>
      <c r="G4804" s="1" t="s">
        <v>33</v>
      </c>
      <c r="H4804" s="1" t="str">
        <f t="shared" si="909"/>
        <v>20220922</v>
      </c>
      <c r="I4804" s="1" t="str">
        <f>"060719"</f>
        <v>060719</v>
      </c>
      <c r="J4804" s="1" t="s">
        <v>75</v>
      </c>
      <c r="K4804" s="1" t="s">
        <v>45</v>
      </c>
      <c r="L4804" s="1" t="str">
        <f t="shared" si="910"/>
        <v>20220922</v>
      </c>
      <c r="M4804" s="1" t="str">
        <f>"061818"</f>
        <v>061818</v>
      </c>
      <c r="N4804" s="1" t="s">
        <v>28</v>
      </c>
      <c r="O4804" s="1" t="s">
        <v>28</v>
      </c>
      <c r="P4804" s="1" t="s">
        <v>55</v>
      </c>
      <c r="Q4804" s="1">
        <v>25</v>
      </c>
      <c r="R4804" s="1">
        <v>25</v>
      </c>
      <c r="S4804" s="1">
        <v>0</v>
      </c>
      <c r="T4804" s="1">
        <v>0</v>
      </c>
      <c r="U4804" s="1">
        <v>0</v>
      </c>
      <c r="V4804" s="1" t="str">
        <f>"里程返程"</f>
        <v>里程返程</v>
      </c>
      <c r="W4804" s="1" t="str">
        <f>"2120"</f>
        <v>2120</v>
      </c>
      <c r="X4804" s="1" t="s">
        <v>35</v>
      </c>
    </row>
    <row r="4805" spans="1:24" x14ac:dyDescent="0.3">
      <c r="A4805" s="1" t="str">
        <f t="shared" si="912"/>
        <v>59820</v>
      </c>
      <c r="B4805" s="1" t="s">
        <v>53</v>
      </c>
      <c r="C4805" s="1" t="s">
        <v>54</v>
      </c>
      <c r="D4805" s="1" t="str">
        <f t="shared" si="913"/>
        <v>9801</v>
      </c>
      <c r="E4805" s="1" t="s">
        <v>25</v>
      </c>
      <c r="F4805" s="1" t="str">
        <f>"881384469"</f>
        <v>881384469</v>
      </c>
      <c r="G4805" s="1" t="s">
        <v>33</v>
      </c>
      <c r="H4805" s="1" t="str">
        <f t="shared" si="909"/>
        <v>20220922</v>
      </c>
      <c r="I4805" s="1" t="str">
        <f>"060722"</f>
        <v>060722</v>
      </c>
      <c r="J4805" s="1" t="s">
        <v>75</v>
      </c>
      <c r="K4805" s="1" t="s">
        <v>45</v>
      </c>
      <c r="L4805" s="1" t="str">
        <f t="shared" si="910"/>
        <v>20220922</v>
      </c>
      <c r="M4805" s="1" t="str">
        <f>"061821"</f>
        <v>061821</v>
      </c>
      <c r="N4805" s="1" t="s">
        <v>28</v>
      </c>
      <c r="O4805" s="1" t="s">
        <v>28</v>
      </c>
      <c r="P4805" s="1" t="s">
        <v>55</v>
      </c>
      <c r="Q4805" s="1">
        <v>25</v>
      </c>
      <c r="R4805" s="1">
        <v>25</v>
      </c>
      <c r="S4805" s="1">
        <v>0</v>
      </c>
      <c r="T4805" s="1">
        <v>0</v>
      </c>
      <c r="U4805" s="1">
        <v>0</v>
      </c>
      <c r="V4805" s="1" t="str">
        <f>"里程返程"</f>
        <v>里程返程</v>
      </c>
      <c r="W4805" s="1" t="str">
        <f>"2020"</f>
        <v>2020</v>
      </c>
      <c r="X4805" s="1" t="s">
        <v>35</v>
      </c>
    </row>
    <row r="4806" spans="1:24" x14ac:dyDescent="0.3">
      <c r="A4806" s="1" t="str">
        <f t="shared" si="912"/>
        <v>59820</v>
      </c>
      <c r="B4806" s="1" t="s">
        <v>53</v>
      </c>
      <c r="C4806" s="1" t="s">
        <v>54</v>
      </c>
      <c r="D4806" s="1" t="str">
        <f t="shared" si="913"/>
        <v>9801</v>
      </c>
      <c r="E4806" s="1" t="s">
        <v>25</v>
      </c>
      <c r="F4806" s="1" t="str">
        <f>"1759959808"</f>
        <v>1759959808</v>
      </c>
      <c r="G4806" s="1" t="s">
        <v>33</v>
      </c>
      <c r="H4806" s="1" t="str">
        <f t="shared" si="909"/>
        <v>20220922</v>
      </c>
      <c r="I4806" s="1" t="str">
        <f>"074210"</f>
        <v>074210</v>
      </c>
      <c r="J4806" s="1" t="s">
        <v>80</v>
      </c>
      <c r="K4806" s="1" t="s">
        <v>52</v>
      </c>
      <c r="L4806" s="1" t="str">
        <f t="shared" si="910"/>
        <v>20220922</v>
      </c>
      <c r="M4806" s="1" t="str">
        <f>"075326"</f>
        <v>075326</v>
      </c>
      <c r="N4806" s="1" t="s">
        <v>60</v>
      </c>
      <c r="O4806" s="1" t="s">
        <v>52</v>
      </c>
      <c r="P4806" s="1" t="s">
        <v>55</v>
      </c>
      <c r="Q4806" s="1">
        <v>25</v>
      </c>
      <c r="R4806" s="1">
        <v>25</v>
      </c>
      <c r="S4806" s="1">
        <v>0</v>
      </c>
      <c r="T4806" s="1">
        <v>0</v>
      </c>
      <c r="U4806" s="1">
        <v>0</v>
      </c>
      <c r="V4806" s="1" t="str">
        <f>"里程返程"</f>
        <v>里程返程</v>
      </c>
      <c r="W4806" s="1" t="str">
        <f>"2020"</f>
        <v>2020</v>
      </c>
      <c r="X4806" s="1" t="s">
        <v>35</v>
      </c>
    </row>
    <row r="4807" spans="1:24" x14ac:dyDescent="0.3">
      <c r="A4807" s="1" t="str">
        <f t="shared" si="912"/>
        <v>59820</v>
      </c>
      <c r="B4807" s="1" t="s">
        <v>53</v>
      </c>
      <c r="C4807" s="1" t="s">
        <v>54</v>
      </c>
      <c r="D4807" s="1" t="str">
        <f t="shared" si="913"/>
        <v>9801</v>
      </c>
      <c r="E4807" s="1" t="s">
        <v>25</v>
      </c>
      <c r="F4807" s="1" t="str">
        <f>"82D5FB02AE880400C834002000000015"</f>
        <v>82D5FB02AE880400C834002000000015</v>
      </c>
      <c r="G4807" s="1" t="s">
        <v>26</v>
      </c>
      <c r="H4807" s="1" t="str">
        <f t="shared" si="909"/>
        <v>20220922</v>
      </c>
      <c r="I4807" s="1" t="str">
        <f>"075054"</f>
        <v>075054</v>
      </c>
      <c r="J4807" s="1" t="s">
        <v>51</v>
      </c>
      <c r="K4807" s="1" t="s">
        <v>52</v>
      </c>
      <c r="L4807" s="1" t="str">
        <f t="shared" si="910"/>
        <v>20220922</v>
      </c>
      <c r="M4807" s="1" t="str">
        <f>"075557"</f>
        <v>075557</v>
      </c>
      <c r="N4807" s="1" t="s">
        <v>86</v>
      </c>
      <c r="O4807" s="1" t="s">
        <v>52</v>
      </c>
      <c r="P4807" s="1" t="s">
        <v>68</v>
      </c>
      <c r="Q4807" s="1">
        <v>13</v>
      </c>
      <c r="R4807" s="1">
        <v>0</v>
      </c>
      <c r="S4807" s="1">
        <v>0</v>
      </c>
      <c r="T4807" s="1">
        <v>13</v>
      </c>
      <c r="U4807" s="1">
        <v>0</v>
      </c>
      <c r="V4807" s="1" t="str">
        <f>"里程返程"</f>
        <v>里程返程</v>
      </c>
      <c r="W4807" s="1" t="str">
        <f>"0020"</f>
        <v>0020</v>
      </c>
      <c r="X4807" s="1" t="s">
        <v>29</v>
      </c>
    </row>
    <row r="4808" spans="1:24" x14ac:dyDescent="0.3">
      <c r="A4808" s="1" t="str">
        <f t="shared" si="912"/>
        <v>59820</v>
      </c>
      <c r="B4808" s="1" t="s">
        <v>53</v>
      </c>
      <c r="C4808" s="1" t="s">
        <v>54</v>
      </c>
      <c r="D4808" s="1" t="str">
        <f t="shared" si="913"/>
        <v>9801</v>
      </c>
      <c r="E4808" s="1" t="s">
        <v>25</v>
      </c>
      <c r="F4808" s="1" t="str">
        <f>"E21C1C03E1880400C834002000000015"</f>
        <v>E21C1C03E1880400C834002000000015</v>
      </c>
      <c r="G4808" s="1" t="s">
        <v>26</v>
      </c>
      <c r="H4808" s="1" t="str">
        <f t="shared" si="909"/>
        <v>20220922</v>
      </c>
      <c r="I4808" s="1" t="str">
        <f>"080132"</f>
        <v>080132</v>
      </c>
      <c r="J4808" s="1" t="s">
        <v>52</v>
      </c>
      <c r="K4808" s="1" t="s">
        <v>52</v>
      </c>
      <c r="L4808" s="1" t="str">
        <f t="shared" si="910"/>
        <v>20220922</v>
      </c>
      <c r="M4808" s="1" t="str">
        <f>"080646"</f>
        <v>080646</v>
      </c>
      <c r="N4808" s="1" t="s">
        <v>60</v>
      </c>
      <c r="O4808" s="1" t="s">
        <v>52</v>
      </c>
      <c r="P4808" s="1" t="s">
        <v>68</v>
      </c>
      <c r="Q4808" s="1">
        <v>13</v>
      </c>
      <c r="R4808" s="1">
        <v>0</v>
      </c>
      <c r="S4808" s="1">
        <v>0</v>
      </c>
      <c r="T4808" s="1">
        <v>13</v>
      </c>
      <c r="U4808" s="1">
        <v>0</v>
      </c>
      <c r="V4808" s="1" t="str">
        <f t="shared" ref="V4808:V4817" si="914">"里程去程"</f>
        <v>里程去程</v>
      </c>
      <c r="W4808" s="1" t="str">
        <f>"0020"</f>
        <v>0020</v>
      </c>
      <c r="X4808" s="1" t="s">
        <v>29</v>
      </c>
    </row>
    <row r="4809" spans="1:24" x14ac:dyDescent="0.3">
      <c r="A4809" s="1" t="str">
        <f t="shared" si="912"/>
        <v>59820</v>
      </c>
      <c r="B4809" s="1" t="s">
        <v>53</v>
      </c>
      <c r="C4809" s="1" t="s">
        <v>54</v>
      </c>
      <c r="D4809" s="1" t="str">
        <f t="shared" si="913"/>
        <v>9801</v>
      </c>
      <c r="E4809" s="1" t="s">
        <v>25</v>
      </c>
      <c r="F4809" s="1" t="str">
        <f>"7227E702B0880400C834002000000015"</f>
        <v>7227E702B0880400C834002000000015</v>
      </c>
      <c r="G4809" s="1" t="s">
        <v>74</v>
      </c>
      <c r="H4809" s="1" t="str">
        <f t="shared" si="909"/>
        <v>20220922</v>
      </c>
      <c r="I4809" s="1" t="str">
        <f>"081604"</f>
        <v>081604</v>
      </c>
      <c r="J4809" s="1" t="s">
        <v>97</v>
      </c>
      <c r="K4809" s="1" t="s">
        <v>52</v>
      </c>
      <c r="L4809" s="1" t="str">
        <f t="shared" si="910"/>
        <v>20220922</v>
      </c>
      <c r="M4809" s="1" t="str">
        <f>"081632"</f>
        <v>081632</v>
      </c>
      <c r="N4809" s="1" t="s">
        <v>80</v>
      </c>
      <c r="O4809" s="1" t="s">
        <v>52</v>
      </c>
      <c r="P4809" s="1" t="s">
        <v>68</v>
      </c>
      <c r="Q4809" s="1">
        <v>13</v>
      </c>
      <c r="R4809" s="1">
        <v>0</v>
      </c>
      <c r="S4809" s="1">
        <v>0</v>
      </c>
      <c r="T4809" s="1">
        <v>13</v>
      </c>
      <c r="U4809" s="1">
        <v>0</v>
      </c>
      <c r="V4809" s="1" t="str">
        <f t="shared" si="914"/>
        <v>里程去程</v>
      </c>
      <c r="W4809" s="1" t="str">
        <f>"0020"</f>
        <v>0020</v>
      </c>
      <c r="X4809" s="1" t="s">
        <v>29</v>
      </c>
    </row>
    <row r="4810" spans="1:24" x14ac:dyDescent="0.3">
      <c r="A4810" s="1" t="str">
        <f t="shared" si="912"/>
        <v>59820</v>
      </c>
      <c r="B4810" s="1" t="s">
        <v>53</v>
      </c>
      <c r="C4810" s="1" t="s">
        <v>54</v>
      </c>
      <c r="D4810" s="1" t="str">
        <f t="shared" si="913"/>
        <v>9801</v>
      </c>
      <c r="E4810" s="1" t="s">
        <v>25</v>
      </c>
      <c r="F4810" s="1" t="str">
        <f>"C112914406280400F700000000000000"</f>
        <v>C112914406280400F700000000000000</v>
      </c>
      <c r="G4810" s="1" t="s">
        <v>58</v>
      </c>
      <c r="H4810" s="1" t="str">
        <f t="shared" si="909"/>
        <v>20220922</v>
      </c>
      <c r="I4810" s="1" t="str">
        <f>"083438"</f>
        <v>083438</v>
      </c>
      <c r="J4810" s="1" t="s">
        <v>27</v>
      </c>
      <c r="K4810" s="1" t="s">
        <v>28</v>
      </c>
      <c r="L4810" s="1" t="str">
        <f t="shared" si="910"/>
        <v>20220922</v>
      </c>
      <c r="M4810" s="1" t="str">
        <f>"085551"</f>
        <v>085551</v>
      </c>
      <c r="N4810" s="1" t="s">
        <v>44</v>
      </c>
      <c r="O4810" s="1" t="s">
        <v>45</v>
      </c>
      <c r="P4810" s="1" t="s">
        <v>55</v>
      </c>
      <c r="Q4810" s="1">
        <v>25</v>
      </c>
      <c r="R4810" s="1">
        <v>25</v>
      </c>
      <c r="S4810" s="1">
        <v>0</v>
      </c>
      <c r="T4810" s="1">
        <v>0</v>
      </c>
      <c r="U4810" s="1">
        <v>0</v>
      </c>
      <c r="V4810" s="1" t="str">
        <f t="shared" si="914"/>
        <v>里程去程</v>
      </c>
      <c r="W4810" s="1" t="str">
        <f>"0020"</f>
        <v>0020</v>
      </c>
      <c r="X4810" s="1" t="s">
        <v>29</v>
      </c>
    </row>
    <row r="4811" spans="1:24" x14ac:dyDescent="0.3">
      <c r="A4811" s="1" t="str">
        <f t="shared" si="912"/>
        <v>59820</v>
      </c>
      <c r="B4811" s="1" t="s">
        <v>53</v>
      </c>
      <c r="C4811" s="1" t="s">
        <v>54</v>
      </c>
      <c r="D4811" s="1" t="str">
        <f t="shared" si="913"/>
        <v>9801</v>
      </c>
      <c r="E4811" s="1" t="s">
        <v>25</v>
      </c>
      <c r="F4811" s="1" t="str">
        <f>"1204061808880400C814002000000019"</f>
        <v>1204061808880400C814002000000019</v>
      </c>
      <c r="G4811" s="1" t="s">
        <v>59</v>
      </c>
      <c r="H4811" s="1" t="str">
        <f t="shared" si="909"/>
        <v>20220922</v>
      </c>
      <c r="I4811" s="1" t="str">
        <f>"083444"</f>
        <v>083444</v>
      </c>
      <c r="J4811" s="1" t="s">
        <v>27</v>
      </c>
      <c r="K4811" s="1" t="s">
        <v>28</v>
      </c>
      <c r="L4811" s="1" t="str">
        <f t="shared" si="910"/>
        <v>20220922</v>
      </c>
      <c r="M4811" s="1" t="str">
        <f>"085555"</f>
        <v>085555</v>
      </c>
      <c r="N4811" s="1" t="s">
        <v>44</v>
      </c>
      <c r="O4811" s="1" t="s">
        <v>45</v>
      </c>
      <c r="P4811" s="1" t="s">
        <v>55</v>
      </c>
      <c r="Q4811" s="1">
        <v>25</v>
      </c>
      <c r="R4811" s="1">
        <v>0</v>
      </c>
      <c r="S4811" s="1">
        <v>25</v>
      </c>
      <c r="T4811" s="1">
        <v>0</v>
      </c>
      <c r="U4811" s="1">
        <v>0</v>
      </c>
      <c r="V4811" s="1" t="str">
        <f t="shared" si="914"/>
        <v>里程去程</v>
      </c>
      <c r="W4811" s="1" t="str">
        <f>"0620"</f>
        <v>0620</v>
      </c>
      <c r="X4811" s="1" t="s">
        <v>29</v>
      </c>
    </row>
    <row r="4812" spans="1:24" x14ac:dyDescent="0.3">
      <c r="A4812" s="1" t="str">
        <f t="shared" si="912"/>
        <v>59820</v>
      </c>
      <c r="B4812" s="1" t="s">
        <v>53</v>
      </c>
      <c r="C4812" s="1" t="s">
        <v>54</v>
      </c>
      <c r="D4812" s="1" t="str">
        <f t="shared" si="913"/>
        <v>9801</v>
      </c>
      <c r="E4812" s="1" t="s">
        <v>25</v>
      </c>
      <c r="F4812" s="1" t="str">
        <f>"A229BB0232880400C834002000000015"</f>
        <v>A229BB0232880400C834002000000015</v>
      </c>
      <c r="G4812" s="1" t="s">
        <v>74</v>
      </c>
      <c r="H4812" s="1" t="str">
        <f t="shared" ref="H4812:H4843" si="915">"20220922"</f>
        <v>20220922</v>
      </c>
      <c r="I4812" s="1" t="str">
        <f>"085625"</f>
        <v>085625</v>
      </c>
      <c r="J4812" s="1" t="s">
        <v>52</v>
      </c>
      <c r="K4812" s="1" t="s">
        <v>52</v>
      </c>
      <c r="L4812" s="1" t="str">
        <f t="shared" si="910"/>
        <v>20220922</v>
      </c>
      <c r="M4812" s="1" t="str">
        <f>"091002"</f>
        <v>091002</v>
      </c>
      <c r="N4812" s="1" t="s">
        <v>60</v>
      </c>
      <c r="O4812" s="1" t="s">
        <v>52</v>
      </c>
      <c r="P4812" s="1" t="s">
        <v>68</v>
      </c>
      <c r="Q4812" s="1">
        <v>13</v>
      </c>
      <c r="R4812" s="1">
        <v>0</v>
      </c>
      <c r="S4812" s="1">
        <v>0</v>
      </c>
      <c r="T4812" s="1">
        <v>13</v>
      </c>
      <c r="U4812" s="1">
        <v>0</v>
      </c>
      <c r="V4812" s="1" t="str">
        <f t="shared" si="914"/>
        <v>里程去程</v>
      </c>
      <c r="W4812" s="1" t="str">
        <f t="shared" ref="W4812:W4823" si="916">"0020"</f>
        <v>0020</v>
      </c>
      <c r="X4812" s="1" t="s">
        <v>29</v>
      </c>
    </row>
    <row r="4813" spans="1:24" x14ac:dyDescent="0.3">
      <c r="A4813" s="1" t="str">
        <f t="shared" si="912"/>
        <v>59820</v>
      </c>
      <c r="B4813" s="1" t="s">
        <v>53</v>
      </c>
      <c r="C4813" s="1" t="s">
        <v>54</v>
      </c>
      <c r="D4813" s="1" t="str">
        <f t="shared" si="913"/>
        <v>9801</v>
      </c>
      <c r="E4813" s="1" t="s">
        <v>25</v>
      </c>
      <c r="F4813" s="1" t="str">
        <f>"82D5FB02AE880400C834002000000015"</f>
        <v>82D5FB02AE880400C834002000000015</v>
      </c>
      <c r="G4813" s="1" t="s">
        <v>26</v>
      </c>
      <c r="H4813" s="1" t="str">
        <f t="shared" si="915"/>
        <v>20220922</v>
      </c>
      <c r="I4813" s="1" t="str">
        <f>"090755"</f>
        <v>090755</v>
      </c>
      <c r="J4813" s="1" t="s">
        <v>86</v>
      </c>
      <c r="K4813" s="1" t="s">
        <v>52</v>
      </c>
      <c r="L4813" s="1" t="str">
        <f t="shared" si="910"/>
        <v>20220922</v>
      </c>
      <c r="M4813" s="1" t="str">
        <f>"091256"</f>
        <v>091256</v>
      </c>
      <c r="N4813" s="1" t="s">
        <v>51</v>
      </c>
      <c r="O4813" s="1" t="s">
        <v>52</v>
      </c>
      <c r="P4813" s="1" t="s">
        <v>68</v>
      </c>
      <c r="Q4813" s="1">
        <v>13</v>
      </c>
      <c r="R4813" s="1">
        <v>0</v>
      </c>
      <c r="S4813" s="1">
        <v>0</v>
      </c>
      <c r="T4813" s="1">
        <v>13</v>
      </c>
      <c r="U4813" s="1">
        <v>0</v>
      </c>
      <c r="V4813" s="1" t="str">
        <f t="shared" si="914"/>
        <v>里程去程</v>
      </c>
      <c r="W4813" s="1" t="str">
        <f t="shared" si="916"/>
        <v>0020</v>
      </c>
      <c r="X4813" s="1" t="s">
        <v>29</v>
      </c>
    </row>
    <row r="4814" spans="1:24" x14ac:dyDescent="0.3">
      <c r="A4814" s="1" t="str">
        <f t="shared" si="912"/>
        <v>59820</v>
      </c>
      <c r="B4814" s="1" t="s">
        <v>53</v>
      </c>
      <c r="C4814" s="1" t="s">
        <v>54</v>
      </c>
      <c r="D4814" s="1" t="str">
        <f t="shared" si="913"/>
        <v>9801</v>
      </c>
      <c r="E4814" s="1" t="s">
        <v>25</v>
      </c>
      <c r="F4814" s="1" t="str">
        <f>"E293E60295880400C834002000000015"</f>
        <v>E293E60295880400C834002000000015</v>
      </c>
      <c r="G4814" s="1" t="s">
        <v>74</v>
      </c>
      <c r="H4814" s="1" t="str">
        <f t="shared" si="915"/>
        <v>20220922</v>
      </c>
      <c r="I4814" s="1" t="str">
        <f>"091013"</f>
        <v>091013</v>
      </c>
      <c r="J4814" s="1" t="s">
        <v>60</v>
      </c>
      <c r="K4814" s="1" t="s">
        <v>52</v>
      </c>
      <c r="L4814" s="1" t="str">
        <f t="shared" si="910"/>
        <v>20220922</v>
      </c>
      <c r="M4814" s="1" t="str">
        <f>"091953"</f>
        <v>091953</v>
      </c>
      <c r="N4814" s="1" t="s">
        <v>80</v>
      </c>
      <c r="O4814" s="1" t="s">
        <v>52</v>
      </c>
      <c r="P4814" s="1" t="s">
        <v>68</v>
      </c>
      <c r="Q4814" s="1">
        <v>13</v>
      </c>
      <c r="R4814" s="1">
        <v>0</v>
      </c>
      <c r="S4814" s="1">
        <v>0</v>
      </c>
      <c r="T4814" s="1">
        <v>13</v>
      </c>
      <c r="U4814" s="1">
        <v>0</v>
      </c>
      <c r="V4814" s="1" t="str">
        <f t="shared" si="914"/>
        <v>里程去程</v>
      </c>
      <c r="W4814" s="1" t="str">
        <f t="shared" si="916"/>
        <v>0020</v>
      </c>
      <c r="X4814" s="1" t="s">
        <v>29</v>
      </c>
    </row>
    <row r="4815" spans="1:24" x14ac:dyDescent="0.3">
      <c r="A4815" s="1" t="str">
        <f t="shared" si="912"/>
        <v>59820</v>
      </c>
      <c r="B4815" s="1" t="s">
        <v>53</v>
      </c>
      <c r="C4815" s="1" t="s">
        <v>54</v>
      </c>
      <c r="D4815" s="1" t="str">
        <f t="shared" si="913"/>
        <v>9801</v>
      </c>
      <c r="E4815" s="1" t="s">
        <v>25</v>
      </c>
      <c r="F4815" s="1" t="str">
        <f>"E213BD024E880400C834002000000015"</f>
        <v>E213BD024E880400C834002000000015</v>
      </c>
      <c r="G4815" s="1" t="s">
        <v>74</v>
      </c>
      <c r="H4815" s="1" t="str">
        <f t="shared" si="915"/>
        <v>20220922</v>
      </c>
      <c r="I4815" s="1" t="str">
        <f>"093815"</f>
        <v>093815</v>
      </c>
      <c r="J4815" s="1" t="s">
        <v>27</v>
      </c>
      <c r="K4815" s="1" t="s">
        <v>28</v>
      </c>
      <c r="L4815" s="1" t="str">
        <f t="shared" si="910"/>
        <v>20220922</v>
      </c>
      <c r="M4815" s="1" t="str">
        <f>"095216"</f>
        <v>095216</v>
      </c>
      <c r="N4815" s="1" t="s">
        <v>56</v>
      </c>
      <c r="O4815" s="1" t="s">
        <v>45</v>
      </c>
      <c r="P4815" s="1" t="s">
        <v>68</v>
      </c>
      <c r="Q4815" s="1">
        <v>13</v>
      </c>
      <c r="R4815" s="1">
        <v>0</v>
      </c>
      <c r="S4815" s="1">
        <v>0</v>
      </c>
      <c r="T4815" s="1">
        <v>13</v>
      </c>
      <c r="U4815" s="1">
        <v>0</v>
      </c>
      <c r="V4815" s="1" t="str">
        <f t="shared" si="914"/>
        <v>里程去程</v>
      </c>
      <c r="W4815" s="1" t="str">
        <f t="shared" si="916"/>
        <v>0020</v>
      </c>
      <c r="X4815" s="1" t="s">
        <v>29</v>
      </c>
    </row>
    <row r="4816" spans="1:24" x14ac:dyDescent="0.3">
      <c r="A4816" s="1" t="str">
        <f t="shared" si="912"/>
        <v>59820</v>
      </c>
      <c r="B4816" s="1" t="s">
        <v>53</v>
      </c>
      <c r="C4816" s="1" t="s">
        <v>54</v>
      </c>
      <c r="D4816" s="1" t="str">
        <f t="shared" si="913"/>
        <v>9801</v>
      </c>
      <c r="E4816" s="1" t="s">
        <v>25</v>
      </c>
      <c r="F4816" s="1" t="str">
        <f>"32780D0344880400C834002000000015"</f>
        <v>32780D0344880400C834002000000015</v>
      </c>
      <c r="G4816" s="1" t="s">
        <v>26</v>
      </c>
      <c r="H4816" s="1" t="str">
        <f t="shared" si="915"/>
        <v>20220922</v>
      </c>
      <c r="I4816" s="1" t="str">
        <f>"093819"</f>
        <v>093819</v>
      </c>
      <c r="J4816" s="1" t="s">
        <v>27</v>
      </c>
      <c r="K4816" s="1" t="s">
        <v>28</v>
      </c>
      <c r="L4816" s="1" t="str">
        <f t="shared" si="910"/>
        <v>20220922</v>
      </c>
      <c r="M4816" s="1" t="str">
        <f>"095218"</f>
        <v>095218</v>
      </c>
      <c r="N4816" s="1" t="s">
        <v>56</v>
      </c>
      <c r="O4816" s="1" t="s">
        <v>45</v>
      </c>
      <c r="P4816" s="1" t="s">
        <v>68</v>
      </c>
      <c r="Q4816" s="1">
        <v>13</v>
      </c>
      <c r="R4816" s="1">
        <v>0</v>
      </c>
      <c r="S4816" s="1">
        <v>0</v>
      </c>
      <c r="T4816" s="1">
        <v>13</v>
      </c>
      <c r="U4816" s="1">
        <v>0</v>
      </c>
      <c r="V4816" s="1" t="str">
        <f t="shared" si="914"/>
        <v>里程去程</v>
      </c>
      <c r="W4816" s="1" t="str">
        <f t="shared" si="916"/>
        <v>0020</v>
      </c>
      <c r="X4816" s="1" t="s">
        <v>29</v>
      </c>
    </row>
    <row r="4817" spans="1:24" x14ac:dyDescent="0.3">
      <c r="A4817" s="1" t="str">
        <f t="shared" si="912"/>
        <v>59820</v>
      </c>
      <c r="B4817" s="1" t="s">
        <v>53</v>
      </c>
      <c r="C4817" s="1" t="s">
        <v>54</v>
      </c>
      <c r="D4817" s="1" t="str">
        <f t="shared" si="913"/>
        <v>9801</v>
      </c>
      <c r="E4817" s="1" t="s">
        <v>25</v>
      </c>
      <c r="F4817" s="1" t="str">
        <f>"2201E702C6880400C834002000000015"</f>
        <v>2201E702C6880400C834002000000015</v>
      </c>
      <c r="G4817" s="1" t="s">
        <v>74</v>
      </c>
      <c r="H4817" s="1" t="str">
        <f t="shared" si="915"/>
        <v>20220922</v>
      </c>
      <c r="I4817" s="1" t="str">
        <f>"093823"</f>
        <v>093823</v>
      </c>
      <c r="J4817" s="1" t="s">
        <v>27</v>
      </c>
      <c r="K4817" s="1" t="s">
        <v>28</v>
      </c>
      <c r="L4817" s="1" t="str">
        <f>""</f>
        <v/>
      </c>
      <c r="M4817" s="1" t="str">
        <f>""</f>
        <v/>
      </c>
      <c r="P4817" s="1" t="s">
        <v>88</v>
      </c>
      <c r="Q4817" s="1">
        <v>13</v>
      </c>
      <c r="R4817" s="1">
        <v>0</v>
      </c>
      <c r="S4817" s="1">
        <v>0</v>
      </c>
      <c r="T4817" s="1">
        <v>13</v>
      </c>
      <c r="U4817" s="1">
        <v>0</v>
      </c>
      <c r="V4817" s="1" t="str">
        <f t="shared" si="914"/>
        <v>里程去程</v>
      </c>
      <c r="W4817" s="1" t="str">
        <f t="shared" si="916"/>
        <v>0020</v>
      </c>
      <c r="X4817" s="1" t="s">
        <v>29</v>
      </c>
    </row>
    <row r="4818" spans="1:24" x14ac:dyDescent="0.3">
      <c r="A4818" s="1" t="str">
        <f t="shared" si="912"/>
        <v>59820</v>
      </c>
      <c r="B4818" s="1" t="s">
        <v>53</v>
      </c>
      <c r="C4818" s="1" t="s">
        <v>54</v>
      </c>
      <c r="D4818" s="1" t="str">
        <f t="shared" si="913"/>
        <v>9801</v>
      </c>
      <c r="E4818" s="1" t="s">
        <v>25</v>
      </c>
      <c r="F4818" s="1" t="str">
        <f>"7220461206880400C824002000000018"</f>
        <v>7220461206880400C824002000000018</v>
      </c>
      <c r="G4818" s="1" t="s">
        <v>58</v>
      </c>
      <c r="H4818" s="1" t="str">
        <f t="shared" si="915"/>
        <v>20220922</v>
      </c>
      <c r="I4818" s="1" t="str">
        <f>"125434"</f>
        <v>125434</v>
      </c>
      <c r="J4818" s="1" t="s">
        <v>28</v>
      </c>
      <c r="K4818" s="1" t="s">
        <v>28</v>
      </c>
      <c r="L4818" s="1" t="str">
        <f t="shared" ref="L4818:L4849" si="917">"20220922"</f>
        <v>20220922</v>
      </c>
      <c r="M4818" s="1" t="str">
        <f>"132217"</f>
        <v>132217</v>
      </c>
      <c r="N4818" s="1" t="s">
        <v>52</v>
      </c>
      <c r="O4818" s="1" t="s">
        <v>52</v>
      </c>
      <c r="P4818" s="1" t="s">
        <v>55</v>
      </c>
      <c r="Q4818" s="1">
        <v>25</v>
      </c>
      <c r="R4818" s="1">
        <v>25</v>
      </c>
      <c r="S4818" s="1">
        <v>0</v>
      </c>
      <c r="T4818" s="1">
        <v>0</v>
      </c>
      <c r="U4818" s="1">
        <v>0</v>
      </c>
      <c r="V4818" s="1" t="str">
        <f t="shared" ref="V4818:V4824" si="918">"里程返程"</f>
        <v>里程返程</v>
      </c>
      <c r="W4818" s="1" t="str">
        <f t="shared" si="916"/>
        <v>0020</v>
      </c>
      <c r="X4818" s="1" t="s">
        <v>29</v>
      </c>
    </row>
    <row r="4819" spans="1:24" x14ac:dyDescent="0.3">
      <c r="A4819" s="1" t="str">
        <f t="shared" si="912"/>
        <v>59820</v>
      </c>
      <c r="B4819" s="1" t="s">
        <v>53</v>
      </c>
      <c r="C4819" s="1" t="s">
        <v>54</v>
      </c>
      <c r="D4819" s="1" t="str">
        <f t="shared" si="913"/>
        <v>9801</v>
      </c>
      <c r="E4819" s="1" t="s">
        <v>25</v>
      </c>
      <c r="F4819" s="1" t="str">
        <f>"E220D10211880400C834002000000015"</f>
        <v>E220D10211880400C834002000000015</v>
      </c>
      <c r="G4819" s="1" t="s">
        <v>74</v>
      </c>
      <c r="H4819" s="1" t="str">
        <f t="shared" si="915"/>
        <v>20220922</v>
      </c>
      <c r="I4819" s="1" t="str">
        <f>"131021"</f>
        <v>131021</v>
      </c>
      <c r="J4819" s="1" t="s">
        <v>97</v>
      </c>
      <c r="K4819" s="1" t="s">
        <v>52</v>
      </c>
      <c r="L4819" s="1" t="str">
        <f t="shared" si="917"/>
        <v>20220922</v>
      </c>
      <c r="M4819" s="1" t="str">
        <f>"131230"</f>
        <v>131230</v>
      </c>
      <c r="N4819" s="1" t="s">
        <v>65</v>
      </c>
      <c r="O4819" s="1" t="s">
        <v>52</v>
      </c>
      <c r="P4819" s="1" t="s">
        <v>68</v>
      </c>
      <c r="Q4819" s="1">
        <v>13</v>
      </c>
      <c r="R4819" s="1">
        <v>0</v>
      </c>
      <c r="S4819" s="1">
        <v>0</v>
      </c>
      <c r="T4819" s="1">
        <v>13</v>
      </c>
      <c r="U4819" s="1">
        <v>0</v>
      </c>
      <c r="V4819" s="1" t="str">
        <f t="shared" si="918"/>
        <v>里程返程</v>
      </c>
      <c r="W4819" s="1" t="str">
        <f t="shared" si="916"/>
        <v>0020</v>
      </c>
      <c r="X4819" s="1" t="s">
        <v>29</v>
      </c>
    </row>
    <row r="4820" spans="1:24" x14ac:dyDescent="0.3">
      <c r="A4820" s="1" t="str">
        <f t="shared" si="912"/>
        <v>59820</v>
      </c>
      <c r="B4820" s="1" t="s">
        <v>53</v>
      </c>
      <c r="C4820" s="1" t="s">
        <v>54</v>
      </c>
      <c r="D4820" s="1" t="str">
        <f t="shared" si="913"/>
        <v>9801</v>
      </c>
      <c r="E4820" s="1" t="s">
        <v>25</v>
      </c>
      <c r="F4820" s="1" t="str">
        <f>"42720D033E880400C834002000000015"</f>
        <v>42720D033E880400C834002000000015</v>
      </c>
      <c r="G4820" s="1" t="s">
        <v>26</v>
      </c>
      <c r="H4820" s="1" t="str">
        <f t="shared" si="915"/>
        <v>20220922</v>
      </c>
      <c r="I4820" s="1" t="str">
        <f>"142437"</f>
        <v>142437</v>
      </c>
      <c r="J4820" s="1" t="s">
        <v>44</v>
      </c>
      <c r="K4820" s="1" t="s">
        <v>45</v>
      </c>
      <c r="L4820" s="1" t="str">
        <f t="shared" si="917"/>
        <v>20220922</v>
      </c>
      <c r="M4820" s="1" t="str">
        <f>"144931"</f>
        <v>144931</v>
      </c>
      <c r="N4820" s="1" t="s">
        <v>85</v>
      </c>
      <c r="O4820" s="1" t="s">
        <v>28</v>
      </c>
      <c r="P4820" s="1" t="s">
        <v>68</v>
      </c>
      <c r="Q4820" s="1">
        <v>13</v>
      </c>
      <c r="R4820" s="1">
        <v>0</v>
      </c>
      <c r="S4820" s="1">
        <v>0</v>
      </c>
      <c r="T4820" s="1">
        <v>13</v>
      </c>
      <c r="U4820" s="1">
        <v>0</v>
      </c>
      <c r="V4820" s="1" t="str">
        <f t="shared" si="918"/>
        <v>里程返程</v>
      </c>
      <c r="W4820" s="1" t="str">
        <f t="shared" si="916"/>
        <v>0020</v>
      </c>
      <c r="X4820" s="1" t="s">
        <v>29</v>
      </c>
    </row>
    <row r="4821" spans="1:24" x14ac:dyDescent="0.3">
      <c r="A4821" s="1" t="str">
        <f t="shared" si="912"/>
        <v>59820</v>
      </c>
      <c r="B4821" s="1" t="s">
        <v>53</v>
      </c>
      <c r="C4821" s="1" t="s">
        <v>54</v>
      </c>
      <c r="D4821" s="1" t="str">
        <f t="shared" si="913"/>
        <v>9801</v>
      </c>
      <c r="E4821" s="1" t="s">
        <v>25</v>
      </c>
      <c r="F4821" s="1" t="str">
        <f>"32780D0344880400C834002000000015"</f>
        <v>32780D0344880400C834002000000015</v>
      </c>
      <c r="G4821" s="1" t="s">
        <v>26</v>
      </c>
      <c r="H4821" s="1" t="str">
        <f t="shared" si="915"/>
        <v>20220922</v>
      </c>
      <c r="I4821" s="1" t="str">
        <f>"142442"</f>
        <v>142442</v>
      </c>
      <c r="J4821" s="1" t="s">
        <v>44</v>
      </c>
      <c r="K4821" s="1" t="s">
        <v>45</v>
      </c>
      <c r="L4821" s="1" t="str">
        <f t="shared" si="917"/>
        <v>20220922</v>
      </c>
      <c r="M4821" s="1" t="str">
        <f>"145030"</f>
        <v>145030</v>
      </c>
      <c r="N4821" s="1" t="s">
        <v>84</v>
      </c>
      <c r="O4821" s="1" t="s">
        <v>28</v>
      </c>
      <c r="P4821" s="1" t="s">
        <v>68</v>
      </c>
      <c r="Q4821" s="1">
        <v>13</v>
      </c>
      <c r="R4821" s="1">
        <v>0</v>
      </c>
      <c r="S4821" s="1">
        <v>0</v>
      </c>
      <c r="T4821" s="1">
        <v>13</v>
      </c>
      <c r="U4821" s="1">
        <v>0</v>
      </c>
      <c r="V4821" s="1" t="str">
        <f t="shared" si="918"/>
        <v>里程返程</v>
      </c>
      <c r="W4821" s="1" t="str">
        <f t="shared" si="916"/>
        <v>0020</v>
      </c>
      <c r="X4821" s="1" t="s">
        <v>29</v>
      </c>
    </row>
    <row r="4822" spans="1:24" x14ac:dyDescent="0.3">
      <c r="A4822" s="1" t="str">
        <f t="shared" si="912"/>
        <v>59820</v>
      </c>
      <c r="B4822" s="1" t="s">
        <v>53</v>
      </c>
      <c r="C4822" s="1" t="s">
        <v>54</v>
      </c>
      <c r="D4822" s="1" t="str">
        <f t="shared" si="913"/>
        <v>9801</v>
      </c>
      <c r="E4822" s="1" t="s">
        <v>25</v>
      </c>
      <c r="F4822" s="1" t="str">
        <f>"D22FBD0242880400C834002000000015"</f>
        <v>D22FBD0242880400C834002000000015</v>
      </c>
      <c r="G4822" s="1" t="s">
        <v>26</v>
      </c>
      <c r="H4822" s="1" t="str">
        <f t="shared" si="915"/>
        <v>20220922</v>
      </c>
      <c r="I4822" s="1" t="str">
        <f>"155233"</f>
        <v>155233</v>
      </c>
      <c r="J4822" s="1" t="s">
        <v>28</v>
      </c>
      <c r="K4822" s="1" t="s">
        <v>28</v>
      </c>
      <c r="L4822" s="1" t="str">
        <f t="shared" si="917"/>
        <v>20220922</v>
      </c>
      <c r="M4822" s="1" t="str">
        <f>"162155"</f>
        <v>162155</v>
      </c>
      <c r="N4822" s="1" t="s">
        <v>60</v>
      </c>
      <c r="O4822" s="1" t="s">
        <v>52</v>
      </c>
      <c r="P4822" s="1" t="s">
        <v>68</v>
      </c>
      <c r="Q4822" s="1">
        <v>13</v>
      </c>
      <c r="R4822" s="1">
        <v>0</v>
      </c>
      <c r="S4822" s="1">
        <v>0</v>
      </c>
      <c r="T4822" s="1">
        <v>13</v>
      </c>
      <c r="U4822" s="1">
        <v>0</v>
      </c>
      <c r="V4822" s="1" t="str">
        <f t="shared" si="918"/>
        <v>里程返程</v>
      </c>
      <c r="W4822" s="1" t="str">
        <f t="shared" si="916"/>
        <v>0020</v>
      </c>
      <c r="X4822" s="1" t="s">
        <v>29</v>
      </c>
    </row>
    <row r="4823" spans="1:24" x14ac:dyDescent="0.3">
      <c r="A4823" s="1" t="str">
        <f t="shared" si="912"/>
        <v>59820</v>
      </c>
      <c r="B4823" s="1" t="s">
        <v>53</v>
      </c>
      <c r="C4823" s="1" t="s">
        <v>54</v>
      </c>
      <c r="D4823" s="1" t="str">
        <f t="shared" si="913"/>
        <v>9801</v>
      </c>
      <c r="E4823" s="1" t="s">
        <v>25</v>
      </c>
      <c r="F4823" s="1" t="str">
        <f>"C596BF09E5180200D200000C22400417"</f>
        <v>C596BF09E5180200D200000C22400417</v>
      </c>
      <c r="G4823" s="1" t="s">
        <v>58</v>
      </c>
      <c r="H4823" s="1" t="str">
        <f t="shared" si="915"/>
        <v>20220922</v>
      </c>
      <c r="I4823" s="1" t="str">
        <f>"155247"</f>
        <v>155247</v>
      </c>
      <c r="J4823" s="1" t="s">
        <v>28</v>
      </c>
      <c r="K4823" s="1" t="s">
        <v>28</v>
      </c>
      <c r="L4823" s="1" t="str">
        <f t="shared" si="917"/>
        <v>20220922</v>
      </c>
      <c r="M4823" s="1" t="str">
        <f>"161629"</f>
        <v>161629</v>
      </c>
      <c r="N4823" s="1" t="s">
        <v>65</v>
      </c>
      <c r="O4823" s="1" t="s">
        <v>52</v>
      </c>
      <c r="P4823" s="1" t="s">
        <v>55</v>
      </c>
      <c r="Q4823" s="1">
        <v>25</v>
      </c>
      <c r="R4823" s="1">
        <v>25</v>
      </c>
      <c r="S4823" s="1">
        <v>0</v>
      </c>
      <c r="T4823" s="1">
        <v>0</v>
      </c>
      <c r="U4823" s="1">
        <v>0</v>
      </c>
      <c r="V4823" s="1" t="str">
        <f t="shared" si="918"/>
        <v>里程返程</v>
      </c>
      <c r="W4823" s="1" t="str">
        <f t="shared" si="916"/>
        <v>0020</v>
      </c>
      <c r="X4823" s="1" t="s">
        <v>29</v>
      </c>
    </row>
    <row r="4824" spans="1:24" x14ac:dyDescent="0.3">
      <c r="A4824" s="1" t="str">
        <f t="shared" ref="A4824:A4862" si="919">"59823"</f>
        <v>59823</v>
      </c>
      <c r="B4824" s="1" t="s">
        <v>36</v>
      </c>
      <c r="C4824" s="1" t="s">
        <v>37</v>
      </c>
      <c r="D4824" s="1" t="str">
        <f>"9806"</f>
        <v>9806</v>
      </c>
      <c r="E4824" s="1" t="s">
        <v>49</v>
      </c>
      <c r="F4824" s="1" t="str">
        <f>"5294A50063880400C801002000000015"</f>
        <v>5294A50063880400C801002000000015</v>
      </c>
      <c r="G4824" s="1" t="s">
        <v>58</v>
      </c>
      <c r="H4824" s="1" t="str">
        <f t="shared" si="915"/>
        <v>20220922</v>
      </c>
      <c r="I4824" s="1" t="str">
        <f>"065946"</f>
        <v>065946</v>
      </c>
      <c r="J4824" s="1" t="s">
        <v>63</v>
      </c>
      <c r="K4824" s="1" t="s">
        <v>28</v>
      </c>
      <c r="L4824" s="1" t="str">
        <f t="shared" si="917"/>
        <v>20220922</v>
      </c>
      <c r="M4824" s="1" t="str">
        <f>"070658"</f>
        <v>070658</v>
      </c>
      <c r="N4824" s="1" t="s">
        <v>104</v>
      </c>
      <c r="O4824" s="1" t="s">
        <v>28</v>
      </c>
      <c r="P4824" s="1" t="s">
        <v>55</v>
      </c>
      <c r="Q4824" s="1">
        <v>25</v>
      </c>
      <c r="R4824" s="1">
        <v>0</v>
      </c>
      <c r="S4824" s="1">
        <v>25</v>
      </c>
      <c r="T4824" s="1">
        <v>0</v>
      </c>
      <c r="U4824" s="1">
        <v>0</v>
      </c>
      <c r="V4824" s="1" t="str">
        <f t="shared" si="918"/>
        <v>里程返程</v>
      </c>
      <c r="W4824" s="1" t="str">
        <f>"1120"</f>
        <v>1120</v>
      </c>
      <c r="X4824" s="1" t="s">
        <v>29</v>
      </c>
    </row>
    <row r="4825" spans="1:24" x14ac:dyDescent="0.3">
      <c r="A4825" s="1" t="str">
        <f t="shared" si="919"/>
        <v>59823</v>
      </c>
      <c r="B4825" s="1" t="s">
        <v>36</v>
      </c>
      <c r="C4825" s="1" t="s">
        <v>37</v>
      </c>
      <c r="D4825" s="1" t="str">
        <f t="shared" ref="D4825:D4861" si="920">"9803"</f>
        <v>9803</v>
      </c>
      <c r="E4825" s="1" t="s">
        <v>32</v>
      </c>
      <c r="F4825" s="1" t="str">
        <f>"5437610"</f>
        <v>5437610</v>
      </c>
      <c r="G4825" s="1" t="s">
        <v>33</v>
      </c>
      <c r="H4825" s="1" t="str">
        <f t="shared" si="915"/>
        <v>20220922</v>
      </c>
      <c r="I4825" s="1" t="str">
        <f>"102902"</f>
        <v>102902</v>
      </c>
      <c r="J4825" s="1" t="s">
        <v>28</v>
      </c>
      <c r="K4825" s="1" t="s">
        <v>28</v>
      </c>
      <c r="L4825" s="1" t="str">
        <f t="shared" si="917"/>
        <v>20220922</v>
      </c>
      <c r="M4825" s="1" t="str">
        <f>"104858"</f>
        <v>104858</v>
      </c>
      <c r="N4825" s="1" t="s">
        <v>34</v>
      </c>
      <c r="O4825" s="1" t="s">
        <v>34</v>
      </c>
      <c r="P4825" s="1" t="s">
        <v>55</v>
      </c>
      <c r="Q4825" s="1">
        <v>25</v>
      </c>
      <c r="R4825" s="1">
        <v>25</v>
      </c>
      <c r="S4825" s="1">
        <v>0</v>
      </c>
      <c r="T4825" s="1">
        <v>0</v>
      </c>
      <c r="U4825" s="1">
        <v>0</v>
      </c>
      <c r="V4825" s="1" t="str">
        <f t="shared" ref="V4825:V4834" si="921">"里程去程"</f>
        <v>里程去程</v>
      </c>
      <c r="W4825" s="1" t="str">
        <f>"2020"</f>
        <v>2020</v>
      </c>
      <c r="X4825" s="1" t="s">
        <v>35</v>
      </c>
    </row>
    <row r="4826" spans="1:24" x14ac:dyDescent="0.3">
      <c r="A4826" s="1" t="str">
        <f t="shared" si="919"/>
        <v>59823</v>
      </c>
      <c r="B4826" s="1" t="s">
        <v>36</v>
      </c>
      <c r="C4826" s="1" t="s">
        <v>37</v>
      </c>
      <c r="D4826" s="1" t="str">
        <f t="shared" si="920"/>
        <v>9803</v>
      </c>
      <c r="E4826" s="1" t="s">
        <v>32</v>
      </c>
      <c r="F4826" s="1" t="str">
        <f>"1760131957"</f>
        <v>1760131957</v>
      </c>
      <c r="G4826" s="1" t="s">
        <v>33</v>
      </c>
      <c r="H4826" s="1" t="str">
        <f t="shared" si="915"/>
        <v>20220922</v>
      </c>
      <c r="I4826" s="1" t="str">
        <f>"102917"</f>
        <v>102917</v>
      </c>
      <c r="J4826" s="1" t="s">
        <v>28</v>
      </c>
      <c r="K4826" s="1" t="s">
        <v>28</v>
      </c>
      <c r="L4826" s="1" t="str">
        <f t="shared" si="917"/>
        <v>20220922</v>
      </c>
      <c r="M4826" s="1" t="str">
        <f>"104908"</f>
        <v>104908</v>
      </c>
      <c r="N4826" s="1" t="s">
        <v>34</v>
      </c>
      <c r="O4826" s="1" t="s">
        <v>34</v>
      </c>
      <c r="P4826" s="1" t="s">
        <v>55</v>
      </c>
      <c r="Q4826" s="1">
        <v>25</v>
      </c>
      <c r="R4826" s="1">
        <v>25</v>
      </c>
      <c r="S4826" s="1">
        <v>0</v>
      </c>
      <c r="T4826" s="1">
        <v>0</v>
      </c>
      <c r="U4826" s="1">
        <v>0</v>
      </c>
      <c r="V4826" s="1" t="str">
        <f t="shared" si="921"/>
        <v>里程去程</v>
      </c>
      <c r="W4826" s="1" t="str">
        <f>"0320"</f>
        <v>0320</v>
      </c>
      <c r="X4826" s="1" t="s">
        <v>35</v>
      </c>
    </row>
    <row r="4827" spans="1:24" x14ac:dyDescent="0.3">
      <c r="A4827" s="1" t="str">
        <f t="shared" si="919"/>
        <v>59823</v>
      </c>
      <c r="B4827" s="1" t="s">
        <v>36</v>
      </c>
      <c r="C4827" s="1" t="s">
        <v>37</v>
      </c>
      <c r="D4827" s="1" t="str">
        <f t="shared" si="920"/>
        <v>9803</v>
      </c>
      <c r="E4827" s="1" t="s">
        <v>32</v>
      </c>
      <c r="F4827" s="1" t="str">
        <f>"D1B0B145952804001C00000000000000"</f>
        <v>D1B0B145952804001C00000000000000</v>
      </c>
      <c r="G4827" s="1" t="s">
        <v>58</v>
      </c>
      <c r="H4827" s="1" t="str">
        <f t="shared" si="915"/>
        <v>20220922</v>
      </c>
      <c r="I4827" s="1" t="str">
        <f>"102921"</f>
        <v>102921</v>
      </c>
      <c r="J4827" s="1" t="s">
        <v>28</v>
      </c>
      <c r="K4827" s="1" t="s">
        <v>28</v>
      </c>
      <c r="L4827" s="1" t="str">
        <f t="shared" si="917"/>
        <v>20220922</v>
      </c>
      <c r="M4827" s="1" t="str">
        <f>"104913"</f>
        <v>104913</v>
      </c>
      <c r="N4827" s="1" t="s">
        <v>34</v>
      </c>
      <c r="O4827" s="1" t="s">
        <v>34</v>
      </c>
      <c r="P4827" s="1" t="s">
        <v>55</v>
      </c>
      <c r="Q4827" s="1">
        <v>25</v>
      </c>
      <c r="R4827" s="1">
        <v>25</v>
      </c>
      <c r="S4827" s="1">
        <v>0</v>
      </c>
      <c r="T4827" s="1">
        <v>0</v>
      </c>
      <c r="U4827" s="1">
        <v>0</v>
      </c>
      <c r="V4827" s="1" t="str">
        <f t="shared" si="921"/>
        <v>里程去程</v>
      </c>
      <c r="W4827" s="1" t="str">
        <f>"0020"</f>
        <v>0020</v>
      </c>
      <c r="X4827" s="1" t="s">
        <v>29</v>
      </c>
    </row>
    <row r="4828" spans="1:24" x14ac:dyDescent="0.3">
      <c r="A4828" s="1" t="str">
        <f t="shared" si="919"/>
        <v>59823</v>
      </c>
      <c r="B4828" s="1" t="s">
        <v>36</v>
      </c>
      <c r="C4828" s="1" t="s">
        <v>37</v>
      </c>
      <c r="D4828" s="1" t="str">
        <f t="shared" si="920"/>
        <v>9803</v>
      </c>
      <c r="E4828" s="1" t="s">
        <v>32</v>
      </c>
      <c r="F4828" s="1" t="str">
        <f>"185470625"</f>
        <v>185470625</v>
      </c>
      <c r="G4828" s="1" t="s">
        <v>33</v>
      </c>
      <c r="H4828" s="1" t="str">
        <f t="shared" si="915"/>
        <v>20220922</v>
      </c>
      <c r="I4828" s="1" t="str">
        <f>"103953"</f>
        <v>103953</v>
      </c>
      <c r="J4828" s="1" t="s">
        <v>46</v>
      </c>
      <c r="K4828" s="1" t="s">
        <v>28</v>
      </c>
      <c r="L4828" s="1" t="str">
        <f t="shared" si="917"/>
        <v>20220922</v>
      </c>
      <c r="M4828" s="1" t="str">
        <f>"104904"</f>
        <v>104904</v>
      </c>
      <c r="N4828" s="1" t="s">
        <v>34</v>
      </c>
      <c r="O4828" s="1" t="s">
        <v>34</v>
      </c>
      <c r="P4828" s="1" t="s">
        <v>55</v>
      </c>
      <c r="Q4828" s="1">
        <v>25</v>
      </c>
      <c r="R4828" s="1">
        <v>25</v>
      </c>
      <c r="S4828" s="1">
        <v>0</v>
      </c>
      <c r="T4828" s="1">
        <v>0</v>
      </c>
      <c r="U4828" s="1">
        <v>0</v>
      </c>
      <c r="V4828" s="1" t="str">
        <f t="shared" si="921"/>
        <v>里程去程</v>
      </c>
      <c r="W4828" s="1" t="str">
        <f>"2120"</f>
        <v>2120</v>
      </c>
      <c r="X4828" s="1" t="s">
        <v>35</v>
      </c>
    </row>
    <row r="4829" spans="1:24" x14ac:dyDescent="0.3">
      <c r="A4829" s="1" t="str">
        <f t="shared" si="919"/>
        <v>59823</v>
      </c>
      <c r="B4829" s="1" t="s">
        <v>36</v>
      </c>
      <c r="C4829" s="1" t="s">
        <v>37</v>
      </c>
      <c r="D4829" s="1" t="str">
        <f t="shared" si="920"/>
        <v>9803</v>
      </c>
      <c r="E4829" s="1" t="s">
        <v>32</v>
      </c>
      <c r="F4829" s="1" t="str">
        <f>"2622606831"</f>
        <v>2622606831</v>
      </c>
      <c r="G4829" s="1" t="s">
        <v>33</v>
      </c>
      <c r="H4829" s="1" t="str">
        <f t="shared" si="915"/>
        <v>20220922</v>
      </c>
      <c r="I4829" s="1" t="str">
        <f>"112955"</f>
        <v>112955</v>
      </c>
      <c r="J4829" s="1" t="s">
        <v>28</v>
      </c>
      <c r="K4829" s="1" t="s">
        <v>28</v>
      </c>
      <c r="L4829" s="1" t="str">
        <f t="shared" si="917"/>
        <v>20220922</v>
      </c>
      <c r="M4829" s="1" t="str">
        <f>"115053"</f>
        <v>115053</v>
      </c>
      <c r="N4829" s="1" t="s">
        <v>34</v>
      </c>
      <c r="O4829" s="1" t="s">
        <v>34</v>
      </c>
      <c r="P4829" s="1" t="s">
        <v>55</v>
      </c>
      <c r="Q4829" s="1">
        <v>25</v>
      </c>
      <c r="R4829" s="1">
        <v>25</v>
      </c>
      <c r="S4829" s="1">
        <v>0</v>
      </c>
      <c r="T4829" s="1">
        <v>0</v>
      </c>
      <c r="U4829" s="1">
        <v>0</v>
      </c>
      <c r="V4829" s="1" t="str">
        <f t="shared" si="921"/>
        <v>里程去程</v>
      </c>
      <c r="W4829" s="1" t="str">
        <f>"0820"</f>
        <v>0820</v>
      </c>
      <c r="X4829" s="1" t="s">
        <v>35</v>
      </c>
    </row>
    <row r="4830" spans="1:24" x14ac:dyDescent="0.3">
      <c r="A4830" s="1" t="str">
        <f t="shared" si="919"/>
        <v>59823</v>
      </c>
      <c r="B4830" s="1" t="s">
        <v>36</v>
      </c>
      <c r="C4830" s="1" t="s">
        <v>37</v>
      </c>
      <c r="D4830" s="1" t="str">
        <f t="shared" si="920"/>
        <v>9803</v>
      </c>
      <c r="E4830" s="1" t="s">
        <v>32</v>
      </c>
      <c r="F4830" s="1" t="str">
        <f>"1419110224"</f>
        <v>1419110224</v>
      </c>
      <c r="G4830" s="1" t="s">
        <v>33</v>
      </c>
      <c r="H4830" s="1" t="str">
        <f t="shared" si="915"/>
        <v>20220922</v>
      </c>
      <c r="I4830" s="1" t="str">
        <f>"113012"</f>
        <v>113012</v>
      </c>
      <c r="J4830" s="1" t="s">
        <v>28</v>
      </c>
      <c r="K4830" s="1" t="s">
        <v>28</v>
      </c>
      <c r="L4830" s="1" t="str">
        <f t="shared" si="917"/>
        <v>20220922</v>
      </c>
      <c r="M4830" s="1" t="str">
        <f>"115030"</f>
        <v>115030</v>
      </c>
      <c r="N4830" s="1" t="s">
        <v>34</v>
      </c>
      <c r="O4830" s="1" t="s">
        <v>34</v>
      </c>
      <c r="P4830" s="1" t="s">
        <v>55</v>
      </c>
      <c r="Q4830" s="1">
        <v>25</v>
      </c>
      <c r="R4830" s="1">
        <v>25</v>
      </c>
      <c r="S4830" s="1">
        <v>0</v>
      </c>
      <c r="T4830" s="1">
        <v>0</v>
      </c>
      <c r="U4830" s="1">
        <v>0</v>
      </c>
      <c r="V4830" s="1" t="str">
        <f t="shared" si="921"/>
        <v>里程去程</v>
      </c>
      <c r="W4830" s="1" t="str">
        <f>"0120"</f>
        <v>0120</v>
      </c>
      <c r="X4830" s="1" t="s">
        <v>35</v>
      </c>
    </row>
    <row r="4831" spans="1:24" x14ac:dyDescent="0.3">
      <c r="A4831" s="1" t="str">
        <f t="shared" si="919"/>
        <v>59823</v>
      </c>
      <c r="B4831" s="1" t="s">
        <v>36</v>
      </c>
      <c r="C4831" s="1" t="s">
        <v>37</v>
      </c>
      <c r="D4831" s="1" t="str">
        <f t="shared" si="920"/>
        <v>9803</v>
      </c>
      <c r="E4831" s="1" t="s">
        <v>32</v>
      </c>
      <c r="F4831" s="1" t="str">
        <f>"1295882049"</f>
        <v>1295882049</v>
      </c>
      <c r="G4831" s="1" t="s">
        <v>33</v>
      </c>
      <c r="H4831" s="1" t="str">
        <f t="shared" si="915"/>
        <v>20220922</v>
      </c>
      <c r="I4831" s="1" t="str">
        <f>"113025"</f>
        <v>113025</v>
      </c>
      <c r="J4831" s="1" t="s">
        <v>28</v>
      </c>
      <c r="K4831" s="1" t="s">
        <v>28</v>
      </c>
      <c r="L4831" s="1" t="str">
        <f t="shared" si="917"/>
        <v>20220922</v>
      </c>
      <c r="M4831" s="1" t="str">
        <f>"115033"</f>
        <v>115033</v>
      </c>
      <c r="N4831" s="1" t="s">
        <v>34</v>
      </c>
      <c r="O4831" s="1" t="s">
        <v>34</v>
      </c>
      <c r="P4831" s="1" t="s">
        <v>55</v>
      </c>
      <c r="Q4831" s="1">
        <v>25</v>
      </c>
      <c r="R4831" s="1">
        <v>25</v>
      </c>
      <c r="S4831" s="1">
        <v>0</v>
      </c>
      <c r="T4831" s="1">
        <v>0</v>
      </c>
      <c r="U4831" s="1">
        <v>0</v>
      </c>
      <c r="V4831" s="1" t="str">
        <f t="shared" si="921"/>
        <v>里程去程</v>
      </c>
      <c r="W4831" s="1" t="str">
        <f>"0120"</f>
        <v>0120</v>
      </c>
      <c r="X4831" s="1" t="s">
        <v>35</v>
      </c>
    </row>
    <row r="4832" spans="1:24" x14ac:dyDescent="0.3">
      <c r="A4832" s="1" t="str">
        <f t="shared" si="919"/>
        <v>59823</v>
      </c>
      <c r="B4832" s="1" t="s">
        <v>36</v>
      </c>
      <c r="C4832" s="1" t="s">
        <v>37</v>
      </c>
      <c r="D4832" s="1" t="str">
        <f t="shared" si="920"/>
        <v>9803</v>
      </c>
      <c r="E4832" s="1" t="s">
        <v>32</v>
      </c>
      <c r="F4832" s="1" t="str">
        <f>"0CB3698254880400C08E3CD551702213"</f>
        <v>0CB3698254880400C08E3CD551702213</v>
      </c>
      <c r="G4832" s="1" t="s">
        <v>58</v>
      </c>
      <c r="H4832" s="1" t="str">
        <f t="shared" si="915"/>
        <v>20220922</v>
      </c>
      <c r="I4832" s="1" t="str">
        <f>"113039"</f>
        <v>113039</v>
      </c>
      <c r="J4832" s="1" t="s">
        <v>28</v>
      </c>
      <c r="K4832" s="1" t="s">
        <v>28</v>
      </c>
      <c r="L4832" s="1" t="str">
        <f t="shared" si="917"/>
        <v>20220922</v>
      </c>
      <c r="M4832" s="1" t="str">
        <f>"115135"</f>
        <v>115135</v>
      </c>
      <c r="N4832" s="1" t="s">
        <v>34</v>
      </c>
      <c r="O4832" s="1" t="s">
        <v>34</v>
      </c>
      <c r="P4832" s="1" t="s">
        <v>55</v>
      </c>
      <c r="Q4832" s="1">
        <v>25</v>
      </c>
      <c r="R4832" s="1">
        <v>0</v>
      </c>
      <c r="S4832" s="1">
        <v>25</v>
      </c>
      <c r="T4832" s="1">
        <v>0</v>
      </c>
      <c r="U4832" s="1">
        <v>0</v>
      </c>
      <c r="V4832" s="1" t="str">
        <f t="shared" si="921"/>
        <v>里程去程</v>
      </c>
      <c r="W4832" s="1" t="str">
        <f>"0620"</f>
        <v>0620</v>
      </c>
      <c r="X4832" s="1" t="s">
        <v>29</v>
      </c>
    </row>
    <row r="4833" spans="1:24" x14ac:dyDescent="0.3">
      <c r="A4833" s="1" t="str">
        <f t="shared" si="919"/>
        <v>59823</v>
      </c>
      <c r="B4833" s="1" t="s">
        <v>36</v>
      </c>
      <c r="C4833" s="1" t="s">
        <v>37</v>
      </c>
      <c r="D4833" s="1" t="str">
        <f t="shared" si="920"/>
        <v>9803</v>
      </c>
      <c r="E4833" s="1" t="s">
        <v>32</v>
      </c>
      <c r="F4833" s="1" t="str">
        <f>"363839233"</f>
        <v>363839233</v>
      </c>
      <c r="G4833" s="1" t="s">
        <v>33</v>
      </c>
      <c r="H4833" s="1" t="str">
        <f t="shared" si="915"/>
        <v>20220922</v>
      </c>
      <c r="I4833" s="1" t="str">
        <f>"113053"</f>
        <v>113053</v>
      </c>
      <c r="J4833" s="1" t="s">
        <v>28</v>
      </c>
      <c r="K4833" s="1" t="s">
        <v>28</v>
      </c>
      <c r="L4833" s="1" t="str">
        <f t="shared" si="917"/>
        <v>20220922</v>
      </c>
      <c r="M4833" s="1" t="str">
        <f>"115042"</f>
        <v>115042</v>
      </c>
      <c r="N4833" s="1" t="s">
        <v>34</v>
      </c>
      <c r="O4833" s="1" t="s">
        <v>34</v>
      </c>
      <c r="P4833" s="1" t="s">
        <v>55</v>
      </c>
      <c r="Q4833" s="1">
        <v>25</v>
      </c>
      <c r="R4833" s="1">
        <v>0</v>
      </c>
      <c r="S4833" s="1">
        <v>25</v>
      </c>
      <c r="T4833" s="1">
        <v>0</v>
      </c>
      <c r="U4833" s="1">
        <v>0</v>
      </c>
      <c r="V4833" s="1" t="str">
        <f t="shared" si="921"/>
        <v>里程去程</v>
      </c>
      <c r="W4833" s="1" t="str">
        <f>"0820"</f>
        <v>0820</v>
      </c>
      <c r="X4833" s="1" t="s">
        <v>35</v>
      </c>
    </row>
    <row r="4834" spans="1:24" x14ac:dyDescent="0.3">
      <c r="A4834" s="1" t="str">
        <f t="shared" si="919"/>
        <v>59823</v>
      </c>
      <c r="B4834" s="1" t="s">
        <v>36</v>
      </c>
      <c r="C4834" s="1" t="s">
        <v>37</v>
      </c>
      <c r="D4834" s="1" t="str">
        <f t="shared" si="920"/>
        <v>9803</v>
      </c>
      <c r="E4834" s="1" t="s">
        <v>32</v>
      </c>
      <c r="F4834" s="1" t="str">
        <f>"1240943617"</f>
        <v>1240943617</v>
      </c>
      <c r="G4834" s="1" t="s">
        <v>33</v>
      </c>
      <c r="H4834" s="1" t="str">
        <f t="shared" si="915"/>
        <v>20220922</v>
      </c>
      <c r="I4834" s="1" t="str">
        <f>"113058"</f>
        <v>113058</v>
      </c>
      <c r="J4834" s="1" t="s">
        <v>28</v>
      </c>
      <c r="K4834" s="1" t="s">
        <v>28</v>
      </c>
      <c r="L4834" s="1" t="str">
        <f t="shared" si="917"/>
        <v>20220922</v>
      </c>
      <c r="M4834" s="1" t="str">
        <f>"115047"</f>
        <v>115047</v>
      </c>
      <c r="N4834" s="1" t="s">
        <v>34</v>
      </c>
      <c r="O4834" s="1" t="s">
        <v>34</v>
      </c>
      <c r="P4834" s="1" t="s">
        <v>55</v>
      </c>
      <c r="Q4834" s="1">
        <v>25</v>
      </c>
      <c r="R4834" s="1">
        <v>0</v>
      </c>
      <c r="S4834" s="1">
        <v>25</v>
      </c>
      <c r="T4834" s="1">
        <v>0</v>
      </c>
      <c r="U4834" s="1">
        <v>0</v>
      </c>
      <c r="V4834" s="1" t="str">
        <f t="shared" si="921"/>
        <v>里程去程</v>
      </c>
      <c r="W4834" s="1" t="str">
        <f>"0820"</f>
        <v>0820</v>
      </c>
      <c r="X4834" s="1" t="s">
        <v>35</v>
      </c>
    </row>
    <row r="4835" spans="1:24" x14ac:dyDescent="0.3">
      <c r="A4835" s="1" t="str">
        <f t="shared" si="919"/>
        <v>59823</v>
      </c>
      <c r="B4835" s="1" t="s">
        <v>36</v>
      </c>
      <c r="C4835" s="1" t="s">
        <v>37</v>
      </c>
      <c r="D4835" s="1" t="str">
        <f t="shared" si="920"/>
        <v>9803</v>
      </c>
      <c r="E4835" s="1" t="s">
        <v>32</v>
      </c>
      <c r="F4835" s="1" t="str">
        <f>"7214DB12AF28040080CEBCD765212818"</f>
        <v>7214DB12AF28040080CEBCD765212818</v>
      </c>
      <c r="G4835" s="1" t="s">
        <v>58</v>
      </c>
      <c r="H4835" s="1" t="str">
        <f t="shared" si="915"/>
        <v>20220922</v>
      </c>
      <c r="I4835" s="1" t="str">
        <f>"120024"</f>
        <v>120024</v>
      </c>
      <c r="J4835" s="1" t="s">
        <v>34</v>
      </c>
      <c r="K4835" s="1" t="s">
        <v>34</v>
      </c>
      <c r="L4835" s="1" t="str">
        <f t="shared" si="917"/>
        <v>20220922</v>
      </c>
      <c r="M4835" s="1" t="str">
        <f>"122731"</f>
        <v>122731</v>
      </c>
      <c r="N4835" s="1" t="s">
        <v>28</v>
      </c>
      <c r="O4835" s="1" t="s">
        <v>28</v>
      </c>
      <c r="P4835" s="1" t="s">
        <v>55</v>
      </c>
      <c r="Q4835" s="1">
        <v>25</v>
      </c>
      <c r="R4835" s="1">
        <v>25</v>
      </c>
      <c r="S4835" s="1">
        <v>0</v>
      </c>
      <c r="T4835" s="1">
        <v>0</v>
      </c>
      <c r="U4835" s="1">
        <v>0</v>
      </c>
      <c r="V4835" s="1" t="str">
        <f>"里程返程"</f>
        <v>里程返程</v>
      </c>
      <c r="W4835" s="1" t="str">
        <f>"0020"</f>
        <v>0020</v>
      </c>
      <c r="X4835" s="1" t="s">
        <v>29</v>
      </c>
    </row>
    <row r="4836" spans="1:24" x14ac:dyDescent="0.3">
      <c r="A4836" s="1" t="str">
        <f t="shared" si="919"/>
        <v>59823</v>
      </c>
      <c r="B4836" s="1" t="s">
        <v>36</v>
      </c>
      <c r="C4836" s="1" t="s">
        <v>37</v>
      </c>
      <c r="D4836" s="1" t="str">
        <f t="shared" si="920"/>
        <v>9803</v>
      </c>
      <c r="E4836" s="1" t="s">
        <v>32</v>
      </c>
      <c r="F4836" s="1" t="str">
        <f>"1207138501"</f>
        <v>1207138501</v>
      </c>
      <c r="G4836" s="1" t="s">
        <v>38</v>
      </c>
      <c r="H4836" s="1" t="str">
        <f t="shared" si="915"/>
        <v>20220922</v>
      </c>
      <c r="I4836" s="1" t="str">
        <f>"120028"</f>
        <v>120028</v>
      </c>
      <c r="J4836" s="1" t="s">
        <v>34</v>
      </c>
      <c r="K4836" s="1" t="s">
        <v>34</v>
      </c>
      <c r="L4836" s="1" t="str">
        <f t="shared" si="917"/>
        <v>20220922</v>
      </c>
      <c r="M4836" s="1" t="str">
        <f>"122726"</f>
        <v>122726</v>
      </c>
      <c r="N4836" s="1" t="s">
        <v>28</v>
      </c>
      <c r="O4836" s="1" t="s">
        <v>28</v>
      </c>
      <c r="P4836" s="1" t="s">
        <v>55</v>
      </c>
      <c r="Q4836" s="1">
        <v>25</v>
      </c>
      <c r="R4836" s="1">
        <v>25</v>
      </c>
      <c r="S4836" s="1">
        <v>0</v>
      </c>
      <c r="T4836" s="1">
        <v>0</v>
      </c>
      <c r="U4836" s="1">
        <v>0</v>
      </c>
      <c r="V4836" s="1" t="str">
        <f>"里程返程"</f>
        <v>里程返程</v>
      </c>
      <c r="W4836" s="1" t="str">
        <f>"2020"</f>
        <v>2020</v>
      </c>
      <c r="X4836" s="1" t="s">
        <v>35</v>
      </c>
    </row>
    <row r="4837" spans="1:24" x14ac:dyDescent="0.3">
      <c r="A4837" s="1" t="str">
        <f t="shared" si="919"/>
        <v>59823</v>
      </c>
      <c r="B4837" s="1" t="s">
        <v>36</v>
      </c>
      <c r="C4837" s="1" t="s">
        <v>37</v>
      </c>
      <c r="D4837" s="1" t="str">
        <f t="shared" si="920"/>
        <v>9803</v>
      </c>
      <c r="E4837" s="1" t="s">
        <v>32</v>
      </c>
      <c r="F4837" s="1" t="str">
        <f>"1204194869"</f>
        <v>1204194869</v>
      </c>
      <c r="G4837" s="1" t="s">
        <v>38</v>
      </c>
      <c r="H4837" s="1" t="str">
        <f t="shared" si="915"/>
        <v>20220922</v>
      </c>
      <c r="I4837" s="1" t="str">
        <f>"120032"</f>
        <v>120032</v>
      </c>
      <c r="J4837" s="1" t="s">
        <v>34</v>
      </c>
      <c r="K4837" s="1" t="s">
        <v>34</v>
      </c>
      <c r="L4837" s="1" t="str">
        <f t="shared" si="917"/>
        <v>20220922</v>
      </c>
      <c r="M4837" s="1" t="str">
        <f>"122729"</f>
        <v>122729</v>
      </c>
      <c r="N4837" s="1" t="s">
        <v>28</v>
      </c>
      <c r="O4837" s="1" t="s">
        <v>28</v>
      </c>
      <c r="P4837" s="1" t="s">
        <v>55</v>
      </c>
      <c r="Q4837" s="1">
        <v>25</v>
      </c>
      <c r="R4837" s="1">
        <v>25</v>
      </c>
      <c r="S4837" s="1">
        <v>0</v>
      </c>
      <c r="T4837" s="1">
        <v>0</v>
      </c>
      <c r="U4837" s="1">
        <v>0</v>
      </c>
      <c r="V4837" s="1" t="str">
        <f>"里程返程"</f>
        <v>里程返程</v>
      </c>
      <c r="W4837" s="1" t="str">
        <f>"2020"</f>
        <v>2020</v>
      </c>
      <c r="X4837" s="1" t="s">
        <v>35</v>
      </c>
    </row>
    <row r="4838" spans="1:24" x14ac:dyDescent="0.3">
      <c r="A4838" s="1" t="str">
        <f t="shared" si="919"/>
        <v>59823</v>
      </c>
      <c r="B4838" s="1" t="s">
        <v>36</v>
      </c>
      <c r="C4838" s="1" t="s">
        <v>37</v>
      </c>
      <c r="D4838" s="1" t="str">
        <f t="shared" si="920"/>
        <v>9803</v>
      </c>
      <c r="E4838" s="1" t="s">
        <v>32</v>
      </c>
      <c r="F4838" s="1" t="str">
        <f>"1208937445"</f>
        <v>1208937445</v>
      </c>
      <c r="G4838" s="1" t="s">
        <v>38</v>
      </c>
      <c r="H4838" s="1" t="str">
        <f t="shared" si="915"/>
        <v>20220922</v>
      </c>
      <c r="I4838" s="1" t="str">
        <f>"120035"</f>
        <v>120035</v>
      </c>
      <c r="J4838" s="1" t="s">
        <v>34</v>
      </c>
      <c r="K4838" s="1" t="s">
        <v>34</v>
      </c>
      <c r="L4838" s="1" t="str">
        <f t="shared" si="917"/>
        <v>20220922</v>
      </c>
      <c r="M4838" s="1" t="str">
        <f>"122721"</f>
        <v>122721</v>
      </c>
      <c r="N4838" s="1" t="s">
        <v>28</v>
      </c>
      <c r="O4838" s="1" t="s">
        <v>28</v>
      </c>
      <c r="P4838" s="1" t="s">
        <v>55</v>
      </c>
      <c r="Q4838" s="1">
        <v>25</v>
      </c>
      <c r="R4838" s="1">
        <v>25</v>
      </c>
      <c r="S4838" s="1">
        <v>0</v>
      </c>
      <c r="T4838" s="1">
        <v>0</v>
      </c>
      <c r="U4838" s="1">
        <v>0</v>
      </c>
      <c r="V4838" s="1" t="str">
        <f>"里程返程"</f>
        <v>里程返程</v>
      </c>
      <c r="W4838" s="1" t="str">
        <f>"2020"</f>
        <v>2020</v>
      </c>
      <c r="X4838" s="1" t="s">
        <v>35</v>
      </c>
    </row>
    <row r="4839" spans="1:24" x14ac:dyDescent="0.3">
      <c r="A4839" s="1" t="str">
        <f t="shared" si="919"/>
        <v>59823</v>
      </c>
      <c r="B4839" s="1" t="s">
        <v>36</v>
      </c>
      <c r="C4839" s="1" t="s">
        <v>37</v>
      </c>
      <c r="D4839" s="1" t="str">
        <f t="shared" si="920"/>
        <v>9803</v>
      </c>
      <c r="E4839" s="1" t="s">
        <v>32</v>
      </c>
      <c r="F4839" s="1" t="str">
        <f>"3039099048"</f>
        <v>3039099048</v>
      </c>
      <c r="G4839" s="1" t="s">
        <v>33</v>
      </c>
      <c r="H4839" s="1" t="str">
        <f t="shared" si="915"/>
        <v>20220922</v>
      </c>
      <c r="I4839" s="1" t="str">
        <f>"122813"</f>
        <v>122813</v>
      </c>
      <c r="J4839" s="1" t="s">
        <v>28</v>
      </c>
      <c r="K4839" s="1" t="s">
        <v>28</v>
      </c>
      <c r="L4839" s="1" t="str">
        <f t="shared" si="917"/>
        <v>20220922</v>
      </c>
      <c r="M4839" s="1" t="str">
        <f>"125125"</f>
        <v>125125</v>
      </c>
      <c r="N4839" s="1" t="s">
        <v>34</v>
      </c>
      <c r="O4839" s="1" t="s">
        <v>34</v>
      </c>
      <c r="P4839" s="1" t="s">
        <v>55</v>
      </c>
      <c r="Q4839" s="1">
        <v>25</v>
      </c>
      <c r="R4839" s="1">
        <v>25</v>
      </c>
      <c r="S4839" s="1">
        <v>0</v>
      </c>
      <c r="T4839" s="1">
        <v>0</v>
      </c>
      <c r="U4839" s="1">
        <v>0</v>
      </c>
      <c r="V4839" s="1" t="str">
        <f t="shared" ref="V4839:V4851" si="922">"里程去程"</f>
        <v>里程去程</v>
      </c>
      <c r="W4839" s="1" t="str">
        <f>"1620"</f>
        <v>1620</v>
      </c>
      <c r="X4839" s="1" t="s">
        <v>35</v>
      </c>
    </row>
    <row r="4840" spans="1:24" x14ac:dyDescent="0.3">
      <c r="A4840" s="1" t="str">
        <f t="shared" si="919"/>
        <v>59823</v>
      </c>
      <c r="B4840" s="1" t="s">
        <v>36</v>
      </c>
      <c r="C4840" s="1" t="s">
        <v>37</v>
      </c>
      <c r="D4840" s="1" t="str">
        <f t="shared" si="920"/>
        <v>9803</v>
      </c>
      <c r="E4840" s="1" t="s">
        <v>32</v>
      </c>
      <c r="F4840" s="1" t="str">
        <f>"32AF630AF4880400C810002000000016"</f>
        <v>32AF630AF4880400C810002000000016</v>
      </c>
      <c r="G4840" s="1" t="s">
        <v>59</v>
      </c>
      <c r="H4840" s="1" t="str">
        <f t="shared" si="915"/>
        <v>20220922</v>
      </c>
      <c r="I4840" s="1" t="str">
        <f>"122822"</f>
        <v>122822</v>
      </c>
      <c r="J4840" s="1" t="s">
        <v>28</v>
      </c>
      <c r="K4840" s="1" t="s">
        <v>28</v>
      </c>
      <c r="L4840" s="1" t="str">
        <f t="shared" si="917"/>
        <v>20220922</v>
      </c>
      <c r="M4840" s="1" t="str">
        <f>"125121"</f>
        <v>125121</v>
      </c>
      <c r="N4840" s="1" t="s">
        <v>34</v>
      </c>
      <c r="O4840" s="1" t="s">
        <v>34</v>
      </c>
      <c r="P4840" s="1" t="s">
        <v>55</v>
      </c>
      <c r="Q4840" s="1">
        <v>25</v>
      </c>
      <c r="R4840" s="1">
        <v>25</v>
      </c>
      <c r="S4840" s="1">
        <v>0</v>
      </c>
      <c r="T4840" s="1">
        <v>0</v>
      </c>
      <c r="U4840" s="1">
        <v>0</v>
      </c>
      <c r="V4840" s="1" t="str">
        <f t="shared" si="922"/>
        <v>里程去程</v>
      </c>
      <c r="W4840" s="1" t="str">
        <f>"0020"</f>
        <v>0020</v>
      </c>
      <c r="X4840" s="1" t="s">
        <v>29</v>
      </c>
    </row>
    <row r="4841" spans="1:24" x14ac:dyDescent="0.3">
      <c r="A4841" s="1" t="str">
        <f t="shared" si="919"/>
        <v>59823</v>
      </c>
      <c r="B4841" s="1" t="s">
        <v>36</v>
      </c>
      <c r="C4841" s="1" t="s">
        <v>37</v>
      </c>
      <c r="D4841" s="1" t="str">
        <f t="shared" si="920"/>
        <v>9803</v>
      </c>
      <c r="E4841" s="1" t="s">
        <v>32</v>
      </c>
      <c r="F4841" s="1" t="str">
        <f>"B252B70B5C880400C827002000000017"</f>
        <v>B252B70B5C880400C827002000000017</v>
      </c>
      <c r="G4841" s="1" t="s">
        <v>58</v>
      </c>
      <c r="H4841" s="1" t="str">
        <f t="shared" si="915"/>
        <v>20220922</v>
      </c>
      <c r="I4841" s="1" t="str">
        <f>"122826"</f>
        <v>122826</v>
      </c>
      <c r="J4841" s="1" t="s">
        <v>28</v>
      </c>
      <c r="K4841" s="1" t="s">
        <v>28</v>
      </c>
      <c r="L4841" s="1" t="str">
        <f t="shared" si="917"/>
        <v>20220922</v>
      </c>
      <c r="M4841" s="1" t="str">
        <f>"125041"</f>
        <v>125041</v>
      </c>
      <c r="N4841" s="1" t="s">
        <v>34</v>
      </c>
      <c r="O4841" s="1" t="s">
        <v>34</v>
      </c>
      <c r="P4841" s="1" t="s">
        <v>55</v>
      </c>
      <c r="Q4841" s="1">
        <v>25</v>
      </c>
      <c r="R4841" s="1">
        <v>0</v>
      </c>
      <c r="S4841" s="1">
        <v>25</v>
      </c>
      <c r="T4841" s="1">
        <v>0</v>
      </c>
      <c r="U4841" s="1">
        <v>0</v>
      </c>
      <c r="V4841" s="1" t="str">
        <f t="shared" si="922"/>
        <v>里程去程</v>
      </c>
      <c r="W4841" s="1" t="str">
        <f>"2020"</f>
        <v>2020</v>
      </c>
      <c r="X4841" s="1" t="s">
        <v>29</v>
      </c>
    </row>
    <row r="4842" spans="1:24" x14ac:dyDescent="0.3">
      <c r="A4842" s="1" t="str">
        <f t="shared" si="919"/>
        <v>59823</v>
      </c>
      <c r="B4842" s="1" t="s">
        <v>36</v>
      </c>
      <c r="C4842" s="1" t="s">
        <v>37</v>
      </c>
      <c r="D4842" s="1" t="str">
        <f t="shared" si="920"/>
        <v>9803</v>
      </c>
      <c r="E4842" s="1" t="s">
        <v>32</v>
      </c>
      <c r="F4842" s="1" t="str">
        <f>"1683233301"</f>
        <v>1683233301</v>
      </c>
      <c r="G4842" s="1" t="s">
        <v>33</v>
      </c>
      <c r="H4842" s="1" t="str">
        <f t="shared" si="915"/>
        <v>20220922</v>
      </c>
      <c r="I4842" s="1" t="str">
        <f>"122830"</f>
        <v>122830</v>
      </c>
      <c r="J4842" s="1" t="s">
        <v>28</v>
      </c>
      <c r="K4842" s="1" t="s">
        <v>28</v>
      </c>
      <c r="L4842" s="1" t="str">
        <f t="shared" si="917"/>
        <v>20220922</v>
      </c>
      <c r="M4842" s="1" t="str">
        <f>"125107"</f>
        <v>125107</v>
      </c>
      <c r="N4842" s="1" t="s">
        <v>34</v>
      </c>
      <c r="O4842" s="1" t="s">
        <v>34</v>
      </c>
      <c r="P4842" s="1" t="s">
        <v>55</v>
      </c>
      <c r="Q4842" s="1">
        <v>25</v>
      </c>
      <c r="R4842" s="1">
        <v>25</v>
      </c>
      <c r="S4842" s="1">
        <v>0</v>
      </c>
      <c r="T4842" s="1">
        <v>0</v>
      </c>
      <c r="U4842" s="1">
        <v>0</v>
      </c>
      <c r="V4842" s="1" t="str">
        <f t="shared" si="922"/>
        <v>里程去程</v>
      </c>
      <c r="W4842" s="1" t="str">
        <f>"2520"</f>
        <v>2520</v>
      </c>
      <c r="X4842" s="1" t="s">
        <v>35</v>
      </c>
    </row>
    <row r="4843" spans="1:24" x14ac:dyDescent="0.3">
      <c r="A4843" s="1" t="str">
        <f t="shared" si="919"/>
        <v>59823</v>
      </c>
      <c r="B4843" s="1" t="s">
        <v>36</v>
      </c>
      <c r="C4843" s="1" t="s">
        <v>37</v>
      </c>
      <c r="D4843" s="1" t="str">
        <f t="shared" si="920"/>
        <v>9803</v>
      </c>
      <c r="E4843" s="1" t="s">
        <v>32</v>
      </c>
      <c r="F4843" s="1" t="str">
        <f>"494689569"</f>
        <v>494689569</v>
      </c>
      <c r="G4843" s="1" t="s">
        <v>26</v>
      </c>
      <c r="H4843" s="1" t="str">
        <f t="shared" si="915"/>
        <v>20220922</v>
      </c>
      <c r="I4843" s="1" t="str">
        <f>"122837"</f>
        <v>122837</v>
      </c>
      <c r="J4843" s="1" t="s">
        <v>28</v>
      </c>
      <c r="K4843" s="1" t="s">
        <v>28</v>
      </c>
      <c r="L4843" s="1" t="str">
        <f t="shared" si="917"/>
        <v>20220922</v>
      </c>
      <c r="M4843" s="1" t="str">
        <f>"125027"</f>
        <v>125027</v>
      </c>
      <c r="N4843" s="1" t="s">
        <v>34</v>
      </c>
      <c r="O4843" s="1" t="s">
        <v>34</v>
      </c>
      <c r="P4843" s="1" t="s">
        <v>55</v>
      </c>
      <c r="Q4843" s="1">
        <v>13</v>
      </c>
      <c r="R4843" s="1">
        <v>13</v>
      </c>
      <c r="S4843" s="1">
        <v>0</v>
      </c>
      <c r="T4843" s="1">
        <v>0</v>
      </c>
      <c r="U4843" s="1">
        <v>0</v>
      </c>
      <c r="V4843" s="1" t="str">
        <f t="shared" si="922"/>
        <v>里程去程</v>
      </c>
      <c r="W4843" s="1" t="str">
        <f>"2020"</f>
        <v>2020</v>
      </c>
      <c r="X4843" s="1" t="s">
        <v>35</v>
      </c>
    </row>
    <row r="4844" spans="1:24" x14ac:dyDescent="0.3">
      <c r="A4844" s="1" t="str">
        <f t="shared" si="919"/>
        <v>59823</v>
      </c>
      <c r="B4844" s="1" t="s">
        <v>36</v>
      </c>
      <c r="C4844" s="1" t="s">
        <v>37</v>
      </c>
      <c r="D4844" s="1" t="str">
        <f t="shared" si="920"/>
        <v>9803</v>
      </c>
      <c r="E4844" s="1" t="s">
        <v>32</v>
      </c>
      <c r="F4844" s="1" t="str">
        <f>"1212807333"</f>
        <v>1212807333</v>
      </c>
      <c r="G4844" s="1" t="s">
        <v>33</v>
      </c>
      <c r="H4844" s="1" t="str">
        <f t="shared" ref="H4844:H4875" si="923">"20220922"</f>
        <v>20220922</v>
      </c>
      <c r="I4844" s="1" t="str">
        <f>"122850"</f>
        <v>122850</v>
      </c>
      <c r="J4844" s="1" t="s">
        <v>28</v>
      </c>
      <c r="K4844" s="1" t="s">
        <v>28</v>
      </c>
      <c r="L4844" s="1" t="str">
        <f t="shared" si="917"/>
        <v>20220922</v>
      </c>
      <c r="M4844" s="1" t="str">
        <f>"125021"</f>
        <v>125021</v>
      </c>
      <c r="N4844" s="1" t="s">
        <v>34</v>
      </c>
      <c r="O4844" s="1" t="s">
        <v>34</v>
      </c>
      <c r="P4844" s="1" t="s">
        <v>55</v>
      </c>
      <c r="Q4844" s="1">
        <v>25</v>
      </c>
      <c r="R4844" s="1">
        <v>0</v>
      </c>
      <c r="S4844" s="1">
        <v>25</v>
      </c>
      <c r="T4844" s="1">
        <v>0</v>
      </c>
      <c r="U4844" s="1">
        <v>0</v>
      </c>
      <c r="V4844" s="1" t="str">
        <f t="shared" si="922"/>
        <v>里程去程</v>
      </c>
      <c r="W4844" s="1" t="str">
        <f>"0820"</f>
        <v>0820</v>
      </c>
      <c r="X4844" s="1" t="s">
        <v>35</v>
      </c>
    </row>
    <row r="4845" spans="1:24" x14ac:dyDescent="0.3">
      <c r="A4845" s="1" t="str">
        <f t="shared" si="919"/>
        <v>59823</v>
      </c>
      <c r="B4845" s="1" t="s">
        <v>36</v>
      </c>
      <c r="C4845" s="1" t="s">
        <v>37</v>
      </c>
      <c r="D4845" s="1" t="str">
        <f t="shared" si="920"/>
        <v>9803</v>
      </c>
      <c r="E4845" s="1" t="s">
        <v>32</v>
      </c>
      <c r="F4845" s="1" t="str">
        <f>"1659820261"</f>
        <v>1659820261</v>
      </c>
      <c r="G4845" s="1" t="s">
        <v>26</v>
      </c>
      <c r="H4845" s="1" t="str">
        <f t="shared" si="923"/>
        <v>20220922</v>
      </c>
      <c r="I4845" s="1" t="str">
        <f>"122858"</f>
        <v>122858</v>
      </c>
      <c r="J4845" s="1" t="s">
        <v>28</v>
      </c>
      <c r="K4845" s="1" t="s">
        <v>28</v>
      </c>
      <c r="L4845" s="1" t="str">
        <f t="shared" si="917"/>
        <v>20220922</v>
      </c>
      <c r="M4845" s="1" t="str">
        <f>"125056"</f>
        <v>125056</v>
      </c>
      <c r="N4845" s="1" t="s">
        <v>34</v>
      </c>
      <c r="O4845" s="1" t="s">
        <v>34</v>
      </c>
      <c r="P4845" s="1" t="s">
        <v>55</v>
      </c>
      <c r="Q4845" s="1">
        <v>13</v>
      </c>
      <c r="R4845" s="1">
        <v>0</v>
      </c>
      <c r="S4845" s="1">
        <v>13</v>
      </c>
      <c r="T4845" s="1">
        <v>0</v>
      </c>
      <c r="U4845" s="1">
        <v>0</v>
      </c>
      <c r="V4845" s="1" t="str">
        <f t="shared" si="922"/>
        <v>里程去程</v>
      </c>
      <c r="W4845" s="1" t="str">
        <f>"0820"</f>
        <v>0820</v>
      </c>
      <c r="X4845" s="1" t="s">
        <v>35</v>
      </c>
    </row>
    <row r="4846" spans="1:24" x14ac:dyDescent="0.3">
      <c r="A4846" s="1" t="str">
        <f t="shared" si="919"/>
        <v>59823</v>
      </c>
      <c r="B4846" s="1" t="s">
        <v>36</v>
      </c>
      <c r="C4846" s="1" t="s">
        <v>37</v>
      </c>
      <c r="D4846" s="1" t="str">
        <f t="shared" si="920"/>
        <v>9803</v>
      </c>
      <c r="E4846" s="1" t="s">
        <v>32</v>
      </c>
      <c r="F4846" s="1" t="str">
        <f>"4043802877"</f>
        <v>4043802877</v>
      </c>
      <c r="G4846" s="1" t="s">
        <v>33</v>
      </c>
      <c r="H4846" s="1" t="str">
        <f t="shared" si="923"/>
        <v>20220922</v>
      </c>
      <c r="I4846" s="1" t="str">
        <f>"122903"</f>
        <v>122903</v>
      </c>
      <c r="J4846" s="1" t="s">
        <v>28</v>
      </c>
      <c r="K4846" s="1" t="s">
        <v>28</v>
      </c>
      <c r="L4846" s="1" t="str">
        <f t="shared" si="917"/>
        <v>20220922</v>
      </c>
      <c r="M4846" s="1" t="str">
        <f>"125111"</f>
        <v>125111</v>
      </c>
      <c r="N4846" s="1" t="s">
        <v>34</v>
      </c>
      <c r="O4846" s="1" t="s">
        <v>34</v>
      </c>
      <c r="P4846" s="1" t="s">
        <v>55</v>
      </c>
      <c r="Q4846" s="1">
        <v>25</v>
      </c>
      <c r="R4846" s="1">
        <v>25</v>
      </c>
      <c r="S4846" s="1">
        <v>0</v>
      </c>
      <c r="T4846" s="1">
        <v>0</v>
      </c>
      <c r="U4846" s="1">
        <v>0</v>
      </c>
      <c r="V4846" s="1" t="str">
        <f t="shared" si="922"/>
        <v>里程去程</v>
      </c>
      <c r="W4846" s="1" t="str">
        <f>"0320"</f>
        <v>0320</v>
      </c>
      <c r="X4846" s="1" t="s">
        <v>35</v>
      </c>
    </row>
    <row r="4847" spans="1:24" x14ac:dyDescent="0.3">
      <c r="A4847" s="1" t="str">
        <f t="shared" si="919"/>
        <v>59823</v>
      </c>
      <c r="B4847" s="1" t="s">
        <v>36</v>
      </c>
      <c r="C4847" s="1" t="s">
        <v>37</v>
      </c>
      <c r="D4847" s="1" t="str">
        <f t="shared" si="920"/>
        <v>9803</v>
      </c>
      <c r="E4847" s="1" t="s">
        <v>32</v>
      </c>
      <c r="F4847" s="1" t="str">
        <f>"9517171007189311"</f>
        <v>9517171007189311</v>
      </c>
      <c r="G4847" s="1" t="s">
        <v>33</v>
      </c>
      <c r="H4847" s="1" t="str">
        <f t="shared" si="923"/>
        <v>20220922</v>
      </c>
      <c r="I4847" s="1" t="str">
        <f>"122911"</f>
        <v>122911</v>
      </c>
      <c r="J4847" s="1" t="s">
        <v>28</v>
      </c>
      <c r="K4847" s="1" t="s">
        <v>28</v>
      </c>
      <c r="L4847" s="1" t="str">
        <f t="shared" si="917"/>
        <v>20220922</v>
      </c>
      <c r="M4847" s="1" t="str">
        <f>"125115"</f>
        <v>125115</v>
      </c>
      <c r="N4847" s="1" t="s">
        <v>34</v>
      </c>
      <c r="O4847" s="1" t="s">
        <v>34</v>
      </c>
      <c r="P4847" s="1" t="s">
        <v>55</v>
      </c>
      <c r="Q4847" s="1">
        <v>25</v>
      </c>
      <c r="R4847" s="1">
        <v>25</v>
      </c>
      <c r="S4847" s="1">
        <v>0</v>
      </c>
      <c r="T4847" s="1">
        <v>0</v>
      </c>
      <c r="U4847" s="1">
        <v>0</v>
      </c>
      <c r="V4847" s="1" t="str">
        <f t="shared" si="922"/>
        <v>里程去程</v>
      </c>
      <c r="W4847" s="1" t="str">
        <f>"0F3B"</f>
        <v>0F3B</v>
      </c>
      <c r="X4847" s="1" t="s">
        <v>109</v>
      </c>
    </row>
    <row r="4848" spans="1:24" x14ac:dyDescent="0.3">
      <c r="A4848" s="1" t="str">
        <f t="shared" si="919"/>
        <v>59823</v>
      </c>
      <c r="B4848" s="1" t="s">
        <v>36</v>
      </c>
      <c r="C4848" s="1" t="s">
        <v>37</v>
      </c>
      <c r="D4848" s="1" t="str">
        <f t="shared" si="920"/>
        <v>9803</v>
      </c>
      <c r="E4848" s="1" t="s">
        <v>32</v>
      </c>
      <c r="F4848" s="1" t="str">
        <f>"621DE6029B880400C834002000000015"</f>
        <v>621DE6029B880400C834002000000015</v>
      </c>
      <c r="G4848" s="1" t="s">
        <v>26</v>
      </c>
      <c r="H4848" s="1" t="str">
        <f t="shared" si="923"/>
        <v>20220922</v>
      </c>
      <c r="I4848" s="1" t="str">
        <f>"122919"</f>
        <v>122919</v>
      </c>
      <c r="J4848" s="1" t="s">
        <v>28</v>
      </c>
      <c r="K4848" s="1" t="s">
        <v>28</v>
      </c>
      <c r="L4848" s="1" t="str">
        <f t="shared" si="917"/>
        <v>20220922</v>
      </c>
      <c r="M4848" s="1" t="str">
        <f>"125051"</f>
        <v>125051</v>
      </c>
      <c r="N4848" s="1" t="s">
        <v>34</v>
      </c>
      <c r="O4848" s="1" t="s">
        <v>34</v>
      </c>
      <c r="P4848" s="1" t="s">
        <v>68</v>
      </c>
      <c r="Q4848" s="1">
        <v>13</v>
      </c>
      <c r="R4848" s="1">
        <v>0</v>
      </c>
      <c r="S4848" s="1">
        <v>0</v>
      </c>
      <c r="T4848" s="1">
        <v>13</v>
      </c>
      <c r="U4848" s="1">
        <v>0</v>
      </c>
      <c r="V4848" s="1" t="str">
        <f t="shared" si="922"/>
        <v>里程去程</v>
      </c>
      <c r="W4848" s="1" t="str">
        <f>"0020"</f>
        <v>0020</v>
      </c>
      <c r="X4848" s="1" t="s">
        <v>29</v>
      </c>
    </row>
    <row r="4849" spans="1:24" x14ac:dyDescent="0.3">
      <c r="A4849" s="1" t="str">
        <f t="shared" si="919"/>
        <v>59823</v>
      </c>
      <c r="B4849" s="1" t="s">
        <v>36</v>
      </c>
      <c r="C4849" s="1" t="s">
        <v>37</v>
      </c>
      <c r="D4849" s="1" t="str">
        <f t="shared" si="920"/>
        <v>9803</v>
      </c>
      <c r="E4849" s="1" t="s">
        <v>32</v>
      </c>
      <c r="F4849" s="1" t="str">
        <f>"206401253"</f>
        <v>206401253</v>
      </c>
      <c r="G4849" s="1" t="s">
        <v>33</v>
      </c>
      <c r="H4849" s="1" t="str">
        <f t="shared" si="923"/>
        <v>20220922</v>
      </c>
      <c r="I4849" s="1" t="str">
        <f>"122928"</f>
        <v>122928</v>
      </c>
      <c r="J4849" s="1" t="s">
        <v>28</v>
      </c>
      <c r="K4849" s="1" t="s">
        <v>28</v>
      </c>
      <c r="L4849" s="1" t="str">
        <f t="shared" si="917"/>
        <v>20220922</v>
      </c>
      <c r="M4849" s="1" t="str">
        <f>"125102"</f>
        <v>125102</v>
      </c>
      <c r="N4849" s="1" t="s">
        <v>34</v>
      </c>
      <c r="O4849" s="1" t="s">
        <v>34</v>
      </c>
      <c r="P4849" s="1" t="s">
        <v>55</v>
      </c>
      <c r="Q4849" s="1">
        <v>25</v>
      </c>
      <c r="R4849" s="1">
        <v>25</v>
      </c>
      <c r="S4849" s="1">
        <v>0</v>
      </c>
      <c r="T4849" s="1">
        <v>0</v>
      </c>
      <c r="U4849" s="1">
        <v>0</v>
      </c>
      <c r="V4849" s="1" t="str">
        <f t="shared" si="922"/>
        <v>里程去程</v>
      </c>
      <c r="W4849" s="1" t="str">
        <f>"0620"</f>
        <v>0620</v>
      </c>
      <c r="X4849" s="1" t="s">
        <v>35</v>
      </c>
    </row>
    <row r="4850" spans="1:24" x14ac:dyDescent="0.3">
      <c r="A4850" s="1" t="str">
        <f t="shared" si="919"/>
        <v>59823</v>
      </c>
      <c r="B4850" s="1" t="s">
        <v>36</v>
      </c>
      <c r="C4850" s="1" t="s">
        <v>37</v>
      </c>
      <c r="D4850" s="1" t="str">
        <f t="shared" si="920"/>
        <v>9803</v>
      </c>
      <c r="E4850" s="1" t="s">
        <v>32</v>
      </c>
      <c r="F4850" s="1" t="str">
        <f>"B24B4D00B4880400C837002000000014"</f>
        <v>B24B4D00B4880400C837002000000014</v>
      </c>
      <c r="G4850" s="1" t="s">
        <v>58</v>
      </c>
      <c r="H4850" s="1" t="str">
        <f t="shared" si="923"/>
        <v>20220922</v>
      </c>
      <c r="I4850" s="1" t="str">
        <f>"122939"</f>
        <v>122939</v>
      </c>
      <c r="J4850" s="1" t="s">
        <v>28</v>
      </c>
      <c r="K4850" s="1" t="s">
        <v>28</v>
      </c>
      <c r="L4850" s="1" t="str">
        <f t="shared" ref="L4850:L4881" si="924">"20220922"</f>
        <v>20220922</v>
      </c>
      <c r="M4850" s="1" t="str">
        <f>"125037"</f>
        <v>125037</v>
      </c>
      <c r="N4850" s="1" t="s">
        <v>34</v>
      </c>
      <c r="O4850" s="1" t="s">
        <v>34</v>
      </c>
      <c r="P4850" s="1" t="s">
        <v>55</v>
      </c>
      <c r="Q4850" s="1">
        <v>25</v>
      </c>
      <c r="R4850" s="1">
        <v>25</v>
      </c>
      <c r="S4850" s="1">
        <v>0</v>
      </c>
      <c r="T4850" s="1">
        <v>0</v>
      </c>
      <c r="U4850" s="1">
        <v>0</v>
      </c>
      <c r="V4850" s="1" t="str">
        <f t="shared" si="922"/>
        <v>里程去程</v>
      </c>
      <c r="W4850" s="1" t="str">
        <f>"0020"</f>
        <v>0020</v>
      </c>
      <c r="X4850" s="1" t="s">
        <v>29</v>
      </c>
    </row>
    <row r="4851" spans="1:24" x14ac:dyDescent="0.3">
      <c r="A4851" s="1" t="str">
        <f t="shared" si="919"/>
        <v>59823</v>
      </c>
      <c r="B4851" s="1" t="s">
        <v>36</v>
      </c>
      <c r="C4851" s="1" t="s">
        <v>37</v>
      </c>
      <c r="D4851" s="1" t="str">
        <f t="shared" si="920"/>
        <v>9803</v>
      </c>
      <c r="E4851" s="1" t="s">
        <v>32</v>
      </c>
      <c r="F4851" s="1" t="str">
        <f>"5723DA45EB8804004328380000100208"</f>
        <v>5723DA45EB8804004328380000100208</v>
      </c>
      <c r="G4851" s="1" t="s">
        <v>58</v>
      </c>
      <c r="H4851" s="1" t="str">
        <f t="shared" si="923"/>
        <v>20220922</v>
      </c>
      <c r="I4851" s="1" t="str">
        <f>"123938"</f>
        <v>123938</v>
      </c>
      <c r="J4851" s="1" t="s">
        <v>79</v>
      </c>
      <c r="K4851" s="1" t="s">
        <v>28</v>
      </c>
      <c r="L4851" s="1" t="str">
        <f t="shared" si="924"/>
        <v>20220922</v>
      </c>
      <c r="M4851" s="1" t="str">
        <f>"124928"</f>
        <v>124928</v>
      </c>
      <c r="N4851" s="1" t="s">
        <v>34</v>
      </c>
      <c r="O4851" s="1" t="s">
        <v>34</v>
      </c>
      <c r="P4851" s="1" t="s">
        <v>55</v>
      </c>
      <c r="Q4851" s="1">
        <v>25</v>
      </c>
      <c r="R4851" s="1">
        <v>25</v>
      </c>
      <c r="S4851" s="1">
        <v>0</v>
      </c>
      <c r="T4851" s="1">
        <v>0</v>
      </c>
      <c r="U4851" s="1">
        <v>0</v>
      </c>
      <c r="V4851" s="1" t="str">
        <f t="shared" si="922"/>
        <v>里程去程</v>
      </c>
      <c r="W4851" s="1" t="str">
        <f>"0020"</f>
        <v>0020</v>
      </c>
      <c r="X4851" s="1" t="s">
        <v>29</v>
      </c>
    </row>
    <row r="4852" spans="1:24" x14ac:dyDescent="0.3">
      <c r="A4852" s="1" t="str">
        <f t="shared" si="919"/>
        <v>59823</v>
      </c>
      <c r="B4852" s="1" t="s">
        <v>36</v>
      </c>
      <c r="C4852" s="1" t="s">
        <v>37</v>
      </c>
      <c r="D4852" s="1" t="str">
        <f t="shared" si="920"/>
        <v>9803</v>
      </c>
      <c r="E4852" s="1" t="s">
        <v>32</v>
      </c>
      <c r="F4852" s="1" t="str">
        <f>"643278741"</f>
        <v>643278741</v>
      </c>
      <c r="G4852" s="1" t="s">
        <v>33</v>
      </c>
      <c r="H4852" s="1" t="str">
        <f t="shared" si="923"/>
        <v>20220922</v>
      </c>
      <c r="I4852" s="1" t="str">
        <f>"125951"</f>
        <v>125951</v>
      </c>
      <c r="J4852" s="1" t="s">
        <v>34</v>
      </c>
      <c r="K4852" s="1" t="s">
        <v>34</v>
      </c>
      <c r="L4852" s="1" t="str">
        <f t="shared" si="924"/>
        <v>20220922</v>
      </c>
      <c r="M4852" s="1" t="str">
        <f>"132843"</f>
        <v>132843</v>
      </c>
      <c r="N4852" s="1" t="s">
        <v>28</v>
      </c>
      <c r="O4852" s="1" t="s">
        <v>28</v>
      </c>
      <c r="P4852" s="1" t="s">
        <v>55</v>
      </c>
      <c r="Q4852" s="1">
        <v>25</v>
      </c>
      <c r="R4852" s="1">
        <v>25</v>
      </c>
      <c r="S4852" s="1">
        <v>0</v>
      </c>
      <c r="T4852" s="1">
        <v>0</v>
      </c>
      <c r="U4852" s="1">
        <v>0</v>
      </c>
      <c r="V4852" s="1" t="str">
        <f t="shared" ref="V4852:V4861" si="925">"里程返程"</f>
        <v>里程返程</v>
      </c>
      <c r="W4852" s="1" t="str">
        <f>"2020"</f>
        <v>2020</v>
      </c>
      <c r="X4852" s="1" t="s">
        <v>35</v>
      </c>
    </row>
    <row r="4853" spans="1:24" x14ac:dyDescent="0.3">
      <c r="A4853" s="1" t="str">
        <f t="shared" si="919"/>
        <v>59823</v>
      </c>
      <c r="B4853" s="1" t="s">
        <v>36</v>
      </c>
      <c r="C4853" s="1" t="s">
        <v>37</v>
      </c>
      <c r="D4853" s="1" t="str">
        <f t="shared" si="920"/>
        <v>9803</v>
      </c>
      <c r="E4853" s="1" t="s">
        <v>32</v>
      </c>
      <c r="F4853" s="1" t="str">
        <f>"206401253"</f>
        <v>206401253</v>
      </c>
      <c r="G4853" s="1" t="s">
        <v>33</v>
      </c>
      <c r="H4853" s="1" t="str">
        <f t="shared" si="923"/>
        <v>20220922</v>
      </c>
      <c r="I4853" s="1" t="str">
        <f>"125956"</f>
        <v>125956</v>
      </c>
      <c r="J4853" s="1" t="s">
        <v>34</v>
      </c>
      <c r="K4853" s="1" t="s">
        <v>34</v>
      </c>
      <c r="L4853" s="1" t="str">
        <f t="shared" si="924"/>
        <v>20220922</v>
      </c>
      <c r="M4853" s="1" t="str">
        <f>"132252"</f>
        <v>132252</v>
      </c>
      <c r="N4853" s="1" t="s">
        <v>92</v>
      </c>
      <c r="O4853" s="1" t="s">
        <v>28</v>
      </c>
      <c r="P4853" s="1" t="s">
        <v>55</v>
      </c>
      <c r="Q4853" s="1">
        <v>25</v>
      </c>
      <c r="R4853" s="1">
        <v>25</v>
      </c>
      <c r="S4853" s="1">
        <v>0</v>
      </c>
      <c r="T4853" s="1">
        <v>0</v>
      </c>
      <c r="U4853" s="1">
        <v>0</v>
      </c>
      <c r="V4853" s="1" t="str">
        <f t="shared" si="925"/>
        <v>里程返程</v>
      </c>
      <c r="W4853" s="1" t="str">
        <f>"2020"</f>
        <v>2020</v>
      </c>
      <c r="X4853" s="1" t="s">
        <v>35</v>
      </c>
    </row>
    <row r="4854" spans="1:24" x14ac:dyDescent="0.3">
      <c r="A4854" s="1" t="str">
        <f t="shared" si="919"/>
        <v>59823</v>
      </c>
      <c r="B4854" s="1" t="s">
        <v>36</v>
      </c>
      <c r="C4854" s="1" t="s">
        <v>37</v>
      </c>
      <c r="D4854" s="1" t="str">
        <f t="shared" si="920"/>
        <v>9803</v>
      </c>
      <c r="E4854" s="1" t="s">
        <v>32</v>
      </c>
      <c r="F4854" s="1" t="str">
        <f>"587844385"</f>
        <v>587844385</v>
      </c>
      <c r="G4854" s="1" t="s">
        <v>33</v>
      </c>
      <c r="H4854" s="1" t="str">
        <f t="shared" si="923"/>
        <v>20220922</v>
      </c>
      <c r="I4854" s="1" t="str">
        <f>"125958"</f>
        <v>125958</v>
      </c>
      <c r="J4854" s="1" t="s">
        <v>34</v>
      </c>
      <c r="K4854" s="1" t="s">
        <v>34</v>
      </c>
      <c r="L4854" s="1" t="str">
        <f t="shared" si="924"/>
        <v>20220922</v>
      </c>
      <c r="M4854" s="1" t="str">
        <f>"132834"</f>
        <v>132834</v>
      </c>
      <c r="N4854" s="1" t="s">
        <v>28</v>
      </c>
      <c r="O4854" s="1" t="s">
        <v>28</v>
      </c>
      <c r="P4854" s="1" t="s">
        <v>55</v>
      </c>
      <c r="Q4854" s="1">
        <v>25</v>
      </c>
      <c r="R4854" s="1">
        <v>25</v>
      </c>
      <c r="S4854" s="1">
        <v>0</v>
      </c>
      <c r="T4854" s="1">
        <v>0</v>
      </c>
      <c r="U4854" s="1">
        <v>0</v>
      </c>
      <c r="V4854" s="1" t="str">
        <f t="shared" si="925"/>
        <v>里程返程</v>
      </c>
      <c r="W4854" s="1" t="str">
        <f>"2520"</f>
        <v>2520</v>
      </c>
      <c r="X4854" s="1" t="s">
        <v>35</v>
      </c>
    </row>
    <row r="4855" spans="1:24" x14ac:dyDescent="0.3">
      <c r="A4855" s="1" t="str">
        <f t="shared" si="919"/>
        <v>59823</v>
      </c>
      <c r="B4855" s="1" t="s">
        <v>36</v>
      </c>
      <c r="C4855" s="1" t="s">
        <v>37</v>
      </c>
      <c r="D4855" s="1" t="str">
        <f t="shared" si="920"/>
        <v>9803</v>
      </c>
      <c r="E4855" s="1" t="s">
        <v>32</v>
      </c>
      <c r="F4855" s="1" t="str">
        <f>"35C4CD0935180200D200000C22400417"</f>
        <v>35C4CD0935180200D200000C22400417</v>
      </c>
      <c r="G4855" s="1" t="s">
        <v>58</v>
      </c>
      <c r="H4855" s="1" t="str">
        <f t="shared" si="923"/>
        <v>20220922</v>
      </c>
      <c r="I4855" s="1" t="str">
        <f>"130004"</f>
        <v>130004</v>
      </c>
      <c r="J4855" s="1" t="s">
        <v>34</v>
      </c>
      <c r="K4855" s="1" t="s">
        <v>34</v>
      </c>
      <c r="L4855" s="1" t="str">
        <f t="shared" si="924"/>
        <v>20220922</v>
      </c>
      <c r="M4855" s="1" t="str">
        <f>"132830"</f>
        <v>132830</v>
      </c>
      <c r="N4855" s="1" t="s">
        <v>28</v>
      </c>
      <c r="O4855" s="1" t="s">
        <v>28</v>
      </c>
      <c r="P4855" s="1" t="s">
        <v>55</v>
      </c>
      <c r="Q4855" s="1">
        <v>25</v>
      </c>
      <c r="R4855" s="1">
        <v>25</v>
      </c>
      <c r="S4855" s="1">
        <v>0</v>
      </c>
      <c r="T4855" s="1">
        <v>0</v>
      </c>
      <c r="U4855" s="1">
        <v>0</v>
      </c>
      <c r="V4855" s="1" t="str">
        <f t="shared" si="925"/>
        <v>里程返程</v>
      </c>
      <c r="W4855" s="1" t="str">
        <f>"0020"</f>
        <v>0020</v>
      </c>
      <c r="X4855" s="1" t="s">
        <v>29</v>
      </c>
    </row>
    <row r="4856" spans="1:24" x14ac:dyDescent="0.3">
      <c r="A4856" s="1" t="str">
        <f t="shared" si="919"/>
        <v>59823</v>
      </c>
      <c r="B4856" s="1" t="s">
        <v>36</v>
      </c>
      <c r="C4856" s="1" t="s">
        <v>37</v>
      </c>
      <c r="D4856" s="1" t="str">
        <f t="shared" si="920"/>
        <v>9803</v>
      </c>
      <c r="E4856" s="1" t="s">
        <v>32</v>
      </c>
      <c r="F4856" s="1" t="str">
        <f>"62081393"</f>
        <v>62081393</v>
      </c>
      <c r="G4856" s="1" t="s">
        <v>33</v>
      </c>
      <c r="H4856" s="1" t="str">
        <f t="shared" si="923"/>
        <v>20220922</v>
      </c>
      <c r="I4856" s="1" t="str">
        <f>"130013"</f>
        <v>130013</v>
      </c>
      <c r="J4856" s="1" t="s">
        <v>34</v>
      </c>
      <c r="K4856" s="1" t="s">
        <v>34</v>
      </c>
      <c r="L4856" s="1" t="str">
        <f t="shared" si="924"/>
        <v>20220922</v>
      </c>
      <c r="M4856" s="1" t="str">
        <f>"132819"</f>
        <v>132819</v>
      </c>
      <c r="N4856" s="1" t="s">
        <v>28</v>
      </c>
      <c r="O4856" s="1" t="s">
        <v>28</v>
      </c>
      <c r="P4856" s="1" t="s">
        <v>55</v>
      </c>
      <c r="Q4856" s="1">
        <v>25</v>
      </c>
      <c r="R4856" s="1">
        <v>25</v>
      </c>
      <c r="S4856" s="1">
        <v>0</v>
      </c>
      <c r="T4856" s="1">
        <v>0</v>
      </c>
      <c r="U4856" s="1">
        <v>0</v>
      </c>
      <c r="V4856" s="1" t="str">
        <f t="shared" si="925"/>
        <v>里程返程</v>
      </c>
      <c r="W4856" s="1" t="str">
        <f>"2020"</f>
        <v>2020</v>
      </c>
      <c r="X4856" s="1" t="s">
        <v>35</v>
      </c>
    </row>
    <row r="4857" spans="1:24" x14ac:dyDescent="0.3">
      <c r="A4857" s="1" t="str">
        <f t="shared" si="919"/>
        <v>59823</v>
      </c>
      <c r="B4857" s="1" t="s">
        <v>36</v>
      </c>
      <c r="C4857" s="1" t="s">
        <v>37</v>
      </c>
      <c r="D4857" s="1" t="str">
        <f t="shared" si="920"/>
        <v>9803</v>
      </c>
      <c r="E4857" s="1" t="s">
        <v>32</v>
      </c>
      <c r="F4857" s="1" t="str">
        <f>"622600079"</f>
        <v>622600079</v>
      </c>
      <c r="G4857" s="1" t="s">
        <v>33</v>
      </c>
      <c r="H4857" s="1" t="str">
        <f t="shared" si="923"/>
        <v>20220922</v>
      </c>
      <c r="I4857" s="1" t="str">
        <f>"130017"</f>
        <v>130017</v>
      </c>
      <c r="J4857" s="1" t="s">
        <v>34</v>
      </c>
      <c r="K4857" s="1" t="s">
        <v>34</v>
      </c>
      <c r="L4857" s="1" t="str">
        <f t="shared" si="924"/>
        <v>20220922</v>
      </c>
      <c r="M4857" s="1" t="str">
        <f>"132814"</f>
        <v>132814</v>
      </c>
      <c r="N4857" s="1" t="s">
        <v>28</v>
      </c>
      <c r="O4857" s="1" t="s">
        <v>28</v>
      </c>
      <c r="P4857" s="1" t="s">
        <v>55</v>
      </c>
      <c r="Q4857" s="1">
        <v>25</v>
      </c>
      <c r="R4857" s="1">
        <v>25</v>
      </c>
      <c r="S4857" s="1">
        <v>0</v>
      </c>
      <c r="T4857" s="1">
        <v>0</v>
      </c>
      <c r="U4857" s="1">
        <v>0</v>
      </c>
      <c r="V4857" s="1" t="str">
        <f t="shared" si="925"/>
        <v>里程返程</v>
      </c>
      <c r="W4857" s="1" t="str">
        <f>"2020"</f>
        <v>2020</v>
      </c>
      <c r="X4857" s="1" t="s">
        <v>35</v>
      </c>
    </row>
    <row r="4858" spans="1:24" x14ac:dyDescent="0.3">
      <c r="A4858" s="1" t="str">
        <f t="shared" si="919"/>
        <v>59823</v>
      </c>
      <c r="B4858" s="1" t="s">
        <v>36</v>
      </c>
      <c r="C4858" s="1" t="s">
        <v>37</v>
      </c>
      <c r="D4858" s="1" t="str">
        <f t="shared" si="920"/>
        <v>9803</v>
      </c>
      <c r="E4858" s="1" t="s">
        <v>32</v>
      </c>
      <c r="F4858" s="1" t="str">
        <f>"0CB3698254880400C08E3CD551702213"</f>
        <v>0CB3698254880400C08E3CD551702213</v>
      </c>
      <c r="G4858" s="1" t="s">
        <v>58</v>
      </c>
      <c r="H4858" s="1" t="str">
        <f t="shared" si="923"/>
        <v>20220922</v>
      </c>
      <c r="I4858" s="1" t="str">
        <f>"130352"</f>
        <v>130352</v>
      </c>
      <c r="J4858" s="1" t="s">
        <v>73</v>
      </c>
      <c r="K4858" s="1" t="s">
        <v>28</v>
      </c>
      <c r="L4858" s="1" t="str">
        <f t="shared" si="924"/>
        <v>20220922</v>
      </c>
      <c r="M4858" s="1" t="str">
        <f>"132839"</f>
        <v>132839</v>
      </c>
      <c r="N4858" s="1" t="s">
        <v>28</v>
      </c>
      <c r="O4858" s="1" t="s">
        <v>28</v>
      </c>
      <c r="P4858" s="1" t="s">
        <v>55</v>
      </c>
      <c r="Q4858" s="1">
        <v>25</v>
      </c>
      <c r="R4858" s="1">
        <v>25</v>
      </c>
      <c r="S4858" s="1">
        <v>0</v>
      </c>
      <c r="T4858" s="1">
        <v>0</v>
      </c>
      <c r="U4858" s="1">
        <v>0</v>
      </c>
      <c r="V4858" s="1" t="str">
        <f t="shared" si="925"/>
        <v>里程返程</v>
      </c>
      <c r="W4858" s="1" t="str">
        <f>"0020"</f>
        <v>0020</v>
      </c>
      <c r="X4858" s="1" t="s">
        <v>29</v>
      </c>
    </row>
    <row r="4859" spans="1:24" x14ac:dyDescent="0.3">
      <c r="A4859" s="1" t="str">
        <f t="shared" si="919"/>
        <v>59823</v>
      </c>
      <c r="B4859" s="1" t="s">
        <v>36</v>
      </c>
      <c r="C4859" s="1" t="s">
        <v>37</v>
      </c>
      <c r="D4859" s="1" t="str">
        <f t="shared" si="920"/>
        <v>9803</v>
      </c>
      <c r="E4859" s="1" t="s">
        <v>32</v>
      </c>
      <c r="F4859" s="1" t="str">
        <f>"817276341"</f>
        <v>817276341</v>
      </c>
      <c r="G4859" s="1" t="s">
        <v>33</v>
      </c>
      <c r="H4859" s="1" t="str">
        <f t="shared" si="923"/>
        <v>20220922</v>
      </c>
      <c r="I4859" s="1" t="str">
        <f>"162932"</f>
        <v>162932</v>
      </c>
      <c r="J4859" s="1" t="s">
        <v>46</v>
      </c>
      <c r="K4859" s="1" t="s">
        <v>28</v>
      </c>
      <c r="L4859" s="1" t="str">
        <f t="shared" si="924"/>
        <v>20220922</v>
      </c>
      <c r="M4859" s="1" t="str">
        <f>"163928"</f>
        <v>163928</v>
      </c>
      <c r="N4859" s="1" t="s">
        <v>28</v>
      </c>
      <c r="O4859" s="1" t="s">
        <v>28</v>
      </c>
      <c r="P4859" s="1" t="s">
        <v>55</v>
      </c>
      <c r="Q4859" s="1">
        <v>25</v>
      </c>
      <c r="R4859" s="1">
        <v>25</v>
      </c>
      <c r="S4859" s="1">
        <v>0</v>
      </c>
      <c r="T4859" s="1">
        <v>0</v>
      </c>
      <c r="U4859" s="1">
        <v>0</v>
      </c>
      <c r="V4859" s="1" t="str">
        <f t="shared" si="925"/>
        <v>里程返程</v>
      </c>
      <c r="W4859" s="1" t="str">
        <f>"2020"</f>
        <v>2020</v>
      </c>
      <c r="X4859" s="1" t="s">
        <v>35</v>
      </c>
    </row>
    <row r="4860" spans="1:24" x14ac:dyDescent="0.3">
      <c r="A4860" s="1" t="str">
        <f t="shared" si="919"/>
        <v>59823</v>
      </c>
      <c r="B4860" s="1" t="s">
        <v>36</v>
      </c>
      <c r="C4860" s="1" t="s">
        <v>37</v>
      </c>
      <c r="D4860" s="1" t="str">
        <f t="shared" si="920"/>
        <v>9803</v>
      </c>
      <c r="E4860" s="1" t="s">
        <v>32</v>
      </c>
      <c r="F4860" s="1" t="str">
        <f>"1058902645"</f>
        <v>1058902645</v>
      </c>
      <c r="G4860" s="1" t="s">
        <v>33</v>
      </c>
      <c r="H4860" s="1" t="str">
        <f t="shared" si="923"/>
        <v>20220922</v>
      </c>
      <c r="I4860" s="1" t="str">
        <f>"162940"</f>
        <v>162940</v>
      </c>
      <c r="J4860" s="1" t="s">
        <v>46</v>
      </c>
      <c r="K4860" s="1" t="s">
        <v>28</v>
      </c>
      <c r="L4860" s="1" t="str">
        <f t="shared" si="924"/>
        <v>20220922</v>
      </c>
      <c r="M4860" s="1" t="str">
        <f>"163924"</f>
        <v>163924</v>
      </c>
      <c r="N4860" s="1" t="s">
        <v>28</v>
      </c>
      <c r="O4860" s="1" t="s">
        <v>28</v>
      </c>
      <c r="P4860" s="1" t="s">
        <v>55</v>
      </c>
      <c r="Q4860" s="1">
        <v>25</v>
      </c>
      <c r="R4860" s="1">
        <v>25</v>
      </c>
      <c r="S4860" s="1">
        <v>0</v>
      </c>
      <c r="T4860" s="1">
        <v>0</v>
      </c>
      <c r="U4860" s="1">
        <v>0</v>
      </c>
      <c r="V4860" s="1" t="str">
        <f t="shared" si="925"/>
        <v>里程返程</v>
      </c>
      <c r="W4860" s="1" t="str">
        <f>"2020"</f>
        <v>2020</v>
      </c>
      <c r="X4860" s="1" t="s">
        <v>35</v>
      </c>
    </row>
    <row r="4861" spans="1:24" x14ac:dyDescent="0.3">
      <c r="A4861" s="1" t="str">
        <f t="shared" si="919"/>
        <v>59823</v>
      </c>
      <c r="B4861" s="1" t="s">
        <v>36</v>
      </c>
      <c r="C4861" s="1" t="s">
        <v>37</v>
      </c>
      <c r="D4861" s="1" t="str">
        <f t="shared" si="920"/>
        <v>9803</v>
      </c>
      <c r="E4861" s="1" t="s">
        <v>32</v>
      </c>
      <c r="F4861" s="1" t="str">
        <f>"1709069061"</f>
        <v>1709069061</v>
      </c>
      <c r="G4861" s="1" t="s">
        <v>33</v>
      </c>
      <c r="H4861" s="1" t="str">
        <f t="shared" si="923"/>
        <v>20220922</v>
      </c>
      <c r="I4861" s="1" t="str">
        <f>"173052"</f>
        <v>173052</v>
      </c>
      <c r="J4861" s="1" t="s">
        <v>34</v>
      </c>
      <c r="K4861" s="1" t="s">
        <v>34</v>
      </c>
      <c r="L4861" s="1" t="str">
        <f t="shared" si="924"/>
        <v>20220922</v>
      </c>
      <c r="M4861" s="1" t="str">
        <f>"174523"</f>
        <v>174523</v>
      </c>
      <c r="N4861" s="1" t="s">
        <v>46</v>
      </c>
      <c r="O4861" s="1" t="s">
        <v>28</v>
      </c>
      <c r="P4861" s="1" t="s">
        <v>55</v>
      </c>
      <c r="Q4861" s="1">
        <v>25</v>
      </c>
      <c r="R4861" s="1">
        <v>25</v>
      </c>
      <c r="S4861" s="1">
        <v>0</v>
      </c>
      <c r="T4861" s="1">
        <v>0</v>
      </c>
      <c r="U4861" s="1">
        <v>0</v>
      </c>
      <c r="V4861" s="1" t="str">
        <f t="shared" si="925"/>
        <v>里程返程</v>
      </c>
      <c r="W4861" s="1" t="str">
        <f>"2020"</f>
        <v>2020</v>
      </c>
      <c r="X4861" s="1" t="s">
        <v>35</v>
      </c>
    </row>
    <row r="4862" spans="1:24" x14ac:dyDescent="0.3">
      <c r="A4862" s="1" t="str">
        <f t="shared" si="919"/>
        <v>59823</v>
      </c>
      <c r="B4862" s="1" t="s">
        <v>36</v>
      </c>
      <c r="C4862" s="1" t="s">
        <v>37</v>
      </c>
      <c r="D4862" s="1" t="str">
        <f>"9805"</f>
        <v>9805</v>
      </c>
      <c r="E4862" s="1" t="s">
        <v>57</v>
      </c>
      <c r="F4862" s="1" t="str">
        <f>"1706028069"</f>
        <v>1706028069</v>
      </c>
      <c r="G4862" s="1" t="s">
        <v>33</v>
      </c>
      <c r="H4862" s="1" t="str">
        <f t="shared" si="923"/>
        <v>20220922</v>
      </c>
      <c r="I4862" s="1" t="str">
        <f>"175959"</f>
        <v>175959</v>
      </c>
      <c r="J4862" s="1" t="s">
        <v>28</v>
      </c>
      <c r="K4862" s="1" t="s">
        <v>28</v>
      </c>
      <c r="L4862" s="1" t="str">
        <f t="shared" si="924"/>
        <v>20220922</v>
      </c>
      <c r="M4862" s="1" t="str">
        <f>"181530"</f>
        <v>181530</v>
      </c>
      <c r="N4862" s="1" t="s">
        <v>52</v>
      </c>
      <c r="O4862" s="1" t="s">
        <v>52</v>
      </c>
      <c r="P4862" s="1" t="s">
        <v>55</v>
      </c>
      <c r="Q4862" s="1">
        <v>25</v>
      </c>
      <c r="R4862" s="1">
        <v>0</v>
      </c>
      <c r="S4862" s="1">
        <v>25</v>
      </c>
      <c r="T4862" s="1">
        <v>0</v>
      </c>
      <c r="U4862" s="1">
        <v>0</v>
      </c>
      <c r="V4862" s="1" t="str">
        <f>"里程去程"</f>
        <v>里程去程</v>
      </c>
      <c r="W4862" s="1" t="str">
        <f>"0820"</f>
        <v>0820</v>
      </c>
      <c r="X4862" s="1" t="s">
        <v>35</v>
      </c>
    </row>
    <row r="4863" spans="1:24" x14ac:dyDescent="0.3">
      <c r="A4863" s="1" t="str">
        <f t="shared" ref="A4863:A4891" si="926">"59825"</f>
        <v>59825</v>
      </c>
      <c r="B4863" s="1" t="s">
        <v>30</v>
      </c>
      <c r="C4863" s="1" t="s">
        <v>31</v>
      </c>
      <c r="D4863" s="1" t="str">
        <f>"9803"</f>
        <v>9803</v>
      </c>
      <c r="E4863" s="1" t="s">
        <v>32</v>
      </c>
      <c r="F4863" s="1" t="str">
        <f>"1107493349"</f>
        <v>1107493349</v>
      </c>
      <c r="G4863" s="1" t="s">
        <v>38</v>
      </c>
      <c r="H4863" s="1" t="str">
        <f t="shared" si="923"/>
        <v>20220922</v>
      </c>
      <c r="I4863" s="1" t="str">
        <f>"063145"</f>
        <v>063145</v>
      </c>
      <c r="J4863" s="1" t="s">
        <v>79</v>
      </c>
      <c r="K4863" s="1" t="s">
        <v>28</v>
      </c>
      <c r="L4863" s="1" t="str">
        <f t="shared" si="924"/>
        <v>20220922</v>
      </c>
      <c r="M4863" s="1" t="str">
        <f>"064055"</f>
        <v>064055</v>
      </c>
      <c r="N4863" s="1" t="s">
        <v>34</v>
      </c>
      <c r="O4863" s="1" t="s">
        <v>34</v>
      </c>
      <c r="P4863" s="1" t="s">
        <v>55</v>
      </c>
      <c r="Q4863" s="1">
        <v>25</v>
      </c>
      <c r="R4863" s="1">
        <v>25</v>
      </c>
      <c r="S4863" s="1">
        <v>0</v>
      </c>
      <c r="T4863" s="1">
        <v>0</v>
      </c>
      <c r="U4863" s="1">
        <v>0</v>
      </c>
      <c r="V4863" s="1" t="str">
        <f>"里程去程"</f>
        <v>里程去程</v>
      </c>
      <c r="W4863" s="1" t="str">
        <f>"2120"</f>
        <v>2120</v>
      </c>
      <c r="X4863" s="1" t="s">
        <v>35</v>
      </c>
    </row>
    <row r="4864" spans="1:24" x14ac:dyDescent="0.3">
      <c r="A4864" s="1" t="str">
        <f t="shared" si="926"/>
        <v>59825</v>
      </c>
      <c r="B4864" s="1" t="s">
        <v>30</v>
      </c>
      <c r="C4864" s="1" t="s">
        <v>31</v>
      </c>
      <c r="D4864" s="1" t="str">
        <f>"9806"</f>
        <v>9806</v>
      </c>
      <c r="E4864" s="1" t="s">
        <v>49</v>
      </c>
      <c r="F4864" s="1" t="str">
        <f>"1202E702F5880400C834002000000015"</f>
        <v>1202E702F5880400C834002000000015</v>
      </c>
      <c r="G4864" s="1" t="s">
        <v>74</v>
      </c>
      <c r="H4864" s="1" t="str">
        <f t="shared" si="923"/>
        <v>20220922</v>
      </c>
      <c r="I4864" s="1" t="str">
        <f>"073329"</f>
        <v>073329</v>
      </c>
      <c r="J4864" s="1" t="s">
        <v>101</v>
      </c>
      <c r="K4864" s="1" t="s">
        <v>28</v>
      </c>
      <c r="L4864" s="1" t="str">
        <f t="shared" si="924"/>
        <v>20220922</v>
      </c>
      <c r="M4864" s="1" t="str">
        <f>"074536"</f>
        <v>074536</v>
      </c>
      <c r="N4864" s="1" t="s">
        <v>99</v>
      </c>
      <c r="O4864" s="1" t="s">
        <v>28</v>
      </c>
      <c r="P4864" s="1" t="s">
        <v>68</v>
      </c>
      <c r="Q4864" s="1">
        <v>13</v>
      </c>
      <c r="R4864" s="1">
        <v>0</v>
      </c>
      <c r="S4864" s="1">
        <v>0</v>
      </c>
      <c r="T4864" s="1">
        <v>13</v>
      </c>
      <c r="U4864" s="1">
        <v>0</v>
      </c>
      <c r="V4864" s="1" t="str">
        <f>"里程返程"</f>
        <v>里程返程</v>
      </c>
      <c r="W4864" s="1" t="str">
        <f>"0020"</f>
        <v>0020</v>
      </c>
      <c r="X4864" s="1" t="s">
        <v>29</v>
      </c>
    </row>
    <row r="4865" spans="1:24" x14ac:dyDescent="0.3">
      <c r="A4865" s="1" t="str">
        <f t="shared" si="926"/>
        <v>59825</v>
      </c>
      <c r="B4865" s="1" t="s">
        <v>30</v>
      </c>
      <c r="C4865" s="1" t="s">
        <v>31</v>
      </c>
      <c r="D4865" s="1" t="str">
        <f>"9806"</f>
        <v>9806</v>
      </c>
      <c r="E4865" s="1" t="s">
        <v>49</v>
      </c>
      <c r="F4865" s="1" t="str">
        <f>"B211E70246880400C834002000000015"</f>
        <v>B211E70246880400C834002000000015</v>
      </c>
      <c r="G4865" s="1" t="s">
        <v>74</v>
      </c>
      <c r="H4865" s="1" t="str">
        <f t="shared" si="923"/>
        <v>20220922</v>
      </c>
      <c r="I4865" s="1" t="str">
        <f>"073333"</f>
        <v>073333</v>
      </c>
      <c r="J4865" s="1" t="s">
        <v>101</v>
      </c>
      <c r="K4865" s="1" t="s">
        <v>28</v>
      </c>
      <c r="L4865" s="1" t="str">
        <f t="shared" si="924"/>
        <v>20220922</v>
      </c>
      <c r="M4865" s="1" t="str">
        <f>"074531"</f>
        <v>074531</v>
      </c>
      <c r="N4865" s="1" t="s">
        <v>99</v>
      </c>
      <c r="O4865" s="1" t="s">
        <v>28</v>
      </c>
      <c r="P4865" s="1" t="s">
        <v>68</v>
      </c>
      <c r="Q4865" s="1">
        <v>13</v>
      </c>
      <c r="R4865" s="1">
        <v>0</v>
      </c>
      <c r="S4865" s="1">
        <v>0</v>
      </c>
      <c r="T4865" s="1">
        <v>13</v>
      </c>
      <c r="U4865" s="1">
        <v>0</v>
      </c>
      <c r="V4865" s="1" t="str">
        <f>"里程返程"</f>
        <v>里程返程</v>
      </c>
      <c r="W4865" s="1" t="str">
        <f>"0020"</f>
        <v>0020</v>
      </c>
      <c r="X4865" s="1" t="s">
        <v>29</v>
      </c>
    </row>
    <row r="4866" spans="1:24" x14ac:dyDescent="0.3">
      <c r="A4866" s="1" t="str">
        <f t="shared" si="926"/>
        <v>59825</v>
      </c>
      <c r="B4866" s="1" t="s">
        <v>30</v>
      </c>
      <c r="C4866" s="1" t="s">
        <v>31</v>
      </c>
      <c r="D4866" s="1" t="str">
        <f>"9806"</f>
        <v>9806</v>
      </c>
      <c r="E4866" s="1" t="s">
        <v>49</v>
      </c>
      <c r="F4866" s="1" t="str">
        <f>"A23A2013AB28040080CED9985D913018"</f>
        <v>A23A2013AB28040080CED9985D913018</v>
      </c>
      <c r="G4866" s="1" t="s">
        <v>58</v>
      </c>
      <c r="H4866" s="1" t="str">
        <f t="shared" si="923"/>
        <v>20220922</v>
      </c>
      <c r="I4866" s="1" t="str">
        <f>"074951"</f>
        <v>074951</v>
      </c>
      <c r="J4866" s="1" t="s">
        <v>50</v>
      </c>
      <c r="K4866" s="1" t="s">
        <v>50</v>
      </c>
      <c r="L4866" s="1" t="str">
        <f t="shared" si="924"/>
        <v>20220922</v>
      </c>
      <c r="M4866" s="1" t="str">
        <f>"080921"</f>
        <v>080921</v>
      </c>
      <c r="N4866" s="1" t="s">
        <v>28</v>
      </c>
      <c r="O4866" s="1" t="s">
        <v>28</v>
      </c>
      <c r="P4866" s="1" t="s">
        <v>55</v>
      </c>
      <c r="Q4866" s="1">
        <v>25</v>
      </c>
      <c r="R4866" s="1">
        <v>25</v>
      </c>
      <c r="S4866" s="1">
        <v>0</v>
      </c>
      <c r="T4866" s="1">
        <v>0</v>
      </c>
      <c r="U4866" s="1">
        <v>0</v>
      </c>
      <c r="V4866" s="1" t="str">
        <f t="shared" ref="V4866:V4888" si="927">"里程去程"</f>
        <v>里程去程</v>
      </c>
      <c r="W4866" s="1" t="str">
        <f>"0020"</f>
        <v>0020</v>
      </c>
      <c r="X4866" s="1" t="s">
        <v>29</v>
      </c>
    </row>
    <row r="4867" spans="1:24" x14ac:dyDescent="0.3">
      <c r="A4867" s="1" t="str">
        <f t="shared" si="926"/>
        <v>59825</v>
      </c>
      <c r="B4867" s="1" t="s">
        <v>30</v>
      </c>
      <c r="C4867" s="1" t="s">
        <v>31</v>
      </c>
      <c r="D4867" s="1" t="str">
        <f t="shared" ref="D4867:D4881" si="928">"9803"</f>
        <v>9803</v>
      </c>
      <c r="E4867" s="1" t="s">
        <v>32</v>
      </c>
      <c r="F4867" s="1" t="str">
        <f>"A23A2013AB28040080CED9985D913018"</f>
        <v>A23A2013AB28040080CED9985D913018</v>
      </c>
      <c r="G4867" s="1" t="s">
        <v>58</v>
      </c>
      <c r="H4867" s="1" t="str">
        <f t="shared" si="923"/>
        <v>20220922</v>
      </c>
      <c r="I4867" s="1" t="str">
        <f>"080949"</f>
        <v>080949</v>
      </c>
      <c r="J4867" s="1" t="s">
        <v>28</v>
      </c>
      <c r="K4867" s="1" t="s">
        <v>28</v>
      </c>
      <c r="L4867" s="1" t="str">
        <f t="shared" si="924"/>
        <v>20220922</v>
      </c>
      <c r="M4867" s="1" t="str">
        <f>"083148"</f>
        <v>083148</v>
      </c>
      <c r="N4867" s="1" t="s">
        <v>34</v>
      </c>
      <c r="O4867" s="1" t="s">
        <v>34</v>
      </c>
      <c r="P4867" s="1" t="s">
        <v>55</v>
      </c>
      <c r="Q4867" s="1">
        <v>25</v>
      </c>
      <c r="R4867" s="1">
        <v>0</v>
      </c>
      <c r="S4867" s="1">
        <v>25</v>
      </c>
      <c r="T4867" s="1">
        <v>0</v>
      </c>
      <c r="U4867" s="1">
        <v>0</v>
      </c>
      <c r="V4867" s="1" t="str">
        <f t="shared" si="927"/>
        <v>里程去程</v>
      </c>
      <c r="W4867" s="1" t="str">
        <f>"2020"</f>
        <v>2020</v>
      </c>
      <c r="X4867" s="1" t="s">
        <v>29</v>
      </c>
    </row>
    <row r="4868" spans="1:24" x14ac:dyDescent="0.3">
      <c r="A4868" s="1" t="str">
        <f t="shared" si="926"/>
        <v>59825</v>
      </c>
      <c r="B4868" s="1" t="s">
        <v>30</v>
      </c>
      <c r="C4868" s="1" t="s">
        <v>31</v>
      </c>
      <c r="D4868" s="1" t="str">
        <f t="shared" si="928"/>
        <v>9803</v>
      </c>
      <c r="E4868" s="1" t="s">
        <v>32</v>
      </c>
      <c r="F4868" s="1" t="str">
        <f>"D2BA780212880400C821002000000015"</f>
        <v>D2BA780212880400C821002000000015</v>
      </c>
      <c r="G4868" s="1" t="s">
        <v>58</v>
      </c>
      <c r="H4868" s="1" t="str">
        <f t="shared" si="923"/>
        <v>20220922</v>
      </c>
      <c r="I4868" s="1" t="str">
        <f>"080954"</f>
        <v>080954</v>
      </c>
      <c r="J4868" s="1" t="s">
        <v>28</v>
      </c>
      <c r="K4868" s="1" t="s">
        <v>28</v>
      </c>
      <c r="L4868" s="1" t="str">
        <f t="shared" si="924"/>
        <v>20220922</v>
      </c>
      <c r="M4868" s="1" t="str">
        <f>"083145"</f>
        <v>083145</v>
      </c>
      <c r="N4868" s="1" t="s">
        <v>34</v>
      </c>
      <c r="O4868" s="1" t="s">
        <v>34</v>
      </c>
      <c r="P4868" s="1" t="s">
        <v>55</v>
      </c>
      <c r="Q4868" s="1">
        <v>25</v>
      </c>
      <c r="R4868" s="1">
        <v>25</v>
      </c>
      <c r="S4868" s="1">
        <v>0</v>
      </c>
      <c r="T4868" s="1">
        <v>0</v>
      </c>
      <c r="U4868" s="1">
        <v>0</v>
      </c>
      <c r="V4868" s="1" t="str">
        <f t="shared" si="927"/>
        <v>里程去程</v>
      </c>
      <c r="W4868" s="1" t="str">
        <f>"0020"</f>
        <v>0020</v>
      </c>
      <c r="X4868" s="1" t="s">
        <v>29</v>
      </c>
    </row>
    <row r="4869" spans="1:24" x14ac:dyDescent="0.3">
      <c r="A4869" s="1" t="str">
        <f t="shared" si="926"/>
        <v>59825</v>
      </c>
      <c r="B4869" s="1" t="s">
        <v>30</v>
      </c>
      <c r="C4869" s="1" t="s">
        <v>31</v>
      </c>
      <c r="D4869" s="1" t="str">
        <f t="shared" si="928"/>
        <v>9803</v>
      </c>
      <c r="E4869" s="1" t="s">
        <v>32</v>
      </c>
      <c r="F4869" s="1" t="str">
        <f>"C1F59065C18804004325CC9400120C0F"</f>
        <v>C1F59065C18804004325CC9400120C0F</v>
      </c>
      <c r="G4869" s="1" t="s">
        <v>59</v>
      </c>
      <c r="H4869" s="1" t="str">
        <f t="shared" si="923"/>
        <v>20220922</v>
      </c>
      <c r="I4869" s="1" t="str">
        <f>"080958"</f>
        <v>080958</v>
      </c>
      <c r="J4869" s="1" t="s">
        <v>28</v>
      </c>
      <c r="K4869" s="1" t="s">
        <v>28</v>
      </c>
      <c r="L4869" s="1" t="str">
        <f t="shared" si="924"/>
        <v>20220922</v>
      </c>
      <c r="M4869" s="1" t="str">
        <f>"083151"</f>
        <v>083151</v>
      </c>
      <c r="N4869" s="1" t="s">
        <v>34</v>
      </c>
      <c r="O4869" s="1" t="s">
        <v>34</v>
      </c>
      <c r="P4869" s="1" t="s">
        <v>55</v>
      </c>
      <c r="Q4869" s="1">
        <v>25</v>
      </c>
      <c r="R4869" s="1">
        <v>0</v>
      </c>
      <c r="S4869" s="1">
        <v>25</v>
      </c>
      <c r="T4869" s="1">
        <v>0</v>
      </c>
      <c r="U4869" s="1">
        <v>0</v>
      </c>
      <c r="V4869" s="1" t="str">
        <f t="shared" si="927"/>
        <v>里程去程</v>
      </c>
      <c r="W4869" s="1" t="str">
        <f>"0620"</f>
        <v>0620</v>
      </c>
      <c r="X4869" s="1" t="s">
        <v>29</v>
      </c>
    </row>
    <row r="4870" spans="1:24" x14ac:dyDescent="0.3">
      <c r="A4870" s="1" t="str">
        <f t="shared" si="926"/>
        <v>59825</v>
      </c>
      <c r="B4870" s="1" t="s">
        <v>30</v>
      </c>
      <c r="C4870" s="1" t="s">
        <v>31</v>
      </c>
      <c r="D4870" s="1" t="str">
        <f t="shared" si="928"/>
        <v>9803</v>
      </c>
      <c r="E4870" s="1" t="s">
        <v>32</v>
      </c>
      <c r="F4870" s="1" t="str">
        <f>"1884042289"</f>
        <v>1884042289</v>
      </c>
      <c r="G4870" s="1" t="s">
        <v>33</v>
      </c>
      <c r="H4870" s="1" t="str">
        <f t="shared" si="923"/>
        <v>20220922</v>
      </c>
      <c r="I4870" s="1" t="str">
        <f>"081023"</f>
        <v>081023</v>
      </c>
      <c r="J4870" s="1" t="s">
        <v>28</v>
      </c>
      <c r="K4870" s="1" t="s">
        <v>28</v>
      </c>
      <c r="L4870" s="1" t="str">
        <f t="shared" si="924"/>
        <v>20220922</v>
      </c>
      <c r="M4870" s="1" t="str">
        <f>"083159"</f>
        <v>083159</v>
      </c>
      <c r="N4870" s="1" t="s">
        <v>34</v>
      </c>
      <c r="O4870" s="1" t="s">
        <v>34</v>
      </c>
      <c r="P4870" s="1" t="s">
        <v>55</v>
      </c>
      <c r="Q4870" s="1">
        <v>25</v>
      </c>
      <c r="R4870" s="1">
        <v>25</v>
      </c>
      <c r="S4870" s="1">
        <v>0</v>
      </c>
      <c r="T4870" s="1">
        <v>0</v>
      </c>
      <c r="U4870" s="1">
        <v>0</v>
      </c>
      <c r="V4870" s="1" t="str">
        <f t="shared" si="927"/>
        <v>里程去程</v>
      </c>
      <c r="W4870" s="1" t="str">
        <f>"0620"</f>
        <v>0620</v>
      </c>
      <c r="X4870" s="1" t="s">
        <v>35</v>
      </c>
    </row>
    <row r="4871" spans="1:24" x14ac:dyDescent="0.3">
      <c r="A4871" s="1" t="str">
        <f t="shared" si="926"/>
        <v>59825</v>
      </c>
      <c r="B4871" s="1" t="s">
        <v>30</v>
      </c>
      <c r="C4871" s="1" t="s">
        <v>31</v>
      </c>
      <c r="D4871" s="1" t="str">
        <f t="shared" si="928"/>
        <v>9803</v>
      </c>
      <c r="E4871" s="1" t="s">
        <v>32</v>
      </c>
      <c r="F4871" s="1" t="str">
        <f>"1045010581"</f>
        <v>1045010581</v>
      </c>
      <c r="G4871" s="1" t="s">
        <v>33</v>
      </c>
      <c r="H4871" s="1" t="str">
        <f t="shared" si="923"/>
        <v>20220922</v>
      </c>
      <c r="I4871" s="1" t="str">
        <f>"081028"</f>
        <v>081028</v>
      </c>
      <c r="J4871" s="1" t="s">
        <v>28</v>
      </c>
      <c r="K4871" s="1" t="s">
        <v>28</v>
      </c>
      <c r="L4871" s="1" t="str">
        <f t="shared" si="924"/>
        <v>20220922</v>
      </c>
      <c r="M4871" s="1" t="str">
        <f>"083139"</f>
        <v>083139</v>
      </c>
      <c r="N4871" s="1" t="s">
        <v>34</v>
      </c>
      <c r="O4871" s="1" t="s">
        <v>34</v>
      </c>
      <c r="P4871" s="1" t="s">
        <v>55</v>
      </c>
      <c r="Q4871" s="1">
        <v>25</v>
      </c>
      <c r="R4871" s="1">
        <v>25</v>
      </c>
      <c r="S4871" s="1">
        <v>0</v>
      </c>
      <c r="T4871" s="1">
        <v>0</v>
      </c>
      <c r="U4871" s="1">
        <v>0</v>
      </c>
      <c r="V4871" s="1" t="str">
        <f t="shared" si="927"/>
        <v>里程去程</v>
      </c>
      <c r="W4871" s="1" t="str">
        <f>"0920"</f>
        <v>0920</v>
      </c>
      <c r="X4871" s="1" t="s">
        <v>35</v>
      </c>
    </row>
    <row r="4872" spans="1:24" x14ac:dyDescent="0.3">
      <c r="A4872" s="1" t="str">
        <f t="shared" si="926"/>
        <v>59825</v>
      </c>
      <c r="B4872" s="1" t="s">
        <v>30</v>
      </c>
      <c r="C4872" s="1" t="s">
        <v>31</v>
      </c>
      <c r="D4872" s="1" t="str">
        <f t="shared" si="928"/>
        <v>9803</v>
      </c>
      <c r="E4872" s="1" t="s">
        <v>32</v>
      </c>
      <c r="F4872" s="1" t="str">
        <f>"4192A33343280400F700000000000000"</f>
        <v>4192A33343280400F700000000000000</v>
      </c>
      <c r="G4872" s="1" t="s">
        <v>58</v>
      </c>
      <c r="H4872" s="1" t="str">
        <f t="shared" si="923"/>
        <v>20220922</v>
      </c>
      <c r="I4872" s="1" t="str">
        <f>"094836"</f>
        <v>094836</v>
      </c>
      <c r="J4872" s="1" t="s">
        <v>28</v>
      </c>
      <c r="K4872" s="1" t="s">
        <v>28</v>
      </c>
      <c r="L4872" s="1" t="str">
        <f t="shared" si="924"/>
        <v>20220922</v>
      </c>
      <c r="M4872" s="1" t="str">
        <f>"100731"</f>
        <v>100731</v>
      </c>
      <c r="N4872" s="1" t="s">
        <v>34</v>
      </c>
      <c r="O4872" s="1" t="s">
        <v>34</v>
      </c>
      <c r="P4872" s="1" t="s">
        <v>55</v>
      </c>
      <c r="Q4872" s="1">
        <v>25</v>
      </c>
      <c r="R4872" s="1">
        <v>25</v>
      </c>
      <c r="S4872" s="1">
        <v>0</v>
      </c>
      <c r="T4872" s="1">
        <v>0</v>
      </c>
      <c r="U4872" s="1">
        <v>0</v>
      </c>
      <c r="V4872" s="1" t="str">
        <f t="shared" si="927"/>
        <v>里程去程</v>
      </c>
      <c r="W4872" s="1" t="str">
        <f>"0020"</f>
        <v>0020</v>
      </c>
      <c r="X4872" s="1" t="s">
        <v>29</v>
      </c>
    </row>
    <row r="4873" spans="1:24" x14ac:dyDescent="0.3">
      <c r="A4873" s="1" t="str">
        <f t="shared" si="926"/>
        <v>59825</v>
      </c>
      <c r="B4873" s="1" t="s">
        <v>30</v>
      </c>
      <c r="C4873" s="1" t="s">
        <v>31</v>
      </c>
      <c r="D4873" s="1" t="str">
        <f t="shared" si="928"/>
        <v>9803</v>
      </c>
      <c r="E4873" s="1" t="s">
        <v>32</v>
      </c>
      <c r="F4873" s="1" t="str">
        <f>"218096741"</f>
        <v>218096741</v>
      </c>
      <c r="G4873" s="1" t="s">
        <v>33</v>
      </c>
      <c r="H4873" s="1" t="str">
        <f t="shared" si="923"/>
        <v>20220922</v>
      </c>
      <c r="I4873" s="1" t="str">
        <f>"094840"</f>
        <v>094840</v>
      </c>
      <c r="J4873" s="1" t="s">
        <v>28</v>
      </c>
      <c r="K4873" s="1" t="s">
        <v>28</v>
      </c>
      <c r="L4873" s="1" t="str">
        <f t="shared" si="924"/>
        <v>20220922</v>
      </c>
      <c r="M4873" s="1" t="str">
        <f>"100738"</f>
        <v>100738</v>
      </c>
      <c r="N4873" s="1" t="s">
        <v>34</v>
      </c>
      <c r="O4873" s="1" t="s">
        <v>34</v>
      </c>
      <c r="P4873" s="1" t="s">
        <v>55</v>
      </c>
      <c r="Q4873" s="1">
        <v>25</v>
      </c>
      <c r="R4873" s="1">
        <v>25</v>
      </c>
      <c r="S4873" s="1">
        <v>0</v>
      </c>
      <c r="T4873" s="1">
        <v>0</v>
      </c>
      <c r="U4873" s="1">
        <v>0</v>
      </c>
      <c r="V4873" s="1" t="str">
        <f t="shared" si="927"/>
        <v>里程去程</v>
      </c>
      <c r="W4873" s="1" t="str">
        <f>"0120"</f>
        <v>0120</v>
      </c>
      <c r="X4873" s="1" t="s">
        <v>35</v>
      </c>
    </row>
    <row r="4874" spans="1:24" x14ac:dyDescent="0.3">
      <c r="A4874" s="1" t="str">
        <f t="shared" si="926"/>
        <v>59825</v>
      </c>
      <c r="B4874" s="1" t="s">
        <v>30</v>
      </c>
      <c r="C4874" s="1" t="s">
        <v>31</v>
      </c>
      <c r="D4874" s="1" t="str">
        <f t="shared" si="928"/>
        <v>9803</v>
      </c>
      <c r="E4874" s="1" t="s">
        <v>32</v>
      </c>
      <c r="F4874" s="1" t="str">
        <f>"600060241"</f>
        <v>600060241</v>
      </c>
      <c r="G4874" s="1" t="s">
        <v>33</v>
      </c>
      <c r="H4874" s="1" t="str">
        <f t="shared" si="923"/>
        <v>20220922</v>
      </c>
      <c r="I4874" s="1" t="str">
        <f>"094845"</f>
        <v>094845</v>
      </c>
      <c r="J4874" s="1" t="s">
        <v>28</v>
      </c>
      <c r="K4874" s="1" t="s">
        <v>28</v>
      </c>
      <c r="L4874" s="1" t="str">
        <f t="shared" si="924"/>
        <v>20220922</v>
      </c>
      <c r="M4874" s="1" t="str">
        <f>"100708"</f>
        <v>100708</v>
      </c>
      <c r="N4874" s="1" t="s">
        <v>89</v>
      </c>
      <c r="O4874" s="1" t="s">
        <v>28</v>
      </c>
      <c r="P4874" s="1" t="s">
        <v>55</v>
      </c>
      <c r="Q4874" s="1">
        <v>25</v>
      </c>
      <c r="R4874" s="1">
        <v>25</v>
      </c>
      <c r="S4874" s="1">
        <v>0</v>
      </c>
      <c r="T4874" s="1">
        <v>0</v>
      </c>
      <c r="U4874" s="1">
        <v>0</v>
      </c>
      <c r="V4874" s="1" t="str">
        <f t="shared" si="927"/>
        <v>里程去程</v>
      </c>
      <c r="W4874" s="1" t="str">
        <f>"0820"</f>
        <v>0820</v>
      </c>
      <c r="X4874" s="1" t="s">
        <v>35</v>
      </c>
    </row>
    <row r="4875" spans="1:24" x14ac:dyDescent="0.3">
      <c r="A4875" s="1" t="str">
        <f t="shared" si="926"/>
        <v>59825</v>
      </c>
      <c r="B4875" s="1" t="s">
        <v>30</v>
      </c>
      <c r="C4875" s="1" t="s">
        <v>31</v>
      </c>
      <c r="D4875" s="1" t="str">
        <f t="shared" si="928"/>
        <v>9803</v>
      </c>
      <c r="E4875" s="1" t="s">
        <v>32</v>
      </c>
      <c r="F4875" s="1" t="str">
        <f>"797993685"</f>
        <v>797993685</v>
      </c>
      <c r="G4875" s="1" t="s">
        <v>33</v>
      </c>
      <c r="H4875" s="1" t="str">
        <f t="shared" si="923"/>
        <v>20220922</v>
      </c>
      <c r="I4875" s="1" t="str">
        <f>"094851"</f>
        <v>094851</v>
      </c>
      <c r="J4875" s="1" t="s">
        <v>28</v>
      </c>
      <c r="K4875" s="1" t="s">
        <v>28</v>
      </c>
      <c r="L4875" s="1" t="str">
        <f t="shared" si="924"/>
        <v>20220922</v>
      </c>
      <c r="M4875" s="1" t="str">
        <f>"100734"</f>
        <v>100734</v>
      </c>
      <c r="N4875" s="1" t="s">
        <v>34</v>
      </c>
      <c r="O4875" s="1" t="s">
        <v>34</v>
      </c>
      <c r="P4875" s="1" t="s">
        <v>55</v>
      </c>
      <c r="Q4875" s="1">
        <v>25</v>
      </c>
      <c r="R4875" s="1">
        <v>25</v>
      </c>
      <c r="S4875" s="1">
        <v>0</v>
      </c>
      <c r="T4875" s="1">
        <v>0</v>
      </c>
      <c r="U4875" s="1">
        <v>0</v>
      </c>
      <c r="V4875" s="1" t="str">
        <f t="shared" si="927"/>
        <v>里程去程</v>
      </c>
      <c r="W4875" s="1" t="str">
        <f>"0120"</f>
        <v>0120</v>
      </c>
      <c r="X4875" s="1" t="s">
        <v>35</v>
      </c>
    </row>
    <row r="4876" spans="1:24" x14ac:dyDescent="0.3">
      <c r="A4876" s="1" t="str">
        <f t="shared" si="926"/>
        <v>59825</v>
      </c>
      <c r="B4876" s="1" t="s">
        <v>30</v>
      </c>
      <c r="C4876" s="1" t="s">
        <v>31</v>
      </c>
      <c r="D4876" s="1" t="str">
        <f t="shared" si="928"/>
        <v>9803</v>
      </c>
      <c r="E4876" s="1" t="s">
        <v>32</v>
      </c>
      <c r="F4876" s="1" t="str">
        <f>"1113915397"</f>
        <v>1113915397</v>
      </c>
      <c r="G4876" s="1" t="s">
        <v>26</v>
      </c>
      <c r="H4876" s="1" t="str">
        <f t="shared" ref="H4876:H4907" si="929">"20220922"</f>
        <v>20220922</v>
      </c>
      <c r="I4876" s="1" t="str">
        <f>"094906"</f>
        <v>094906</v>
      </c>
      <c r="J4876" s="1" t="s">
        <v>28</v>
      </c>
      <c r="K4876" s="1" t="s">
        <v>28</v>
      </c>
      <c r="L4876" s="1" t="str">
        <f t="shared" si="924"/>
        <v>20220922</v>
      </c>
      <c r="M4876" s="1" t="str">
        <f>"100727"</f>
        <v>100727</v>
      </c>
      <c r="N4876" s="1" t="s">
        <v>34</v>
      </c>
      <c r="O4876" s="1" t="s">
        <v>34</v>
      </c>
      <c r="P4876" s="1" t="s">
        <v>55</v>
      </c>
      <c r="Q4876" s="1">
        <v>13</v>
      </c>
      <c r="R4876" s="1">
        <v>13</v>
      </c>
      <c r="S4876" s="1">
        <v>0</v>
      </c>
      <c r="T4876" s="1">
        <v>0</v>
      </c>
      <c r="U4876" s="1">
        <v>0</v>
      </c>
      <c r="V4876" s="1" t="str">
        <f t="shared" si="927"/>
        <v>里程去程</v>
      </c>
      <c r="W4876" s="1" t="str">
        <f>"0120"</f>
        <v>0120</v>
      </c>
      <c r="X4876" s="1" t="s">
        <v>35</v>
      </c>
    </row>
    <row r="4877" spans="1:24" x14ac:dyDescent="0.3">
      <c r="A4877" s="1" t="str">
        <f t="shared" si="926"/>
        <v>59825</v>
      </c>
      <c r="B4877" s="1" t="s">
        <v>30</v>
      </c>
      <c r="C4877" s="1" t="s">
        <v>31</v>
      </c>
      <c r="D4877" s="1" t="str">
        <f t="shared" si="928"/>
        <v>9803</v>
      </c>
      <c r="E4877" s="1" t="s">
        <v>32</v>
      </c>
      <c r="F4877" s="1" t="str">
        <f>"1011227077"</f>
        <v>1011227077</v>
      </c>
      <c r="G4877" s="1" t="s">
        <v>38</v>
      </c>
      <c r="H4877" s="1" t="str">
        <f t="shared" si="929"/>
        <v>20220922</v>
      </c>
      <c r="I4877" s="1" t="str">
        <f>"094950"</f>
        <v>094950</v>
      </c>
      <c r="J4877" s="1" t="s">
        <v>28</v>
      </c>
      <c r="K4877" s="1" t="s">
        <v>28</v>
      </c>
      <c r="L4877" s="1" t="str">
        <f t="shared" si="924"/>
        <v>20220922</v>
      </c>
      <c r="M4877" s="1" t="str">
        <f>"100742"</f>
        <v>100742</v>
      </c>
      <c r="N4877" s="1" t="s">
        <v>34</v>
      </c>
      <c r="O4877" s="1" t="s">
        <v>34</v>
      </c>
      <c r="P4877" s="1" t="s">
        <v>55</v>
      </c>
      <c r="Q4877" s="1">
        <v>25</v>
      </c>
      <c r="R4877" s="1">
        <v>25</v>
      </c>
      <c r="S4877" s="1">
        <v>0</v>
      </c>
      <c r="T4877" s="1">
        <v>0</v>
      </c>
      <c r="U4877" s="1">
        <v>0</v>
      </c>
      <c r="V4877" s="1" t="str">
        <f t="shared" si="927"/>
        <v>里程去程</v>
      </c>
      <c r="W4877" s="1" t="str">
        <f>"0820"</f>
        <v>0820</v>
      </c>
      <c r="X4877" s="1" t="s">
        <v>35</v>
      </c>
    </row>
    <row r="4878" spans="1:24" x14ac:dyDescent="0.3">
      <c r="A4878" s="1" t="str">
        <f t="shared" si="926"/>
        <v>59825</v>
      </c>
      <c r="B4878" s="1" t="s">
        <v>30</v>
      </c>
      <c r="C4878" s="1" t="s">
        <v>31</v>
      </c>
      <c r="D4878" s="1" t="str">
        <f t="shared" si="928"/>
        <v>9803</v>
      </c>
      <c r="E4878" s="1" t="s">
        <v>32</v>
      </c>
      <c r="F4878" s="1" t="str">
        <f>"271220545"</f>
        <v>271220545</v>
      </c>
      <c r="G4878" s="1" t="s">
        <v>33</v>
      </c>
      <c r="H4878" s="1" t="str">
        <f t="shared" si="929"/>
        <v>20220922</v>
      </c>
      <c r="I4878" s="1" t="str">
        <f>"095010"</f>
        <v>095010</v>
      </c>
      <c r="J4878" s="1" t="s">
        <v>28</v>
      </c>
      <c r="K4878" s="1" t="s">
        <v>28</v>
      </c>
      <c r="L4878" s="1" t="str">
        <f t="shared" si="924"/>
        <v>20220922</v>
      </c>
      <c r="M4878" s="1" t="str">
        <f>"100810"</f>
        <v>100810</v>
      </c>
      <c r="N4878" s="1" t="s">
        <v>34</v>
      </c>
      <c r="O4878" s="1" t="s">
        <v>34</v>
      </c>
      <c r="P4878" s="1" t="s">
        <v>55</v>
      </c>
      <c r="Q4878" s="1">
        <v>25</v>
      </c>
      <c r="R4878" s="1">
        <v>25</v>
      </c>
      <c r="S4878" s="1">
        <v>0</v>
      </c>
      <c r="T4878" s="1">
        <v>0</v>
      </c>
      <c r="U4878" s="1">
        <v>0</v>
      </c>
      <c r="V4878" s="1" t="str">
        <f t="shared" si="927"/>
        <v>里程去程</v>
      </c>
      <c r="W4878" s="1" t="str">
        <f>"0b20"</f>
        <v>0b20</v>
      </c>
      <c r="X4878" s="1" t="s">
        <v>35</v>
      </c>
    </row>
    <row r="4879" spans="1:24" x14ac:dyDescent="0.3">
      <c r="A4879" s="1" t="str">
        <f t="shared" si="926"/>
        <v>59825</v>
      </c>
      <c r="B4879" s="1" t="s">
        <v>30</v>
      </c>
      <c r="C4879" s="1" t="s">
        <v>31</v>
      </c>
      <c r="D4879" s="1" t="str">
        <f t="shared" si="928"/>
        <v>9803</v>
      </c>
      <c r="E4879" s="1" t="s">
        <v>32</v>
      </c>
      <c r="F4879" s="1" t="str">
        <f>"1822823665"</f>
        <v>1822823665</v>
      </c>
      <c r="G4879" s="1" t="s">
        <v>33</v>
      </c>
      <c r="H4879" s="1" t="str">
        <f t="shared" si="929"/>
        <v>20220922</v>
      </c>
      <c r="I4879" s="1" t="str">
        <f>"095018"</f>
        <v>095018</v>
      </c>
      <c r="J4879" s="1" t="s">
        <v>28</v>
      </c>
      <c r="K4879" s="1" t="s">
        <v>28</v>
      </c>
      <c r="L4879" s="1" t="str">
        <f t="shared" si="924"/>
        <v>20220922</v>
      </c>
      <c r="M4879" s="1" t="str">
        <f>"100802"</f>
        <v>100802</v>
      </c>
      <c r="N4879" s="1" t="s">
        <v>34</v>
      </c>
      <c r="O4879" s="1" t="s">
        <v>34</v>
      </c>
      <c r="P4879" s="1" t="s">
        <v>55</v>
      </c>
      <c r="Q4879" s="1">
        <v>25</v>
      </c>
      <c r="R4879" s="1">
        <v>25</v>
      </c>
      <c r="S4879" s="1">
        <v>0</v>
      </c>
      <c r="T4879" s="1">
        <v>0</v>
      </c>
      <c r="U4879" s="1">
        <v>0</v>
      </c>
      <c r="V4879" s="1" t="str">
        <f t="shared" si="927"/>
        <v>里程去程</v>
      </c>
      <c r="W4879" s="1" t="str">
        <f>"0120"</f>
        <v>0120</v>
      </c>
      <c r="X4879" s="1" t="s">
        <v>35</v>
      </c>
    </row>
    <row r="4880" spans="1:24" x14ac:dyDescent="0.3">
      <c r="A4880" s="1" t="str">
        <f t="shared" si="926"/>
        <v>59825</v>
      </c>
      <c r="B4880" s="1" t="s">
        <v>30</v>
      </c>
      <c r="C4880" s="1" t="s">
        <v>31</v>
      </c>
      <c r="D4880" s="1" t="str">
        <f t="shared" si="928"/>
        <v>9803</v>
      </c>
      <c r="E4880" s="1" t="s">
        <v>32</v>
      </c>
      <c r="F4880" s="1" t="str">
        <f>"1123904725"</f>
        <v>1123904725</v>
      </c>
      <c r="G4880" s="1" t="s">
        <v>33</v>
      </c>
      <c r="H4880" s="1" t="str">
        <f t="shared" si="929"/>
        <v>20220922</v>
      </c>
      <c r="I4880" s="1" t="str">
        <f>"095036"</f>
        <v>095036</v>
      </c>
      <c r="J4880" s="1" t="s">
        <v>28</v>
      </c>
      <c r="K4880" s="1" t="s">
        <v>28</v>
      </c>
      <c r="L4880" s="1" t="str">
        <f t="shared" si="924"/>
        <v>20220922</v>
      </c>
      <c r="M4880" s="1" t="str">
        <f>"100750"</f>
        <v>100750</v>
      </c>
      <c r="N4880" s="1" t="s">
        <v>34</v>
      </c>
      <c r="O4880" s="1" t="s">
        <v>34</v>
      </c>
      <c r="P4880" s="1" t="s">
        <v>55</v>
      </c>
      <c r="Q4880" s="1">
        <v>25</v>
      </c>
      <c r="R4880" s="1">
        <v>25</v>
      </c>
      <c r="S4880" s="1">
        <v>0</v>
      </c>
      <c r="T4880" s="1">
        <v>0</v>
      </c>
      <c r="U4880" s="1">
        <v>0</v>
      </c>
      <c r="V4880" s="1" t="str">
        <f t="shared" si="927"/>
        <v>里程去程</v>
      </c>
      <c r="W4880" s="1" t="str">
        <f>"1420"</f>
        <v>1420</v>
      </c>
      <c r="X4880" s="1" t="s">
        <v>35</v>
      </c>
    </row>
    <row r="4881" spans="1:24" x14ac:dyDescent="0.3">
      <c r="A4881" s="1" t="str">
        <f t="shared" si="926"/>
        <v>59825</v>
      </c>
      <c r="B4881" s="1" t="s">
        <v>30</v>
      </c>
      <c r="C4881" s="1" t="s">
        <v>31</v>
      </c>
      <c r="D4881" s="1" t="str">
        <f t="shared" si="928"/>
        <v>9803</v>
      </c>
      <c r="E4881" s="1" t="s">
        <v>32</v>
      </c>
      <c r="F4881" s="1" t="str">
        <f>"B148B11C54280400F700000000000000"</f>
        <v>B148B11C54280400F700000000000000</v>
      </c>
      <c r="G4881" s="1" t="s">
        <v>58</v>
      </c>
      <c r="H4881" s="1" t="str">
        <f t="shared" si="929"/>
        <v>20220922</v>
      </c>
      <c r="I4881" s="1" t="str">
        <f>"095050"</f>
        <v>095050</v>
      </c>
      <c r="J4881" s="1" t="s">
        <v>28</v>
      </c>
      <c r="K4881" s="1" t="s">
        <v>28</v>
      </c>
      <c r="L4881" s="1" t="str">
        <f t="shared" si="924"/>
        <v>20220922</v>
      </c>
      <c r="M4881" s="1" t="str">
        <f>"100831"</f>
        <v>100831</v>
      </c>
      <c r="N4881" s="1" t="s">
        <v>34</v>
      </c>
      <c r="O4881" s="1" t="s">
        <v>34</v>
      </c>
      <c r="P4881" s="1" t="s">
        <v>55</v>
      </c>
      <c r="Q4881" s="1">
        <v>25</v>
      </c>
      <c r="R4881" s="1">
        <v>25</v>
      </c>
      <c r="S4881" s="1">
        <v>0</v>
      </c>
      <c r="T4881" s="1">
        <v>0</v>
      </c>
      <c r="U4881" s="1">
        <v>0</v>
      </c>
      <c r="V4881" s="1" t="str">
        <f t="shared" si="927"/>
        <v>里程去程</v>
      </c>
      <c r="W4881" s="1" t="str">
        <f>"0020"</f>
        <v>0020</v>
      </c>
      <c r="X4881" s="1" t="s">
        <v>29</v>
      </c>
    </row>
    <row r="4882" spans="1:24" x14ac:dyDescent="0.3">
      <c r="A4882" s="1" t="str">
        <f t="shared" si="926"/>
        <v>59825</v>
      </c>
      <c r="B4882" s="1" t="s">
        <v>30</v>
      </c>
      <c r="C4882" s="1" t="s">
        <v>31</v>
      </c>
      <c r="D4882" s="1" t="str">
        <f>"9805"</f>
        <v>9805</v>
      </c>
      <c r="E4882" s="1" t="s">
        <v>57</v>
      </c>
      <c r="F4882" s="1" t="str">
        <f>"626D380334880400C834002000000015"</f>
        <v>626D380334880400C834002000000015</v>
      </c>
      <c r="G4882" s="1" t="s">
        <v>58</v>
      </c>
      <c r="H4882" s="1" t="str">
        <f t="shared" si="929"/>
        <v>20220922</v>
      </c>
      <c r="I4882" s="1" t="str">
        <f>"120801"</f>
        <v>120801</v>
      </c>
      <c r="J4882" s="1" t="s">
        <v>28</v>
      </c>
      <c r="K4882" s="1" t="s">
        <v>28</v>
      </c>
      <c r="L4882" s="1" t="str">
        <f t="shared" ref="L4882:L4913" si="930">"20220922"</f>
        <v>20220922</v>
      </c>
      <c r="M4882" s="1" t="str">
        <f>"122916"</f>
        <v>122916</v>
      </c>
      <c r="N4882" s="1" t="s">
        <v>52</v>
      </c>
      <c r="O4882" s="1" t="s">
        <v>52</v>
      </c>
      <c r="P4882" s="1" t="s">
        <v>55</v>
      </c>
      <c r="Q4882" s="1">
        <v>25</v>
      </c>
      <c r="R4882" s="1">
        <v>25</v>
      </c>
      <c r="S4882" s="1">
        <v>0</v>
      </c>
      <c r="T4882" s="1">
        <v>0</v>
      </c>
      <c r="U4882" s="1">
        <v>0</v>
      </c>
      <c r="V4882" s="1" t="str">
        <f t="shared" si="927"/>
        <v>里程去程</v>
      </c>
      <c r="W4882" s="1" t="str">
        <f>"0020"</f>
        <v>0020</v>
      </c>
      <c r="X4882" s="1" t="s">
        <v>29</v>
      </c>
    </row>
    <row r="4883" spans="1:24" x14ac:dyDescent="0.3">
      <c r="A4883" s="1" t="str">
        <f t="shared" si="926"/>
        <v>59825</v>
      </c>
      <c r="B4883" s="1" t="s">
        <v>30</v>
      </c>
      <c r="C4883" s="1" t="s">
        <v>31</v>
      </c>
      <c r="D4883" s="1" t="str">
        <f>"9805"</f>
        <v>9805</v>
      </c>
      <c r="E4883" s="1" t="s">
        <v>57</v>
      </c>
      <c r="F4883" s="1" t="str">
        <f>"1233841377"</f>
        <v>1233841377</v>
      </c>
      <c r="G4883" s="1" t="s">
        <v>33</v>
      </c>
      <c r="H4883" s="1" t="str">
        <f t="shared" si="929"/>
        <v>20220922</v>
      </c>
      <c r="I4883" s="1" t="str">
        <f>"120809"</f>
        <v>120809</v>
      </c>
      <c r="J4883" s="1" t="s">
        <v>28</v>
      </c>
      <c r="K4883" s="1" t="s">
        <v>28</v>
      </c>
      <c r="L4883" s="1" t="str">
        <f t="shared" si="930"/>
        <v>20220922</v>
      </c>
      <c r="M4883" s="1" t="str">
        <f>"122920"</f>
        <v>122920</v>
      </c>
      <c r="N4883" s="1" t="s">
        <v>52</v>
      </c>
      <c r="O4883" s="1" t="s">
        <v>52</v>
      </c>
      <c r="P4883" s="1" t="s">
        <v>55</v>
      </c>
      <c r="Q4883" s="1">
        <v>25</v>
      </c>
      <c r="R4883" s="1">
        <v>25</v>
      </c>
      <c r="S4883" s="1">
        <v>0</v>
      </c>
      <c r="T4883" s="1">
        <v>0</v>
      </c>
      <c r="U4883" s="1">
        <v>0</v>
      </c>
      <c r="V4883" s="1" t="str">
        <f t="shared" si="927"/>
        <v>里程去程</v>
      </c>
      <c r="W4883" s="1" t="str">
        <f>"0920"</f>
        <v>0920</v>
      </c>
      <c r="X4883" s="1" t="s">
        <v>35</v>
      </c>
    </row>
    <row r="4884" spans="1:24" x14ac:dyDescent="0.3">
      <c r="A4884" s="1" t="str">
        <f t="shared" si="926"/>
        <v>59825</v>
      </c>
      <c r="B4884" s="1" t="s">
        <v>30</v>
      </c>
      <c r="C4884" s="1" t="s">
        <v>31</v>
      </c>
      <c r="D4884" s="1" t="str">
        <f>"9805"</f>
        <v>9805</v>
      </c>
      <c r="E4884" s="1" t="s">
        <v>57</v>
      </c>
      <c r="F4884" s="1" t="str">
        <f>"B252B70B5C880400C827002000000017"</f>
        <v>B252B70B5C880400C827002000000017</v>
      </c>
      <c r="G4884" s="1" t="s">
        <v>58</v>
      </c>
      <c r="H4884" s="1" t="str">
        <f t="shared" si="929"/>
        <v>20220922</v>
      </c>
      <c r="I4884" s="1" t="str">
        <f>"120814"</f>
        <v>120814</v>
      </c>
      <c r="J4884" s="1" t="s">
        <v>28</v>
      </c>
      <c r="K4884" s="1" t="s">
        <v>28</v>
      </c>
      <c r="L4884" s="1" t="str">
        <f t="shared" si="930"/>
        <v>20220922</v>
      </c>
      <c r="M4884" s="1" t="str">
        <f>"120904"</f>
        <v>120904</v>
      </c>
      <c r="N4884" s="1" t="s">
        <v>90</v>
      </c>
      <c r="O4884" s="1" t="s">
        <v>28</v>
      </c>
      <c r="P4884" s="1" t="s">
        <v>55</v>
      </c>
      <c r="Q4884" s="1">
        <v>25</v>
      </c>
      <c r="R4884" s="1">
        <v>0</v>
      </c>
      <c r="S4884" s="1">
        <v>25</v>
      </c>
      <c r="T4884" s="1">
        <v>0</v>
      </c>
      <c r="U4884" s="1">
        <v>0</v>
      </c>
      <c r="V4884" s="1" t="str">
        <f t="shared" si="927"/>
        <v>里程去程</v>
      </c>
      <c r="W4884" s="1" t="str">
        <f>"0620"</f>
        <v>0620</v>
      </c>
      <c r="X4884" s="1" t="s">
        <v>29</v>
      </c>
    </row>
    <row r="4885" spans="1:24" x14ac:dyDescent="0.3">
      <c r="A4885" s="1" t="str">
        <f t="shared" si="926"/>
        <v>59825</v>
      </c>
      <c r="B4885" s="1" t="s">
        <v>30</v>
      </c>
      <c r="C4885" s="1" t="s">
        <v>31</v>
      </c>
      <c r="D4885" s="1" t="str">
        <f>"9803"</f>
        <v>9803</v>
      </c>
      <c r="E4885" s="1" t="s">
        <v>32</v>
      </c>
      <c r="F4885" s="1" t="str">
        <f>"817276341"</f>
        <v>817276341</v>
      </c>
      <c r="G4885" s="1" t="s">
        <v>33</v>
      </c>
      <c r="H4885" s="1" t="str">
        <f t="shared" si="929"/>
        <v>20220922</v>
      </c>
      <c r="I4885" s="1" t="str">
        <f>"132835"</f>
        <v>132835</v>
      </c>
      <c r="J4885" s="1" t="s">
        <v>28</v>
      </c>
      <c r="K4885" s="1" t="s">
        <v>28</v>
      </c>
      <c r="L4885" s="1" t="str">
        <f t="shared" si="930"/>
        <v>20220922</v>
      </c>
      <c r="M4885" s="1" t="str">
        <f>"134132"</f>
        <v>134132</v>
      </c>
      <c r="N4885" s="1" t="s">
        <v>46</v>
      </c>
      <c r="O4885" s="1" t="s">
        <v>28</v>
      </c>
      <c r="P4885" s="1" t="s">
        <v>55</v>
      </c>
      <c r="Q4885" s="1">
        <v>25</v>
      </c>
      <c r="R4885" s="1">
        <v>25</v>
      </c>
      <c r="S4885" s="1">
        <v>0</v>
      </c>
      <c r="T4885" s="1">
        <v>0</v>
      </c>
      <c r="U4885" s="1">
        <v>0</v>
      </c>
      <c r="V4885" s="1" t="str">
        <f t="shared" si="927"/>
        <v>里程去程</v>
      </c>
      <c r="W4885" s="1" t="str">
        <f>"0120"</f>
        <v>0120</v>
      </c>
      <c r="X4885" s="1" t="s">
        <v>35</v>
      </c>
    </row>
    <row r="4886" spans="1:24" x14ac:dyDescent="0.3">
      <c r="A4886" s="1" t="str">
        <f t="shared" si="926"/>
        <v>59825</v>
      </c>
      <c r="B4886" s="1" t="s">
        <v>30</v>
      </c>
      <c r="C4886" s="1" t="s">
        <v>31</v>
      </c>
      <c r="D4886" s="1" t="str">
        <f>"9803"</f>
        <v>9803</v>
      </c>
      <c r="E4886" s="1" t="s">
        <v>32</v>
      </c>
      <c r="F4886" s="1" t="str">
        <f>"1058902645"</f>
        <v>1058902645</v>
      </c>
      <c r="G4886" s="1" t="s">
        <v>33</v>
      </c>
      <c r="H4886" s="1" t="str">
        <f t="shared" si="929"/>
        <v>20220922</v>
      </c>
      <c r="I4886" s="1" t="str">
        <f>"132837"</f>
        <v>132837</v>
      </c>
      <c r="J4886" s="1" t="s">
        <v>28</v>
      </c>
      <c r="K4886" s="1" t="s">
        <v>28</v>
      </c>
      <c r="L4886" s="1" t="str">
        <f t="shared" si="930"/>
        <v>20220922</v>
      </c>
      <c r="M4886" s="1" t="str">
        <f>"134126"</f>
        <v>134126</v>
      </c>
      <c r="N4886" s="1" t="s">
        <v>46</v>
      </c>
      <c r="O4886" s="1" t="s">
        <v>28</v>
      </c>
      <c r="P4886" s="1" t="s">
        <v>55</v>
      </c>
      <c r="Q4886" s="1">
        <v>25</v>
      </c>
      <c r="R4886" s="1">
        <v>25</v>
      </c>
      <c r="S4886" s="1">
        <v>0</v>
      </c>
      <c r="T4886" s="1">
        <v>0</v>
      </c>
      <c r="U4886" s="1">
        <v>0</v>
      </c>
      <c r="V4886" s="1" t="str">
        <f t="shared" si="927"/>
        <v>里程去程</v>
      </c>
      <c r="W4886" s="1" t="str">
        <f>"0120"</f>
        <v>0120</v>
      </c>
      <c r="X4886" s="1" t="s">
        <v>35</v>
      </c>
    </row>
    <row r="4887" spans="1:24" x14ac:dyDescent="0.3">
      <c r="A4887" s="1" t="str">
        <f t="shared" si="926"/>
        <v>59825</v>
      </c>
      <c r="B4887" s="1" t="s">
        <v>30</v>
      </c>
      <c r="C4887" s="1" t="s">
        <v>31</v>
      </c>
      <c r="D4887" s="1" t="str">
        <f>"9805"</f>
        <v>9805</v>
      </c>
      <c r="E4887" s="1" t="s">
        <v>57</v>
      </c>
      <c r="F4887" s="1" t="str">
        <f>"1815871781"</f>
        <v>1815871781</v>
      </c>
      <c r="G4887" s="1" t="s">
        <v>38</v>
      </c>
      <c r="H4887" s="1" t="str">
        <f t="shared" si="929"/>
        <v>20220922</v>
      </c>
      <c r="I4887" s="1" t="str">
        <f>"151756"</f>
        <v>151756</v>
      </c>
      <c r="J4887" s="1" t="s">
        <v>28</v>
      </c>
      <c r="K4887" s="1" t="s">
        <v>28</v>
      </c>
      <c r="L4887" s="1" t="str">
        <f t="shared" si="930"/>
        <v>20220922</v>
      </c>
      <c r="M4887" s="1" t="str">
        <f>"153132"</f>
        <v>153132</v>
      </c>
      <c r="N4887" s="1" t="s">
        <v>61</v>
      </c>
      <c r="O4887" s="1" t="s">
        <v>28</v>
      </c>
      <c r="P4887" s="1" t="s">
        <v>55</v>
      </c>
      <c r="Q4887" s="1">
        <v>25</v>
      </c>
      <c r="R4887" s="1">
        <v>0</v>
      </c>
      <c r="S4887" s="1">
        <v>25</v>
      </c>
      <c r="T4887" s="1">
        <v>0</v>
      </c>
      <c r="U4887" s="1">
        <v>0</v>
      </c>
      <c r="V4887" s="1" t="str">
        <f t="shared" si="927"/>
        <v>里程去程</v>
      </c>
      <c r="W4887" s="1" t="str">
        <f>"0820"</f>
        <v>0820</v>
      </c>
      <c r="X4887" s="1" t="s">
        <v>35</v>
      </c>
    </row>
    <row r="4888" spans="1:24" x14ac:dyDescent="0.3">
      <c r="A4888" s="1" t="str">
        <f t="shared" si="926"/>
        <v>59825</v>
      </c>
      <c r="B4888" s="1" t="s">
        <v>30</v>
      </c>
      <c r="C4888" s="1" t="s">
        <v>31</v>
      </c>
      <c r="D4888" s="1" t="str">
        <f>"9805"</f>
        <v>9805</v>
      </c>
      <c r="E4888" s="1" t="s">
        <v>57</v>
      </c>
      <c r="F4888" s="1" t="str">
        <f>"1098892597"</f>
        <v>1098892597</v>
      </c>
      <c r="G4888" s="1" t="s">
        <v>33</v>
      </c>
      <c r="H4888" s="1" t="str">
        <f t="shared" si="929"/>
        <v>20220922</v>
      </c>
      <c r="I4888" s="1" t="str">
        <f>"151803"</f>
        <v>151803</v>
      </c>
      <c r="J4888" s="1" t="s">
        <v>28</v>
      </c>
      <c r="K4888" s="1" t="s">
        <v>28</v>
      </c>
      <c r="L4888" s="1" t="str">
        <f t="shared" si="930"/>
        <v>20220922</v>
      </c>
      <c r="M4888" s="1" t="str">
        <f>"153634"</f>
        <v>153634</v>
      </c>
      <c r="N4888" s="1" t="s">
        <v>52</v>
      </c>
      <c r="O4888" s="1" t="s">
        <v>52</v>
      </c>
      <c r="P4888" s="1" t="s">
        <v>55</v>
      </c>
      <c r="Q4888" s="1">
        <v>25</v>
      </c>
      <c r="R4888" s="1">
        <v>25</v>
      </c>
      <c r="S4888" s="1">
        <v>0</v>
      </c>
      <c r="T4888" s="1">
        <v>0</v>
      </c>
      <c r="U4888" s="1">
        <v>0</v>
      </c>
      <c r="V4888" s="1" t="str">
        <f t="shared" si="927"/>
        <v>里程去程</v>
      </c>
      <c r="W4888" s="1" t="str">
        <f>"0220"</f>
        <v>0220</v>
      </c>
      <c r="X4888" s="1" t="s">
        <v>35</v>
      </c>
    </row>
    <row r="4889" spans="1:24" x14ac:dyDescent="0.3">
      <c r="A4889" s="1" t="str">
        <f t="shared" si="926"/>
        <v>59825</v>
      </c>
      <c r="B4889" s="1" t="s">
        <v>30</v>
      </c>
      <c r="C4889" s="1" t="s">
        <v>31</v>
      </c>
      <c r="D4889" s="1" t="str">
        <f>"9803"</f>
        <v>9803</v>
      </c>
      <c r="E4889" s="1" t="s">
        <v>32</v>
      </c>
      <c r="F4889" s="1" t="str">
        <f>"02EA0B03E0880400C834002000000015"</f>
        <v>02EA0B03E0880400C834002000000015</v>
      </c>
      <c r="G4889" s="1" t="s">
        <v>26</v>
      </c>
      <c r="H4889" s="1" t="str">
        <f t="shared" si="929"/>
        <v>20220922</v>
      </c>
      <c r="I4889" s="1" t="str">
        <f>"164543"</f>
        <v>164543</v>
      </c>
      <c r="J4889" s="1" t="s">
        <v>46</v>
      </c>
      <c r="K4889" s="1" t="s">
        <v>28</v>
      </c>
      <c r="L4889" s="1" t="str">
        <f t="shared" si="930"/>
        <v>20220922</v>
      </c>
      <c r="M4889" s="1" t="str">
        <f>"165328"</f>
        <v>165328</v>
      </c>
      <c r="N4889" s="1" t="s">
        <v>81</v>
      </c>
      <c r="O4889" s="1" t="s">
        <v>28</v>
      </c>
      <c r="P4889" s="1" t="s">
        <v>68</v>
      </c>
      <c r="Q4889" s="1">
        <v>13</v>
      </c>
      <c r="R4889" s="1">
        <v>0</v>
      </c>
      <c r="S4889" s="1">
        <v>0</v>
      </c>
      <c r="T4889" s="1">
        <v>13</v>
      </c>
      <c r="U4889" s="1">
        <v>0</v>
      </c>
      <c r="V4889" s="1" t="str">
        <f t="shared" ref="V4889:V4904" si="931">"里程返程"</f>
        <v>里程返程</v>
      </c>
      <c r="W4889" s="1" t="str">
        <f>"0020"</f>
        <v>0020</v>
      </c>
      <c r="X4889" s="1" t="s">
        <v>29</v>
      </c>
    </row>
    <row r="4890" spans="1:24" x14ac:dyDescent="0.3">
      <c r="A4890" s="1" t="str">
        <f t="shared" si="926"/>
        <v>59825</v>
      </c>
      <c r="B4890" s="1" t="s">
        <v>30</v>
      </c>
      <c r="C4890" s="1" t="s">
        <v>31</v>
      </c>
      <c r="D4890" s="1" t="str">
        <f>"9803"</f>
        <v>9803</v>
      </c>
      <c r="E4890" s="1" t="s">
        <v>32</v>
      </c>
      <c r="F4890" s="1" t="str">
        <f>"1141087221"</f>
        <v>1141087221</v>
      </c>
      <c r="G4890" s="1" t="s">
        <v>33</v>
      </c>
      <c r="H4890" s="1" t="str">
        <f t="shared" si="929"/>
        <v>20220922</v>
      </c>
      <c r="I4890" s="1" t="str">
        <f>"180506"</f>
        <v>180506</v>
      </c>
      <c r="J4890" s="1" t="s">
        <v>34</v>
      </c>
      <c r="K4890" s="1" t="s">
        <v>34</v>
      </c>
      <c r="L4890" s="1" t="str">
        <f t="shared" si="930"/>
        <v>20220922</v>
      </c>
      <c r="M4890" s="1" t="str">
        <f>"183159"</f>
        <v>183159</v>
      </c>
      <c r="N4890" s="1" t="s">
        <v>92</v>
      </c>
      <c r="O4890" s="1" t="s">
        <v>28</v>
      </c>
      <c r="P4890" s="1" t="s">
        <v>55</v>
      </c>
      <c r="Q4890" s="1">
        <v>25</v>
      </c>
      <c r="R4890" s="1">
        <v>25</v>
      </c>
      <c r="S4890" s="1">
        <v>0</v>
      </c>
      <c r="T4890" s="1">
        <v>0</v>
      </c>
      <c r="U4890" s="1">
        <v>0</v>
      </c>
      <c r="V4890" s="1" t="str">
        <f t="shared" si="931"/>
        <v>里程返程</v>
      </c>
      <c r="W4890" s="1" t="str">
        <f>"2020"</f>
        <v>2020</v>
      </c>
      <c r="X4890" s="1" t="s">
        <v>35</v>
      </c>
    </row>
    <row r="4891" spans="1:24" x14ac:dyDescent="0.3">
      <c r="A4891" s="1" t="str">
        <f t="shared" si="926"/>
        <v>59825</v>
      </c>
      <c r="B4891" s="1" t="s">
        <v>30</v>
      </c>
      <c r="C4891" s="1" t="s">
        <v>31</v>
      </c>
      <c r="D4891" s="1" t="str">
        <f>"9803"</f>
        <v>9803</v>
      </c>
      <c r="E4891" s="1" t="s">
        <v>32</v>
      </c>
      <c r="F4891" s="1" t="str">
        <f>"831416549"</f>
        <v>831416549</v>
      </c>
      <c r="G4891" s="1" t="s">
        <v>33</v>
      </c>
      <c r="H4891" s="1" t="str">
        <f t="shared" si="929"/>
        <v>20220922</v>
      </c>
      <c r="I4891" s="1" t="str">
        <f>"180511"</f>
        <v>180511</v>
      </c>
      <c r="J4891" s="1" t="s">
        <v>34</v>
      </c>
      <c r="K4891" s="1" t="s">
        <v>34</v>
      </c>
      <c r="L4891" s="1" t="str">
        <f t="shared" si="930"/>
        <v>20220922</v>
      </c>
      <c r="M4891" s="1" t="str">
        <f>"183822"</f>
        <v>183822</v>
      </c>
      <c r="N4891" s="1" t="s">
        <v>28</v>
      </c>
      <c r="O4891" s="1" t="s">
        <v>28</v>
      </c>
      <c r="P4891" s="1" t="s">
        <v>55</v>
      </c>
      <c r="Q4891" s="1">
        <v>25</v>
      </c>
      <c r="R4891" s="1">
        <v>25</v>
      </c>
      <c r="S4891" s="1">
        <v>0</v>
      </c>
      <c r="T4891" s="1">
        <v>0</v>
      </c>
      <c r="U4891" s="1">
        <v>0</v>
      </c>
      <c r="V4891" s="1" t="str">
        <f t="shared" si="931"/>
        <v>里程返程</v>
      </c>
      <c r="W4891" s="1" t="str">
        <f>"2020"</f>
        <v>2020</v>
      </c>
      <c r="X4891" s="1" t="s">
        <v>35</v>
      </c>
    </row>
    <row r="4892" spans="1:24" x14ac:dyDescent="0.3">
      <c r="A4892" s="1" t="str">
        <f t="shared" ref="A4892:A4931" si="932">"59829"</f>
        <v>59829</v>
      </c>
      <c r="B4892" s="1" t="s">
        <v>47</v>
      </c>
      <c r="C4892" s="1" t="s">
        <v>48</v>
      </c>
      <c r="D4892" s="1" t="str">
        <f t="shared" ref="D4892:D4904" si="933">"9801"</f>
        <v>9801</v>
      </c>
      <c r="E4892" s="1" t="s">
        <v>25</v>
      </c>
      <c r="F4892" s="1" t="str">
        <f>"276899471"</f>
        <v>276899471</v>
      </c>
      <c r="G4892" s="1" t="s">
        <v>33</v>
      </c>
      <c r="H4892" s="1" t="str">
        <f t="shared" si="929"/>
        <v>20220922</v>
      </c>
      <c r="I4892" s="1" t="str">
        <f>"083943"</f>
        <v>083943</v>
      </c>
      <c r="J4892" s="1" t="s">
        <v>56</v>
      </c>
      <c r="K4892" s="1" t="s">
        <v>45</v>
      </c>
      <c r="L4892" s="1" t="str">
        <f t="shared" si="930"/>
        <v>20220922</v>
      </c>
      <c r="M4892" s="1" t="str">
        <f>"085117"</f>
        <v>085117</v>
      </c>
      <c r="N4892" s="1" t="s">
        <v>28</v>
      </c>
      <c r="O4892" s="1" t="s">
        <v>28</v>
      </c>
      <c r="P4892" s="1" t="s">
        <v>55</v>
      </c>
      <c r="Q4892" s="1">
        <v>25</v>
      </c>
      <c r="R4892" s="1">
        <v>25</v>
      </c>
      <c r="S4892" s="1">
        <v>0</v>
      </c>
      <c r="T4892" s="1">
        <v>0</v>
      </c>
      <c r="U4892" s="1">
        <v>0</v>
      </c>
      <c r="V4892" s="1" t="str">
        <f t="shared" si="931"/>
        <v>里程返程</v>
      </c>
      <c r="W4892" s="1" t="str">
        <f>"2020"</f>
        <v>2020</v>
      </c>
      <c r="X4892" s="1" t="s">
        <v>35</v>
      </c>
    </row>
    <row r="4893" spans="1:24" x14ac:dyDescent="0.3">
      <c r="A4893" s="1" t="str">
        <f t="shared" si="932"/>
        <v>59829</v>
      </c>
      <c r="B4893" s="1" t="s">
        <v>47</v>
      </c>
      <c r="C4893" s="1" t="s">
        <v>48</v>
      </c>
      <c r="D4893" s="1" t="str">
        <f t="shared" si="933"/>
        <v>9801</v>
      </c>
      <c r="E4893" s="1" t="s">
        <v>25</v>
      </c>
      <c r="F4893" s="1" t="str">
        <f>"647863665"</f>
        <v>647863665</v>
      </c>
      <c r="G4893" s="1" t="s">
        <v>33</v>
      </c>
      <c r="H4893" s="1" t="str">
        <f t="shared" si="929"/>
        <v>20220922</v>
      </c>
      <c r="I4893" s="1" t="str">
        <f>"083945"</f>
        <v>083945</v>
      </c>
      <c r="J4893" s="1" t="s">
        <v>56</v>
      </c>
      <c r="K4893" s="1" t="s">
        <v>45</v>
      </c>
      <c r="L4893" s="1" t="str">
        <f t="shared" si="930"/>
        <v>20220922</v>
      </c>
      <c r="M4893" s="1" t="str">
        <f>"085113"</f>
        <v>085113</v>
      </c>
      <c r="N4893" s="1" t="s">
        <v>28</v>
      </c>
      <c r="O4893" s="1" t="s">
        <v>28</v>
      </c>
      <c r="P4893" s="1" t="s">
        <v>55</v>
      </c>
      <c r="Q4893" s="1">
        <v>25</v>
      </c>
      <c r="R4893" s="1">
        <v>25</v>
      </c>
      <c r="S4893" s="1">
        <v>0</v>
      </c>
      <c r="T4893" s="1">
        <v>0</v>
      </c>
      <c r="U4893" s="1">
        <v>0</v>
      </c>
      <c r="V4893" s="1" t="str">
        <f t="shared" si="931"/>
        <v>里程返程</v>
      </c>
      <c r="W4893" s="1" t="str">
        <f>"2020"</f>
        <v>2020</v>
      </c>
      <c r="X4893" s="1" t="s">
        <v>35</v>
      </c>
    </row>
    <row r="4894" spans="1:24" x14ac:dyDescent="0.3">
      <c r="A4894" s="1" t="str">
        <f t="shared" si="932"/>
        <v>59829</v>
      </c>
      <c r="B4894" s="1" t="s">
        <v>47</v>
      </c>
      <c r="C4894" s="1" t="s">
        <v>48</v>
      </c>
      <c r="D4894" s="1" t="str">
        <f t="shared" si="933"/>
        <v>9801</v>
      </c>
      <c r="E4894" s="1" t="s">
        <v>25</v>
      </c>
      <c r="F4894" s="1" t="str">
        <f>"108515121"</f>
        <v>108515121</v>
      </c>
      <c r="G4894" s="1" t="s">
        <v>33</v>
      </c>
      <c r="H4894" s="1" t="str">
        <f t="shared" si="929"/>
        <v>20220922</v>
      </c>
      <c r="I4894" s="1" t="str">
        <f>"083948"</f>
        <v>083948</v>
      </c>
      <c r="J4894" s="1" t="s">
        <v>56</v>
      </c>
      <c r="K4894" s="1" t="s">
        <v>45</v>
      </c>
      <c r="L4894" s="1" t="str">
        <f t="shared" si="930"/>
        <v>20220922</v>
      </c>
      <c r="M4894" s="1" t="str">
        <f>"085115"</f>
        <v>085115</v>
      </c>
      <c r="N4894" s="1" t="s">
        <v>28</v>
      </c>
      <c r="O4894" s="1" t="s">
        <v>28</v>
      </c>
      <c r="P4894" s="1" t="s">
        <v>55</v>
      </c>
      <c r="Q4894" s="1">
        <v>25</v>
      </c>
      <c r="R4894" s="1">
        <v>25</v>
      </c>
      <c r="S4894" s="1">
        <v>0</v>
      </c>
      <c r="T4894" s="1">
        <v>0</v>
      </c>
      <c r="U4894" s="1">
        <v>0</v>
      </c>
      <c r="V4894" s="1" t="str">
        <f t="shared" si="931"/>
        <v>里程返程</v>
      </c>
      <c r="W4894" s="1" t="str">
        <f>"2020"</f>
        <v>2020</v>
      </c>
      <c r="X4894" s="1" t="s">
        <v>35</v>
      </c>
    </row>
    <row r="4895" spans="1:24" x14ac:dyDescent="0.3">
      <c r="A4895" s="1" t="str">
        <f t="shared" si="932"/>
        <v>59829</v>
      </c>
      <c r="B4895" s="1" t="s">
        <v>47</v>
      </c>
      <c r="C4895" s="1" t="s">
        <v>48</v>
      </c>
      <c r="D4895" s="1" t="str">
        <f t="shared" si="933"/>
        <v>9801</v>
      </c>
      <c r="E4895" s="1" t="s">
        <v>25</v>
      </c>
      <c r="F4895" s="1" t="str">
        <f>"1725435766"</f>
        <v>1725435766</v>
      </c>
      <c r="G4895" s="1" t="s">
        <v>26</v>
      </c>
      <c r="H4895" s="1" t="str">
        <f t="shared" si="929"/>
        <v>20220922</v>
      </c>
      <c r="I4895" s="1" t="str">
        <f>"090448"</f>
        <v>090448</v>
      </c>
      <c r="J4895" s="1" t="s">
        <v>69</v>
      </c>
      <c r="K4895" s="1" t="s">
        <v>52</v>
      </c>
      <c r="L4895" s="1" t="str">
        <f t="shared" si="930"/>
        <v>20220922</v>
      </c>
      <c r="M4895" s="1" t="str">
        <f>"091533"</f>
        <v>091533</v>
      </c>
      <c r="N4895" s="1" t="s">
        <v>51</v>
      </c>
      <c r="O4895" s="1" t="s">
        <v>52</v>
      </c>
      <c r="P4895" s="1" t="s">
        <v>55</v>
      </c>
      <c r="Q4895" s="1">
        <v>13</v>
      </c>
      <c r="R4895" s="1">
        <v>13</v>
      </c>
      <c r="S4895" s="1">
        <v>0</v>
      </c>
      <c r="T4895" s="1">
        <v>0</v>
      </c>
      <c r="U4895" s="1">
        <v>0</v>
      </c>
      <c r="V4895" s="1" t="str">
        <f t="shared" si="931"/>
        <v>里程返程</v>
      </c>
      <c r="W4895" s="1" t="str">
        <f>"2120"</f>
        <v>2120</v>
      </c>
      <c r="X4895" s="1" t="s">
        <v>35</v>
      </c>
    </row>
    <row r="4896" spans="1:24" x14ac:dyDescent="0.3">
      <c r="A4896" s="1" t="str">
        <f t="shared" si="932"/>
        <v>59829</v>
      </c>
      <c r="B4896" s="1" t="s">
        <v>47</v>
      </c>
      <c r="C4896" s="1" t="s">
        <v>48</v>
      </c>
      <c r="D4896" s="1" t="str">
        <f t="shared" si="933"/>
        <v>9801</v>
      </c>
      <c r="E4896" s="1" t="s">
        <v>25</v>
      </c>
      <c r="F4896" s="1" t="str">
        <f>"1319934977"</f>
        <v>1319934977</v>
      </c>
      <c r="G4896" s="1" t="s">
        <v>33</v>
      </c>
      <c r="H4896" s="1" t="str">
        <f t="shared" si="929"/>
        <v>20220922</v>
      </c>
      <c r="I4896" s="1" t="str">
        <f>"093533"</f>
        <v>093533</v>
      </c>
      <c r="J4896" s="1" t="s">
        <v>100</v>
      </c>
      <c r="K4896" s="1" t="s">
        <v>45</v>
      </c>
      <c r="L4896" s="1" t="str">
        <f t="shared" si="930"/>
        <v>20220922</v>
      </c>
      <c r="M4896" s="1" t="str">
        <f>"095314"</f>
        <v>095314</v>
      </c>
      <c r="N4896" s="1" t="s">
        <v>28</v>
      </c>
      <c r="O4896" s="1" t="s">
        <v>28</v>
      </c>
      <c r="P4896" s="1" t="s">
        <v>55</v>
      </c>
      <c r="Q4896" s="1">
        <v>25</v>
      </c>
      <c r="R4896" s="1">
        <v>25</v>
      </c>
      <c r="S4896" s="1">
        <v>0</v>
      </c>
      <c r="T4896" s="1">
        <v>0</v>
      </c>
      <c r="U4896" s="1">
        <v>0</v>
      </c>
      <c r="V4896" s="1" t="str">
        <f t="shared" si="931"/>
        <v>里程返程</v>
      </c>
      <c r="W4896" s="1" t="str">
        <f>"2120"</f>
        <v>2120</v>
      </c>
      <c r="X4896" s="1" t="s">
        <v>35</v>
      </c>
    </row>
    <row r="4897" spans="1:24" x14ac:dyDescent="0.3">
      <c r="A4897" s="1" t="str">
        <f t="shared" si="932"/>
        <v>59829</v>
      </c>
      <c r="B4897" s="1" t="s">
        <v>47</v>
      </c>
      <c r="C4897" s="1" t="s">
        <v>48</v>
      </c>
      <c r="D4897" s="1" t="str">
        <f t="shared" si="933"/>
        <v>9801</v>
      </c>
      <c r="E4897" s="1" t="s">
        <v>25</v>
      </c>
      <c r="F4897" s="1" t="str">
        <f>"3756075971"</f>
        <v>3756075971</v>
      </c>
      <c r="G4897" s="1" t="s">
        <v>33</v>
      </c>
      <c r="H4897" s="1" t="str">
        <f t="shared" si="929"/>
        <v>20220922</v>
      </c>
      <c r="I4897" s="1" t="str">
        <f>"094034"</f>
        <v>094034</v>
      </c>
      <c r="J4897" s="1" t="s">
        <v>75</v>
      </c>
      <c r="K4897" s="1" t="s">
        <v>45</v>
      </c>
      <c r="L4897" s="1" t="str">
        <f t="shared" si="930"/>
        <v>20220922</v>
      </c>
      <c r="M4897" s="1" t="str">
        <f>"095243"</f>
        <v>095243</v>
      </c>
      <c r="N4897" s="1" t="s">
        <v>28</v>
      </c>
      <c r="O4897" s="1" t="s">
        <v>28</v>
      </c>
      <c r="P4897" s="1" t="s">
        <v>55</v>
      </c>
      <c r="Q4897" s="1">
        <v>25</v>
      </c>
      <c r="R4897" s="1">
        <v>25</v>
      </c>
      <c r="S4897" s="1">
        <v>0</v>
      </c>
      <c r="T4897" s="1">
        <v>0</v>
      </c>
      <c r="U4897" s="1">
        <v>0</v>
      </c>
      <c r="V4897" s="1" t="str">
        <f t="shared" si="931"/>
        <v>里程返程</v>
      </c>
      <c r="W4897" s="1" t="str">
        <f>"2020"</f>
        <v>2020</v>
      </c>
      <c r="X4897" s="1" t="s">
        <v>35</v>
      </c>
    </row>
    <row r="4898" spans="1:24" x14ac:dyDescent="0.3">
      <c r="A4898" s="1" t="str">
        <f t="shared" si="932"/>
        <v>59829</v>
      </c>
      <c r="B4898" s="1" t="s">
        <v>47</v>
      </c>
      <c r="C4898" s="1" t="s">
        <v>48</v>
      </c>
      <c r="D4898" s="1" t="str">
        <f t="shared" si="933"/>
        <v>9801</v>
      </c>
      <c r="E4898" s="1" t="s">
        <v>25</v>
      </c>
      <c r="F4898" s="1" t="str">
        <f>"349628417"</f>
        <v>349628417</v>
      </c>
      <c r="G4898" s="1" t="s">
        <v>33</v>
      </c>
      <c r="H4898" s="1" t="str">
        <f t="shared" si="929"/>
        <v>20220922</v>
      </c>
      <c r="I4898" s="1" t="str">
        <f>"095421"</f>
        <v>095421</v>
      </c>
      <c r="J4898" s="1" t="s">
        <v>28</v>
      </c>
      <c r="K4898" s="1" t="s">
        <v>28</v>
      </c>
      <c r="L4898" s="1" t="str">
        <f t="shared" si="930"/>
        <v>20220922</v>
      </c>
      <c r="M4898" s="1" t="str">
        <f>"102422"</f>
        <v>102422</v>
      </c>
      <c r="N4898" s="1" t="s">
        <v>52</v>
      </c>
      <c r="O4898" s="1" t="s">
        <v>52</v>
      </c>
      <c r="P4898" s="1" t="s">
        <v>55</v>
      </c>
      <c r="Q4898" s="1">
        <v>25</v>
      </c>
      <c r="R4898" s="1">
        <v>25</v>
      </c>
      <c r="S4898" s="1">
        <v>0</v>
      </c>
      <c r="T4898" s="1">
        <v>0</v>
      </c>
      <c r="U4898" s="1">
        <v>0</v>
      </c>
      <c r="V4898" s="1" t="str">
        <f t="shared" si="931"/>
        <v>里程返程</v>
      </c>
      <c r="W4898" s="1" t="str">
        <f>"0e20"</f>
        <v>0e20</v>
      </c>
      <c r="X4898" s="1" t="s">
        <v>35</v>
      </c>
    </row>
    <row r="4899" spans="1:24" x14ac:dyDescent="0.3">
      <c r="A4899" s="1" t="str">
        <f t="shared" si="932"/>
        <v>59829</v>
      </c>
      <c r="B4899" s="1" t="s">
        <v>47</v>
      </c>
      <c r="C4899" s="1" t="s">
        <v>48</v>
      </c>
      <c r="D4899" s="1" t="str">
        <f t="shared" si="933"/>
        <v>9801</v>
      </c>
      <c r="E4899" s="1" t="s">
        <v>25</v>
      </c>
      <c r="F4899" s="1" t="str">
        <f>"7111170138007184"</f>
        <v>7111170138007184</v>
      </c>
      <c r="G4899" s="1" t="s">
        <v>33</v>
      </c>
      <c r="H4899" s="1" t="str">
        <f t="shared" si="929"/>
        <v>20220922</v>
      </c>
      <c r="I4899" s="1" t="str">
        <f>"115821"</f>
        <v>115821</v>
      </c>
      <c r="J4899" s="1" t="s">
        <v>28</v>
      </c>
      <c r="K4899" s="1" t="s">
        <v>28</v>
      </c>
      <c r="L4899" s="1" t="str">
        <f t="shared" si="930"/>
        <v>20220922</v>
      </c>
      <c r="M4899" s="1" t="str">
        <f>"123016"</f>
        <v>123016</v>
      </c>
      <c r="N4899" s="1" t="s">
        <v>52</v>
      </c>
      <c r="O4899" s="1" t="s">
        <v>52</v>
      </c>
      <c r="P4899" s="1" t="s">
        <v>55</v>
      </c>
      <c r="Q4899" s="1">
        <v>25</v>
      </c>
      <c r="R4899" s="1">
        <v>0</v>
      </c>
      <c r="S4899" s="1">
        <v>25</v>
      </c>
      <c r="T4899" s="1">
        <v>0</v>
      </c>
      <c r="U4899" s="1">
        <v>0</v>
      </c>
      <c r="V4899" s="1" t="str">
        <f t="shared" si="931"/>
        <v>里程返程</v>
      </c>
      <c r="W4899" s="1" t="str">
        <f>"083B"</f>
        <v>083B</v>
      </c>
      <c r="X4899" s="1" t="s">
        <v>109</v>
      </c>
    </row>
    <row r="4900" spans="1:24" x14ac:dyDescent="0.3">
      <c r="A4900" s="1" t="str">
        <f t="shared" si="932"/>
        <v>59829</v>
      </c>
      <c r="B4900" s="1" t="s">
        <v>47</v>
      </c>
      <c r="C4900" s="1" t="s">
        <v>48</v>
      </c>
      <c r="D4900" s="1" t="str">
        <f t="shared" si="933"/>
        <v>9801</v>
      </c>
      <c r="E4900" s="1" t="s">
        <v>25</v>
      </c>
      <c r="F4900" s="1" t="str">
        <f>"7111170696000327"</f>
        <v>7111170696000327</v>
      </c>
      <c r="G4900" s="1" t="s">
        <v>33</v>
      </c>
      <c r="H4900" s="1" t="str">
        <f t="shared" si="929"/>
        <v>20220922</v>
      </c>
      <c r="I4900" s="1" t="str">
        <f>"115823"</f>
        <v>115823</v>
      </c>
      <c r="J4900" s="1" t="s">
        <v>28</v>
      </c>
      <c r="K4900" s="1" t="s">
        <v>28</v>
      </c>
      <c r="L4900" s="1" t="str">
        <f t="shared" si="930"/>
        <v>20220922</v>
      </c>
      <c r="M4900" s="1" t="str">
        <f>"123019"</f>
        <v>123019</v>
      </c>
      <c r="N4900" s="1" t="s">
        <v>52</v>
      </c>
      <c r="O4900" s="1" t="s">
        <v>52</v>
      </c>
      <c r="P4900" s="1" t="s">
        <v>55</v>
      </c>
      <c r="Q4900" s="1">
        <v>25</v>
      </c>
      <c r="R4900" s="1">
        <v>0</v>
      </c>
      <c r="S4900" s="1">
        <v>25</v>
      </c>
      <c r="T4900" s="1">
        <v>0</v>
      </c>
      <c r="U4900" s="1">
        <v>0</v>
      </c>
      <c r="V4900" s="1" t="str">
        <f t="shared" si="931"/>
        <v>里程返程</v>
      </c>
      <c r="W4900" s="1" t="str">
        <f>"083B"</f>
        <v>083B</v>
      </c>
      <c r="X4900" s="1" t="s">
        <v>109</v>
      </c>
    </row>
    <row r="4901" spans="1:24" x14ac:dyDescent="0.3">
      <c r="A4901" s="1" t="str">
        <f t="shared" si="932"/>
        <v>59829</v>
      </c>
      <c r="B4901" s="1" t="s">
        <v>47</v>
      </c>
      <c r="C4901" s="1" t="s">
        <v>48</v>
      </c>
      <c r="D4901" s="1" t="str">
        <f t="shared" si="933"/>
        <v>9801</v>
      </c>
      <c r="E4901" s="1" t="s">
        <v>25</v>
      </c>
      <c r="F4901" s="1" t="str">
        <f>"1203970901"</f>
        <v>1203970901</v>
      </c>
      <c r="G4901" s="1" t="s">
        <v>38</v>
      </c>
      <c r="H4901" s="1" t="str">
        <f t="shared" si="929"/>
        <v>20220922</v>
      </c>
      <c r="I4901" s="1" t="str">
        <f>"115832"</f>
        <v>115832</v>
      </c>
      <c r="J4901" s="1" t="s">
        <v>28</v>
      </c>
      <c r="K4901" s="1" t="s">
        <v>28</v>
      </c>
      <c r="L4901" s="1" t="str">
        <f t="shared" si="930"/>
        <v>20220922</v>
      </c>
      <c r="M4901" s="1" t="str">
        <f>"123022"</f>
        <v>123022</v>
      </c>
      <c r="N4901" s="1" t="s">
        <v>52</v>
      </c>
      <c r="O4901" s="1" t="s">
        <v>52</v>
      </c>
      <c r="P4901" s="1" t="s">
        <v>55</v>
      </c>
      <c r="Q4901" s="1">
        <v>25</v>
      </c>
      <c r="R4901" s="1">
        <v>0</v>
      </c>
      <c r="S4901" s="1">
        <v>25</v>
      </c>
      <c r="T4901" s="1">
        <v>0</v>
      </c>
      <c r="U4901" s="1">
        <v>0</v>
      </c>
      <c r="V4901" s="1" t="str">
        <f t="shared" si="931"/>
        <v>里程返程</v>
      </c>
      <c r="W4901" s="1" t="str">
        <f>"0820"</f>
        <v>0820</v>
      </c>
      <c r="X4901" s="1" t="s">
        <v>35</v>
      </c>
    </row>
    <row r="4902" spans="1:24" x14ac:dyDescent="0.3">
      <c r="A4902" s="1" t="str">
        <f t="shared" si="932"/>
        <v>59829</v>
      </c>
      <c r="B4902" s="1" t="s">
        <v>47</v>
      </c>
      <c r="C4902" s="1" t="s">
        <v>48</v>
      </c>
      <c r="D4902" s="1" t="str">
        <f t="shared" si="933"/>
        <v>9801</v>
      </c>
      <c r="E4902" s="1" t="s">
        <v>25</v>
      </c>
      <c r="F4902" s="1" t="str">
        <f>"946679105"</f>
        <v>946679105</v>
      </c>
      <c r="G4902" s="1" t="s">
        <v>33</v>
      </c>
      <c r="H4902" s="1" t="str">
        <f t="shared" si="929"/>
        <v>20220922</v>
      </c>
      <c r="I4902" s="1" t="str">
        <f>"115847"</f>
        <v>115847</v>
      </c>
      <c r="J4902" s="1" t="s">
        <v>28</v>
      </c>
      <c r="K4902" s="1" t="s">
        <v>28</v>
      </c>
      <c r="L4902" s="1" t="str">
        <f t="shared" si="930"/>
        <v>20220922</v>
      </c>
      <c r="M4902" s="1" t="str">
        <f>"120650"</f>
        <v>120650</v>
      </c>
      <c r="N4902" s="1" t="s">
        <v>83</v>
      </c>
      <c r="O4902" s="1" t="s">
        <v>52</v>
      </c>
      <c r="P4902" s="1" t="s">
        <v>55</v>
      </c>
      <c r="Q4902" s="1">
        <v>25</v>
      </c>
      <c r="R4902" s="1">
        <v>25</v>
      </c>
      <c r="S4902" s="1">
        <v>0</v>
      </c>
      <c r="T4902" s="1">
        <v>0</v>
      </c>
      <c r="U4902" s="1">
        <v>0</v>
      </c>
      <c r="V4902" s="1" t="str">
        <f t="shared" si="931"/>
        <v>里程返程</v>
      </c>
      <c r="W4902" s="1" t="str">
        <f>"1920"</f>
        <v>1920</v>
      </c>
      <c r="X4902" s="1" t="s">
        <v>35</v>
      </c>
    </row>
    <row r="4903" spans="1:24" x14ac:dyDescent="0.3">
      <c r="A4903" s="1" t="str">
        <f t="shared" si="932"/>
        <v>59829</v>
      </c>
      <c r="B4903" s="1" t="s">
        <v>47</v>
      </c>
      <c r="C4903" s="1" t="s">
        <v>48</v>
      </c>
      <c r="D4903" s="1" t="str">
        <f t="shared" si="933"/>
        <v>9801</v>
      </c>
      <c r="E4903" s="1" t="s">
        <v>25</v>
      </c>
      <c r="F4903" s="1" t="str">
        <f>"1773608021"</f>
        <v>1773608021</v>
      </c>
      <c r="G4903" s="1" t="s">
        <v>33</v>
      </c>
      <c r="H4903" s="1" t="str">
        <f t="shared" si="929"/>
        <v>20220922</v>
      </c>
      <c r="I4903" s="1" t="str">
        <f>"115850"</f>
        <v>115850</v>
      </c>
      <c r="J4903" s="1" t="s">
        <v>28</v>
      </c>
      <c r="K4903" s="1" t="s">
        <v>28</v>
      </c>
      <c r="L4903" s="1" t="str">
        <f t="shared" si="930"/>
        <v>20220922</v>
      </c>
      <c r="M4903" s="1" t="str">
        <f>"120647"</f>
        <v>120647</v>
      </c>
      <c r="N4903" s="1" t="s">
        <v>83</v>
      </c>
      <c r="O4903" s="1" t="s">
        <v>52</v>
      </c>
      <c r="P4903" s="1" t="s">
        <v>55</v>
      </c>
      <c r="Q4903" s="1">
        <v>25</v>
      </c>
      <c r="R4903" s="1">
        <v>25</v>
      </c>
      <c r="S4903" s="1">
        <v>0</v>
      </c>
      <c r="T4903" s="1">
        <v>0</v>
      </c>
      <c r="U4903" s="1">
        <v>0</v>
      </c>
      <c r="V4903" s="1" t="str">
        <f t="shared" si="931"/>
        <v>里程返程</v>
      </c>
      <c r="W4903" s="1" t="str">
        <f>"0220"</f>
        <v>0220</v>
      </c>
      <c r="X4903" s="1" t="s">
        <v>35</v>
      </c>
    </row>
    <row r="4904" spans="1:24" x14ac:dyDescent="0.3">
      <c r="A4904" s="1" t="str">
        <f t="shared" si="932"/>
        <v>59829</v>
      </c>
      <c r="B4904" s="1" t="s">
        <v>47</v>
      </c>
      <c r="C4904" s="1" t="s">
        <v>48</v>
      </c>
      <c r="D4904" s="1" t="str">
        <f t="shared" si="933"/>
        <v>9801</v>
      </c>
      <c r="E4904" s="1" t="s">
        <v>25</v>
      </c>
      <c r="F4904" s="1" t="str">
        <f>"689881109"</f>
        <v>689881109</v>
      </c>
      <c r="G4904" s="1" t="s">
        <v>33</v>
      </c>
      <c r="H4904" s="1" t="str">
        <f t="shared" si="929"/>
        <v>20220922</v>
      </c>
      <c r="I4904" s="1" t="str">
        <f>"115856"</f>
        <v>115856</v>
      </c>
      <c r="J4904" s="1" t="s">
        <v>28</v>
      </c>
      <c r="K4904" s="1" t="s">
        <v>28</v>
      </c>
      <c r="L4904" s="1" t="str">
        <f t="shared" si="930"/>
        <v>20220922</v>
      </c>
      <c r="M4904" s="1" t="str">
        <f>"122824"</f>
        <v>122824</v>
      </c>
      <c r="N4904" s="1" t="s">
        <v>86</v>
      </c>
      <c r="O4904" s="1" t="s">
        <v>52</v>
      </c>
      <c r="P4904" s="1" t="s">
        <v>55</v>
      </c>
      <c r="Q4904" s="1">
        <v>25</v>
      </c>
      <c r="R4904" s="1">
        <v>0</v>
      </c>
      <c r="S4904" s="1">
        <v>25</v>
      </c>
      <c r="T4904" s="1">
        <v>0</v>
      </c>
      <c r="U4904" s="1">
        <v>0</v>
      </c>
      <c r="V4904" s="1" t="str">
        <f t="shared" si="931"/>
        <v>里程返程</v>
      </c>
      <c r="W4904" s="1" t="str">
        <f>"0820"</f>
        <v>0820</v>
      </c>
      <c r="X4904" s="1" t="s">
        <v>35</v>
      </c>
    </row>
    <row r="4905" spans="1:24" x14ac:dyDescent="0.3">
      <c r="A4905" s="1" t="str">
        <f t="shared" si="932"/>
        <v>59829</v>
      </c>
      <c r="B4905" s="1" t="s">
        <v>47</v>
      </c>
      <c r="C4905" s="1" t="s">
        <v>48</v>
      </c>
      <c r="D4905" s="1" t="str">
        <f>"9805"</f>
        <v>9805</v>
      </c>
      <c r="E4905" s="1" t="s">
        <v>57</v>
      </c>
      <c r="F4905" s="1" t="str">
        <f>"1479896049"</f>
        <v>1479896049</v>
      </c>
      <c r="G4905" s="1" t="s">
        <v>33</v>
      </c>
      <c r="H4905" s="1" t="str">
        <f t="shared" si="929"/>
        <v>20220922</v>
      </c>
      <c r="I4905" s="1" t="str">
        <f>"142723"</f>
        <v>142723</v>
      </c>
      <c r="J4905" s="1" t="s">
        <v>28</v>
      </c>
      <c r="K4905" s="1" t="s">
        <v>28</v>
      </c>
      <c r="L4905" s="1" t="str">
        <f t="shared" si="930"/>
        <v>20220922</v>
      </c>
      <c r="M4905" s="1" t="str">
        <f>"144631"</f>
        <v>144631</v>
      </c>
      <c r="N4905" s="1" t="s">
        <v>52</v>
      </c>
      <c r="O4905" s="1" t="s">
        <v>52</v>
      </c>
      <c r="P4905" s="1" t="s">
        <v>55</v>
      </c>
      <c r="Q4905" s="1">
        <v>25</v>
      </c>
      <c r="R4905" s="1">
        <v>25</v>
      </c>
      <c r="S4905" s="1">
        <v>0</v>
      </c>
      <c r="T4905" s="1">
        <v>0</v>
      </c>
      <c r="U4905" s="1">
        <v>0</v>
      </c>
      <c r="V4905" s="1" t="str">
        <f>"里程去程"</f>
        <v>里程去程</v>
      </c>
      <c r="W4905" s="1" t="str">
        <f>"0120"</f>
        <v>0120</v>
      </c>
      <c r="X4905" s="1" t="s">
        <v>35</v>
      </c>
    </row>
    <row r="4906" spans="1:24" x14ac:dyDescent="0.3">
      <c r="A4906" s="1" t="str">
        <f t="shared" si="932"/>
        <v>59829</v>
      </c>
      <c r="B4906" s="1" t="s">
        <v>47</v>
      </c>
      <c r="C4906" s="1" t="s">
        <v>48</v>
      </c>
      <c r="D4906" s="1" t="str">
        <f>"9805"</f>
        <v>9805</v>
      </c>
      <c r="E4906" s="1" t="s">
        <v>57</v>
      </c>
      <c r="F4906" s="1" t="str">
        <f>"899172656"</f>
        <v>899172656</v>
      </c>
      <c r="G4906" s="1" t="s">
        <v>33</v>
      </c>
      <c r="H4906" s="1" t="str">
        <f t="shared" si="929"/>
        <v>20220922</v>
      </c>
      <c r="I4906" s="1" t="str">
        <f>"142725"</f>
        <v>142725</v>
      </c>
      <c r="J4906" s="1" t="s">
        <v>28</v>
      </c>
      <c r="K4906" s="1" t="s">
        <v>28</v>
      </c>
      <c r="L4906" s="1" t="str">
        <f t="shared" si="930"/>
        <v>20220922</v>
      </c>
      <c r="M4906" s="1" t="str">
        <f>"144623"</f>
        <v>144623</v>
      </c>
      <c r="N4906" s="1" t="s">
        <v>52</v>
      </c>
      <c r="O4906" s="1" t="s">
        <v>52</v>
      </c>
      <c r="P4906" s="1" t="s">
        <v>55</v>
      </c>
      <c r="Q4906" s="1">
        <v>25</v>
      </c>
      <c r="R4906" s="1">
        <v>25</v>
      </c>
      <c r="S4906" s="1">
        <v>0</v>
      </c>
      <c r="T4906" s="1">
        <v>0</v>
      </c>
      <c r="U4906" s="1">
        <v>0</v>
      </c>
      <c r="V4906" s="1" t="str">
        <f>"里程去程"</f>
        <v>里程去程</v>
      </c>
      <c r="W4906" s="1" t="str">
        <f>"0120"</f>
        <v>0120</v>
      </c>
      <c r="X4906" s="1" t="s">
        <v>35</v>
      </c>
    </row>
    <row r="4907" spans="1:24" x14ac:dyDescent="0.3">
      <c r="A4907" s="1" t="str">
        <f t="shared" si="932"/>
        <v>59829</v>
      </c>
      <c r="B4907" s="1" t="s">
        <v>47</v>
      </c>
      <c r="C4907" s="1" t="s">
        <v>48</v>
      </c>
      <c r="D4907" s="1" t="str">
        <f>"9803"</f>
        <v>9803</v>
      </c>
      <c r="E4907" s="1" t="s">
        <v>32</v>
      </c>
      <c r="F4907" s="1" t="str">
        <f>"1709069061"</f>
        <v>1709069061</v>
      </c>
      <c r="G4907" s="1" t="s">
        <v>33</v>
      </c>
      <c r="H4907" s="1" t="str">
        <f t="shared" si="929"/>
        <v>20220922</v>
      </c>
      <c r="I4907" s="1" t="str">
        <f>"153036"</f>
        <v>153036</v>
      </c>
      <c r="J4907" s="1" t="s">
        <v>34</v>
      </c>
      <c r="K4907" s="1" t="s">
        <v>34</v>
      </c>
      <c r="L4907" s="1" t="str">
        <f t="shared" si="930"/>
        <v>20220922</v>
      </c>
      <c r="M4907" s="1" t="str">
        <f>"153046"</f>
        <v>153046</v>
      </c>
      <c r="N4907" s="1" t="s">
        <v>87</v>
      </c>
      <c r="O4907" s="1" t="s">
        <v>28</v>
      </c>
      <c r="P4907" s="1" t="s">
        <v>55</v>
      </c>
      <c r="Q4907" s="1">
        <v>25</v>
      </c>
      <c r="R4907" s="1">
        <v>25</v>
      </c>
      <c r="S4907" s="1">
        <v>0</v>
      </c>
      <c r="T4907" s="1">
        <v>0</v>
      </c>
      <c r="U4907" s="1">
        <v>0</v>
      </c>
      <c r="V4907" s="1" t="str">
        <f t="shared" ref="V4907:V4912" si="934">"里程返程"</f>
        <v>里程返程</v>
      </c>
      <c r="W4907" s="1" t="str">
        <f>"2020"</f>
        <v>2020</v>
      </c>
      <c r="X4907" s="1" t="s">
        <v>35</v>
      </c>
    </row>
    <row r="4908" spans="1:24" x14ac:dyDescent="0.3">
      <c r="A4908" s="1" t="str">
        <f t="shared" si="932"/>
        <v>59829</v>
      </c>
      <c r="B4908" s="1" t="s">
        <v>47</v>
      </c>
      <c r="C4908" s="1" t="s">
        <v>48</v>
      </c>
      <c r="D4908" s="1" t="str">
        <f>"9803"</f>
        <v>9803</v>
      </c>
      <c r="E4908" s="1" t="s">
        <v>32</v>
      </c>
      <c r="F4908" s="1" t="str">
        <f>"1138630837"</f>
        <v>1138630837</v>
      </c>
      <c r="G4908" s="1" t="s">
        <v>33</v>
      </c>
      <c r="H4908" s="1" t="str">
        <f t="shared" ref="H4908:H4931" si="935">"20220922"</f>
        <v>20220922</v>
      </c>
      <c r="I4908" s="1" t="str">
        <f>"153759"</f>
        <v>153759</v>
      </c>
      <c r="J4908" s="1" t="s">
        <v>73</v>
      </c>
      <c r="K4908" s="1" t="s">
        <v>28</v>
      </c>
      <c r="L4908" s="1" t="str">
        <f t="shared" si="930"/>
        <v>20220922</v>
      </c>
      <c r="M4908" s="1" t="str">
        <f>"160056"</f>
        <v>160056</v>
      </c>
      <c r="N4908" s="1" t="s">
        <v>92</v>
      </c>
      <c r="O4908" s="1" t="s">
        <v>28</v>
      </c>
      <c r="P4908" s="1" t="s">
        <v>55</v>
      </c>
      <c r="Q4908" s="1">
        <v>25</v>
      </c>
      <c r="R4908" s="1">
        <v>25</v>
      </c>
      <c r="S4908" s="1">
        <v>0</v>
      </c>
      <c r="T4908" s="1">
        <v>0</v>
      </c>
      <c r="U4908" s="1">
        <v>0</v>
      </c>
      <c r="V4908" s="1" t="str">
        <f t="shared" si="934"/>
        <v>里程返程</v>
      </c>
      <c r="W4908" s="1" t="str">
        <f>"2020"</f>
        <v>2020</v>
      </c>
      <c r="X4908" s="1" t="s">
        <v>35</v>
      </c>
    </row>
    <row r="4909" spans="1:24" x14ac:dyDescent="0.3">
      <c r="A4909" s="1" t="str">
        <f t="shared" si="932"/>
        <v>59829</v>
      </c>
      <c r="B4909" s="1" t="s">
        <v>47</v>
      </c>
      <c r="C4909" s="1" t="s">
        <v>48</v>
      </c>
      <c r="D4909" s="1" t="str">
        <f>"9803"</f>
        <v>9803</v>
      </c>
      <c r="E4909" s="1" t="s">
        <v>32</v>
      </c>
      <c r="F4909" s="1" t="str">
        <f>"2981728424"</f>
        <v>2981728424</v>
      </c>
      <c r="G4909" s="1" t="s">
        <v>33</v>
      </c>
      <c r="H4909" s="1" t="str">
        <f t="shared" si="935"/>
        <v>20220922</v>
      </c>
      <c r="I4909" s="1" t="str">
        <f>"153906"</f>
        <v>153906</v>
      </c>
      <c r="J4909" s="1" t="s">
        <v>73</v>
      </c>
      <c r="K4909" s="1" t="s">
        <v>28</v>
      </c>
      <c r="L4909" s="1" t="str">
        <f t="shared" si="930"/>
        <v>20220922</v>
      </c>
      <c r="M4909" s="1" t="str">
        <f>"160828"</f>
        <v>160828</v>
      </c>
      <c r="N4909" s="1" t="s">
        <v>28</v>
      </c>
      <c r="O4909" s="1" t="s">
        <v>28</v>
      </c>
      <c r="P4909" s="1" t="s">
        <v>55</v>
      </c>
      <c r="Q4909" s="1">
        <v>25</v>
      </c>
      <c r="R4909" s="1">
        <v>25</v>
      </c>
      <c r="S4909" s="1">
        <v>0</v>
      </c>
      <c r="T4909" s="1">
        <v>0</v>
      </c>
      <c r="U4909" s="1">
        <v>0</v>
      </c>
      <c r="V4909" s="1" t="str">
        <f t="shared" si="934"/>
        <v>里程返程</v>
      </c>
      <c r="W4909" s="1" t="str">
        <f>"2020"</f>
        <v>2020</v>
      </c>
      <c r="X4909" s="1" t="s">
        <v>35</v>
      </c>
    </row>
    <row r="4910" spans="1:24" x14ac:dyDescent="0.3">
      <c r="A4910" s="1" t="str">
        <f t="shared" si="932"/>
        <v>59829</v>
      </c>
      <c r="B4910" s="1" t="s">
        <v>47</v>
      </c>
      <c r="C4910" s="1" t="s">
        <v>48</v>
      </c>
      <c r="D4910" s="1" t="str">
        <f>"9803"</f>
        <v>9803</v>
      </c>
      <c r="E4910" s="1" t="s">
        <v>32</v>
      </c>
      <c r="F4910" s="1" t="str">
        <f>"739903969"</f>
        <v>739903969</v>
      </c>
      <c r="G4910" s="1" t="s">
        <v>33</v>
      </c>
      <c r="H4910" s="1" t="str">
        <f t="shared" si="935"/>
        <v>20220922</v>
      </c>
      <c r="I4910" s="1" t="str">
        <f>"153911"</f>
        <v>153911</v>
      </c>
      <c r="J4910" s="1" t="s">
        <v>73</v>
      </c>
      <c r="K4910" s="1" t="s">
        <v>28</v>
      </c>
      <c r="L4910" s="1" t="str">
        <f t="shared" si="930"/>
        <v>20220922</v>
      </c>
      <c r="M4910" s="1" t="str">
        <f>"160822"</f>
        <v>160822</v>
      </c>
      <c r="N4910" s="1" t="s">
        <v>28</v>
      </c>
      <c r="O4910" s="1" t="s">
        <v>28</v>
      </c>
      <c r="P4910" s="1" t="s">
        <v>55</v>
      </c>
      <c r="Q4910" s="1">
        <v>25</v>
      </c>
      <c r="R4910" s="1">
        <v>25</v>
      </c>
      <c r="S4910" s="1">
        <v>0</v>
      </c>
      <c r="T4910" s="1">
        <v>0</v>
      </c>
      <c r="U4910" s="1">
        <v>0</v>
      </c>
      <c r="V4910" s="1" t="str">
        <f t="shared" si="934"/>
        <v>里程返程</v>
      </c>
      <c r="W4910" s="1" t="str">
        <f>"2020"</f>
        <v>2020</v>
      </c>
      <c r="X4910" s="1" t="s">
        <v>35</v>
      </c>
    </row>
    <row r="4911" spans="1:24" x14ac:dyDescent="0.3">
      <c r="A4911" s="1" t="str">
        <f t="shared" si="932"/>
        <v>59829</v>
      </c>
      <c r="B4911" s="1" t="s">
        <v>47</v>
      </c>
      <c r="C4911" s="1" t="s">
        <v>48</v>
      </c>
      <c r="D4911" s="1" t="str">
        <f>"9803"</f>
        <v>9803</v>
      </c>
      <c r="E4911" s="1" t="s">
        <v>32</v>
      </c>
      <c r="F4911" s="1" t="str">
        <f>"1231214965"</f>
        <v>1231214965</v>
      </c>
      <c r="G4911" s="1" t="s">
        <v>74</v>
      </c>
      <c r="H4911" s="1" t="str">
        <f t="shared" si="935"/>
        <v>20220922</v>
      </c>
      <c r="I4911" s="1" t="str">
        <f>"153956"</f>
        <v>153956</v>
      </c>
      <c r="J4911" s="1" t="s">
        <v>73</v>
      </c>
      <c r="K4911" s="1" t="s">
        <v>28</v>
      </c>
      <c r="L4911" s="1" t="str">
        <f t="shared" si="930"/>
        <v>20220922</v>
      </c>
      <c r="M4911" s="1" t="str">
        <f>"160817"</f>
        <v>160817</v>
      </c>
      <c r="N4911" s="1" t="s">
        <v>28</v>
      </c>
      <c r="O4911" s="1" t="s">
        <v>28</v>
      </c>
      <c r="P4911" s="1" t="s">
        <v>55</v>
      </c>
      <c r="Q4911" s="1">
        <v>13</v>
      </c>
      <c r="R4911" s="1">
        <v>13</v>
      </c>
      <c r="S4911" s="1">
        <v>0</v>
      </c>
      <c r="T4911" s="1">
        <v>0</v>
      </c>
      <c r="U4911" s="1">
        <v>0</v>
      </c>
      <c r="V4911" s="1" t="str">
        <f t="shared" si="934"/>
        <v>里程返程</v>
      </c>
      <c r="W4911" s="1" t="str">
        <f>"0120"</f>
        <v>0120</v>
      </c>
      <c r="X4911" s="1" t="s">
        <v>35</v>
      </c>
    </row>
    <row r="4912" spans="1:24" x14ac:dyDescent="0.3">
      <c r="A4912" s="1" t="str">
        <f t="shared" si="932"/>
        <v>59829</v>
      </c>
      <c r="B4912" s="1" t="s">
        <v>47</v>
      </c>
      <c r="C4912" s="1" t="s">
        <v>48</v>
      </c>
      <c r="D4912" s="1" t="str">
        <f>"9806"</f>
        <v>9806</v>
      </c>
      <c r="E4912" s="1" t="s">
        <v>49</v>
      </c>
      <c r="F4912" s="1" t="str">
        <f>"1231214965"</f>
        <v>1231214965</v>
      </c>
      <c r="G4912" s="1" t="s">
        <v>74</v>
      </c>
      <c r="H4912" s="1" t="str">
        <f t="shared" si="935"/>
        <v>20220922</v>
      </c>
      <c r="I4912" s="1" t="str">
        <f>"160922"</f>
        <v>160922</v>
      </c>
      <c r="J4912" s="1" t="s">
        <v>28</v>
      </c>
      <c r="K4912" s="1" t="s">
        <v>28</v>
      </c>
      <c r="L4912" s="1" t="str">
        <f t="shared" si="930"/>
        <v>20220922</v>
      </c>
      <c r="M4912" s="1" t="str">
        <f>"162837"</f>
        <v>162837</v>
      </c>
      <c r="N4912" s="1" t="s">
        <v>50</v>
      </c>
      <c r="O4912" s="1" t="s">
        <v>50</v>
      </c>
      <c r="P4912" s="1" t="s">
        <v>55</v>
      </c>
      <c r="Q4912" s="1">
        <v>13</v>
      </c>
      <c r="R4912" s="1">
        <v>0</v>
      </c>
      <c r="S4912" s="1">
        <v>13</v>
      </c>
      <c r="T4912" s="1">
        <v>0</v>
      </c>
      <c r="U4912" s="1">
        <v>0</v>
      </c>
      <c r="V4912" s="1" t="str">
        <f t="shared" si="934"/>
        <v>里程返程</v>
      </c>
      <c r="W4912" s="1" t="str">
        <f>"2020"</f>
        <v>2020</v>
      </c>
      <c r="X4912" s="1" t="s">
        <v>35</v>
      </c>
    </row>
    <row r="4913" spans="1:24" x14ac:dyDescent="0.3">
      <c r="A4913" s="1" t="str">
        <f t="shared" si="932"/>
        <v>59829</v>
      </c>
      <c r="B4913" s="1" t="s">
        <v>47</v>
      </c>
      <c r="C4913" s="1" t="s">
        <v>48</v>
      </c>
      <c r="D4913" s="1" t="str">
        <f>"9806"</f>
        <v>9806</v>
      </c>
      <c r="E4913" s="1" t="s">
        <v>49</v>
      </c>
      <c r="F4913" s="1" t="str">
        <f>"538267473"</f>
        <v>538267473</v>
      </c>
      <c r="G4913" s="1" t="s">
        <v>33</v>
      </c>
      <c r="H4913" s="1" t="str">
        <f t="shared" si="935"/>
        <v>20220922</v>
      </c>
      <c r="I4913" s="1" t="str">
        <f>"163337"</f>
        <v>163337</v>
      </c>
      <c r="J4913" s="1" t="s">
        <v>76</v>
      </c>
      <c r="K4913" s="1" t="s">
        <v>28</v>
      </c>
      <c r="L4913" s="1" t="str">
        <f t="shared" si="930"/>
        <v>20220922</v>
      </c>
      <c r="M4913" s="1" t="str">
        <f>"164953"</f>
        <v>164953</v>
      </c>
      <c r="N4913" s="1" t="s">
        <v>28</v>
      </c>
      <c r="O4913" s="1" t="s">
        <v>28</v>
      </c>
      <c r="P4913" s="1" t="s">
        <v>55</v>
      </c>
      <c r="Q4913" s="1">
        <v>25</v>
      </c>
      <c r="R4913" s="1">
        <v>25</v>
      </c>
      <c r="S4913" s="1">
        <v>0</v>
      </c>
      <c r="T4913" s="1">
        <v>0</v>
      </c>
      <c r="U4913" s="1">
        <v>0</v>
      </c>
      <c r="V4913" s="1" t="str">
        <f t="shared" ref="V4913:V4922" si="936">"里程去程"</f>
        <v>里程去程</v>
      </c>
      <c r="W4913" s="1" t="str">
        <f>"2020"</f>
        <v>2020</v>
      </c>
      <c r="X4913" s="1" t="s">
        <v>35</v>
      </c>
    </row>
    <row r="4914" spans="1:24" x14ac:dyDescent="0.3">
      <c r="A4914" s="1" t="str">
        <f t="shared" si="932"/>
        <v>59829</v>
      </c>
      <c r="B4914" s="1" t="s">
        <v>47</v>
      </c>
      <c r="C4914" s="1" t="s">
        <v>48</v>
      </c>
      <c r="D4914" s="1" t="str">
        <f>"9806"</f>
        <v>9806</v>
      </c>
      <c r="E4914" s="1" t="s">
        <v>49</v>
      </c>
      <c r="F4914" s="1" t="str">
        <f>"1695105317"</f>
        <v>1695105317</v>
      </c>
      <c r="G4914" s="1" t="s">
        <v>33</v>
      </c>
      <c r="H4914" s="1" t="str">
        <f t="shared" si="935"/>
        <v>20220922</v>
      </c>
      <c r="I4914" s="1" t="str">
        <f>"163352"</f>
        <v>163352</v>
      </c>
      <c r="J4914" s="1" t="s">
        <v>76</v>
      </c>
      <c r="K4914" s="1" t="s">
        <v>28</v>
      </c>
      <c r="L4914" s="1" t="str">
        <f t="shared" ref="L4914:L4925" si="937">"20220922"</f>
        <v>20220922</v>
      </c>
      <c r="M4914" s="1" t="str">
        <f>"164949"</f>
        <v>164949</v>
      </c>
      <c r="N4914" s="1" t="s">
        <v>28</v>
      </c>
      <c r="O4914" s="1" t="s">
        <v>28</v>
      </c>
      <c r="P4914" s="1" t="s">
        <v>55</v>
      </c>
      <c r="Q4914" s="1">
        <v>25</v>
      </c>
      <c r="R4914" s="1">
        <v>25</v>
      </c>
      <c r="S4914" s="1">
        <v>0</v>
      </c>
      <c r="T4914" s="1">
        <v>0</v>
      </c>
      <c r="U4914" s="1">
        <v>0</v>
      </c>
      <c r="V4914" s="1" t="str">
        <f t="shared" si="936"/>
        <v>里程去程</v>
      </c>
      <c r="W4914" s="1" t="str">
        <f>"0820"</f>
        <v>0820</v>
      </c>
      <c r="X4914" s="1" t="s">
        <v>35</v>
      </c>
    </row>
    <row r="4915" spans="1:24" x14ac:dyDescent="0.3">
      <c r="A4915" s="1" t="str">
        <f t="shared" si="932"/>
        <v>59829</v>
      </c>
      <c r="B4915" s="1" t="s">
        <v>47</v>
      </c>
      <c r="C4915" s="1" t="s">
        <v>48</v>
      </c>
      <c r="D4915" s="1" t="str">
        <f>"9806"</f>
        <v>9806</v>
      </c>
      <c r="E4915" s="1" t="s">
        <v>49</v>
      </c>
      <c r="F4915" s="1" t="str">
        <f>"1055537829"</f>
        <v>1055537829</v>
      </c>
      <c r="G4915" s="1" t="s">
        <v>33</v>
      </c>
      <c r="H4915" s="1" t="str">
        <f t="shared" si="935"/>
        <v>20220922</v>
      </c>
      <c r="I4915" s="1" t="str">
        <f>"164023"</f>
        <v>164023</v>
      </c>
      <c r="J4915" s="1" t="s">
        <v>98</v>
      </c>
      <c r="K4915" s="1" t="s">
        <v>28</v>
      </c>
      <c r="L4915" s="1" t="str">
        <f t="shared" si="937"/>
        <v>20220922</v>
      </c>
      <c r="M4915" s="1" t="str">
        <f>"165001"</f>
        <v>165001</v>
      </c>
      <c r="N4915" s="1" t="s">
        <v>28</v>
      </c>
      <c r="O4915" s="1" t="s">
        <v>28</v>
      </c>
      <c r="P4915" s="1" t="s">
        <v>55</v>
      </c>
      <c r="Q4915" s="1">
        <v>25</v>
      </c>
      <c r="R4915" s="1">
        <v>25</v>
      </c>
      <c r="S4915" s="1">
        <v>0</v>
      </c>
      <c r="T4915" s="1">
        <v>0</v>
      </c>
      <c r="U4915" s="1">
        <v>0</v>
      </c>
      <c r="V4915" s="1" t="str">
        <f t="shared" si="936"/>
        <v>里程去程</v>
      </c>
      <c r="W4915" s="1" t="str">
        <f>"2120"</f>
        <v>2120</v>
      </c>
      <c r="X4915" s="1" t="s">
        <v>35</v>
      </c>
    </row>
    <row r="4916" spans="1:24" x14ac:dyDescent="0.3">
      <c r="A4916" s="1" t="str">
        <f t="shared" si="932"/>
        <v>59829</v>
      </c>
      <c r="B4916" s="1" t="s">
        <v>47</v>
      </c>
      <c r="C4916" s="1" t="s">
        <v>48</v>
      </c>
      <c r="D4916" s="1" t="str">
        <f t="shared" ref="D4916:D4922" si="938">"9805"</f>
        <v>9805</v>
      </c>
      <c r="E4916" s="1" t="s">
        <v>57</v>
      </c>
      <c r="F4916" s="1" t="str">
        <f>"772446049"</f>
        <v>772446049</v>
      </c>
      <c r="G4916" s="1" t="s">
        <v>33</v>
      </c>
      <c r="H4916" s="1" t="str">
        <f t="shared" si="935"/>
        <v>20220922</v>
      </c>
      <c r="I4916" s="1" t="str">
        <f>"165435"</f>
        <v>165435</v>
      </c>
      <c r="J4916" s="1" t="s">
        <v>90</v>
      </c>
      <c r="K4916" s="1" t="s">
        <v>28</v>
      </c>
      <c r="L4916" s="1" t="str">
        <f t="shared" si="937"/>
        <v>20220922</v>
      </c>
      <c r="M4916" s="1" t="str">
        <f>"170732"</f>
        <v>170732</v>
      </c>
      <c r="N4916" s="1" t="s">
        <v>62</v>
      </c>
      <c r="O4916" s="1" t="s">
        <v>28</v>
      </c>
      <c r="P4916" s="1" t="s">
        <v>55</v>
      </c>
      <c r="Q4916" s="1">
        <v>25</v>
      </c>
      <c r="R4916" s="1">
        <v>25</v>
      </c>
      <c r="S4916" s="1">
        <v>0</v>
      </c>
      <c r="T4916" s="1">
        <v>0</v>
      </c>
      <c r="U4916" s="1">
        <v>0</v>
      </c>
      <c r="V4916" s="1" t="str">
        <f t="shared" si="936"/>
        <v>里程去程</v>
      </c>
      <c r="W4916" s="1" t="str">
        <f>"0120"</f>
        <v>0120</v>
      </c>
      <c r="X4916" s="1" t="s">
        <v>35</v>
      </c>
    </row>
    <row r="4917" spans="1:24" x14ac:dyDescent="0.3">
      <c r="A4917" s="1" t="str">
        <f t="shared" si="932"/>
        <v>59829</v>
      </c>
      <c r="B4917" s="1" t="s">
        <v>47</v>
      </c>
      <c r="C4917" s="1" t="s">
        <v>48</v>
      </c>
      <c r="D4917" s="1" t="str">
        <f t="shared" si="938"/>
        <v>9805</v>
      </c>
      <c r="E4917" s="1" t="s">
        <v>57</v>
      </c>
      <c r="F4917" s="1" t="str">
        <f>"4080084669"</f>
        <v>4080084669</v>
      </c>
      <c r="G4917" s="1" t="s">
        <v>33</v>
      </c>
      <c r="H4917" s="1" t="str">
        <f t="shared" si="935"/>
        <v>20220922</v>
      </c>
      <c r="I4917" s="1" t="str">
        <f>"165439"</f>
        <v>165439</v>
      </c>
      <c r="J4917" s="1" t="s">
        <v>90</v>
      </c>
      <c r="K4917" s="1" t="s">
        <v>28</v>
      </c>
      <c r="L4917" s="1" t="str">
        <f t="shared" si="937"/>
        <v>20220922</v>
      </c>
      <c r="M4917" s="1" t="str">
        <f>"170729"</f>
        <v>170729</v>
      </c>
      <c r="N4917" s="1" t="s">
        <v>62</v>
      </c>
      <c r="O4917" s="1" t="s">
        <v>28</v>
      </c>
      <c r="P4917" s="1" t="s">
        <v>55</v>
      </c>
      <c r="Q4917" s="1">
        <v>25</v>
      </c>
      <c r="R4917" s="1">
        <v>25</v>
      </c>
      <c r="S4917" s="1">
        <v>0</v>
      </c>
      <c r="T4917" s="1">
        <v>0</v>
      </c>
      <c r="U4917" s="1">
        <v>0</v>
      </c>
      <c r="V4917" s="1" t="str">
        <f t="shared" si="936"/>
        <v>里程去程</v>
      </c>
      <c r="W4917" s="1" t="str">
        <f>"1920"</f>
        <v>1920</v>
      </c>
      <c r="X4917" s="1" t="s">
        <v>35</v>
      </c>
    </row>
    <row r="4918" spans="1:24" x14ac:dyDescent="0.3">
      <c r="A4918" s="1" t="str">
        <f t="shared" si="932"/>
        <v>59829</v>
      </c>
      <c r="B4918" s="1" t="s">
        <v>47</v>
      </c>
      <c r="C4918" s="1" t="s">
        <v>48</v>
      </c>
      <c r="D4918" s="1" t="str">
        <f t="shared" si="938"/>
        <v>9805</v>
      </c>
      <c r="E4918" s="1" t="s">
        <v>57</v>
      </c>
      <c r="F4918" s="1" t="str">
        <f>"832159121"</f>
        <v>832159121</v>
      </c>
      <c r="G4918" s="1" t="s">
        <v>26</v>
      </c>
      <c r="H4918" s="1" t="str">
        <f t="shared" si="935"/>
        <v>20220922</v>
      </c>
      <c r="I4918" s="1" t="str">
        <f>"165442"</f>
        <v>165442</v>
      </c>
      <c r="J4918" s="1" t="s">
        <v>90</v>
      </c>
      <c r="K4918" s="1" t="s">
        <v>28</v>
      </c>
      <c r="L4918" s="1" t="str">
        <f t="shared" si="937"/>
        <v>20220922</v>
      </c>
      <c r="M4918" s="1" t="str">
        <f>"170715"</f>
        <v>170715</v>
      </c>
      <c r="N4918" s="1" t="s">
        <v>62</v>
      </c>
      <c r="O4918" s="1" t="s">
        <v>28</v>
      </c>
      <c r="P4918" s="1" t="s">
        <v>55</v>
      </c>
      <c r="Q4918" s="1">
        <v>13</v>
      </c>
      <c r="R4918" s="1">
        <v>13</v>
      </c>
      <c r="S4918" s="1">
        <v>0</v>
      </c>
      <c r="T4918" s="1">
        <v>0</v>
      </c>
      <c r="U4918" s="1">
        <v>0</v>
      </c>
      <c r="V4918" s="1" t="str">
        <f t="shared" si="936"/>
        <v>里程去程</v>
      </c>
      <c r="W4918" s="1" t="str">
        <f>"0b20"</f>
        <v>0b20</v>
      </c>
      <c r="X4918" s="1" t="s">
        <v>35</v>
      </c>
    </row>
    <row r="4919" spans="1:24" x14ac:dyDescent="0.3">
      <c r="A4919" s="1" t="str">
        <f t="shared" si="932"/>
        <v>59829</v>
      </c>
      <c r="B4919" s="1" t="s">
        <v>47</v>
      </c>
      <c r="C4919" s="1" t="s">
        <v>48</v>
      </c>
      <c r="D4919" s="1" t="str">
        <f t="shared" si="938"/>
        <v>9805</v>
      </c>
      <c r="E4919" s="1" t="s">
        <v>57</v>
      </c>
      <c r="F4919" s="1" t="str">
        <f>"1304996561"</f>
        <v>1304996561</v>
      </c>
      <c r="G4919" s="1" t="s">
        <v>26</v>
      </c>
      <c r="H4919" s="1" t="str">
        <f t="shared" si="935"/>
        <v>20220922</v>
      </c>
      <c r="I4919" s="1" t="str">
        <f>"165444"</f>
        <v>165444</v>
      </c>
      <c r="J4919" s="1" t="s">
        <v>90</v>
      </c>
      <c r="K4919" s="1" t="s">
        <v>28</v>
      </c>
      <c r="L4919" s="1" t="str">
        <f t="shared" si="937"/>
        <v>20220922</v>
      </c>
      <c r="M4919" s="1" t="str">
        <f>"170718"</f>
        <v>170718</v>
      </c>
      <c r="N4919" s="1" t="s">
        <v>62</v>
      </c>
      <c r="O4919" s="1" t="s">
        <v>28</v>
      </c>
      <c r="P4919" s="1" t="s">
        <v>55</v>
      </c>
      <c r="Q4919" s="1">
        <v>13</v>
      </c>
      <c r="R4919" s="1">
        <v>13</v>
      </c>
      <c r="S4919" s="1">
        <v>0</v>
      </c>
      <c r="T4919" s="1">
        <v>0</v>
      </c>
      <c r="U4919" s="1">
        <v>0</v>
      </c>
      <c r="V4919" s="1" t="str">
        <f t="shared" si="936"/>
        <v>里程去程</v>
      </c>
      <c r="W4919" s="1" t="str">
        <f>"0b20"</f>
        <v>0b20</v>
      </c>
      <c r="X4919" s="1" t="s">
        <v>35</v>
      </c>
    </row>
    <row r="4920" spans="1:24" x14ac:dyDescent="0.3">
      <c r="A4920" s="1" t="str">
        <f t="shared" si="932"/>
        <v>59829</v>
      </c>
      <c r="B4920" s="1" t="s">
        <v>47</v>
      </c>
      <c r="C4920" s="1" t="s">
        <v>48</v>
      </c>
      <c r="D4920" s="1" t="str">
        <f t="shared" si="938"/>
        <v>9805</v>
      </c>
      <c r="E4920" s="1" t="s">
        <v>57</v>
      </c>
      <c r="F4920" s="1" t="str">
        <f>"1244176296"</f>
        <v>1244176296</v>
      </c>
      <c r="G4920" s="1" t="s">
        <v>26</v>
      </c>
      <c r="H4920" s="1" t="str">
        <f t="shared" si="935"/>
        <v>20220922</v>
      </c>
      <c r="I4920" s="1" t="str">
        <f>"165449"</f>
        <v>165449</v>
      </c>
      <c r="J4920" s="1" t="s">
        <v>90</v>
      </c>
      <c r="K4920" s="1" t="s">
        <v>28</v>
      </c>
      <c r="L4920" s="1" t="str">
        <f t="shared" si="937"/>
        <v>20220922</v>
      </c>
      <c r="M4920" s="1" t="str">
        <f>"170701"</f>
        <v>170701</v>
      </c>
      <c r="N4920" s="1" t="s">
        <v>62</v>
      </c>
      <c r="O4920" s="1" t="s">
        <v>28</v>
      </c>
      <c r="P4920" s="1" t="s">
        <v>55</v>
      </c>
      <c r="Q4920" s="1">
        <v>13</v>
      </c>
      <c r="R4920" s="1">
        <v>13</v>
      </c>
      <c r="S4920" s="1">
        <v>0</v>
      </c>
      <c r="T4920" s="1">
        <v>0</v>
      </c>
      <c r="U4920" s="1">
        <v>0</v>
      </c>
      <c r="V4920" s="1" t="str">
        <f t="shared" si="936"/>
        <v>里程去程</v>
      </c>
      <c r="W4920" s="1" t="str">
        <f>"0820"</f>
        <v>0820</v>
      </c>
      <c r="X4920" s="1" t="s">
        <v>35</v>
      </c>
    </row>
    <row r="4921" spans="1:24" x14ac:dyDescent="0.3">
      <c r="A4921" s="1" t="str">
        <f t="shared" si="932"/>
        <v>59829</v>
      </c>
      <c r="B4921" s="1" t="s">
        <v>47</v>
      </c>
      <c r="C4921" s="1" t="s">
        <v>48</v>
      </c>
      <c r="D4921" s="1" t="str">
        <f t="shared" si="938"/>
        <v>9805</v>
      </c>
      <c r="E4921" s="1" t="s">
        <v>57</v>
      </c>
      <c r="F4921" s="1" t="str">
        <f>"1663722117"</f>
        <v>1663722117</v>
      </c>
      <c r="G4921" s="1" t="s">
        <v>33</v>
      </c>
      <c r="H4921" s="1" t="str">
        <f t="shared" si="935"/>
        <v>20220922</v>
      </c>
      <c r="I4921" s="1" t="str">
        <f>"165452"</f>
        <v>165452</v>
      </c>
      <c r="J4921" s="1" t="s">
        <v>90</v>
      </c>
      <c r="K4921" s="1" t="s">
        <v>28</v>
      </c>
      <c r="L4921" s="1" t="str">
        <f t="shared" si="937"/>
        <v>20220922</v>
      </c>
      <c r="M4921" s="1" t="str">
        <f>"170709"</f>
        <v>170709</v>
      </c>
      <c r="N4921" s="1" t="s">
        <v>62</v>
      </c>
      <c r="O4921" s="1" t="s">
        <v>28</v>
      </c>
      <c r="P4921" s="1" t="s">
        <v>55</v>
      </c>
      <c r="Q4921" s="1">
        <v>25</v>
      </c>
      <c r="R4921" s="1">
        <v>25</v>
      </c>
      <c r="S4921" s="1">
        <v>0</v>
      </c>
      <c r="T4921" s="1">
        <v>0</v>
      </c>
      <c r="U4921" s="1">
        <v>0</v>
      </c>
      <c r="V4921" s="1" t="str">
        <f t="shared" si="936"/>
        <v>里程去程</v>
      </c>
      <c r="W4921" s="1" t="str">
        <f>"0620"</f>
        <v>0620</v>
      </c>
      <c r="X4921" s="1" t="s">
        <v>35</v>
      </c>
    </row>
    <row r="4922" spans="1:24" x14ac:dyDescent="0.3">
      <c r="A4922" s="1" t="str">
        <f t="shared" si="932"/>
        <v>59829</v>
      </c>
      <c r="B4922" s="1" t="s">
        <v>47</v>
      </c>
      <c r="C4922" s="1" t="s">
        <v>48</v>
      </c>
      <c r="D4922" s="1" t="str">
        <f t="shared" si="938"/>
        <v>9805</v>
      </c>
      <c r="E4922" s="1" t="s">
        <v>57</v>
      </c>
      <c r="F4922" s="1" t="str">
        <f>"7311210221013900"</f>
        <v>7311210221013900</v>
      </c>
      <c r="G4922" s="1" t="s">
        <v>33</v>
      </c>
      <c r="H4922" s="1" t="str">
        <f t="shared" si="935"/>
        <v>20220922</v>
      </c>
      <c r="I4922" s="1" t="str">
        <f>"165501"</f>
        <v>165501</v>
      </c>
      <c r="J4922" s="1" t="s">
        <v>90</v>
      </c>
      <c r="K4922" s="1" t="s">
        <v>28</v>
      </c>
      <c r="L4922" s="1" t="str">
        <f t="shared" si="937"/>
        <v>20220922</v>
      </c>
      <c r="M4922" s="1" t="str">
        <f>"170722"</f>
        <v>170722</v>
      </c>
      <c r="N4922" s="1" t="s">
        <v>62</v>
      </c>
      <c r="O4922" s="1" t="s">
        <v>28</v>
      </c>
      <c r="P4922" s="1" t="s">
        <v>55</v>
      </c>
      <c r="Q4922" s="1">
        <v>25</v>
      </c>
      <c r="R4922" s="1">
        <v>25</v>
      </c>
      <c r="S4922" s="1">
        <v>0</v>
      </c>
      <c r="T4922" s="1">
        <v>0</v>
      </c>
      <c r="U4922" s="1">
        <v>0</v>
      </c>
      <c r="V4922" s="1" t="str">
        <f t="shared" si="936"/>
        <v>里程去程</v>
      </c>
      <c r="W4922" s="1" t="str">
        <f>"003B"</f>
        <v>003B</v>
      </c>
      <c r="X4922" s="1" t="s">
        <v>109</v>
      </c>
    </row>
    <row r="4923" spans="1:24" x14ac:dyDescent="0.3">
      <c r="A4923" s="1" t="str">
        <f t="shared" si="932"/>
        <v>59829</v>
      </c>
      <c r="B4923" s="1" t="s">
        <v>47</v>
      </c>
      <c r="C4923" s="1" t="s">
        <v>48</v>
      </c>
      <c r="D4923" s="1" t="str">
        <f t="shared" ref="D4923:D4931" si="939">"9801"</f>
        <v>9801</v>
      </c>
      <c r="E4923" s="1" t="s">
        <v>25</v>
      </c>
      <c r="F4923" s="1" t="str">
        <f>"4080084669"</f>
        <v>4080084669</v>
      </c>
      <c r="G4923" s="1" t="s">
        <v>33</v>
      </c>
      <c r="H4923" s="1" t="str">
        <f t="shared" si="935"/>
        <v>20220922</v>
      </c>
      <c r="I4923" s="1" t="str">
        <f>"185908"</f>
        <v>185908</v>
      </c>
      <c r="J4923" s="1" t="s">
        <v>44</v>
      </c>
      <c r="K4923" s="1" t="s">
        <v>45</v>
      </c>
      <c r="L4923" s="1" t="str">
        <f t="shared" si="937"/>
        <v>20220922</v>
      </c>
      <c r="M4923" s="1" t="str">
        <f>"192032"</f>
        <v>192032</v>
      </c>
      <c r="N4923" s="1" t="s">
        <v>27</v>
      </c>
      <c r="O4923" s="1" t="s">
        <v>28</v>
      </c>
      <c r="P4923" s="1" t="s">
        <v>55</v>
      </c>
      <c r="Q4923" s="1">
        <v>25</v>
      </c>
      <c r="R4923" s="1">
        <v>0</v>
      </c>
      <c r="S4923" s="1">
        <v>25</v>
      </c>
      <c r="T4923" s="1">
        <v>0</v>
      </c>
      <c r="U4923" s="1">
        <v>0</v>
      </c>
      <c r="V4923" s="1" t="str">
        <f t="shared" ref="V4923:V4931" si="940">"里程返程"</f>
        <v>里程返程</v>
      </c>
      <c r="W4923" s="1" t="str">
        <f>"2020"</f>
        <v>2020</v>
      </c>
      <c r="X4923" s="1" t="s">
        <v>35</v>
      </c>
    </row>
    <row r="4924" spans="1:24" x14ac:dyDescent="0.3">
      <c r="A4924" s="1" t="str">
        <f t="shared" si="932"/>
        <v>59829</v>
      </c>
      <c r="B4924" s="1" t="s">
        <v>47</v>
      </c>
      <c r="C4924" s="1" t="s">
        <v>48</v>
      </c>
      <c r="D4924" s="1" t="str">
        <f t="shared" si="939"/>
        <v>9801</v>
      </c>
      <c r="E4924" s="1" t="s">
        <v>25</v>
      </c>
      <c r="F4924" s="1" t="str">
        <f>"832159121"</f>
        <v>832159121</v>
      </c>
      <c r="G4924" s="1" t="s">
        <v>26</v>
      </c>
      <c r="H4924" s="1" t="str">
        <f t="shared" si="935"/>
        <v>20220922</v>
      </c>
      <c r="I4924" s="1" t="str">
        <f>"185910"</f>
        <v>185910</v>
      </c>
      <c r="J4924" s="1" t="s">
        <v>44</v>
      </c>
      <c r="K4924" s="1" t="s">
        <v>45</v>
      </c>
      <c r="L4924" s="1" t="str">
        <f t="shared" si="937"/>
        <v>20220922</v>
      </c>
      <c r="M4924" s="1" t="str">
        <f>"192410"</f>
        <v>192410</v>
      </c>
      <c r="N4924" s="1" t="s">
        <v>28</v>
      </c>
      <c r="O4924" s="1" t="s">
        <v>28</v>
      </c>
      <c r="P4924" s="1" t="s">
        <v>55</v>
      </c>
      <c r="Q4924" s="1">
        <v>13</v>
      </c>
      <c r="R4924" s="1">
        <v>0</v>
      </c>
      <c r="S4924" s="1">
        <v>13</v>
      </c>
      <c r="T4924" s="1">
        <v>0</v>
      </c>
      <c r="U4924" s="1">
        <v>0</v>
      </c>
      <c r="V4924" s="1" t="str">
        <f t="shared" si="940"/>
        <v>里程返程</v>
      </c>
      <c r="W4924" s="1" t="str">
        <f>"2020"</f>
        <v>2020</v>
      </c>
      <c r="X4924" s="1" t="s">
        <v>35</v>
      </c>
    </row>
    <row r="4925" spans="1:24" x14ac:dyDescent="0.3">
      <c r="A4925" s="1" t="str">
        <f t="shared" si="932"/>
        <v>59829</v>
      </c>
      <c r="B4925" s="1" t="s">
        <v>47</v>
      </c>
      <c r="C4925" s="1" t="s">
        <v>48</v>
      </c>
      <c r="D4925" s="1" t="str">
        <f t="shared" si="939"/>
        <v>9801</v>
      </c>
      <c r="E4925" s="1" t="s">
        <v>25</v>
      </c>
      <c r="F4925" s="1" t="str">
        <f>"1304996561"</f>
        <v>1304996561</v>
      </c>
      <c r="G4925" s="1" t="s">
        <v>26</v>
      </c>
      <c r="H4925" s="1" t="str">
        <f t="shared" si="935"/>
        <v>20220922</v>
      </c>
      <c r="I4925" s="1" t="str">
        <f>"185912"</f>
        <v>185912</v>
      </c>
      <c r="J4925" s="1" t="s">
        <v>44</v>
      </c>
      <c r="K4925" s="1" t="s">
        <v>45</v>
      </c>
      <c r="L4925" s="1" t="str">
        <f t="shared" si="937"/>
        <v>20220922</v>
      </c>
      <c r="M4925" s="1" t="str">
        <f>"192406"</f>
        <v>192406</v>
      </c>
      <c r="N4925" s="1" t="s">
        <v>28</v>
      </c>
      <c r="O4925" s="1" t="s">
        <v>28</v>
      </c>
      <c r="P4925" s="1" t="s">
        <v>55</v>
      </c>
      <c r="Q4925" s="1">
        <v>13</v>
      </c>
      <c r="R4925" s="1">
        <v>0</v>
      </c>
      <c r="S4925" s="1">
        <v>13</v>
      </c>
      <c r="T4925" s="1">
        <v>0</v>
      </c>
      <c r="U4925" s="1">
        <v>0</v>
      </c>
      <c r="V4925" s="1" t="str">
        <f t="shared" si="940"/>
        <v>里程返程</v>
      </c>
      <c r="W4925" s="1" t="str">
        <f>"2020"</f>
        <v>2020</v>
      </c>
      <c r="X4925" s="1" t="s">
        <v>35</v>
      </c>
    </row>
    <row r="4926" spans="1:24" x14ac:dyDescent="0.3">
      <c r="A4926" s="1" t="str">
        <f t="shared" si="932"/>
        <v>59829</v>
      </c>
      <c r="B4926" s="1" t="s">
        <v>47</v>
      </c>
      <c r="C4926" s="1" t="s">
        <v>48</v>
      </c>
      <c r="D4926" s="1" t="str">
        <f t="shared" si="939"/>
        <v>9801</v>
      </c>
      <c r="E4926" s="1" t="s">
        <v>25</v>
      </c>
      <c r="F4926" s="1" t="str">
        <f>"1244176296"</f>
        <v>1244176296</v>
      </c>
      <c r="G4926" s="1" t="s">
        <v>26</v>
      </c>
      <c r="H4926" s="1" t="str">
        <f t="shared" si="935"/>
        <v>20220922</v>
      </c>
      <c r="I4926" s="1" t="str">
        <f>"185917"</f>
        <v>185917</v>
      </c>
      <c r="J4926" s="1" t="s">
        <v>44</v>
      </c>
      <c r="K4926" s="1" t="s">
        <v>45</v>
      </c>
      <c r="L4926" s="1" t="str">
        <f>""</f>
        <v/>
      </c>
      <c r="M4926" s="1" t="str">
        <f>""</f>
        <v/>
      </c>
      <c r="P4926" s="1" t="s">
        <v>88</v>
      </c>
      <c r="Q4926" s="1">
        <v>13</v>
      </c>
      <c r="R4926" s="1">
        <v>0</v>
      </c>
      <c r="S4926" s="1">
        <v>13</v>
      </c>
      <c r="T4926" s="1">
        <v>0</v>
      </c>
      <c r="U4926" s="1">
        <v>0</v>
      </c>
      <c r="V4926" s="1" t="str">
        <f t="shared" si="940"/>
        <v>里程返程</v>
      </c>
      <c r="W4926" s="1" t="str">
        <f>"2020"</f>
        <v>2020</v>
      </c>
      <c r="X4926" s="1" t="s">
        <v>35</v>
      </c>
    </row>
    <row r="4927" spans="1:24" x14ac:dyDescent="0.3">
      <c r="A4927" s="1" t="str">
        <f t="shared" si="932"/>
        <v>59829</v>
      </c>
      <c r="B4927" s="1" t="s">
        <v>47</v>
      </c>
      <c r="C4927" s="1" t="s">
        <v>48</v>
      </c>
      <c r="D4927" s="1" t="str">
        <f t="shared" si="939"/>
        <v>9801</v>
      </c>
      <c r="E4927" s="1" t="s">
        <v>25</v>
      </c>
      <c r="F4927" s="1" t="str">
        <f>"1663722117"</f>
        <v>1663722117</v>
      </c>
      <c r="G4927" s="1" t="s">
        <v>33</v>
      </c>
      <c r="H4927" s="1" t="str">
        <f t="shared" si="935"/>
        <v>20220922</v>
      </c>
      <c r="I4927" s="1" t="str">
        <f>"185920"</f>
        <v>185920</v>
      </c>
      <c r="J4927" s="1" t="s">
        <v>44</v>
      </c>
      <c r="K4927" s="1" t="s">
        <v>45</v>
      </c>
      <c r="L4927" s="1" t="str">
        <f>"20220922"</f>
        <v>20220922</v>
      </c>
      <c r="M4927" s="1" t="str">
        <f>"192024"</f>
        <v>192024</v>
      </c>
      <c r="N4927" s="1" t="s">
        <v>27</v>
      </c>
      <c r="O4927" s="1" t="s">
        <v>28</v>
      </c>
      <c r="P4927" s="1" t="s">
        <v>55</v>
      </c>
      <c r="Q4927" s="1">
        <v>25</v>
      </c>
      <c r="R4927" s="1">
        <v>0</v>
      </c>
      <c r="S4927" s="1">
        <v>25</v>
      </c>
      <c r="T4927" s="1">
        <v>0</v>
      </c>
      <c r="U4927" s="1">
        <v>0</v>
      </c>
      <c r="V4927" s="1" t="str">
        <f t="shared" si="940"/>
        <v>里程返程</v>
      </c>
      <c r="W4927" s="1" t="str">
        <f>"2020"</f>
        <v>2020</v>
      </c>
      <c r="X4927" s="1" t="s">
        <v>35</v>
      </c>
    </row>
    <row r="4928" spans="1:24" x14ac:dyDescent="0.3">
      <c r="A4928" s="1" t="str">
        <f t="shared" si="932"/>
        <v>59829</v>
      </c>
      <c r="B4928" s="1" t="s">
        <v>47</v>
      </c>
      <c r="C4928" s="1" t="s">
        <v>48</v>
      </c>
      <c r="D4928" s="1" t="str">
        <f t="shared" si="939"/>
        <v>9801</v>
      </c>
      <c r="E4928" s="1" t="s">
        <v>25</v>
      </c>
      <c r="F4928" s="1" t="str">
        <f>"7311210221013900"</f>
        <v>7311210221013900</v>
      </c>
      <c r="G4928" s="1" t="s">
        <v>33</v>
      </c>
      <c r="H4928" s="1" t="str">
        <f t="shared" si="935"/>
        <v>20220922</v>
      </c>
      <c r="I4928" s="1" t="str">
        <f>"185926"</f>
        <v>185926</v>
      </c>
      <c r="J4928" s="1" t="s">
        <v>44</v>
      </c>
      <c r="K4928" s="1" t="s">
        <v>45</v>
      </c>
      <c r="L4928" s="1" t="str">
        <f>"20220922"</f>
        <v>20220922</v>
      </c>
      <c r="M4928" s="1" t="str">
        <f>"192029"</f>
        <v>192029</v>
      </c>
      <c r="N4928" s="1" t="s">
        <v>27</v>
      </c>
      <c r="O4928" s="1" t="s">
        <v>28</v>
      </c>
      <c r="P4928" s="1" t="s">
        <v>55</v>
      </c>
      <c r="Q4928" s="1">
        <v>25</v>
      </c>
      <c r="R4928" s="1">
        <v>0</v>
      </c>
      <c r="S4928" s="1">
        <v>25</v>
      </c>
      <c r="T4928" s="1">
        <v>0</v>
      </c>
      <c r="U4928" s="1">
        <v>0</v>
      </c>
      <c r="V4928" s="1" t="str">
        <f t="shared" si="940"/>
        <v>里程返程</v>
      </c>
      <c r="W4928" s="1" t="str">
        <f>"3B3B"</f>
        <v>3B3B</v>
      </c>
      <c r="X4928" s="1" t="s">
        <v>109</v>
      </c>
    </row>
    <row r="4929" spans="1:24" x14ac:dyDescent="0.3">
      <c r="A4929" s="1" t="str">
        <f t="shared" si="932"/>
        <v>59829</v>
      </c>
      <c r="B4929" s="1" t="s">
        <v>47</v>
      </c>
      <c r="C4929" s="1" t="s">
        <v>48</v>
      </c>
      <c r="D4929" s="1" t="str">
        <f t="shared" si="939"/>
        <v>9801</v>
      </c>
      <c r="E4929" s="1" t="s">
        <v>25</v>
      </c>
      <c r="F4929" s="1" t="str">
        <f>"772446049"</f>
        <v>772446049</v>
      </c>
      <c r="G4929" s="1" t="s">
        <v>33</v>
      </c>
      <c r="H4929" s="1" t="str">
        <f t="shared" si="935"/>
        <v>20220922</v>
      </c>
      <c r="I4929" s="1" t="str">
        <f>"185930"</f>
        <v>185930</v>
      </c>
      <c r="J4929" s="1" t="s">
        <v>44</v>
      </c>
      <c r="K4929" s="1" t="s">
        <v>45</v>
      </c>
      <c r="L4929" s="1" t="str">
        <f>"20220922"</f>
        <v>20220922</v>
      </c>
      <c r="M4929" s="1" t="str">
        <f>"192035"</f>
        <v>192035</v>
      </c>
      <c r="N4929" s="1" t="s">
        <v>27</v>
      </c>
      <c r="O4929" s="1" t="s">
        <v>28</v>
      </c>
      <c r="P4929" s="1" t="s">
        <v>55</v>
      </c>
      <c r="Q4929" s="1">
        <v>25</v>
      </c>
      <c r="R4929" s="1">
        <v>0</v>
      </c>
      <c r="S4929" s="1">
        <v>25</v>
      </c>
      <c r="T4929" s="1">
        <v>0</v>
      </c>
      <c r="U4929" s="1">
        <v>0</v>
      </c>
      <c r="V4929" s="1" t="str">
        <f t="shared" si="940"/>
        <v>里程返程</v>
      </c>
      <c r="W4929" s="1" t="str">
        <f>"2020"</f>
        <v>2020</v>
      </c>
      <c r="X4929" s="1" t="s">
        <v>35</v>
      </c>
    </row>
    <row r="4930" spans="1:24" x14ac:dyDescent="0.3">
      <c r="A4930" s="1" t="str">
        <f t="shared" si="932"/>
        <v>59829</v>
      </c>
      <c r="B4930" s="1" t="s">
        <v>47</v>
      </c>
      <c r="C4930" s="1" t="s">
        <v>48</v>
      </c>
      <c r="D4930" s="1" t="str">
        <f t="shared" si="939"/>
        <v>9801</v>
      </c>
      <c r="E4930" s="1" t="s">
        <v>25</v>
      </c>
      <c r="F4930" s="1" t="str">
        <f>"1129190405"</f>
        <v>1129190405</v>
      </c>
      <c r="G4930" s="1" t="s">
        <v>33</v>
      </c>
      <c r="H4930" s="1" t="str">
        <f t="shared" si="935"/>
        <v>20220922</v>
      </c>
      <c r="I4930" s="1" t="str">
        <f>"191110"</f>
        <v>191110</v>
      </c>
      <c r="J4930" s="1" t="s">
        <v>56</v>
      </c>
      <c r="K4930" s="1" t="s">
        <v>45</v>
      </c>
      <c r="L4930" s="1" t="str">
        <f>"20220922"</f>
        <v>20220922</v>
      </c>
      <c r="M4930" s="1" t="str">
        <f>"193054"</f>
        <v>193054</v>
      </c>
      <c r="N4930" s="1" t="s">
        <v>84</v>
      </c>
      <c r="O4930" s="1" t="s">
        <v>28</v>
      </c>
      <c r="P4930" s="1" t="s">
        <v>55</v>
      </c>
      <c r="Q4930" s="1">
        <v>25</v>
      </c>
      <c r="R4930" s="1">
        <v>0</v>
      </c>
      <c r="S4930" s="1">
        <v>25</v>
      </c>
      <c r="T4930" s="1">
        <v>0</v>
      </c>
      <c r="U4930" s="1">
        <v>0</v>
      </c>
      <c r="V4930" s="1" t="str">
        <f t="shared" si="940"/>
        <v>里程返程</v>
      </c>
      <c r="W4930" s="1" t="str">
        <f>"2120"</f>
        <v>2120</v>
      </c>
      <c r="X4930" s="1" t="s">
        <v>35</v>
      </c>
    </row>
    <row r="4931" spans="1:24" x14ac:dyDescent="0.3">
      <c r="A4931" s="1" t="str">
        <f t="shared" si="932"/>
        <v>59829</v>
      </c>
      <c r="B4931" s="1" t="s">
        <v>47</v>
      </c>
      <c r="C4931" s="1" t="s">
        <v>48</v>
      </c>
      <c r="D4931" s="1" t="str">
        <f t="shared" si="939"/>
        <v>9801</v>
      </c>
      <c r="E4931" s="1" t="s">
        <v>25</v>
      </c>
      <c r="F4931" s="1" t="str">
        <f>"1311182097"</f>
        <v>1311182097</v>
      </c>
      <c r="G4931" s="1" t="s">
        <v>26</v>
      </c>
      <c r="H4931" s="1" t="str">
        <f t="shared" si="935"/>
        <v>20220922</v>
      </c>
      <c r="I4931" s="1" t="str">
        <f>"192426"</f>
        <v>192426</v>
      </c>
      <c r="J4931" s="1" t="s">
        <v>28</v>
      </c>
      <c r="K4931" s="1" t="s">
        <v>28</v>
      </c>
      <c r="L4931" s="1" t="str">
        <f>"20220922"</f>
        <v>20220922</v>
      </c>
      <c r="M4931" s="1" t="str">
        <f>"193750"</f>
        <v>193750</v>
      </c>
      <c r="N4931" s="1" t="s">
        <v>69</v>
      </c>
      <c r="O4931" s="1" t="s">
        <v>52</v>
      </c>
      <c r="P4931" s="1" t="s">
        <v>55</v>
      </c>
      <c r="Q4931" s="1">
        <v>13</v>
      </c>
      <c r="R4931" s="1">
        <v>13</v>
      </c>
      <c r="S4931" s="1">
        <v>0</v>
      </c>
      <c r="T4931" s="1">
        <v>0</v>
      </c>
      <c r="U4931" s="1">
        <v>0</v>
      </c>
      <c r="V4931" s="1" t="str">
        <f t="shared" si="940"/>
        <v>里程返程</v>
      </c>
      <c r="W4931" s="1" t="str">
        <f>"0320"</f>
        <v>0320</v>
      </c>
      <c r="X4931" s="1" t="s">
        <v>35</v>
      </c>
    </row>
    <row r="4932" spans="1:24" x14ac:dyDescent="0.3">
      <c r="A4932" s="1" t="str">
        <f t="shared" ref="A4932:A4956" si="941">"59809"</f>
        <v>59809</v>
      </c>
      <c r="B4932" s="1" t="s">
        <v>42</v>
      </c>
      <c r="C4932" s="1" t="s">
        <v>43</v>
      </c>
      <c r="D4932" s="1" t="str">
        <f>"9805"</f>
        <v>9805</v>
      </c>
      <c r="E4932" s="1" t="s">
        <v>57</v>
      </c>
      <c r="F4932" s="1" t="str">
        <f>"F29BD102BA880400C834002000000015"</f>
        <v>F29BD102BA880400C834002000000015</v>
      </c>
      <c r="G4932" s="1" t="s">
        <v>26</v>
      </c>
      <c r="H4932" s="1" t="str">
        <f t="shared" ref="H4932:H4963" si="942">"20220923"</f>
        <v>20220923</v>
      </c>
      <c r="I4932" s="1" t="str">
        <f>"103932"</f>
        <v>103932</v>
      </c>
      <c r="J4932" s="1" t="s">
        <v>28</v>
      </c>
      <c r="K4932" s="1" t="s">
        <v>28</v>
      </c>
      <c r="L4932" s="1" t="str">
        <f t="shared" ref="L4932:L4953" si="943">"20220923"</f>
        <v>20220923</v>
      </c>
      <c r="M4932" s="1" t="str">
        <f>"105232"</f>
        <v>105232</v>
      </c>
      <c r="N4932" s="1" t="s">
        <v>62</v>
      </c>
      <c r="O4932" s="1" t="s">
        <v>28</v>
      </c>
      <c r="P4932" s="1" t="s">
        <v>68</v>
      </c>
      <c r="Q4932" s="1">
        <v>13</v>
      </c>
      <c r="R4932" s="1">
        <v>0</v>
      </c>
      <c r="S4932" s="1">
        <v>0</v>
      </c>
      <c r="T4932" s="1">
        <v>13</v>
      </c>
      <c r="U4932" s="1">
        <v>0</v>
      </c>
      <c r="V4932" s="1" t="str">
        <f t="shared" ref="V4932:V4946" si="944">"里程去程"</f>
        <v>里程去程</v>
      </c>
      <c r="W4932" s="1" t="str">
        <f>"0020"</f>
        <v>0020</v>
      </c>
      <c r="X4932" s="1" t="s">
        <v>29</v>
      </c>
    </row>
    <row r="4933" spans="1:24" x14ac:dyDescent="0.3">
      <c r="A4933" s="1" t="str">
        <f t="shared" si="941"/>
        <v>59809</v>
      </c>
      <c r="B4933" s="1" t="s">
        <v>42</v>
      </c>
      <c r="C4933" s="1" t="s">
        <v>43</v>
      </c>
      <c r="D4933" s="1" t="str">
        <f t="shared" ref="D4933:D4955" si="945">"9801"</f>
        <v>9801</v>
      </c>
      <c r="E4933" s="1" t="s">
        <v>25</v>
      </c>
      <c r="F4933" s="1" t="str">
        <f>"42AFE60209880400C834002000000015"</f>
        <v>42AFE60209880400C834002000000015</v>
      </c>
      <c r="G4933" s="1" t="s">
        <v>74</v>
      </c>
      <c r="H4933" s="1" t="str">
        <f t="shared" si="942"/>
        <v>20220923</v>
      </c>
      <c r="I4933" s="1" t="str">
        <f>"105646"</f>
        <v>105646</v>
      </c>
      <c r="J4933" s="1" t="s">
        <v>52</v>
      </c>
      <c r="K4933" s="1" t="s">
        <v>52</v>
      </c>
      <c r="L4933" s="1" t="str">
        <f t="shared" si="943"/>
        <v>20220923</v>
      </c>
      <c r="M4933" s="1" t="str">
        <f>"111523"</f>
        <v>111523</v>
      </c>
      <c r="N4933" s="1" t="s">
        <v>80</v>
      </c>
      <c r="O4933" s="1" t="s">
        <v>52</v>
      </c>
      <c r="P4933" s="1" t="s">
        <v>68</v>
      </c>
      <c r="Q4933" s="1">
        <v>13</v>
      </c>
      <c r="R4933" s="1">
        <v>0</v>
      </c>
      <c r="S4933" s="1">
        <v>0</v>
      </c>
      <c r="T4933" s="1">
        <v>13</v>
      </c>
      <c r="U4933" s="1">
        <v>0</v>
      </c>
      <c r="V4933" s="1" t="str">
        <f t="shared" si="944"/>
        <v>里程去程</v>
      </c>
      <c r="W4933" s="1" t="str">
        <f>"0020"</f>
        <v>0020</v>
      </c>
      <c r="X4933" s="1" t="s">
        <v>29</v>
      </c>
    </row>
    <row r="4934" spans="1:24" x14ac:dyDescent="0.3">
      <c r="A4934" s="1" t="str">
        <f t="shared" si="941"/>
        <v>59809</v>
      </c>
      <c r="B4934" s="1" t="s">
        <v>42</v>
      </c>
      <c r="C4934" s="1" t="s">
        <v>43</v>
      </c>
      <c r="D4934" s="1" t="str">
        <f t="shared" si="945"/>
        <v>9801</v>
      </c>
      <c r="E4934" s="1" t="s">
        <v>25</v>
      </c>
      <c r="F4934" s="1" t="str">
        <f>"8227D00277880400C834002000000015"</f>
        <v>8227D00277880400C834002000000015</v>
      </c>
      <c r="G4934" s="1" t="s">
        <v>26</v>
      </c>
      <c r="H4934" s="1" t="str">
        <f t="shared" si="942"/>
        <v>20220923</v>
      </c>
      <c r="I4934" s="1" t="str">
        <f>"112004"</f>
        <v>112004</v>
      </c>
      <c r="J4934" s="1" t="s">
        <v>69</v>
      </c>
      <c r="K4934" s="1" t="s">
        <v>52</v>
      </c>
      <c r="L4934" s="1" t="str">
        <f t="shared" si="943"/>
        <v>20220923</v>
      </c>
      <c r="M4934" s="1" t="str">
        <f>"113105"</f>
        <v>113105</v>
      </c>
      <c r="N4934" s="1" t="s">
        <v>70</v>
      </c>
      <c r="O4934" s="1" t="s">
        <v>28</v>
      </c>
      <c r="P4934" s="1" t="s">
        <v>68</v>
      </c>
      <c r="Q4934" s="1">
        <v>13</v>
      </c>
      <c r="R4934" s="1">
        <v>0</v>
      </c>
      <c r="S4934" s="1">
        <v>0</v>
      </c>
      <c r="T4934" s="1">
        <v>13</v>
      </c>
      <c r="U4934" s="1">
        <v>0</v>
      </c>
      <c r="V4934" s="1" t="str">
        <f t="shared" si="944"/>
        <v>里程去程</v>
      </c>
      <c r="W4934" s="1" t="str">
        <f>"0020"</f>
        <v>0020</v>
      </c>
      <c r="X4934" s="1" t="s">
        <v>29</v>
      </c>
    </row>
    <row r="4935" spans="1:24" x14ac:dyDescent="0.3">
      <c r="A4935" s="1" t="str">
        <f t="shared" si="941"/>
        <v>59809</v>
      </c>
      <c r="B4935" s="1" t="s">
        <v>42</v>
      </c>
      <c r="C4935" s="1" t="s">
        <v>43</v>
      </c>
      <c r="D4935" s="1" t="str">
        <f t="shared" si="945"/>
        <v>9801</v>
      </c>
      <c r="E4935" s="1" t="s">
        <v>25</v>
      </c>
      <c r="F4935" s="1" t="str">
        <f>"32780D0344880400C834002000000015"</f>
        <v>32780D0344880400C834002000000015</v>
      </c>
      <c r="G4935" s="1" t="s">
        <v>26</v>
      </c>
      <c r="H4935" s="1" t="str">
        <f t="shared" si="942"/>
        <v>20220923</v>
      </c>
      <c r="I4935" s="1" t="str">
        <f>"120710"</f>
        <v>120710</v>
      </c>
      <c r="J4935" s="1" t="s">
        <v>51</v>
      </c>
      <c r="K4935" s="1" t="s">
        <v>52</v>
      </c>
      <c r="L4935" s="1" t="str">
        <f t="shared" si="943"/>
        <v>20220923</v>
      </c>
      <c r="M4935" s="1" t="str">
        <f>"123218"</f>
        <v>123218</v>
      </c>
      <c r="N4935" s="1" t="s">
        <v>70</v>
      </c>
      <c r="O4935" s="1" t="s">
        <v>28</v>
      </c>
      <c r="P4935" s="1" t="s">
        <v>68</v>
      </c>
      <c r="Q4935" s="1">
        <v>13</v>
      </c>
      <c r="R4935" s="1">
        <v>0</v>
      </c>
      <c r="S4935" s="1">
        <v>0</v>
      </c>
      <c r="T4935" s="1">
        <v>13</v>
      </c>
      <c r="U4935" s="1">
        <v>0</v>
      </c>
      <c r="V4935" s="1" t="str">
        <f t="shared" si="944"/>
        <v>里程去程</v>
      </c>
      <c r="W4935" s="1" t="str">
        <f>"0020"</f>
        <v>0020</v>
      </c>
      <c r="X4935" s="1" t="s">
        <v>29</v>
      </c>
    </row>
    <row r="4936" spans="1:24" x14ac:dyDescent="0.3">
      <c r="A4936" s="1" t="str">
        <f t="shared" si="941"/>
        <v>59809</v>
      </c>
      <c r="B4936" s="1" t="s">
        <v>42</v>
      </c>
      <c r="C4936" s="1" t="s">
        <v>43</v>
      </c>
      <c r="D4936" s="1" t="str">
        <f t="shared" si="945"/>
        <v>9801</v>
      </c>
      <c r="E4936" s="1" t="s">
        <v>25</v>
      </c>
      <c r="F4936" s="1" t="str">
        <f>"1526871937"</f>
        <v>1526871937</v>
      </c>
      <c r="G4936" s="1" t="s">
        <v>33</v>
      </c>
      <c r="H4936" s="1" t="str">
        <f t="shared" si="942"/>
        <v>20220923</v>
      </c>
      <c r="I4936" s="1" t="str">
        <f>"122511"</f>
        <v>122511</v>
      </c>
      <c r="J4936" s="1" t="s">
        <v>67</v>
      </c>
      <c r="K4936" s="1" t="s">
        <v>52</v>
      </c>
      <c r="L4936" s="1" t="str">
        <f t="shared" si="943"/>
        <v>20220923</v>
      </c>
      <c r="M4936" s="1" t="str">
        <f>"123339"</f>
        <v>123339</v>
      </c>
      <c r="N4936" s="1" t="s">
        <v>70</v>
      </c>
      <c r="O4936" s="1" t="s">
        <v>28</v>
      </c>
      <c r="P4936" s="1" t="s">
        <v>55</v>
      </c>
      <c r="Q4936" s="1">
        <v>25</v>
      </c>
      <c r="R4936" s="1">
        <v>25</v>
      </c>
      <c r="S4936" s="1">
        <v>0</v>
      </c>
      <c r="T4936" s="1">
        <v>0</v>
      </c>
      <c r="U4936" s="1">
        <v>0</v>
      </c>
      <c r="V4936" s="1" t="str">
        <f t="shared" si="944"/>
        <v>里程去程</v>
      </c>
      <c r="W4936" s="1" t="str">
        <f>"1420"</f>
        <v>1420</v>
      </c>
      <c r="X4936" s="1" t="s">
        <v>35</v>
      </c>
    </row>
    <row r="4937" spans="1:24" x14ac:dyDescent="0.3">
      <c r="A4937" s="1" t="str">
        <f t="shared" si="941"/>
        <v>59809</v>
      </c>
      <c r="B4937" s="1" t="s">
        <v>42</v>
      </c>
      <c r="C4937" s="1" t="s">
        <v>43</v>
      </c>
      <c r="D4937" s="1" t="str">
        <f t="shared" si="945"/>
        <v>9801</v>
      </c>
      <c r="E4937" s="1" t="s">
        <v>25</v>
      </c>
      <c r="F4937" s="1" t="str">
        <f>"1917481873"</f>
        <v>1917481873</v>
      </c>
      <c r="G4937" s="1" t="s">
        <v>33</v>
      </c>
      <c r="H4937" s="1" t="str">
        <f t="shared" si="942"/>
        <v>20220923</v>
      </c>
      <c r="I4937" s="1" t="str">
        <f>"123358"</f>
        <v>123358</v>
      </c>
      <c r="J4937" s="1" t="s">
        <v>27</v>
      </c>
      <c r="K4937" s="1" t="s">
        <v>28</v>
      </c>
      <c r="L4937" s="1" t="str">
        <f t="shared" si="943"/>
        <v>20220923</v>
      </c>
      <c r="M4937" s="1" t="str">
        <f>"125313"</f>
        <v>125313</v>
      </c>
      <c r="N4937" s="1" t="s">
        <v>44</v>
      </c>
      <c r="O4937" s="1" t="s">
        <v>45</v>
      </c>
      <c r="P4937" s="1" t="s">
        <v>55</v>
      </c>
      <c r="Q4937" s="1">
        <v>25</v>
      </c>
      <c r="R4937" s="1">
        <v>25</v>
      </c>
      <c r="S4937" s="1">
        <v>0</v>
      </c>
      <c r="T4937" s="1">
        <v>0</v>
      </c>
      <c r="U4937" s="1">
        <v>0</v>
      </c>
      <c r="V4937" s="1" t="str">
        <f t="shared" si="944"/>
        <v>里程去程</v>
      </c>
      <c r="W4937" s="1" t="str">
        <f>"0820"</f>
        <v>0820</v>
      </c>
      <c r="X4937" s="1" t="s">
        <v>35</v>
      </c>
    </row>
    <row r="4938" spans="1:24" x14ac:dyDescent="0.3">
      <c r="A4938" s="1" t="str">
        <f t="shared" si="941"/>
        <v>59809</v>
      </c>
      <c r="B4938" s="1" t="s">
        <v>42</v>
      </c>
      <c r="C4938" s="1" t="s">
        <v>43</v>
      </c>
      <c r="D4938" s="1" t="str">
        <f t="shared" si="945"/>
        <v>9801</v>
      </c>
      <c r="E4938" s="1" t="s">
        <v>25</v>
      </c>
      <c r="F4938" s="1" t="str">
        <f>"F25B1B03B1880400C834002000000015"</f>
        <v>F25B1B03B1880400C834002000000015</v>
      </c>
      <c r="G4938" s="1" t="s">
        <v>26</v>
      </c>
      <c r="H4938" s="1" t="str">
        <f t="shared" si="942"/>
        <v>20220923</v>
      </c>
      <c r="I4938" s="1" t="str">
        <f>"130552"</f>
        <v>130552</v>
      </c>
      <c r="J4938" s="1" t="s">
        <v>60</v>
      </c>
      <c r="K4938" s="1" t="s">
        <v>52</v>
      </c>
      <c r="L4938" s="1" t="str">
        <f t="shared" si="943"/>
        <v>20220923</v>
      </c>
      <c r="M4938" s="1" t="str">
        <f>"132933"</f>
        <v>132933</v>
      </c>
      <c r="N4938" s="1" t="s">
        <v>70</v>
      </c>
      <c r="O4938" s="1" t="s">
        <v>28</v>
      </c>
      <c r="P4938" s="1" t="s">
        <v>68</v>
      </c>
      <c r="Q4938" s="1">
        <v>13</v>
      </c>
      <c r="R4938" s="1">
        <v>0</v>
      </c>
      <c r="S4938" s="1">
        <v>0</v>
      </c>
      <c r="T4938" s="1">
        <v>13</v>
      </c>
      <c r="U4938" s="1">
        <v>0</v>
      </c>
      <c r="V4938" s="1" t="str">
        <f t="shared" si="944"/>
        <v>里程去程</v>
      </c>
      <c r="W4938" s="1" t="str">
        <f>"0020"</f>
        <v>0020</v>
      </c>
      <c r="X4938" s="1" t="s">
        <v>29</v>
      </c>
    </row>
    <row r="4939" spans="1:24" x14ac:dyDescent="0.3">
      <c r="A4939" s="1" t="str">
        <f t="shared" si="941"/>
        <v>59809</v>
      </c>
      <c r="B4939" s="1" t="s">
        <v>42</v>
      </c>
      <c r="C4939" s="1" t="s">
        <v>43</v>
      </c>
      <c r="D4939" s="1" t="str">
        <f t="shared" si="945"/>
        <v>9801</v>
      </c>
      <c r="E4939" s="1" t="s">
        <v>25</v>
      </c>
      <c r="F4939" s="1" t="str">
        <f>"82D5FB02AE880400C834002000000015"</f>
        <v>82D5FB02AE880400C834002000000015</v>
      </c>
      <c r="G4939" s="1" t="s">
        <v>26</v>
      </c>
      <c r="H4939" s="1" t="str">
        <f t="shared" si="942"/>
        <v>20220923</v>
      </c>
      <c r="I4939" s="1" t="str">
        <f>"130758"</f>
        <v>130758</v>
      </c>
      <c r="J4939" s="1" t="s">
        <v>51</v>
      </c>
      <c r="K4939" s="1" t="s">
        <v>52</v>
      </c>
      <c r="L4939" s="1" t="str">
        <f t="shared" si="943"/>
        <v>20220923</v>
      </c>
      <c r="M4939" s="1" t="str">
        <f>"131115"</f>
        <v>131115</v>
      </c>
      <c r="N4939" s="1" t="s">
        <v>65</v>
      </c>
      <c r="O4939" s="1" t="s">
        <v>52</v>
      </c>
      <c r="P4939" s="1" t="s">
        <v>68</v>
      </c>
      <c r="Q4939" s="1">
        <v>13</v>
      </c>
      <c r="R4939" s="1">
        <v>0</v>
      </c>
      <c r="S4939" s="1">
        <v>0</v>
      </c>
      <c r="T4939" s="1">
        <v>13</v>
      </c>
      <c r="U4939" s="1">
        <v>0</v>
      </c>
      <c r="V4939" s="1" t="str">
        <f t="shared" si="944"/>
        <v>里程去程</v>
      </c>
      <c r="W4939" s="1" t="str">
        <f>"0020"</f>
        <v>0020</v>
      </c>
      <c r="X4939" s="1" t="s">
        <v>29</v>
      </c>
    </row>
    <row r="4940" spans="1:24" x14ac:dyDescent="0.3">
      <c r="A4940" s="1" t="str">
        <f t="shared" si="941"/>
        <v>59809</v>
      </c>
      <c r="B4940" s="1" t="s">
        <v>42</v>
      </c>
      <c r="C4940" s="1" t="s">
        <v>43</v>
      </c>
      <c r="D4940" s="1" t="str">
        <f t="shared" si="945"/>
        <v>9801</v>
      </c>
      <c r="E4940" s="1" t="s">
        <v>25</v>
      </c>
      <c r="F4940" s="1" t="str">
        <f>"F27CE6026A880400C834002000000015"</f>
        <v>F27CE6026A880400C834002000000015</v>
      </c>
      <c r="G4940" s="1" t="s">
        <v>74</v>
      </c>
      <c r="H4940" s="1" t="str">
        <f t="shared" si="942"/>
        <v>20220923</v>
      </c>
      <c r="I4940" s="1" t="str">
        <f>"145827"</f>
        <v>145827</v>
      </c>
      <c r="J4940" s="1" t="s">
        <v>52</v>
      </c>
      <c r="K4940" s="1" t="s">
        <v>52</v>
      </c>
      <c r="L4940" s="1" t="str">
        <f t="shared" si="943"/>
        <v>20220923</v>
      </c>
      <c r="M4940" s="1" t="str">
        <f>"150601"</f>
        <v>150601</v>
      </c>
      <c r="N4940" s="1" t="s">
        <v>60</v>
      </c>
      <c r="O4940" s="1" t="s">
        <v>52</v>
      </c>
      <c r="P4940" s="1" t="s">
        <v>68</v>
      </c>
      <c r="Q4940" s="1">
        <v>13</v>
      </c>
      <c r="R4940" s="1">
        <v>0</v>
      </c>
      <c r="S4940" s="1">
        <v>0</v>
      </c>
      <c r="T4940" s="1">
        <v>13</v>
      </c>
      <c r="U4940" s="1">
        <v>0</v>
      </c>
      <c r="V4940" s="1" t="str">
        <f t="shared" si="944"/>
        <v>里程去程</v>
      </c>
      <c r="W4940" s="1" t="str">
        <f>"0020"</f>
        <v>0020</v>
      </c>
      <c r="X4940" s="1" t="s">
        <v>29</v>
      </c>
    </row>
    <row r="4941" spans="1:24" x14ac:dyDescent="0.3">
      <c r="A4941" s="1" t="str">
        <f t="shared" si="941"/>
        <v>59809</v>
      </c>
      <c r="B4941" s="1" t="s">
        <v>42</v>
      </c>
      <c r="C4941" s="1" t="s">
        <v>43</v>
      </c>
      <c r="D4941" s="1" t="str">
        <f t="shared" si="945"/>
        <v>9801</v>
      </c>
      <c r="E4941" s="1" t="s">
        <v>25</v>
      </c>
      <c r="F4941" s="1" t="str">
        <f>"C2F219032A880400C834002000000015"</f>
        <v>C2F219032A880400C834002000000015</v>
      </c>
      <c r="G4941" s="1" t="s">
        <v>26</v>
      </c>
      <c r="H4941" s="1" t="str">
        <f t="shared" si="942"/>
        <v>20220923</v>
      </c>
      <c r="I4941" s="1" t="str">
        <f>"150437"</f>
        <v>150437</v>
      </c>
      <c r="J4941" s="1" t="s">
        <v>86</v>
      </c>
      <c r="K4941" s="1" t="s">
        <v>52</v>
      </c>
      <c r="L4941" s="1" t="str">
        <f t="shared" si="943"/>
        <v>20220923</v>
      </c>
      <c r="M4941" s="1" t="str">
        <f>"150758"</f>
        <v>150758</v>
      </c>
      <c r="N4941" s="1" t="s">
        <v>51</v>
      </c>
      <c r="O4941" s="1" t="s">
        <v>52</v>
      </c>
      <c r="P4941" s="1" t="s">
        <v>68</v>
      </c>
      <c r="Q4941" s="1">
        <v>13</v>
      </c>
      <c r="R4941" s="1">
        <v>0</v>
      </c>
      <c r="S4941" s="1">
        <v>0</v>
      </c>
      <c r="T4941" s="1">
        <v>13</v>
      </c>
      <c r="U4941" s="1">
        <v>0</v>
      </c>
      <c r="V4941" s="1" t="str">
        <f t="shared" si="944"/>
        <v>里程去程</v>
      </c>
      <c r="W4941" s="1" t="str">
        <f>"0020"</f>
        <v>0020</v>
      </c>
      <c r="X4941" s="1" t="s">
        <v>29</v>
      </c>
    </row>
    <row r="4942" spans="1:24" x14ac:dyDescent="0.3">
      <c r="A4942" s="1" t="str">
        <f t="shared" si="941"/>
        <v>59809</v>
      </c>
      <c r="B4942" s="1" t="s">
        <v>42</v>
      </c>
      <c r="C4942" s="1" t="s">
        <v>43</v>
      </c>
      <c r="D4942" s="1" t="str">
        <f t="shared" si="945"/>
        <v>9801</v>
      </c>
      <c r="E4942" s="1" t="s">
        <v>25</v>
      </c>
      <c r="F4942" s="1" t="str">
        <f>"611B15315E280400F700000000000000"</f>
        <v>611B15315E280400F700000000000000</v>
      </c>
      <c r="G4942" s="1" t="s">
        <v>58</v>
      </c>
      <c r="H4942" s="1" t="str">
        <f t="shared" si="942"/>
        <v>20220923</v>
      </c>
      <c r="I4942" s="1" t="str">
        <f>"151234"</f>
        <v>151234</v>
      </c>
      <c r="J4942" s="1" t="s">
        <v>65</v>
      </c>
      <c r="K4942" s="1" t="s">
        <v>52</v>
      </c>
      <c r="L4942" s="1" t="str">
        <f t="shared" si="943"/>
        <v>20220923</v>
      </c>
      <c r="M4942" s="1" t="str">
        <f>"152836"</f>
        <v>152836</v>
      </c>
      <c r="N4942" s="1" t="s">
        <v>70</v>
      </c>
      <c r="O4942" s="1" t="s">
        <v>28</v>
      </c>
      <c r="P4942" s="1" t="s">
        <v>55</v>
      </c>
      <c r="Q4942" s="1">
        <v>25</v>
      </c>
      <c r="R4942" s="1">
        <v>25</v>
      </c>
      <c r="S4942" s="1">
        <v>0</v>
      </c>
      <c r="T4942" s="1">
        <v>0</v>
      </c>
      <c r="U4942" s="1">
        <v>0</v>
      </c>
      <c r="V4942" s="1" t="str">
        <f t="shared" si="944"/>
        <v>里程去程</v>
      </c>
      <c r="W4942" s="1" t="str">
        <f>"0020"</f>
        <v>0020</v>
      </c>
      <c r="X4942" s="1" t="s">
        <v>29</v>
      </c>
    </row>
    <row r="4943" spans="1:24" x14ac:dyDescent="0.3">
      <c r="A4943" s="1" t="str">
        <f t="shared" si="941"/>
        <v>59809</v>
      </c>
      <c r="B4943" s="1" t="s">
        <v>42</v>
      </c>
      <c r="C4943" s="1" t="s">
        <v>43</v>
      </c>
      <c r="D4943" s="1" t="str">
        <f t="shared" si="945"/>
        <v>9801</v>
      </c>
      <c r="E4943" s="1" t="s">
        <v>25</v>
      </c>
      <c r="F4943" s="1" t="str">
        <f>"814142689"</f>
        <v>814142689</v>
      </c>
      <c r="G4943" s="1" t="s">
        <v>26</v>
      </c>
      <c r="H4943" s="1" t="str">
        <f t="shared" si="942"/>
        <v>20220923</v>
      </c>
      <c r="I4943" s="1" t="str">
        <f>"151449"</f>
        <v>151449</v>
      </c>
      <c r="J4943" s="1" t="s">
        <v>80</v>
      </c>
      <c r="K4943" s="1" t="s">
        <v>52</v>
      </c>
      <c r="L4943" s="1" t="str">
        <f t="shared" si="943"/>
        <v>20220923</v>
      </c>
      <c r="M4943" s="1" t="str">
        <f>"152842"</f>
        <v>152842</v>
      </c>
      <c r="N4943" s="1" t="s">
        <v>70</v>
      </c>
      <c r="O4943" s="1" t="s">
        <v>28</v>
      </c>
      <c r="P4943" s="1" t="s">
        <v>55</v>
      </c>
      <c r="Q4943" s="1">
        <v>13</v>
      </c>
      <c r="R4943" s="1">
        <v>13</v>
      </c>
      <c r="S4943" s="1">
        <v>0</v>
      </c>
      <c r="T4943" s="1">
        <v>0</v>
      </c>
      <c r="U4943" s="1">
        <v>0</v>
      </c>
      <c r="V4943" s="1" t="str">
        <f t="shared" si="944"/>
        <v>里程去程</v>
      </c>
      <c r="W4943" s="1" t="str">
        <f>"2020"</f>
        <v>2020</v>
      </c>
      <c r="X4943" s="1" t="s">
        <v>35</v>
      </c>
    </row>
    <row r="4944" spans="1:24" x14ac:dyDescent="0.3">
      <c r="A4944" s="1" t="str">
        <f t="shared" si="941"/>
        <v>59809</v>
      </c>
      <c r="B4944" s="1" t="s">
        <v>42</v>
      </c>
      <c r="C4944" s="1" t="s">
        <v>43</v>
      </c>
      <c r="D4944" s="1" t="str">
        <f t="shared" si="945"/>
        <v>9801</v>
      </c>
      <c r="E4944" s="1" t="s">
        <v>25</v>
      </c>
      <c r="F4944" s="1" t="str">
        <f>"888690417"</f>
        <v>888690417</v>
      </c>
      <c r="G4944" s="1" t="s">
        <v>26</v>
      </c>
      <c r="H4944" s="1" t="str">
        <f t="shared" si="942"/>
        <v>20220923</v>
      </c>
      <c r="I4944" s="1" t="str">
        <f>"151451"</f>
        <v>151451</v>
      </c>
      <c r="J4944" s="1" t="s">
        <v>80</v>
      </c>
      <c r="K4944" s="1" t="s">
        <v>52</v>
      </c>
      <c r="L4944" s="1" t="str">
        <f t="shared" si="943"/>
        <v>20220923</v>
      </c>
      <c r="M4944" s="1" t="str">
        <f>"152840"</f>
        <v>152840</v>
      </c>
      <c r="N4944" s="1" t="s">
        <v>70</v>
      </c>
      <c r="O4944" s="1" t="s">
        <v>28</v>
      </c>
      <c r="P4944" s="1" t="s">
        <v>55</v>
      </c>
      <c r="Q4944" s="1">
        <v>13</v>
      </c>
      <c r="R4944" s="1">
        <v>13</v>
      </c>
      <c r="S4944" s="1">
        <v>0</v>
      </c>
      <c r="T4944" s="1">
        <v>0</v>
      </c>
      <c r="U4944" s="1">
        <v>0</v>
      </c>
      <c r="V4944" s="1" t="str">
        <f t="shared" si="944"/>
        <v>里程去程</v>
      </c>
      <c r="W4944" s="1" t="str">
        <f>"2020"</f>
        <v>2020</v>
      </c>
      <c r="X4944" s="1" t="s">
        <v>35</v>
      </c>
    </row>
    <row r="4945" spans="1:24" x14ac:dyDescent="0.3">
      <c r="A4945" s="1" t="str">
        <f t="shared" si="941"/>
        <v>59809</v>
      </c>
      <c r="B4945" s="1" t="s">
        <v>42</v>
      </c>
      <c r="C4945" s="1" t="s">
        <v>43</v>
      </c>
      <c r="D4945" s="1" t="str">
        <f t="shared" si="945"/>
        <v>9801</v>
      </c>
      <c r="E4945" s="1" t="s">
        <v>25</v>
      </c>
      <c r="F4945" s="1" t="str">
        <f>"C2C219031A880400C834002000000015"</f>
        <v>C2C219031A880400C834002000000015</v>
      </c>
      <c r="G4945" s="1" t="s">
        <v>74</v>
      </c>
      <c r="H4945" s="1" t="str">
        <f t="shared" si="942"/>
        <v>20220923</v>
      </c>
      <c r="I4945" s="1" t="str">
        <f>"160722"</f>
        <v>160722</v>
      </c>
      <c r="J4945" s="1" t="s">
        <v>60</v>
      </c>
      <c r="K4945" s="1" t="s">
        <v>52</v>
      </c>
      <c r="L4945" s="1" t="str">
        <f t="shared" si="943"/>
        <v>20220923</v>
      </c>
      <c r="M4945" s="1" t="str">
        <f>"161741"</f>
        <v>161741</v>
      </c>
      <c r="N4945" s="1" t="s">
        <v>97</v>
      </c>
      <c r="O4945" s="1" t="s">
        <v>52</v>
      </c>
      <c r="P4945" s="1" t="s">
        <v>68</v>
      </c>
      <c r="Q4945" s="1">
        <v>13</v>
      </c>
      <c r="R4945" s="1">
        <v>0</v>
      </c>
      <c r="S4945" s="1">
        <v>0</v>
      </c>
      <c r="T4945" s="1">
        <v>13</v>
      </c>
      <c r="U4945" s="1">
        <v>0</v>
      </c>
      <c r="V4945" s="1" t="str">
        <f t="shared" si="944"/>
        <v>里程去程</v>
      </c>
      <c r="W4945" s="1" t="str">
        <f>"0020"</f>
        <v>0020</v>
      </c>
      <c r="X4945" s="1" t="s">
        <v>29</v>
      </c>
    </row>
    <row r="4946" spans="1:24" x14ac:dyDescent="0.3">
      <c r="A4946" s="1" t="str">
        <f t="shared" si="941"/>
        <v>59809</v>
      </c>
      <c r="B4946" s="1" t="s">
        <v>42</v>
      </c>
      <c r="C4946" s="1" t="s">
        <v>43</v>
      </c>
      <c r="D4946" s="1" t="str">
        <f t="shared" si="945"/>
        <v>9801</v>
      </c>
      <c r="E4946" s="1" t="s">
        <v>25</v>
      </c>
      <c r="F4946" s="1" t="str">
        <f>"8227D00277880400C834002000000015"</f>
        <v>8227D00277880400C834002000000015</v>
      </c>
      <c r="G4946" s="1" t="s">
        <v>26</v>
      </c>
      <c r="H4946" s="1" t="str">
        <f t="shared" si="942"/>
        <v>20220923</v>
      </c>
      <c r="I4946" s="1" t="str">
        <f>"162830"</f>
        <v>162830</v>
      </c>
      <c r="J4946" s="1" t="s">
        <v>83</v>
      </c>
      <c r="K4946" s="1" t="s">
        <v>52</v>
      </c>
      <c r="L4946" s="1" t="str">
        <f t="shared" si="943"/>
        <v>20220923</v>
      </c>
      <c r="M4946" s="1" t="str">
        <f>"163500"</f>
        <v>163500</v>
      </c>
      <c r="N4946" s="1" t="s">
        <v>70</v>
      </c>
      <c r="O4946" s="1" t="s">
        <v>28</v>
      </c>
      <c r="P4946" s="1" t="s">
        <v>68</v>
      </c>
      <c r="Q4946" s="1">
        <v>13</v>
      </c>
      <c r="R4946" s="1">
        <v>0</v>
      </c>
      <c r="S4946" s="1">
        <v>0</v>
      </c>
      <c r="T4946" s="1">
        <v>13</v>
      </c>
      <c r="U4946" s="1">
        <v>0</v>
      </c>
      <c r="V4946" s="1" t="str">
        <f t="shared" si="944"/>
        <v>里程去程</v>
      </c>
      <c r="W4946" s="1" t="str">
        <f>"0020"</f>
        <v>0020</v>
      </c>
      <c r="X4946" s="1" t="s">
        <v>29</v>
      </c>
    </row>
    <row r="4947" spans="1:24" x14ac:dyDescent="0.3">
      <c r="A4947" s="1" t="str">
        <f t="shared" si="941"/>
        <v>59809</v>
      </c>
      <c r="B4947" s="1" t="s">
        <v>42</v>
      </c>
      <c r="C4947" s="1" t="s">
        <v>43</v>
      </c>
      <c r="D4947" s="1" t="str">
        <f t="shared" si="945"/>
        <v>9801</v>
      </c>
      <c r="E4947" s="1" t="s">
        <v>25</v>
      </c>
      <c r="F4947" s="1" t="str">
        <f>"422AE7028D880400C834002000000015"</f>
        <v>422AE7028D880400C834002000000015</v>
      </c>
      <c r="G4947" s="1" t="s">
        <v>74</v>
      </c>
      <c r="H4947" s="1" t="str">
        <f t="shared" si="942"/>
        <v>20220923</v>
      </c>
      <c r="I4947" s="1" t="str">
        <f>"172436"</f>
        <v>172436</v>
      </c>
      <c r="J4947" s="1" t="s">
        <v>44</v>
      </c>
      <c r="K4947" s="1" t="s">
        <v>45</v>
      </c>
      <c r="L4947" s="1" t="str">
        <f t="shared" si="943"/>
        <v>20220923</v>
      </c>
      <c r="M4947" s="1" t="str">
        <f>"175052"</f>
        <v>175052</v>
      </c>
      <c r="N4947" s="1" t="s">
        <v>28</v>
      </c>
      <c r="O4947" s="1" t="s">
        <v>28</v>
      </c>
      <c r="P4947" s="1" t="s">
        <v>68</v>
      </c>
      <c r="Q4947" s="1">
        <v>13</v>
      </c>
      <c r="R4947" s="1">
        <v>0</v>
      </c>
      <c r="S4947" s="1">
        <v>0</v>
      </c>
      <c r="T4947" s="1">
        <v>13</v>
      </c>
      <c r="U4947" s="1">
        <v>0</v>
      </c>
      <c r="V4947" s="1" t="str">
        <f t="shared" ref="V4947:V4954" si="946">"里程返程"</f>
        <v>里程返程</v>
      </c>
      <c r="W4947" s="1" t="str">
        <f>"0020"</f>
        <v>0020</v>
      </c>
      <c r="X4947" s="1" t="s">
        <v>29</v>
      </c>
    </row>
    <row r="4948" spans="1:24" x14ac:dyDescent="0.3">
      <c r="A4948" s="1" t="str">
        <f t="shared" si="941"/>
        <v>59809</v>
      </c>
      <c r="B4948" s="1" t="s">
        <v>42</v>
      </c>
      <c r="C4948" s="1" t="s">
        <v>43</v>
      </c>
      <c r="D4948" s="1" t="str">
        <f t="shared" si="945"/>
        <v>9801</v>
      </c>
      <c r="E4948" s="1" t="s">
        <v>25</v>
      </c>
      <c r="F4948" s="1" t="str">
        <f>"595029601"</f>
        <v>595029601</v>
      </c>
      <c r="G4948" s="1" t="s">
        <v>33</v>
      </c>
      <c r="H4948" s="1" t="str">
        <f t="shared" si="942"/>
        <v>20220923</v>
      </c>
      <c r="I4948" s="1" t="str">
        <f>"172441"</f>
        <v>172441</v>
      </c>
      <c r="J4948" s="1" t="s">
        <v>44</v>
      </c>
      <c r="K4948" s="1" t="s">
        <v>45</v>
      </c>
      <c r="L4948" s="1" t="str">
        <f t="shared" si="943"/>
        <v>20220923</v>
      </c>
      <c r="M4948" s="1" t="str">
        <f>"175054"</f>
        <v>175054</v>
      </c>
      <c r="N4948" s="1" t="s">
        <v>28</v>
      </c>
      <c r="O4948" s="1" t="s">
        <v>28</v>
      </c>
      <c r="P4948" s="1" t="s">
        <v>55</v>
      </c>
      <c r="Q4948" s="1">
        <v>25</v>
      </c>
      <c r="R4948" s="1">
        <v>25</v>
      </c>
      <c r="S4948" s="1">
        <v>0</v>
      </c>
      <c r="T4948" s="1">
        <v>0</v>
      </c>
      <c r="U4948" s="1">
        <v>0</v>
      </c>
      <c r="V4948" s="1" t="str">
        <f t="shared" si="946"/>
        <v>里程返程</v>
      </c>
      <c r="W4948" s="1" t="str">
        <f>"2020"</f>
        <v>2020</v>
      </c>
      <c r="X4948" s="1" t="s">
        <v>35</v>
      </c>
    </row>
    <row r="4949" spans="1:24" x14ac:dyDescent="0.3">
      <c r="A4949" s="1" t="str">
        <f t="shared" si="941"/>
        <v>59809</v>
      </c>
      <c r="B4949" s="1" t="s">
        <v>42</v>
      </c>
      <c r="C4949" s="1" t="s">
        <v>43</v>
      </c>
      <c r="D4949" s="1" t="str">
        <f t="shared" si="945"/>
        <v>9801</v>
      </c>
      <c r="E4949" s="1" t="s">
        <v>25</v>
      </c>
      <c r="F4949" s="1" t="str">
        <f>"1083934641"</f>
        <v>1083934641</v>
      </c>
      <c r="G4949" s="1" t="s">
        <v>33</v>
      </c>
      <c r="H4949" s="1" t="str">
        <f t="shared" si="942"/>
        <v>20220923</v>
      </c>
      <c r="I4949" s="1" t="str">
        <f>"175105"</f>
        <v>175105</v>
      </c>
      <c r="J4949" s="1" t="s">
        <v>28</v>
      </c>
      <c r="K4949" s="1" t="s">
        <v>28</v>
      </c>
      <c r="L4949" s="1" t="str">
        <f t="shared" si="943"/>
        <v>20220923</v>
      </c>
      <c r="M4949" s="1" t="str">
        <f>"182646"</f>
        <v>182646</v>
      </c>
      <c r="N4949" s="1" t="s">
        <v>51</v>
      </c>
      <c r="O4949" s="1" t="s">
        <v>52</v>
      </c>
      <c r="P4949" s="1" t="s">
        <v>55</v>
      </c>
      <c r="Q4949" s="1">
        <v>25</v>
      </c>
      <c r="R4949" s="1">
        <v>25</v>
      </c>
      <c r="S4949" s="1">
        <v>0</v>
      </c>
      <c r="T4949" s="1">
        <v>0</v>
      </c>
      <c r="U4949" s="1">
        <v>0</v>
      </c>
      <c r="V4949" s="1" t="str">
        <f t="shared" si="946"/>
        <v>里程返程</v>
      </c>
      <c r="W4949" s="1" t="str">
        <f>"0120"</f>
        <v>0120</v>
      </c>
      <c r="X4949" s="1" t="s">
        <v>35</v>
      </c>
    </row>
    <row r="4950" spans="1:24" x14ac:dyDescent="0.3">
      <c r="A4950" s="1" t="str">
        <f t="shared" si="941"/>
        <v>59809</v>
      </c>
      <c r="B4950" s="1" t="s">
        <v>42</v>
      </c>
      <c r="C4950" s="1" t="s">
        <v>43</v>
      </c>
      <c r="D4950" s="1" t="str">
        <f t="shared" si="945"/>
        <v>9801</v>
      </c>
      <c r="E4950" s="1" t="s">
        <v>25</v>
      </c>
      <c r="F4950" s="1" t="str">
        <f>"728910561"</f>
        <v>728910561</v>
      </c>
      <c r="G4950" s="1" t="s">
        <v>33</v>
      </c>
      <c r="H4950" s="1" t="str">
        <f t="shared" si="942"/>
        <v>20220923</v>
      </c>
      <c r="I4950" s="1" t="str">
        <f>"175108"</f>
        <v>175108</v>
      </c>
      <c r="J4950" s="1" t="s">
        <v>28</v>
      </c>
      <c r="K4950" s="1" t="s">
        <v>28</v>
      </c>
      <c r="L4950" s="1" t="str">
        <f t="shared" si="943"/>
        <v>20220923</v>
      </c>
      <c r="M4950" s="1" t="str">
        <f>"182643"</f>
        <v>182643</v>
      </c>
      <c r="N4950" s="1" t="s">
        <v>51</v>
      </c>
      <c r="O4950" s="1" t="s">
        <v>52</v>
      </c>
      <c r="P4950" s="1" t="s">
        <v>55</v>
      </c>
      <c r="Q4950" s="1">
        <v>25</v>
      </c>
      <c r="R4950" s="1">
        <v>25</v>
      </c>
      <c r="S4950" s="1">
        <v>0</v>
      </c>
      <c r="T4950" s="1">
        <v>0</v>
      </c>
      <c r="U4950" s="1">
        <v>0</v>
      </c>
      <c r="V4950" s="1" t="str">
        <f t="shared" si="946"/>
        <v>里程返程</v>
      </c>
      <c r="W4950" s="1" t="str">
        <f>"0120"</f>
        <v>0120</v>
      </c>
      <c r="X4950" s="1" t="s">
        <v>35</v>
      </c>
    </row>
    <row r="4951" spans="1:24" x14ac:dyDescent="0.3">
      <c r="A4951" s="1" t="str">
        <f t="shared" si="941"/>
        <v>59809</v>
      </c>
      <c r="B4951" s="1" t="s">
        <v>42</v>
      </c>
      <c r="C4951" s="1" t="s">
        <v>111</v>
      </c>
      <c r="D4951" s="1" t="str">
        <f t="shared" si="945"/>
        <v>9801</v>
      </c>
      <c r="E4951" s="1" t="s">
        <v>25</v>
      </c>
      <c r="F4951" s="1" t="str">
        <f>"7111211230001246"</f>
        <v>7111211230001246</v>
      </c>
      <c r="G4951" s="1" t="s">
        <v>33</v>
      </c>
      <c r="H4951" s="1" t="str">
        <f t="shared" si="942"/>
        <v>20220923</v>
      </c>
      <c r="I4951" s="1" t="str">
        <f>"183244"</f>
        <v>183244</v>
      </c>
      <c r="J4951" s="1" t="s">
        <v>44</v>
      </c>
      <c r="K4951" s="1" t="s">
        <v>45</v>
      </c>
      <c r="L4951" s="1" t="str">
        <f t="shared" si="943"/>
        <v>20220923</v>
      </c>
      <c r="M4951" s="1" t="str">
        <f>"185452"</f>
        <v>185452</v>
      </c>
      <c r="N4951" s="1" t="s">
        <v>28</v>
      </c>
      <c r="O4951" s="1" t="s">
        <v>28</v>
      </c>
      <c r="P4951" s="1" t="s">
        <v>55</v>
      </c>
      <c r="Q4951" s="1">
        <v>25</v>
      </c>
      <c r="R4951" s="1">
        <v>0</v>
      </c>
      <c r="S4951" s="1">
        <v>25</v>
      </c>
      <c r="T4951" s="1">
        <v>0</v>
      </c>
      <c r="U4951" s="1">
        <v>0</v>
      </c>
      <c r="V4951" s="1" t="str">
        <f t="shared" si="946"/>
        <v>里程返程</v>
      </c>
      <c r="W4951" s="1" t="str">
        <f>"3A3B"</f>
        <v>3A3B</v>
      </c>
      <c r="X4951" s="1" t="s">
        <v>109</v>
      </c>
    </row>
    <row r="4952" spans="1:24" x14ac:dyDescent="0.3">
      <c r="A4952" s="1" t="str">
        <f t="shared" si="941"/>
        <v>59809</v>
      </c>
      <c r="B4952" s="1" t="s">
        <v>42</v>
      </c>
      <c r="C4952" s="1" t="s">
        <v>43</v>
      </c>
      <c r="D4952" s="1" t="str">
        <f t="shared" si="945"/>
        <v>9801</v>
      </c>
      <c r="E4952" s="1" t="s">
        <v>25</v>
      </c>
      <c r="F4952" s="1" t="str">
        <f>"60F15464A1880400468F751241302611"</f>
        <v>60F15464A1880400468F751241302611</v>
      </c>
      <c r="G4952" s="1" t="s">
        <v>26</v>
      </c>
      <c r="H4952" s="1" t="str">
        <f t="shared" si="942"/>
        <v>20220923</v>
      </c>
      <c r="I4952" s="1" t="str">
        <f>"185511"</f>
        <v>185511</v>
      </c>
      <c r="J4952" s="1" t="s">
        <v>28</v>
      </c>
      <c r="K4952" s="1" t="s">
        <v>28</v>
      </c>
      <c r="L4952" s="1" t="str">
        <f t="shared" si="943"/>
        <v>20220923</v>
      </c>
      <c r="M4952" s="1" t="str">
        <f>"191808"</f>
        <v>191808</v>
      </c>
      <c r="N4952" s="1" t="s">
        <v>60</v>
      </c>
      <c r="O4952" s="1" t="s">
        <v>52</v>
      </c>
      <c r="P4952" s="1" t="s">
        <v>55</v>
      </c>
      <c r="Q4952" s="1">
        <v>13</v>
      </c>
      <c r="R4952" s="1">
        <v>13</v>
      </c>
      <c r="S4952" s="1">
        <v>0</v>
      </c>
      <c r="T4952" s="1">
        <v>0</v>
      </c>
      <c r="U4952" s="1">
        <v>0</v>
      </c>
      <c r="V4952" s="1" t="str">
        <f t="shared" si="946"/>
        <v>里程返程</v>
      </c>
      <c r="W4952" s="1" t="str">
        <f>"0020"</f>
        <v>0020</v>
      </c>
      <c r="X4952" s="1" t="s">
        <v>29</v>
      </c>
    </row>
    <row r="4953" spans="1:24" x14ac:dyDescent="0.3">
      <c r="A4953" s="1" t="str">
        <f t="shared" si="941"/>
        <v>59809</v>
      </c>
      <c r="B4953" s="1" t="s">
        <v>42</v>
      </c>
      <c r="C4953" s="1" t="s">
        <v>43</v>
      </c>
      <c r="D4953" s="1" t="str">
        <f t="shared" si="945"/>
        <v>9801</v>
      </c>
      <c r="E4953" s="1" t="s">
        <v>25</v>
      </c>
      <c r="F4953" s="1" t="str">
        <f>"82A6BC029A880400C834002000000015"</f>
        <v>82A6BC029A880400C834002000000015</v>
      </c>
      <c r="G4953" s="1" t="s">
        <v>26</v>
      </c>
      <c r="H4953" s="1" t="str">
        <f t="shared" si="942"/>
        <v>20220923</v>
      </c>
      <c r="I4953" s="1" t="str">
        <f>"185521"</f>
        <v>185521</v>
      </c>
      <c r="J4953" s="1" t="s">
        <v>28</v>
      </c>
      <c r="K4953" s="1" t="s">
        <v>28</v>
      </c>
      <c r="L4953" s="1" t="str">
        <f t="shared" si="943"/>
        <v>20220923</v>
      </c>
      <c r="M4953" s="1" t="str">
        <f>"191758"</f>
        <v>191758</v>
      </c>
      <c r="N4953" s="1" t="s">
        <v>60</v>
      </c>
      <c r="O4953" s="1" t="s">
        <v>52</v>
      </c>
      <c r="P4953" s="1" t="s">
        <v>68</v>
      </c>
      <c r="Q4953" s="1">
        <v>13</v>
      </c>
      <c r="R4953" s="1">
        <v>0</v>
      </c>
      <c r="S4953" s="1">
        <v>0</v>
      </c>
      <c r="T4953" s="1">
        <v>13</v>
      </c>
      <c r="U4953" s="1">
        <v>0</v>
      </c>
      <c r="V4953" s="1" t="str">
        <f t="shared" si="946"/>
        <v>里程返程</v>
      </c>
      <c r="W4953" s="1" t="str">
        <f>"0020"</f>
        <v>0020</v>
      </c>
      <c r="X4953" s="1" t="s">
        <v>29</v>
      </c>
    </row>
    <row r="4954" spans="1:24" x14ac:dyDescent="0.3">
      <c r="A4954" s="1" t="str">
        <f t="shared" si="941"/>
        <v>59809</v>
      </c>
      <c r="B4954" s="1" t="s">
        <v>42</v>
      </c>
      <c r="C4954" s="1" t="s">
        <v>43</v>
      </c>
      <c r="D4954" s="1" t="str">
        <f t="shared" si="945"/>
        <v>9801</v>
      </c>
      <c r="E4954" s="1" t="s">
        <v>25</v>
      </c>
      <c r="F4954" s="1" t="str">
        <f>"82D5FB02AE880400C834002000000015"</f>
        <v>82D5FB02AE880400C834002000000015</v>
      </c>
      <c r="G4954" s="1" t="s">
        <v>26</v>
      </c>
      <c r="H4954" s="1" t="str">
        <f t="shared" si="942"/>
        <v>20220923</v>
      </c>
      <c r="I4954" s="1" t="str">
        <f>"191338"</f>
        <v>191338</v>
      </c>
      <c r="J4954" s="1" t="s">
        <v>72</v>
      </c>
      <c r="K4954" s="1" t="s">
        <v>52</v>
      </c>
      <c r="L4954" s="1" t="str">
        <f>""</f>
        <v/>
      </c>
      <c r="M4954" s="1" t="str">
        <f>""</f>
        <v/>
      </c>
      <c r="P4954" s="1" t="s">
        <v>88</v>
      </c>
      <c r="Q4954" s="1">
        <v>13</v>
      </c>
      <c r="R4954" s="1">
        <v>0</v>
      </c>
      <c r="S4954" s="1">
        <v>0</v>
      </c>
      <c r="T4954" s="1">
        <v>13</v>
      </c>
      <c r="U4954" s="1">
        <v>0</v>
      </c>
      <c r="V4954" s="1" t="str">
        <f t="shared" si="946"/>
        <v>里程返程</v>
      </c>
      <c r="W4954" s="1" t="str">
        <f>"0020"</f>
        <v>0020</v>
      </c>
      <c r="X4954" s="1" t="s">
        <v>29</v>
      </c>
    </row>
    <row r="4955" spans="1:24" x14ac:dyDescent="0.3">
      <c r="A4955" s="1" t="str">
        <f t="shared" si="941"/>
        <v>59809</v>
      </c>
      <c r="B4955" s="1" t="s">
        <v>42</v>
      </c>
      <c r="C4955" s="1" t="s">
        <v>43</v>
      </c>
      <c r="D4955" s="1" t="str">
        <f t="shared" si="945"/>
        <v>9801</v>
      </c>
      <c r="E4955" s="1" t="s">
        <v>25</v>
      </c>
      <c r="F4955" s="1" t="str">
        <f>"E08803711A880400468F745955402811"</f>
        <v>E08803711A880400468F745955402811</v>
      </c>
      <c r="G4955" s="1" t="s">
        <v>59</v>
      </c>
      <c r="H4955" s="1" t="str">
        <f t="shared" si="942"/>
        <v>20220923</v>
      </c>
      <c r="I4955" s="1" t="str">
        <f>"202257"</f>
        <v>202257</v>
      </c>
      <c r="J4955" s="1" t="s">
        <v>67</v>
      </c>
      <c r="K4955" s="1" t="s">
        <v>52</v>
      </c>
      <c r="L4955" s="1" t="str">
        <f t="shared" ref="L4955:L4986" si="947">"20220923"</f>
        <v>20220923</v>
      </c>
      <c r="M4955" s="1" t="str">
        <f>"203037"</f>
        <v>203037</v>
      </c>
      <c r="N4955" s="1" t="s">
        <v>70</v>
      </c>
      <c r="O4955" s="1" t="s">
        <v>28</v>
      </c>
      <c r="P4955" s="1" t="s">
        <v>55</v>
      </c>
      <c r="Q4955" s="1">
        <v>25</v>
      </c>
      <c r="R4955" s="1">
        <v>25</v>
      </c>
      <c r="S4955" s="1">
        <v>0</v>
      </c>
      <c r="T4955" s="1">
        <v>0</v>
      </c>
      <c r="U4955" s="1">
        <v>0</v>
      </c>
      <c r="V4955" s="1" t="str">
        <f>"里程去程"</f>
        <v>里程去程</v>
      </c>
      <c r="W4955" s="1" t="str">
        <f>"0020"</f>
        <v>0020</v>
      </c>
      <c r="X4955" s="1" t="s">
        <v>29</v>
      </c>
    </row>
    <row r="4956" spans="1:24" x14ac:dyDescent="0.3">
      <c r="A4956" s="1" t="str">
        <f t="shared" si="941"/>
        <v>59809</v>
      </c>
      <c r="B4956" s="1" t="s">
        <v>42</v>
      </c>
      <c r="C4956" s="1" t="s">
        <v>43</v>
      </c>
      <c r="D4956" s="1" t="str">
        <f>"9805"</f>
        <v>9805</v>
      </c>
      <c r="E4956" s="1" t="s">
        <v>57</v>
      </c>
      <c r="F4956" s="1" t="str">
        <f>"672497397"</f>
        <v>672497397</v>
      </c>
      <c r="G4956" s="1" t="s">
        <v>33</v>
      </c>
      <c r="H4956" s="1" t="str">
        <f t="shared" si="942"/>
        <v>20220923</v>
      </c>
      <c r="I4956" s="1" t="str">
        <f>"211713"</f>
        <v>211713</v>
      </c>
      <c r="J4956" s="1" t="s">
        <v>28</v>
      </c>
      <c r="K4956" s="1" t="s">
        <v>28</v>
      </c>
      <c r="L4956" s="1" t="str">
        <f t="shared" si="947"/>
        <v>20220923</v>
      </c>
      <c r="M4956" s="1" t="str">
        <f>"213358"</f>
        <v>213358</v>
      </c>
      <c r="N4956" s="1" t="s">
        <v>52</v>
      </c>
      <c r="O4956" s="1" t="s">
        <v>52</v>
      </c>
      <c r="P4956" s="1" t="s">
        <v>55</v>
      </c>
      <c r="Q4956" s="1">
        <v>25</v>
      </c>
      <c r="R4956" s="1">
        <v>25</v>
      </c>
      <c r="S4956" s="1">
        <v>0</v>
      </c>
      <c r="T4956" s="1">
        <v>0</v>
      </c>
      <c r="U4956" s="1">
        <v>0</v>
      </c>
      <c r="V4956" s="1" t="str">
        <f>"里程去程"</f>
        <v>里程去程</v>
      </c>
      <c r="W4956" s="1" t="str">
        <f>"2020"</f>
        <v>2020</v>
      </c>
      <c r="X4956" s="1" t="s">
        <v>35</v>
      </c>
    </row>
    <row r="4957" spans="1:24" x14ac:dyDescent="0.3">
      <c r="A4957" s="1" t="str">
        <f t="shared" ref="A4957:A4986" si="948">"59822"</f>
        <v>59822</v>
      </c>
      <c r="B4957" s="1" t="s">
        <v>39</v>
      </c>
      <c r="C4957" s="1" t="s">
        <v>40</v>
      </c>
      <c r="D4957" s="1" t="str">
        <f t="shared" ref="D4957:D4986" si="949">"9801"</f>
        <v>9801</v>
      </c>
      <c r="E4957" s="1" t="s">
        <v>25</v>
      </c>
      <c r="F4957" s="1" t="str">
        <f>"D2EDC500FA880400C801002000000015"</f>
        <v>D2EDC500FA880400C801002000000015</v>
      </c>
      <c r="G4957" s="1" t="s">
        <v>58</v>
      </c>
      <c r="H4957" s="1" t="str">
        <f t="shared" si="942"/>
        <v>20220923</v>
      </c>
      <c r="I4957" s="1" t="str">
        <f>"062952"</f>
        <v>062952</v>
      </c>
      <c r="J4957" s="1" t="s">
        <v>28</v>
      </c>
      <c r="K4957" s="1" t="s">
        <v>28</v>
      </c>
      <c r="L4957" s="1" t="str">
        <f t="shared" si="947"/>
        <v>20220923</v>
      </c>
      <c r="M4957" s="1" t="str">
        <f>"070034"</f>
        <v>070034</v>
      </c>
      <c r="N4957" s="1" t="s">
        <v>52</v>
      </c>
      <c r="O4957" s="1" t="s">
        <v>52</v>
      </c>
      <c r="P4957" s="1" t="s">
        <v>55</v>
      </c>
      <c r="Q4957" s="1">
        <v>25</v>
      </c>
      <c r="R4957" s="1">
        <v>25</v>
      </c>
      <c r="S4957" s="1">
        <v>0</v>
      </c>
      <c r="T4957" s="1">
        <v>0</v>
      </c>
      <c r="U4957" s="1">
        <v>0</v>
      </c>
      <c r="V4957" s="1" t="str">
        <f>"里程返程"</f>
        <v>里程返程</v>
      </c>
      <c r="W4957" s="1" t="str">
        <f>"0020"</f>
        <v>0020</v>
      </c>
      <c r="X4957" s="1" t="s">
        <v>29</v>
      </c>
    </row>
    <row r="4958" spans="1:24" x14ac:dyDescent="0.3">
      <c r="A4958" s="1" t="str">
        <f t="shared" si="948"/>
        <v>59822</v>
      </c>
      <c r="B4958" s="1" t="s">
        <v>39</v>
      </c>
      <c r="C4958" s="1" t="s">
        <v>40</v>
      </c>
      <c r="D4958" s="1" t="str">
        <f t="shared" si="949"/>
        <v>9801</v>
      </c>
      <c r="E4958" s="1" t="s">
        <v>25</v>
      </c>
      <c r="F4958" s="1" t="str">
        <f>"B242E70215880400C834002000000015"</f>
        <v>B242E70215880400C834002000000015</v>
      </c>
      <c r="G4958" s="1" t="s">
        <v>74</v>
      </c>
      <c r="H4958" s="1" t="str">
        <f t="shared" si="942"/>
        <v>20220923</v>
      </c>
      <c r="I4958" s="1" t="str">
        <f>"072907"</f>
        <v>072907</v>
      </c>
      <c r="J4958" s="1" t="s">
        <v>84</v>
      </c>
      <c r="K4958" s="1" t="s">
        <v>28</v>
      </c>
      <c r="L4958" s="1" t="str">
        <f t="shared" si="947"/>
        <v>20220923</v>
      </c>
      <c r="M4958" s="1" t="str">
        <f>"074028"</f>
        <v>074028</v>
      </c>
      <c r="N4958" s="1" t="s">
        <v>80</v>
      </c>
      <c r="O4958" s="1" t="s">
        <v>52</v>
      </c>
      <c r="P4958" s="1" t="s">
        <v>68</v>
      </c>
      <c r="Q4958" s="1">
        <v>13</v>
      </c>
      <c r="R4958" s="1">
        <v>0</v>
      </c>
      <c r="S4958" s="1">
        <v>0</v>
      </c>
      <c r="T4958" s="1">
        <v>13</v>
      </c>
      <c r="U4958" s="1">
        <v>0</v>
      </c>
      <c r="V4958" s="1" t="str">
        <f>"里程返程"</f>
        <v>里程返程</v>
      </c>
      <c r="W4958" s="1" t="str">
        <f>"0020"</f>
        <v>0020</v>
      </c>
      <c r="X4958" s="1" t="s">
        <v>29</v>
      </c>
    </row>
    <row r="4959" spans="1:24" x14ac:dyDescent="0.3">
      <c r="A4959" s="1" t="str">
        <f t="shared" si="948"/>
        <v>59822</v>
      </c>
      <c r="B4959" s="1" t="s">
        <v>39</v>
      </c>
      <c r="C4959" s="1" t="s">
        <v>40</v>
      </c>
      <c r="D4959" s="1" t="str">
        <f t="shared" si="949"/>
        <v>9801</v>
      </c>
      <c r="E4959" s="1" t="s">
        <v>25</v>
      </c>
      <c r="F4959" s="1" t="str">
        <f>"1759959808"</f>
        <v>1759959808</v>
      </c>
      <c r="G4959" s="1" t="s">
        <v>33</v>
      </c>
      <c r="H4959" s="1" t="str">
        <f t="shared" si="942"/>
        <v>20220923</v>
      </c>
      <c r="I4959" s="1" t="str">
        <f>"074034"</f>
        <v>074034</v>
      </c>
      <c r="J4959" s="1" t="s">
        <v>80</v>
      </c>
      <c r="K4959" s="1" t="s">
        <v>52</v>
      </c>
      <c r="L4959" s="1" t="str">
        <f t="shared" si="947"/>
        <v>20220923</v>
      </c>
      <c r="M4959" s="1" t="str">
        <f>"075026"</f>
        <v>075026</v>
      </c>
      <c r="N4959" s="1" t="s">
        <v>60</v>
      </c>
      <c r="O4959" s="1" t="s">
        <v>52</v>
      </c>
      <c r="P4959" s="1" t="s">
        <v>55</v>
      </c>
      <c r="Q4959" s="1">
        <v>25</v>
      </c>
      <c r="R4959" s="1">
        <v>25</v>
      </c>
      <c r="S4959" s="1">
        <v>0</v>
      </c>
      <c r="T4959" s="1">
        <v>0</v>
      </c>
      <c r="U4959" s="1">
        <v>0</v>
      </c>
      <c r="V4959" s="1" t="str">
        <f>"里程返程"</f>
        <v>里程返程</v>
      </c>
      <c r="W4959" s="1" t="str">
        <f>"2020"</f>
        <v>2020</v>
      </c>
      <c r="X4959" s="1" t="s">
        <v>35</v>
      </c>
    </row>
    <row r="4960" spans="1:24" x14ac:dyDescent="0.3">
      <c r="A4960" s="1" t="str">
        <f t="shared" si="948"/>
        <v>59822</v>
      </c>
      <c r="B4960" s="1" t="s">
        <v>39</v>
      </c>
      <c r="C4960" s="1" t="s">
        <v>40</v>
      </c>
      <c r="D4960" s="1" t="str">
        <f t="shared" si="949"/>
        <v>9801</v>
      </c>
      <c r="E4960" s="1" t="s">
        <v>25</v>
      </c>
      <c r="F4960" s="1" t="str">
        <f>"22D3E50216880400C834002000000015"</f>
        <v>22D3E50216880400C834002000000015</v>
      </c>
      <c r="G4960" s="1" t="s">
        <v>26</v>
      </c>
      <c r="H4960" s="1" t="str">
        <f t="shared" si="942"/>
        <v>20220923</v>
      </c>
      <c r="I4960" s="1" t="str">
        <f>"075050"</f>
        <v>075050</v>
      </c>
      <c r="J4960" s="1" t="s">
        <v>60</v>
      </c>
      <c r="K4960" s="1" t="s">
        <v>52</v>
      </c>
      <c r="L4960" s="1" t="str">
        <f t="shared" si="947"/>
        <v>20220923</v>
      </c>
      <c r="M4960" s="1" t="str">
        <f>"075433"</f>
        <v>075433</v>
      </c>
      <c r="N4960" s="1" t="s">
        <v>52</v>
      </c>
      <c r="O4960" s="1" t="s">
        <v>52</v>
      </c>
      <c r="P4960" s="1" t="s">
        <v>68</v>
      </c>
      <c r="Q4960" s="1">
        <v>13</v>
      </c>
      <c r="R4960" s="1">
        <v>0</v>
      </c>
      <c r="S4960" s="1">
        <v>0</v>
      </c>
      <c r="T4960" s="1">
        <v>13</v>
      </c>
      <c r="U4960" s="1">
        <v>0</v>
      </c>
      <c r="V4960" s="1" t="str">
        <f>"里程返程"</f>
        <v>里程返程</v>
      </c>
      <c r="W4960" s="1" t="str">
        <f>"0020"</f>
        <v>0020</v>
      </c>
      <c r="X4960" s="1" t="s">
        <v>29</v>
      </c>
    </row>
    <row r="4961" spans="1:24" x14ac:dyDescent="0.3">
      <c r="A4961" s="1" t="str">
        <f t="shared" si="948"/>
        <v>59822</v>
      </c>
      <c r="B4961" s="1" t="s">
        <v>39</v>
      </c>
      <c r="C4961" s="1" t="s">
        <v>40</v>
      </c>
      <c r="D4961" s="1" t="str">
        <f t="shared" si="949"/>
        <v>9801</v>
      </c>
      <c r="E4961" s="1" t="s">
        <v>25</v>
      </c>
      <c r="F4961" s="1" t="str">
        <f>"7227E702B0880400C834002000000015"</f>
        <v>7227E702B0880400C834002000000015</v>
      </c>
      <c r="G4961" s="1" t="s">
        <v>74</v>
      </c>
      <c r="H4961" s="1" t="str">
        <f t="shared" si="942"/>
        <v>20220923</v>
      </c>
      <c r="I4961" s="1" t="str">
        <f>"075842"</f>
        <v>075842</v>
      </c>
      <c r="J4961" s="1" t="s">
        <v>52</v>
      </c>
      <c r="K4961" s="1" t="s">
        <v>52</v>
      </c>
      <c r="L4961" s="1" t="str">
        <f t="shared" si="947"/>
        <v>20220923</v>
      </c>
      <c r="M4961" s="1" t="str">
        <f>"081607"</f>
        <v>081607</v>
      </c>
      <c r="N4961" s="1" t="s">
        <v>80</v>
      </c>
      <c r="O4961" s="1" t="s">
        <v>52</v>
      </c>
      <c r="P4961" s="1" t="s">
        <v>68</v>
      </c>
      <c r="Q4961" s="1">
        <v>13</v>
      </c>
      <c r="R4961" s="1">
        <v>0</v>
      </c>
      <c r="S4961" s="1">
        <v>0</v>
      </c>
      <c r="T4961" s="1">
        <v>13</v>
      </c>
      <c r="U4961" s="1">
        <v>0</v>
      </c>
      <c r="V4961" s="1" t="str">
        <f t="shared" ref="V4961:V4974" si="950">"里程去程"</f>
        <v>里程去程</v>
      </c>
      <c r="W4961" s="1" t="str">
        <f>"0020"</f>
        <v>0020</v>
      </c>
      <c r="X4961" s="1" t="s">
        <v>29</v>
      </c>
    </row>
    <row r="4962" spans="1:24" x14ac:dyDescent="0.3">
      <c r="A4962" s="1" t="str">
        <f t="shared" si="948"/>
        <v>59822</v>
      </c>
      <c r="B4962" s="1" t="s">
        <v>39</v>
      </c>
      <c r="C4962" s="1" t="s">
        <v>40</v>
      </c>
      <c r="D4962" s="1" t="str">
        <f t="shared" si="949"/>
        <v>9801</v>
      </c>
      <c r="E4962" s="1" t="s">
        <v>25</v>
      </c>
      <c r="F4962" s="1" t="str">
        <f>"429239009"</f>
        <v>429239009</v>
      </c>
      <c r="G4962" s="1" t="s">
        <v>33</v>
      </c>
      <c r="H4962" s="1" t="str">
        <f t="shared" si="942"/>
        <v>20220923</v>
      </c>
      <c r="I4962" s="1" t="str">
        <f>"081358"</f>
        <v>081358</v>
      </c>
      <c r="J4962" s="1" t="s">
        <v>65</v>
      </c>
      <c r="K4962" s="1" t="s">
        <v>52</v>
      </c>
      <c r="L4962" s="1" t="str">
        <f t="shared" si="947"/>
        <v>20220923</v>
      </c>
      <c r="M4962" s="1" t="str">
        <f>"083331"</f>
        <v>083331</v>
      </c>
      <c r="N4962" s="1" t="s">
        <v>70</v>
      </c>
      <c r="O4962" s="1" t="s">
        <v>28</v>
      </c>
      <c r="P4962" s="1" t="s">
        <v>55</v>
      </c>
      <c r="Q4962" s="1">
        <v>25</v>
      </c>
      <c r="R4962" s="1">
        <v>25</v>
      </c>
      <c r="S4962" s="1">
        <v>0</v>
      </c>
      <c r="T4962" s="1">
        <v>0</v>
      </c>
      <c r="U4962" s="1">
        <v>0</v>
      </c>
      <c r="V4962" s="1" t="str">
        <f t="shared" si="950"/>
        <v>里程去程</v>
      </c>
      <c r="W4962" s="1" t="str">
        <f>"0820"</f>
        <v>0820</v>
      </c>
      <c r="X4962" s="1" t="s">
        <v>35</v>
      </c>
    </row>
    <row r="4963" spans="1:24" x14ac:dyDescent="0.3">
      <c r="A4963" s="1" t="str">
        <f t="shared" si="948"/>
        <v>59822</v>
      </c>
      <c r="B4963" s="1" t="s">
        <v>39</v>
      </c>
      <c r="C4963" s="1" t="s">
        <v>40</v>
      </c>
      <c r="D4963" s="1" t="str">
        <f t="shared" si="949"/>
        <v>9801</v>
      </c>
      <c r="E4963" s="1" t="s">
        <v>25</v>
      </c>
      <c r="F4963" s="1" t="str">
        <f>"814099985"</f>
        <v>814099985</v>
      </c>
      <c r="G4963" s="1" t="s">
        <v>26</v>
      </c>
      <c r="H4963" s="1" t="str">
        <f t="shared" si="942"/>
        <v>20220923</v>
      </c>
      <c r="I4963" s="1" t="str">
        <f>"082003"</f>
        <v>082003</v>
      </c>
      <c r="J4963" s="1" t="s">
        <v>77</v>
      </c>
      <c r="K4963" s="1" t="s">
        <v>52</v>
      </c>
      <c r="L4963" s="1" t="str">
        <f t="shared" si="947"/>
        <v>20220923</v>
      </c>
      <c r="M4963" s="1" t="str">
        <f>"083323"</f>
        <v>083323</v>
      </c>
      <c r="N4963" s="1" t="s">
        <v>70</v>
      </c>
      <c r="O4963" s="1" t="s">
        <v>28</v>
      </c>
      <c r="P4963" s="1" t="s">
        <v>55</v>
      </c>
      <c r="Q4963" s="1">
        <v>13</v>
      </c>
      <c r="R4963" s="1">
        <v>13</v>
      </c>
      <c r="S4963" s="1">
        <v>0</v>
      </c>
      <c r="T4963" s="1">
        <v>0</v>
      </c>
      <c r="U4963" s="1">
        <v>0</v>
      </c>
      <c r="V4963" s="1" t="str">
        <f t="shared" si="950"/>
        <v>里程去程</v>
      </c>
      <c r="W4963" s="1" t="str">
        <f>"2020"</f>
        <v>2020</v>
      </c>
      <c r="X4963" s="1" t="s">
        <v>35</v>
      </c>
    </row>
    <row r="4964" spans="1:24" x14ac:dyDescent="0.3">
      <c r="A4964" s="1" t="str">
        <f t="shared" si="948"/>
        <v>59822</v>
      </c>
      <c r="B4964" s="1" t="s">
        <v>39</v>
      </c>
      <c r="C4964" s="1" t="s">
        <v>40</v>
      </c>
      <c r="D4964" s="1" t="str">
        <f t="shared" si="949"/>
        <v>9801</v>
      </c>
      <c r="E4964" s="1" t="s">
        <v>25</v>
      </c>
      <c r="F4964" s="1" t="str">
        <f>"252079535"</f>
        <v>252079535</v>
      </c>
      <c r="G4964" s="1" t="s">
        <v>26</v>
      </c>
      <c r="H4964" s="1" t="str">
        <f t="shared" ref="H4964:H4995" si="951">"20220923"</f>
        <v>20220923</v>
      </c>
      <c r="I4964" s="1" t="str">
        <f>"082005"</f>
        <v>082005</v>
      </c>
      <c r="J4964" s="1" t="s">
        <v>77</v>
      </c>
      <c r="K4964" s="1" t="s">
        <v>52</v>
      </c>
      <c r="L4964" s="1" t="str">
        <f t="shared" si="947"/>
        <v>20220923</v>
      </c>
      <c r="M4964" s="1" t="str">
        <f>"083321"</f>
        <v>083321</v>
      </c>
      <c r="N4964" s="1" t="s">
        <v>70</v>
      </c>
      <c r="O4964" s="1" t="s">
        <v>28</v>
      </c>
      <c r="P4964" s="1" t="s">
        <v>55</v>
      </c>
      <c r="Q4964" s="1">
        <v>13</v>
      </c>
      <c r="R4964" s="1">
        <v>13</v>
      </c>
      <c r="S4964" s="1">
        <v>0</v>
      </c>
      <c r="T4964" s="1">
        <v>0</v>
      </c>
      <c r="U4964" s="1">
        <v>0</v>
      </c>
      <c r="V4964" s="1" t="str">
        <f t="shared" si="950"/>
        <v>里程去程</v>
      </c>
      <c r="W4964" s="1" t="str">
        <f>"2020"</f>
        <v>2020</v>
      </c>
      <c r="X4964" s="1" t="s">
        <v>35</v>
      </c>
    </row>
    <row r="4965" spans="1:24" x14ac:dyDescent="0.3">
      <c r="A4965" s="1" t="str">
        <f t="shared" si="948"/>
        <v>59822</v>
      </c>
      <c r="B4965" s="1" t="s">
        <v>39</v>
      </c>
      <c r="C4965" s="1" t="s">
        <v>40</v>
      </c>
      <c r="D4965" s="1" t="str">
        <f t="shared" si="949"/>
        <v>9801</v>
      </c>
      <c r="E4965" s="1" t="s">
        <v>25</v>
      </c>
      <c r="F4965" s="1" t="str">
        <f>"F2F7D002D7880400C834002000000015"</f>
        <v>F2F7D002D7880400C834002000000015</v>
      </c>
      <c r="G4965" s="1" t="s">
        <v>74</v>
      </c>
      <c r="H4965" s="1" t="str">
        <f t="shared" si="951"/>
        <v>20220923</v>
      </c>
      <c r="I4965" s="1" t="str">
        <f>"082531"</f>
        <v>082531</v>
      </c>
      <c r="J4965" s="1" t="s">
        <v>67</v>
      </c>
      <c r="K4965" s="1" t="s">
        <v>52</v>
      </c>
      <c r="L4965" s="1" t="str">
        <f t="shared" si="947"/>
        <v>20220923</v>
      </c>
      <c r="M4965" s="1" t="str">
        <f>"085458"</f>
        <v>085458</v>
      </c>
      <c r="N4965" s="1" t="s">
        <v>44</v>
      </c>
      <c r="O4965" s="1" t="s">
        <v>45</v>
      </c>
      <c r="P4965" s="1" t="s">
        <v>68</v>
      </c>
      <c r="Q4965" s="1">
        <v>25</v>
      </c>
      <c r="R4965" s="1">
        <v>0</v>
      </c>
      <c r="S4965" s="1">
        <v>0</v>
      </c>
      <c r="T4965" s="1">
        <v>25</v>
      </c>
      <c r="U4965" s="1">
        <v>0</v>
      </c>
      <c r="V4965" s="1" t="str">
        <f t="shared" si="950"/>
        <v>里程去程</v>
      </c>
      <c r="W4965" s="1" t="str">
        <f>"0020"</f>
        <v>0020</v>
      </c>
      <c r="X4965" s="1" t="s">
        <v>29</v>
      </c>
    </row>
    <row r="4966" spans="1:24" x14ac:dyDescent="0.3">
      <c r="A4966" s="1" t="str">
        <f t="shared" si="948"/>
        <v>59822</v>
      </c>
      <c r="B4966" s="1" t="s">
        <v>39</v>
      </c>
      <c r="C4966" s="1" t="s">
        <v>40</v>
      </c>
      <c r="D4966" s="1" t="str">
        <f t="shared" si="949"/>
        <v>9801</v>
      </c>
      <c r="E4966" s="1" t="s">
        <v>25</v>
      </c>
      <c r="F4966" s="1" t="str">
        <f>"2895381830"</f>
        <v>2895381830</v>
      </c>
      <c r="G4966" s="1" t="s">
        <v>33</v>
      </c>
      <c r="H4966" s="1" t="str">
        <f t="shared" si="951"/>
        <v>20220923</v>
      </c>
      <c r="I4966" s="1" t="str">
        <f>"083338"</f>
        <v>083338</v>
      </c>
      <c r="J4966" s="1" t="s">
        <v>27</v>
      </c>
      <c r="K4966" s="1" t="s">
        <v>28</v>
      </c>
      <c r="L4966" s="1" t="str">
        <f t="shared" si="947"/>
        <v>20220923</v>
      </c>
      <c r="M4966" s="1" t="str">
        <f>"085413"</f>
        <v>085413</v>
      </c>
      <c r="N4966" s="1" t="s">
        <v>44</v>
      </c>
      <c r="O4966" s="1" t="s">
        <v>45</v>
      </c>
      <c r="P4966" s="1" t="s">
        <v>55</v>
      </c>
      <c r="Q4966" s="1">
        <v>25</v>
      </c>
      <c r="R4966" s="1">
        <v>25</v>
      </c>
      <c r="S4966" s="1">
        <v>0</v>
      </c>
      <c r="T4966" s="1">
        <v>0</v>
      </c>
      <c r="U4966" s="1">
        <v>0</v>
      </c>
      <c r="V4966" s="1" t="str">
        <f t="shared" si="950"/>
        <v>里程去程</v>
      </c>
      <c r="W4966" s="1" t="str">
        <f>"2120"</f>
        <v>2120</v>
      </c>
      <c r="X4966" s="1" t="s">
        <v>35</v>
      </c>
    </row>
    <row r="4967" spans="1:24" x14ac:dyDescent="0.3">
      <c r="A4967" s="1" t="str">
        <f t="shared" si="948"/>
        <v>59822</v>
      </c>
      <c r="B4967" s="1" t="s">
        <v>39</v>
      </c>
      <c r="C4967" s="1" t="s">
        <v>40</v>
      </c>
      <c r="D4967" s="1" t="str">
        <f t="shared" si="949"/>
        <v>9801</v>
      </c>
      <c r="E4967" s="1" t="s">
        <v>25</v>
      </c>
      <c r="F4967" s="1" t="str">
        <f>"82730F18E6880400C814002000000019"</f>
        <v>82730F18E6880400C814002000000019</v>
      </c>
      <c r="G4967" s="1" t="s">
        <v>59</v>
      </c>
      <c r="H4967" s="1" t="str">
        <f t="shared" si="951"/>
        <v>20220923</v>
      </c>
      <c r="I4967" s="1" t="str">
        <f>"083341"</f>
        <v>083341</v>
      </c>
      <c r="J4967" s="1" t="s">
        <v>27</v>
      </c>
      <c r="K4967" s="1" t="s">
        <v>28</v>
      </c>
      <c r="L4967" s="1" t="str">
        <f t="shared" si="947"/>
        <v>20220923</v>
      </c>
      <c r="M4967" s="1" t="str">
        <f>"085556"</f>
        <v>085556</v>
      </c>
      <c r="N4967" s="1" t="s">
        <v>44</v>
      </c>
      <c r="O4967" s="1" t="s">
        <v>45</v>
      </c>
      <c r="P4967" s="1" t="s">
        <v>55</v>
      </c>
      <c r="Q4967" s="1">
        <v>25</v>
      </c>
      <c r="R4967" s="1">
        <v>0</v>
      </c>
      <c r="S4967" s="1">
        <v>25</v>
      </c>
      <c r="T4967" s="1">
        <v>0</v>
      </c>
      <c r="U4967" s="1">
        <v>0</v>
      </c>
      <c r="V4967" s="1" t="str">
        <f t="shared" si="950"/>
        <v>里程去程</v>
      </c>
      <c r="W4967" s="1" t="str">
        <f>"0620"</f>
        <v>0620</v>
      </c>
      <c r="X4967" s="1" t="s">
        <v>29</v>
      </c>
    </row>
    <row r="4968" spans="1:24" x14ac:dyDescent="0.3">
      <c r="A4968" s="1" t="str">
        <f t="shared" si="948"/>
        <v>59822</v>
      </c>
      <c r="B4968" s="1" t="s">
        <v>39</v>
      </c>
      <c r="C4968" s="1" t="s">
        <v>40</v>
      </c>
      <c r="D4968" s="1" t="str">
        <f t="shared" si="949"/>
        <v>9801</v>
      </c>
      <c r="E4968" s="1" t="s">
        <v>25</v>
      </c>
      <c r="F4968" s="1" t="str">
        <f>"1737283381"</f>
        <v>1737283381</v>
      </c>
      <c r="G4968" s="1" t="s">
        <v>33</v>
      </c>
      <c r="H4968" s="1" t="str">
        <f t="shared" si="951"/>
        <v>20220923</v>
      </c>
      <c r="I4968" s="1" t="str">
        <f>"083344"</f>
        <v>083344</v>
      </c>
      <c r="J4968" s="1" t="s">
        <v>27</v>
      </c>
      <c r="K4968" s="1" t="s">
        <v>28</v>
      </c>
      <c r="L4968" s="1" t="str">
        <f t="shared" si="947"/>
        <v>20220923</v>
      </c>
      <c r="M4968" s="1" t="str">
        <f>"084612"</f>
        <v>084612</v>
      </c>
      <c r="N4968" s="1" t="s">
        <v>56</v>
      </c>
      <c r="O4968" s="1" t="s">
        <v>45</v>
      </c>
      <c r="P4968" s="1" t="s">
        <v>55</v>
      </c>
      <c r="Q4968" s="1">
        <v>25</v>
      </c>
      <c r="R4968" s="1">
        <v>0</v>
      </c>
      <c r="S4968" s="1">
        <v>25</v>
      </c>
      <c r="T4968" s="1">
        <v>0</v>
      </c>
      <c r="U4968" s="1">
        <v>0</v>
      </c>
      <c r="V4968" s="1" t="str">
        <f t="shared" si="950"/>
        <v>里程去程</v>
      </c>
      <c r="W4968" s="1" t="str">
        <f>"0820"</f>
        <v>0820</v>
      </c>
      <c r="X4968" s="1" t="s">
        <v>35</v>
      </c>
    </row>
    <row r="4969" spans="1:24" x14ac:dyDescent="0.3">
      <c r="A4969" s="1" t="str">
        <f t="shared" si="948"/>
        <v>59822</v>
      </c>
      <c r="B4969" s="1" t="s">
        <v>39</v>
      </c>
      <c r="C4969" s="1" t="s">
        <v>40</v>
      </c>
      <c r="D4969" s="1" t="str">
        <f t="shared" si="949"/>
        <v>9801</v>
      </c>
      <c r="E4969" s="1" t="s">
        <v>25</v>
      </c>
      <c r="F4969" s="1" t="str">
        <f>"1204061808880400C814002000000019"</f>
        <v>1204061808880400C814002000000019</v>
      </c>
      <c r="G4969" s="1" t="s">
        <v>59</v>
      </c>
      <c r="H4969" s="1" t="str">
        <f t="shared" si="951"/>
        <v>20220923</v>
      </c>
      <c r="I4969" s="1" t="str">
        <f>"083348"</f>
        <v>083348</v>
      </c>
      <c r="J4969" s="1" t="s">
        <v>27</v>
      </c>
      <c r="K4969" s="1" t="s">
        <v>28</v>
      </c>
      <c r="L4969" s="1" t="str">
        <f t="shared" si="947"/>
        <v>20220923</v>
      </c>
      <c r="M4969" s="1" t="str">
        <f>"085559"</f>
        <v>085559</v>
      </c>
      <c r="N4969" s="1" t="s">
        <v>44</v>
      </c>
      <c r="O4969" s="1" t="s">
        <v>45</v>
      </c>
      <c r="P4969" s="1" t="s">
        <v>55</v>
      </c>
      <c r="Q4969" s="1">
        <v>25</v>
      </c>
      <c r="R4969" s="1">
        <v>0</v>
      </c>
      <c r="S4969" s="1">
        <v>25</v>
      </c>
      <c r="T4969" s="1">
        <v>0</v>
      </c>
      <c r="U4969" s="1">
        <v>0</v>
      </c>
      <c r="V4969" s="1" t="str">
        <f t="shared" si="950"/>
        <v>里程去程</v>
      </c>
      <c r="W4969" s="1" t="str">
        <f>"0620"</f>
        <v>0620</v>
      </c>
      <c r="X4969" s="1" t="s">
        <v>29</v>
      </c>
    </row>
    <row r="4970" spans="1:24" x14ac:dyDescent="0.3">
      <c r="A4970" s="1" t="str">
        <f t="shared" si="948"/>
        <v>59822</v>
      </c>
      <c r="B4970" s="1" t="s">
        <v>39</v>
      </c>
      <c r="C4970" s="1" t="s">
        <v>40</v>
      </c>
      <c r="D4970" s="1" t="str">
        <f t="shared" si="949"/>
        <v>9801</v>
      </c>
      <c r="E4970" s="1" t="s">
        <v>25</v>
      </c>
      <c r="F4970" s="1" t="str">
        <f>"E213BD024E880400C834002000000015"</f>
        <v>E213BD024E880400C834002000000015</v>
      </c>
      <c r="G4970" s="1" t="s">
        <v>74</v>
      </c>
      <c r="H4970" s="1" t="str">
        <f t="shared" si="951"/>
        <v>20220923</v>
      </c>
      <c r="I4970" s="1" t="str">
        <f>"093047"</f>
        <v>093047</v>
      </c>
      <c r="J4970" s="1" t="s">
        <v>27</v>
      </c>
      <c r="K4970" s="1" t="s">
        <v>28</v>
      </c>
      <c r="L4970" s="1" t="str">
        <f t="shared" si="947"/>
        <v>20220923</v>
      </c>
      <c r="M4970" s="1" t="str">
        <f>"094730"</f>
        <v>094730</v>
      </c>
      <c r="N4970" s="1" t="s">
        <v>61</v>
      </c>
      <c r="O4970" s="1" t="s">
        <v>45</v>
      </c>
      <c r="P4970" s="1" t="s">
        <v>68</v>
      </c>
      <c r="Q4970" s="1">
        <v>13</v>
      </c>
      <c r="R4970" s="1">
        <v>0</v>
      </c>
      <c r="S4970" s="1">
        <v>0</v>
      </c>
      <c r="T4970" s="1">
        <v>13</v>
      </c>
      <c r="U4970" s="1">
        <v>0</v>
      </c>
      <c r="V4970" s="1" t="str">
        <f t="shared" si="950"/>
        <v>里程去程</v>
      </c>
      <c r="W4970" s="1" t="str">
        <f>"0020"</f>
        <v>0020</v>
      </c>
      <c r="X4970" s="1" t="s">
        <v>29</v>
      </c>
    </row>
    <row r="4971" spans="1:24" x14ac:dyDescent="0.3">
      <c r="A4971" s="1" t="str">
        <f t="shared" si="948"/>
        <v>59822</v>
      </c>
      <c r="B4971" s="1" t="s">
        <v>39</v>
      </c>
      <c r="C4971" s="1" t="s">
        <v>40</v>
      </c>
      <c r="D4971" s="1" t="str">
        <f t="shared" si="949"/>
        <v>9801</v>
      </c>
      <c r="E4971" s="1" t="s">
        <v>25</v>
      </c>
      <c r="F4971" s="1" t="str">
        <f>"595029601"</f>
        <v>595029601</v>
      </c>
      <c r="G4971" s="1" t="s">
        <v>33</v>
      </c>
      <c r="H4971" s="1" t="str">
        <f t="shared" si="951"/>
        <v>20220923</v>
      </c>
      <c r="I4971" s="1" t="str">
        <f>"093051"</f>
        <v>093051</v>
      </c>
      <c r="J4971" s="1" t="s">
        <v>27</v>
      </c>
      <c r="K4971" s="1" t="s">
        <v>28</v>
      </c>
      <c r="L4971" s="1" t="str">
        <f t="shared" si="947"/>
        <v>20220923</v>
      </c>
      <c r="M4971" s="1" t="str">
        <f>"094845"</f>
        <v>094845</v>
      </c>
      <c r="N4971" s="1" t="s">
        <v>56</v>
      </c>
      <c r="O4971" s="1" t="s">
        <v>45</v>
      </c>
      <c r="P4971" s="1" t="s">
        <v>55</v>
      </c>
      <c r="Q4971" s="1">
        <v>25</v>
      </c>
      <c r="R4971" s="1">
        <v>25</v>
      </c>
      <c r="S4971" s="1">
        <v>0</v>
      </c>
      <c r="T4971" s="1">
        <v>0</v>
      </c>
      <c r="U4971" s="1">
        <v>0</v>
      </c>
      <c r="V4971" s="1" t="str">
        <f t="shared" si="950"/>
        <v>里程去程</v>
      </c>
      <c r="W4971" s="1" t="str">
        <f>"0820"</f>
        <v>0820</v>
      </c>
      <c r="X4971" s="1" t="s">
        <v>35</v>
      </c>
    </row>
    <row r="4972" spans="1:24" x14ac:dyDescent="0.3">
      <c r="A4972" s="1" t="str">
        <f t="shared" si="948"/>
        <v>59822</v>
      </c>
      <c r="B4972" s="1" t="s">
        <v>39</v>
      </c>
      <c r="C4972" s="1" t="s">
        <v>40</v>
      </c>
      <c r="D4972" s="1" t="str">
        <f t="shared" si="949"/>
        <v>9801</v>
      </c>
      <c r="E4972" s="1" t="s">
        <v>25</v>
      </c>
      <c r="F4972" s="1" t="str">
        <f>"D1E85F036588040043252B4B0019050F"</f>
        <v>D1E85F036588040043252B4B0019050F</v>
      </c>
      <c r="G4972" s="1" t="s">
        <v>26</v>
      </c>
      <c r="H4972" s="1" t="str">
        <f t="shared" si="951"/>
        <v>20220923</v>
      </c>
      <c r="I4972" s="1" t="str">
        <f>"093056"</f>
        <v>093056</v>
      </c>
      <c r="J4972" s="1" t="s">
        <v>27</v>
      </c>
      <c r="K4972" s="1" t="s">
        <v>28</v>
      </c>
      <c r="L4972" s="1" t="str">
        <f t="shared" si="947"/>
        <v>20220923</v>
      </c>
      <c r="M4972" s="1" t="str">
        <f>"094344"</f>
        <v>094344</v>
      </c>
      <c r="N4972" s="1" t="s">
        <v>79</v>
      </c>
      <c r="O4972" s="1" t="s">
        <v>45</v>
      </c>
      <c r="P4972" s="1" t="s">
        <v>55</v>
      </c>
      <c r="Q4972" s="1">
        <v>13</v>
      </c>
      <c r="R4972" s="1">
        <v>13</v>
      </c>
      <c r="S4972" s="1">
        <v>0</v>
      </c>
      <c r="T4972" s="1">
        <v>0</v>
      </c>
      <c r="U4972" s="1">
        <v>0</v>
      </c>
      <c r="V4972" s="1" t="str">
        <f t="shared" si="950"/>
        <v>里程去程</v>
      </c>
      <c r="W4972" s="1" t="str">
        <f>"0020"</f>
        <v>0020</v>
      </c>
      <c r="X4972" s="1" t="s">
        <v>29</v>
      </c>
    </row>
    <row r="4973" spans="1:24" x14ac:dyDescent="0.3">
      <c r="A4973" s="1" t="str">
        <f t="shared" si="948"/>
        <v>59822</v>
      </c>
      <c r="B4973" s="1" t="s">
        <v>39</v>
      </c>
      <c r="C4973" s="1" t="s">
        <v>40</v>
      </c>
      <c r="D4973" s="1" t="str">
        <f t="shared" si="949"/>
        <v>9801</v>
      </c>
      <c r="E4973" s="1" t="s">
        <v>25</v>
      </c>
      <c r="F4973" s="1" t="str">
        <f>"6280E61A1E880400C817002000000021"</f>
        <v>6280E61A1E880400C817002000000021</v>
      </c>
      <c r="G4973" s="1" t="s">
        <v>58</v>
      </c>
      <c r="H4973" s="1" t="str">
        <f t="shared" si="951"/>
        <v>20220923</v>
      </c>
      <c r="I4973" s="1" t="str">
        <f>"093331"</f>
        <v>093331</v>
      </c>
      <c r="J4973" s="1" t="s">
        <v>27</v>
      </c>
      <c r="K4973" s="1" t="s">
        <v>28</v>
      </c>
      <c r="L4973" s="1" t="str">
        <f t="shared" si="947"/>
        <v>20220923</v>
      </c>
      <c r="M4973" s="1" t="str">
        <f>"094816"</f>
        <v>094816</v>
      </c>
      <c r="N4973" s="1" t="s">
        <v>56</v>
      </c>
      <c r="O4973" s="1" t="s">
        <v>45</v>
      </c>
      <c r="P4973" s="1" t="s">
        <v>55</v>
      </c>
      <c r="Q4973" s="1">
        <v>25</v>
      </c>
      <c r="R4973" s="1">
        <v>0</v>
      </c>
      <c r="S4973" s="1">
        <v>25</v>
      </c>
      <c r="T4973" s="1">
        <v>0</v>
      </c>
      <c r="U4973" s="1">
        <v>0</v>
      </c>
      <c r="V4973" s="1" t="str">
        <f t="shared" si="950"/>
        <v>里程去程</v>
      </c>
      <c r="W4973" s="1" t="str">
        <f>"0620"</f>
        <v>0620</v>
      </c>
      <c r="X4973" s="1" t="s">
        <v>29</v>
      </c>
    </row>
    <row r="4974" spans="1:24" x14ac:dyDescent="0.3">
      <c r="A4974" s="1" t="str">
        <f t="shared" si="948"/>
        <v>59822</v>
      </c>
      <c r="B4974" s="1" t="s">
        <v>39</v>
      </c>
      <c r="C4974" s="1" t="s">
        <v>40</v>
      </c>
      <c r="D4974" s="1" t="str">
        <f t="shared" si="949"/>
        <v>9801</v>
      </c>
      <c r="E4974" s="1" t="s">
        <v>25</v>
      </c>
      <c r="F4974" s="1" t="str">
        <f>"32780D0344880400C834002000000015"</f>
        <v>32780D0344880400C834002000000015</v>
      </c>
      <c r="G4974" s="1" t="s">
        <v>26</v>
      </c>
      <c r="H4974" s="1" t="str">
        <f t="shared" si="951"/>
        <v>20220923</v>
      </c>
      <c r="I4974" s="1" t="str">
        <f>"093657"</f>
        <v>093657</v>
      </c>
      <c r="J4974" s="1" t="s">
        <v>27</v>
      </c>
      <c r="K4974" s="1" t="s">
        <v>28</v>
      </c>
      <c r="L4974" s="1" t="str">
        <f t="shared" si="947"/>
        <v>20220923</v>
      </c>
      <c r="M4974" s="1" t="str">
        <f>"094820"</f>
        <v>094820</v>
      </c>
      <c r="N4974" s="1" t="s">
        <v>56</v>
      </c>
      <c r="O4974" s="1" t="s">
        <v>45</v>
      </c>
      <c r="P4974" s="1" t="s">
        <v>68</v>
      </c>
      <c r="Q4974" s="1">
        <v>13</v>
      </c>
      <c r="R4974" s="1">
        <v>0</v>
      </c>
      <c r="S4974" s="1">
        <v>0</v>
      </c>
      <c r="T4974" s="1">
        <v>13</v>
      </c>
      <c r="U4974" s="1">
        <v>0</v>
      </c>
      <c r="V4974" s="1" t="str">
        <f t="shared" si="950"/>
        <v>里程去程</v>
      </c>
      <c r="W4974" s="1" t="str">
        <f>"0020"</f>
        <v>0020</v>
      </c>
      <c r="X4974" s="1" t="s">
        <v>29</v>
      </c>
    </row>
    <row r="4975" spans="1:24" x14ac:dyDescent="0.3">
      <c r="A4975" s="1" t="str">
        <f t="shared" si="948"/>
        <v>59822</v>
      </c>
      <c r="B4975" s="1" t="s">
        <v>39</v>
      </c>
      <c r="C4975" s="1" t="s">
        <v>40</v>
      </c>
      <c r="D4975" s="1" t="str">
        <f t="shared" si="949"/>
        <v>9801</v>
      </c>
      <c r="E4975" s="1" t="s">
        <v>25</v>
      </c>
      <c r="F4975" s="1" t="str">
        <f>"03A6A9454988040048B994D749703809"</f>
        <v>03A6A9454988040048B994D749703809</v>
      </c>
      <c r="G4975" s="1" t="s">
        <v>64</v>
      </c>
      <c r="H4975" s="1" t="str">
        <f t="shared" si="951"/>
        <v>20220923</v>
      </c>
      <c r="I4975" s="1" t="str">
        <f>"125313"</f>
        <v>125313</v>
      </c>
      <c r="J4975" s="1" t="s">
        <v>28</v>
      </c>
      <c r="K4975" s="1" t="s">
        <v>28</v>
      </c>
      <c r="L4975" s="1" t="str">
        <f t="shared" si="947"/>
        <v>20220923</v>
      </c>
      <c r="M4975" s="1" t="str">
        <f>"130201"</f>
        <v>130201</v>
      </c>
      <c r="N4975" s="1" t="s">
        <v>83</v>
      </c>
      <c r="O4975" s="1" t="s">
        <v>52</v>
      </c>
      <c r="P4975" s="1" t="s">
        <v>55</v>
      </c>
      <c r="Q4975" s="1">
        <v>13</v>
      </c>
      <c r="R4975" s="1">
        <v>0</v>
      </c>
      <c r="S4975" s="1">
        <v>13</v>
      </c>
      <c r="T4975" s="1">
        <v>0</v>
      </c>
      <c r="U4975" s="1">
        <v>0</v>
      </c>
      <c r="V4975" s="1" t="str">
        <f t="shared" ref="V4975:V4987" si="952">"里程返程"</f>
        <v>里程返程</v>
      </c>
      <c r="W4975" s="1" t="str">
        <f>"1120"</f>
        <v>1120</v>
      </c>
      <c r="X4975" s="1" t="s">
        <v>29</v>
      </c>
    </row>
    <row r="4976" spans="1:24" x14ac:dyDescent="0.3">
      <c r="A4976" s="1" t="str">
        <f t="shared" si="948"/>
        <v>59822</v>
      </c>
      <c r="B4976" s="1" t="s">
        <v>39</v>
      </c>
      <c r="C4976" s="1" t="s">
        <v>40</v>
      </c>
      <c r="D4976" s="1" t="str">
        <f t="shared" si="949"/>
        <v>9801</v>
      </c>
      <c r="E4976" s="1" t="s">
        <v>25</v>
      </c>
      <c r="F4976" s="1" t="str">
        <f>"234627749"</f>
        <v>234627749</v>
      </c>
      <c r="G4976" s="1" t="s">
        <v>33</v>
      </c>
      <c r="H4976" s="1" t="str">
        <f t="shared" si="951"/>
        <v>20220923</v>
      </c>
      <c r="I4976" s="1" t="str">
        <f>"125317"</f>
        <v>125317</v>
      </c>
      <c r="J4976" s="1" t="s">
        <v>28</v>
      </c>
      <c r="K4976" s="1" t="s">
        <v>28</v>
      </c>
      <c r="L4976" s="1" t="str">
        <f t="shared" si="947"/>
        <v>20220923</v>
      </c>
      <c r="M4976" s="1" t="str">
        <f>"125806"</f>
        <v>125806</v>
      </c>
      <c r="N4976" s="1" t="s">
        <v>84</v>
      </c>
      <c r="O4976" s="1" t="s">
        <v>28</v>
      </c>
      <c r="P4976" s="1" t="s">
        <v>55</v>
      </c>
      <c r="Q4976" s="1">
        <v>25</v>
      </c>
      <c r="R4976" s="1">
        <v>25</v>
      </c>
      <c r="S4976" s="1">
        <v>0</v>
      </c>
      <c r="T4976" s="1">
        <v>0</v>
      </c>
      <c r="U4976" s="1">
        <v>0</v>
      </c>
      <c r="V4976" s="1" t="str">
        <f t="shared" si="952"/>
        <v>里程返程</v>
      </c>
      <c r="W4976" s="1" t="str">
        <f>"0920"</f>
        <v>0920</v>
      </c>
      <c r="X4976" s="1" t="s">
        <v>35</v>
      </c>
    </row>
    <row r="4977" spans="1:24" x14ac:dyDescent="0.3">
      <c r="A4977" s="1" t="str">
        <f t="shared" si="948"/>
        <v>59822</v>
      </c>
      <c r="B4977" s="1" t="s">
        <v>39</v>
      </c>
      <c r="C4977" s="1" t="s">
        <v>40</v>
      </c>
      <c r="D4977" s="1" t="str">
        <f t="shared" si="949"/>
        <v>9801</v>
      </c>
      <c r="E4977" s="1" t="s">
        <v>25</v>
      </c>
      <c r="F4977" s="1" t="str">
        <f>"821C1A0387880400C834002000000015"</f>
        <v>821C1A0387880400C834002000000015</v>
      </c>
      <c r="G4977" s="1" t="s">
        <v>26</v>
      </c>
      <c r="H4977" s="1" t="str">
        <f t="shared" si="951"/>
        <v>20220923</v>
      </c>
      <c r="I4977" s="1" t="str">
        <f>"130946"</f>
        <v>130946</v>
      </c>
      <c r="J4977" s="1" t="s">
        <v>80</v>
      </c>
      <c r="K4977" s="1" t="s">
        <v>52</v>
      </c>
      <c r="L4977" s="1" t="str">
        <f t="shared" si="947"/>
        <v>20220923</v>
      </c>
      <c r="M4977" s="1" t="str">
        <f>"131812"</f>
        <v>131812</v>
      </c>
      <c r="N4977" s="1" t="s">
        <v>60</v>
      </c>
      <c r="O4977" s="1" t="s">
        <v>52</v>
      </c>
      <c r="P4977" s="1" t="s">
        <v>68</v>
      </c>
      <c r="Q4977" s="1">
        <v>13</v>
      </c>
      <c r="R4977" s="1">
        <v>0</v>
      </c>
      <c r="S4977" s="1">
        <v>0</v>
      </c>
      <c r="T4977" s="1">
        <v>13</v>
      </c>
      <c r="U4977" s="1">
        <v>0</v>
      </c>
      <c r="V4977" s="1" t="str">
        <f t="shared" si="952"/>
        <v>里程返程</v>
      </c>
      <c r="W4977" s="1" t="str">
        <f>"0020"</f>
        <v>0020</v>
      </c>
      <c r="X4977" s="1" t="s">
        <v>29</v>
      </c>
    </row>
    <row r="4978" spans="1:24" x14ac:dyDescent="0.3">
      <c r="A4978" s="1" t="str">
        <f t="shared" si="948"/>
        <v>59822</v>
      </c>
      <c r="B4978" s="1" t="s">
        <v>39</v>
      </c>
      <c r="C4978" s="1" t="s">
        <v>40</v>
      </c>
      <c r="D4978" s="1" t="str">
        <f t="shared" si="949"/>
        <v>9801</v>
      </c>
      <c r="E4978" s="1" t="s">
        <v>25</v>
      </c>
      <c r="F4978" s="1" t="str">
        <f>"E220D10211880400C834002000000015"</f>
        <v>E220D10211880400C834002000000015</v>
      </c>
      <c r="G4978" s="1" t="s">
        <v>74</v>
      </c>
      <c r="H4978" s="1" t="str">
        <f t="shared" si="951"/>
        <v>20220923</v>
      </c>
      <c r="I4978" s="1" t="str">
        <f>"131114"</f>
        <v>131114</v>
      </c>
      <c r="J4978" s="1" t="s">
        <v>97</v>
      </c>
      <c r="K4978" s="1" t="s">
        <v>52</v>
      </c>
      <c r="L4978" s="1" t="str">
        <f t="shared" si="947"/>
        <v>20220923</v>
      </c>
      <c r="M4978" s="1" t="str">
        <f>"131231"</f>
        <v>131231</v>
      </c>
      <c r="N4978" s="1" t="s">
        <v>65</v>
      </c>
      <c r="O4978" s="1" t="s">
        <v>52</v>
      </c>
      <c r="P4978" s="1" t="s">
        <v>68</v>
      </c>
      <c r="Q4978" s="1">
        <v>13</v>
      </c>
      <c r="R4978" s="1">
        <v>0</v>
      </c>
      <c r="S4978" s="1">
        <v>0</v>
      </c>
      <c r="T4978" s="1">
        <v>13</v>
      </c>
      <c r="U4978" s="1">
        <v>0</v>
      </c>
      <c r="V4978" s="1" t="str">
        <f t="shared" si="952"/>
        <v>里程返程</v>
      </c>
      <c r="W4978" s="1" t="str">
        <f>"0020"</f>
        <v>0020</v>
      </c>
      <c r="X4978" s="1" t="s">
        <v>29</v>
      </c>
    </row>
    <row r="4979" spans="1:24" x14ac:dyDescent="0.3">
      <c r="A4979" s="1" t="str">
        <f t="shared" si="948"/>
        <v>59822</v>
      </c>
      <c r="B4979" s="1" t="s">
        <v>39</v>
      </c>
      <c r="C4979" s="1" t="s">
        <v>40</v>
      </c>
      <c r="D4979" s="1" t="str">
        <f t="shared" si="949"/>
        <v>9801</v>
      </c>
      <c r="E4979" s="1" t="s">
        <v>25</v>
      </c>
      <c r="F4979" s="1" t="str">
        <f>"6280E61A1E880400C817002000000021"</f>
        <v>6280E61A1E880400C817002000000021</v>
      </c>
      <c r="G4979" s="1" t="s">
        <v>58</v>
      </c>
      <c r="H4979" s="1" t="str">
        <f t="shared" si="951"/>
        <v>20220923</v>
      </c>
      <c r="I4979" s="1" t="str">
        <f>"153058"</f>
        <v>153058</v>
      </c>
      <c r="J4979" s="1" t="s">
        <v>44</v>
      </c>
      <c r="K4979" s="1" t="s">
        <v>45</v>
      </c>
      <c r="L4979" s="1" t="str">
        <f t="shared" si="947"/>
        <v>20220923</v>
      </c>
      <c r="M4979" s="1" t="str">
        <f>"155029"</f>
        <v>155029</v>
      </c>
      <c r="N4979" s="1" t="s">
        <v>28</v>
      </c>
      <c r="O4979" s="1" t="s">
        <v>28</v>
      </c>
      <c r="P4979" s="1" t="s">
        <v>55</v>
      </c>
      <c r="Q4979" s="1">
        <v>25</v>
      </c>
      <c r="R4979" s="1">
        <v>25</v>
      </c>
      <c r="S4979" s="1">
        <v>0</v>
      </c>
      <c r="T4979" s="1">
        <v>0</v>
      </c>
      <c r="U4979" s="1">
        <v>0</v>
      </c>
      <c r="V4979" s="1" t="str">
        <f t="shared" si="952"/>
        <v>里程返程</v>
      </c>
      <c r="W4979" s="1" t="str">
        <f>"0020"</f>
        <v>0020</v>
      </c>
      <c r="X4979" s="1" t="s">
        <v>29</v>
      </c>
    </row>
    <row r="4980" spans="1:24" x14ac:dyDescent="0.3">
      <c r="A4980" s="1" t="str">
        <f t="shared" si="948"/>
        <v>59822</v>
      </c>
      <c r="B4980" s="1" t="s">
        <v>39</v>
      </c>
      <c r="C4980" s="1" t="s">
        <v>40</v>
      </c>
      <c r="D4980" s="1" t="str">
        <f t="shared" si="949"/>
        <v>9801</v>
      </c>
      <c r="E4980" s="1" t="s">
        <v>25</v>
      </c>
      <c r="F4980" s="1" t="str">
        <f>"32780D0344880400C834002000000015"</f>
        <v>32780D0344880400C834002000000015</v>
      </c>
      <c r="G4980" s="1" t="s">
        <v>26</v>
      </c>
      <c r="H4980" s="1" t="str">
        <f t="shared" si="951"/>
        <v>20220923</v>
      </c>
      <c r="I4980" s="1" t="str">
        <f>"153158"</f>
        <v>153158</v>
      </c>
      <c r="J4980" s="1" t="s">
        <v>44</v>
      </c>
      <c r="K4980" s="1" t="s">
        <v>45</v>
      </c>
      <c r="L4980" s="1" t="str">
        <f t="shared" si="947"/>
        <v>20220923</v>
      </c>
      <c r="M4980" s="1" t="str">
        <f>"154850"</f>
        <v>154850</v>
      </c>
      <c r="N4980" s="1" t="s">
        <v>95</v>
      </c>
      <c r="O4980" s="1" t="s">
        <v>28</v>
      </c>
      <c r="P4980" s="1" t="s">
        <v>68</v>
      </c>
      <c r="Q4980" s="1">
        <v>13</v>
      </c>
      <c r="R4980" s="1">
        <v>0</v>
      </c>
      <c r="S4980" s="1">
        <v>0</v>
      </c>
      <c r="T4980" s="1">
        <v>13</v>
      </c>
      <c r="U4980" s="1">
        <v>0</v>
      </c>
      <c r="V4980" s="1" t="str">
        <f t="shared" si="952"/>
        <v>里程返程</v>
      </c>
      <c r="W4980" s="1" t="str">
        <f>"0020"</f>
        <v>0020</v>
      </c>
      <c r="X4980" s="1" t="s">
        <v>29</v>
      </c>
    </row>
    <row r="4981" spans="1:24" x14ac:dyDescent="0.3">
      <c r="A4981" s="1" t="str">
        <f t="shared" si="948"/>
        <v>59822</v>
      </c>
      <c r="B4981" s="1" t="s">
        <v>39</v>
      </c>
      <c r="C4981" s="1" t="s">
        <v>40</v>
      </c>
      <c r="D4981" s="1" t="str">
        <f t="shared" si="949"/>
        <v>9801</v>
      </c>
      <c r="E4981" s="1" t="s">
        <v>25</v>
      </c>
      <c r="F4981" s="1" t="str">
        <f>"285161633"</f>
        <v>285161633</v>
      </c>
      <c r="G4981" s="1" t="s">
        <v>33</v>
      </c>
      <c r="H4981" s="1" t="str">
        <f t="shared" si="951"/>
        <v>20220923</v>
      </c>
      <c r="I4981" s="1" t="str">
        <f>"155046"</f>
        <v>155046</v>
      </c>
      <c r="J4981" s="1" t="s">
        <v>28</v>
      </c>
      <c r="K4981" s="1" t="s">
        <v>28</v>
      </c>
      <c r="L4981" s="1" t="str">
        <f t="shared" si="947"/>
        <v>20220923</v>
      </c>
      <c r="M4981" s="1" t="str">
        <f>"160445"</f>
        <v>160445</v>
      </c>
      <c r="N4981" s="1" t="s">
        <v>78</v>
      </c>
      <c r="O4981" s="1" t="s">
        <v>52</v>
      </c>
      <c r="P4981" s="1" t="s">
        <v>55</v>
      </c>
      <c r="Q4981" s="1">
        <v>25</v>
      </c>
      <c r="R4981" s="1">
        <v>25</v>
      </c>
      <c r="S4981" s="1">
        <v>0</v>
      </c>
      <c r="T4981" s="1">
        <v>0</v>
      </c>
      <c r="U4981" s="1">
        <v>0</v>
      </c>
      <c r="V4981" s="1" t="str">
        <f t="shared" si="952"/>
        <v>里程返程</v>
      </c>
      <c r="W4981" s="1" t="str">
        <f>"0220"</f>
        <v>0220</v>
      </c>
      <c r="X4981" s="1" t="s">
        <v>35</v>
      </c>
    </row>
    <row r="4982" spans="1:24" x14ac:dyDescent="0.3">
      <c r="A4982" s="1" t="str">
        <f t="shared" si="948"/>
        <v>59822</v>
      </c>
      <c r="B4982" s="1" t="s">
        <v>39</v>
      </c>
      <c r="C4982" s="1" t="s">
        <v>40</v>
      </c>
      <c r="D4982" s="1" t="str">
        <f t="shared" si="949"/>
        <v>9801</v>
      </c>
      <c r="E4982" s="1" t="s">
        <v>25</v>
      </c>
      <c r="F4982" s="1" t="str">
        <f>"660537722"</f>
        <v>660537722</v>
      </c>
      <c r="G4982" s="1" t="s">
        <v>74</v>
      </c>
      <c r="H4982" s="1" t="str">
        <f t="shared" si="951"/>
        <v>20220923</v>
      </c>
      <c r="I4982" s="1" t="str">
        <f>"155454"</f>
        <v>155454</v>
      </c>
      <c r="J4982" s="1" t="s">
        <v>28</v>
      </c>
      <c r="K4982" s="1" t="s">
        <v>28</v>
      </c>
      <c r="L4982" s="1" t="str">
        <f t="shared" si="947"/>
        <v>20220923</v>
      </c>
      <c r="M4982" s="1" t="str">
        <f>"161628"</f>
        <v>161628</v>
      </c>
      <c r="N4982" s="1" t="s">
        <v>97</v>
      </c>
      <c r="O4982" s="1" t="s">
        <v>52</v>
      </c>
      <c r="P4982" s="1" t="s">
        <v>55</v>
      </c>
      <c r="Q4982" s="1">
        <v>13</v>
      </c>
      <c r="R4982" s="1">
        <v>13</v>
      </c>
      <c r="S4982" s="1">
        <v>0</v>
      </c>
      <c r="T4982" s="1">
        <v>0</v>
      </c>
      <c r="U4982" s="1">
        <v>0</v>
      </c>
      <c r="V4982" s="1" t="str">
        <f t="shared" si="952"/>
        <v>里程返程</v>
      </c>
      <c r="W4982" s="1" t="str">
        <f>"0120"</f>
        <v>0120</v>
      </c>
      <c r="X4982" s="1" t="s">
        <v>35</v>
      </c>
    </row>
    <row r="4983" spans="1:24" x14ac:dyDescent="0.3">
      <c r="A4983" s="1" t="str">
        <f t="shared" si="948"/>
        <v>59822</v>
      </c>
      <c r="B4983" s="1" t="s">
        <v>39</v>
      </c>
      <c r="C4983" s="1" t="s">
        <v>40</v>
      </c>
      <c r="D4983" s="1" t="str">
        <f t="shared" si="949"/>
        <v>9801</v>
      </c>
      <c r="E4983" s="1" t="s">
        <v>25</v>
      </c>
      <c r="F4983" s="1" t="str">
        <f>"62C2F51742880400C814002000000019"</f>
        <v>62C2F51742880400C814002000000019</v>
      </c>
      <c r="G4983" s="1" t="s">
        <v>59</v>
      </c>
      <c r="H4983" s="1" t="str">
        <f t="shared" si="951"/>
        <v>20220923</v>
      </c>
      <c r="I4983" s="1" t="str">
        <f>"155544"</f>
        <v>155544</v>
      </c>
      <c r="J4983" s="1" t="s">
        <v>28</v>
      </c>
      <c r="K4983" s="1" t="s">
        <v>28</v>
      </c>
      <c r="L4983" s="1" t="str">
        <f t="shared" si="947"/>
        <v>20220923</v>
      </c>
      <c r="M4983" s="1" t="str">
        <f>"163001"</f>
        <v>163001</v>
      </c>
      <c r="N4983" s="1" t="s">
        <v>86</v>
      </c>
      <c r="O4983" s="1" t="s">
        <v>52</v>
      </c>
      <c r="P4983" s="1" t="s">
        <v>55</v>
      </c>
      <c r="Q4983" s="1">
        <v>25</v>
      </c>
      <c r="R4983" s="1">
        <v>25</v>
      </c>
      <c r="S4983" s="1">
        <v>0</v>
      </c>
      <c r="T4983" s="1">
        <v>0</v>
      </c>
      <c r="U4983" s="1">
        <v>0</v>
      </c>
      <c r="V4983" s="1" t="str">
        <f t="shared" si="952"/>
        <v>里程返程</v>
      </c>
      <c r="W4983" s="1" t="str">
        <f>"0020"</f>
        <v>0020</v>
      </c>
      <c r="X4983" s="1" t="s">
        <v>29</v>
      </c>
    </row>
    <row r="4984" spans="1:24" x14ac:dyDescent="0.3">
      <c r="A4984" s="1" t="str">
        <f t="shared" si="948"/>
        <v>59822</v>
      </c>
      <c r="B4984" s="1" t="s">
        <v>39</v>
      </c>
      <c r="C4984" s="1" t="s">
        <v>40</v>
      </c>
      <c r="D4984" s="1" t="str">
        <f t="shared" si="949"/>
        <v>9801</v>
      </c>
      <c r="E4984" s="1" t="s">
        <v>25</v>
      </c>
      <c r="F4984" s="1" t="str">
        <f>"7227E702B0880400C834002000000015"</f>
        <v>7227E702B0880400C834002000000015</v>
      </c>
      <c r="G4984" s="1" t="s">
        <v>74</v>
      </c>
      <c r="H4984" s="1" t="str">
        <f t="shared" si="951"/>
        <v>20220923</v>
      </c>
      <c r="I4984" s="1" t="str">
        <f>"161502"</f>
        <v>161502</v>
      </c>
      <c r="J4984" s="1" t="s">
        <v>80</v>
      </c>
      <c r="K4984" s="1" t="s">
        <v>52</v>
      </c>
      <c r="L4984" s="1" t="str">
        <f t="shared" si="947"/>
        <v>20220923</v>
      </c>
      <c r="M4984" s="1" t="str">
        <f>"163248"</f>
        <v>163248</v>
      </c>
      <c r="N4984" s="1" t="s">
        <v>52</v>
      </c>
      <c r="O4984" s="1" t="s">
        <v>52</v>
      </c>
      <c r="P4984" s="1" t="s">
        <v>68</v>
      </c>
      <c r="Q4984" s="1">
        <v>13</v>
      </c>
      <c r="R4984" s="1">
        <v>0</v>
      </c>
      <c r="S4984" s="1">
        <v>0</v>
      </c>
      <c r="T4984" s="1">
        <v>13</v>
      </c>
      <c r="U4984" s="1">
        <v>0</v>
      </c>
      <c r="V4984" s="1" t="str">
        <f t="shared" si="952"/>
        <v>里程返程</v>
      </c>
      <c r="W4984" s="1" t="str">
        <f>"0020"</f>
        <v>0020</v>
      </c>
      <c r="X4984" s="1" t="s">
        <v>29</v>
      </c>
    </row>
    <row r="4985" spans="1:24" x14ac:dyDescent="0.3">
      <c r="A4985" s="1" t="str">
        <f t="shared" si="948"/>
        <v>59822</v>
      </c>
      <c r="B4985" s="1" t="s">
        <v>39</v>
      </c>
      <c r="C4985" s="1" t="s">
        <v>40</v>
      </c>
      <c r="D4985" s="1" t="str">
        <f t="shared" si="949"/>
        <v>9801</v>
      </c>
      <c r="E4985" s="1" t="s">
        <v>25</v>
      </c>
      <c r="F4985" s="1" t="str">
        <f>"42AFE60209880400C834002000000015"</f>
        <v>42AFE60209880400C834002000000015</v>
      </c>
      <c r="G4985" s="1" t="s">
        <v>74</v>
      </c>
      <c r="H4985" s="1" t="str">
        <f t="shared" si="951"/>
        <v>20220923</v>
      </c>
      <c r="I4985" s="1" t="str">
        <f>"161505"</f>
        <v>161505</v>
      </c>
      <c r="J4985" s="1" t="s">
        <v>80</v>
      </c>
      <c r="K4985" s="1" t="s">
        <v>52</v>
      </c>
      <c r="L4985" s="1" t="str">
        <f t="shared" si="947"/>
        <v>20220923</v>
      </c>
      <c r="M4985" s="1" t="str">
        <f>"163257"</f>
        <v>163257</v>
      </c>
      <c r="N4985" s="1" t="s">
        <v>52</v>
      </c>
      <c r="O4985" s="1" t="s">
        <v>52</v>
      </c>
      <c r="P4985" s="1" t="s">
        <v>68</v>
      </c>
      <c r="Q4985" s="1">
        <v>13</v>
      </c>
      <c r="R4985" s="1">
        <v>0</v>
      </c>
      <c r="S4985" s="1">
        <v>0</v>
      </c>
      <c r="T4985" s="1">
        <v>13</v>
      </c>
      <c r="U4985" s="1">
        <v>0</v>
      </c>
      <c r="V4985" s="1" t="str">
        <f t="shared" si="952"/>
        <v>里程返程</v>
      </c>
      <c r="W4985" s="1" t="str">
        <f>"0020"</f>
        <v>0020</v>
      </c>
      <c r="X4985" s="1" t="s">
        <v>29</v>
      </c>
    </row>
    <row r="4986" spans="1:24" x14ac:dyDescent="0.3">
      <c r="A4986" s="1" t="str">
        <f t="shared" si="948"/>
        <v>59822</v>
      </c>
      <c r="B4986" s="1" t="s">
        <v>39</v>
      </c>
      <c r="C4986" s="1" t="s">
        <v>40</v>
      </c>
      <c r="D4986" s="1" t="str">
        <f t="shared" si="949"/>
        <v>9801</v>
      </c>
      <c r="E4986" s="1" t="s">
        <v>25</v>
      </c>
      <c r="F4986" s="1" t="str">
        <f>"C596BF09E5180200D200000C22400417"</f>
        <v>C596BF09E5180200D200000C22400417</v>
      </c>
      <c r="G4986" s="1" t="s">
        <v>58</v>
      </c>
      <c r="H4986" s="1" t="str">
        <f t="shared" si="951"/>
        <v>20220923</v>
      </c>
      <c r="I4986" s="1" t="str">
        <f>"165546"</f>
        <v>165546</v>
      </c>
      <c r="J4986" s="1" t="s">
        <v>28</v>
      </c>
      <c r="K4986" s="1" t="s">
        <v>28</v>
      </c>
      <c r="L4986" s="1" t="str">
        <f t="shared" si="947"/>
        <v>20220923</v>
      </c>
      <c r="M4986" s="1" t="str">
        <f>"171658"</f>
        <v>171658</v>
      </c>
      <c r="N4986" s="1" t="s">
        <v>80</v>
      </c>
      <c r="O4986" s="1" t="s">
        <v>52</v>
      </c>
      <c r="P4986" s="1" t="s">
        <v>55</v>
      </c>
      <c r="Q4986" s="1">
        <v>25</v>
      </c>
      <c r="R4986" s="1">
        <v>0</v>
      </c>
      <c r="S4986" s="1">
        <v>25</v>
      </c>
      <c r="T4986" s="1">
        <v>0</v>
      </c>
      <c r="U4986" s="1">
        <v>0</v>
      </c>
      <c r="V4986" s="1" t="str">
        <f t="shared" si="952"/>
        <v>里程返程</v>
      </c>
      <c r="W4986" s="1" t="str">
        <f>"0620"</f>
        <v>0620</v>
      </c>
      <c r="X4986" s="1" t="s">
        <v>29</v>
      </c>
    </row>
    <row r="4987" spans="1:24" x14ac:dyDescent="0.3">
      <c r="A4987" s="1" t="str">
        <f t="shared" ref="A4987:A5018" si="953">"59823"</f>
        <v>59823</v>
      </c>
      <c r="B4987" s="1" t="s">
        <v>36</v>
      </c>
      <c r="C4987" s="1" t="s">
        <v>37</v>
      </c>
      <c r="D4987" s="1" t="str">
        <f>"9806"</f>
        <v>9806</v>
      </c>
      <c r="E4987" s="1" t="s">
        <v>49</v>
      </c>
      <c r="F4987" s="1" t="str">
        <f>"5294A50063880400C801002000000015"</f>
        <v>5294A50063880400C801002000000015</v>
      </c>
      <c r="G4987" s="1" t="s">
        <v>58</v>
      </c>
      <c r="H4987" s="1" t="str">
        <f t="shared" si="951"/>
        <v>20220923</v>
      </c>
      <c r="I4987" s="1" t="str">
        <f>"070031"</f>
        <v>070031</v>
      </c>
      <c r="J4987" s="1" t="s">
        <v>63</v>
      </c>
      <c r="K4987" s="1" t="s">
        <v>28</v>
      </c>
      <c r="L4987" s="1" t="str">
        <f t="shared" ref="L4987:L5018" si="954">"20220923"</f>
        <v>20220923</v>
      </c>
      <c r="M4987" s="1" t="str">
        <f>"070649"</f>
        <v>070649</v>
      </c>
      <c r="N4987" s="1" t="s">
        <v>104</v>
      </c>
      <c r="O4987" s="1" t="s">
        <v>28</v>
      </c>
      <c r="P4987" s="1" t="s">
        <v>55</v>
      </c>
      <c r="Q4987" s="1">
        <v>25</v>
      </c>
      <c r="R4987" s="1">
        <v>0</v>
      </c>
      <c r="S4987" s="1">
        <v>25</v>
      </c>
      <c r="T4987" s="1">
        <v>0</v>
      </c>
      <c r="U4987" s="1">
        <v>0</v>
      </c>
      <c r="V4987" s="1" t="str">
        <f t="shared" si="952"/>
        <v>里程返程</v>
      </c>
      <c r="W4987" s="1" t="str">
        <f>"1120"</f>
        <v>1120</v>
      </c>
      <c r="X4987" s="1" t="s">
        <v>29</v>
      </c>
    </row>
    <row r="4988" spans="1:24" x14ac:dyDescent="0.3">
      <c r="A4988" s="1" t="str">
        <f t="shared" si="953"/>
        <v>59823</v>
      </c>
      <c r="B4988" s="1" t="s">
        <v>36</v>
      </c>
      <c r="C4988" s="1" t="s">
        <v>37</v>
      </c>
      <c r="D4988" s="1" t="str">
        <f>"9806"</f>
        <v>9806</v>
      </c>
      <c r="E4988" s="1" t="s">
        <v>49</v>
      </c>
      <c r="F4988" s="1" t="str">
        <f>"E23388174E880400C814002000000019"</f>
        <v>E23388174E880400C814002000000019</v>
      </c>
      <c r="G4988" s="1" t="s">
        <v>59</v>
      </c>
      <c r="H4988" s="1" t="str">
        <f t="shared" si="951"/>
        <v>20220923</v>
      </c>
      <c r="I4988" s="1" t="str">
        <f>"071325"</f>
        <v>071325</v>
      </c>
      <c r="J4988" s="1" t="s">
        <v>107</v>
      </c>
      <c r="K4988" s="1" t="s">
        <v>50</v>
      </c>
      <c r="L4988" s="1" t="str">
        <f t="shared" si="954"/>
        <v>20220923</v>
      </c>
      <c r="M4988" s="1" t="str">
        <f>"072338"</f>
        <v>072338</v>
      </c>
      <c r="N4988" s="1" t="s">
        <v>98</v>
      </c>
      <c r="O4988" s="1" t="s">
        <v>28</v>
      </c>
      <c r="P4988" s="1" t="s">
        <v>55</v>
      </c>
      <c r="Q4988" s="1">
        <v>25</v>
      </c>
      <c r="R4988" s="1">
        <v>25</v>
      </c>
      <c r="S4988" s="1">
        <v>0</v>
      </c>
      <c r="T4988" s="1">
        <v>0</v>
      </c>
      <c r="U4988" s="1">
        <v>0</v>
      </c>
      <c r="V4988" s="1" t="str">
        <f t="shared" ref="V4988:V5016" si="955">"里程去程"</f>
        <v>里程去程</v>
      </c>
      <c r="W4988" s="1" t="str">
        <f>"0020"</f>
        <v>0020</v>
      </c>
      <c r="X4988" s="1" t="s">
        <v>29</v>
      </c>
    </row>
    <row r="4989" spans="1:24" x14ac:dyDescent="0.3">
      <c r="A4989" s="1" t="str">
        <f t="shared" si="953"/>
        <v>59823</v>
      </c>
      <c r="B4989" s="1" t="s">
        <v>36</v>
      </c>
      <c r="C4989" s="1" t="s">
        <v>37</v>
      </c>
      <c r="D4989" s="1" t="str">
        <f t="shared" ref="D4989:D5035" si="956">"9803"</f>
        <v>9803</v>
      </c>
      <c r="E4989" s="1" t="s">
        <v>32</v>
      </c>
      <c r="F4989" s="1" t="str">
        <f>"1715873301"</f>
        <v>1715873301</v>
      </c>
      <c r="G4989" s="1" t="s">
        <v>33</v>
      </c>
      <c r="H4989" s="1" t="str">
        <f t="shared" si="951"/>
        <v>20220923</v>
      </c>
      <c r="I4989" s="1" t="str">
        <f>"083017"</f>
        <v>083017</v>
      </c>
      <c r="J4989" s="1" t="s">
        <v>28</v>
      </c>
      <c r="K4989" s="1" t="s">
        <v>28</v>
      </c>
      <c r="L4989" s="1" t="str">
        <f t="shared" si="954"/>
        <v>20220923</v>
      </c>
      <c r="M4989" s="1" t="str">
        <f>"085006"</f>
        <v>085006</v>
      </c>
      <c r="N4989" s="1" t="s">
        <v>34</v>
      </c>
      <c r="O4989" s="1" t="s">
        <v>34</v>
      </c>
      <c r="P4989" s="1" t="s">
        <v>55</v>
      </c>
      <c r="Q4989" s="1">
        <v>25</v>
      </c>
      <c r="R4989" s="1">
        <v>25</v>
      </c>
      <c r="S4989" s="1">
        <v>0</v>
      </c>
      <c r="T4989" s="1">
        <v>0</v>
      </c>
      <c r="U4989" s="1">
        <v>0</v>
      </c>
      <c r="V4989" s="1" t="str">
        <f t="shared" si="955"/>
        <v>里程去程</v>
      </c>
      <c r="W4989" s="1" t="str">
        <f>"0820"</f>
        <v>0820</v>
      </c>
      <c r="X4989" s="1" t="s">
        <v>35</v>
      </c>
    </row>
    <row r="4990" spans="1:24" x14ac:dyDescent="0.3">
      <c r="A4990" s="1" t="str">
        <f t="shared" si="953"/>
        <v>59823</v>
      </c>
      <c r="B4990" s="1" t="s">
        <v>36</v>
      </c>
      <c r="C4990" s="1" t="s">
        <v>37</v>
      </c>
      <c r="D4990" s="1" t="str">
        <f t="shared" si="956"/>
        <v>9803</v>
      </c>
      <c r="E4990" s="1" t="s">
        <v>32</v>
      </c>
      <c r="F4990" s="1" t="str">
        <f>"A271D9121828040080CEBCD765212818"</f>
        <v>A271D9121828040080CEBCD765212818</v>
      </c>
      <c r="G4990" s="1" t="s">
        <v>58</v>
      </c>
      <c r="H4990" s="1" t="str">
        <f t="shared" si="951"/>
        <v>20220923</v>
      </c>
      <c r="I4990" s="1" t="str">
        <f>"083930"</f>
        <v>083930</v>
      </c>
      <c r="J4990" s="1" t="s">
        <v>79</v>
      </c>
      <c r="K4990" s="1" t="s">
        <v>28</v>
      </c>
      <c r="L4990" s="1" t="str">
        <f t="shared" si="954"/>
        <v>20220923</v>
      </c>
      <c r="M4990" s="1" t="str">
        <f>"085002"</f>
        <v>085002</v>
      </c>
      <c r="N4990" s="1" t="s">
        <v>34</v>
      </c>
      <c r="O4990" s="1" t="s">
        <v>34</v>
      </c>
      <c r="P4990" s="1" t="s">
        <v>55</v>
      </c>
      <c r="Q4990" s="1">
        <v>25</v>
      </c>
      <c r="R4990" s="1">
        <v>25</v>
      </c>
      <c r="S4990" s="1">
        <v>0</v>
      </c>
      <c r="T4990" s="1">
        <v>0</v>
      </c>
      <c r="U4990" s="1">
        <v>0</v>
      </c>
      <c r="V4990" s="1" t="str">
        <f t="shared" si="955"/>
        <v>里程去程</v>
      </c>
      <c r="W4990" s="1" t="str">
        <f>"0020"</f>
        <v>0020</v>
      </c>
      <c r="X4990" s="1" t="s">
        <v>29</v>
      </c>
    </row>
    <row r="4991" spans="1:24" x14ac:dyDescent="0.3">
      <c r="A4991" s="1" t="str">
        <f t="shared" si="953"/>
        <v>59823</v>
      </c>
      <c r="B4991" s="1" t="s">
        <v>36</v>
      </c>
      <c r="C4991" s="1" t="s">
        <v>37</v>
      </c>
      <c r="D4991" s="1" t="str">
        <f t="shared" si="956"/>
        <v>9803</v>
      </c>
      <c r="E4991" s="1" t="s">
        <v>32</v>
      </c>
      <c r="F4991" s="1" t="str">
        <f>"E7D6A56CF888040043250FDF000F0C0E"</f>
        <v>E7D6A56CF888040043250FDF000F0C0E</v>
      </c>
      <c r="G4991" s="1" t="s">
        <v>58</v>
      </c>
      <c r="H4991" s="1" t="str">
        <f t="shared" si="951"/>
        <v>20220923</v>
      </c>
      <c r="I4991" s="1" t="str">
        <f>"102757"</f>
        <v>102757</v>
      </c>
      <c r="J4991" s="1" t="s">
        <v>28</v>
      </c>
      <c r="K4991" s="1" t="s">
        <v>28</v>
      </c>
      <c r="L4991" s="1" t="str">
        <f t="shared" si="954"/>
        <v>20220923</v>
      </c>
      <c r="M4991" s="1" t="str">
        <f>"104704"</f>
        <v>104704</v>
      </c>
      <c r="N4991" s="1" t="s">
        <v>34</v>
      </c>
      <c r="O4991" s="1" t="s">
        <v>34</v>
      </c>
      <c r="P4991" s="1" t="s">
        <v>55</v>
      </c>
      <c r="Q4991" s="1">
        <v>25</v>
      </c>
      <c r="R4991" s="1">
        <v>25</v>
      </c>
      <c r="S4991" s="1">
        <v>0</v>
      </c>
      <c r="T4991" s="1">
        <v>0</v>
      </c>
      <c r="U4991" s="1">
        <v>0</v>
      </c>
      <c r="V4991" s="1" t="str">
        <f t="shared" si="955"/>
        <v>里程去程</v>
      </c>
      <c r="W4991" s="1" t="str">
        <f>"0020"</f>
        <v>0020</v>
      </c>
      <c r="X4991" s="1" t="s">
        <v>29</v>
      </c>
    </row>
    <row r="4992" spans="1:24" x14ac:dyDescent="0.3">
      <c r="A4992" s="1" t="str">
        <f t="shared" si="953"/>
        <v>59823</v>
      </c>
      <c r="B4992" s="1" t="s">
        <v>36</v>
      </c>
      <c r="C4992" s="1" t="s">
        <v>37</v>
      </c>
      <c r="D4992" s="1" t="str">
        <f t="shared" si="956"/>
        <v>9803</v>
      </c>
      <c r="E4992" s="1" t="s">
        <v>32</v>
      </c>
      <c r="F4992" s="1" t="str">
        <f>"E159E7441B280400F700000000000000"</f>
        <v>E159E7441B280400F700000000000000</v>
      </c>
      <c r="G4992" s="1" t="s">
        <v>58</v>
      </c>
      <c r="H4992" s="1" t="str">
        <f t="shared" si="951"/>
        <v>20220923</v>
      </c>
      <c r="I4992" s="1" t="str">
        <f>"102804"</f>
        <v>102804</v>
      </c>
      <c r="J4992" s="1" t="s">
        <v>28</v>
      </c>
      <c r="K4992" s="1" t="s">
        <v>28</v>
      </c>
      <c r="L4992" s="1" t="str">
        <f t="shared" si="954"/>
        <v>20220923</v>
      </c>
      <c r="M4992" s="1" t="str">
        <f>"104635"</f>
        <v>104635</v>
      </c>
      <c r="N4992" s="1" t="s">
        <v>34</v>
      </c>
      <c r="O4992" s="1" t="s">
        <v>34</v>
      </c>
      <c r="P4992" s="1" t="s">
        <v>55</v>
      </c>
      <c r="Q4992" s="1">
        <v>25</v>
      </c>
      <c r="R4992" s="1">
        <v>25</v>
      </c>
      <c r="S4992" s="1">
        <v>0</v>
      </c>
      <c r="T4992" s="1">
        <v>0</v>
      </c>
      <c r="U4992" s="1">
        <v>0</v>
      </c>
      <c r="V4992" s="1" t="str">
        <f t="shared" si="955"/>
        <v>里程去程</v>
      </c>
      <c r="W4992" s="1" t="str">
        <f>"0020"</f>
        <v>0020</v>
      </c>
      <c r="X4992" s="1" t="s">
        <v>29</v>
      </c>
    </row>
    <row r="4993" spans="1:24" x14ac:dyDescent="0.3">
      <c r="A4993" s="1" t="str">
        <f t="shared" si="953"/>
        <v>59823</v>
      </c>
      <c r="B4993" s="1" t="s">
        <v>36</v>
      </c>
      <c r="C4993" s="1" t="s">
        <v>37</v>
      </c>
      <c r="D4993" s="1" t="str">
        <f t="shared" si="956"/>
        <v>9803</v>
      </c>
      <c r="E4993" s="1" t="s">
        <v>32</v>
      </c>
      <c r="F4993" s="1" t="str">
        <f>"917794689"</f>
        <v>917794689</v>
      </c>
      <c r="G4993" s="1" t="s">
        <v>33</v>
      </c>
      <c r="H4993" s="1" t="str">
        <f t="shared" si="951"/>
        <v>20220923</v>
      </c>
      <c r="I4993" s="1" t="str">
        <f>"102813"</f>
        <v>102813</v>
      </c>
      <c r="J4993" s="1" t="s">
        <v>28</v>
      </c>
      <c r="K4993" s="1" t="s">
        <v>28</v>
      </c>
      <c r="L4993" s="1" t="str">
        <f t="shared" si="954"/>
        <v>20220923</v>
      </c>
      <c r="M4993" s="1" t="str">
        <f>"104629"</f>
        <v>104629</v>
      </c>
      <c r="N4993" s="1" t="s">
        <v>34</v>
      </c>
      <c r="O4993" s="1" t="s">
        <v>34</v>
      </c>
      <c r="P4993" s="1" t="s">
        <v>55</v>
      </c>
      <c r="Q4993" s="1">
        <v>25</v>
      </c>
      <c r="R4993" s="1">
        <v>25</v>
      </c>
      <c r="S4993" s="1">
        <v>0</v>
      </c>
      <c r="T4993" s="1">
        <v>0</v>
      </c>
      <c r="U4993" s="1">
        <v>0</v>
      </c>
      <c r="V4993" s="1" t="str">
        <f t="shared" si="955"/>
        <v>里程去程</v>
      </c>
      <c r="W4993" s="1" t="str">
        <f>"0620"</f>
        <v>0620</v>
      </c>
      <c r="X4993" s="1" t="s">
        <v>35</v>
      </c>
    </row>
    <row r="4994" spans="1:24" x14ac:dyDescent="0.3">
      <c r="A4994" s="1" t="str">
        <f t="shared" si="953"/>
        <v>59823</v>
      </c>
      <c r="B4994" s="1" t="s">
        <v>36</v>
      </c>
      <c r="C4994" s="1" t="s">
        <v>37</v>
      </c>
      <c r="D4994" s="1" t="str">
        <f t="shared" si="956"/>
        <v>9803</v>
      </c>
      <c r="E4994" s="1" t="s">
        <v>32</v>
      </c>
      <c r="F4994" s="1" t="str">
        <f>"6717161015186788"</f>
        <v>6717161015186788</v>
      </c>
      <c r="G4994" s="1" t="s">
        <v>33</v>
      </c>
      <c r="H4994" s="1" t="str">
        <f t="shared" si="951"/>
        <v>20220923</v>
      </c>
      <c r="I4994" s="1" t="str">
        <f>"102816"</f>
        <v>102816</v>
      </c>
      <c r="J4994" s="1" t="s">
        <v>28</v>
      </c>
      <c r="K4994" s="1" t="s">
        <v>28</v>
      </c>
      <c r="L4994" s="1" t="str">
        <f t="shared" si="954"/>
        <v>20220923</v>
      </c>
      <c r="M4994" s="1" t="str">
        <f>"104701"</f>
        <v>104701</v>
      </c>
      <c r="N4994" s="1" t="s">
        <v>34</v>
      </c>
      <c r="O4994" s="1" t="s">
        <v>34</v>
      </c>
      <c r="P4994" s="1" t="s">
        <v>55</v>
      </c>
      <c r="Q4994" s="1">
        <v>25</v>
      </c>
      <c r="R4994" s="1">
        <v>0</v>
      </c>
      <c r="S4994" s="1">
        <v>25</v>
      </c>
      <c r="T4994" s="1">
        <v>0</v>
      </c>
      <c r="U4994" s="1">
        <v>0</v>
      </c>
      <c r="V4994" s="1" t="str">
        <f t="shared" si="955"/>
        <v>里程去程</v>
      </c>
      <c r="W4994" s="1" t="str">
        <f>"083B"</f>
        <v>083B</v>
      </c>
      <c r="X4994" s="1" t="s">
        <v>109</v>
      </c>
    </row>
    <row r="4995" spans="1:24" x14ac:dyDescent="0.3">
      <c r="A4995" s="1" t="str">
        <f t="shared" si="953"/>
        <v>59823</v>
      </c>
      <c r="B4995" s="1" t="s">
        <v>36</v>
      </c>
      <c r="C4995" s="1" t="s">
        <v>37</v>
      </c>
      <c r="D4995" s="1" t="str">
        <f t="shared" si="956"/>
        <v>9803</v>
      </c>
      <c r="E4995" s="1" t="s">
        <v>32</v>
      </c>
      <c r="F4995" s="1" t="str">
        <f>"9114DD277F280400F700000000000000"</f>
        <v>9114DD277F280400F700000000000000</v>
      </c>
      <c r="G4995" s="1" t="s">
        <v>58</v>
      </c>
      <c r="H4995" s="1" t="str">
        <f t="shared" si="951"/>
        <v>20220923</v>
      </c>
      <c r="I4995" s="1" t="str">
        <f>"102842"</f>
        <v>102842</v>
      </c>
      <c r="J4995" s="1" t="s">
        <v>28</v>
      </c>
      <c r="K4995" s="1" t="s">
        <v>28</v>
      </c>
      <c r="L4995" s="1" t="str">
        <f t="shared" si="954"/>
        <v>20220923</v>
      </c>
      <c r="M4995" s="1" t="str">
        <f>"104657"</f>
        <v>104657</v>
      </c>
      <c r="N4995" s="1" t="s">
        <v>34</v>
      </c>
      <c r="O4995" s="1" t="s">
        <v>34</v>
      </c>
      <c r="P4995" s="1" t="s">
        <v>55</v>
      </c>
      <c r="Q4995" s="1">
        <v>25</v>
      </c>
      <c r="R4995" s="1">
        <v>0</v>
      </c>
      <c r="S4995" s="1">
        <v>25</v>
      </c>
      <c r="T4995" s="1">
        <v>0</v>
      </c>
      <c r="U4995" s="1">
        <v>0</v>
      </c>
      <c r="V4995" s="1" t="str">
        <f t="shared" si="955"/>
        <v>里程去程</v>
      </c>
      <c r="W4995" s="1" t="str">
        <f>"0620"</f>
        <v>0620</v>
      </c>
      <c r="X4995" s="1" t="s">
        <v>29</v>
      </c>
    </row>
    <row r="4996" spans="1:24" x14ac:dyDescent="0.3">
      <c r="A4996" s="1" t="str">
        <f t="shared" si="953"/>
        <v>59823</v>
      </c>
      <c r="B4996" s="1" t="s">
        <v>36</v>
      </c>
      <c r="C4996" s="1" t="s">
        <v>37</v>
      </c>
      <c r="D4996" s="1" t="str">
        <f t="shared" si="956"/>
        <v>9803</v>
      </c>
      <c r="E4996" s="1" t="s">
        <v>32</v>
      </c>
      <c r="F4996" s="1" t="str">
        <f>"1007844693"</f>
        <v>1007844693</v>
      </c>
      <c r="G4996" s="1" t="s">
        <v>33</v>
      </c>
      <c r="H4996" s="1" t="str">
        <f t="shared" ref="H4996:H5027" si="957">"20220923"</f>
        <v>20220923</v>
      </c>
      <c r="I4996" s="1" t="str">
        <f>"102847"</f>
        <v>102847</v>
      </c>
      <c r="J4996" s="1" t="s">
        <v>28</v>
      </c>
      <c r="K4996" s="1" t="s">
        <v>28</v>
      </c>
      <c r="L4996" s="1" t="str">
        <f t="shared" si="954"/>
        <v>20220923</v>
      </c>
      <c r="M4996" s="1" t="str">
        <f>"104707"</f>
        <v>104707</v>
      </c>
      <c r="N4996" s="1" t="s">
        <v>34</v>
      </c>
      <c r="O4996" s="1" t="s">
        <v>34</v>
      </c>
      <c r="P4996" s="1" t="s">
        <v>55</v>
      </c>
      <c r="Q4996" s="1">
        <v>25</v>
      </c>
      <c r="R4996" s="1">
        <v>25</v>
      </c>
      <c r="S4996" s="1">
        <v>0</v>
      </c>
      <c r="T4996" s="1">
        <v>0</v>
      </c>
      <c r="U4996" s="1">
        <v>0</v>
      </c>
      <c r="V4996" s="1" t="str">
        <f t="shared" si="955"/>
        <v>里程去程</v>
      </c>
      <c r="W4996" s="1" t="str">
        <f>"0120"</f>
        <v>0120</v>
      </c>
      <c r="X4996" s="1" t="s">
        <v>35</v>
      </c>
    </row>
    <row r="4997" spans="1:24" x14ac:dyDescent="0.3">
      <c r="A4997" s="1" t="str">
        <f t="shared" si="953"/>
        <v>59823</v>
      </c>
      <c r="B4997" s="1" t="s">
        <v>36</v>
      </c>
      <c r="C4997" s="1" t="s">
        <v>37</v>
      </c>
      <c r="D4997" s="1" t="str">
        <f t="shared" si="956"/>
        <v>9803</v>
      </c>
      <c r="E4997" s="1" t="s">
        <v>32</v>
      </c>
      <c r="F4997" s="1" t="str">
        <f>"D293B519ED880400C824002000000020"</f>
        <v>D293B519ED880400C824002000000020</v>
      </c>
      <c r="G4997" s="1" t="s">
        <v>59</v>
      </c>
      <c r="H4997" s="1" t="str">
        <f t="shared" si="957"/>
        <v>20220923</v>
      </c>
      <c r="I4997" s="1" t="str">
        <f>"102854"</f>
        <v>102854</v>
      </c>
      <c r="J4997" s="1" t="s">
        <v>28</v>
      </c>
      <c r="K4997" s="1" t="s">
        <v>28</v>
      </c>
      <c r="L4997" s="1" t="str">
        <f t="shared" si="954"/>
        <v>20220923</v>
      </c>
      <c r="M4997" s="1" t="str">
        <f>"104711"</f>
        <v>104711</v>
      </c>
      <c r="N4997" s="1" t="s">
        <v>34</v>
      </c>
      <c r="O4997" s="1" t="s">
        <v>34</v>
      </c>
      <c r="P4997" s="1" t="s">
        <v>55</v>
      </c>
      <c r="Q4997" s="1">
        <v>25</v>
      </c>
      <c r="R4997" s="1">
        <v>25</v>
      </c>
      <c r="S4997" s="1">
        <v>0</v>
      </c>
      <c r="T4997" s="1">
        <v>0</v>
      </c>
      <c r="U4997" s="1">
        <v>0</v>
      </c>
      <c r="V4997" s="1" t="str">
        <f t="shared" si="955"/>
        <v>里程去程</v>
      </c>
      <c r="W4997" s="1" t="str">
        <f>"0020"</f>
        <v>0020</v>
      </c>
      <c r="X4997" s="1" t="s">
        <v>29</v>
      </c>
    </row>
    <row r="4998" spans="1:24" x14ac:dyDescent="0.3">
      <c r="A4998" s="1" t="str">
        <f t="shared" si="953"/>
        <v>59823</v>
      </c>
      <c r="B4998" s="1" t="s">
        <v>36</v>
      </c>
      <c r="C4998" s="1" t="s">
        <v>37</v>
      </c>
      <c r="D4998" s="1" t="str">
        <f t="shared" si="956"/>
        <v>9803</v>
      </c>
      <c r="E4998" s="1" t="s">
        <v>32</v>
      </c>
      <c r="F4998" s="1" t="str">
        <f>"993091089"</f>
        <v>993091089</v>
      </c>
      <c r="G4998" s="1" t="s">
        <v>33</v>
      </c>
      <c r="H4998" s="1" t="str">
        <f t="shared" si="957"/>
        <v>20220923</v>
      </c>
      <c r="I4998" s="1" t="str">
        <f>"102900"</f>
        <v>102900</v>
      </c>
      <c r="J4998" s="1" t="s">
        <v>28</v>
      </c>
      <c r="K4998" s="1" t="s">
        <v>28</v>
      </c>
      <c r="L4998" s="1" t="str">
        <f t="shared" si="954"/>
        <v>20220923</v>
      </c>
      <c r="M4998" s="1" t="str">
        <f>"104650"</f>
        <v>104650</v>
      </c>
      <c r="N4998" s="1" t="s">
        <v>34</v>
      </c>
      <c r="O4998" s="1" t="s">
        <v>34</v>
      </c>
      <c r="P4998" s="1" t="s">
        <v>55</v>
      </c>
      <c r="Q4998" s="1">
        <v>25</v>
      </c>
      <c r="R4998" s="1">
        <v>25</v>
      </c>
      <c r="S4998" s="1">
        <v>0</v>
      </c>
      <c r="T4998" s="1">
        <v>0</v>
      </c>
      <c r="U4998" s="1">
        <v>0</v>
      </c>
      <c r="V4998" s="1" t="str">
        <f t="shared" si="955"/>
        <v>里程去程</v>
      </c>
      <c r="W4998" s="1" t="str">
        <f>"2020"</f>
        <v>2020</v>
      </c>
      <c r="X4998" s="1" t="s">
        <v>35</v>
      </c>
    </row>
    <row r="4999" spans="1:24" x14ac:dyDescent="0.3">
      <c r="A4999" s="1" t="str">
        <f t="shared" si="953"/>
        <v>59823</v>
      </c>
      <c r="B4999" s="1" t="s">
        <v>36</v>
      </c>
      <c r="C4999" s="1" t="s">
        <v>37</v>
      </c>
      <c r="D4999" s="1" t="str">
        <f t="shared" si="956"/>
        <v>9803</v>
      </c>
      <c r="E4999" s="1" t="s">
        <v>32</v>
      </c>
      <c r="F4999" s="1" t="str">
        <f>"1159848033"</f>
        <v>1159848033</v>
      </c>
      <c r="G4999" s="1" t="s">
        <v>33</v>
      </c>
      <c r="H4999" s="1" t="str">
        <f t="shared" si="957"/>
        <v>20220923</v>
      </c>
      <c r="I4999" s="1" t="str">
        <f>"112940"</f>
        <v>112940</v>
      </c>
      <c r="J4999" s="1" t="s">
        <v>28</v>
      </c>
      <c r="K4999" s="1" t="s">
        <v>28</v>
      </c>
      <c r="L4999" s="1" t="str">
        <f t="shared" si="954"/>
        <v>20220923</v>
      </c>
      <c r="M4999" s="1" t="str">
        <f>"115202"</f>
        <v>115202</v>
      </c>
      <c r="N4999" s="1" t="s">
        <v>34</v>
      </c>
      <c r="O4999" s="1" t="s">
        <v>34</v>
      </c>
      <c r="P4999" s="1" t="s">
        <v>55</v>
      </c>
      <c r="Q4999" s="1">
        <v>25</v>
      </c>
      <c r="R4999" s="1">
        <v>0</v>
      </c>
      <c r="S4999" s="1">
        <v>25</v>
      </c>
      <c r="T4999" s="1">
        <v>0</v>
      </c>
      <c r="U4999" s="1">
        <v>0</v>
      </c>
      <c r="V4999" s="1" t="str">
        <f t="shared" si="955"/>
        <v>里程去程</v>
      </c>
      <c r="W4999" s="1" t="str">
        <f>"2120"</f>
        <v>2120</v>
      </c>
      <c r="X4999" s="1" t="s">
        <v>35</v>
      </c>
    </row>
    <row r="5000" spans="1:24" x14ac:dyDescent="0.3">
      <c r="A5000" s="1" t="str">
        <f t="shared" si="953"/>
        <v>59823</v>
      </c>
      <c r="B5000" s="1" t="s">
        <v>36</v>
      </c>
      <c r="C5000" s="1" t="s">
        <v>37</v>
      </c>
      <c r="D5000" s="1" t="str">
        <f t="shared" si="956"/>
        <v>9803</v>
      </c>
      <c r="E5000" s="1" t="s">
        <v>32</v>
      </c>
      <c r="F5000" s="1" t="str">
        <f>"717291924"</f>
        <v>717291924</v>
      </c>
      <c r="G5000" s="1" t="s">
        <v>33</v>
      </c>
      <c r="H5000" s="1" t="str">
        <f t="shared" si="957"/>
        <v>20220923</v>
      </c>
      <c r="I5000" s="1" t="str">
        <f>"112943"</f>
        <v>112943</v>
      </c>
      <c r="J5000" s="1" t="s">
        <v>28</v>
      </c>
      <c r="K5000" s="1" t="s">
        <v>28</v>
      </c>
      <c r="L5000" s="1" t="str">
        <f t="shared" si="954"/>
        <v>20220923</v>
      </c>
      <c r="M5000" s="1" t="str">
        <f>"115208"</f>
        <v>115208</v>
      </c>
      <c r="N5000" s="1" t="s">
        <v>34</v>
      </c>
      <c r="O5000" s="1" t="s">
        <v>34</v>
      </c>
      <c r="P5000" s="1" t="s">
        <v>55</v>
      </c>
      <c r="Q5000" s="1">
        <v>25</v>
      </c>
      <c r="R5000" s="1">
        <v>25</v>
      </c>
      <c r="S5000" s="1">
        <v>0</v>
      </c>
      <c r="T5000" s="1">
        <v>0</v>
      </c>
      <c r="U5000" s="1">
        <v>0</v>
      </c>
      <c r="V5000" s="1" t="str">
        <f t="shared" si="955"/>
        <v>里程去程</v>
      </c>
      <c r="W5000" s="1" t="str">
        <f>"0820"</f>
        <v>0820</v>
      </c>
      <c r="X5000" s="1" t="s">
        <v>35</v>
      </c>
    </row>
    <row r="5001" spans="1:24" x14ac:dyDescent="0.3">
      <c r="A5001" s="1" t="str">
        <f t="shared" si="953"/>
        <v>59823</v>
      </c>
      <c r="B5001" s="1" t="s">
        <v>36</v>
      </c>
      <c r="C5001" s="1" t="s">
        <v>37</v>
      </c>
      <c r="D5001" s="1" t="str">
        <f t="shared" si="956"/>
        <v>9803</v>
      </c>
      <c r="E5001" s="1" t="s">
        <v>32</v>
      </c>
      <c r="F5001" s="1" t="str">
        <f>"1004876485"</f>
        <v>1004876485</v>
      </c>
      <c r="G5001" s="1" t="s">
        <v>33</v>
      </c>
      <c r="H5001" s="1" t="str">
        <f t="shared" si="957"/>
        <v>20220923</v>
      </c>
      <c r="I5001" s="1" t="str">
        <f>"112946"</f>
        <v>112946</v>
      </c>
      <c r="J5001" s="1" t="s">
        <v>28</v>
      </c>
      <c r="K5001" s="1" t="s">
        <v>28</v>
      </c>
      <c r="L5001" s="1" t="str">
        <f t="shared" si="954"/>
        <v>20220923</v>
      </c>
      <c r="M5001" s="1" t="str">
        <f>"115205"</f>
        <v>115205</v>
      </c>
      <c r="N5001" s="1" t="s">
        <v>34</v>
      </c>
      <c r="O5001" s="1" t="s">
        <v>34</v>
      </c>
      <c r="P5001" s="1" t="s">
        <v>55</v>
      </c>
      <c r="Q5001" s="1">
        <v>25</v>
      </c>
      <c r="R5001" s="1">
        <v>25</v>
      </c>
      <c r="S5001" s="1">
        <v>0</v>
      </c>
      <c r="T5001" s="1">
        <v>0</v>
      </c>
      <c r="U5001" s="1">
        <v>0</v>
      </c>
      <c r="V5001" s="1" t="str">
        <f t="shared" si="955"/>
        <v>里程去程</v>
      </c>
      <c r="W5001" s="1" t="str">
        <f>"0820"</f>
        <v>0820</v>
      </c>
      <c r="X5001" s="1" t="s">
        <v>35</v>
      </c>
    </row>
    <row r="5002" spans="1:24" x14ac:dyDescent="0.3">
      <c r="A5002" s="1" t="str">
        <f t="shared" si="953"/>
        <v>59823</v>
      </c>
      <c r="B5002" s="1" t="s">
        <v>36</v>
      </c>
      <c r="C5002" s="1" t="s">
        <v>37</v>
      </c>
      <c r="D5002" s="1" t="str">
        <f t="shared" si="956"/>
        <v>9803</v>
      </c>
      <c r="E5002" s="1" t="s">
        <v>32</v>
      </c>
      <c r="F5002" s="1" t="str">
        <f>"9914A50F278804004326A4E600020211"</f>
        <v>9914A50F278804004326A4E600020211</v>
      </c>
      <c r="G5002" s="1" t="s">
        <v>58</v>
      </c>
      <c r="H5002" s="1" t="str">
        <f t="shared" si="957"/>
        <v>20220923</v>
      </c>
      <c r="I5002" s="1" t="str">
        <f>"112949"</f>
        <v>112949</v>
      </c>
      <c r="J5002" s="1" t="s">
        <v>28</v>
      </c>
      <c r="K5002" s="1" t="s">
        <v>28</v>
      </c>
      <c r="L5002" s="1" t="str">
        <f t="shared" si="954"/>
        <v>20220923</v>
      </c>
      <c r="M5002" s="1" t="str">
        <f>"115159"</f>
        <v>115159</v>
      </c>
      <c r="N5002" s="1" t="s">
        <v>34</v>
      </c>
      <c r="O5002" s="1" t="s">
        <v>34</v>
      </c>
      <c r="P5002" s="1" t="s">
        <v>55</v>
      </c>
      <c r="Q5002" s="1">
        <v>25</v>
      </c>
      <c r="R5002" s="1">
        <v>25</v>
      </c>
      <c r="S5002" s="1">
        <v>0</v>
      </c>
      <c r="T5002" s="1">
        <v>0</v>
      </c>
      <c r="U5002" s="1">
        <v>0</v>
      </c>
      <c r="V5002" s="1" t="str">
        <f t="shared" si="955"/>
        <v>里程去程</v>
      </c>
      <c r="W5002" s="1" t="str">
        <f>"0020"</f>
        <v>0020</v>
      </c>
      <c r="X5002" s="1" t="s">
        <v>29</v>
      </c>
    </row>
    <row r="5003" spans="1:24" x14ac:dyDescent="0.3">
      <c r="A5003" s="1" t="str">
        <f t="shared" si="953"/>
        <v>59823</v>
      </c>
      <c r="B5003" s="1" t="s">
        <v>36</v>
      </c>
      <c r="C5003" s="1" t="s">
        <v>37</v>
      </c>
      <c r="D5003" s="1" t="str">
        <f t="shared" si="956"/>
        <v>9803</v>
      </c>
      <c r="E5003" s="1" t="s">
        <v>32</v>
      </c>
      <c r="F5003" s="1" t="str">
        <f>"A28A9815A5880400C810002000000019"</f>
        <v>A28A9815A5880400C810002000000019</v>
      </c>
      <c r="G5003" s="1" t="s">
        <v>58</v>
      </c>
      <c r="H5003" s="1" t="str">
        <f t="shared" si="957"/>
        <v>20220923</v>
      </c>
      <c r="I5003" s="1" t="str">
        <f>"112954"</f>
        <v>112954</v>
      </c>
      <c r="J5003" s="1" t="s">
        <v>28</v>
      </c>
      <c r="K5003" s="1" t="s">
        <v>28</v>
      </c>
      <c r="L5003" s="1" t="str">
        <f t="shared" si="954"/>
        <v>20220923</v>
      </c>
      <c r="M5003" s="1" t="str">
        <f>"115049"</f>
        <v>115049</v>
      </c>
      <c r="N5003" s="1" t="s">
        <v>34</v>
      </c>
      <c r="O5003" s="1" t="s">
        <v>34</v>
      </c>
      <c r="P5003" s="1" t="s">
        <v>55</v>
      </c>
      <c r="Q5003" s="1">
        <v>25</v>
      </c>
      <c r="R5003" s="1">
        <v>25</v>
      </c>
      <c r="S5003" s="1">
        <v>0</v>
      </c>
      <c r="T5003" s="1">
        <v>0</v>
      </c>
      <c r="U5003" s="1">
        <v>0</v>
      </c>
      <c r="V5003" s="1" t="str">
        <f t="shared" si="955"/>
        <v>里程去程</v>
      </c>
      <c r="W5003" s="1" t="str">
        <f>"0020"</f>
        <v>0020</v>
      </c>
      <c r="X5003" s="1" t="s">
        <v>29</v>
      </c>
    </row>
    <row r="5004" spans="1:24" x14ac:dyDescent="0.3">
      <c r="A5004" s="1" t="str">
        <f t="shared" si="953"/>
        <v>59823</v>
      </c>
      <c r="B5004" s="1" t="s">
        <v>36</v>
      </c>
      <c r="C5004" s="1" t="s">
        <v>37</v>
      </c>
      <c r="D5004" s="1" t="str">
        <f t="shared" si="956"/>
        <v>9803</v>
      </c>
      <c r="E5004" s="1" t="s">
        <v>32</v>
      </c>
      <c r="F5004" s="1" t="str">
        <f>"641922801"</f>
        <v>641922801</v>
      </c>
      <c r="G5004" s="1" t="s">
        <v>33</v>
      </c>
      <c r="H5004" s="1" t="str">
        <f t="shared" si="957"/>
        <v>20220923</v>
      </c>
      <c r="I5004" s="1" t="str">
        <f>"113003"</f>
        <v>113003</v>
      </c>
      <c r="J5004" s="1" t="s">
        <v>28</v>
      </c>
      <c r="K5004" s="1" t="s">
        <v>28</v>
      </c>
      <c r="L5004" s="1" t="str">
        <f t="shared" si="954"/>
        <v>20220923</v>
      </c>
      <c r="M5004" s="1" t="str">
        <f>"115125"</f>
        <v>115125</v>
      </c>
      <c r="N5004" s="1" t="s">
        <v>34</v>
      </c>
      <c r="O5004" s="1" t="s">
        <v>34</v>
      </c>
      <c r="P5004" s="1" t="s">
        <v>55</v>
      </c>
      <c r="Q5004" s="1">
        <v>25</v>
      </c>
      <c r="R5004" s="1">
        <v>25</v>
      </c>
      <c r="S5004" s="1">
        <v>0</v>
      </c>
      <c r="T5004" s="1">
        <v>0</v>
      </c>
      <c r="U5004" s="1">
        <v>0</v>
      </c>
      <c r="V5004" s="1" t="str">
        <f t="shared" si="955"/>
        <v>里程去程</v>
      </c>
      <c r="W5004" s="1" t="str">
        <f>"0620"</f>
        <v>0620</v>
      </c>
      <c r="X5004" s="1" t="s">
        <v>35</v>
      </c>
    </row>
    <row r="5005" spans="1:24" x14ac:dyDescent="0.3">
      <c r="A5005" s="1" t="str">
        <f t="shared" si="953"/>
        <v>59823</v>
      </c>
      <c r="B5005" s="1" t="s">
        <v>36</v>
      </c>
      <c r="C5005" s="1" t="s">
        <v>37</v>
      </c>
      <c r="D5005" s="1" t="str">
        <f t="shared" si="956"/>
        <v>9803</v>
      </c>
      <c r="E5005" s="1" t="s">
        <v>32</v>
      </c>
      <c r="F5005" s="1" t="str">
        <f>"933807605"</f>
        <v>933807605</v>
      </c>
      <c r="G5005" s="1" t="s">
        <v>33</v>
      </c>
      <c r="H5005" s="1" t="str">
        <f t="shared" si="957"/>
        <v>20220923</v>
      </c>
      <c r="I5005" s="1" t="str">
        <f>"113016"</f>
        <v>113016</v>
      </c>
      <c r="J5005" s="1" t="s">
        <v>28</v>
      </c>
      <c r="K5005" s="1" t="s">
        <v>28</v>
      </c>
      <c r="L5005" s="1" t="str">
        <f t="shared" si="954"/>
        <v>20220923</v>
      </c>
      <c r="M5005" s="1" t="str">
        <f>"115022"</f>
        <v>115022</v>
      </c>
      <c r="N5005" s="1" t="s">
        <v>34</v>
      </c>
      <c r="O5005" s="1" t="s">
        <v>34</v>
      </c>
      <c r="P5005" s="1" t="s">
        <v>55</v>
      </c>
      <c r="Q5005" s="1">
        <v>25</v>
      </c>
      <c r="R5005" s="1">
        <v>25</v>
      </c>
      <c r="S5005" s="1">
        <v>0</v>
      </c>
      <c r="T5005" s="1">
        <v>0</v>
      </c>
      <c r="U5005" s="1">
        <v>0</v>
      </c>
      <c r="V5005" s="1" t="str">
        <f t="shared" si="955"/>
        <v>里程去程</v>
      </c>
      <c r="W5005" s="1" t="str">
        <f>"0120"</f>
        <v>0120</v>
      </c>
      <c r="X5005" s="1" t="s">
        <v>35</v>
      </c>
    </row>
    <row r="5006" spans="1:24" x14ac:dyDescent="0.3">
      <c r="A5006" s="1" t="str">
        <f t="shared" si="953"/>
        <v>59823</v>
      </c>
      <c r="B5006" s="1" t="s">
        <v>36</v>
      </c>
      <c r="C5006" s="1" t="s">
        <v>37</v>
      </c>
      <c r="D5006" s="1" t="str">
        <f t="shared" si="956"/>
        <v>9803</v>
      </c>
      <c r="E5006" s="1" t="s">
        <v>32</v>
      </c>
      <c r="F5006" s="1" t="str">
        <f>"02FC810D72880400C848002000000017"</f>
        <v>02FC810D72880400C848002000000017</v>
      </c>
      <c r="G5006" s="1" t="s">
        <v>59</v>
      </c>
      <c r="H5006" s="1" t="str">
        <f t="shared" si="957"/>
        <v>20220923</v>
      </c>
      <c r="I5006" s="1" t="str">
        <f>"113025"</f>
        <v>113025</v>
      </c>
      <c r="J5006" s="1" t="s">
        <v>28</v>
      </c>
      <c r="K5006" s="1" t="s">
        <v>28</v>
      </c>
      <c r="L5006" s="1" t="str">
        <f t="shared" si="954"/>
        <v>20220923</v>
      </c>
      <c r="M5006" s="1" t="str">
        <f>"115123"</f>
        <v>115123</v>
      </c>
      <c r="N5006" s="1" t="s">
        <v>34</v>
      </c>
      <c r="O5006" s="1" t="s">
        <v>34</v>
      </c>
      <c r="P5006" s="1" t="s">
        <v>55</v>
      </c>
      <c r="Q5006" s="1">
        <v>25</v>
      </c>
      <c r="R5006" s="1">
        <v>0</v>
      </c>
      <c r="S5006" s="1">
        <v>25</v>
      </c>
      <c r="T5006" s="1">
        <v>0</v>
      </c>
      <c r="U5006" s="1">
        <v>0</v>
      </c>
      <c r="V5006" s="1" t="str">
        <f t="shared" si="955"/>
        <v>里程去程</v>
      </c>
      <c r="W5006" s="1" t="str">
        <f>"0620"</f>
        <v>0620</v>
      </c>
      <c r="X5006" s="1" t="s">
        <v>29</v>
      </c>
    </row>
    <row r="5007" spans="1:24" x14ac:dyDescent="0.3">
      <c r="A5007" s="1" t="str">
        <f t="shared" si="953"/>
        <v>59823</v>
      </c>
      <c r="B5007" s="1" t="s">
        <v>36</v>
      </c>
      <c r="C5007" s="1" t="s">
        <v>37</v>
      </c>
      <c r="D5007" s="1" t="str">
        <f t="shared" si="956"/>
        <v>9803</v>
      </c>
      <c r="E5007" s="1" t="s">
        <v>32</v>
      </c>
      <c r="F5007" s="1" t="str">
        <f>"1066271061"</f>
        <v>1066271061</v>
      </c>
      <c r="G5007" s="1" t="s">
        <v>33</v>
      </c>
      <c r="H5007" s="1" t="str">
        <f t="shared" si="957"/>
        <v>20220923</v>
      </c>
      <c r="I5007" s="1" t="str">
        <f>"113041"</f>
        <v>113041</v>
      </c>
      <c r="J5007" s="1" t="s">
        <v>28</v>
      </c>
      <c r="K5007" s="1" t="s">
        <v>28</v>
      </c>
      <c r="L5007" s="1" t="str">
        <f t="shared" si="954"/>
        <v>20220923</v>
      </c>
      <c r="M5007" s="1" t="str">
        <f>"115101"</f>
        <v>115101</v>
      </c>
      <c r="N5007" s="1" t="s">
        <v>34</v>
      </c>
      <c r="O5007" s="1" t="s">
        <v>34</v>
      </c>
      <c r="P5007" s="1" t="s">
        <v>55</v>
      </c>
      <c r="Q5007" s="1">
        <v>25</v>
      </c>
      <c r="R5007" s="1">
        <v>25</v>
      </c>
      <c r="S5007" s="1">
        <v>0</v>
      </c>
      <c r="T5007" s="1">
        <v>0</v>
      </c>
      <c r="U5007" s="1">
        <v>0</v>
      </c>
      <c r="V5007" s="1" t="str">
        <f t="shared" si="955"/>
        <v>里程去程</v>
      </c>
      <c r="W5007" s="1" t="str">
        <f>"0120"</f>
        <v>0120</v>
      </c>
      <c r="X5007" s="1" t="s">
        <v>35</v>
      </c>
    </row>
    <row r="5008" spans="1:24" x14ac:dyDescent="0.3">
      <c r="A5008" s="1" t="str">
        <f t="shared" si="953"/>
        <v>59823</v>
      </c>
      <c r="B5008" s="1" t="s">
        <v>36</v>
      </c>
      <c r="C5008" s="1" t="s">
        <v>37</v>
      </c>
      <c r="D5008" s="1" t="str">
        <f t="shared" si="956"/>
        <v>9803</v>
      </c>
      <c r="E5008" s="1" t="s">
        <v>32</v>
      </c>
      <c r="F5008" s="1" t="str">
        <f>"7311190844001880"</f>
        <v>7311190844001880</v>
      </c>
      <c r="G5008" s="1" t="s">
        <v>33</v>
      </c>
      <c r="H5008" s="1" t="str">
        <f t="shared" si="957"/>
        <v>20220923</v>
      </c>
      <c r="I5008" s="1" t="str">
        <f>"113052"</f>
        <v>113052</v>
      </c>
      <c r="J5008" s="1" t="s">
        <v>28</v>
      </c>
      <c r="K5008" s="1" t="s">
        <v>28</v>
      </c>
      <c r="L5008" s="1" t="str">
        <f t="shared" si="954"/>
        <v>20220923</v>
      </c>
      <c r="M5008" s="1" t="str">
        <f>"115042"</f>
        <v>115042</v>
      </c>
      <c r="N5008" s="1" t="s">
        <v>34</v>
      </c>
      <c r="O5008" s="1" t="s">
        <v>34</v>
      </c>
      <c r="P5008" s="1" t="s">
        <v>55</v>
      </c>
      <c r="Q5008" s="1">
        <v>25</v>
      </c>
      <c r="R5008" s="1">
        <v>25</v>
      </c>
      <c r="S5008" s="1">
        <v>0</v>
      </c>
      <c r="T5008" s="1">
        <v>0</v>
      </c>
      <c r="U5008" s="1">
        <v>0</v>
      </c>
      <c r="V5008" s="1" t="str">
        <f t="shared" si="955"/>
        <v>里程去程</v>
      </c>
      <c r="W5008" s="1" t="str">
        <f>"013B"</f>
        <v>013B</v>
      </c>
      <c r="X5008" s="1" t="s">
        <v>109</v>
      </c>
    </row>
    <row r="5009" spans="1:24" x14ac:dyDescent="0.3">
      <c r="A5009" s="1" t="str">
        <f t="shared" si="953"/>
        <v>59823</v>
      </c>
      <c r="B5009" s="1" t="s">
        <v>36</v>
      </c>
      <c r="C5009" s="1" t="s">
        <v>37</v>
      </c>
      <c r="D5009" s="1" t="str">
        <f t="shared" si="956"/>
        <v>9803</v>
      </c>
      <c r="E5009" s="1" t="s">
        <v>32</v>
      </c>
      <c r="F5009" s="1" t="str">
        <f>"792112449"</f>
        <v>792112449</v>
      </c>
      <c r="G5009" s="1" t="s">
        <v>33</v>
      </c>
      <c r="H5009" s="1" t="str">
        <f t="shared" si="957"/>
        <v>20220923</v>
      </c>
      <c r="I5009" s="1" t="str">
        <f>"113101"</f>
        <v>113101</v>
      </c>
      <c r="J5009" s="1" t="s">
        <v>28</v>
      </c>
      <c r="K5009" s="1" t="s">
        <v>28</v>
      </c>
      <c r="L5009" s="1" t="str">
        <f t="shared" si="954"/>
        <v>20220923</v>
      </c>
      <c r="M5009" s="1" t="str">
        <f>"115155"</f>
        <v>115155</v>
      </c>
      <c r="N5009" s="1" t="s">
        <v>34</v>
      </c>
      <c r="O5009" s="1" t="s">
        <v>34</v>
      </c>
      <c r="P5009" s="1" t="s">
        <v>55</v>
      </c>
      <c r="Q5009" s="1">
        <v>25</v>
      </c>
      <c r="R5009" s="1">
        <v>25</v>
      </c>
      <c r="S5009" s="1">
        <v>0</v>
      </c>
      <c r="T5009" s="1">
        <v>0</v>
      </c>
      <c r="U5009" s="1">
        <v>0</v>
      </c>
      <c r="V5009" s="1" t="str">
        <f t="shared" si="955"/>
        <v>里程去程</v>
      </c>
      <c r="W5009" s="1" t="str">
        <f>"0120"</f>
        <v>0120</v>
      </c>
      <c r="X5009" s="1" t="s">
        <v>35</v>
      </c>
    </row>
    <row r="5010" spans="1:24" x14ac:dyDescent="0.3">
      <c r="A5010" s="1" t="str">
        <f t="shared" si="953"/>
        <v>59823</v>
      </c>
      <c r="B5010" s="1" t="s">
        <v>36</v>
      </c>
      <c r="C5010" s="1" t="s">
        <v>37</v>
      </c>
      <c r="D5010" s="1" t="str">
        <f t="shared" si="956"/>
        <v>9803</v>
      </c>
      <c r="E5010" s="1" t="s">
        <v>32</v>
      </c>
      <c r="F5010" s="1" t="str">
        <f>"7311220168000956"</f>
        <v>7311220168000956</v>
      </c>
      <c r="G5010" s="1" t="s">
        <v>33</v>
      </c>
      <c r="H5010" s="1" t="str">
        <f t="shared" si="957"/>
        <v>20220923</v>
      </c>
      <c r="I5010" s="1" t="str">
        <f>"113107"</f>
        <v>113107</v>
      </c>
      <c r="J5010" s="1" t="s">
        <v>28</v>
      </c>
      <c r="K5010" s="1" t="s">
        <v>28</v>
      </c>
      <c r="L5010" s="1" t="str">
        <f t="shared" si="954"/>
        <v>20220923</v>
      </c>
      <c r="M5010" s="1" t="str">
        <f>"115151"</f>
        <v>115151</v>
      </c>
      <c r="N5010" s="1" t="s">
        <v>34</v>
      </c>
      <c r="O5010" s="1" t="s">
        <v>34</v>
      </c>
      <c r="P5010" s="1" t="s">
        <v>55</v>
      </c>
      <c r="Q5010" s="1">
        <v>25</v>
      </c>
      <c r="R5010" s="1">
        <v>25</v>
      </c>
      <c r="S5010" s="1">
        <v>0</v>
      </c>
      <c r="T5010" s="1">
        <v>0</v>
      </c>
      <c r="U5010" s="1">
        <v>0</v>
      </c>
      <c r="V5010" s="1" t="str">
        <f t="shared" si="955"/>
        <v>里程去程</v>
      </c>
      <c r="W5010" s="1" t="str">
        <f>"013B"</f>
        <v>013B</v>
      </c>
      <c r="X5010" s="1" t="s">
        <v>109</v>
      </c>
    </row>
    <row r="5011" spans="1:24" x14ac:dyDescent="0.3">
      <c r="A5011" s="1" t="str">
        <f t="shared" si="953"/>
        <v>59823</v>
      </c>
      <c r="B5011" s="1" t="s">
        <v>36</v>
      </c>
      <c r="C5011" s="1" t="s">
        <v>37</v>
      </c>
      <c r="D5011" s="1" t="str">
        <f t="shared" si="956"/>
        <v>9803</v>
      </c>
      <c r="E5011" s="1" t="s">
        <v>32</v>
      </c>
      <c r="F5011" s="1" t="str">
        <f>"A2D5BD11DB28040080CEBCD141912418"</f>
        <v>A2D5BD11DB28040080CEBCD141912418</v>
      </c>
      <c r="G5011" s="1" t="s">
        <v>59</v>
      </c>
      <c r="H5011" s="1" t="str">
        <f t="shared" si="957"/>
        <v>20220923</v>
      </c>
      <c r="I5011" s="1" t="str">
        <f>"113113"</f>
        <v>113113</v>
      </c>
      <c r="J5011" s="1" t="s">
        <v>28</v>
      </c>
      <c r="K5011" s="1" t="s">
        <v>28</v>
      </c>
      <c r="L5011" s="1" t="str">
        <f t="shared" si="954"/>
        <v>20220923</v>
      </c>
      <c r="M5011" s="1" t="str">
        <f>"115148"</f>
        <v>115148</v>
      </c>
      <c r="N5011" s="1" t="s">
        <v>34</v>
      </c>
      <c r="O5011" s="1" t="s">
        <v>34</v>
      </c>
      <c r="P5011" s="1" t="s">
        <v>55</v>
      </c>
      <c r="Q5011" s="1">
        <v>25</v>
      </c>
      <c r="R5011" s="1">
        <v>25</v>
      </c>
      <c r="S5011" s="1">
        <v>0</v>
      </c>
      <c r="T5011" s="1">
        <v>0</v>
      </c>
      <c r="U5011" s="1">
        <v>0</v>
      </c>
      <c r="V5011" s="1" t="str">
        <f t="shared" si="955"/>
        <v>里程去程</v>
      </c>
      <c r="W5011" s="1" t="str">
        <f>"0020"</f>
        <v>0020</v>
      </c>
      <c r="X5011" s="1" t="s">
        <v>29</v>
      </c>
    </row>
    <row r="5012" spans="1:24" x14ac:dyDescent="0.3">
      <c r="A5012" s="1" t="str">
        <f t="shared" si="953"/>
        <v>59823</v>
      </c>
      <c r="B5012" s="1" t="s">
        <v>36</v>
      </c>
      <c r="C5012" s="1" t="s">
        <v>37</v>
      </c>
      <c r="D5012" s="1" t="str">
        <f t="shared" si="956"/>
        <v>9803</v>
      </c>
      <c r="E5012" s="1" t="s">
        <v>32</v>
      </c>
      <c r="F5012" s="1" t="str">
        <f>"1512899394"</f>
        <v>1512899394</v>
      </c>
      <c r="G5012" s="1" t="s">
        <v>33</v>
      </c>
      <c r="H5012" s="1" t="str">
        <f t="shared" si="957"/>
        <v>20220923</v>
      </c>
      <c r="I5012" s="1" t="str">
        <f>"113121"</f>
        <v>113121</v>
      </c>
      <c r="J5012" s="1" t="s">
        <v>28</v>
      </c>
      <c r="K5012" s="1" t="s">
        <v>28</v>
      </c>
      <c r="L5012" s="1" t="str">
        <f t="shared" si="954"/>
        <v>20220923</v>
      </c>
      <c r="M5012" s="1" t="str">
        <f>"115142"</f>
        <v>115142</v>
      </c>
      <c r="N5012" s="1" t="s">
        <v>34</v>
      </c>
      <c r="O5012" s="1" t="s">
        <v>34</v>
      </c>
      <c r="P5012" s="1" t="s">
        <v>55</v>
      </c>
      <c r="Q5012" s="1">
        <v>25</v>
      </c>
      <c r="R5012" s="1">
        <v>25</v>
      </c>
      <c r="S5012" s="1">
        <v>0</v>
      </c>
      <c r="T5012" s="1">
        <v>0</v>
      </c>
      <c r="U5012" s="1">
        <v>0</v>
      </c>
      <c r="V5012" s="1" t="str">
        <f t="shared" si="955"/>
        <v>里程去程</v>
      </c>
      <c r="W5012" s="1" t="str">
        <f>"0120"</f>
        <v>0120</v>
      </c>
      <c r="X5012" s="1" t="s">
        <v>35</v>
      </c>
    </row>
    <row r="5013" spans="1:24" x14ac:dyDescent="0.3">
      <c r="A5013" s="1" t="str">
        <f t="shared" si="953"/>
        <v>59823</v>
      </c>
      <c r="B5013" s="1" t="s">
        <v>36</v>
      </c>
      <c r="C5013" s="1" t="s">
        <v>37</v>
      </c>
      <c r="D5013" s="1" t="str">
        <f t="shared" si="956"/>
        <v>9803</v>
      </c>
      <c r="E5013" s="1" t="s">
        <v>32</v>
      </c>
      <c r="F5013" s="1" t="str">
        <f>"677572741"</f>
        <v>677572741</v>
      </c>
      <c r="G5013" s="1" t="s">
        <v>33</v>
      </c>
      <c r="H5013" s="1" t="str">
        <f t="shared" si="957"/>
        <v>20220923</v>
      </c>
      <c r="I5013" s="1" t="str">
        <f>"113128"</f>
        <v>113128</v>
      </c>
      <c r="J5013" s="1" t="s">
        <v>28</v>
      </c>
      <c r="K5013" s="1" t="s">
        <v>28</v>
      </c>
      <c r="L5013" s="1" t="str">
        <f t="shared" si="954"/>
        <v>20220923</v>
      </c>
      <c r="M5013" s="1" t="str">
        <f>"115107"</f>
        <v>115107</v>
      </c>
      <c r="N5013" s="1" t="s">
        <v>34</v>
      </c>
      <c r="O5013" s="1" t="s">
        <v>34</v>
      </c>
      <c r="P5013" s="1" t="s">
        <v>55</v>
      </c>
      <c r="Q5013" s="1">
        <v>25</v>
      </c>
      <c r="R5013" s="1">
        <v>25</v>
      </c>
      <c r="S5013" s="1">
        <v>0</v>
      </c>
      <c r="T5013" s="1">
        <v>0</v>
      </c>
      <c r="U5013" s="1">
        <v>0</v>
      </c>
      <c r="V5013" s="1" t="str">
        <f t="shared" si="955"/>
        <v>里程去程</v>
      </c>
      <c r="W5013" s="1" t="str">
        <f>"0120"</f>
        <v>0120</v>
      </c>
      <c r="X5013" s="1" t="s">
        <v>35</v>
      </c>
    </row>
    <row r="5014" spans="1:24" x14ac:dyDescent="0.3">
      <c r="A5014" s="1" t="str">
        <f t="shared" si="953"/>
        <v>59823</v>
      </c>
      <c r="B5014" s="1" t="s">
        <v>36</v>
      </c>
      <c r="C5014" s="1" t="s">
        <v>37</v>
      </c>
      <c r="D5014" s="1" t="str">
        <f t="shared" si="956"/>
        <v>9803</v>
      </c>
      <c r="E5014" s="1" t="s">
        <v>32</v>
      </c>
      <c r="F5014" s="1" t="str">
        <f>"7111170214006834"</f>
        <v>7111170214006834</v>
      </c>
      <c r="G5014" s="1" t="s">
        <v>33</v>
      </c>
      <c r="H5014" s="1" t="str">
        <f t="shared" si="957"/>
        <v>20220923</v>
      </c>
      <c r="I5014" s="1" t="str">
        <f>"113135"</f>
        <v>113135</v>
      </c>
      <c r="J5014" s="1" t="s">
        <v>28</v>
      </c>
      <c r="K5014" s="1" t="s">
        <v>28</v>
      </c>
      <c r="L5014" s="1" t="str">
        <f t="shared" si="954"/>
        <v>20220923</v>
      </c>
      <c r="M5014" s="1" t="str">
        <f>"115058"</f>
        <v>115058</v>
      </c>
      <c r="N5014" s="1" t="s">
        <v>34</v>
      </c>
      <c r="O5014" s="1" t="s">
        <v>34</v>
      </c>
      <c r="P5014" s="1" t="s">
        <v>55</v>
      </c>
      <c r="Q5014" s="1">
        <v>25</v>
      </c>
      <c r="R5014" s="1">
        <v>25</v>
      </c>
      <c r="S5014" s="1">
        <v>0</v>
      </c>
      <c r="T5014" s="1">
        <v>0</v>
      </c>
      <c r="U5014" s="1">
        <v>0</v>
      </c>
      <c r="V5014" s="1" t="str">
        <f t="shared" si="955"/>
        <v>里程去程</v>
      </c>
      <c r="W5014" s="1" t="str">
        <f>"013B"</f>
        <v>013B</v>
      </c>
      <c r="X5014" s="1" t="s">
        <v>109</v>
      </c>
    </row>
    <row r="5015" spans="1:24" x14ac:dyDescent="0.3">
      <c r="A5015" s="1" t="str">
        <f t="shared" si="953"/>
        <v>59823</v>
      </c>
      <c r="B5015" s="1" t="s">
        <v>36</v>
      </c>
      <c r="C5015" s="1" t="s">
        <v>37</v>
      </c>
      <c r="D5015" s="1" t="str">
        <f t="shared" si="956"/>
        <v>9803</v>
      </c>
      <c r="E5015" s="1" t="s">
        <v>32</v>
      </c>
      <c r="F5015" s="1" t="str">
        <f>"845500293"</f>
        <v>845500293</v>
      </c>
      <c r="G5015" s="1" t="s">
        <v>33</v>
      </c>
      <c r="H5015" s="1" t="str">
        <f t="shared" si="957"/>
        <v>20220923</v>
      </c>
      <c r="I5015" s="1" t="str">
        <f>"113141"</f>
        <v>113141</v>
      </c>
      <c r="J5015" s="1" t="s">
        <v>28</v>
      </c>
      <c r="K5015" s="1" t="s">
        <v>28</v>
      </c>
      <c r="L5015" s="1" t="str">
        <f t="shared" si="954"/>
        <v>20220923</v>
      </c>
      <c r="M5015" s="1" t="str">
        <f>"115030"</f>
        <v>115030</v>
      </c>
      <c r="N5015" s="1" t="s">
        <v>34</v>
      </c>
      <c r="O5015" s="1" t="s">
        <v>34</v>
      </c>
      <c r="P5015" s="1" t="s">
        <v>55</v>
      </c>
      <c r="Q5015" s="1">
        <v>25</v>
      </c>
      <c r="R5015" s="1">
        <v>25</v>
      </c>
      <c r="S5015" s="1">
        <v>0</v>
      </c>
      <c r="T5015" s="1">
        <v>0</v>
      </c>
      <c r="U5015" s="1">
        <v>0</v>
      </c>
      <c r="V5015" s="1" t="str">
        <f t="shared" si="955"/>
        <v>里程去程</v>
      </c>
      <c r="W5015" s="1" t="str">
        <f>"0120"</f>
        <v>0120</v>
      </c>
      <c r="X5015" s="1" t="s">
        <v>35</v>
      </c>
    </row>
    <row r="5016" spans="1:24" x14ac:dyDescent="0.3">
      <c r="A5016" s="1" t="str">
        <f t="shared" si="953"/>
        <v>59823</v>
      </c>
      <c r="B5016" s="1" t="s">
        <v>36</v>
      </c>
      <c r="C5016" s="1" t="s">
        <v>37</v>
      </c>
      <c r="D5016" s="1" t="str">
        <f t="shared" si="956"/>
        <v>9803</v>
      </c>
      <c r="E5016" s="1" t="s">
        <v>32</v>
      </c>
      <c r="F5016" s="1" t="str">
        <f>"E2E7ED17FF880400C814002000000019"</f>
        <v>E2E7ED17FF880400C814002000000019</v>
      </c>
      <c r="G5016" s="1" t="s">
        <v>59</v>
      </c>
      <c r="H5016" s="1" t="str">
        <f t="shared" si="957"/>
        <v>20220923</v>
      </c>
      <c r="I5016" s="1" t="str">
        <f>"113153"</f>
        <v>113153</v>
      </c>
      <c r="J5016" s="1" t="s">
        <v>28</v>
      </c>
      <c r="K5016" s="1" t="s">
        <v>28</v>
      </c>
      <c r="L5016" s="1" t="str">
        <f t="shared" si="954"/>
        <v>20220923</v>
      </c>
      <c r="M5016" s="1" t="str">
        <f>"114940"</f>
        <v>114940</v>
      </c>
      <c r="N5016" s="1" t="s">
        <v>34</v>
      </c>
      <c r="O5016" s="1" t="s">
        <v>34</v>
      </c>
      <c r="P5016" s="1" t="s">
        <v>55</v>
      </c>
      <c r="Q5016" s="1">
        <v>25</v>
      </c>
      <c r="R5016" s="1">
        <v>25</v>
      </c>
      <c r="S5016" s="1">
        <v>0</v>
      </c>
      <c r="T5016" s="1">
        <v>0</v>
      </c>
      <c r="U5016" s="1">
        <v>0</v>
      </c>
      <c r="V5016" s="1" t="str">
        <f t="shared" si="955"/>
        <v>里程去程</v>
      </c>
      <c r="W5016" s="1" t="str">
        <f>"0020"</f>
        <v>0020</v>
      </c>
      <c r="X5016" s="1" t="s">
        <v>29</v>
      </c>
    </row>
    <row r="5017" spans="1:24" x14ac:dyDescent="0.3">
      <c r="A5017" s="1" t="str">
        <f t="shared" si="953"/>
        <v>59823</v>
      </c>
      <c r="B5017" s="1" t="s">
        <v>36</v>
      </c>
      <c r="C5017" s="1" t="s">
        <v>37</v>
      </c>
      <c r="D5017" s="1" t="str">
        <f t="shared" si="956"/>
        <v>9803</v>
      </c>
      <c r="E5017" s="1" t="s">
        <v>32</v>
      </c>
      <c r="F5017" s="1" t="str">
        <f>"811892837"</f>
        <v>811892837</v>
      </c>
      <c r="G5017" s="1" t="s">
        <v>33</v>
      </c>
      <c r="H5017" s="1" t="str">
        <f t="shared" si="957"/>
        <v>20220923</v>
      </c>
      <c r="I5017" s="1" t="str">
        <f>"120118"</f>
        <v>120118</v>
      </c>
      <c r="J5017" s="1" t="s">
        <v>34</v>
      </c>
      <c r="K5017" s="1" t="s">
        <v>34</v>
      </c>
      <c r="L5017" s="1" t="str">
        <f t="shared" si="954"/>
        <v>20220923</v>
      </c>
      <c r="M5017" s="1" t="str">
        <f>"123029"</f>
        <v>123029</v>
      </c>
      <c r="N5017" s="1" t="s">
        <v>28</v>
      </c>
      <c r="O5017" s="1" t="s">
        <v>28</v>
      </c>
      <c r="P5017" s="1" t="s">
        <v>55</v>
      </c>
      <c r="Q5017" s="1">
        <v>25</v>
      </c>
      <c r="R5017" s="1">
        <v>25</v>
      </c>
      <c r="S5017" s="1">
        <v>0</v>
      </c>
      <c r="T5017" s="1">
        <v>0</v>
      </c>
      <c r="U5017" s="1">
        <v>0</v>
      </c>
      <c r="V5017" s="1" t="str">
        <f>"里程返程"</f>
        <v>里程返程</v>
      </c>
      <c r="W5017" s="1" t="str">
        <f>"2020"</f>
        <v>2020</v>
      </c>
      <c r="X5017" s="1" t="s">
        <v>35</v>
      </c>
    </row>
    <row r="5018" spans="1:24" x14ac:dyDescent="0.3">
      <c r="A5018" s="1" t="str">
        <f t="shared" si="953"/>
        <v>59823</v>
      </c>
      <c r="B5018" s="1" t="s">
        <v>36</v>
      </c>
      <c r="C5018" s="1" t="s">
        <v>37</v>
      </c>
      <c r="D5018" s="1" t="str">
        <f t="shared" si="956"/>
        <v>9803</v>
      </c>
      <c r="E5018" s="1" t="s">
        <v>32</v>
      </c>
      <c r="F5018" s="1" t="str">
        <f>"886344337"</f>
        <v>886344337</v>
      </c>
      <c r="G5018" s="1" t="s">
        <v>33</v>
      </c>
      <c r="H5018" s="1" t="str">
        <f t="shared" si="957"/>
        <v>20220923</v>
      </c>
      <c r="I5018" s="1" t="str">
        <f>"123053"</f>
        <v>123053</v>
      </c>
      <c r="J5018" s="1" t="s">
        <v>28</v>
      </c>
      <c r="K5018" s="1" t="s">
        <v>28</v>
      </c>
      <c r="L5018" s="1" t="str">
        <f t="shared" si="954"/>
        <v>20220923</v>
      </c>
      <c r="M5018" s="1" t="str">
        <f>"125156"</f>
        <v>125156</v>
      </c>
      <c r="N5018" s="1" t="s">
        <v>34</v>
      </c>
      <c r="O5018" s="1" t="s">
        <v>34</v>
      </c>
      <c r="P5018" s="1" t="s">
        <v>55</v>
      </c>
      <c r="Q5018" s="1">
        <v>25</v>
      </c>
      <c r="R5018" s="1">
        <v>25</v>
      </c>
      <c r="S5018" s="1">
        <v>0</v>
      </c>
      <c r="T5018" s="1">
        <v>0</v>
      </c>
      <c r="U5018" s="1">
        <v>0</v>
      </c>
      <c r="V5018" s="1" t="str">
        <f t="shared" ref="V5018:V5026" si="958">"里程去程"</f>
        <v>里程去程</v>
      </c>
      <c r="W5018" s="1" t="str">
        <f>"2520"</f>
        <v>2520</v>
      </c>
      <c r="X5018" s="1" t="s">
        <v>35</v>
      </c>
    </row>
    <row r="5019" spans="1:24" x14ac:dyDescent="0.3">
      <c r="A5019" s="1" t="str">
        <f t="shared" ref="A5019:A5039" si="959">"59823"</f>
        <v>59823</v>
      </c>
      <c r="B5019" s="1" t="s">
        <v>36</v>
      </c>
      <c r="C5019" s="1" t="s">
        <v>37</v>
      </c>
      <c r="D5019" s="1" t="str">
        <f t="shared" si="956"/>
        <v>9803</v>
      </c>
      <c r="E5019" s="1" t="s">
        <v>32</v>
      </c>
      <c r="F5019" s="1" t="str">
        <f>"636906449"</f>
        <v>636906449</v>
      </c>
      <c r="G5019" s="1" t="s">
        <v>33</v>
      </c>
      <c r="H5019" s="1" t="str">
        <f t="shared" si="957"/>
        <v>20220923</v>
      </c>
      <c r="I5019" s="1" t="str">
        <f>"123102"</f>
        <v>123102</v>
      </c>
      <c r="J5019" s="1" t="s">
        <v>28</v>
      </c>
      <c r="K5019" s="1" t="s">
        <v>28</v>
      </c>
      <c r="L5019" s="1" t="str">
        <f t="shared" ref="L5019:L5050" si="960">"20220923"</f>
        <v>20220923</v>
      </c>
      <c r="M5019" s="1" t="str">
        <f>"125152"</f>
        <v>125152</v>
      </c>
      <c r="N5019" s="1" t="s">
        <v>34</v>
      </c>
      <c r="O5019" s="1" t="s">
        <v>34</v>
      </c>
      <c r="P5019" s="1" t="s">
        <v>55</v>
      </c>
      <c r="Q5019" s="1">
        <v>25</v>
      </c>
      <c r="R5019" s="1">
        <v>25</v>
      </c>
      <c r="S5019" s="1">
        <v>0</v>
      </c>
      <c r="T5019" s="1">
        <v>0</v>
      </c>
      <c r="U5019" s="1">
        <v>0</v>
      </c>
      <c r="V5019" s="1" t="str">
        <f t="shared" si="958"/>
        <v>里程去程</v>
      </c>
      <c r="W5019" s="1" t="str">
        <f>"0120"</f>
        <v>0120</v>
      </c>
      <c r="X5019" s="1" t="s">
        <v>35</v>
      </c>
    </row>
    <row r="5020" spans="1:24" x14ac:dyDescent="0.3">
      <c r="A5020" s="1" t="str">
        <f t="shared" si="959"/>
        <v>59823</v>
      </c>
      <c r="B5020" s="1" t="s">
        <v>36</v>
      </c>
      <c r="C5020" s="1" t="s">
        <v>37</v>
      </c>
      <c r="D5020" s="1" t="str">
        <f t="shared" si="956"/>
        <v>9803</v>
      </c>
      <c r="E5020" s="1" t="s">
        <v>32</v>
      </c>
      <c r="F5020" s="1" t="str">
        <f>"1359BCE91F88040048BA145049901210"</f>
        <v>1359BCE91F88040048BA145049901210</v>
      </c>
      <c r="G5020" s="1" t="s">
        <v>59</v>
      </c>
      <c r="H5020" s="1" t="str">
        <f t="shared" si="957"/>
        <v>20220923</v>
      </c>
      <c r="I5020" s="1" t="str">
        <f>"123106"</f>
        <v>123106</v>
      </c>
      <c r="J5020" s="1" t="s">
        <v>28</v>
      </c>
      <c r="K5020" s="1" t="s">
        <v>28</v>
      </c>
      <c r="L5020" s="1" t="str">
        <f t="shared" si="960"/>
        <v>20220923</v>
      </c>
      <c r="M5020" s="1" t="str">
        <f>"125203"</f>
        <v>125203</v>
      </c>
      <c r="N5020" s="1" t="s">
        <v>34</v>
      </c>
      <c r="O5020" s="1" t="s">
        <v>34</v>
      </c>
      <c r="P5020" s="1" t="s">
        <v>55</v>
      </c>
      <c r="Q5020" s="1">
        <v>25</v>
      </c>
      <c r="R5020" s="1">
        <v>25</v>
      </c>
      <c r="S5020" s="1">
        <v>0</v>
      </c>
      <c r="T5020" s="1">
        <v>0</v>
      </c>
      <c r="U5020" s="1">
        <v>0</v>
      </c>
      <c r="V5020" s="1" t="str">
        <f t="shared" si="958"/>
        <v>里程去程</v>
      </c>
      <c r="W5020" s="1" t="str">
        <f>"0020"</f>
        <v>0020</v>
      </c>
      <c r="X5020" s="1" t="s">
        <v>29</v>
      </c>
    </row>
    <row r="5021" spans="1:24" x14ac:dyDescent="0.3">
      <c r="A5021" s="1" t="str">
        <f t="shared" si="959"/>
        <v>59823</v>
      </c>
      <c r="B5021" s="1" t="s">
        <v>36</v>
      </c>
      <c r="C5021" s="1" t="s">
        <v>37</v>
      </c>
      <c r="D5021" s="1" t="str">
        <f t="shared" si="956"/>
        <v>9803</v>
      </c>
      <c r="E5021" s="1" t="s">
        <v>32</v>
      </c>
      <c r="F5021" s="1" t="str">
        <f>"1221500097"</f>
        <v>1221500097</v>
      </c>
      <c r="G5021" s="1" t="s">
        <v>33</v>
      </c>
      <c r="H5021" s="1" t="str">
        <f t="shared" si="957"/>
        <v>20220923</v>
      </c>
      <c r="I5021" s="1" t="str">
        <f>"123110"</f>
        <v>123110</v>
      </c>
      <c r="J5021" s="1" t="s">
        <v>28</v>
      </c>
      <c r="K5021" s="1" t="s">
        <v>28</v>
      </c>
      <c r="L5021" s="1" t="str">
        <f t="shared" si="960"/>
        <v>20220923</v>
      </c>
      <c r="M5021" s="1" t="str">
        <f>"125128"</f>
        <v>125128</v>
      </c>
      <c r="N5021" s="1" t="s">
        <v>34</v>
      </c>
      <c r="O5021" s="1" t="s">
        <v>34</v>
      </c>
      <c r="P5021" s="1" t="s">
        <v>55</v>
      </c>
      <c r="Q5021" s="1">
        <v>25</v>
      </c>
      <c r="R5021" s="1">
        <v>25</v>
      </c>
      <c r="S5021" s="1">
        <v>0</v>
      </c>
      <c r="T5021" s="1">
        <v>0</v>
      </c>
      <c r="U5021" s="1">
        <v>0</v>
      </c>
      <c r="V5021" s="1" t="str">
        <f t="shared" si="958"/>
        <v>里程去程</v>
      </c>
      <c r="W5021" s="1" t="str">
        <f>"0a20"</f>
        <v>0a20</v>
      </c>
      <c r="X5021" s="1" t="s">
        <v>35</v>
      </c>
    </row>
    <row r="5022" spans="1:24" x14ac:dyDescent="0.3">
      <c r="A5022" s="1" t="str">
        <f t="shared" si="959"/>
        <v>59823</v>
      </c>
      <c r="B5022" s="1" t="s">
        <v>36</v>
      </c>
      <c r="C5022" s="1" t="s">
        <v>37</v>
      </c>
      <c r="D5022" s="1" t="str">
        <f t="shared" si="956"/>
        <v>9803</v>
      </c>
      <c r="E5022" s="1" t="s">
        <v>32</v>
      </c>
      <c r="F5022" s="1" t="str">
        <f>"61482B2123280400F700000000000000"</f>
        <v>61482B2123280400F700000000000000</v>
      </c>
      <c r="G5022" s="1" t="s">
        <v>58</v>
      </c>
      <c r="H5022" s="1" t="str">
        <f t="shared" si="957"/>
        <v>20220923</v>
      </c>
      <c r="I5022" s="1" t="str">
        <f>"123113"</f>
        <v>123113</v>
      </c>
      <c r="J5022" s="1" t="s">
        <v>28</v>
      </c>
      <c r="K5022" s="1" t="s">
        <v>28</v>
      </c>
      <c r="L5022" s="1" t="str">
        <f t="shared" si="960"/>
        <v>20220923</v>
      </c>
      <c r="M5022" s="1" t="str">
        <f>"125126"</f>
        <v>125126</v>
      </c>
      <c r="N5022" s="1" t="s">
        <v>34</v>
      </c>
      <c r="O5022" s="1" t="s">
        <v>34</v>
      </c>
      <c r="P5022" s="1" t="s">
        <v>55</v>
      </c>
      <c r="Q5022" s="1">
        <v>25</v>
      </c>
      <c r="R5022" s="1">
        <v>25</v>
      </c>
      <c r="S5022" s="1">
        <v>0</v>
      </c>
      <c r="T5022" s="1">
        <v>0</v>
      </c>
      <c r="U5022" s="1">
        <v>0</v>
      </c>
      <c r="V5022" s="1" t="str">
        <f t="shared" si="958"/>
        <v>里程去程</v>
      </c>
      <c r="W5022" s="1" t="str">
        <f>"0020"</f>
        <v>0020</v>
      </c>
      <c r="X5022" s="1" t="s">
        <v>29</v>
      </c>
    </row>
    <row r="5023" spans="1:24" x14ac:dyDescent="0.3">
      <c r="A5023" s="1" t="str">
        <f t="shared" si="959"/>
        <v>59823</v>
      </c>
      <c r="B5023" s="1" t="s">
        <v>36</v>
      </c>
      <c r="C5023" s="1" t="s">
        <v>37</v>
      </c>
      <c r="D5023" s="1" t="str">
        <f t="shared" si="956"/>
        <v>9803</v>
      </c>
      <c r="E5023" s="1" t="s">
        <v>32</v>
      </c>
      <c r="F5023" s="1" t="str">
        <f>"1197824801"</f>
        <v>1197824801</v>
      </c>
      <c r="G5023" s="1" t="s">
        <v>33</v>
      </c>
      <c r="H5023" s="1" t="str">
        <f t="shared" si="957"/>
        <v>20220923</v>
      </c>
      <c r="I5023" s="1" t="str">
        <f>"123119"</f>
        <v>123119</v>
      </c>
      <c r="J5023" s="1" t="s">
        <v>28</v>
      </c>
      <c r="K5023" s="1" t="s">
        <v>28</v>
      </c>
      <c r="L5023" s="1" t="str">
        <f t="shared" si="960"/>
        <v>20220923</v>
      </c>
      <c r="M5023" s="1" t="str">
        <f>"125134"</f>
        <v>125134</v>
      </c>
      <c r="N5023" s="1" t="s">
        <v>34</v>
      </c>
      <c r="O5023" s="1" t="s">
        <v>34</v>
      </c>
      <c r="P5023" s="1" t="s">
        <v>55</v>
      </c>
      <c r="Q5023" s="1">
        <v>25</v>
      </c>
      <c r="R5023" s="1">
        <v>0</v>
      </c>
      <c r="S5023" s="1">
        <v>25</v>
      </c>
      <c r="T5023" s="1">
        <v>0</v>
      </c>
      <c r="U5023" s="1">
        <v>0</v>
      </c>
      <c r="V5023" s="1" t="str">
        <f t="shared" si="958"/>
        <v>里程去程</v>
      </c>
      <c r="W5023" s="1" t="str">
        <f>"0820"</f>
        <v>0820</v>
      </c>
      <c r="X5023" s="1" t="s">
        <v>35</v>
      </c>
    </row>
    <row r="5024" spans="1:24" x14ac:dyDescent="0.3">
      <c r="A5024" s="1" t="str">
        <f t="shared" si="959"/>
        <v>59823</v>
      </c>
      <c r="B5024" s="1" t="s">
        <v>36</v>
      </c>
      <c r="C5024" s="1" t="s">
        <v>37</v>
      </c>
      <c r="D5024" s="1" t="str">
        <f t="shared" si="956"/>
        <v>9803</v>
      </c>
      <c r="E5024" s="1" t="s">
        <v>32</v>
      </c>
      <c r="F5024" s="1" t="str">
        <f>"240216517"</f>
        <v>240216517</v>
      </c>
      <c r="G5024" s="1" t="s">
        <v>33</v>
      </c>
      <c r="H5024" s="1" t="str">
        <f t="shared" si="957"/>
        <v>20220923</v>
      </c>
      <c r="I5024" s="1" t="str">
        <f>"123123"</f>
        <v>123123</v>
      </c>
      <c r="J5024" s="1" t="s">
        <v>28</v>
      </c>
      <c r="K5024" s="1" t="s">
        <v>28</v>
      </c>
      <c r="L5024" s="1" t="str">
        <f t="shared" si="960"/>
        <v>20220923</v>
      </c>
      <c r="M5024" s="1" t="str">
        <f>"125120"</f>
        <v>125120</v>
      </c>
      <c r="N5024" s="1" t="s">
        <v>34</v>
      </c>
      <c r="O5024" s="1" t="s">
        <v>34</v>
      </c>
      <c r="P5024" s="1" t="s">
        <v>55</v>
      </c>
      <c r="Q5024" s="1">
        <v>25</v>
      </c>
      <c r="R5024" s="1">
        <v>25</v>
      </c>
      <c r="S5024" s="1">
        <v>0</v>
      </c>
      <c r="T5024" s="1">
        <v>0</v>
      </c>
      <c r="U5024" s="1">
        <v>0</v>
      </c>
      <c r="V5024" s="1" t="str">
        <f t="shared" si="958"/>
        <v>里程去程</v>
      </c>
      <c r="W5024" s="1" t="str">
        <f>"1420"</f>
        <v>1420</v>
      </c>
      <c r="X5024" s="1" t="s">
        <v>35</v>
      </c>
    </row>
    <row r="5025" spans="1:24" x14ac:dyDescent="0.3">
      <c r="A5025" s="1" t="str">
        <f t="shared" si="959"/>
        <v>59823</v>
      </c>
      <c r="B5025" s="1" t="s">
        <v>36</v>
      </c>
      <c r="C5025" s="1" t="s">
        <v>37</v>
      </c>
      <c r="D5025" s="1" t="str">
        <f t="shared" si="956"/>
        <v>9803</v>
      </c>
      <c r="E5025" s="1" t="s">
        <v>32</v>
      </c>
      <c r="F5025" s="1" t="str">
        <f>"51637F4409280400F700000000000000"</f>
        <v>51637F4409280400F700000000000000</v>
      </c>
      <c r="G5025" s="1" t="s">
        <v>58</v>
      </c>
      <c r="H5025" s="1" t="str">
        <f t="shared" si="957"/>
        <v>20220923</v>
      </c>
      <c r="I5025" s="1" t="str">
        <f>"123130"</f>
        <v>123130</v>
      </c>
      <c r="J5025" s="1" t="s">
        <v>28</v>
      </c>
      <c r="K5025" s="1" t="s">
        <v>28</v>
      </c>
      <c r="L5025" s="1" t="str">
        <f t="shared" si="960"/>
        <v>20220923</v>
      </c>
      <c r="M5025" s="1" t="str">
        <f>"125122"</f>
        <v>125122</v>
      </c>
      <c r="N5025" s="1" t="s">
        <v>34</v>
      </c>
      <c r="O5025" s="1" t="s">
        <v>34</v>
      </c>
      <c r="P5025" s="1" t="s">
        <v>55</v>
      </c>
      <c r="Q5025" s="1">
        <v>25</v>
      </c>
      <c r="R5025" s="1">
        <v>25</v>
      </c>
      <c r="S5025" s="1">
        <v>0</v>
      </c>
      <c r="T5025" s="1">
        <v>0</v>
      </c>
      <c r="U5025" s="1">
        <v>0</v>
      </c>
      <c r="V5025" s="1" t="str">
        <f t="shared" si="958"/>
        <v>里程去程</v>
      </c>
      <c r="W5025" s="1" t="str">
        <f>"0020"</f>
        <v>0020</v>
      </c>
      <c r="X5025" s="1" t="s">
        <v>29</v>
      </c>
    </row>
    <row r="5026" spans="1:24" x14ac:dyDescent="0.3">
      <c r="A5026" s="1" t="str">
        <f t="shared" si="959"/>
        <v>59823</v>
      </c>
      <c r="B5026" s="1" t="s">
        <v>36</v>
      </c>
      <c r="C5026" s="1" t="s">
        <v>37</v>
      </c>
      <c r="D5026" s="1" t="str">
        <f t="shared" si="956"/>
        <v>9803</v>
      </c>
      <c r="E5026" s="1" t="s">
        <v>32</v>
      </c>
      <c r="F5026" s="1" t="str">
        <f>"1010337557"</f>
        <v>1010337557</v>
      </c>
      <c r="G5026" s="1" t="s">
        <v>33</v>
      </c>
      <c r="H5026" s="1" t="str">
        <f t="shared" si="957"/>
        <v>20220923</v>
      </c>
      <c r="I5026" s="1" t="str">
        <f>"123134"</f>
        <v>123134</v>
      </c>
      <c r="J5026" s="1" t="s">
        <v>28</v>
      </c>
      <c r="K5026" s="1" t="s">
        <v>28</v>
      </c>
      <c r="L5026" s="1" t="str">
        <f t="shared" si="960"/>
        <v>20220923</v>
      </c>
      <c r="M5026" s="1" t="str">
        <f>"125207"</f>
        <v>125207</v>
      </c>
      <c r="N5026" s="1" t="s">
        <v>34</v>
      </c>
      <c r="O5026" s="1" t="s">
        <v>34</v>
      </c>
      <c r="P5026" s="1" t="s">
        <v>55</v>
      </c>
      <c r="Q5026" s="1">
        <v>25</v>
      </c>
      <c r="R5026" s="1">
        <v>25</v>
      </c>
      <c r="S5026" s="1">
        <v>0</v>
      </c>
      <c r="T5026" s="1">
        <v>0</v>
      </c>
      <c r="U5026" s="1">
        <v>0</v>
      </c>
      <c r="V5026" s="1" t="str">
        <f t="shared" si="958"/>
        <v>里程去程</v>
      </c>
      <c r="W5026" s="1" t="str">
        <f>"0120"</f>
        <v>0120</v>
      </c>
      <c r="X5026" s="1" t="s">
        <v>35</v>
      </c>
    </row>
    <row r="5027" spans="1:24" x14ac:dyDescent="0.3">
      <c r="A5027" s="1" t="str">
        <f t="shared" si="959"/>
        <v>59823</v>
      </c>
      <c r="B5027" s="1" t="s">
        <v>36</v>
      </c>
      <c r="C5027" s="1" t="s">
        <v>37</v>
      </c>
      <c r="D5027" s="1" t="str">
        <f t="shared" si="956"/>
        <v>9803</v>
      </c>
      <c r="E5027" s="1" t="s">
        <v>32</v>
      </c>
      <c r="F5027" s="1" t="str">
        <f>"1671054568"</f>
        <v>1671054568</v>
      </c>
      <c r="G5027" s="1" t="s">
        <v>33</v>
      </c>
      <c r="H5027" s="1" t="str">
        <f t="shared" si="957"/>
        <v>20220923</v>
      </c>
      <c r="I5027" s="1" t="str">
        <f>"130017"</f>
        <v>130017</v>
      </c>
      <c r="J5027" s="1" t="s">
        <v>34</v>
      </c>
      <c r="K5027" s="1" t="s">
        <v>34</v>
      </c>
      <c r="L5027" s="1" t="str">
        <f t="shared" si="960"/>
        <v>20220923</v>
      </c>
      <c r="M5027" s="1" t="str">
        <f>"132825"</f>
        <v>132825</v>
      </c>
      <c r="N5027" s="1" t="s">
        <v>28</v>
      </c>
      <c r="O5027" s="1" t="s">
        <v>28</v>
      </c>
      <c r="P5027" s="1" t="s">
        <v>55</v>
      </c>
      <c r="Q5027" s="1">
        <v>25</v>
      </c>
      <c r="R5027" s="1">
        <v>25</v>
      </c>
      <c r="S5027" s="1">
        <v>0</v>
      </c>
      <c r="T5027" s="1">
        <v>0</v>
      </c>
      <c r="U5027" s="1">
        <v>0</v>
      </c>
      <c r="V5027" s="1" t="str">
        <f>"里程返程"</f>
        <v>里程返程</v>
      </c>
      <c r="W5027" s="1" t="str">
        <f>"2020"</f>
        <v>2020</v>
      </c>
      <c r="X5027" s="1" t="s">
        <v>35</v>
      </c>
    </row>
    <row r="5028" spans="1:24" x14ac:dyDescent="0.3">
      <c r="A5028" s="1" t="str">
        <f t="shared" si="959"/>
        <v>59823</v>
      </c>
      <c r="B5028" s="1" t="s">
        <v>36</v>
      </c>
      <c r="C5028" s="1" t="s">
        <v>37</v>
      </c>
      <c r="D5028" s="1" t="str">
        <f t="shared" si="956"/>
        <v>9803</v>
      </c>
      <c r="E5028" s="1" t="s">
        <v>32</v>
      </c>
      <c r="F5028" s="1" t="str">
        <f>"1233889957"</f>
        <v>1233889957</v>
      </c>
      <c r="G5028" s="1" t="s">
        <v>26</v>
      </c>
      <c r="H5028" s="1" t="str">
        <f t="shared" ref="H5028:H5059" si="961">"20220923"</f>
        <v>20220923</v>
      </c>
      <c r="I5028" s="1" t="str">
        <f>"130020"</f>
        <v>130020</v>
      </c>
      <c r="J5028" s="1" t="s">
        <v>34</v>
      </c>
      <c r="K5028" s="1" t="s">
        <v>34</v>
      </c>
      <c r="L5028" s="1" t="str">
        <f t="shared" si="960"/>
        <v>20220923</v>
      </c>
      <c r="M5028" s="1" t="str">
        <f>"132821"</f>
        <v>132821</v>
      </c>
      <c r="N5028" s="1" t="s">
        <v>28</v>
      </c>
      <c r="O5028" s="1" t="s">
        <v>28</v>
      </c>
      <c r="P5028" s="1" t="s">
        <v>55</v>
      </c>
      <c r="Q5028" s="1">
        <v>13</v>
      </c>
      <c r="R5028" s="1">
        <v>13</v>
      </c>
      <c r="S5028" s="1">
        <v>0</v>
      </c>
      <c r="T5028" s="1">
        <v>0</v>
      </c>
      <c r="U5028" s="1">
        <v>0</v>
      </c>
      <c r="V5028" s="1" t="str">
        <f>"里程返程"</f>
        <v>里程返程</v>
      </c>
      <c r="W5028" s="1" t="str">
        <f>"2020"</f>
        <v>2020</v>
      </c>
      <c r="X5028" s="1" t="s">
        <v>35</v>
      </c>
    </row>
    <row r="5029" spans="1:24" x14ac:dyDescent="0.3">
      <c r="A5029" s="1" t="str">
        <f t="shared" si="959"/>
        <v>59823</v>
      </c>
      <c r="B5029" s="1" t="s">
        <v>36</v>
      </c>
      <c r="C5029" s="1" t="s">
        <v>37</v>
      </c>
      <c r="D5029" s="1" t="str">
        <f t="shared" si="956"/>
        <v>9803</v>
      </c>
      <c r="E5029" s="1" t="s">
        <v>32</v>
      </c>
      <c r="F5029" s="1" t="str">
        <f>"176574789"</f>
        <v>176574789</v>
      </c>
      <c r="G5029" s="1" t="s">
        <v>33</v>
      </c>
      <c r="H5029" s="1" t="str">
        <f t="shared" si="961"/>
        <v>20220923</v>
      </c>
      <c r="I5029" s="1" t="str">
        <f>"130029"</f>
        <v>130029</v>
      </c>
      <c r="J5029" s="1" t="s">
        <v>34</v>
      </c>
      <c r="K5029" s="1" t="s">
        <v>34</v>
      </c>
      <c r="L5029" s="1" t="str">
        <f t="shared" si="960"/>
        <v>20220923</v>
      </c>
      <c r="M5029" s="1" t="str">
        <f>"132834"</f>
        <v>132834</v>
      </c>
      <c r="N5029" s="1" t="s">
        <v>28</v>
      </c>
      <c r="O5029" s="1" t="s">
        <v>28</v>
      </c>
      <c r="P5029" s="1" t="s">
        <v>55</v>
      </c>
      <c r="Q5029" s="1">
        <v>25</v>
      </c>
      <c r="R5029" s="1">
        <v>25</v>
      </c>
      <c r="S5029" s="1">
        <v>0</v>
      </c>
      <c r="T5029" s="1">
        <v>0</v>
      </c>
      <c r="U5029" s="1">
        <v>0</v>
      </c>
      <c r="V5029" s="1" t="str">
        <f>"里程返程"</f>
        <v>里程返程</v>
      </c>
      <c r="W5029" s="1" t="str">
        <f>"2020"</f>
        <v>2020</v>
      </c>
      <c r="X5029" s="1" t="s">
        <v>35</v>
      </c>
    </row>
    <row r="5030" spans="1:24" x14ac:dyDescent="0.3">
      <c r="A5030" s="1" t="str">
        <f t="shared" si="959"/>
        <v>59823</v>
      </c>
      <c r="B5030" s="1" t="s">
        <v>36</v>
      </c>
      <c r="C5030" s="1" t="s">
        <v>37</v>
      </c>
      <c r="D5030" s="1" t="str">
        <f t="shared" si="956"/>
        <v>9803</v>
      </c>
      <c r="E5030" s="1" t="s">
        <v>32</v>
      </c>
      <c r="F5030" s="1" t="str">
        <f>"D722CE467D8804004324AD6B00160B0E"</f>
        <v>D722CE467D8804004324AD6B00160B0E</v>
      </c>
      <c r="G5030" s="1" t="s">
        <v>58</v>
      </c>
      <c r="H5030" s="1" t="str">
        <f t="shared" si="961"/>
        <v>20220923</v>
      </c>
      <c r="I5030" s="1" t="str">
        <f>"130037"</f>
        <v>130037</v>
      </c>
      <c r="J5030" s="1" t="s">
        <v>34</v>
      </c>
      <c r="K5030" s="1" t="s">
        <v>34</v>
      </c>
      <c r="L5030" s="1" t="str">
        <f t="shared" si="960"/>
        <v>20220923</v>
      </c>
      <c r="M5030" s="1" t="str">
        <f>"132813"</f>
        <v>132813</v>
      </c>
      <c r="N5030" s="1" t="s">
        <v>28</v>
      </c>
      <c r="O5030" s="1" t="s">
        <v>28</v>
      </c>
      <c r="P5030" s="1" t="s">
        <v>55</v>
      </c>
      <c r="Q5030" s="1">
        <v>25</v>
      </c>
      <c r="R5030" s="1">
        <v>25</v>
      </c>
      <c r="S5030" s="1">
        <v>0</v>
      </c>
      <c r="T5030" s="1">
        <v>0</v>
      </c>
      <c r="U5030" s="1">
        <v>0</v>
      </c>
      <c r="V5030" s="1" t="str">
        <f>"里程返程"</f>
        <v>里程返程</v>
      </c>
      <c r="W5030" s="1" t="str">
        <f>"0020"</f>
        <v>0020</v>
      </c>
      <c r="X5030" s="1" t="s">
        <v>29</v>
      </c>
    </row>
    <row r="5031" spans="1:24" x14ac:dyDescent="0.3">
      <c r="A5031" s="1" t="str">
        <f t="shared" si="959"/>
        <v>59823</v>
      </c>
      <c r="B5031" s="1" t="s">
        <v>36</v>
      </c>
      <c r="C5031" s="1" t="s">
        <v>37</v>
      </c>
      <c r="D5031" s="1" t="str">
        <f t="shared" si="956"/>
        <v>9803</v>
      </c>
      <c r="E5031" s="1" t="s">
        <v>32</v>
      </c>
      <c r="F5031" s="1" t="str">
        <f>"520392225"</f>
        <v>520392225</v>
      </c>
      <c r="G5031" s="1" t="s">
        <v>33</v>
      </c>
      <c r="H5031" s="1" t="str">
        <f t="shared" si="961"/>
        <v>20220923</v>
      </c>
      <c r="I5031" s="1" t="str">
        <f>"153930"</f>
        <v>153930</v>
      </c>
      <c r="J5031" s="1" t="s">
        <v>28</v>
      </c>
      <c r="K5031" s="1" t="s">
        <v>28</v>
      </c>
      <c r="L5031" s="1" t="str">
        <f t="shared" si="960"/>
        <v>20220923</v>
      </c>
      <c r="M5031" s="1" t="str">
        <f>"155829"</f>
        <v>155829</v>
      </c>
      <c r="N5031" s="1" t="s">
        <v>89</v>
      </c>
      <c r="O5031" s="1" t="s">
        <v>28</v>
      </c>
      <c r="P5031" s="1" t="s">
        <v>55</v>
      </c>
      <c r="Q5031" s="1">
        <v>25</v>
      </c>
      <c r="R5031" s="1">
        <v>25</v>
      </c>
      <c r="S5031" s="1">
        <v>0</v>
      </c>
      <c r="T5031" s="1">
        <v>0</v>
      </c>
      <c r="U5031" s="1">
        <v>0</v>
      </c>
      <c r="V5031" s="1" t="str">
        <f>"里程去程"</f>
        <v>里程去程</v>
      </c>
      <c r="W5031" s="1" t="str">
        <f>"1420"</f>
        <v>1420</v>
      </c>
      <c r="X5031" s="1" t="s">
        <v>35</v>
      </c>
    </row>
    <row r="5032" spans="1:24" x14ac:dyDescent="0.3">
      <c r="A5032" s="1" t="str">
        <f t="shared" si="959"/>
        <v>59823</v>
      </c>
      <c r="B5032" s="1" t="s">
        <v>36</v>
      </c>
      <c r="C5032" s="1" t="s">
        <v>37</v>
      </c>
      <c r="D5032" s="1" t="str">
        <f t="shared" si="956"/>
        <v>9803</v>
      </c>
      <c r="E5032" s="1" t="s">
        <v>32</v>
      </c>
      <c r="F5032" s="1" t="str">
        <f>"85D1790924180200D200000C22400417"</f>
        <v>85D1790924180200D200000C22400417</v>
      </c>
      <c r="G5032" s="1" t="s">
        <v>58</v>
      </c>
      <c r="H5032" s="1" t="str">
        <f t="shared" si="961"/>
        <v>20220923</v>
      </c>
      <c r="I5032" s="1" t="str">
        <f>"173115"</f>
        <v>173115</v>
      </c>
      <c r="J5032" s="1" t="s">
        <v>34</v>
      </c>
      <c r="K5032" s="1" t="s">
        <v>34</v>
      </c>
      <c r="L5032" s="1" t="str">
        <f t="shared" si="960"/>
        <v>20220923</v>
      </c>
      <c r="M5032" s="1" t="str">
        <f>"175856"</f>
        <v>175856</v>
      </c>
      <c r="N5032" s="1" t="s">
        <v>28</v>
      </c>
      <c r="O5032" s="1" t="s">
        <v>28</v>
      </c>
      <c r="P5032" s="1" t="s">
        <v>55</v>
      </c>
      <c r="Q5032" s="1">
        <v>25</v>
      </c>
      <c r="R5032" s="1">
        <v>25</v>
      </c>
      <c r="S5032" s="1">
        <v>0</v>
      </c>
      <c r="T5032" s="1">
        <v>0</v>
      </c>
      <c r="U5032" s="1">
        <v>0</v>
      </c>
      <c r="V5032" s="1" t="str">
        <f>"里程返程"</f>
        <v>里程返程</v>
      </c>
      <c r="W5032" s="1" t="str">
        <f>"0020"</f>
        <v>0020</v>
      </c>
      <c r="X5032" s="1" t="s">
        <v>29</v>
      </c>
    </row>
    <row r="5033" spans="1:24" x14ac:dyDescent="0.3">
      <c r="A5033" s="1" t="str">
        <f t="shared" si="959"/>
        <v>59823</v>
      </c>
      <c r="B5033" s="1" t="s">
        <v>36</v>
      </c>
      <c r="C5033" s="1" t="s">
        <v>37</v>
      </c>
      <c r="D5033" s="1" t="str">
        <f t="shared" si="956"/>
        <v>9803</v>
      </c>
      <c r="E5033" s="1" t="s">
        <v>32</v>
      </c>
      <c r="F5033" s="1" t="str">
        <f>"1782076341"</f>
        <v>1782076341</v>
      </c>
      <c r="G5033" s="1" t="s">
        <v>33</v>
      </c>
      <c r="H5033" s="1" t="str">
        <f t="shared" si="961"/>
        <v>20220923</v>
      </c>
      <c r="I5033" s="1" t="str">
        <f>"173134"</f>
        <v>173134</v>
      </c>
      <c r="J5033" s="1" t="s">
        <v>34</v>
      </c>
      <c r="K5033" s="1" t="s">
        <v>34</v>
      </c>
      <c r="L5033" s="1" t="str">
        <f t="shared" si="960"/>
        <v>20220923</v>
      </c>
      <c r="M5033" s="1" t="str">
        <f>"175839"</f>
        <v>175839</v>
      </c>
      <c r="N5033" s="1" t="s">
        <v>28</v>
      </c>
      <c r="O5033" s="1" t="s">
        <v>28</v>
      </c>
      <c r="P5033" s="1" t="s">
        <v>55</v>
      </c>
      <c r="Q5033" s="1">
        <v>25</v>
      </c>
      <c r="R5033" s="1">
        <v>25</v>
      </c>
      <c r="S5033" s="1">
        <v>0</v>
      </c>
      <c r="T5033" s="1">
        <v>0</v>
      </c>
      <c r="U5033" s="1">
        <v>0</v>
      </c>
      <c r="V5033" s="1" t="str">
        <f>"里程返程"</f>
        <v>里程返程</v>
      </c>
      <c r="W5033" s="1" t="str">
        <f>"2020"</f>
        <v>2020</v>
      </c>
      <c r="X5033" s="1" t="s">
        <v>35</v>
      </c>
    </row>
    <row r="5034" spans="1:24" x14ac:dyDescent="0.3">
      <c r="A5034" s="1" t="str">
        <f t="shared" si="959"/>
        <v>59823</v>
      </c>
      <c r="B5034" s="1" t="s">
        <v>36</v>
      </c>
      <c r="C5034" s="1" t="s">
        <v>37</v>
      </c>
      <c r="D5034" s="1" t="str">
        <f t="shared" si="956"/>
        <v>9803</v>
      </c>
      <c r="E5034" s="1" t="s">
        <v>32</v>
      </c>
      <c r="F5034" s="1" t="str">
        <f>"8244B81B65880400C822002000000021"</f>
        <v>8244B81B65880400C822002000000021</v>
      </c>
      <c r="G5034" s="1" t="s">
        <v>58</v>
      </c>
      <c r="H5034" s="1" t="str">
        <f t="shared" si="961"/>
        <v>20220923</v>
      </c>
      <c r="I5034" s="1" t="str">
        <f>"173138"</f>
        <v>173138</v>
      </c>
      <c r="J5034" s="1" t="s">
        <v>34</v>
      </c>
      <c r="K5034" s="1" t="s">
        <v>34</v>
      </c>
      <c r="L5034" s="1" t="str">
        <f t="shared" si="960"/>
        <v>20220923</v>
      </c>
      <c r="M5034" s="1" t="str">
        <f>"175836"</f>
        <v>175836</v>
      </c>
      <c r="N5034" s="1" t="s">
        <v>28</v>
      </c>
      <c r="O5034" s="1" t="s">
        <v>28</v>
      </c>
      <c r="P5034" s="1" t="s">
        <v>55</v>
      </c>
      <c r="Q5034" s="1">
        <v>25</v>
      </c>
      <c r="R5034" s="1">
        <v>25</v>
      </c>
      <c r="S5034" s="1">
        <v>0</v>
      </c>
      <c r="T5034" s="1">
        <v>0</v>
      </c>
      <c r="U5034" s="1">
        <v>0</v>
      </c>
      <c r="V5034" s="1" t="str">
        <f>"里程返程"</f>
        <v>里程返程</v>
      </c>
      <c r="W5034" s="1" t="str">
        <f>"0020"</f>
        <v>0020</v>
      </c>
      <c r="X5034" s="1" t="s">
        <v>29</v>
      </c>
    </row>
    <row r="5035" spans="1:24" x14ac:dyDescent="0.3">
      <c r="A5035" s="1" t="str">
        <f t="shared" si="959"/>
        <v>59823</v>
      </c>
      <c r="B5035" s="1" t="s">
        <v>36</v>
      </c>
      <c r="C5035" s="1" t="s">
        <v>37</v>
      </c>
      <c r="D5035" s="1" t="str">
        <f t="shared" si="956"/>
        <v>9803</v>
      </c>
      <c r="E5035" s="1" t="s">
        <v>32</v>
      </c>
      <c r="F5035" s="1" t="str">
        <f>"1709069061"</f>
        <v>1709069061</v>
      </c>
      <c r="G5035" s="1" t="s">
        <v>33</v>
      </c>
      <c r="H5035" s="1" t="str">
        <f t="shared" si="961"/>
        <v>20220923</v>
      </c>
      <c r="I5035" s="1" t="str">
        <f>"173143"</f>
        <v>173143</v>
      </c>
      <c r="J5035" s="1" t="s">
        <v>34</v>
      </c>
      <c r="K5035" s="1" t="s">
        <v>34</v>
      </c>
      <c r="L5035" s="1" t="str">
        <f t="shared" si="960"/>
        <v>20220923</v>
      </c>
      <c r="M5035" s="1" t="str">
        <f>"174643"</f>
        <v>174643</v>
      </c>
      <c r="N5035" s="1" t="s">
        <v>46</v>
      </c>
      <c r="O5035" s="1" t="s">
        <v>28</v>
      </c>
      <c r="P5035" s="1" t="s">
        <v>55</v>
      </c>
      <c r="Q5035" s="1">
        <v>25</v>
      </c>
      <c r="R5035" s="1">
        <v>25</v>
      </c>
      <c r="S5035" s="1">
        <v>0</v>
      </c>
      <c r="T5035" s="1">
        <v>0</v>
      </c>
      <c r="U5035" s="1">
        <v>0</v>
      </c>
      <c r="V5035" s="1" t="str">
        <f>"里程返程"</f>
        <v>里程返程</v>
      </c>
      <c r="W5035" s="1" t="str">
        <f>"2020"</f>
        <v>2020</v>
      </c>
      <c r="X5035" s="1" t="s">
        <v>35</v>
      </c>
    </row>
    <row r="5036" spans="1:24" x14ac:dyDescent="0.3">
      <c r="A5036" s="1" t="str">
        <f t="shared" si="959"/>
        <v>59823</v>
      </c>
      <c r="B5036" s="1" t="s">
        <v>36</v>
      </c>
      <c r="C5036" s="1" t="s">
        <v>37</v>
      </c>
      <c r="D5036" s="1" t="str">
        <f>"9805"</f>
        <v>9805</v>
      </c>
      <c r="E5036" s="1" t="s">
        <v>57</v>
      </c>
      <c r="F5036" s="1" t="str">
        <f>"420B9308D2880400C847002000000015"</f>
        <v>420B9308D2880400C847002000000015</v>
      </c>
      <c r="G5036" s="1" t="s">
        <v>64</v>
      </c>
      <c r="H5036" s="1" t="str">
        <f t="shared" si="961"/>
        <v>20220923</v>
      </c>
      <c r="I5036" s="1" t="str">
        <f>"175945"</f>
        <v>175945</v>
      </c>
      <c r="J5036" s="1" t="s">
        <v>28</v>
      </c>
      <c r="K5036" s="1" t="s">
        <v>28</v>
      </c>
      <c r="L5036" s="1" t="str">
        <f t="shared" si="960"/>
        <v>20220923</v>
      </c>
      <c r="M5036" s="1" t="str">
        <f>"181100"</f>
        <v>181100</v>
      </c>
      <c r="N5036" s="1" t="s">
        <v>61</v>
      </c>
      <c r="O5036" s="1" t="s">
        <v>28</v>
      </c>
      <c r="P5036" s="1" t="s">
        <v>55</v>
      </c>
      <c r="Q5036" s="1">
        <v>13</v>
      </c>
      <c r="R5036" s="1">
        <v>13</v>
      </c>
      <c r="S5036" s="1">
        <v>0</v>
      </c>
      <c r="T5036" s="1">
        <v>0</v>
      </c>
      <c r="U5036" s="1">
        <v>0</v>
      </c>
      <c r="V5036" s="1" t="str">
        <f>"里程去程"</f>
        <v>里程去程</v>
      </c>
      <c r="W5036" s="1" t="str">
        <f>"0020"</f>
        <v>0020</v>
      </c>
      <c r="X5036" s="1" t="s">
        <v>29</v>
      </c>
    </row>
    <row r="5037" spans="1:24" x14ac:dyDescent="0.3">
      <c r="A5037" s="1" t="str">
        <f t="shared" si="959"/>
        <v>59823</v>
      </c>
      <c r="B5037" s="1" t="s">
        <v>36</v>
      </c>
      <c r="C5037" s="1" t="s">
        <v>37</v>
      </c>
      <c r="D5037" s="1" t="str">
        <f>"9805"</f>
        <v>9805</v>
      </c>
      <c r="E5037" s="1" t="s">
        <v>57</v>
      </c>
      <c r="F5037" s="1" t="str">
        <f>"2294048957"</f>
        <v>2294048957</v>
      </c>
      <c r="G5037" s="1" t="s">
        <v>33</v>
      </c>
      <c r="H5037" s="1" t="str">
        <f t="shared" si="961"/>
        <v>20220923</v>
      </c>
      <c r="I5037" s="1" t="str">
        <f>"175951"</f>
        <v>175951</v>
      </c>
      <c r="J5037" s="1" t="s">
        <v>28</v>
      </c>
      <c r="K5037" s="1" t="s">
        <v>28</v>
      </c>
      <c r="L5037" s="1" t="str">
        <f t="shared" si="960"/>
        <v>20220923</v>
      </c>
      <c r="M5037" s="1" t="str">
        <f>"181221"</f>
        <v>181221</v>
      </c>
      <c r="N5037" s="1" t="s">
        <v>56</v>
      </c>
      <c r="O5037" s="1" t="s">
        <v>28</v>
      </c>
      <c r="P5037" s="1" t="s">
        <v>55</v>
      </c>
      <c r="Q5037" s="1">
        <v>25</v>
      </c>
      <c r="R5037" s="1">
        <v>25</v>
      </c>
      <c r="S5037" s="1">
        <v>0</v>
      </c>
      <c r="T5037" s="1">
        <v>0</v>
      </c>
      <c r="U5037" s="1">
        <v>0</v>
      </c>
      <c r="V5037" s="1" t="str">
        <f>"里程去程"</f>
        <v>里程去程</v>
      </c>
      <c r="W5037" s="1" t="str">
        <f>"0820"</f>
        <v>0820</v>
      </c>
      <c r="X5037" s="1" t="s">
        <v>35</v>
      </c>
    </row>
    <row r="5038" spans="1:24" x14ac:dyDescent="0.3">
      <c r="A5038" s="1" t="str">
        <f t="shared" si="959"/>
        <v>59823</v>
      </c>
      <c r="B5038" s="1" t="s">
        <v>36</v>
      </c>
      <c r="C5038" s="1" t="s">
        <v>37</v>
      </c>
      <c r="D5038" s="1" t="str">
        <f>"9805"</f>
        <v>9805</v>
      </c>
      <c r="E5038" s="1" t="s">
        <v>57</v>
      </c>
      <c r="F5038" s="1" t="str">
        <f>"3761429658"</f>
        <v>3761429658</v>
      </c>
      <c r="G5038" s="1" t="s">
        <v>33</v>
      </c>
      <c r="H5038" s="1" t="str">
        <f t="shared" si="961"/>
        <v>20220923</v>
      </c>
      <c r="I5038" s="1" t="str">
        <f>"175956"</f>
        <v>175956</v>
      </c>
      <c r="J5038" s="1" t="s">
        <v>28</v>
      </c>
      <c r="K5038" s="1" t="s">
        <v>28</v>
      </c>
      <c r="L5038" s="1" t="str">
        <f t="shared" si="960"/>
        <v>20220923</v>
      </c>
      <c r="M5038" s="1" t="str">
        <f>"181218"</f>
        <v>181218</v>
      </c>
      <c r="N5038" s="1" t="s">
        <v>56</v>
      </c>
      <c r="O5038" s="1" t="s">
        <v>28</v>
      </c>
      <c r="P5038" s="1" t="s">
        <v>55</v>
      </c>
      <c r="Q5038" s="1">
        <v>25</v>
      </c>
      <c r="R5038" s="1">
        <v>25</v>
      </c>
      <c r="S5038" s="1">
        <v>0</v>
      </c>
      <c r="T5038" s="1">
        <v>0</v>
      </c>
      <c r="U5038" s="1">
        <v>0</v>
      </c>
      <c r="V5038" s="1" t="str">
        <f>"里程去程"</f>
        <v>里程去程</v>
      </c>
      <c r="W5038" s="1" t="str">
        <f>"0820"</f>
        <v>0820</v>
      </c>
      <c r="X5038" s="1" t="s">
        <v>35</v>
      </c>
    </row>
    <row r="5039" spans="1:24" x14ac:dyDescent="0.3">
      <c r="A5039" s="1" t="str">
        <f t="shared" si="959"/>
        <v>59823</v>
      </c>
      <c r="B5039" s="1" t="s">
        <v>36</v>
      </c>
      <c r="C5039" s="1" t="s">
        <v>37</v>
      </c>
      <c r="D5039" s="1" t="str">
        <f>"9805"</f>
        <v>9805</v>
      </c>
      <c r="E5039" s="1" t="s">
        <v>57</v>
      </c>
      <c r="F5039" s="1" t="str">
        <f>"1272F30E9D880400C820002000000018"</f>
        <v>1272F30E9D880400C820002000000018</v>
      </c>
      <c r="G5039" s="1" t="s">
        <v>59</v>
      </c>
      <c r="H5039" s="1" t="str">
        <f t="shared" si="961"/>
        <v>20220923</v>
      </c>
      <c r="I5039" s="1" t="str">
        <f>"182941"</f>
        <v>182941</v>
      </c>
      <c r="J5039" s="1" t="s">
        <v>46</v>
      </c>
      <c r="K5039" s="1" t="s">
        <v>28</v>
      </c>
      <c r="L5039" s="1" t="str">
        <f t="shared" si="960"/>
        <v>20220923</v>
      </c>
      <c r="M5039" s="1" t="str">
        <f>"183814"</f>
        <v>183814</v>
      </c>
      <c r="N5039" s="1" t="s">
        <v>28</v>
      </c>
      <c r="O5039" s="1" t="s">
        <v>28</v>
      </c>
      <c r="P5039" s="1" t="s">
        <v>55</v>
      </c>
      <c r="Q5039" s="1">
        <v>25</v>
      </c>
      <c r="R5039" s="1">
        <v>25</v>
      </c>
      <c r="S5039" s="1">
        <v>0</v>
      </c>
      <c r="T5039" s="1">
        <v>0</v>
      </c>
      <c r="U5039" s="1">
        <v>0</v>
      </c>
      <c r="V5039" s="1" t="str">
        <f>"里程返程"</f>
        <v>里程返程</v>
      </c>
      <c r="W5039" s="1" t="str">
        <f>"0020"</f>
        <v>0020</v>
      </c>
      <c r="X5039" s="1" t="s">
        <v>29</v>
      </c>
    </row>
    <row r="5040" spans="1:24" x14ac:dyDescent="0.3">
      <c r="A5040" s="1" t="str">
        <f t="shared" ref="A5040:A5066" si="962">"59825"</f>
        <v>59825</v>
      </c>
      <c r="B5040" s="1" t="s">
        <v>30</v>
      </c>
      <c r="C5040" s="1" t="s">
        <v>31</v>
      </c>
      <c r="D5040" s="1" t="str">
        <f>"9806"</f>
        <v>9806</v>
      </c>
      <c r="E5040" s="1" t="s">
        <v>49</v>
      </c>
      <c r="F5040" s="1" t="str">
        <f>"B211E70246880400C834002000000015"</f>
        <v>B211E70246880400C834002000000015</v>
      </c>
      <c r="G5040" s="1" t="s">
        <v>74</v>
      </c>
      <c r="H5040" s="1" t="str">
        <f t="shared" si="961"/>
        <v>20220923</v>
      </c>
      <c r="I5040" s="1" t="str">
        <f>"073342"</f>
        <v>073342</v>
      </c>
      <c r="J5040" s="1" t="s">
        <v>101</v>
      </c>
      <c r="K5040" s="1" t="s">
        <v>28</v>
      </c>
      <c r="L5040" s="1" t="str">
        <f t="shared" si="960"/>
        <v>20220923</v>
      </c>
      <c r="M5040" s="1" t="str">
        <f>"074614"</f>
        <v>074614</v>
      </c>
      <c r="N5040" s="1" t="s">
        <v>99</v>
      </c>
      <c r="O5040" s="1" t="s">
        <v>28</v>
      </c>
      <c r="P5040" s="1" t="s">
        <v>68</v>
      </c>
      <c r="Q5040" s="1">
        <v>13</v>
      </c>
      <c r="R5040" s="1">
        <v>0</v>
      </c>
      <c r="S5040" s="1">
        <v>0</v>
      </c>
      <c r="T5040" s="1">
        <v>13</v>
      </c>
      <c r="U5040" s="1">
        <v>0</v>
      </c>
      <c r="V5040" s="1" t="str">
        <f>"里程返程"</f>
        <v>里程返程</v>
      </c>
      <c r="W5040" s="1" t="str">
        <f>"0020"</f>
        <v>0020</v>
      </c>
      <c r="X5040" s="1" t="s">
        <v>29</v>
      </c>
    </row>
    <row r="5041" spans="1:24" x14ac:dyDescent="0.3">
      <c r="A5041" s="1" t="str">
        <f t="shared" si="962"/>
        <v>59825</v>
      </c>
      <c r="B5041" s="1" t="s">
        <v>30</v>
      </c>
      <c r="C5041" s="1" t="s">
        <v>31</v>
      </c>
      <c r="D5041" s="1" t="str">
        <f>"9806"</f>
        <v>9806</v>
      </c>
      <c r="E5041" s="1" t="s">
        <v>49</v>
      </c>
      <c r="F5041" s="1" t="str">
        <f>"1202E702F5880400C834002000000015"</f>
        <v>1202E702F5880400C834002000000015</v>
      </c>
      <c r="G5041" s="1" t="s">
        <v>74</v>
      </c>
      <c r="H5041" s="1" t="str">
        <f t="shared" si="961"/>
        <v>20220923</v>
      </c>
      <c r="I5041" s="1" t="str">
        <f>"073349"</f>
        <v>073349</v>
      </c>
      <c r="J5041" s="1" t="s">
        <v>101</v>
      </c>
      <c r="K5041" s="1" t="s">
        <v>28</v>
      </c>
      <c r="L5041" s="1" t="str">
        <f t="shared" si="960"/>
        <v>20220923</v>
      </c>
      <c r="M5041" s="1" t="str">
        <f>"074617"</f>
        <v>074617</v>
      </c>
      <c r="N5041" s="1" t="s">
        <v>99</v>
      </c>
      <c r="O5041" s="1" t="s">
        <v>28</v>
      </c>
      <c r="P5041" s="1" t="s">
        <v>68</v>
      </c>
      <c r="Q5041" s="1">
        <v>13</v>
      </c>
      <c r="R5041" s="1">
        <v>0</v>
      </c>
      <c r="S5041" s="1">
        <v>0</v>
      </c>
      <c r="T5041" s="1">
        <v>13</v>
      </c>
      <c r="U5041" s="1">
        <v>0</v>
      </c>
      <c r="V5041" s="1" t="str">
        <f>"里程返程"</f>
        <v>里程返程</v>
      </c>
      <c r="W5041" s="1" t="str">
        <f>"0020"</f>
        <v>0020</v>
      </c>
      <c r="X5041" s="1" t="s">
        <v>29</v>
      </c>
    </row>
    <row r="5042" spans="1:24" x14ac:dyDescent="0.3">
      <c r="A5042" s="1" t="str">
        <f t="shared" si="962"/>
        <v>59825</v>
      </c>
      <c r="B5042" s="1" t="s">
        <v>30</v>
      </c>
      <c r="C5042" s="1" t="s">
        <v>31</v>
      </c>
      <c r="D5042" s="1" t="str">
        <f t="shared" ref="D5042:D5061" si="963">"9803"</f>
        <v>9803</v>
      </c>
      <c r="E5042" s="1" t="s">
        <v>32</v>
      </c>
      <c r="F5042" s="1" t="str">
        <f>"1492664808"</f>
        <v>1492664808</v>
      </c>
      <c r="G5042" s="1" t="s">
        <v>33</v>
      </c>
      <c r="H5042" s="1" t="str">
        <f t="shared" si="961"/>
        <v>20220923</v>
      </c>
      <c r="I5042" s="1" t="str">
        <f>"081256"</f>
        <v>081256</v>
      </c>
      <c r="J5042" s="1" t="s">
        <v>28</v>
      </c>
      <c r="K5042" s="1" t="s">
        <v>28</v>
      </c>
      <c r="L5042" s="1" t="str">
        <f t="shared" si="960"/>
        <v>20220923</v>
      </c>
      <c r="M5042" s="1" t="str">
        <f>"083116"</f>
        <v>083116</v>
      </c>
      <c r="N5042" s="1" t="s">
        <v>34</v>
      </c>
      <c r="O5042" s="1" t="s">
        <v>34</v>
      </c>
      <c r="P5042" s="1" t="s">
        <v>55</v>
      </c>
      <c r="Q5042" s="1">
        <v>25</v>
      </c>
      <c r="R5042" s="1">
        <v>25</v>
      </c>
      <c r="S5042" s="1">
        <v>0</v>
      </c>
      <c r="T5042" s="1">
        <v>0</v>
      </c>
      <c r="U5042" s="1">
        <v>0</v>
      </c>
      <c r="V5042" s="1" t="str">
        <f t="shared" ref="V5042:V5064" si="964">"里程去程"</f>
        <v>里程去程</v>
      </c>
      <c r="W5042" s="1" t="str">
        <f>"0620"</f>
        <v>0620</v>
      </c>
      <c r="X5042" s="1" t="s">
        <v>35</v>
      </c>
    </row>
    <row r="5043" spans="1:24" x14ac:dyDescent="0.3">
      <c r="A5043" s="1" t="str">
        <f t="shared" si="962"/>
        <v>59825</v>
      </c>
      <c r="B5043" s="1" t="s">
        <v>30</v>
      </c>
      <c r="C5043" s="1" t="s">
        <v>31</v>
      </c>
      <c r="D5043" s="1" t="str">
        <f t="shared" si="963"/>
        <v>9803</v>
      </c>
      <c r="E5043" s="1" t="s">
        <v>32</v>
      </c>
      <c r="F5043" s="1" t="str">
        <f>"2069724470"</f>
        <v>2069724470</v>
      </c>
      <c r="G5043" s="1" t="s">
        <v>33</v>
      </c>
      <c r="H5043" s="1" t="str">
        <f t="shared" si="961"/>
        <v>20220923</v>
      </c>
      <c r="I5043" s="1" t="str">
        <f>"081303"</f>
        <v>081303</v>
      </c>
      <c r="J5043" s="1" t="s">
        <v>28</v>
      </c>
      <c r="K5043" s="1" t="s">
        <v>28</v>
      </c>
      <c r="L5043" s="1" t="str">
        <f t="shared" si="960"/>
        <v>20220923</v>
      </c>
      <c r="M5043" s="1" t="str">
        <f>"083148"</f>
        <v>083148</v>
      </c>
      <c r="N5043" s="1" t="s">
        <v>34</v>
      </c>
      <c r="O5043" s="1" t="s">
        <v>34</v>
      </c>
      <c r="P5043" s="1" t="s">
        <v>55</v>
      </c>
      <c r="Q5043" s="1">
        <v>25</v>
      </c>
      <c r="R5043" s="1">
        <v>25</v>
      </c>
      <c r="S5043" s="1">
        <v>0</v>
      </c>
      <c r="T5043" s="1">
        <v>0</v>
      </c>
      <c r="U5043" s="1">
        <v>0</v>
      </c>
      <c r="V5043" s="1" t="str">
        <f t="shared" si="964"/>
        <v>里程去程</v>
      </c>
      <c r="W5043" s="1" t="str">
        <f>"0620"</f>
        <v>0620</v>
      </c>
      <c r="X5043" s="1" t="s">
        <v>35</v>
      </c>
    </row>
    <row r="5044" spans="1:24" x14ac:dyDescent="0.3">
      <c r="A5044" s="1" t="str">
        <f t="shared" si="962"/>
        <v>59825</v>
      </c>
      <c r="B5044" s="1" t="s">
        <v>30</v>
      </c>
      <c r="C5044" s="1" t="s">
        <v>31</v>
      </c>
      <c r="D5044" s="1" t="str">
        <f t="shared" si="963"/>
        <v>9803</v>
      </c>
      <c r="E5044" s="1" t="s">
        <v>32</v>
      </c>
      <c r="F5044" s="1" t="str">
        <f>"A4113A4FC0280400D200000100000000"</f>
        <v>A4113A4FC0280400D200000100000000</v>
      </c>
      <c r="G5044" s="1" t="s">
        <v>58</v>
      </c>
      <c r="H5044" s="1" t="str">
        <f t="shared" si="961"/>
        <v>20220923</v>
      </c>
      <c r="I5044" s="1" t="str">
        <f>"082316"</f>
        <v>082316</v>
      </c>
      <c r="J5044" s="1" t="s">
        <v>46</v>
      </c>
      <c r="K5044" s="1" t="s">
        <v>28</v>
      </c>
      <c r="L5044" s="1" t="str">
        <f t="shared" si="960"/>
        <v>20220923</v>
      </c>
      <c r="M5044" s="1" t="str">
        <f>"083152"</f>
        <v>083152</v>
      </c>
      <c r="N5044" s="1" t="s">
        <v>34</v>
      </c>
      <c r="O5044" s="1" t="s">
        <v>34</v>
      </c>
      <c r="P5044" s="1" t="s">
        <v>55</v>
      </c>
      <c r="Q5044" s="1">
        <v>25</v>
      </c>
      <c r="R5044" s="1">
        <v>25</v>
      </c>
      <c r="S5044" s="1">
        <v>0</v>
      </c>
      <c r="T5044" s="1">
        <v>0</v>
      </c>
      <c r="U5044" s="1">
        <v>0</v>
      </c>
      <c r="V5044" s="1" t="str">
        <f t="shared" si="964"/>
        <v>里程去程</v>
      </c>
      <c r="W5044" s="1" t="str">
        <f>"0020"</f>
        <v>0020</v>
      </c>
      <c r="X5044" s="1" t="s">
        <v>29</v>
      </c>
    </row>
    <row r="5045" spans="1:24" x14ac:dyDescent="0.3">
      <c r="A5045" s="1" t="str">
        <f t="shared" si="962"/>
        <v>59825</v>
      </c>
      <c r="B5045" s="1" t="s">
        <v>30</v>
      </c>
      <c r="C5045" s="1" t="s">
        <v>31</v>
      </c>
      <c r="D5045" s="1" t="str">
        <f t="shared" si="963"/>
        <v>9803</v>
      </c>
      <c r="E5045" s="1" t="s">
        <v>32</v>
      </c>
      <c r="F5045" s="1" t="str">
        <f>"22A1030181880400C806002000000015"</f>
        <v>22A1030181880400C806002000000015</v>
      </c>
      <c r="G5045" s="1" t="s">
        <v>58</v>
      </c>
      <c r="H5045" s="1" t="str">
        <f t="shared" si="961"/>
        <v>20220923</v>
      </c>
      <c r="I5045" s="1" t="str">
        <f>"094650"</f>
        <v>094650</v>
      </c>
      <c r="J5045" s="1" t="s">
        <v>28</v>
      </c>
      <c r="K5045" s="1" t="s">
        <v>28</v>
      </c>
      <c r="L5045" s="1" t="str">
        <f t="shared" si="960"/>
        <v>20220923</v>
      </c>
      <c r="M5045" s="1" t="str">
        <f>"100948"</f>
        <v>100948</v>
      </c>
      <c r="N5045" s="1" t="s">
        <v>34</v>
      </c>
      <c r="O5045" s="1" t="s">
        <v>34</v>
      </c>
      <c r="P5045" s="1" t="s">
        <v>55</v>
      </c>
      <c r="Q5045" s="1">
        <v>25</v>
      </c>
      <c r="R5045" s="1">
        <v>25</v>
      </c>
      <c r="S5045" s="1">
        <v>0</v>
      </c>
      <c r="T5045" s="1">
        <v>0</v>
      </c>
      <c r="U5045" s="1">
        <v>0</v>
      </c>
      <c r="V5045" s="1" t="str">
        <f t="shared" si="964"/>
        <v>里程去程</v>
      </c>
      <c r="W5045" s="1" t="str">
        <f>"0020"</f>
        <v>0020</v>
      </c>
      <c r="X5045" s="1" t="s">
        <v>29</v>
      </c>
    </row>
    <row r="5046" spans="1:24" x14ac:dyDescent="0.3">
      <c r="A5046" s="1" t="str">
        <f t="shared" si="962"/>
        <v>59825</v>
      </c>
      <c r="B5046" s="1" t="s">
        <v>30</v>
      </c>
      <c r="C5046" s="1" t="s">
        <v>31</v>
      </c>
      <c r="D5046" s="1" t="str">
        <f t="shared" si="963"/>
        <v>9803</v>
      </c>
      <c r="E5046" s="1" t="s">
        <v>32</v>
      </c>
      <c r="F5046" s="1" t="str">
        <f>"A184BD54CC2804001C00000000000000"</f>
        <v>A184BD54CC2804001C00000000000000</v>
      </c>
      <c r="G5046" s="1" t="s">
        <v>58</v>
      </c>
      <c r="H5046" s="1" t="str">
        <f t="shared" si="961"/>
        <v>20220923</v>
      </c>
      <c r="I5046" s="1" t="str">
        <f>"094700"</f>
        <v>094700</v>
      </c>
      <c r="J5046" s="1" t="s">
        <v>28</v>
      </c>
      <c r="K5046" s="1" t="s">
        <v>28</v>
      </c>
      <c r="L5046" s="1" t="str">
        <f t="shared" si="960"/>
        <v>20220923</v>
      </c>
      <c r="M5046" s="1" t="str">
        <f>"100954"</f>
        <v>100954</v>
      </c>
      <c r="N5046" s="1" t="s">
        <v>34</v>
      </c>
      <c r="O5046" s="1" t="s">
        <v>34</v>
      </c>
      <c r="P5046" s="1" t="s">
        <v>55</v>
      </c>
      <c r="Q5046" s="1">
        <v>25</v>
      </c>
      <c r="R5046" s="1">
        <v>25</v>
      </c>
      <c r="S5046" s="1">
        <v>0</v>
      </c>
      <c r="T5046" s="1">
        <v>0</v>
      </c>
      <c r="U5046" s="1">
        <v>0</v>
      </c>
      <c r="V5046" s="1" t="str">
        <f t="shared" si="964"/>
        <v>里程去程</v>
      </c>
      <c r="W5046" s="1" t="str">
        <f>"0020"</f>
        <v>0020</v>
      </c>
      <c r="X5046" s="1" t="s">
        <v>29</v>
      </c>
    </row>
    <row r="5047" spans="1:24" x14ac:dyDescent="0.3">
      <c r="A5047" s="1" t="str">
        <f t="shared" si="962"/>
        <v>59825</v>
      </c>
      <c r="B5047" s="1" t="s">
        <v>30</v>
      </c>
      <c r="C5047" s="1" t="s">
        <v>31</v>
      </c>
      <c r="D5047" s="1" t="str">
        <f t="shared" si="963"/>
        <v>9803</v>
      </c>
      <c r="E5047" s="1" t="s">
        <v>32</v>
      </c>
      <c r="F5047" s="1" t="str">
        <f>"751239797"</f>
        <v>751239797</v>
      </c>
      <c r="G5047" s="1" t="s">
        <v>33</v>
      </c>
      <c r="H5047" s="1" t="str">
        <f t="shared" si="961"/>
        <v>20220923</v>
      </c>
      <c r="I5047" s="1" t="str">
        <f>"094708"</f>
        <v>094708</v>
      </c>
      <c r="J5047" s="1" t="s">
        <v>28</v>
      </c>
      <c r="K5047" s="1" t="s">
        <v>28</v>
      </c>
      <c r="L5047" s="1" t="str">
        <f t="shared" si="960"/>
        <v>20220923</v>
      </c>
      <c r="M5047" s="1" t="str">
        <f>"101006"</f>
        <v>101006</v>
      </c>
      <c r="N5047" s="1" t="s">
        <v>34</v>
      </c>
      <c r="O5047" s="1" t="s">
        <v>34</v>
      </c>
      <c r="P5047" s="1" t="s">
        <v>55</v>
      </c>
      <c r="Q5047" s="1">
        <v>25</v>
      </c>
      <c r="R5047" s="1">
        <v>25</v>
      </c>
      <c r="S5047" s="1">
        <v>0</v>
      </c>
      <c r="T5047" s="1">
        <v>0</v>
      </c>
      <c r="U5047" s="1">
        <v>0</v>
      </c>
      <c r="V5047" s="1" t="str">
        <f t="shared" si="964"/>
        <v>里程去程</v>
      </c>
      <c r="W5047" s="1" t="str">
        <f>"0820"</f>
        <v>0820</v>
      </c>
      <c r="X5047" s="1" t="s">
        <v>35</v>
      </c>
    </row>
    <row r="5048" spans="1:24" x14ac:dyDescent="0.3">
      <c r="A5048" s="1" t="str">
        <f t="shared" si="962"/>
        <v>59825</v>
      </c>
      <c r="B5048" s="1" t="s">
        <v>30</v>
      </c>
      <c r="C5048" s="1" t="s">
        <v>31</v>
      </c>
      <c r="D5048" s="1" t="str">
        <f t="shared" si="963"/>
        <v>9803</v>
      </c>
      <c r="E5048" s="1" t="s">
        <v>32</v>
      </c>
      <c r="F5048" s="1" t="str">
        <f>"712919057"</f>
        <v>712919057</v>
      </c>
      <c r="G5048" s="1" t="s">
        <v>33</v>
      </c>
      <c r="H5048" s="1" t="str">
        <f t="shared" si="961"/>
        <v>20220923</v>
      </c>
      <c r="I5048" s="1" t="str">
        <f>"094714"</f>
        <v>094714</v>
      </c>
      <c r="J5048" s="1" t="s">
        <v>28</v>
      </c>
      <c r="K5048" s="1" t="s">
        <v>28</v>
      </c>
      <c r="L5048" s="1" t="str">
        <f t="shared" si="960"/>
        <v>20220923</v>
      </c>
      <c r="M5048" s="1" t="str">
        <f>"101009"</f>
        <v>101009</v>
      </c>
      <c r="N5048" s="1" t="s">
        <v>34</v>
      </c>
      <c r="O5048" s="1" t="s">
        <v>34</v>
      </c>
      <c r="P5048" s="1" t="s">
        <v>55</v>
      </c>
      <c r="Q5048" s="1">
        <v>25</v>
      </c>
      <c r="R5048" s="1">
        <v>25</v>
      </c>
      <c r="S5048" s="1">
        <v>0</v>
      </c>
      <c r="T5048" s="1">
        <v>0</v>
      </c>
      <c r="U5048" s="1">
        <v>0</v>
      </c>
      <c r="V5048" s="1" t="str">
        <f t="shared" si="964"/>
        <v>里程去程</v>
      </c>
      <c r="W5048" s="1" t="str">
        <f>"0820"</f>
        <v>0820</v>
      </c>
      <c r="X5048" s="1" t="s">
        <v>35</v>
      </c>
    </row>
    <row r="5049" spans="1:24" x14ac:dyDescent="0.3">
      <c r="A5049" s="1" t="str">
        <f t="shared" si="962"/>
        <v>59825</v>
      </c>
      <c r="B5049" s="1" t="s">
        <v>30</v>
      </c>
      <c r="C5049" s="1" t="s">
        <v>31</v>
      </c>
      <c r="D5049" s="1" t="str">
        <f t="shared" si="963"/>
        <v>9803</v>
      </c>
      <c r="E5049" s="1" t="s">
        <v>32</v>
      </c>
      <c r="F5049" s="1" t="str">
        <f>"255200449"</f>
        <v>255200449</v>
      </c>
      <c r="G5049" s="1" t="s">
        <v>33</v>
      </c>
      <c r="H5049" s="1" t="str">
        <f t="shared" si="961"/>
        <v>20220923</v>
      </c>
      <c r="I5049" s="1" t="str">
        <f>"094718"</f>
        <v>094718</v>
      </c>
      <c r="J5049" s="1" t="s">
        <v>28</v>
      </c>
      <c r="K5049" s="1" t="s">
        <v>28</v>
      </c>
      <c r="L5049" s="1" t="str">
        <f t="shared" si="960"/>
        <v>20220923</v>
      </c>
      <c r="M5049" s="1" t="str">
        <f>"101035"</f>
        <v>101035</v>
      </c>
      <c r="N5049" s="1" t="s">
        <v>34</v>
      </c>
      <c r="O5049" s="1" t="s">
        <v>34</v>
      </c>
      <c r="P5049" s="1" t="s">
        <v>55</v>
      </c>
      <c r="Q5049" s="1">
        <v>25</v>
      </c>
      <c r="R5049" s="1">
        <v>25</v>
      </c>
      <c r="S5049" s="1">
        <v>0</v>
      </c>
      <c r="T5049" s="1">
        <v>0</v>
      </c>
      <c r="U5049" s="1">
        <v>0</v>
      </c>
      <c r="V5049" s="1" t="str">
        <f t="shared" si="964"/>
        <v>里程去程</v>
      </c>
      <c r="W5049" s="1" t="str">
        <f>"1420"</f>
        <v>1420</v>
      </c>
      <c r="X5049" s="1" t="s">
        <v>35</v>
      </c>
    </row>
    <row r="5050" spans="1:24" x14ac:dyDescent="0.3">
      <c r="A5050" s="1" t="str">
        <f t="shared" si="962"/>
        <v>59825</v>
      </c>
      <c r="B5050" s="1" t="s">
        <v>30</v>
      </c>
      <c r="C5050" s="1" t="s">
        <v>31</v>
      </c>
      <c r="D5050" s="1" t="str">
        <f t="shared" si="963"/>
        <v>9803</v>
      </c>
      <c r="E5050" s="1" t="s">
        <v>32</v>
      </c>
      <c r="F5050" s="1" t="str">
        <f>"1751346001"</f>
        <v>1751346001</v>
      </c>
      <c r="G5050" s="1" t="s">
        <v>33</v>
      </c>
      <c r="H5050" s="1" t="str">
        <f t="shared" si="961"/>
        <v>20220923</v>
      </c>
      <c r="I5050" s="1" t="str">
        <f>"094722"</f>
        <v>094722</v>
      </c>
      <c r="J5050" s="1" t="s">
        <v>28</v>
      </c>
      <c r="K5050" s="1" t="s">
        <v>28</v>
      </c>
      <c r="L5050" s="1" t="str">
        <f t="shared" si="960"/>
        <v>20220923</v>
      </c>
      <c r="M5050" s="1" t="str">
        <f>"101018"</f>
        <v>101018</v>
      </c>
      <c r="N5050" s="1" t="s">
        <v>34</v>
      </c>
      <c r="O5050" s="1" t="s">
        <v>34</v>
      </c>
      <c r="P5050" s="1" t="s">
        <v>55</v>
      </c>
      <c r="Q5050" s="1">
        <v>25</v>
      </c>
      <c r="R5050" s="1">
        <v>25</v>
      </c>
      <c r="S5050" s="1">
        <v>0</v>
      </c>
      <c r="T5050" s="1">
        <v>0</v>
      </c>
      <c r="U5050" s="1">
        <v>0</v>
      </c>
      <c r="V5050" s="1" t="str">
        <f t="shared" si="964"/>
        <v>里程去程</v>
      </c>
      <c r="W5050" s="1" t="str">
        <f>"1420"</f>
        <v>1420</v>
      </c>
      <c r="X5050" s="1" t="s">
        <v>35</v>
      </c>
    </row>
    <row r="5051" spans="1:24" x14ac:dyDescent="0.3">
      <c r="A5051" s="1" t="str">
        <f t="shared" si="962"/>
        <v>59825</v>
      </c>
      <c r="B5051" s="1" t="s">
        <v>30</v>
      </c>
      <c r="C5051" s="1" t="s">
        <v>31</v>
      </c>
      <c r="D5051" s="1" t="str">
        <f t="shared" si="963"/>
        <v>9803</v>
      </c>
      <c r="E5051" s="1" t="s">
        <v>32</v>
      </c>
      <c r="F5051" s="1" t="str">
        <f>"F7CDA86CFE88040043250FDF000F0C0E"</f>
        <v>F7CDA86CFE88040043250FDF000F0C0E</v>
      </c>
      <c r="G5051" s="1" t="s">
        <v>58</v>
      </c>
      <c r="H5051" s="1" t="str">
        <f t="shared" si="961"/>
        <v>20220923</v>
      </c>
      <c r="I5051" s="1" t="str">
        <f>"094739"</f>
        <v>094739</v>
      </c>
      <c r="J5051" s="1" t="s">
        <v>28</v>
      </c>
      <c r="K5051" s="1" t="s">
        <v>28</v>
      </c>
      <c r="L5051" s="1" t="str">
        <f t="shared" ref="L5051:L5082" si="965">"20220923"</f>
        <v>20220923</v>
      </c>
      <c r="M5051" s="1" t="str">
        <f>"101001"</f>
        <v>101001</v>
      </c>
      <c r="N5051" s="1" t="s">
        <v>34</v>
      </c>
      <c r="O5051" s="1" t="s">
        <v>34</v>
      </c>
      <c r="P5051" s="1" t="s">
        <v>55</v>
      </c>
      <c r="Q5051" s="1">
        <v>25</v>
      </c>
      <c r="R5051" s="1">
        <v>25</v>
      </c>
      <c r="S5051" s="1">
        <v>0</v>
      </c>
      <c r="T5051" s="1">
        <v>0</v>
      </c>
      <c r="U5051" s="1">
        <v>0</v>
      </c>
      <c r="V5051" s="1" t="str">
        <f t="shared" si="964"/>
        <v>里程去程</v>
      </c>
      <c r="W5051" s="1" t="str">
        <f>"0020"</f>
        <v>0020</v>
      </c>
      <c r="X5051" s="1" t="s">
        <v>29</v>
      </c>
    </row>
    <row r="5052" spans="1:24" x14ac:dyDescent="0.3">
      <c r="A5052" s="1" t="str">
        <f t="shared" si="962"/>
        <v>59825</v>
      </c>
      <c r="B5052" s="1" t="s">
        <v>30</v>
      </c>
      <c r="C5052" s="1" t="s">
        <v>31</v>
      </c>
      <c r="D5052" s="1" t="str">
        <f t="shared" si="963"/>
        <v>9803</v>
      </c>
      <c r="E5052" s="1" t="s">
        <v>32</v>
      </c>
      <c r="F5052" s="1" t="str">
        <f>"F2D2760056880400C842002000000014"</f>
        <v>F2D2760056880400C842002000000014</v>
      </c>
      <c r="G5052" s="1" t="s">
        <v>38</v>
      </c>
      <c r="H5052" s="1" t="str">
        <f t="shared" si="961"/>
        <v>20220923</v>
      </c>
      <c r="I5052" s="1" t="str">
        <f>"094742"</f>
        <v>094742</v>
      </c>
      <c r="J5052" s="1" t="s">
        <v>28</v>
      </c>
      <c r="K5052" s="1" t="s">
        <v>28</v>
      </c>
      <c r="L5052" s="1" t="str">
        <f t="shared" si="965"/>
        <v>20220923</v>
      </c>
      <c r="M5052" s="1" t="str">
        <f>"101003"</f>
        <v>101003</v>
      </c>
      <c r="N5052" s="1" t="s">
        <v>34</v>
      </c>
      <c r="O5052" s="1" t="s">
        <v>34</v>
      </c>
      <c r="P5052" s="1" t="s">
        <v>55</v>
      </c>
      <c r="Q5052" s="1">
        <v>25</v>
      </c>
      <c r="R5052" s="1">
        <v>25</v>
      </c>
      <c r="S5052" s="1">
        <v>0</v>
      </c>
      <c r="T5052" s="1">
        <v>0</v>
      </c>
      <c r="U5052" s="1">
        <v>0</v>
      </c>
      <c r="V5052" s="1" t="str">
        <f t="shared" si="964"/>
        <v>里程去程</v>
      </c>
      <c r="W5052" s="1" t="str">
        <f>"0020"</f>
        <v>0020</v>
      </c>
      <c r="X5052" s="1" t="s">
        <v>29</v>
      </c>
    </row>
    <row r="5053" spans="1:24" x14ac:dyDescent="0.3">
      <c r="A5053" s="1" t="str">
        <f t="shared" si="962"/>
        <v>59825</v>
      </c>
      <c r="B5053" s="1" t="s">
        <v>30</v>
      </c>
      <c r="C5053" s="1" t="s">
        <v>31</v>
      </c>
      <c r="D5053" s="1" t="str">
        <f t="shared" si="963"/>
        <v>9803</v>
      </c>
      <c r="E5053" s="1" t="s">
        <v>32</v>
      </c>
      <c r="F5053" s="1" t="str">
        <f>"927EAD0544880400C838002000000015"</f>
        <v>927EAD0544880400C838002000000015</v>
      </c>
      <c r="G5053" s="1" t="s">
        <v>58</v>
      </c>
      <c r="H5053" s="1" t="str">
        <f t="shared" si="961"/>
        <v>20220923</v>
      </c>
      <c r="I5053" s="1" t="str">
        <f>"094746"</f>
        <v>094746</v>
      </c>
      <c r="J5053" s="1" t="s">
        <v>28</v>
      </c>
      <c r="K5053" s="1" t="s">
        <v>28</v>
      </c>
      <c r="L5053" s="1" t="str">
        <f t="shared" si="965"/>
        <v>20220923</v>
      </c>
      <c r="M5053" s="1" t="str">
        <f>"101029"</f>
        <v>101029</v>
      </c>
      <c r="N5053" s="1" t="s">
        <v>34</v>
      </c>
      <c r="O5053" s="1" t="s">
        <v>34</v>
      </c>
      <c r="P5053" s="1" t="s">
        <v>55</v>
      </c>
      <c r="Q5053" s="1">
        <v>25</v>
      </c>
      <c r="R5053" s="1">
        <v>0</v>
      </c>
      <c r="S5053" s="1">
        <v>25</v>
      </c>
      <c r="T5053" s="1">
        <v>0</v>
      </c>
      <c r="U5053" s="1">
        <v>0</v>
      </c>
      <c r="V5053" s="1" t="str">
        <f t="shared" si="964"/>
        <v>里程去程</v>
      </c>
      <c r="W5053" s="1" t="str">
        <f>"0620"</f>
        <v>0620</v>
      </c>
      <c r="X5053" s="1" t="s">
        <v>29</v>
      </c>
    </row>
    <row r="5054" spans="1:24" x14ac:dyDescent="0.3">
      <c r="A5054" s="1" t="str">
        <f t="shared" si="962"/>
        <v>59825</v>
      </c>
      <c r="B5054" s="1" t="s">
        <v>30</v>
      </c>
      <c r="C5054" s="1" t="s">
        <v>31</v>
      </c>
      <c r="D5054" s="1" t="str">
        <f t="shared" si="963"/>
        <v>9803</v>
      </c>
      <c r="E5054" s="1" t="s">
        <v>32</v>
      </c>
      <c r="F5054" s="1" t="str">
        <f>"6A7DEE42BB880400C185149941504212"</f>
        <v>6A7DEE42BB880400C185149941504212</v>
      </c>
      <c r="G5054" s="1" t="s">
        <v>58</v>
      </c>
      <c r="H5054" s="1" t="str">
        <f t="shared" si="961"/>
        <v>20220923</v>
      </c>
      <c r="I5054" s="1" t="str">
        <f>"094758"</f>
        <v>094758</v>
      </c>
      <c r="J5054" s="1" t="s">
        <v>28</v>
      </c>
      <c r="K5054" s="1" t="s">
        <v>28</v>
      </c>
      <c r="L5054" s="1" t="str">
        <f t="shared" si="965"/>
        <v>20220923</v>
      </c>
      <c r="M5054" s="1" t="str">
        <f>"101025"</f>
        <v>101025</v>
      </c>
      <c r="N5054" s="1" t="s">
        <v>34</v>
      </c>
      <c r="O5054" s="1" t="s">
        <v>34</v>
      </c>
      <c r="P5054" s="1" t="s">
        <v>55</v>
      </c>
      <c r="Q5054" s="1">
        <v>25</v>
      </c>
      <c r="R5054" s="1">
        <v>25</v>
      </c>
      <c r="S5054" s="1">
        <v>0</v>
      </c>
      <c r="T5054" s="1">
        <v>0</v>
      </c>
      <c r="U5054" s="1">
        <v>0</v>
      </c>
      <c r="V5054" s="1" t="str">
        <f t="shared" si="964"/>
        <v>里程去程</v>
      </c>
      <c r="W5054" s="1" t="str">
        <f>"0020"</f>
        <v>0020</v>
      </c>
      <c r="X5054" s="1" t="s">
        <v>29</v>
      </c>
    </row>
    <row r="5055" spans="1:24" x14ac:dyDescent="0.3">
      <c r="A5055" s="1" t="str">
        <f t="shared" si="962"/>
        <v>59825</v>
      </c>
      <c r="B5055" s="1" t="s">
        <v>30</v>
      </c>
      <c r="C5055" s="1" t="s">
        <v>31</v>
      </c>
      <c r="D5055" s="1" t="str">
        <f t="shared" si="963"/>
        <v>9803</v>
      </c>
      <c r="E5055" s="1" t="s">
        <v>32</v>
      </c>
      <c r="F5055" s="1" t="str">
        <f>"1434145041"</f>
        <v>1434145041</v>
      </c>
      <c r="G5055" s="1" t="s">
        <v>33</v>
      </c>
      <c r="H5055" s="1" t="str">
        <f t="shared" si="961"/>
        <v>20220923</v>
      </c>
      <c r="I5055" s="1" t="str">
        <f>"094807"</f>
        <v>094807</v>
      </c>
      <c r="J5055" s="1" t="s">
        <v>28</v>
      </c>
      <c r="K5055" s="1" t="s">
        <v>28</v>
      </c>
      <c r="L5055" s="1" t="str">
        <f t="shared" si="965"/>
        <v>20220923</v>
      </c>
      <c r="M5055" s="1" t="str">
        <f>"101015"</f>
        <v>101015</v>
      </c>
      <c r="N5055" s="1" t="s">
        <v>34</v>
      </c>
      <c r="O5055" s="1" t="s">
        <v>34</v>
      </c>
      <c r="P5055" s="1" t="s">
        <v>55</v>
      </c>
      <c r="Q5055" s="1">
        <v>25</v>
      </c>
      <c r="R5055" s="1">
        <v>25</v>
      </c>
      <c r="S5055" s="1">
        <v>0</v>
      </c>
      <c r="T5055" s="1">
        <v>0</v>
      </c>
      <c r="U5055" s="1">
        <v>0</v>
      </c>
      <c r="V5055" s="1" t="str">
        <f t="shared" si="964"/>
        <v>里程去程</v>
      </c>
      <c r="W5055" s="1" t="str">
        <f>"1220"</f>
        <v>1220</v>
      </c>
      <c r="X5055" s="1" t="s">
        <v>35</v>
      </c>
    </row>
    <row r="5056" spans="1:24" x14ac:dyDescent="0.3">
      <c r="A5056" s="1" t="str">
        <f t="shared" si="962"/>
        <v>59825</v>
      </c>
      <c r="B5056" s="1" t="s">
        <v>30</v>
      </c>
      <c r="C5056" s="1" t="s">
        <v>31</v>
      </c>
      <c r="D5056" s="1" t="str">
        <f t="shared" si="963"/>
        <v>9803</v>
      </c>
      <c r="E5056" s="1" t="s">
        <v>32</v>
      </c>
      <c r="F5056" s="1" t="str">
        <f>"E2B9481407880400C831002000000018"</f>
        <v>E2B9481407880400C831002000000018</v>
      </c>
      <c r="G5056" s="1" t="s">
        <v>58</v>
      </c>
      <c r="H5056" s="1" t="str">
        <f t="shared" si="961"/>
        <v>20220923</v>
      </c>
      <c r="I5056" s="1" t="str">
        <f>"094812"</f>
        <v>094812</v>
      </c>
      <c r="J5056" s="1" t="s">
        <v>28</v>
      </c>
      <c r="K5056" s="1" t="s">
        <v>28</v>
      </c>
      <c r="L5056" s="1" t="str">
        <f t="shared" si="965"/>
        <v>20220923</v>
      </c>
      <c r="M5056" s="1" t="str">
        <f>"101013"</f>
        <v>101013</v>
      </c>
      <c r="N5056" s="1" t="s">
        <v>34</v>
      </c>
      <c r="O5056" s="1" t="s">
        <v>34</v>
      </c>
      <c r="P5056" s="1" t="s">
        <v>55</v>
      </c>
      <c r="Q5056" s="1">
        <v>25</v>
      </c>
      <c r="R5056" s="1">
        <v>25</v>
      </c>
      <c r="S5056" s="1">
        <v>0</v>
      </c>
      <c r="T5056" s="1">
        <v>0</v>
      </c>
      <c r="U5056" s="1">
        <v>0</v>
      </c>
      <c r="V5056" s="1" t="str">
        <f t="shared" si="964"/>
        <v>里程去程</v>
      </c>
      <c r="W5056" s="1" t="str">
        <f>"0020"</f>
        <v>0020</v>
      </c>
      <c r="X5056" s="1" t="s">
        <v>29</v>
      </c>
    </row>
    <row r="5057" spans="1:24" x14ac:dyDescent="0.3">
      <c r="A5057" s="1" t="str">
        <f t="shared" si="962"/>
        <v>59825</v>
      </c>
      <c r="B5057" s="1" t="s">
        <v>30</v>
      </c>
      <c r="C5057" s="1" t="s">
        <v>31</v>
      </c>
      <c r="D5057" s="1" t="str">
        <f t="shared" si="963"/>
        <v>9803</v>
      </c>
      <c r="E5057" s="1" t="s">
        <v>32</v>
      </c>
      <c r="F5057" s="1" t="str">
        <f>"988956005"</f>
        <v>988956005</v>
      </c>
      <c r="G5057" s="1" t="s">
        <v>33</v>
      </c>
      <c r="H5057" s="1" t="str">
        <f t="shared" si="961"/>
        <v>20220923</v>
      </c>
      <c r="I5057" s="1" t="str">
        <f>"094822"</f>
        <v>094822</v>
      </c>
      <c r="J5057" s="1" t="s">
        <v>28</v>
      </c>
      <c r="K5057" s="1" t="s">
        <v>28</v>
      </c>
      <c r="L5057" s="1" t="str">
        <f t="shared" si="965"/>
        <v>20220923</v>
      </c>
      <c r="M5057" s="1" t="str">
        <f>"100946"</f>
        <v>100946</v>
      </c>
      <c r="N5057" s="1" t="s">
        <v>34</v>
      </c>
      <c r="O5057" s="1" t="s">
        <v>34</v>
      </c>
      <c r="P5057" s="1" t="s">
        <v>55</v>
      </c>
      <c r="Q5057" s="1">
        <v>25</v>
      </c>
      <c r="R5057" s="1">
        <v>25</v>
      </c>
      <c r="S5057" s="1">
        <v>0</v>
      </c>
      <c r="T5057" s="1">
        <v>0</v>
      </c>
      <c r="U5057" s="1">
        <v>0</v>
      </c>
      <c r="V5057" s="1" t="str">
        <f t="shared" si="964"/>
        <v>里程去程</v>
      </c>
      <c r="W5057" s="1" t="str">
        <f>"0120"</f>
        <v>0120</v>
      </c>
      <c r="X5057" s="1" t="s">
        <v>35</v>
      </c>
    </row>
    <row r="5058" spans="1:24" x14ac:dyDescent="0.3">
      <c r="A5058" s="1" t="str">
        <f t="shared" si="962"/>
        <v>59825</v>
      </c>
      <c r="B5058" s="1" t="s">
        <v>30</v>
      </c>
      <c r="C5058" s="1" t="s">
        <v>31</v>
      </c>
      <c r="D5058" s="1" t="str">
        <f t="shared" si="963"/>
        <v>9803</v>
      </c>
      <c r="E5058" s="1" t="s">
        <v>32</v>
      </c>
      <c r="F5058" s="1" t="str">
        <f>"1810423056"</f>
        <v>1810423056</v>
      </c>
      <c r="G5058" s="1" t="s">
        <v>33</v>
      </c>
      <c r="H5058" s="1" t="str">
        <f t="shared" si="961"/>
        <v>20220923</v>
      </c>
      <c r="I5058" s="1" t="str">
        <f>"132859"</f>
        <v>132859</v>
      </c>
      <c r="J5058" s="1" t="s">
        <v>28</v>
      </c>
      <c r="K5058" s="1" t="s">
        <v>28</v>
      </c>
      <c r="L5058" s="1" t="str">
        <f t="shared" si="965"/>
        <v>20220923</v>
      </c>
      <c r="M5058" s="1" t="str">
        <f>"134827"</f>
        <v>134827</v>
      </c>
      <c r="N5058" s="1" t="s">
        <v>34</v>
      </c>
      <c r="O5058" s="1" t="s">
        <v>34</v>
      </c>
      <c r="P5058" s="1" t="s">
        <v>55</v>
      </c>
      <c r="Q5058" s="1">
        <v>25</v>
      </c>
      <c r="R5058" s="1">
        <v>0</v>
      </c>
      <c r="S5058" s="1">
        <v>25</v>
      </c>
      <c r="T5058" s="1">
        <v>0</v>
      </c>
      <c r="U5058" s="1">
        <v>0</v>
      </c>
      <c r="V5058" s="1" t="str">
        <f t="shared" si="964"/>
        <v>里程去程</v>
      </c>
      <c r="W5058" s="1" t="str">
        <f>"0820"</f>
        <v>0820</v>
      </c>
      <c r="X5058" s="1" t="s">
        <v>35</v>
      </c>
    </row>
    <row r="5059" spans="1:24" x14ac:dyDescent="0.3">
      <c r="A5059" s="1" t="str">
        <f t="shared" si="962"/>
        <v>59825</v>
      </c>
      <c r="B5059" s="1" t="s">
        <v>30</v>
      </c>
      <c r="C5059" s="1" t="s">
        <v>31</v>
      </c>
      <c r="D5059" s="1" t="str">
        <f t="shared" si="963"/>
        <v>9803</v>
      </c>
      <c r="E5059" s="1" t="s">
        <v>32</v>
      </c>
      <c r="F5059" s="1" t="str">
        <f>"637572065"</f>
        <v>637572065</v>
      </c>
      <c r="G5059" s="1" t="s">
        <v>33</v>
      </c>
      <c r="H5059" s="1" t="str">
        <f t="shared" si="961"/>
        <v>20220923</v>
      </c>
      <c r="I5059" s="1" t="str">
        <f>"133104"</f>
        <v>133104</v>
      </c>
      <c r="J5059" s="1" t="s">
        <v>28</v>
      </c>
      <c r="K5059" s="1" t="s">
        <v>28</v>
      </c>
      <c r="L5059" s="1" t="str">
        <f t="shared" si="965"/>
        <v>20220923</v>
      </c>
      <c r="M5059" s="1" t="str">
        <f>"134824"</f>
        <v>134824</v>
      </c>
      <c r="N5059" s="1" t="s">
        <v>34</v>
      </c>
      <c r="O5059" s="1" t="s">
        <v>34</v>
      </c>
      <c r="P5059" s="1" t="s">
        <v>55</v>
      </c>
      <c r="Q5059" s="1">
        <v>25</v>
      </c>
      <c r="R5059" s="1">
        <v>25</v>
      </c>
      <c r="S5059" s="1">
        <v>0</v>
      </c>
      <c r="T5059" s="1">
        <v>0</v>
      </c>
      <c r="U5059" s="1">
        <v>0</v>
      </c>
      <c r="V5059" s="1" t="str">
        <f t="shared" si="964"/>
        <v>里程去程</v>
      </c>
      <c r="W5059" s="1" t="str">
        <f>"0120"</f>
        <v>0120</v>
      </c>
      <c r="X5059" s="1" t="s">
        <v>35</v>
      </c>
    </row>
    <row r="5060" spans="1:24" x14ac:dyDescent="0.3">
      <c r="A5060" s="1" t="str">
        <f t="shared" si="962"/>
        <v>59825</v>
      </c>
      <c r="B5060" s="1" t="s">
        <v>30</v>
      </c>
      <c r="C5060" s="1" t="s">
        <v>31</v>
      </c>
      <c r="D5060" s="1" t="str">
        <f t="shared" si="963"/>
        <v>9803</v>
      </c>
      <c r="E5060" s="1" t="s">
        <v>32</v>
      </c>
      <c r="F5060" s="1" t="str">
        <f>"867669729"</f>
        <v>867669729</v>
      </c>
      <c r="G5060" s="1" t="s">
        <v>33</v>
      </c>
      <c r="H5060" s="1" t="str">
        <f t="shared" ref="H5060:H5093" si="966">"20220923"</f>
        <v>20220923</v>
      </c>
      <c r="I5060" s="1" t="str">
        <f>"133105"</f>
        <v>133105</v>
      </c>
      <c r="J5060" s="1" t="s">
        <v>28</v>
      </c>
      <c r="K5060" s="1" t="s">
        <v>28</v>
      </c>
      <c r="L5060" s="1" t="str">
        <f t="shared" si="965"/>
        <v>20220923</v>
      </c>
      <c r="M5060" s="1" t="str">
        <f>"134832"</f>
        <v>134832</v>
      </c>
      <c r="N5060" s="1" t="s">
        <v>34</v>
      </c>
      <c r="O5060" s="1" t="s">
        <v>34</v>
      </c>
      <c r="P5060" s="1" t="s">
        <v>55</v>
      </c>
      <c r="Q5060" s="1">
        <v>25</v>
      </c>
      <c r="R5060" s="1">
        <v>25</v>
      </c>
      <c r="S5060" s="1">
        <v>0</v>
      </c>
      <c r="T5060" s="1">
        <v>0</v>
      </c>
      <c r="U5060" s="1">
        <v>0</v>
      </c>
      <c r="V5060" s="1" t="str">
        <f t="shared" si="964"/>
        <v>里程去程</v>
      </c>
      <c r="W5060" s="1" t="str">
        <f>"0120"</f>
        <v>0120</v>
      </c>
      <c r="X5060" s="1" t="s">
        <v>35</v>
      </c>
    </row>
    <row r="5061" spans="1:24" x14ac:dyDescent="0.3">
      <c r="A5061" s="1" t="str">
        <f t="shared" si="962"/>
        <v>59825</v>
      </c>
      <c r="B5061" s="1" t="s">
        <v>30</v>
      </c>
      <c r="C5061" s="1" t="s">
        <v>31</v>
      </c>
      <c r="D5061" s="1" t="str">
        <f t="shared" si="963"/>
        <v>9803</v>
      </c>
      <c r="E5061" s="1" t="s">
        <v>32</v>
      </c>
      <c r="F5061" s="1" t="str">
        <f>"1485466913"</f>
        <v>1485466913</v>
      </c>
      <c r="G5061" s="1" t="s">
        <v>33</v>
      </c>
      <c r="H5061" s="1" t="str">
        <f t="shared" si="966"/>
        <v>20220923</v>
      </c>
      <c r="I5061" s="1" t="str">
        <f>"133108"</f>
        <v>133108</v>
      </c>
      <c r="J5061" s="1" t="s">
        <v>28</v>
      </c>
      <c r="K5061" s="1" t="s">
        <v>28</v>
      </c>
      <c r="L5061" s="1" t="str">
        <f t="shared" si="965"/>
        <v>20220923</v>
      </c>
      <c r="M5061" s="1" t="str">
        <f>"134837"</f>
        <v>134837</v>
      </c>
      <c r="N5061" s="1" t="s">
        <v>34</v>
      </c>
      <c r="O5061" s="1" t="s">
        <v>34</v>
      </c>
      <c r="P5061" s="1" t="s">
        <v>55</v>
      </c>
      <c r="Q5061" s="1">
        <v>25</v>
      </c>
      <c r="R5061" s="1">
        <v>25</v>
      </c>
      <c r="S5061" s="1">
        <v>0</v>
      </c>
      <c r="T5061" s="1">
        <v>0</v>
      </c>
      <c r="U5061" s="1">
        <v>0</v>
      </c>
      <c r="V5061" s="1" t="str">
        <f t="shared" si="964"/>
        <v>里程去程</v>
      </c>
      <c r="W5061" s="1" t="str">
        <f>"0b20"</f>
        <v>0b20</v>
      </c>
      <c r="X5061" s="1" t="s">
        <v>35</v>
      </c>
    </row>
    <row r="5062" spans="1:24" x14ac:dyDescent="0.3">
      <c r="A5062" s="1" t="str">
        <f t="shared" si="962"/>
        <v>59825</v>
      </c>
      <c r="B5062" s="1" t="s">
        <v>30</v>
      </c>
      <c r="C5062" s="1" t="s">
        <v>31</v>
      </c>
      <c r="D5062" s="1" t="str">
        <f>"9805"</f>
        <v>9805</v>
      </c>
      <c r="E5062" s="1" t="s">
        <v>57</v>
      </c>
      <c r="F5062" s="1" t="str">
        <f>"566252193"</f>
        <v>566252193</v>
      </c>
      <c r="G5062" s="1" t="s">
        <v>33</v>
      </c>
      <c r="H5062" s="1" t="str">
        <f t="shared" si="966"/>
        <v>20220923</v>
      </c>
      <c r="I5062" s="1" t="str">
        <f>"151934"</f>
        <v>151934</v>
      </c>
      <c r="J5062" s="1" t="s">
        <v>28</v>
      </c>
      <c r="K5062" s="1" t="s">
        <v>28</v>
      </c>
      <c r="L5062" s="1" t="str">
        <f t="shared" si="965"/>
        <v>20220923</v>
      </c>
      <c r="M5062" s="1" t="str">
        <f>"153005"</f>
        <v>153005</v>
      </c>
      <c r="N5062" s="1" t="s">
        <v>46</v>
      </c>
      <c r="O5062" s="1" t="s">
        <v>28</v>
      </c>
      <c r="P5062" s="1" t="s">
        <v>55</v>
      </c>
      <c r="Q5062" s="1">
        <v>25</v>
      </c>
      <c r="R5062" s="1">
        <v>25</v>
      </c>
      <c r="S5062" s="1">
        <v>0</v>
      </c>
      <c r="T5062" s="1">
        <v>0</v>
      </c>
      <c r="U5062" s="1">
        <v>0</v>
      </c>
      <c r="V5062" s="1" t="str">
        <f t="shared" si="964"/>
        <v>里程去程</v>
      </c>
      <c r="W5062" s="1" t="str">
        <f>"0220"</f>
        <v>0220</v>
      </c>
      <c r="X5062" s="1" t="s">
        <v>35</v>
      </c>
    </row>
    <row r="5063" spans="1:24" x14ac:dyDescent="0.3">
      <c r="A5063" s="1" t="str">
        <f t="shared" si="962"/>
        <v>59825</v>
      </c>
      <c r="B5063" s="1" t="s">
        <v>30</v>
      </c>
      <c r="C5063" s="1" t="s">
        <v>31</v>
      </c>
      <c r="D5063" s="1" t="str">
        <f>"9805"</f>
        <v>9805</v>
      </c>
      <c r="E5063" s="1" t="s">
        <v>57</v>
      </c>
      <c r="F5063" s="1" t="str">
        <f>"588130049"</f>
        <v>588130049</v>
      </c>
      <c r="G5063" s="1" t="s">
        <v>33</v>
      </c>
      <c r="H5063" s="1" t="str">
        <f t="shared" si="966"/>
        <v>20220923</v>
      </c>
      <c r="I5063" s="1" t="str">
        <f>"151944"</f>
        <v>151944</v>
      </c>
      <c r="J5063" s="1" t="s">
        <v>28</v>
      </c>
      <c r="K5063" s="1" t="s">
        <v>28</v>
      </c>
      <c r="L5063" s="1" t="str">
        <f t="shared" si="965"/>
        <v>20220923</v>
      </c>
      <c r="M5063" s="1" t="str">
        <f>"153009"</f>
        <v>153009</v>
      </c>
      <c r="N5063" s="1" t="s">
        <v>46</v>
      </c>
      <c r="O5063" s="1" t="s">
        <v>28</v>
      </c>
      <c r="P5063" s="1" t="s">
        <v>55</v>
      </c>
      <c r="Q5063" s="1">
        <v>25</v>
      </c>
      <c r="R5063" s="1">
        <v>25</v>
      </c>
      <c r="S5063" s="1">
        <v>0</v>
      </c>
      <c r="T5063" s="1">
        <v>0</v>
      </c>
      <c r="U5063" s="1">
        <v>0</v>
      </c>
      <c r="V5063" s="1" t="str">
        <f t="shared" si="964"/>
        <v>里程去程</v>
      </c>
      <c r="W5063" s="1" t="str">
        <f>"0120"</f>
        <v>0120</v>
      </c>
      <c r="X5063" s="1" t="s">
        <v>35</v>
      </c>
    </row>
    <row r="5064" spans="1:24" x14ac:dyDescent="0.3">
      <c r="A5064" s="1" t="str">
        <f t="shared" si="962"/>
        <v>59825</v>
      </c>
      <c r="B5064" s="1" t="s">
        <v>30</v>
      </c>
      <c r="C5064" s="1" t="s">
        <v>31</v>
      </c>
      <c r="D5064" s="1" t="str">
        <f>"9803"</f>
        <v>9803</v>
      </c>
      <c r="E5064" s="1" t="s">
        <v>32</v>
      </c>
      <c r="F5064" s="1" t="str">
        <f>"2161A74FA82804001C00000000000000"</f>
        <v>2161A74FA82804001C00000000000000</v>
      </c>
      <c r="G5064" s="1" t="s">
        <v>58</v>
      </c>
      <c r="H5064" s="1" t="str">
        <f t="shared" si="966"/>
        <v>20220923</v>
      </c>
      <c r="I5064" s="1" t="str">
        <f>"160010"</f>
        <v>160010</v>
      </c>
      <c r="J5064" s="1" t="s">
        <v>28</v>
      </c>
      <c r="K5064" s="1" t="s">
        <v>28</v>
      </c>
      <c r="L5064" s="1" t="str">
        <f t="shared" si="965"/>
        <v>20220923</v>
      </c>
      <c r="M5064" s="1" t="str">
        <f>"160613"</f>
        <v>160613</v>
      </c>
      <c r="N5064" s="1" t="s">
        <v>70</v>
      </c>
      <c r="O5064" s="1" t="s">
        <v>28</v>
      </c>
      <c r="P5064" s="1" t="s">
        <v>55</v>
      </c>
      <c r="Q5064" s="1">
        <v>25</v>
      </c>
      <c r="R5064" s="1">
        <v>0</v>
      </c>
      <c r="S5064" s="1">
        <v>25</v>
      </c>
      <c r="T5064" s="1">
        <v>0</v>
      </c>
      <c r="U5064" s="1">
        <v>0</v>
      </c>
      <c r="V5064" s="1" t="str">
        <f t="shared" si="964"/>
        <v>里程去程</v>
      </c>
      <c r="W5064" s="1" t="str">
        <f>"0620"</f>
        <v>0620</v>
      </c>
      <c r="X5064" s="1" t="s">
        <v>29</v>
      </c>
    </row>
    <row r="5065" spans="1:24" x14ac:dyDescent="0.3">
      <c r="A5065" s="1" t="str">
        <f t="shared" si="962"/>
        <v>59825</v>
      </c>
      <c r="B5065" s="1" t="s">
        <v>30</v>
      </c>
      <c r="C5065" s="1" t="s">
        <v>31</v>
      </c>
      <c r="D5065" s="1" t="str">
        <f>"9806"</f>
        <v>9806</v>
      </c>
      <c r="E5065" s="1" t="s">
        <v>49</v>
      </c>
      <c r="F5065" s="1" t="str">
        <f>"1129190405"</f>
        <v>1129190405</v>
      </c>
      <c r="G5065" s="1" t="s">
        <v>33</v>
      </c>
      <c r="H5065" s="1" t="str">
        <f t="shared" si="966"/>
        <v>20220923</v>
      </c>
      <c r="I5065" s="1" t="str">
        <f>"170847"</f>
        <v>170847</v>
      </c>
      <c r="J5065" s="1" t="s">
        <v>101</v>
      </c>
      <c r="K5065" s="1" t="s">
        <v>28</v>
      </c>
      <c r="L5065" s="1" t="str">
        <f t="shared" si="965"/>
        <v>20220923</v>
      </c>
      <c r="M5065" s="1" t="str">
        <f>"172357"</f>
        <v>172357</v>
      </c>
      <c r="N5065" s="1" t="s">
        <v>50</v>
      </c>
      <c r="O5065" s="1" t="s">
        <v>50</v>
      </c>
      <c r="P5065" s="1" t="s">
        <v>55</v>
      </c>
      <c r="Q5065" s="1">
        <v>25</v>
      </c>
      <c r="R5065" s="1">
        <v>25</v>
      </c>
      <c r="S5065" s="1">
        <v>0</v>
      </c>
      <c r="T5065" s="1">
        <v>0</v>
      </c>
      <c r="U5065" s="1">
        <v>0</v>
      </c>
      <c r="V5065" s="1" t="str">
        <f>"里程返程"</f>
        <v>里程返程</v>
      </c>
      <c r="W5065" s="1" t="str">
        <f>"2020"</f>
        <v>2020</v>
      </c>
      <c r="X5065" s="1" t="s">
        <v>35</v>
      </c>
    </row>
    <row r="5066" spans="1:24" x14ac:dyDescent="0.3">
      <c r="A5066" s="1" t="str">
        <f t="shared" si="962"/>
        <v>59825</v>
      </c>
      <c r="B5066" s="1" t="s">
        <v>30</v>
      </c>
      <c r="C5066" s="1" t="s">
        <v>31</v>
      </c>
      <c r="D5066" s="1" t="str">
        <f>"9806"</f>
        <v>9806</v>
      </c>
      <c r="E5066" s="1" t="s">
        <v>49</v>
      </c>
      <c r="F5066" s="1" t="str">
        <f>"02A2F00959880400C810002000000016"</f>
        <v>02A2F00959880400C810002000000016</v>
      </c>
      <c r="G5066" s="1" t="s">
        <v>59</v>
      </c>
      <c r="H5066" s="1" t="str">
        <f t="shared" si="966"/>
        <v>20220923</v>
      </c>
      <c r="I5066" s="1" t="str">
        <f>"172902"</f>
        <v>172902</v>
      </c>
      <c r="J5066" s="1" t="s">
        <v>76</v>
      </c>
      <c r="K5066" s="1" t="s">
        <v>28</v>
      </c>
      <c r="L5066" s="1" t="str">
        <f t="shared" si="965"/>
        <v>20220923</v>
      </c>
      <c r="M5066" s="1" t="str">
        <f>"174338"</f>
        <v>174338</v>
      </c>
      <c r="N5066" s="1" t="s">
        <v>28</v>
      </c>
      <c r="O5066" s="1" t="s">
        <v>28</v>
      </c>
      <c r="P5066" s="1" t="s">
        <v>55</v>
      </c>
      <c r="Q5066" s="1">
        <v>25</v>
      </c>
      <c r="R5066" s="1">
        <v>25</v>
      </c>
      <c r="S5066" s="1">
        <v>0</v>
      </c>
      <c r="T5066" s="1">
        <v>0</v>
      </c>
      <c r="U5066" s="1">
        <v>0</v>
      </c>
      <c r="V5066" s="1" t="str">
        <f>"里程去程"</f>
        <v>里程去程</v>
      </c>
      <c r="W5066" s="1" t="str">
        <f t="shared" ref="W5066:W5075" si="967">"0020"</f>
        <v>0020</v>
      </c>
      <c r="X5066" s="1" t="s">
        <v>29</v>
      </c>
    </row>
    <row r="5067" spans="1:24" x14ac:dyDescent="0.3">
      <c r="A5067" s="1" t="str">
        <f t="shared" ref="A5067:A5093" si="968">"59829"</f>
        <v>59829</v>
      </c>
      <c r="B5067" s="1" t="s">
        <v>47</v>
      </c>
      <c r="C5067" s="1" t="s">
        <v>48</v>
      </c>
      <c r="D5067" s="1" t="str">
        <f t="shared" ref="D5067:D5080" si="969">"9801"</f>
        <v>9801</v>
      </c>
      <c r="E5067" s="1" t="s">
        <v>25</v>
      </c>
      <c r="F5067" s="1" t="str">
        <f>"C596BF09E5180200D200000C22400417"</f>
        <v>C596BF09E5180200D200000C22400417</v>
      </c>
      <c r="G5067" s="1" t="s">
        <v>58</v>
      </c>
      <c r="H5067" s="1" t="str">
        <f t="shared" si="966"/>
        <v>20220923</v>
      </c>
      <c r="I5067" s="1" t="str">
        <f>"083228"</f>
        <v>083228</v>
      </c>
      <c r="J5067" s="1" t="s">
        <v>44</v>
      </c>
      <c r="K5067" s="1" t="s">
        <v>45</v>
      </c>
      <c r="L5067" s="1" t="str">
        <f t="shared" si="965"/>
        <v>20220923</v>
      </c>
      <c r="M5067" s="1" t="str">
        <f>"085052"</f>
        <v>085052</v>
      </c>
      <c r="N5067" s="1" t="s">
        <v>28</v>
      </c>
      <c r="O5067" s="1" t="s">
        <v>28</v>
      </c>
      <c r="P5067" s="1" t="s">
        <v>55</v>
      </c>
      <c r="Q5067" s="1">
        <v>25</v>
      </c>
      <c r="R5067" s="1">
        <v>25</v>
      </c>
      <c r="S5067" s="1">
        <v>0</v>
      </c>
      <c r="T5067" s="1">
        <v>0</v>
      </c>
      <c r="U5067" s="1">
        <v>0</v>
      </c>
      <c r="V5067" s="1" t="str">
        <f t="shared" ref="V5067:V5080" si="970">"里程返程"</f>
        <v>里程返程</v>
      </c>
      <c r="W5067" s="1" t="str">
        <f t="shared" si="967"/>
        <v>0020</v>
      </c>
      <c r="X5067" s="1" t="s">
        <v>29</v>
      </c>
    </row>
    <row r="5068" spans="1:24" x14ac:dyDescent="0.3">
      <c r="A5068" s="1" t="str">
        <f t="shared" si="968"/>
        <v>59829</v>
      </c>
      <c r="B5068" s="1" t="s">
        <v>47</v>
      </c>
      <c r="C5068" s="1" t="s">
        <v>48</v>
      </c>
      <c r="D5068" s="1" t="str">
        <f t="shared" si="969"/>
        <v>9801</v>
      </c>
      <c r="E5068" s="1" t="s">
        <v>25</v>
      </c>
      <c r="F5068" s="1" t="str">
        <f>"F29BD102BA880400C834002000000015"</f>
        <v>F29BD102BA880400C834002000000015</v>
      </c>
      <c r="G5068" s="1" t="s">
        <v>26</v>
      </c>
      <c r="H5068" s="1" t="str">
        <f t="shared" si="966"/>
        <v>20220923</v>
      </c>
      <c r="I5068" s="1" t="str">
        <f>"083229"</f>
        <v>083229</v>
      </c>
      <c r="J5068" s="1" t="s">
        <v>44</v>
      </c>
      <c r="K5068" s="1" t="s">
        <v>45</v>
      </c>
      <c r="L5068" s="1" t="str">
        <f t="shared" si="965"/>
        <v>20220923</v>
      </c>
      <c r="M5068" s="1" t="str">
        <f>"085038"</f>
        <v>085038</v>
      </c>
      <c r="N5068" s="1" t="s">
        <v>28</v>
      </c>
      <c r="O5068" s="1" t="s">
        <v>28</v>
      </c>
      <c r="P5068" s="1" t="s">
        <v>68</v>
      </c>
      <c r="Q5068" s="1">
        <v>13</v>
      </c>
      <c r="R5068" s="1">
        <v>0</v>
      </c>
      <c r="S5068" s="1">
        <v>0</v>
      </c>
      <c r="T5068" s="1">
        <v>13</v>
      </c>
      <c r="U5068" s="1">
        <v>0</v>
      </c>
      <c r="V5068" s="1" t="str">
        <f t="shared" si="970"/>
        <v>里程返程</v>
      </c>
      <c r="W5068" s="1" t="str">
        <f t="shared" si="967"/>
        <v>0020</v>
      </c>
      <c r="X5068" s="1" t="s">
        <v>29</v>
      </c>
    </row>
    <row r="5069" spans="1:24" x14ac:dyDescent="0.3">
      <c r="A5069" s="1" t="str">
        <f t="shared" si="968"/>
        <v>59829</v>
      </c>
      <c r="B5069" s="1" t="s">
        <v>47</v>
      </c>
      <c r="C5069" s="1" t="s">
        <v>48</v>
      </c>
      <c r="D5069" s="1" t="str">
        <f t="shared" si="969"/>
        <v>9801</v>
      </c>
      <c r="E5069" s="1" t="s">
        <v>25</v>
      </c>
      <c r="F5069" s="1" t="str">
        <f>"F2F7D002D7880400C834002000000015"</f>
        <v>F2F7D002D7880400C834002000000015</v>
      </c>
      <c r="G5069" s="1" t="s">
        <v>74</v>
      </c>
      <c r="H5069" s="1" t="str">
        <f t="shared" si="966"/>
        <v>20220923</v>
      </c>
      <c r="I5069" s="1" t="str">
        <f>"091844"</f>
        <v>091844</v>
      </c>
      <c r="J5069" s="1" t="s">
        <v>60</v>
      </c>
      <c r="K5069" s="1" t="s">
        <v>52</v>
      </c>
      <c r="L5069" s="1" t="str">
        <f t="shared" si="965"/>
        <v>20220923</v>
      </c>
      <c r="M5069" s="1" t="str">
        <f>"092117"</f>
        <v>092117</v>
      </c>
      <c r="N5069" s="1" t="s">
        <v>86</v>
      </c>
      <c r="O5069" s="1" t="s">
        <v>52</v>
      </c>
      <c r="P5069" s="1" t="s">
        <v>68</v>
      </c>
      <c r="Q5069" s="1">
        <v>13</v>
      </c>
      <c r="R5069" s="1">
        <v>0</v>
      </c>
      <c r="S5069" s="1">
        <v>0</v>
      </c>
      <c r="T5069" s="1">
        <v>13</v>
      </c>
      <c r="U5069" s="1">
        <v>0</v>
      </c>
      <c r="V5069" s="1" t="str">
        <f t="shared" si="970"/>
        <v>里程返程</v>
      </c>
      <c r="W5069" s="1" t="str">
        <f t="shared" si="967"/>
        <v>0020</v>
      </c>
      <c r="X5069" s="1" t="s">
        <v>29</v>
      </c>
    </row>
    <row r="5070" spans="1:24" x14ac:dyDescent="0.3">
      <c r="A5070" s="1" t="str">
        <f t="shared" si="968"/>
        <v>59829</v>
      </c>
      <c r="B5070" s="1" t="s">
        <v>47</v>
      </c>
      <c r="C5070" s="1" t="s">
        <v>48</v>
      </c>
      <c r="D5070" s="1" t="str">
        <f t="shared" si="969"/>
        <v>9801</v>
      </c>
      <c r="E5070" s="1" t="s">
        <v>25</v>
      </c>
      <c r="F5070" s="1" t="str">
        <f>"F2F7D002D7880400C834002000000015"</f>
        <v>F2F7D002D7880400C834002000000015</v>
      </c>
      <c r="G5070" s="1" t="s">
        <v>74</v>
      </c>
      <c r="H5070" s="1" t="str">
        <f t="shared" si="966"/>
        <v>20220923</v>
      </c>
      <c r="I5070" s="1" t="str">
        <f>"092433"</f>
        <v>092433</v>
      </c>
      <c r="J5070" s="1" t="s">
        <v>44</v>
      </c>
      <c r="K5070" s="1" t="s">
        <v>45</v>
      </c>
      <c r="L5070" s="1" t="str">
        <f t="shared" si="965"/>
        <v>20220923</v>
      </c>
      <c r="M5070" s="1" t="str">
        <f>"100438"</f>
        <v>100438</v>
      </c>
      <c r="N5070" s="1" t="s">
        <v>83</v>
      </c>
      <c r="O5070" s="1" t="s">
        <v>52</v>
      </c>
      <c r="P5070" s="1" t="s">
        <v>68</v>
      </c>
      <c r="Q5070" s="1">
        <v>25</v>
      </c>
      <c r="R5070" s="1">
        <v>0</v>
      </c>
      <c r="S5070" s="1">
        <v>0</v>
      </c>
      <c r="T5070" s="1">
        <v>25</v>
      </c>
      <c r="U5070" s="1">
        <v>0</v>
      </c>
      <c r="V5070" s="1" t="str">
        <f t="shared" si="970"/>
        <v>里程返程</v>
      </c>
      <c r="W5070" s="1" t="str">
        <f t="shared" si="967"/>
        <v>0020</v>
      </c>
      <c r="X5070" s="1" t="s">
        <v>29</v>
      </c>
    </row>
    <row r="5071" spans="1:24" x14ac:dyDescent="0.3">
      <c r="A5071" s="1" t="str">
        <f t="shared" si="968"/>
        <v>59829</v>
      </c>
      <c r="B5071" s="1" t="s">
        <v>47</v>
      </c>
      <c r="C5071" s="1" t="s">
        <v>48</v>
      </c>
      <c r="D5071" s="1" t="str">
        <f t="shared" si="969"/>
        <v>9801</v>
      </c>
      <c r="E5071" s="1" t="s">
        <v>25</v>
      </c>
      <c r="F5071" s="1" t="str">
        <f>"071E5DF3B78804004326A03B000D0211"</f>
        <v>071E5DF3B78804004326A03B000D0211</v>
      </c>
      <c r="G5071" s="1" t="s">
        <v>64</v>
      </c>
      <c r="H5071" s="1" t="str">
        <f t="shared" si="966"/>
        <v>20220923</v>
      </c>
      <c r="I5071" s="1" t="str">
        <f>"095100"</f>
        <v>095100</v>
      </c>
      <c r="J5071" s="1" t="s">
        <v>28</v>
      </c>
      <c r="K5071" s="1" t="s">
        <v>28</v>
      </c>
      <c r="L5071" s="1" t="str">
        <f t="shared" si="965"/>
        <v>20220923</v>
      </c>
      <c r="M5071" s="1" t="str">
        <f>"101907"</f>
        <v>101907</v>
      </c>
      <c r="N5071" s="1" t="s">
        <v>65</v>
      </c>
      <c r="O5071" s="1" t="s">
        <v>52</v>
      </c>
      <c r="P5071" s="1" t="s">
        <v>55</v>
      </c>
      <c r="Q5071" s="1">
        <v>13</v>
      </c>
      <c r="R5071" s="1">
        <v>13</v>
      </c>
      <c r="S5071" s="1">
        <v>0</v>
      </c>
      <c r="T5071" s="1">
        <v>0</v>
      </c>
      <c r="U5071" s="1">
        <v>0</v>
      </c>
      <c r="V5071" s="1" t="str">
        <f t="shared" si="970"/>
        <v>里程返程</v>
      </c>
      <c r="W5071" s="1" t="str">
        <f t="shared" si="967"/>
        <v>0020</v>
      </c>
      <c r="X5071" s="1" t="s">
        <v>29</v>
      </c>
    </row>
    <row r="5072" spans="1:24" x14ac:dyDescent="0.3">
      <c r="A5072" s="1" t="str">
        <f t="shared" si="968"/>
        <v>59829</v>
      </c>
      <c r="B5072" s="1" t="s">
        <v>47</v>
      </c>
      <c r="C5072" s="1" t="s">
        <v>48</v>
      </c>
      <c r="D5072" s="1" t="str">
        <f t="shared" si="969"/>
        <v>9801</v>
      </c>
      <c r="E5072" s="1" t="s">
        <v>25</v>
      </c>
      <c r="F5072" s="1" t="str">
        <f>"719F3701D8880400432494C60018080E"</f>
        <v>719F3701D8880400432494C60018080E</v>
      </c>
      <c r="G5072" s="1" t="s">
        <v>64</v>
      </c>
      <c r="H5072" s="1" t="str">
        <f t="shared" si="966"/>
        <v>20220923</v>
      </c>
      <c r="I5072" s="1" t="str">
        <f>"095105"</f>
        <v>095105</v>
      </c>
      <c r="J5072" s="1" t="s">
        <v>28</v>
      </c>
      <c r="K5072" s="1" t="s">
        <v>28</v>
      </c>
      <c r="L5072" s="1" t="str">
        <f t="shared" si="965"/>
        <v>20220923</v>
      </c>
      <c r="M5072" s="1" t="str">
        <f>"101904"</f>
        <v>101904</v>
      </c>
      <c r="N5072" s="1" t="s">
        <v>65</v>
      </c>
      <c r="O5072" s="1" t="s">
        <v>52</v>
      </c>
      <c r="P5072" s="1" t="s">
        <v>55</v>
      </c>
      <c r="Q5072" s="1">
        <v>13</v>
      </c>
      <c r="R5072" s="1">
        <v>13</v>
      </c>
      <c r="S5072" s="1">
        <v>0</v>
      </c>
      <c r="T5072" s="1">
        <v>0</v>
      </c>
      <c r="U5072" s="1">
        <v>0</v>
      </c>
      <c r="V5072" s="1" t="str">
        <f t="shared" si="970"/>
        <v>里程返程</v>
      </c>
      <c r="W5072" s="1" t="str">
        <f t="shared" si="967"/>
        <v>0020</v>
      </c>
      <c r="X5072" s="1" t="s">
        <v>29</v>
      </c>
    </row>
    <row r="5073" spans="1:24" x14ac:dyDescent="0.3">
      <c r="A5073" s="1" t="str">
        <f t="shared" si="968"/>
        <v>59829</v>
      </c>
      <c r="B5073" s="1" t="s">
        <v>47</v>
      </c>
      <c r="C5073" s="1" t="s">
        <v>48</v>
      </c>
      <c r="D5073" s="1" t="str">
        <f t="shared" si="969"/>
        <v>9801</v>
      </c>
      <c r="E5073" s="1" t="s">
        <v>25</v>
      </c>
      <c r="F5073" s="1" t="str">
        <f>"F263E60275880400C834002000000015"</f>
        <v>F263E60275880400C834002000000015</v>
      </c>
      <c r="G5073" s="1" t="s">
        <v>74</v>
      </c>
      <c r="H5073" s="1" t="str">
        <f t="shared" si="966"/>
        <v>20220923</v>
      </c>
      <c r="I5073" s="1" t="str">
        <f>"102923"</f>
        <v>102923</v>
      </c>
      <c r="J5073" s="1" t="s">
        <v>44</v>
      </c>
      <c r="K5073" s="1" t="s">
        <v>45</v>
      </c>
      <c r="L5073" s="1" t="str">
        <f t="shared" si="965"/>
        <v>20220923</v>
      </c>
      <c r="M5073" s="1" t="str">
        <f>"110334"</f>
        <v>110334</v>
      </c>
      <c r="N5073" s="1" t="s">
        <v>67</v>
      </c>
      <c r="O5073" s="1" t="s">
        <v>52</v>
      </c>
      <c r="P5073" s="1" t="s">
        <v>68</v>
      </c>
      <c r="Q5073" s="1">
        <v>25</v>
      </c>
      <c r="R5073" s="1">
        <v>0</v>
      </c>
      <c r="S5073" s="1">
        <v>0</v>
      </c>
      <c r="T5073" s="1">
        <v>25</v>
      </c>
      <c r="U5073" s="1">
        <v>0</v>
      </c>
      <c r="V5073" s="1" t="str">
        <f t="shared" si="970"/>
        <v>里程返程</v>
      </c>
      <c r="W5073" s="1" t="str">
        <f t="shared" si="967"/>
        <v>0020</v>
      </c>
      <c r="X5073" s="1" t="s">
        <v>29</v>
      </c>
    </row>
    <row r="5074" spans="1:24" x14ac:dyDescent="0.3">
      <c r="A5074" s="1" t="str">
        <f t="shared" si="968"/>
        <v>59829</v>
      </c>
      <c r="B5074" s="1" t="s">
        <v>47</v>
      </c>
      <c r="C5074" s="1" t="s">
        <v>48</v>
      </c>
      <c r="D5074" s="1" t="str">
        <f t="shared" si="969"/>
        <v>9801</v>
      </c>
      <c r="E5074" s="1" t="s">
        <v>25</v>
      </c>
      <c r="F5074" s="1" t="str">
        <f>"F25B1B03B1880400C834002000000015"</f>
        <v>F25B1B03B1880400C834002000000015</v>
      </c>
      <c r="G5074" s="1" t="s">
        <v>26</v>
      </c>
      <c r="H5074" s="1" t="str">
        <f t="shared" si="966"/>
        <v>20220923</v>
      </c>
      <c r="I5074" s="1" t="str">
        <f>"105107"</f>
        <v>105107</v>
      </c>
      <c r="J5074" s="1" t="s">
        <v>28</v>
      </c>
      <c r="K5074" s="1" t="s">
        <v>28</v>
      </c>
      <c r="L5074" s="1" t="str">
        <f t="shared" si="965"/>
        <v>20220923</v>
      </c>
      <c r="M5074" s="1" t="str">
        <f>"112040"</f>
        <v>112040</v>
      </c>
      <c r="N5074" s="1" t="s">
        <v>60</v>
      </c>
      <c r="O5074" s="1" t="s">
        <v>52</v>
      </c>
      <c r="P5074" s="1" t="s">
        <v>68</v>
      </c>
      <c r="Q5074" s="1">
        <v>13</v>
      </c>
      <c r="R5074" s="1">
        <v>0</v>
      </c>
      <c r="S5074" s="1">
        <v>0</v>
      </c>
      <c r="T5074" s="1">
        <v>13</v>
      </c>
      <c r="U5074" s="1">
        <v>0</v>
      </c>
      <c r="V5074" s="1" t="str">
        <f t="shared" si="970"/>
        <v>里程返程</v>
      </c>
      <c r="W5074" s="1" t="str">
        <f t="shared" si="967"/>
        <v>0020</v>
      </c>
      <c r="X5074" s="1" t="s">
        <v>29</v>
      </c>
    </row>
    <row r="5075" spans="1:24" x14ac:dyDescent="0.3">
      <c r="A5075" s="1" t="str">
        <f t="shared" si="968"/>
        <v>59829</v>
      </c>
      <c r="B5075" s="1" t="s">
        <v>47</v>
      </c>
      <c r="C5075" s="1" t="s">
        <v>48</v>
      </c>
      <c r="D5075" s="1" t="str">
        <f t="shared" si="969"/>
        <v>9801</v>
      </c>
      <c r="E5075" s="1" t="s">
        <v>25</v>
      </c>
      <c r="F5075" s="1" t="str">
        <f>"C2081C03D5880400C834002000000015"</f>
        <v>C2081C03D5880400C834002000000015</v>
      </c>
      <c r="G5075" s="1" t="s">
        <v>26</v>
      </c>
      <c r="H5075" s="1" t="str">
        <f t="shared" si="966"/>
        <v>20220923</v>
      </c>
      <c r="I5075" s="1" t="str">
        <f>"112054"</f>
        <v>112054</v>
      </c>
      <c r="J5075" s="1" t="s">
        <v>60</v>
      </c>
      <c r="K5075" s="1" t="s">
        <v>52</v>
      </c>
      <c r="L5075" s="1" t="str">
        <f t="shared" si="965"/>
        <v>20220923</v>
      </c>
      <c r="M5075" s="1" t="str">
        <f>"112543"</f>
        <v>112543</v>
      </c>
      <c r="N5075" s="1" t="s">
        <v>52</v>
      </c>
      <c r="O5075" s="1" t="s">
        <v>52</v>
      </c>
      <c r="P5075" s="1" t="s">
        <v>68</v>
      </c>
      <c r="Q5075" s="1">
        <v>13</v>
      </c>
      <c r="R5075" s="1">
        <v>0</v>
      </c>
      <c r="S5075" s="1">
        <v>0</v>
      </c>
      <c r="T5075" s="1">
        <v>13</v>
      </c>
      <c r="U5075" s="1">
        <v>0</v>
      </c>
      <c r="V5075" s="1" t="str">
        <f t="shared" si="970"/>
        <v>里程返程</v>
      </c>
      <c r="W5075" s="1" t="str">
        <f t="shared" si="967"/>
        <v>0020</v>
      </c>
      <c r="X5075" s="1" t="s">
        <v>29</v>
      </c>
    </row>
    <row r="5076" spans="1:24" x14ac:dyDescent="0.3">
      <c r="A5076" s="1" t="str">
        <f t="shared" si="968"/>
        <v>59829</v>
      </c>
      <c r="B5076" s="1" t="s">
        <v>47</v>
      </c>
      <c r="C5076" s="1" t="s">
        <v>48</v>
      </c>
      <c r="D5076" s="1" t="str">
        <f t="shared" si="969"/>
        <v>9801</v>
      </c>
      <c r="E5076" s="1" t="s">
        <v>25</v>
      </c>
      <c r="F5076" s="1" t="str">
        <f>"595029601"</f>
        <v>595029601</v>
      </c>
      <c r="G5076" s="1" t="s">
        <v>33</v>
      </c>
      <c r="H5076" s="1" t="str">
        <f t="shared" si="966"/>
        <v>20220923</v>
      </c>
      <c r="I5076" s="1" t="str">
        <f>"113557"</f>
        <v>113557</v>
      </c>
      <c r="J5076" s="1" t="s">
        <v>100</v>
      </c>
      <c r="K5076" s="1" t="s">
        <v>45</v>
      </c>
      <c r="L5076" s="1" t="str">
        <f t="shared" si="965"/>
        <v>20220923</v>
      </c>
      <c r="M5076" s="1" t="str">
        <f>"115339"</f>
        <v>115339</v>
      </c>
      <c r="N5076" s="1" t="s">
        <v>28</v>
      </c>
      <c r="O5076" s="1" t="s">
        <v>28</v>
      </c>
      <c r="P5076" s="1" t="s">
        <v>55</v>
      </c>
      <c r="Q5076" s="1">
        <v>25</v>
      </c>
      <c r="R5076" s="1">
        <v>25</v>
      </c>
      <c r="S5076" s="1">
        <v>0</v>
      </c>
      <c r="T5076" s="1">
        <v>0</v>
      </c>
      <c r="U5076" s="1">
        <v>0</v>
      </c>
      <c r="V5076" s="1" t="str">
        <f t="shared" si="970"/>
        <v>里程返程</v>
      </c>
      <c r="W5076" s="1" t="str">
        <f>"2020"</f>
        <v>2020</v>
      </c>
      <c r="X5076" s="1" t="s">
        <v>35</v>
      </c>
    </row>
    <row r="5077" spans="1:24" x14ac:dyDescent="0.3">
      <c r="A5077" s="1" t="str">
        <f t="shared" si="968"/>
        <v>59829</v>
      </c>
      <c r="B5077" s="1" t="s">
        <v>47</v>
      </c>
      <c r="C5077" s="1" t="s">
        <v>48</v>
      </c>
      <c r="D5077" s="1" t="str">
        <f t="shared" si="969"/>
        <v>9801</v>
      </c>
      <c r="E5077" s="1" t="s">
        <v>25</v>
      </c>
      <c r="F5077" s="1" t="str">
        <f>"185173009"</f>
        <v>185173009</v>
      </c>
      <c r="G5077" s="1" t="s">
        <v>26</v>
      </c>
      <c r="H5077" s="1" t="str">
        <f t="shared" si="966"/>
        <v>20220923</v>
      </c>
      <c r="I5077" s="1" t="str">
        <f>"113558"</f>
        <v>113558</v>
      </c>
      <c r="J5077" s="1" t="s">
        <v>100</v>
      </c>
      <c r="K5077" s="1" t="s">
        <v>45</v>
      </c>
      <c r="L5077" s="1" t="str">
        <f t="shared" si="965"/>
        <v>20220923</v>
      </c>
      <c r="M5077" s="1" t="str">
        <f>"115334"</f>
        <v>115334</v>
      </c>
      <c r="N5077" s="1" t="s">
        <v>28</v>
      </c>
      <c r="O5077" s="1" t="s">
        <v>28</v>
      </c>
      <c r="P5077" s="1" t="s">
        <v>55</v>
      </c>
      <c r="Q5077" s="1">
        <v>13</v>
      </c>
      <c r="R5077" s="1">
        <v>13</v>
      </c>
      <c r="S5077" s="1">
        <v>0</v>
      </c>
      <c r="T5077" s="1">
        <v>0</v>
      </c>
      <c r="U5077" s="1">
        <v>0</v>
      </c>
      <c r="V5077" s="1" t="str">
        <f t="shared" si="970"/>
        <v>里程返程</v>
      </c>
      <c r="W5077" s="1" t="str">
        <f>"2120"</f>
        <v>2120</v>
      </c>
      <c r="X5077" s="1" t="s">
        <v>35</v>
      </c>
    </row>
    <row r="5078" spans="1:24" x14ac:dyDescent="0.3">
      <c r="A5078" s="1" t="str">
        <f t="shared" si="968"/>
        <v>59829</v>
      </c>
      <c r="B5078" s="1" t="s">
        <v>47</v>
      </c>
      <c r="C5078" s="1" t="s">
        <v>48</v>
      </c>
      <c r="D5078" s="1" t="str">
        <f t="shared" si="969"/>
        <v>9801</v>
      </c>
      <c r="E5078" s="1" t="s">
        <v>25</v>
      </c>
      <c r="F5078" s="1" t="str">
        <f>"4250229356"</f>
        <v>4250229356</v>
      </c>
      <c r="G5078" s="1" t="s">
        <v>33</v>
      </c>
      <c r="H5078" s="1" t="str">
        <f t="shared" si="966"/>
        <v>20220923</v>
      </c>
      <c r="I5078" s="1" t="str">
        <f>"115356"</f>
        <v>115356</v>
      </c>
      <c r="J5078" s="1" t="s">
        <v>28</v>
      </c>
      <c r="K5078" s="1" t="s">
        <v>28</v>
      </c>
      <c r="L5078" s="1" t="str">
        <f t="shared" si="965"/>
        <v>20220923</v>
      </c>
      <c r="M5078" s="1" t="str">
        <f>"120742"</f>
        <v>120742</v>
      </c>
      <c r="N5078" s="1" t="s">
        <v>69</v>
      </c>
      <c r="O5078" s="1" t="s">
        <v>52</v>
      </c>
      <c r="P5078" s="1" t="s">
        <v>55</v>
      </c>
      <c r="Q5078" s="1">
        <v>25</v>
      </c>
      <c r="R5078" s="1">
        <v>0</v>
      </c>
      <c r="S5078" s="1">
        <v>25</v>
      </c>
      <c r="T5078" s="1">
        <v>0</v>
      </c>
      <c r="U5078" s="1">
        <v>0</v>
      </c>
      <c r="V5078" s="1" t="str">
        <f t="shared" si="970"/>
        <v>里程返程</v>
      </c>
      <c r="W5078" s="1" t="str">
        <f>"0820"</f>
        <v>0820</v>
      </c>
      <c r="X5078" s="1" t="s">
        <v>35</v>
      </c>
    </row>
    <row r="5079" spans="1:24" x14ac:dyDescent="0.3">
      <c r="A5079" s="1" t="str">
        <f t="shared" si="968"/>
        <v>59829</v>
      </c>
      <c r="B5079" s="1" t="s">
        <v>47</v>
      </c>
      <c r="C5079" s="1" t="s">
        <v>48</v>
      </c>
      <c r="D5079" s="1" t="str">
        <f t="shared" si="969"/>
        <v>9801</v>
      </c>
      <c r="E5079" s="1" t="s">
        <v>25</v>
      </c>
      <c r="F5079" s="1" t="str">
        <f>"831611269"</f>
        <v>831611269</v>
      </c>
      <c r="G5079" s="1" t="s">
        <v>33</v>
      </c>
      <c r="H5079" s="1" t="str">
        <f t="shared" si="966"/>
        <v>20220923</v>
      </c>
      <c r="I5079" s="1" t="str">
        <f>"115402"</f>
        <v>115402</v>
      </c>
      <c r="J5079" s="1" t="s">
        <v>28</v>
      </c>
      <c r="K5079" s="1" t="s">
        <v>28</v>
      </c>
      <c r="L5079" s="1" t="str">
        <f t="shared" si="965"/>
        <v>20220923</v>
      </c>
      <c r="M5079" s="1" t="str">
        <f>"120524"</f>
        <v>120524</v>
      </c>
      <c r="N5079" s="1" t="s">
        <v>78</v>
      </c>
      <c r="O5079" s="1" t="s">
        <v>52</v>
      </c>
      <c r="P5079" s="1" t="s">
        <v>55</v>
      </c>
      <c r="Q5079" s="1">
        <v>25</v>
      </c>
      <c r="R5079" s="1">
        <v>25</v>
      </c>
      <c r="S5079" s="1">
        <v>0</v>
      </c>
      <c r="T5079" s="1">
        <v>0</v>
      </c>
      <c r="U5079" s="1">
        <v>0</v>
      </c>
      <c r="V5079" s="1" t="str">
        <f t="shared" si="970"/>
        <v>里程返程</v>
      </c>
      <c r="W5079" s="1" t="str">
        <f>"0820"</f>
        <v>0820</v>
      </c>
      <c r="X5079" s="1" t="s">
        <v>35</v>
      </c>
    </row>
    <row r="5080" spans="1:24" x14ac:dyDescent="0.3">
      <c r="A5080" s="1" t="str">
        <f t="shared" si="968"/>
        <v>59829</v>
      </c>
      <c r="B5080" s="1" t="s">
        <v>47</v>
      </c>
      <c r="C5080" s="1" t="s">
        <v>48</v>
      </c>
      <c r="D5080" s="1" t="str">
        <f t="shared" si="969"/>
        <v>9801</v>
      </c>
      <c r="E5080" s="1" t="s">
        <v>25</v>
      </c>
      <c r="F5080" s="1" t="str">
        <f>"B0FDEB9C3A880400C08E1E9049800113"</f>
        <v>B0FDEB9C3A880400C08E1E9049800113</v>
      </c>
      <c r="G5080" s="1" t="s">
        <v>58</v>
      </c>
      <c r="H5080" s="1" t="str">
        <f t="shared" si="966"/>
        <v>20220923</v>
      </c>
      <c r="I5080" s="1" t="str">
        <f>"115410"</f>
        <v>115410</v>
      </c>
      <c r="J5080" s="1" t="s">
        <v>28</v>
      </c>
      <c r="K5080" s="1" t="s">
        <v>28</v>
      </c>
      <c r="L5080" s="1" t="str">
        <f t="shared" si="965"/>
        <v>20220923</v>
      </c>
      <c r="M5080" s="1" t="str">
        <f>"121444"</f>
        <v>121444</v>
      </c>
      <c r="N5080" s="1" t="s">
        <v>72</v>
      </c>
      <c r="O5080" s="1" t="s">
        <v>52</v>
      </c>
      <c r="P5080" s="1" t="s">
        <v>55</v>
      </c>
      <c r="Q5080" s="1">
        <v>25</v>
      </c>
      <c r="R5080" s="1">
        <v>25</v>
      </c>
      <c r="S5080" s="1">
        <v>0</v>
      </c>
      <c r="T5080" s="1">
        <v>0</v>
      </c>
      <c r="U5080" s="1">
        <v>0</v>
      </c>
      <c r="V5080" s="1" t="str">
        <f t="shared" si="970"/>
        <v>里程返程</v>
      </c>
      <c r="W5080" s="1" t="str">
        <f>"0020"</f>
        <v>0020</v>
      </c>
      <c r="X5080" s="1" t="s">
        <v>29</v>
      </c>
    </row>
    <row r="5081" spans="1:24" x14ac:dyDescent="0.3">
      <c r="A5081" s="1" t="str">
        <f t="shared" si="968"/>
        <v>59829</v>
      </c>
      <c r="B5081" s="1" t="s">
        <v>47</v>
      </c>
      <c r="C5081" s="1" t="s">
        <v>48</v>
      </c>
      <c r="D5081" s="1" t="str">
        <f>"9805"</f>
        <v>9805</v>
      </c>
      <c r="E5081" s="1" t="s">
        <v>57</v>
      </c>
      <c r="F5081" s="1" t="str">
        <f>"B126CE6A332804001C00000000000000"</f>
        <v>B126CE6A332804001C00000000000000</v>
      </c>
      <c r="G5081" s="1" t="s">
        <v>58</v>
      </c>
      <c r="H5081" s="1" t="str">
        <f t="shared" si="966"/>
        <v>20220923</v>
      </c>
      <c r="I5081" s="1" t="str">
        <f>"142848"</f>
        <v>142848</v>
      </c>
      <c r="J5081" s="1" t="s">
        <v>28</v>
      </c>
      <c r="K5081" s="1" t="s">
        <v>28</v>
      </c>
      <c r="L5081" s="1" t="str">
        <f t="shared" si="965"/>
        <v>20220923</v>
      </c>
      <c r="M5081" s="1" t="str">
        <f>"144220"</f>
        <v>144220</v>
      </c>
      <c r="N5081" s="1" t="s">
        <v>56</v>
      </c>
      <c r="O5081" s="1" t="s">
        <v>28</v>
      </c>
      <c r="P5081" s="1" t="s">
        <v>55</v>
      </c>
      <c r="Q5081" s="1">
        <v>25</v>
      </c>
      <c r="R5081" s="1">
        <v>0</v>
      </c>
      <c r="S5081" s="1">
        <v>25</v>
      </c>
      <c r="T5081" s="1">
        <v>0</v>
      </c>
      <c r="U5081" s="1">
        <v>0</v>
      </c>
      <c r="V5081" s="1" t="str">
        <f t="shared" ref="V5081:V5088" si="971">"里程去程"</f>
        <v>里程去程</v>
      </c>
      <c r="W5081" s="1" t="str">
        <f>"1120"</f>
        <v>1120</v>
      </c>
      <c r="X5081" s="1" t="s">
        <v>29</v>
      </c>
    </row>
    <row r="5082" spans="1:24" x14ac:dyDescent="0.3">
      <c r="A5082" s="1" t="str">
        <f t="shared" si="968"/>
        <v>59829</v>
      </c>
      <c r="B5082" s="1" t="s">
        <v>47</v>
      </c>
      <c r="C5082" s="1" t="s">
        <v>48</v>
      </c>
      <c r="D5082" s="1" t="str">
        <f>"9805"</f>
        <v>9805</v>
      </c>
      <c r="E5082" s="1" t="s">
        <v>57</v>
      </c>
      <c r="F5082" s="1" t="str">
        <f>"4222733070"</f>
        <v>4222733070</v>
      </c>
      <c r="G5082" s="1" t="s">
        <v>33</v>
      </c>
      <c r="H5082" s="1" t="str">
        <f t="shared" si="966"/>
        <v>20220923</v>
      </c>
      <c r="I5082" s="1" t="str">
        <f>"142850"</f>
        <v>142850</v>
      </c>
      <c r="J5082" s="1" t="s">
        <v>28</v>
      </c>
      <c r="K5082" s="1" t="s">
        <v>28</v>
      </c>
      <c r="L5082" s="1" t="str">
        <f t="shared" si="965"/>
        <v>20220923</v>
      </c>
      <c r="M5082" s="1" t="str">
        <f>"144337"</f>
        <v>144337</v>
      </c>
      <c r="N5082" s="1" t="s">
        <v>62</v>
      </c>
      <c r="O5082" s="1" t="s">
        <v>28</v>
      </c>
      <c r="P5082" s="1" t="s">
        <v>55</v>
      </c>
      <c r="Q5082" s="1">
        <v>25</v>
      </c>
      <c r="R5082" s="1">
        <v>25</v>
      </c>
      <c r="S5082" s="1">
        <v>0</v>
      </c>
      <c r="T5082" s="1">
        <v>0</v>
      </c>
      <c r="U5082" s="1">
        <v>0</v>
      </c>
      <c r="V5082" s="1" t="str">
        <f t="shared" si="971"/>
        <v>里程去程</v>
      </c>
      <c r="W5082" s="1" t="str">
        <f>"1420"</f>
        <v>1420</v>
      </c>
      <c r="X5082" s="1" t="s">
        <v>35</v>
      </c>
    </row>
    <row r="5083" spans="1:24" x14ac:dyDescent="0.3">
      <c r="A5083" s="1" t="str">
        <f t="shared" si="968"/>
        <v>59829</v>
      </c>
      <c r="B5083" s="1" t="s">
        <v>47</v>
      </c>
      <c r="C5083" s="1" t="s">
        <v>48</v>
      </c>
      <c r="D5083" s="1" t="str">
        <f>"9805"</f>
        <v>9805</v>
      </c>
      <c r="E5083" s="1" t="s">
        <v>57</v>
      </c>
      <c r="F5083" s="1" t="str">
        <f>"32780D0344880400C834002000000015"</f>
        <v>32780D0344880400C834002000000015</v>
      </c>
      <c r="G5083" s="1" t="s">
        <v>26</v>
      </c>
      <c r="H5083" s="1" t="str">
        <f t="shared" si="966"/>
        <v>20220923</v>
      </c>
      <c r="I5083" s="1" t="str">
        <f>"143225"</f>
        <v>143225</v>
      </c>
      <c r="J5083" s="1" t="s">
        <v>28</v>
      </c>
      <c r="K5083" s="1" t="s">
        <v>28</v>
      </c>
      <c r="L5083" s="1" t="str">
        <f t="shared" ref="L5083:L5093" si="972">"20220923"</f>
        <v>20220923</v>
      </c>
      <c r="M5083" s="1" t="str">
        <f>"144321"</f>
        <v>144321</v>
      </c>
      <c r="N5083" s="1" t="s">
        <v>62</v>
      </c>
      <c r="O5083" s="1" t="s">
        <v>28</v>
      </c>
      <c r="P5083" s="1" t="s">
        <v>68</v>
      </c>
      <c r="Q5083" s="1">
        <v>13</v>
      </c>
      <c r="R5083" s="1">
        <v>0</v>
      </c>
      <c r="S5083" s="1">
        <v>0</v>
      </c>
      <c r="T5083" s="1">
        <v>13</v>
      </c>
      <c r="U5083" s="1">
        <v>0</v>
      </c>
      <c r="V5083" s="1" t="str">
        <f t="shared" si="971"/>
        <v>里程去程</v>
      </c>
      <c r="W5083" s="1" t="str">
        <f>"0020"</f>
        <v>0020</v>
      </c>
      <c r="X5083" s="1" t="s">
        <v>29</v>
      </c>
    </row>
    <row r="5084" spans="1:24" x14ac:dyDescent="0.3">
      <c r="A5084" s="1" t="str">
        <f t="shared" si="968"/>
        <v>59829</v>
      </c>
      <c r="B5084" s="1" t="s">
        <v>47</v>
      </c>
      <c r="C5084" s="1" t="s">
        <v>48</v>
      </c>
      <c r="D5084" s="1" t="str">
        <f>"9803"</f>
        <v>9803</v>
      </c>
      <c r="E5084" s="1" t="s">
        <v>32</v>
      </c>
      <c r="F5084" s="1" t="str">
        <f>"1709069061"</f>
        <v>1709069061</v>
      </c>
      <c r="G5084" s="1" t="s">
        <v>33</v>
      </c>
      <c r="H5084" s="1" t="str">
        <f t="shared" si="966"/>
        <v>20220923</v>
      </c>
      <c r="I5084" s="1" t="str">
        <f>"152442"</f>
        <v>152442</v>
      </c>
      <c r="J5084" s="1" t="s">
        <v>46</v>
      </c>
      <c r="K5084" s="1" t="s">
        <v>28</v>
      </c>
      <c r="L5084" s="1" t="str">
        <f t="shared" si="972"/>
        <v>20220923</v>
      </c>
      <c r="M5084" s="1" t="str">
        <f>"153351"</f>
        <v>153351</v>
      </c>
      <c r="N5084" s="1" t="s">
        <v>34</v>
      </c>
      <c r="O5084" s="1" t="s">
        <v>34</v>
      </c>
      <c r="P5084" s="1" t="s">
        <v>55</v>
      </c>
      <c r="Q5084" s="1">
        <v>25</v>
      </c>
      <c r="R5084" s="1">
        <v>25</v>
      </c>
      <c r="S5084" s="1">
        <v>0</v>
      </c>
      <c r="T5084" s="1">
        <v>0</v>
      </c>
      <c r="U5084" s="1">
        <v>0</v>
      </c>
      <c r="V5084" s="1" t="str">
        <f t="shared" si="971"/>
        <v>里程去程</v>
      </c>
      <c r="W5084" s="1" t="str">
        <f>"2020"</f>
        <v>2020</v>
      </c>
      <c r="X5084" s="1" t="s">
        <v>35</v>
      </c>
    </row>
    <row r="5085" spans="1:24" x14ac:dyDescent="0.3">
      <c r="A5085" s="1" t="str">
        <f t="shared" si="968"/>
        <v>59829</v>
      </c>
      <c r="B5085" s="1" t="s">
        <v>47</v>
      </c>
      <c r="C5085" s="1" t="s">
        <v>48</v>
      </c>
      <c r="D5085" s="1" t="str">
        <f>"9806"</f>
        <v>9806</v>
      </c>
      <c r="E5085" s="1" t="s">
        <v>49</v>
      </c>
      <c r="F5085" s="1" t="str">
        <f>"538267473"</f>
        <v>538267473</v>
      </c>
      <c r="G5085" s="1" t="s">
        <v>33</v>
      </c>
      <c r="H5085" s="1" t="str">
        <f t="shared" si="966"/>
        <v>20220923</v>
      </c>
      <c r="I5085" s="1" t="str">
        <f>"163632"</f>
        <v>163632</v>
      </c>
      <c r="J5085" s="1" t="s">
        <v>76</v>
      </c>
      <c r="K5085" s="1" t="s">
        <v>28</v>
      </c>
      <c r="L5085" s="1" t="str">
        <f t="shared" si="972"/>
        <v>20220923</v>
      </c>
      <c r="M5085" s="1" t="str">
        <f>"165133"</f>
        <v>165133</v>
      </c>
      <c r="N5085" s="1" t="s">
        <v>28</v>
      </c>
      <c r="O5085" s="1" t="s">
        <v>28</v>
      </c>
      <c r="P5085" s="1" t="s">
        <v>55</v>
      </c>
      <c r="Q5085" s="1">
        <v>25</v>
      </c>
      <c r="R5085" s="1">
        <v>25</v>
      </c>
      <c r="S5085" s="1">
        <v>0</v>
      </c>
      <c r="T5085" s="1">
        <v>0</v>
      </c>
      <c r="U5085" s="1">
        <v>0</v>
      </c>
      <c r="V5085" s="1" t="str">
        <f t="shared" si="971"/>
        <v>里程去程</v>
      </c>
      <c r="W5085" s="1" t="str">
        <f>"0820"</f>
        <v>0820</v>
      </c>
      <c r="X5085" s="1" t="s">
        <v>35</v>
      </c>
    </row>
    <row r="5086" spans="1:24" x14ac:dyDescent="0.3">
      <c r="A5086" s="1" t="str">
        <f t="shared" si="968"/>
        <v>59829</v>
      </c>
      <c r="B5086" s="1" t="s">
        <v>47</v>
      </c>
      <c r="C5086" s="1" t="s">
        <v>48</v>
      </c>
      <c r="D5086" s="1" t="str">
        <f>"9806"</f>
        <v>9806</v>
      </c>
      <c r="E5086" s="1" t="s">
        <v>49</v>
      </c>
      <c r="F5086" s="1" t="str">
        <f>"1695105317"</f>
        <v>1695105317</v>
      </c>
      <c r="G5086" s="1" t="s">
        <v>33</v>
      </c>
      <c r="H5086" s="1" t="str">
        <f t="shared" si="966"/>
        <v>20220923</v>
      </c>
      <c r="I5086" s="1" t="str">
        <f>"163640"</f>
        <v>163640</v>
      </c>
      <c r="J5086" s="1" t="s">
        <v>76</v>
      </c>
      <c r="K5086" s="1" t="s">
        <v>28</v>
      </c>
      <c r="L5086" s="1" t="str">
        <f t="shared" si="972"/>
        <v>20220923</v>
      </c>
      <c r="M5086" s="1" t="str">
        <f>"165129"</f>
        <v>165129</v>
      </c>
      <c r="N5086" s="1" t="s">
        <v>28</v>
      </c>
      <c r="O5086" s="1" t="s">
        <v>28</v>
      </c>
      <c r="P5086" s="1" t="s">
        <v>55</v>
      </c>
      <c r="Q5086" s="1">
        <v>25</v>
      </c>
      <c r="R5086" s="1">
        <v>25</v>
      </c>
      <c r="S5086" s="1">
        <v>0</v>
      </c>
      <c r="T5086" s="1">
        <v>0</v>
      </c>
      <c r="U5086" s="1">
        <v>0</v>
      </c>
      <c r="V5086" s="1" t="str">
        <f t="shared" si="971"/>
        <v>里程去程</v>
      </c>
      <c r="W5086" s="1" t="str">
        <f>"0820"</f>
        <v>0820</v>
      </c>
      <c r="X5086" s="1" t="s">
        <v>35</v>
      </c>
    </row>
    <row r="5087" spans="1:24" x14ac:dyDescent="0.3">
      <c r="A5087" s="1" t="str">
        <f t="shared" si="968"/>
        <v>59829</v>
      </c>
      <c r="B5087" s="1" t="s">
        <v>47</v>
      </c>
      <c r="C5087" s="1" t="s">
        <v>48</v>
      </c>
      <c r="D5087" s="1" t="str">
        <f>"9806"</f>
        <v>9806</v>
      </c>
      <c r="E5087" s="1" t="s">
        <v>49</v>
      </c>
      <c r="F5087" s="1" t="str">
        <f>"1055537829"</f>
        <v>1055537829</v>
      </c>
      <c r="G5087" s="1" t="s">
        <v>33</v>
      </c>
      <c r="H5087" s="1" t="str">
        <f t="shared" si="966"/>
        <v>20220923</v>
      </c>
      <c r="I5087" s="1" t="str">
        <f>"164459"</f>
        <v>164459</v>
      </c>
      <c r="J5087" s="1" t="s">
        <v>98</v>
      </c>
      <c r="K5087" s="1" t="s">
        <v>28</v>
      </c>
      <c r="L5087" s="1" t="str">
        <f t="shared" si="972"/>
        <v>20220923</v>
      </c>
      <c r="M5087" s="1" t="str">
        <f>"165137"</f>
        <v>165137</v>
      </c>
      <c r="N5087" s="1" t="s">
        <v>28</v>
      </c>
      <c r="O5087" s="1" t="s">
        <v>28</v>
      </c>
      <c r="P5087" s="1" t="s">
        <v>55</v>
      </c>
      <c r="Q5087" s="1">
        <v>25</v>
      </c>
      <c r="R5087" s="1">
        <v>25</v>
      </c>
      <c r="S5087" s="1">
        <v>0</v>
      </c>
      <c r="T5087" s="1">
        <v>0</v>
      </c>
      <c r="U5087" s="1">
        <v>0</v>
      </c>
      <c r="V5087" s="1" t="str">
        <f t="shared" si="971"/>
        <v>里程去程</v>
      </c>
      <c r="W5087" s="1" t="str">
        <f>"0820"</f>
        <v>0820</v>
      </c>
      <c r="X5087" s="1" t="s">
        <v>35</v>
      </c>
    </row>
    <row r="5088" spans="1:24" x14ac:dyDescent="0.3">
      <c r="A5088" s="1" t="str">
        <f t="shared" si="968"/>
        <v>59829</v>
      </c>
      <c r="B5088" s="1" t="s">
        <v>47</v>
      </c>
      <c r="C5088" s="1" t="s">
        <v>48</v>
      </c>
      <c r="D5088" s="1" t="str">
        <f>"9805"</f>
        <v>9805</v>
      </c>
      <c r="E5088" s="1" t="s">
        <v>57</v>
      </c>
      <c r="F5088" s="1" t="str">
        <f>"702361413"</f>
        <v>702361413</v>
      </c>
      <c r="G5088" s="1" t="s">
        <v>33</v>
      </c>
      <c r="H5088" s="1" t="str">
        <f t="shared" si="966"/>
        <v>20220923</v>
      </c>
      <c r="I5088" s="1" t="str">
        <f>"165238"</f>
        <v>165238</v>
      </c>
      <c r="J5088" s="1" t="s">
        <v>28</v>
      </c>
      <c r="K5088" s="1" t="s">
        <v>28</v>
      </c>
      <c r="L5088" s="1" t="str">
        <f t="shared" si="972"/>
        <v>20220923</v>
      </c>
      <c r="M5088" s="1" t="str">
        <f>"165922"</f>
        <v>165922</v>
      </c>
      <c r="N5088" s="1" t="s">
        <v>70</v>
      </c>
      <c r="O5088" s="1" t="s">
        <v>28</v>
      </c>
      <c r="P5088" s="1" t="s">
        <v>55</v>
      </c>
      <c r="Q5088" s="1">
        <v>25</v>
      </c>
      <c r="R5088" s="1">
        <v>25</v>
      </c>
      <c r="S5088" s="1">
        <v>0</v>
      </c>
      <c r="T5088" s="1">
        <v>0</v>
      </c>
      <c r="U5088" s="1">
        <v>0</v>
      </c>
      <c r="V5088" s="1" t="str">
        <f t="shared" si="971"/>
        <v>里程去程</v>
      </c>
      <c r="W5088" s="1" t="str">
        <f>"1920"</f>
        <v>1920</v>
      </c>
      <c r="X5088" s="1" t="s">
        <v>35</v>
      </c>
    </row>
    <row r="5089" spans="1:24" x14ac:dyDescent="0.3">
      <c r="A5089" s="1" t="str">
        <f t="shared" si="968"/>
        <v>59829</v>
      </c>
      <c r="B5089" s="1" t="s">
        <v>47</v>
      </c>
      <c r="C5089" s="1" t="s">
        <v>48</v>
      </c>
      <c r="D5089" s="1" t="str">
        <f>"9801"</f>
        <v>9801</v>
      </c>
      <c r="E5089" s="1" t="s">
        <v>25</v>
      </c>
      <c r="F5089" s="1" t="str">
        <f>"71504069"</f>
        <v>71504069</v>
      </c>
      <c r="G5089" s="1" t="s">
        <v>33</v>
      </c>
      <c r="H5089" s="1" t="str">
        <f t="shared" si="966"/>
        <v>20220923</v>
      </c>
      <c r="I5089" s="1" t="str">
        <f>"185420"</f>
        <v>185420</v>
      </c>
      <c r="J5089" s="1" t="s">
        <v>44</v>
      </c>
      <c r="K5089" s="1" t="s">
        <v>45</v>
      </c>
      <c r="L5089" s="1" t="str">
        <f t="shared" si="972"/>
        <v>20220923</v>
      </c>
      <c r="M5089" s="1" t="str">
        <f>"192140"</f>
        <v>192140</v>
      </c>
      <c r="N5089" s="1" t="s">
        <v>28</v>
      </c>
      <c r="O5089" s="1" t="s">
        <v>28</v>
      </c>
      <c r="P5089" s="1" t="s">
        <v>55</v>
      </c>
      <c r="Q5089" s="1">
        <v>25</v>
      </c>
      <c r="R5089" s="1">
        <v>0</v>
      </c>
      <c r="S5089" s="1">
        <v>25</v>
      </c>
      <c r="T5089" s="1">
        <v>0</v>
      </c>
      <c r="U5089" s="1">
        <v>0</v>
      </c>
      <c r="V5089" s="1" t="str">
        <f>"里程返程"</f>
        <v>里程返程</v>
      </c>
      <c r="W5089" s="1" t="str">
        <f>"2120"</f>
        <v>2120</v>
      </c>
      <c r="X5089" s="1" t="s">
        <v>35</v>
      </c>
    </row>
    <row r="5090" spans="1:24" x14ac:dyDescent="0.3">
      <c r="A5090" s="1" t="str">
        <f t="shared" si="968"/>
        <v>59829</v>
      </c>
      <c r="B5090" s="1" t="s">
        <v>47</v>
      </c>
      <c r="C5090" s="1" t="s">
        <v>48</v>
      </c>
      <c r="D5090" s="1" t="str">
        <f>"9805"</f>
        <v>9805</v>
      </c>
      <c r="E5090" s="1" t="s">
        <v>57</v>
      </c>
      <c r="F5090" s="1" t="str">
        <f>"1704733937"</f>
        <v>1704733937</v>
      </c>
      <c r="G5090" s="1" t="s">
        <v>33</v>
      </c>
      <c r="H5090" s="1" t="str">
        <f t="shared" si="966"/>
        <v>20220923</v>
      </c>
      <c r="I5090" s="1" t="str">
        <f>"195506"</f>
        <v>195506</v>
      </c>
      <c r="J5090" s="1" t="s">
        <v>52</v>
      </c>
      <c r="K5090" s="1" t="s">
        <v>52</v>
      </c>
      <c r="L5090" s="1" t="str">
        <f t="shared" si="972"/>
        <v>20220923</v>
      </c>
      <c r="M5090" s="1" t="str">
        <f>"201856"</f>
        <v>201856</v>
      </c>
      <c r="N5090" s="1" t="s">
        <v>28</v>
      </c>
      <c r="O5090" s="1" t="s">
        <v>28</v>
      </c>
      <c r="P5090" s="1" t="s">
        <v>55</v>
      </c>
      <c r="Q5090" s="1">
        <v>25</v>
      </c>
      <c r="R5090" s="1">
        <v>25</v>
      </c>
      <c r="S5090" s="1">
        <v>0</v>
      </c>
      <c r="T5090" s="1">
        <v>0</v>
      </c>
      <c r="U5090" s="1">
        <v>0</v>
      </c>
      <c r="V5090" s="1" t="str">
        <f>"里程返程"</f>
        <v>里程返程</v>
      </c>
      <c r="W5090" s="1" t="str">
        <f>"2020"</f>
        <v>2020</v>
      </c>
      <c r="X5090" s="1" t="s">
        <v>35</v>
      </c>
    </row>
    <row r="5091" spans="1:24" x14ac:dyDescent="0.3">
      <c r="A5091" s="1" t="str">
        <f t="shared" si="968"/>
        <v>59829</v>
      </c>
      <c r="B5091" s="1" t="s">
        <v>47</v>
      </c>
      <c r="C5091" s="1" t="s">
        <v>48</v>
      </c>
      <c r="D5091" s="1" t="str">
        <f>"9805"</f>
        <v>9805</v>
      </c>
      <c r="E5091" s="1" t="s">
        <v>57</v>
      </c>
      <c r="F5091" s="1" t="str">
        <f>"234627749"</f>
        <v>234627749</v>
      </c>
      <c r="G5091" s="1" t="s">
        <v>33</v>
      </c>
      <c r="H5091" s="1" t="str">
        <f t="shared" si="966"/>
        <v>20220923</v>
      </c>
      <c r="I5091" s="1" t="str">
        <f>"195512"</f>
        <v>195512</v>
      </c>
      <c r="J5091" s="1" t="s">
        <v>52</v>
      </c>
      <c r="K5091" s="1" t="s">
        <v>52</v>
      </c>
      <c r="L5091" s="1" t="str">
        <f t="shared" si="972"/>
        <v>20220923</v>
      </c>
      <c r="M5091" s="1" t="str">
        <f>"201900"</f>
        <v>201900</v>
      </c>
      <c r="N5091" s="1" t="s">
        <v>28</v>
      </c>
      <c r="O5091" s="1" t="s">
        <v>28</v>
      </c>
      <c r="P5091" s="1" t="s">
        <v>55</v>
      </c>
      <c r="Q5091" s="1">
        <v>25</v>
      </c>
      <c r="R5091" s="1">
        <v>25</v>
      </c>
      <c r="S5091" s="1">
        <v>0</v>
      </c>
      <c r="T5091" s="1">
        <v>0</v>
      </c>
      <c r="U5091" s="1">
        <v>0</v>
      </c>
      <c r="V5091" s="1" t="str">
        <f>"里程返程"</f>
        <v>里程返程</v>
      </c>
      <c r="W5091" s="1" t="str">
        <f>"2020"</f>
        <v>2020</v>
      </c>
      <c r="X5091" s="1" t="s">
        <v>35</v>
      </c>
    </row>
    <row r="5092" spans="1:24" x14ac:dyDescent="0.3">
      <c r="A5092" s="1" t="str">
        <f t="shared" si="968"/>
        <v>59829</v>
      </c>
      <c r="B5092" s="1" t="s">
        <v>47</v>
      </c>
      <c r="C5092" s="1" t="s">
        <v>48</v>
      </c>
      <c r="D5092" s="1" t="str">
        <f>"9805"</f>
        <v>9805</v>
      </c>
      <c r="E5092" s="1" t="s">
        <v>57</v>
      </c>
      <c r="F5092" s="1" t="str">
        <f>"3761429658"</f>
        <v>3761429658</v>
      </c>
      <c r="G5092" s="1" t="s">
        <v>33</v>
      </c>
      <c r="H5092" s="1" t="str">
        <f t="shared" si="966"/>
        <v>20220923</v>
      </c>
      <c r="I5092" s="1" t="str">
        <f>"200342"</f>
        <v>200342</v>
      </c>
      <c r="J5092" s="1" t="s">
        <v>62</v>
      </c>
      <c r="K5092" s="1" t="s">
        <v>28</v>
      </c>
      <c r="L5092" s="1" t="str">
        <f t="shared" si="972"/>
        <v>20220923</v>
      </c>
      <c r="M5092" s="1" t="str">
        <f>"201902"</f>
        <v>201902</v>
      </c>
      <c r="N5092" s="1" t="s">
        <v>28</v>
      </c>
      <c r="O5092" s="1" t="s">
        <v>28</v>
      </c>
      <c r="P5092" s="1" t="s">
        <v>55</v>
      </c>
      <c r="Q5092" s="1">
        <v>25</v>
      </c>
      <c r="R5092" s="1">
        <v>25</v>
      </c>
      <c r="S5092" s="1">
        <v>0</v>
      </c>
      <c r="T5092" s="1">
        <v>0</v>
      </c>
      <c r="U5092" s="1">
        <v>0</v>
      </c>
      <c r="V5092" s="1" t="str">
        <f>"里程返程"</f>
        <v>里程返程</v>
      </c>
      <c r="W5092" s="1" t="str">
        <f>"2020"</f>
        <v>2020</v>
      </c>
      <c r="X5092" s="1" t="s">
        <v>35</v>
      </c>
    </row>
    <row r="5093" spans="1:24" x14ac:dyDescent="0.3">
      <c r="A5093" s="1" t="str">
        <f t="shared" si="968"/>
        <v>59829</v>
      </c>
      <c r="B5093" s="1" t="s">
        <v>47</v>
      </c>
      <c r="C5093" s="1" t="s">
        <v>48</v>
      </c>
      <c r="D5093" s="1" t="str">
        <f>"9805"</f>
        <v>9805</v>
      </c>
      <c r="E5093" s="1" t="s">
        <v>57</v>
      </c>
      <c r="F5093" s="1" t="str">
        <f>"2294048957"</f>
        <v>2294048957</v>
      </c>
      <c r="G5093" s="1" t="s">
        <v>33</v>
      </c>
      <c r="H5093" s="1" t="str">
        <f t="shared" si="966"/>
        <v>20220923</v>
      </c>
      <c r="I5093" s="1" t="str">
        <f>"200344"</f>
        <v>200344</v>
      </c>
      <c r="J5093" s="1" t="s">
        <v>62</v>
      </c>
      <c r="K5093" s="1" t="s">
        <v>28</v>
      </c>
      <c r="L5093" s="1" t="str">
        <f t="shared" si="972"/>
        <v>20220923</v>
      </c>
      <c r="M5093" s="1" t="str">
        <f>"201904"</f>
        <v>201904</v>
      </c>
      <c r="N5093" s="1" t="s">
        <v>28</v>
      </c>
      <c r="O5093" s="1" t="s">
        <v>28</v>
      </c>
      <c r="P5093" s="1" t="s">
        <v>55</v>
      </c>
      <c r="Q5093" s="1">
        <v>25</v>
      </c>
      <c r="R5093" s="1">
        <v>25</v>
      </c>
      <c r="S5093" s="1">
        <v>0</v>
      </c>
      <c r="T5093" s="1">
        <v>0</v>
      </c>
      <c r="U5093" s="1">
        <v>0</v>
      </c>
      <c r="V5093" s="1" t="str">
        <f>"里程返程"</f>
        <v>里程返程</v>
      </c>
      <c r="W5093" s="1" t="str">
        <f>"2020"</f>
        <v>2020</v>
      </c>
      <c r="X5093" s="1" t="s">
        <v>35</v>
      </c>
    </row>
    <row r="5094" spans="1:24" x14ac:dyDescent="0.3">
      <c r="A5094" s="1" t="str">
        <f t="shared" ref="A5094:A5128" si="973">"59809"</f>
        <v>59809</v>
      </c>
      <c r="B5094" s="1" t="s">
        <v>42</v>
      </c>
      <c r="C5094" s="1" t="s">
        <v>111</v>
      </c>
      <c r="D5094" s="1" t="str">
        <f>"9805"</f>
        <v>9805</v>
      </c>
      <c r="E5094" s="1" t="s">
        <v>57</v>
      </c>
      <c r="F5094" s="1" t="str">
        <f>"7511181077005289"</f>
        <v>7511181077005289</v>
      </c>
      <c r="G5094" s="1" t="s">
        <v>33</v>
      </c>
      <c r="H5094" s="1" t="str">
        <f t="shared" ref="H5094:H5125" si="974">"20220924"</f>
        <v>20220924</v>
      </c>
      <c r="I5094" s="1" t="str">
        <f>"104053"</f>
        <v>104053</v>
      </c>
      <c r="J5094" s="1" t="s">
        <v>28</v>
      </c>
      <c r="K5094" s="1" t="s">
        <v>28</v>
      </c>
      <c r="L5094" s="1" t="str">
        <f t="shared" ref="L5094:L5125" si="975">"20220924"</f>
        <v>20220924</v>
      </c>
      <c r="M5094" s="1" t="str">
        <f>"105150"</f>
        <v>105150</v>
      </c>
      <c r="N5094" s="1" t="s">
        <v>61</v>
      </c>
      <c r="O5094" s="1" t="s">
        <v>28</v>
      </c>
      <c r="P5094" s="1" t="s">
        <v>55</v>
      </c>
      <c r="Q5094" s="1">
        <v>25</v>
      </c>
      <c r="R5094" s="1">
        <v>25</v>
      </c>
      <c r="S5094" s="1">
        <v>0</v>
      </c>
      <c r="T5094" s="1">
        <v>0</v>
      </c>
      <c r="U5094" s="1">
        <v>0</v>
      </c>
      <c r="V5094" s="1" t="str">
        <f t="shared" ref="V5094:V5116" si="976">"里程去程"</f>
        <v>里程去程</v>
      </c>
      <c r="W5094" s="1" t="str">
        <f>"3A3B"</f>
        <v>3A3B</v>
      </c>
      <c r="X5094" s="1" t="s">
        <v>109</v>
      </c>
    </row>
    <row r="5095" spans="1:24" x14ac:dyDescent="0.3">
      <c r="A5095" s="1" t="str">
        <f t="shared" si="973"/>
        <v>59809</v>
      </c>
      <c r="B5095" s="1" t="s">
        <v>42</v>
      </c>
      <c r="C5095" s="1" t="s">
        <v>43</v>
      </c>
      <c r="D5095" s="1" t="str">
        <f t="shared" ref="D5095:D5124" si="977">"9801"</f>
        <v>9801</v>
      </c>
      <c r="E5095" s="1" t="s">
        <v>25</v>
      </c>
      <c r="F5095" s="1" t="str">
        <f>"A1069A516C2804001C00000000000000"</f>
        <v>A1069A516C2804001C00000000000000</v>
      </c>
      <c r="G5095" s="1" t="s">
        <v>58</v>
      </c>
      <c r="H5095" s="1" t="str">
        <f t="shared" si="974"/>
        <v>20220924</v>
      </c>
      <c r="I5095" s="1" t="str">
        <f>"111446"</f>
        <v>111446</v>
      </c>
      <c r="J5095" s="1" t="s">
        <v>97</v>
      </c>
      <c r="K5095" s="1" t="s">
        <v>52</v>
      </c>
      <c r="L5095" s="1" t="str">
        <f t="shared" si="975"/>
        <v>20220924</v>
      </c>
      <c r="M5095" s="1" t="str">
        <f>"113052"</f>
        <v>113052</v>
      </c>
      <c r="N5095" s="1" t="s">
        <v>70</v>
      </c>
      <c r="O5095" s="1" t="s">
        <v>28</v>
      </c>
      <c r="P5095" s="1" t="s">
        <v>55</v>
      </c>
      <c r="Q5095" s="1">
        <v>25</v>
      </c>
      <c r="R5095" s="1">
        <v>25</v>
      </c>
      <c r="S5095" s="1">
        <v>0</v>
      </c>
      <c r="T5095" s="1">
        <v>0</v>
      </c>
      <c r="U5095" s="1">
        <v>0</v>
      </c>
      <c r="V5095" s="1" t="str">
        <f t="shared" si="976"/>
        <v>里程去程</v>
      </c>
      <c r="W5095" s="1" t="str">
        <f>"0020"</f>
        <v>0020</v>
      </c>
      <c r="X5095" s="1" t="s">
        <v>29</v>
      </c>
    </row>
    <row r="5096" spans="1:24" x14ac:dyDescent="0.3">
      <c r="A5096" s="1" t="str">
        <f t="shared" si="973"/>
        <v>59809</v>
      </c>
      <c r="B5096" s="1" t="s">
        <v>42</v>
      </c>
      <c r="C5096" s="1" t="s">
        <v>43</v>
      </c>
      <c r="D5096" s="1" t="str">
        <f t="shared" si="977"/>
        <v>9801</v>
      </c>
      <c r="E5096" s="1" t="s">
        <v>25</v>
      </c>
      <c r="F5096" s="1" t="str">
        <f>"964606673"</f>
        <v>964606673</v>
      </c>
      <c r="G5096" s="1" t="s">
        <v>33</v>
      </c>
      <c r="H5096" s="1" t="str">
        <f t="shared" si="974"/>
        <v>20220924</v>
      </c>
      <c r="I5096" s="1" t="str">
        <f>"113101"</f>
        <v>113101</v>
      </c>
      <c r="J5096" s="1" t="s">
        <v>27</v>
      </c>
      <c r="K5096" s="1" t="s">
        <v>28</v>
      </c>
      <c r="L5096" s="1" t="str">
        <f t="shared" si="975"/>
        <v>20220924</v>
      </c>
      <c r="M5096" s="1" t="str">
        <f>"115212"</f>
        <v>115212</v>
      </c>
      <c r="N5096" s="1" t="s">
        <v>44</v>
      </c>
      <c r="O5096" s="1" t="s">
        <v>45</v>
      </c>
      <c r="P5096" s="1" t="s">
        <v>55</v>
      </c>
      <c r="Q5096" s="1">
        <v>25</v>
      </c>
      <c r="R5096" s="1">
        <v>25</v>
      </c>
      <c r="S5096" s="1">
        <v>0</v>
      </c>
      <c r="T5096" s="1">
        <v>0</v>
      </c>
      <c r="U5096" s="1">
        <v>0</v>
      </c>
      <c r="V5096" s="1" t="str">
        <f t="shared" si="976"/>
        <v>里程去程</v>
      </c>
      <c r="W5096" s="1" t="str">
        <f>"0820"</f>
        <v>0820</v>
      </c>
      <c r="X5096" s="1" t="s">
        <v>35</v>
      </c>
    </row>
    <row r="5097" spans="1:24" x14ac:dyDescent="0.3">
      <c r="A5097" s="1" t="str">
        <f t="shared" si="973"/>
        <v>59809</v>
      </c>
      <c r="B5097" s="1" t="s">
        <v>42</v>
      </c>
      <c r="C5097" s="1" t="s">
        <v>43</v>
      </c>
      <c r="D5097" s="1" t="str">
        <f t="shared" si="977"/>
        <v>9801</v>
      </c>
      <c r="E5097" s="1" t="s">
        <v>25</v>
      </c>
      <c r="F5097" s="1" t="str">
        <f>"422984049"</f>
        <v>422984049</v>
      </c>
      <c r="G5097" s="1" t="s">
        <v>33</v>
      </c>
      <c r="H5097" s="1" t="str">
        <f t="shared" si="974"/>
        <v>20220924</v>
      </c>
      <c r="I5097" s="1" t="str">
        <f>"113103"</f>
        <v>113103</v>
      </c>
      <c r="J5097" s="1" t="s">
        <v>27</v>
      </c>
      <c r="K5097" s="1" t="s">
        <v>28</v>
      </c>
      <c r="L5097" s="1" t="str">
        <f t="shared" si="975"/>
        <v>20220924</v>
      </c>
      <c r="M5097" s="1" t="str">
        <f>"115209"</f>
        <v>115209</v>
      </c>
      <c r="N5097" s="1" t="s">
        <v>44</v>
      </c>
      <c r="O5097" s="1" t="s">
        <v>45</v>
      </c>
      <c r="P5097" s="1" t="s">
        <v>55</v>
      </c>
      <c r="Q5097" s="1">
        <v>25</v>
      </c>
      <c r="R5097" s="1">
        <v>25</v>
      </c>
      <c r="S5097" s="1">
        <v>0</v>
      </c>
      <c r="T5097" s="1">
        <v>0</v>
      </c>
      <c r="U5097" s="1">
        <v>0</v>
      </c>
      <c r="V5097" s="1" t="str">
        <f t="shared" si="976"/>
        <v>里程去程</v>
      </c>
      <c r="W5097" s="1" t="str">
        <f>"2120"</f>
        <v>2120</v>
      </c>
      <c r="X5097" s="1" t="s">
        <v>35</v>
      </c>
    </row>
    <row r="5098" spans="1:24" x14ac:dyDescent="0.3">
      <c r="A5098" s="1" t="str">
        <f t="shared" si="973"/>
        <v>59809</v>
      </c>
      <c r="B5098" s="1" t="s">
        <v>42</v>
      </c>
      <c r="C5098" s="1" t="s">
        <v>43</v>
      </c>
      <c r="D5098" s="1" t="str">
        <f t="shared" si="977"/>
        <v>9801</v>
      </c>
      <c r="E5098" s="1" t="s">
        <v>25</v>
      </c>
      <c r="F5098" s="1" t="str">
        <f>"974271701"</f>
        <v>974271701</v>
      </c>
      <c r="G5098" s="1" t="s">
        <v>33</v>
      </c>
      <c r="H5098" s="1" t="str">
        <f t="shared" si="974"/>
        <v>20220924</v>
      </c>
      <c r="I5098" s="1" t="str">
        <f>"123157"</f>
        <v>123157</v>
      </c>
      <c r="J5098" s="1" t="s">
        <v>27</v>
      </c>
      <c r="K5098" s="1" t="s">
        <v>28</v>
      </c>
      <c r="L5098" s="1" t="str">
        <f t="shared" si="975"/>
        <v>20220924</v>
      </c>
      <c r="M5098" s="1" t="str">
        <f>"124741"</f>
        <v>124741</v>
      </c>
      <c r="N5098" s="1" t="s">
        <v>56</v>
      </c>
      <c r="O5098" s="1" t="s">
        <v>45</v>
      </c>
      <c r="P5098" s="1" t="s">
        <v>55</v>
      </c>
      <c r="Q5098" s="1">
        <v>25</v>
      </c>
      <c r="R5098" s="1">
        <v>25</v>
      </c>
      <c r="S5098" s="1">
        <v>0</v>
      </c>
      <c r="T5098" s="1">
        <v>0</v>
      </c>
      <c r="U5098" s="1">
        <v>0</v>
      </c>
      <c r="V5098" s="1" t="str">
        <f t="shared" si="976"/>
        <v>里程去程</v>
      </c>
      <c r="W5098" s="1" t="str">
        <f>"0120"</f>
        <v>0120</v>
      </c>
      <c r="X5098" s="1" t="s">
        <v>35</v>
      </c>
    </row>
    <row r="5099" spans="1:24" x14ac:dyDescent="0.3">
      <c r="A5099" s="1" t="str">
        <f t="shared" si="973"/>
        <v>59809</v>
      </c>
      <c r="B5099" s="1" t="s">
        <v>42</v>
      </c>
      <c r="C5099" s="1" t="s">
        <v>43</v>
      </c>
      <c r="D5099" s="1" t="str">
        <f t="shared" si="977"/>
        <v>9801</v>
      </c>
      <c r="E5099" s="1" t="s">
        <v>25</v>
      </c>
      <c r="F5099" s="1" t="str">
        <f>"1387862289"</f>
        <v>1387862289</v>
      </c>
      <c r="G5099" s="1" t="s">
        <v>26</v>
      </c>
      <c r="H5099" s="1" t="str">
        <f t="shared" si="974"/>
        <v>20220924</v>
      </c>
      <c r="I5099" s="1" t="str">
        <f>"123201"</f>
        <v>123201</v>
      </c>
      <c r="J5099" s="1" t="s">
        <v>27</v>
      </c>
      <c r="K5099" s="1" t="s">
        <v>28</v>
      </c>
      <c r="L5099" s="1" t="str">
        <f t="shared" si="975"/>
        <v>20220924</v>
      </c>
      <c r="M5099" s="1" t="str">
        <f>"124642"</f>
        <v>124642</v>
      </c>
      <c r="N5099" s="1" t="s">
        <v>61</v>
      </c>
      <c r="O5099" s="1" t="s">
        <v>45</v>
      </c>
      <c r="P5099" s="1" t="s">
        <v>55</v>
      </c>
      <c r="Q5099" s="1">
        <v>13</v>
      </c>
      <c r="R5099" s="1">
        <v>13</v>
      </c>
      <c r="S5099" s="1">
        <v>0</v>
      </c>
      <c r="T5099" s="1">
        <v>0</v>
      </c>
      <c r="U5099" s="1">
        <v>0</v>
      </c>
      <c r="V5099" s="1" t="str">
        <f t="shared" si="976"/>
        <v>里程去程</v>
      </c>
      <c r="W5099" s="1" t="str">
        <f>"0820"</f>
        <v>0820</v>
      </c>
      <c r="X5099" s="1" t="s">
        <v>35</v>
      </c>
    </row>
    <row r="5100" spans="1:24" x14ac:dyDescent="0.3">
      <c r="A5100" s="1" t="str">
        <f t="shared" si="973"/>
        <v>59809</v>
      </c>
      <c r="B5100" s="1" t="s">
        <v>42</v>
      </c>
      <c r="C5100" s="1" t="s">
        <v>43</v>
      </c>
      <c r="D5100" s="1" t="str">
        <f t="shared" si="977"/>
        <v>9801</v>
      </c>
      <c r="E5100" s="1" t="s">
        <v>25</v>
      </c>
      <c r="F5100" s="1" t="str">
        <f>"1408668097"</f>
        <v>1408668097</v>
      </c>
      <c r="G5100" s="1" t="s">
        <v>26</v>
      </c>
      <c r="H5100" s="1" t="str">
        <f t="shared" si="974"/>
        <v>20220924</v>
      </c>
      <c r="I5100" s="1" t="str">
        <f>"123205"</f>
        <v>123205</v>
      </c>
      <c r="J5100" s="1" t="s">
        <v>27</v>
      </c>
      <c r="K5100" s="1" t="s">
        <v>28</v>
      </c>
      <c r="L5100" s="1" t="str">
        <f t="shared" si="975"/>
        <v>20220924</v>
      </c>
      <c r="M5100" s="1" t="str">
        <f>"124639"</f>
        <v>124639</v>
      </c>
      <c r="N5100" s="1" t="s">
        <v>61</v>
      </c>
      <c r="O5100" s="1" t="s">
        <v>45</v>
      </c>
      <c r="P5100" s="1" t="s">
        <v>55</v>
      </c>
      <c r="Q5100" s="1">
        <v>13</v>
      </c>
      <c r="R5100" s="1">
        <v>13</v>
      </c>
      <c r="S5100" s="1">
        <v>0</v>
      </c>
      <c r="T5100" s="1">
        <v>0</v>
      </c>
      <c r="U5100" s="1">
        <v>0</v>
      </c>
      <c r="V5100" s="1" t="str">
        <f t="shared" si="976"/>
        <v>里程去程</v>
      </c>
      <c r="W5100" s="1" t="str">
        <f>"0820"</f>
        <v>0820</v>
      </c>
      <c r="X5100" s="1" t="s">
        <v>35</v>
      </c>
    </row>
    <row r="5101" spans="1:24" x14ac:dyDescent="0.3">
      <c r="A5101" s="1" t="str">
        <f t="shared" si="973"/>
        <v>59809</v>
      </c>
      <c r="B5101" s="1" t="s">
        <v>42</v>
      </c>
      <c r="C5101" s="1" t="s">
        <v>43</v>
      </c>
      <c r="D5101" s="1" t="str">
        <f t="shared" si="977"/>
        <v>9801</v>
      </c>
      <c r="E5101" s="1" t="s">
        <v>25</v>
      </c>
      <c r="F5101" s="1" t="str">
        <f>"277237775"</f>
        <v>277237775</v>
      </c>
      <c r="G5101" s="1" t="s">
        <v>33</v>
      </c>
      <c r="H5101" s="1" t="str">
        <f t="shared" si="974"/>
        <v>20220924</v>
      </c>
      <c r="I5101" s="1" t="str">
        <f>"123208"</f>
        <v>123208</v>
      </c>
      <c r="J5101" s="1" t="s">
        <v>27</v>
      </c>
      <c r="K5101" s="1" t="s">
        <v>28</v>
      </c>
      <c r="L5101" s="1" t="str">
        <f t="shared" si="975"/>
        <v>20220924</v>
      </c>
      <c r="M5101" s="1" t="str">
        <f>"124744"</f>
        <v>124744</v>
      </c>
      <c r="N5101" s="1" t="s">
        <v>56</v>
      </c>
      <c r="O5101" s="1" t="s">
        <v>45</v>
      </c>
      <c r="P5101" s="1" t="s">
        <v>55</v>
      </c>
      <c r="Q5101" s="1">
        <v>25</v>
      </c>
      <c r="R5101" s="1">
        <v>25</v>
      </c>
      <c r="S5101" s="1">
        <v>0</v>
      </c>
      <c r="T5101" s="1">
        <v>0</v>
      </c>
      <c r="U5101" s="1">
        <v>0</v>
      </c>
      <c r="V5101" s="1" t="str">
        <f t="shared" si="976"/>
        <v>里程去程</v>
      </c>
      <c r="W5101" s="1" t="str">
        <f>"1420"</f>
        <v>1420</v>
      </c>
      <c r="X5101" s="1" t="s">
        <v>35</v>
      </c>
    </row>
    <row r="5102" spans="1:24" x14ac:dyDescent="0.3">
      <c r="A5102" s="1" t="str">
        <f t="shared" si="973"/>
        <v>59809</v>
      </c>
      <c r="B5102" s="1" t="s">
        <v>42</v>
      </c>
      <c r="C5102" s="1" t="s">
        <v>43</v>
      </c>
      <c r="D5102" s="1" t="str">
        <f t="shared" si="977"/>
        <v>9801</v>
      </c>
      <c r="E5102" s="1" t="s">
        <v>25</v>
      </c>
      <c r="F5102" s="1" t="str">
        <f>"1739531109"</f>
        <v>1739531109</v>
      </c>
      <c r="G5102" s="1" t="s">
        <v>38</v>
      </c>
      <c r="H5102" s="1" t="str">
        <f t="shared" si="974"/>
        <v>20220924</v>
      </c>
      <c r="I5102" s="1" t="str">
        <f>"123314"</f>
        <v>123314</v>
      </c>
      <c r="J5102" s="1" t="s">
        <v>27</v>
      </c>
      <c r="K5102" s="1" t="s">
        <v>28</v>
      </c>
      <c r="L5102" s="1" t="str">
        <f t="shared" si="975"/>
        <v>20220924</v>
      </c>
      <c r="M5102" s="1" t="str">
        <f>"124651"</f>
        <v>124651</v>
      </c>
      <c r="N5102" s="1" t="s">
        <v>61</v>
      </c>
      <c r="O5102" s="1" t="s">
        <v>45</v>
      </c>
      <c r="P5102" s="1" t="s">
        <v>55</v>
      </c>
      <c r="Q5102" s="1">
        <v>25</v>
      </c>
      <c r="R5102" s="1">
        <v>0</v>
      </c>
      <c r="S5102" s="1">
        <v>25</v>
      </c>
      <c r="T5102" s="1">
        <v>0</v>
      </c>
      <c r="U5102" s="1">
        <v>0</v>
      </c>
      <c r="V5102" s="1" t="str">
        <f t="shared" si="976"/>
        <v>里程去程</v>
      </c>
      <c r="W5102" s="1" t="str">
        <f>"0820"</f>
        <v>0820</v>
      </c>
      <c r="X5102" s="1" t="s">
        <v>35</v>
      </c>
    </row>
    <row r="5103" spans="1:24" x14ac:dyDescent="0.3">
      <c r="A5103" s="1" t="str">
        <f t="shared" si="973"/>
        <v>59809</v>
      </c>
      <c r="B5103" s="1" t="s">
        <v>42</v>
      </c>
      <c r="C5103" s="1" t="s">
        <v>43</v>
      </c>
      <c r="D5103" s="1" t="str">
        <f t="shared" si="977"/>
        <v>9801</v>
      </c>
      <c r="E5103" s="1" t="s">
        <v>25</v>
      </c>
      <c r="F5103" s="1" t="str">
        <f>"129509365"</f>
        <v>129509365</v>
      </c>
      <c r="G5103" s="1" t="s">
        <v>33</v>
      </c>
      <c r="H5103" s="1" t="str">
        <f t="shared" si="974"/>
        <v>20220924</v>
      </c>
      <c r="I5103" s="1" t="str">
        <f>"123322"</f>
        <v>123322</v>
      </c>
      <c r="J5103" s="1" t="s">
        <v>27</v>
      </c>
      <c r="K5103" s="1" t="s">
        <v>28</v>
      </c>
      <c r="L5103" s="1" t="str">
        <f t="shared" si="975"/>
        <v>20220924</v>
      </c>
      <c r="M5103" s="1" t="str">
        <f>"124223"</f>
        <v>124223</v>
      </c>
      <c r="N5103" s="1" t="s">
        <v>79</v>
      </c>
      <c r="O5103" s="1" t="s">
        <v>45</v>
      </c>
      <c r="P5103" s="1" t="s">
        <v>55</v>
      </c>
      <c r="Q5103" s="1">
        <v>25</v>
      </c>
      <c r="R5103" s="1">
        <v>25</v>
      </c>
      <c r="S5103" s="1">
        <v>0</v>
      </c>
      <c r="T5103" s="1">
        <v>0</v>
      </c>
      <c r="U5103" s="1">
        <v>0</v>
      </c>
      <c r="V5103" s="1" t="str">
        <f t="shared" si="976"/>
        <v>里程去程</v>
      </c>
      <c r="W5103" s="1" t="str">
        <f>"0820"</f>
        <v>0820</v>
      </c>
      <c r="X5103" s="1" t="s">
        <v>35</v>
      </c>
    </row>
    <row r="5104" spans="1:24" x14ac:dyDescent="0.3">
      <c r="A5104" s="1" t="str">
        <f t="shared" si="973"/>
        <v>59809</v>
      </c>
      <c r="B5104" s="1" t="s">
        <v>42</v>
      </c>
      <c r="C5104" s="1" t="s">
        <v>43</v>
      </c>
      <c r="D5104" s="1" t="str">
        <f t="shared" si="977"/>
        <v>9801</v>
      </c>
      <c r="E5104" s="1" t="s">
        <v>25</v>
      </c>
      <c r="F5104" s="1" t="str">
        <f>"1219924741"</f>
        <v>1219924741</v>
      </c>
      <c r="G5104" s="1" t="s">
        <v>26</v>
      </c>
      <c r="H5104" s="1" t="str">
        <f t="shared" si="974"/>
        <v>20220924</v>
      </c>
      <c r="I5104" s="1" t="str">
        <f>"123329"</f>
        <v>123329</v>
      </c>
      <c r="J5104" s="1" t="s">
        <v>27</v>
      </c>
      <c r="K5104" s="1" t="s">
        <v>28</v>
      </c>
      <c r="L5104" s="1" t="str">
        <f t="shared" si="975"/>
        <v>20220924</v>
      </c>
      <c r="M5104" s="1" t="str">
        <f>"124231"</f>
        <v>124231</v>
      </c>
      <c r="N5104" s="1" t="s">
        <v>79</v>
      </c>
      <c r="O5104" s="1" t="s">
        <v>45</v>
      </c>
      <c r="P5104" s="1" t="s">
        <v>55</v>
      </c>
      <c r="Q5104" s="1">
        <v>13</v>
      </c>
      <c r="R5104" s="1">
        <v>13</v>
      </c>
      <c r="S5104" s="1">
        <v>0</v>
      </c>
      <c r="T5104" s="1">
        <v>0</v>
      </c>
      <c r="U5104" s="1">
        <v>0</v>
      </c>
      <c r="V5104" s="1" t="str">
        <f t="shared" si="976"/>
        <v>里程去程</v>
      </c>
      <c r="W5104" s="1" t="str">
        <f>"0820"</f>
        <v>0820</v>
      </c>
      <c r="X5104" s="1" t="s">
        <v>35</v>
      </c>
    </row>
    <row r="5105" spans="1:24" x14ac:dyDescent="0.3">
      <c r="A5105" s="1" t="str">
        <f t="shared" si="973"/>
        <v>59809</v>
      </c>
      <c r="B5105" s="1" t="s">
        <v>42</v>
      </c>
      <c r="C5105" s="1" t="s">
        <v>43</v>
      </c>
      <c r="D5105" s="1" t="str">
        <f t="shared" si="977"/>
        <v>9801</v>
      </c>
      <c r="E5105" s="1" t="s">
        <v>25</v>
      </c>
      <c r="F5105" s="1" t="str">
        <f>"1108385077"</f>
        <v>1108385077</v>
      </c>
      <c r="G5105" s="1" t="s">
        <v>33</v>
      </c>
      <c r="H5105" s="1" t="str">
        <f t="shared" si="974"/>
        <v>20220924</v>
      </c>
      <c r="I5105" s="1" t="str">
        <f>"123332"</f>
        <v>123332</v>
      </c>
      <c r="J5105" s="1" t="s">
        <v>27</v>
      </c>
      <c r="K5105" s="1" t="s">
        <v>28</v>
      </c>
      <c r="L5105" s="1" t="str">
        <f t="shared" si="975"/>
        <v>20220924</v>
      </c>
      <c r="M5105" s="1" t="str">
        <f>"124219"</f>
        <v>124219</v>
      </c>
      <c r="N5105" s="1" t="s">
        <v>79</v>
      </c>
      <c r="O5105" s="1" t="s">
        <v>45</v>
      </c>
      <c r="P5105" s="1" t="s">
        <v>55</v>
      </c>
      <c r="Q5105" s="1">
        <v>25</v>
      </c>
      <c r="R5105" s="1">
        <v>25</v>
      </c>
      <c r="S5105" s="1">
        <v>0</v>
      </c>
      <c r="T5105" s="1">
        <v>0</v>
      </c>
      <c r="U5105" s="1">
        <v>0</v>
      </c>
      <c r="V5105" s="1" t="str">
        <f t="shared" si="976"/>
        <v>里程去程</v>
      </c>
      <c r="W5105" s="1" t="str">
        <f>"0820"</f>
        <v>0820</v>
      </c>
      <c r="X5105" s="1" t="s">
        <v>35</v>
      </c>
    </row>
    <row r="5106" spans="1:24" x14ac:dyDescent="0.3">
      <c r="A5106" s="1" t="str">
        <f t="shared" si="973"/>
        <v>59809</v>
      </c>
      <c r="B5106" s="1" t="s">
        <v>42</v>
      </c>
      <c r="C5106" s="1" t="s">
        <v>43</v>
      </c>
      <c r="D5106" s="1" t="str">
        <f t="shared" si="977"/>
        <v>9801</v>
      </c>
      <c r="E5106" s="1" t="s">
        <v>25</v>
      </c>
      <c r="F5106" s="1" t="str">
        <f>"937333253"</f>
        <v>937333253</v>
      </c>
      <c r="G5106" s="1" t="s">
        <v>33</v>
      </c>
      <c r="H5106" s="1" t="str">
        <f t="shared" si="974"/>
        <v>20220924</v>
      </c>
      <c r="I5106" s="1" t="str">
        <f>"123347"</f>
        <v>123347</v>
      </c>
      <c r="J5106" s="1" t="s">
        <v>27</v>
      </c>
      <c r="K5106" s="1" t="s">
        <v>28</v>
      </c>
      <c r="L5106" s="1" t="str">
        <f t="shared" si="975"/>
        <v>20220924</v>
      </c>
      <c r="M5106" s="1" t="str">
        <f>"124656"</f>
        <v>124656</v>
      </c>
      <c r="N5106" s="1" t="s">
        <v>61</v>
      </c>
      <c r="O5106" s="1" t="s">
        <v>45</v>
      </c>
      <c r="P5106" s="1" t="s">
        <v>55</v>
      </c>
      <c r="Q5106" s="1">
        <v>25</v>
      </c>
      <c r="R5106" s="1">
        <v>25</v>
      </c>
      <c r="S5106" s="1">
        <v>0</v>
      </c>
      <c r="T5106" s="1">
        <v>0</v>
      </c>
      <c r="U5106" s="1">
        <v>0</v>
      </c>
      <c r="V5106" s="1" t="str">
        <f t="shared" si="976"/>
        <v>里程去程</v>
      </c>
      <c r="W5106" s="1" t="str">
        <f>"1620"</f>
        <v>1620</v>
      </c>
      <c r="X5106" s="1" t="s">
        <v>35</v>
      </c>
    </row>
    <row r="5107" spans="1:24" x14ac:dyDescent="0.3">
      <c r="A5107" s="1" t="str">
        <f t="shared" si="973"/>
        <v>59809</v>
      </c>
      <c r="B5107" s="1" t="s">
        <v>42</v>
      </c>
      <c r="C5107" s="1" t="s">
        <v>43</v>
      </c>
      <c r="D5107" s="1" t="str">
        <f t="shared" si="977"/>
        <v>9801</v>
      </c>
      <c r="E5107" s="1" t="s">
        <v>25</v>
      </c>
      <c r="F5107" s="1" t="str">
        <f>"F294450023880400C837002000000014"</f>
        <v>F294450023880400C837002000000014</v>
      </c>
      <c r="G5107" s="1" t="s">
        <v>59</v>
      </c>
      <c r="H5107" s="1" t="str">
        <f t="shared" si="974"/>
        <v>20220924</v>
      </c>
      <c r="I5107" s="1" t="str">
        <f>"123409"</f>
        <v>123409</v>
      </c>
      <c r="J5107" s="1" t="s">
        <v>27</v>
      </c>
      <c r="K5107" s="1" t="s">
        <v>28</v>
      </c>
      <c r="L5107" s="1" t="str">
        <f t="shared" si="975"/>
        <v>20220924</v>
      </c>
      <c r="M5107" s="1" t="str">
        <f>"125605"</f>
        <v>125605</v>
      </c>
      <c r="N5107" s="1" t="s">
        <v>44</v>
      </c>
      <c r="O5107" s="1" t="s">
        <v>45</v>
      </c>
      <c r="P5107" s="1" t="s">
        <v>55</v>
      </c>
      <c r="Q5107" s="1">
        <v>25</v>
      </c>
      <c r="R5107" s="1">
        <v>25</v>
      </c>
      <c r="S5107" s="1">
        <v>0</v>
      </c>
      <c r="T5107" s="1">
        <v>0</v>
      </c>
      <c r="U5107" s="1">
        <v>0</v>
      </c>
      <c r="V5107" s="1" t="str">
        <f t="shared" si="976"/>
        <v>里程去程</v>
      </c>
      <c r="W5107" s="1" t="str">
        <f>"0020"</f>
        <v>0020</v>
      </c>
      <c r="X5107" s="1" t="s">
        <v>29</v>
      </c>
    </row>
    <row r="5108" spans="1:24" x14ac:dyDescent="0.3">
      <c r="A5108" s="1" t="str">
        <f t="shared" si="973"/>
        <v>59809</v>
      </c>
      <c r="B5108" s="1" t="s">
        <v>42</v>
      </c>
      <c r="C5108" s="1" t="s">
        <v>43</v>
      </c>
      <c r="D5108" s="1" t="str">
        <f t="shared" si="977"/>
        <v>9801</v>
      </c>
      <c r="E5108" s="1" t="s">
        <v>25</v>
      </c>
      <c r="F5108" s="1" t="str">
        <f>"F294450023880400C837002000000014"</f>
        <v>F294450023880400C837002000000014</v>
      </c>
      <c r="G5108" s="1" t="s">
        <v>59</v>
      </c>
      <c r="H5108" s="1" t="str">
        <f t="shared" si="974"/>
        <v>20220924</v>
      </c>
      <c r="I5108" s="1" t="str">
        <f>"125631"</f>
        <v>125631</v>
      </c>
      <c r="J5108" s="1" t="s">
        <v>52</v>
      </c>
      <c r="K5108" s="1" t="s">
        <v>52</v>
      </c>
      <c r="L5108" s="1" t="str">
        <f t="shared" si="975"/>
        <v>20220924</v>
      </c>
      <c r="M5108" s="1" t="str">
        <f>"130533"</f>
        <v>130533</v>
      </c>
      <c r="N5108" s="1" t="s">
        <v>60</v>
      </c>
      <c r="O5108" s="1" t="s">
        <v>52</v>
      </c>
      <c r="P5108" s="1" t="s">
        <v>55</v>
      </c>
      <c r="Q5108" s="1">
        <v>25</v>
      </c>
      <c r="R5108" s="1">
        <v>25</v>
      </c>
      <c r="S5108" s="1">
        <v>0</v>
      </c>
      <c r="T5108" s="1">
        <v>0</v>
      </c>
      <c r="U5108" s="1">
        <v>0</v>
      </c>
      <c r="V5108" s="1" t="str">
        <f t="shared" si="976"/>
        <v>里程去程</v>
      </c>
      <c r="W5108" s="1" t="str">
        <f>"0020"</f>
        <v>0020</v>
      </c>
      <c r="X5108" s="1" t="s">
        <v>29</v>
      </c>
    </row>
    <row r="5109" spans="1:24" x14ac:dyDescent="0.3">
      <c r="A5109" s="1" t="str">
        <f t="shared" si="973"/>
        <v>59809</v>
      </c>
      <c r="B5109" s="1" t="s">
        <v>42</v>
      </c>
      <c r="C5109" s="1" t="s">
        <v>43</v>
      </c>
      <c r="D5109" s="1" t="str">
        <f t="shared" si="977"/>
        <v>9801</v>
      </c>
      <c r="E5109" s="1" t="s">
        <v>25</v>
      </c>
      <c r="F5109" s="1" t="str">
        <f>"1254374821"</f>
        <v>1254374821</v>
      </c>
      <c r="G5109" s="1" t="s">
        <v>33</v>
      </c>
      <c r="H5109" s="1" t="str">
        <f t="shared" si="974"/>
        <v>20220924</v>
      </c>
      <c r="I5109" s="1" t="str">
        <f>"132819"</f>
        <v>132819</v>
      </c>
      <c r="J5109" s="1" t="s">
        <v>27</v>
      </c>
      <c r="K5109" s="1" t="s">
        <v>28</v>
      </c>
      <c r="L5109" s="1" t="str">
        <f t="shared" si="975"/>
        <v>20220924</v>
      </c>
      <c r="M5109" s="1" t="str">
        <f>"135255"</f>
        <v>135255</v>
      </c>
      <c r="N5109" s="1" t="s">
        <v>44</v>
      </c>
      <c r="O5109" s="1" t="s">
        <v>45</v>
      </c>
      <c r="P5109" s="1" t="s">
        <v>55</v>
      </c>
      <c r="Q5109" s="1">
        <v>25</v>
      </c>
      <c r="R5109" s="1">
        <v>25</v>
      </c>
      <c r="S5109" s="1">
        <v>0</v>
      </c>
      <c r="T5109" s="1">
        <v>0</v>
      </c>
      <c r="U5109" s="1">
        <v>0</v>
      </c>
      <c r="V5109" s="1" t="str">
        <f t="shared" si="976"/>
        <v>里程去程</v>
      </c>
      <c r="W5109" s="1" t="str">
        <f>"1420"</f>
        <v>1420</v>
      </c>
      <c r="X5109" s="1" t="s">
        <v>35</v>
      </c>
    </row>
    <row r="5110" spans="1:24" x14ac:dyDescent="0.3">
      <c r="A5110" s="1" t="str">
        <f t="shared" si="973"/>
        <v>59809</v>
      </c>
      <c r="B5110" s="1" t="s">
        <v>42</v>
      </c>
      <c r="C5110" s="1" t="s">
        <v>43</v>
      </c>
      <c r="D5110" s="1" t="str">
        <f t="shared" si="977"/>
        <v>9801</v>
      </c>
      <c r="E5110" s="1" t="s">
        <v>25</v>
      </c>
      <c r="F5110" s="1" t="str">
        <f>"1737283381"</f>
        <v>1737283381</v>
      </c>
      <c r="G5110" s="1" t="s">
        <v>33</v>
      </c>
      <c r="H5110" s="1" t="str">
        <f t="shared" si="974"/>
        <v>20220924</v>
      </c>
      <c r="I5110" s="1" t="str">
        <f>"132822"</f>
        <v>132822</v>
      </c>
      <c r="J5110" s="1" t="s">
        <v>27</v>
      </c>
      <c r="K5110" s="1" t="s">
        <v>28</v>
      </c>
      <c r="L5110" s="1" t="str">
        <f t="shared" si="975"/>
        <v>20220924</v>
      </c>
      <c r="M5110" s="1" t="str">
        <f>"135535"</f>
        <v>135535</v>
      </c>
      <c r="N5110" s="1" t="s">
        <v>44</v>
      </c>
      <c r="O5110" s="1" t="s">
        <v>45</v>
      </c>
      <c r="P5110" s="1" t="s">
        <v>55</v>
      </c>
      <c r="Q5110" s="1">
        <v>25</v>
      </c>
      <c r="R5110" s="1">
        <v>25</v>
      </c>
      <c r="S5110" s="1">
        <v>0</v>
      </c>
      <c r="T5110" s="1">
        <v>0</v>
      </c>
      <c r="U5110" s="1">
        <v>0</v>
      </c>
      <c r="V5110" s="1" t="str">
        <f t="shared" si="976"/>
        <v>里程去程</v>
      </c>
      <c r="W5110" s="1" t="str">
        <f>"2020"</f>
        <v>2020</v>
      </c>
      <c r="X5110" s="1" t="s">
        <v>35</v>
      </c>
    </row>
    <row r="5111" spans="1:24" x14ac:dyDescent="0.3">
      <c r="A5111" s="1" t="str">
        <f t="shared" si="973"/>
        <v>59809</v>
      </c>
      <c r="B5111" s="1" t="s">
        <v>42</v>
      </c>
      <c r="C5111" s="1" t="s">
        <v>43</v>
      </c>
      <c r="D5111" s="1" t="str">
        <f t="shared" si="977"/>
        <v>9801</v>
      </c>
      <c r="E5111" s="1" t="s">
        <v>25</v>
      </c>
      <c r="F5111" s="1" t="str">
        <f>"1695708368"</f>
        <v>1695708368</v>
      </c>
      <c r="G5111" s="1" t="s">
        <v>33</v>
      </c>
      <c r="H5111" s="1" t="str">
        <f t="shared" si="974"/>
        <v>20220924</v>
      </c>
      <c r="I5111" s="1" t="str">
        <f>"134921"</f>
        <v>134921</v>
      </c>
      <c r="J5111" s="1" t="s">
        <v>91</v>
      </c>
      <c r="K5111" s="1" t="s">
        <v>45</v>
      </c>
      <c r="L5111" s="1" t="str">
        <f t="shared" si="975"/>
        <v>20220924</v>
      </c>
      <c r="M5111" s="1" t="str">
        <f>"135531"</f>
        <v>135531</v>
      </c>
      <c r="N5111" s="1" t="s">
        <v>44</v>
      </c>
      <c r="O5111" s="1" t="s">
        <v>45</v>
      </c>
      <c r="P5111" s="1" t="s">
        <v>55</v>
      </c>
      <c r="Q5111" s="1">
        <v>25</v>
      </c>
      <c r="R5111" s="1">
        <v>25</v>
      </c>
      <c r="S5111" s="1">
        <v>0</v>
      </c>
      <c r="T5111" s="1">
        <v>0</v>
      </c>
      <c r="U5111" s="1">
        <v>0</v>
      </c>
      <c r="V5111" s="1" t="str">
        <f t="shared" si="976"/>
        <v>里程去程</v>
      </c>
      <c r="W5111" s="1" t="str">
        <f>"2020"</f>
        <v>2020</v>
      </c>
      <c r="X5111" s="1" t="s">
        <v>35</v>
      </c>
    </row>
    <row r="5112" spans="1:24" x14ac:dyDescent="0.3">
      <c r="A5112" s="1" t="str">
        <f t="shared" si="973"/>
        <v>59809</v>
      </c>
      <c r="B5112" s="1" t="s">
        <v>42</v>
      </c>
      <c r="C5112" s="1" t="s">
        <v>43</v>
      </c>
      <c r="D5112" s="1" t="str">
        <f t="shared" si="977"/>
        <v>9801</v>
      </c>
      <c r="E5112" s="1" t="s">
        <v>25</v>
      </c>
      <c r="F5112" s="1" t="str">
        <f>"F27CE6026A880400C834002000000015"</f>
        <v>F27CE6026A880400C834002000000015</v>
      </c>
      <c r="G5112" s="1" t="s">
        <v>74</v>
      </c>
      <c r="H5112" s="1" t="str">
        <f t="shared" si="974"/>
        <v>20220924</v>
      </c>
      <c r="I5112" s="1" t="str">
        <f>"145640"</f>
        <v>145640</v>
      </c>
      <c r="J5112" s="1" t="s">
        <v>52</v>
      </c>
      <c r="K5112" s="1" t="s">
        <v>52</v>
      </c>
      <c r="L5112" s="1" t="str">
        <f t="shared" si="975"/>
        <v>20220924</v>
      </c>
      <c r="M5112" s="1" t="str">
        <f>"150547"</f>
        <v>150547</v>
      </c>
      <c r="N5112" s="1" t="s">
        <v>60</v>
      </c>
      <c r="O5112" s="1" t="s">
        <v>52</v>
      </c>
      <c r="P5112" s="1" t="s">
        <v>68</v>
      </c>
      <c r="Q5112" s="1">
        <v>13</v>
      </c>
      <c r="R5112" s="1">
        <v>0</v>
      </c>
      <c r="S5112" s="1">
        <v>0</v>
      </c>
      <c r="T5112" s="1">
        <v>13</v>
      </c>
      <c r="U5112" s="1">
        <v>0</v>
      </c>
      <c r="V5112" s="1" t="str">
        <f t="shared" si="976"/>
        <v>里程去程</v>
      </c>
      <c r="W5112" s="1" t="str">
        <f>"0020"</f>
        <v>0020</v>
      </c>
      <c r="X5112" s="1" t="s">
        <v>29</v>
      </c>
    </row>
    <row r="5113" spans="1:24" x14ac:dyDescent="0.3">
      <c r="A5113" s="1" t="str">
        <f t="shared" si="973"/>
        <v>59809</v>
      </c>
      <c r="B5113" s="1" t="s">
        <v>42</v>
      </c>
      <c r="C5113" s="1" t="s">
        <v>43</v>
      </c>
      <c r="D5113" s="1" t="str">
        <f t="shared" si="977"/>
        <v>9801</v>
      </c>
      <c r="E5113" s="1" t="s">
        <v>25</v>
      </c>
      <c r="F5113" s="1" t="str">
        <f>"C2F219032A880400C834002000000015"</f>
        <v>C2F219032A880400C834002000000015</v>
      </c>
      <c r="G5113" s="1" t="s">
        <v>26</v>
      </c>
      <c r="H5113" s="1" t="str">
        <f t="shared" si="974"/>
        <v>20220924</v>
      </c>
      <c r="I5113" s="1" t="str">
        <f>"150439"</f>
        <v>150439</v>
      </c>
      <c r="J5113" s="1" t="s">
        <v>86</v>
      </c>
      <c r="K5113" s="1" t="s">
        <v>52</v>
      </c>
      <c r="L5113" s="1" t="str">
        <f t="shared" si="975"/>
        <v>20220924</v>
      </c>
      <c r="M5113" s="1" t="str">
        <f>"150748"</f>
        <v>150748</v>
      </c>
      <c r="N5113" s="1" t="s">
        <v>51</v>
      </c>
      <c r="O5113" s="1" t="s">
        <v>52</v>
      </c>
      <c r="P5113" s="1" t="s">
        <v>68</v>
      </c>
      <c r="Q5113" s="1">
        <v>13</v>
      </c>
      <c r="R5113" s="1">
        <v>0</v>
      </c>
      <c r="S5113" s="1">
        <v>0</v>
      </c>
      <c r="T5113" s="1">
        <v>13</v>
      </c>
      <c r="U5113" s="1">
        <v>0</v>
      </c>
      <c r="V5113" s="1" t="str">
        <f t="shared" si="976"/>
        <v>里程去程</v>
      </c>
      <c r="W5113" s="1" t="str">
        <f>"0020"</f>
        <v>0020</v>
      </c>
      <c r="X5113" s="1" t="s">
        <v>29</v>
      </c>
    </row>
    <row r="5114" spans="1:24" x14ac:dyDescent="0.3">
      <c r="A5114" s="1" t="str">
        <f t="shared" si="973"/>
        <v>59809</v>
      </c>
      <c r="B5114" s="1" t="s">
        <v>42</v>
      </c>
      <c r="C5114" s="1" t="s">
        <v>43</v>
      </c>
      <c r="D5114" s="1" t="str">
        <f t="shared" si="977"/>
        <v>9801</v>
      </c>
      <c r="E5114" s="1" t="s">
        <v>25</v>
      </c>
      <c r="F5114" s="1" t="str">
        <f>"F25B1B03B1880400C834002000000015"</f>
        <v>F25B1B03B1880400C834002000000015</v>
      </c>
      <c r="G5114" s="1" t="s">
        <v>26</v>
      </c>
      <c r="H5114" s="1" t="str">
        <f t="shared" si="974"/>
        <v>20220924</v>
      </c>
      <c r="I5114" s="1" t="str">
        <f>"150619"</f>
        <v>150619</v>
      </c>
      <c r="J5114" s="1" t="s">
        <v>60</v>
      </c>
      <c r="K5114" s="1" t="s">
        <v>52</v>
      </c>
      <c r="L5114" s="1" t="str">
        <f t="shared" si="975"/>
        <v>20220924</v>
      </c>
      <c r="M5114" s="1" t="str">
        <f>"152837"</f>
        <v>152837</v>
      </c>
      <c r="N5114" s="1" t="s">
        <v>70</v>
      </c>
      <c r="O5114" s="1" t="s">
        <v>28</v>
      </c>
      <c r="P5114" s="1" t="s">
        <v>68</v>
      </c>
      <c r="Q5114" s="1">
        <v>13</v>
      </c>
      <c r="R5114" s="1">
        <v>0</v>
      </c>
      <c r="S5114" s="1">
        <v>0</v>
      </c>
      <c r="T5114" s="1">
        <v>13</v>
      </c>
      <c r="U5114" s="1">
        <v>0</v>
      </c>
      <c r="V5114" s="1" t="str">
        <f t="shared" si="976"/>
        <v>里程去程</v>
      </c>
      <c r="W5114" s="1" t="str">
        <f>"0020"</f>
        <v>0020</v>
      </c>
      <c r="X5114" s="1" t="s">
        <v>29</v>
      </c>
    </row>
    <row r="5115" spans="1:24" x14ac:dyDescent="0.3">
      <c r="A5115" s="1" t="str">
        <f t="shared" si="973"/>
        <v>59809</v>
      </c>
      <c r="B5115" s="1" t="s">
        <v>42</v>
      </c>
      <c r="C5115" s="1" t="s">
        <v>43</v>
      </c>
      <c r="D5115" s="1" t="str">
        <f t="shared" si="977"/>
        <v>9801</v>
      </c>
      <c r="E5115" s="1" t="s">
        <v>25</v>
      </c>
      <c r="F5115" s="1" t="str">
        <f>"2395845819"</f>
        <v>2395845819</v>
      </c>
      <c r="G5115" s="1" t="s">
        <v>26</v>
      </c>
      <c r="H5115" s="1" t="str">
        <f t="shared" si="974"/>
        <v>20220924</v>
      </c>
      <c r="I5115" s="1" t="str">
        <f>"163234"</f>
        <v>163234</v>
      </c>
      <c r="J5115" s="1" t="s">
        <v>28</v>
      </c>
      <c r="K5115" s="1" t="s">
        <v>28</v>
      </c>
      <c r="L5115" s="1" t="str">
        <f t="shared" si="975"/>
        <v>20220924</v>
      </c>
      <c r="M5115" s="1" t="str">
        <f>"164931"</f>
        <v>164931</v>
      </c>
      <c r="N5115" s="1" t="s">
        <v>75</v>
      </c>
      <c r="O5115" s="1" t="s">
        <v>45</v>
      </c>
      <c r="P5115" s="1" t="s">
        <v>55</v>
      </c>
      <c r="Q5115" s="1">
        <v>13</v>
      </c>
      <c r="R5115" s="1">
        <v>0</v>
      </c>
      <c r="S5115" s="1">
        <v>13</v>
      </c>
      <c r="T5115" s="1">
        <v>0</v>
      </c>
      <c r="U5115" s="1">
        <v>0</v>
      </c>
      <c r="V5115" s="1" t="str">
        <f t="shared" si="976"/>
        <v>里程去程</v>
      </c>
      <c r="W5115" s="1" t="str">
        <f>"2020"</f>
        <v>2020</v>
      </c>
      <c r="X5115" s="1" t="s">
        <v>35</v>
      </c>
    </row>
    <row r="5116" spans="1:24" x14ac:dyDescent="0.3">
      <c r="A5116" s="1" t="str">
        <f t="shared" si="973"/>
        <v>59809</v>
      </c>
      <c r="B5116" s="1" t="s">
        <v>42</v>
      </c>
      <c r="C5116" s="1" t="s">
        <v>43</v>
      </c>
      <c r="D5116" s="1" t="str">
        <f t="shared" si="977"/>
        <v>9801</v>
      </c>
      <c r="E5116" s="1" t="s">
        <v>25</v>
      </c>
      <c r="F5116" s="1" t="str">
        <f>"3589896026"</f>
        <v>3589896026</v>
      </c>
      <c r="G5116" s="1" t="s">
        <v>33</v>
      </c>
      <c r="H5116" s="1" t="str">
        <f t="shared" si="974"/>
        <v>20220924</v>
      </c>
      <c r="I5116" s="1" t="str">
        <f>"163249"</f>
        <v>163249</v>
      </c>
      <c r="J5116" s="1" t="s">
        <v>28</v>
      </c>
      <c r="K5116" s="1" t="s">
        <v>28</v>
      </c>
      <c r="L5116" s="1" t="str">
        <f t="shared" si="975"/>
        <v>20220924</v>
      </c>
      <c r="M5116" s="1" t="str">
        <f>"164915"</f>
        <v>164915</v>
      </c>
      <c r="N5116" s="1" t="s">
        <v>56</v>
      </c>
      <c r="O5116" s="1" t="s">
        <v>45</v>
      </c>
      <c r="P5116" s="1" t="s">
        <v>55</v>
      </c>
      <c r="Q5116" s="1">
        <v>25</v>
      </c>
      <c r="R5116" s="1">
        <v>25</v>
      </c>
      <c r="S5116" s="1">
        <v>0</v>
      </c>
      <c r="T5116" s="1">
        <v>0</v>
      </c>
      <c r="U5116" s="1">
        <v>0</v>
      </c>
      <c r="V5116" s="1" t="str">
        <f t="shared" si="976"/>
        <v>里程去程</v>
      </c>
      <c r="W5116" s="1" t="str">
        <f>"2020"</f>
        <v>2020</v>
      </c>
      <c r="X5116" s="1" t="s">
        <v>35</v>
      </c>
    </row>
    <row r="5117" spans="1:24" x14ac:dyDescent="0.3">
      <c r="A5117" s="1" t="str">
        <f t="shared" si="973"/>
        <v>59809</v>
      </c>
      <c r="B5117" s="1" t="s">
        <v>42</v>
      </c>
      <c r="C5117" s="1" t="s">
        <v>43</v>
      </c>
      <c r="D5117" s="1" t="str">
        <f t="shared" si="977"/>
        <v>9801</v>
      </c>
      <c r="E5117" s="1" t="s">
        <v>25</v>
      </c>
      <c r="F5117" s="1" t="str">
        <f>"7227671624880400C814002000000019"</f>
        <v>7227671624880400C814002000000019</v>
      </c>
      <c r="G5117" s="1" t="s">
        <v>82</v>
      </c>
      <c r="H5117" s="1" t="str">
        <f t="shared" si="974"/>
        <v>20220924</v>
      </c>
      <c r="I5117" s="1" t="str">
        <f>"172707"</f>
        <v>172707</v>
      </c>
      <c r="J5117" s="1" t="s">
        <v>44</v>
      </c>
      <c r="K5117" s="1" t="s">
        <v>45</v>
      </c>
      <c r="L5117" s="1" t="str">
        <f t="shared" si="975"/>
        <v>20220924</v>
      </c>
      <c r="M5117" s="1" t="str">
        <f>"175054"</f>
        <v>175054</v>
      </c>
      <c r="N5117" s="1" t="s">
        <v>28</v>
      </c>
      <c r="O5117" s="1" t="s">
        <v>28</v>
      </c>
      <c r="P5117" s="1" t="s">
        <v>55</v>
      </c>
      <c r="Q5117" s="1">
        <v>13</v>
      </c>
      <c r="R5117" s="1">
        <v>0</v>
      </c>
      <c r="S5117" s="1">
        <v>13</v>
      </c>
      <c r="T5117" s="1">
        <v>0</v>
      </c>
      <c r="U5117" s="1">
        <v>0</v>
      </c>
      <c r="V5117" s="1" t="str">
        <f t="shared" ref="V5117:V5125" si="978">"里程返程"</f>
        <v>里程返程</v>
      </c>
      <c r="W5117" s="1" t="str">
        <f>"2020"</f>
        <v>2020</v>
      </c>
      <c r="X5117" s="1" t="s">
        <v>29</v>
      </c>
    </row>
    <row r="5118" spans="1:24" x14ac:dyDescent="0.3">
      <c r="A5118" s="1" t="str">
        <f t="shared" si="973"/>
        <v>59809</v>
      </c>
      <c r="B5118" s="1" t="s">
        <v>42</v>
      </c>
      <c r="C5118" s="1" t="s">
        <v>43</v>
      </c>
      <c r="D5118" s="1" t="str">
        <f t="shared" si="977"/>
        <v>9801</v>
      </c>
      <c r="E5118" s="1" t="s">
        <v>25</v>
      </c>
      <c r="F5118" s="1" t="str">
        <f>"0202511647880400C814002000000019"</f>
        <v>0202511647880400C814002000000019</v>
      </c>
      <c r="G5118" s="1" t="s">
        <v>66</v>
      </c>
      <c r="H5118" s="1" t="str">
        <f t="shared" si="974"/>
        <v>20220924</v>
      </c>
      <c r="I5118" s="1" t="str">
        <f>"172710"</f>
        <v>172710</v>
      </c>
      <c r="J5118" s="1" t="s">
        <v>44</v>
      </c>
      <c r="K5118" s="1" t="s">
        <v>45</v>
      </c>
      <c r="L5118" s="1" t="str">
        <f t="shared" si="975"/>
        <v>20220924</v>
      </c>
      <c r="M5118" s="1" t="str">
        <f>"175057"</f>
        <v>175057</v>
      </c>
      <c r="N5118" s="1" t="s">
        <v>28</v>
      </c>
      <c r="O5118" s="1" t="s">
        <v>28</v>
      </c>
      <c r="P5118" s="1" t="s">
        <v>55</v>
      </c>
      <c r="Q5118" s="1">
        <v>13</v>
      </c>
      <c r="R5118" s="1">
        <v>0</v>
      </c>
      <c r="S5118" s="1">
        <v>13</v>
      </c>
      <c r="T5118" s="1">
        <v>0</v>
      </c>
      <c r="U5118" s="1">
        <v>0</v>
      </c>
      <c r="V5118" s="1" t="str">
        <f t="shared" si="978"/>
        <v>里程返程</v>
      </c>
      <c r="W5118" s="1" t="str">
        <f>"2020"</f>
        <v>2020</v>
      </c>
      <c r="X5118" s="1" t="s">
        <v>29</v>
      </c>
    </row>
    <row r="5119" spans="1:24" x14ac:dyDescent="0.3">
      <c r="A5119" s="1" t="str">
        <f t="shared" si="973"/>
        <v>59809</v>
      </c>
      <c r="B5119" s="1" t="s">
        <v>42</v>
      </c>
      <c r="C5119" s="1" t="s">
        <v>43</v>
      </c>
      <c r="D5119" s="1" t="str">
        <f t="shared" si="977"/>
        <v>9801</v>
      </c>
      <c r="E5119" s="1" t="s">
        <v>25</v>
      </c>
      <c r="F5119" s="1" t="str">
        <f>"1601789349"</f>
        <v>1601789349</v>
      </c>
      <c r="G5119" s="1" t="s">
        <v>33</v>
      </c>
      <c r="H5119" s="1" t="str">
        <f t="shared" si="974"/>
        <v>20220924</v>
      </c>
      <c r="I5119" s="1" t="str">
        <f>"172727"</f>
        <v>172727</v>
      </c>
      <c r="J5119" s="1" t="s">
        <v>44</v>
      </c>
      <c r="K5119" s="1" t="s">
        <v>45</v>
      </c>
      <c r="L5119" s="1" t="str">
        <f t="shared" si="975"/>
        <v>20220924</v>
      </c>
      <c r="M5119" s="1" t="str">
        <f>"175106"</f>
        <v>175106</v>
      </c>
      <c r="N5119" s="1" t="s">
        <v>28</v>
      </c>
      <c r="O5119" s="1" t="s">
        <v>28</v>
      </c>
      <c r="P5119" s="1" t="s">
        <v>55</v>
      </c>
      <c r="Q5119" s="1">
        <v>25</v>
      </c>
      <c r="R5119" s="1">
        <v>25</v>
      </c>
      <c r="S5119" s="1">
        <v>0</v>
      </c>
      <c r="T5119" s="1">
        <v>0</v>
      </c>
      <c r="U5119" s="1">
        <v>0</v>
      </c>
      <c r="V5119" s="1" t="str">
        <f t="shared" si="978"/>
        <v>里程返程</v>
      </c>
      <c r="W5119" s="1" t="str">
        <f>"0820"</f>
        <v>0820</v>
      </c>
      <c r="X5119" s="1" t="s">
        <v>35</v>
      </c>
    </row>
    <row r="5120" spans="1:24" x14ac:dyDescent="0.3">
      <c r="A5120" s="1" t="str">
        <f t="shared" si="973"/>
        <v>59809</v>
      </c>
      <c r="B5120" s="1" t="s">
        <v>42</v>
      </c>
      <c r="C5120" s="1" t="s">
        <v>43</v>
      </c>
      <c r="D5120" s="1" t="str">
        <f t="shared" si="977"/>
        <v>9801</v>
      </c>
      <c r="E5120" s="1" t="s">
        <v>25</v>
      </c>
      <c r="F5120" s="1" t="str">
        <f>"1772257061"</f>
        <v>1772257061</v>
      </c>
      <c r="G5120" s="1" t="s">
        <v>33</v>
      </c>
      <c r="H5120" s="1" t="str">
        <f t="shared" si="974"/>
        <v>20220924</v>
      </c>
      <c r="I5120" s="1" t="str">
        <f>"172732"</f>
        <v>172732</v>
      </c>
      <c r="J5120" s="1" t="s">
        <v>44</v>
      </c>
      <c r="K5120" s="1" t="s">
        <v>45</v>
      </c>
      <c r="L5120" s="1" t="str">
        <f t="shared" si="975"/>
        <v>20220924</v>
      </c>
      <c r="M5120" s="1" t="str">
        <f>"175102"</f>
        <v>175102</v>
      </c>
      <c r="N5120" s="1" t="s">
        <v>28</v>
      </c>
      <c r="O5120" s="1" t="s">
        <v>28</v>
      </c>
      <c r="P5120" s="1" t="s">
        <v>55</v>
      </c>
      <c r="Q5120" s="1">
        <v>25</v>
      </c>
      <c r="R5120" s="1">
        <v>25</v>
      </c>
      <c r="S5120" s="1">
        <v>0</v>
      </c>
      <c r="T5120" s="1">
        <v>0</v>
      </c>
      <c r="U5120" s="1">
        <v>0</v>
      </c>
      <c r="V5120" s="1" t="str">
        <f t="shared" si="978"/>
        <v>里程返程</v>
      </c>
      <c r="W5120" s="1" t="str">
        <f>"0820"</f>
        <v>0820</v>
      </c>
      <c r="X5120" s="1" t="s">
        <v>35</v>
      </c>
    </row>
    <row r="5121" spans="1:24" x14ac:dyDescent="0.3">
      <c r="A5121" s="1" t="str">
        <f t="shared" si="973"/>
        <v>59809</v>
      </c>
      <c r="B5121" s="1" t="s">
        <v>42</v>
      </c>
      <c r="C5121" s="1" t="s">
        <v>43</v>
      </c>
      <c r="D5121" s="1" t="str">
        <f t="shared" si="977"/>
        <v>9801</v>
      </c>
      <c r="E5121" s="1" t="s">
        <v>25</v>
      </c>
      <c r="F5121" s="1" t="str">
        <f>"234627749"</f>
        <v>234627749</v>
      </c>
      <c r="G5121" s="1" t="s">
        <v>33</v>
      </c>
      <c r="H5121" s="1" t="str">
        <f t="shared" si="974"/>
        <v>20220924</v>
      </c>
      <c r="I5121" s="1" t="str">
        <f>"182440"</f>
        <v>182440</v>
      </c>
      <c r="J5121" s="1" t="s">
        <v>44</v>
      </c>
      <c r="K5121" s="1" t="s">
        <v>45</v>
      </c>
      <c r="L5121" s="1" t="str">
        <f t="shared" si="975"/>
        <v>20220924</v>
      </c>
      <c r="M5121" s="1" t="str">
        <f>"185032"</f>
        <v>185032</v>
      </c>
      <c r="N5121" s="1" t="s">
        <v>28</v>
      </c>
      <c r="O5121" s="1" t="s">
        <v>28</v>
      </c>
      <c r="P5121" s="1" t="s">
        <v>55</v>
      </c>
      <c r="Q5121" s="1">
        <v>25</v>
      </c>
      <c r="R5121" s="1">
        <v>0</v>
      </c>
      <c r="S5121" s="1">
        <v>25</v>
      </c>
      <c r="T5121" s="1">
        <v>0</v>
      </c>
      <c r="U5121" s="1">
        <v>0</v>
      </c>
      <c r="V5121" s="1" t="str">
        <f t="shared" si="978"/>
        <v>里程返程</v>
      </c>
      <c r="W5121" s="1" t="str">
        <f>"2120"</f>
        <v>2120</v>
      </c>
      <c r="X5121" s="1" t="s">
        <v>35</v>
      </c>
    </row>
    <row r="5122" spans="1:24" x14ac:dyDescent="0.3">
      <c r="A5122" s="1" t="str">
        <f t="shared" si="973"/>
        <v>59809</v>
      </c>
      <c r="B5122" s="1" t="s">
        <v>42</v>
      </c>
      <c r="C5122" s="1" t="s">
        <v>43</v>
      </c>
      <c r="D5122" s="1" t="str">
        <f t="shared" si="977"/>
        <v>9801</v>
      </c>
      <c r="E5122" s="1" t="s">
        <v>25</v>
      </c>
      <c r="F5122" s="1" t="str">
        <f>"3183631402"</f>
        <v>3183631402</v>
      </c>
      <c r="G5122" s="1" t="s">
        <v>33</v>
      </c>
      <c r="H5122" s="1" t="str">
        <f t="shared" si="974"/>
        <v>20220924</v>
      </c>
      <c r="I5122" s="1" t="str">
        <f>"185040"</f>
        <v>185040</v>
      </c>
      <c r="J5122" s="1" t="s">
        <v>28</v>
      </c>
      <c r="K5122" s="1" t="s">
        <v>28</v>
      </c>
      <c r="L5122" s="1" t="str">
        <f t="shared" si="975"/>
        <v>20220924</v>
      </c>
      <c r="M5122" s="1" t="str">
        <f>"192107"</f>
        <v>192107</v>
      </c>
      <c r="N5122" s="1" t="s">
        <v>52</v>
      </c>
      <c r="O5122" s="1" t="s">
        <v>52</v>
      </c>
      <c r="P5122" s="1" t="s">
        <v>55</v>
      </c>
      <c r="Q5122" s="1">
        <v>25</v>
      </c>
      <c r="R5122" s="1">
        <v>25</v>
      </c>
      <c r="S5122" s="1">
        <v>0</v>
      </c>
      <c r="T5122" s="1">
        <v>0</v>
      </c>
      <c r="U5122" s="1">
        <v>0</v>
      </c>
      <c r="V5122" s="1" t="str">
        <f t="shared" si="978"/>
        <v>里程返程</v>
      </c>
      <c r="W5122" s="1" t="str">
        <f>"1e20"</f>
        <v>1e20</v>
      </c>
      <c r="X5122" s="1" t="s">
        <v>35</v>
      </c>
    </row>
    <row r="5123" spans="1:24" x14ac:dyDescent="0.3">
      <c r="A5123" s="1" t="str">
        <f t="shared" si="973"/>
        <v>59809</v>
      </c>
      <c r="B5123" s="1" t="s">
        <v>42</v>
      </c>
      <c r="C5123" s="1" t="s">
        <v>43</v>
      </c>
      <c r="D5123" s="1" t="str">
        <f t="shared" si="977"/>
        <v>9801</v>
      </c>
      <c r="E5123" s="1" t="s">
        <v>25</v>
      </c>
      <c r="F5123" s="1" t="str">
        <f>"2073901531"</f>
        <v>2073901531</v>
      </c>
      <c r="G5123" s="1" t="s">
        <v>33</v>
      </c>
      <c r="H5123" s="1" t="str">
        <f t="shared" si="974"/>
        <v>20220924</v>
      </c>
      <c r="I5123" s="1" t="str">
        <f>"185052"</f>
        <v>185052</v>
      </c>
      <c r="J5123" s="1" t="s">
        <v>28</v>
      </c>
      <c r="K5123" s="1" t="s">
        <v>28</v>
      </c>
      <c r="L5123" s="1" t="str">
        <f t="shared" si="975"/>
        <v>20220924</v>
      </c>
      <c r="M5123" s="1" t="str">
        <f>"192133"</f>
        <v>192133</v>
      </c>
      <c r="N5123" s="1" t="s">
        <v>52</v>
      </c>
      <c r="O5123" s="1" t="s">
        <v>52</v>
      </c>
      <c r="P5123" s="1" t="s">
        <v>55</v>
      </c>
      <c r="Q5123" s="1">
        <v>25</v>
      </c>
      <c r="R5123" s="1">
        <v>25</v>
      </c>
      <c r="S5123" s="1">
        <v>0</v>
      </c>
      <c r="T5123" s="1">
        <v>0</v>
      </c>
      <c r="U5123" s="1">
        <v>0</v>
      </c>
      <c r="V5123" s="1" t="str">
        <f t="shared" si="978"/>
        <v>里程返程</v>
      </c>
      <c r="W5123" s="1" t="str">
        <f>"0e20"</f>
        <v>0e20</v>
      </c>
      <c r="X5123" s="1" t="s">
        <v>35</v>
      </c>
    </row>
    <row r="5124" spans="1:24" x14ac:dyDescent="0.3">
      <c r="A5124" s="1" t="str">
        <f t="shared" si="973"/>
        <v>59809</v>
      </c>
      <c r="B5124" s="1" t="s">
        <v>42</v>
      </c>
      <c r="C5124" s="1" t="s">
        <v>43</v>
      </c>
      <c r="D5124" s="1" t="str">
        <f t="shared" si="977"/>
        <v>9801</v>
      </c>
      <c r="E5124" s="1" t="s">
        <v>25</v>
      </c>
      <c r="F5124" s="1" t="str">
        <f>"5227A419C8880400C824002000000020"</f>
        <v>5227A419C8880400C824002000000020</v>
      </c>
      <c r="G5124" s="1" t="s">
        <v>59</v>
      </c>
      <c r="H5124" s="1" t="str">
        <f t="shared" si="974"/>
        <v>20220924</v>
      </c>
      <c r="I5124" s="1" t="str">
        <f>"185103"</f>
        <v>185103</v>
      </c>
      <c r="J5124" s="1" t="s">
        <v>28</v>
      </c>
      <c r="K5124" s="1" t="s">
        <v>28</v>
      </c>
      <c r="L5124" s="1" t="str">
        <f t="shared" si="975"/>
        <v>20220924</v>
      </c>
      <c r="M5124" s="1" t="str">
        <f>"192128"</f>
        <v>192128</v>
      </c>
      <c r="N5124" s="1" t="s">
        <v>52</v>
      </c>
      <c r="O5124" s="1" t="s">
        <v>52</v>
      </c>
      <c r="P5124" s="1" t="s">
        <v>55</v>
      </c>
      <c r="Q5124" s="1">
        <v>25</v>
      </c>
      <c r="R5124" s="1">
        <v>25</v>
      </c>
      <c r="S5124" s="1">
        <v>0</v>
      </c>
      <c r="T5124" s="1">
        <v>0</v>
      </c>
      <c r="U5124" s="1">
        <v>0</v>
      </c>
      <c r="V5124" s="1" t="str">
        <f t="shared" si="978"/>
        <v>里程返程</v>
      </c>
      <c r="W5124" s="1" t="str">
        <f>"0020"</f>
        <v>0020</v>
      </c>
      <c r="X5124" s="1" t="s">
        <v>29</v>
      </c>
    </row>
    <row r="5125" spans="1:24" x14ac:dyDescent="0.3">
      <c r="A5125" s="1" t="str">
        <f t="shared" si="973"/>
        <v>59809</v>
      </c>
      <c r="B5125" s="1" t="s">
        <v>42</v>
      </c>
      <c r="C5125" s="1" t="s">
        <v>43</v>
      </c>
      <c r="D5125" s="1" t="str">
        <f>"9805"</f>
        <v>9805</v>
      </c>
      <c r="E5125" s="1" t="s">
        <v>57</v>
      </c>
      <c r="F5125" s="1" t="str">
        <f>"3183631402"</f>
        <v>3183631402</v>
      </c>
      <c r="G5125" s="1" t="s">
        <v>33</v>
      </c>
      <c r="H5125" s="1" t="str">
        <f t="shared" si="974"/>
        <v>20220924</v>
      </c>
      <c r="I5125" s="1" t="str">
        <f>"205613"</f>
        <v>205613</v>
      </c>
      <c r="J5125" s="1" t="s">
        <v>52</v>
      </c>
      <c r="K5125" s="1" t="s">
        <v>52</v>
      </c>
      <c r="L5125" s="1" t="str">
        <f t="shared" si="975"/>
        <v>20220924</v>
      </c>
      <c r="M5125" s="1" t="str">
        <f>"211655"</f>
        <v>211655</v>
      </c>
      <c r="N5125" s="1" t="s">
        <v>28</v>
      </c>
      <c r="O5125" s="1" t="s">
        <v>28</v>
      </c>
      <c r="P5125" s="1" t="s">
        <v>55</v>
      </c>
      <c r="Q5125" s="1">
        <v>25</v>
      </c>
      <c r="R5125" s="1">
        <v>0</v>
      </c>
      <c r="S5125" s="1">
        <v>25</v>
      </c>
      <c r="T5125" s="1">
        <v>0</v>
      </c>
      <c r="U5125" s="1">
        <v>0</v>
      </c>
      <c r="V5125" s="1" t="str">
        <f t="shared" si="978"/>
        <v>里程返程</v>
      </c>
      <c r="W5125" s="1" t="str">
        <f>"2020"</f>
        <v>2020</v>
      </c>
      <c r="X5125" s="1" t="s">
        <v>35</v>
      </c>
    </row>
    <row r="5126" spans="1:24" x14ac:dyDescent="0.3">
      <c r="A5126" s="1" t="str">
        <f t="shared" si="973"/>
        <v>59809</v>
      </c>
      <c r="B5126" s="1" t="s">
        <v>42</v>
      </c>
      <c r="C5126" s="1" t="s">
        <v>43</v>
      </c>
      <c r="D5126" s="1" t="str">
        <f>"9805"</f>
        <v>9805</v>
      </c>
      <c r="E5126" s="1" t="s">
        <v>57</v>
      </c>
      <c r="F5126" s="1" t="str">
        <f>"1819270913"</f>
        <v>1819270913</v>
      </c>
      <c r="G5126" s="1" t="s">
        <v>33</v>
      </c>
      <c r="H5126" s="1" t="str">
        <f t="shared" ref="H5126:H5157" si="979">"20220924"</f>
        <v>20220924</v>
      </c>
      <c r="I5126" s="1" t="str">
        <f>"211721"</f>
        <v>211721</v>
      </c>
      <c r="J5126" s="1" t="s">
        <v>28</v>
      </c>
      <c r="K5126" s="1" t="s">
        <v>28</v>
      </c>
      <c r="L5126" s="1" t="str">
        <f t="shared" ref="L5126:L5157" si="980">"20220924"</f>
        <v>20220924</v>
      </c>
      <c r="M5126" s="1" t="str">
        <f>"212802"</f>
        <v>212802</v>
      </c>
      <c r="N5126" s="1" t="s">
        <v>79</v>
      </c>
      <c r="O5126" s="1" t="s">
        <v>28</v>
      </c>
      <c r="P5126" s="1" t="s">
        <v>55</v>
      </c>
      <c r="Q5126" s="1">
        <v>25</v>
      </c>
      <c r="R5126" s="1">
        <v>0</v>
      </c>
      <c r="S5126" s="1">
        <v>25</v>
      </c>
      <c r="T5126" s="1">
        <v>0</v>
      </c>
      <c r="U5126" s="1">
        <v>0</v>
      </c>
      <c r="V5126" s="1" t="str">
        <f>"里程去程"</f>
        <v>里程去程</v>
      </c>
      <c r="W5126" s="1" t="str">
        <f>"0820"</f>
        <v>0820</v>
      </c>
      <c r="X5126" s="1" t="s">
        <v>35</v>
      </c>
    </row>
    <row r="5127" spans="1:24" x14ac:dyDescent="0.3">
      <c r="A5127" s="1" t="str">
        <f t="shared" si="973"/>
        <v>59809</v>
      </c>
      <c r="B5127" s="1" t="s">
        <v>42</v>
      </c>
      <c r="C5127" s="1" t="s">
        <v>43</v>
      </c>
      <c r="D5127" s="1" t="str">
        <f>"9805"</f>
        <v>9805</v>
      </c>
      <c r="E5127" s="1" t="s">
        <v>57</v>
      </c>
      <c r="F5127" s="1" t="str">
        <f>"1063910805"</f>
        <v>1063910805</v>
      </c>
      <c r="G5127" s="1" t="s">
        <v>33</v>
      </c>
      <c r="H5127" s="1" t="str">
        <f t="shared" si="979"/>
        <v>20220924</v>
      </c>
      <c r="I5127" s="1" t="str">
        <f>"211934"</f>
        <v>211934</v>
      </c>
      <c r="J5127" s="1" t="s">
        <v>28</v>
      </c>
      <c r="K5127" s="1" t="s">
        <v>28</v>
      </c>
      <c r="L5127" s="1" t="str">
        <f t="shared" si="980"/>
        <v>20220924</v>
      </c>
      <c r="M5127" s="1" t="str">
        <f>"212702"</f>
        <v>212702</v>
      </c>
      <c r="N5127" s="1" t="s">
        <v>70</v>
      </c>
      <c r="O5127" s="1" t="s">
        <v>28</v>
      </c>
      <c r="P5127" s="1" t="s">
        <v>55</v>
      </c>
      <c r="Q5127" s="1">
        <v>25</v>
      </c>
      <c r="R5127" s="1">
        <v>25</v>
      </c>
      <c r="S5127" s="1">
        <v>0</v>
      </c>
      <c r="T5127" s="1">
        <v>0</v>
      </c>
      <c r="U5127" s="1">
        <v>0</v>
      </c>
      <c r="V5127" s="1" t="str">
        <f>"里程去程"</f>
        <v>里程去程</v>
      </c>
      <c r="W5127" s="1" t="str">
        <f>"2120"</f>
        <v>2120</v>
      </c>
      <c r="X5127" s="1" t="s">
        <v>35</v>
      </c>
    </row>
    <row r="5128" spans="1:24" x14ac:dyDescent="0.3">
      <c r="A5128" s="1" t="str">
        <f t="shared" si="973"/>
        <v>59809</v>
      </c>
      <c r="B5128" s="1" t="s">
        <v>42</v>
      </c>
      <c r="C5128" s="1" t="s">
        <v>43</v>
      </c>
      <c r="D5128" s="1" t="str">
        <f>"9805"</f>
        <v>9805</v>
      </c>
      <c r="E5128" s="1" t="s">
        <v>57</v>
      </c>
      <c r="F5128" s="1" t="str">
        <f>"5159044C40280400F700000000000000"</f>
        <v>5159044C40280400F700000000000000</v>
      </c>
      <c r="G5128" s="1" t="s">
        <v>58</v>
      </c>
      <c r="H5128" s="1" t="str">
        <f t="shared" si="979"/>
        <v>20220924</v>
      </c>
      <c r="I5128" s="1" t="str">
        <f>"213708"</f>
        <v>213708</v>
      </c>
      <c r="J5128" s="1" t="s">
        <v>52</v>
      </c>
      <c r="K5128" s="1" t="s">
        <v>52</v>
      </c>
      <c r="L5128" s="1" t="str">
        <f t="shared" si="980"/>
        <v>20220924</v>
      </c>
      <c r="M5128" s="1" t="str">
        <f>"215236"</f>
        <v>215236</v>
      </c>
      <c r="N5128" s="1" t="s">
        <v>28</v>
      </c>
      <c r="O5128" s="1" t="s">
        <v>28</v>
      </c>
      <c r="P5128" s="1" t="s">
        <v>55</v>
      </c>
      <c r="Q5128" s="1">
        <v>25</v>
      </c>
      <c r="R5128" s="1">
        <v>25</v>
      </c>
      <c r="S5128" s="1">
        <v>0</v>
      </c>
      <c r="T5128" s="1">
        <v>0</v>
      </c>
      <c r="U5128" s="1">
        <v>0</v>
      </c>
      <c r="V5128" s="1" t="str">
        <f t="shared" ref="V5128:V5144" si="981">"里程返程"</f>
        <v>里程返程</v>
      </c>
      <c r="W5128" s="1" t="str">
        <f>"0020"</f>
        <v>0020</v>
      </c>
      <c r="X5128" s="1" t="s">
        <v>29</v>
      </c>
    </row>
    <row r="5129" spans="1:24" x14ac:dyDescent="0.3">
      <c r="A5129" s="1" t="str">
        <f t="shared" ref="A5129:A5153" si="982">"59820"</f>
        <v>59820</v>
      </c>
      <c r="B5129" s="1" t="s">
        <v>53</v>
      </c>
      <c r="C5129" s="1" t="s">
        <v>54</v>
      </c>
      <c r="D5129" s="1" t="str">
        <f t="shared" ref="D5129:D5144" si="983">"9801"</f>
        <v>9801</v>
      </c>
      <c r="E5129" s="1" t="s">
        <v>25</v>
      </c>
      <c r="F5129" s="1" t="str">
        <f>"C2E1D306F6880400C838002000000015"</f>
        <v>C2E1D306F6880400C838002000000015</v>
      </c>
      <c r="G5129" s="1" t="s">
        <v>26</v>
      </c>
      <c r="H5129" s="1" t="str">
        <f t="shared" si="979"/>
        <v>20220924</v>
      </c>
      <c r="I5129" s="1" t="str">
        <f>"084925"</f>
        <v>084925</v>
      </c>
      <c r="J5129" s="1" t="s">
        <v>28</v>
      </c>
      <c r="K5129" s="1" t="s">
        <v>28</v>
      </c>
      <c r="L5129" s="1" t="str">
        <f t="shared" si="980"/>
        <v>20220924</v>
      </c>
      <c r="M5129" s="1" t="str">
        <f>"092001"</f>
        <v>092001</v>
      </c>
      <c r="N5129" s="1" t="s">
        <v>60</v>
      </c>
      <c r="O5129" s="1" t="s">
        <v>52</v>
      </c>
      <c r="P5129" s="1" t="s">
        <v>68</v>
      </c>
      <c r="Q5129" s="1">
        <v>13</v>
      </c>
      <c r="R5129" s="1">
        <v>0</v>
      </c>
      <c r="S5129" s="1">
        <v>0</v>
      </c>
      <c r="T5129" s="1">
        <v>13</v>
      </c>
      <c r="U5129" s="1">
        <v>0</v>
      </c>
      <c r="V5129" s="1" t="str">
        <f t="shared" si="981"/>
        <v>里程返程</v>
      </c>
      <c r="W5129" s="1" t="str">
        <f>"0020"</f>
        <v>0020</v>
      </c>
      <c r="X5129" s="1" t="s">
        <v>29</v>
      </c>
    </row>
    <row r="5130" spans="1:24" x14ac:dyDescent="0.3">
      <c r="A5130" s="1" t="str">
        <f t="shared" si="982"/>
        <v>59820</v>
      </c>
      <c r="B5130" s="1" t="s">
        <v>53</v>
      </c>
      <c r="C5130" s="1" t="s">
        <v>54</v>
      </c>
      <c r="D5130" s="1" t="str">
        <f t="shared" si="983"/>
        <v>9801</v>
      </c>
      <c r="E5130" s="1" t="s">
        <v>25</v>
      </c>
      <c r="F5130" s="1" t="str">
        <f>"32780D0344880400C834002000000015"</f>
        <v>32780D0344880400C834002000000015</v>
      </c>
      <c r="G5130" s="1" t="s">
        <v>26</v>
      </c>
      <c r="H5130" s="1" t="str">
        <f t="shared" si="979"/>
        <v>20220924</v>
      </c>
      <c r="I5130" s="1" t="str">
        <f>"095627"</f>
        <v>095627</v>
      </c>
      <c r="J5130" s="1" t="s">
        <v>41</v>
      </c>
      <c r="K5130" s="1" t="s">
        <v>28</v>
      </c>
      <c r="L5130" s="1" t="str">
        <f t="shared" si="980"/>
        <v>20220924</v>
      </c>
      <c r="M5130" s="1" t="str">
        <f>"102212"</f>
        <v>102212</v>
      </c>
      <c r="N5130" s="1" t="s">
        <v>52</v>
      </c>
      <c r="O5130" s="1" t="s">
        <v>52</v>
      </c>
      <c r="P5130" s="1" t="s">
        <v>68</v>
      </c>
      <c r="Q5130" s="1">
        <v>13</v>
      </c>
      <c r="R5130" s="1">
        <v>0</v>
      </c>
      <c r="S5130" s="1">
        <v>0</v>
      </c>
      <c r="T5130" s="1">
        <v>13</v>
      </c>
      <c r="U5130" s="1">
        <v>0</v>
      </c>
      <c r="V5130" s="1" t="str">
        <f t="shared" si="981"/>
        <v>里程返程</v>
      </c>
      <c r="W5130" s="1" t="str">
        <f>"0020"</f>
        <v>0020</v>
      </c>
      <c r="X5130" s="1" t="s">
        <v>29</v>
      </c>
    </row>
    <row r="5131" spans="1:24" x14ac:dyDescent="0.3">
      <c r="A5131" s="1" t="str">
        <f t="shared" si="982"/>
        <v>59820</v>
      </c>
      <c r="B5131" s="1" t="s">
        <v>53</v>
      </c>
      <c r="C5131" s="1" t="s">
        <v>54</v>
      </c>
      <c r="D5131" s="1" t="str">
        <f t="shared" si="983"/>
        <v>9801</v>
      </c>
      <c r="E5131" s="1" t="s">
        <v>25</v>
      </c>
      <c r="F5131" s="1" t="str">
        <f>"660537722"</f>
        <v>660537722</v>
      </c>
      <c r="G5131" s="1" t="s">
        <v>74</v>
      </c>
      <c r="H5131" s="1" t="str">
        <f t="shared" si="979"/>
        <v>20220924</v>
      </c>
      <c r="I5131" s="1" t="str">
        <f>"103959"</f>
        <v>103959</v>
      </c>
      <c r="J5131" s="1" t="s">
        <v>56</v>
      </c>
      <c r="K5131" s="1" t="s">
        <v>45</v>
      </c>
      <c r="L5131" s="1" t="str">
        <f t="shared" si="980"/>
        <v>20220924</v>
      </c>
      <c r="M5131" s="1" t="str">
        <f>"105059"</f>
        <v>105059</v>
      </c>
      <c r="N5131" s="1" t="s">
        <v>28</v>
      </c>
      <c r="O5131" s="1" t="s">
        <v>28</v>
      </c>
      <c r="P5131" s="1" t="s">
        <v>55</v>
      </c>
      <c r="Q5131" s="1">
        <v>13</v>
      </c>
      <c r="R5131" s="1">
        <v>13</v>
      </c>
      <c r="S5131" s="1">
        <v>0</v>
      </c>
      <c r="T5131" s="1">
        <v>0</v>
      </c>
      <c r="U5131" s="1">
        <v>0</v>
      </c>
      <c r="V5131" s="1" t="str">
        <f t="shared" si="981"/>
        <v>里程返程</v>
      </c>
      <c r="W5131" s="1" t="str">
        <f>"2020"</f>
        <v>2020</v>
      </c>
      <c r="X5131" s="1" t="s">
        <v>35</v>
      </c>
    </row>
    <row r="5132" spans="1:24" x14ac:dyDescent="0.3">
      <c r="A5132" s="1" t="str">
        <f t="shared" si="982"/>
        <v>59820</v>
      </c>
      <c r="B5132" s="1" t="s">
        <v>53</v>
      </c>
      <c r="C5132" s="1" t="s">
        <v>54</v>
      </c>
      <c r="D5132" s="1" t="str">
        <f t="shared" si="983"/>
        <v>9801</v>
      </c>
      <c r="E5132" s="1" t="s">
        <v>25</v>
      </c>
      <c r="F5132" s="1" t="str">
        <f>"F25B1B03B1880400C834002000000015"</f>
        <v>F25B1B03B1880400C834002000000015</v>
      </c>
      <c r="G5132" s="1" t="s">
        <v>26</v>
      </c>
      <c r="H5132" s="1" t="str">
        <f t="shared" si="979"/>
        <v>20220924</v>
      </c>
      <c r="I5132" s="1" t="str">
        <f>"105122"</f>
        <v>105122</v>
      </c>
      <c r="J5132" s="1" t="s">
        <v>28</v>
      </c>
      <c r="K5132" s="1" t="s">
        <v>28</v>
      </c>
      <c r="L5132" s="1" t="str">
        <f t="shared" si="980"/>
        <v>20220924</v>
      </c>
      <c r="M5132" s="1" t="str">
        <f>"111819"</f>
        <v>111819</v>
      </c>
      <c r="N5132" s="1" t="s">
        <v>60</v>
      </c>
      <c r="O5132" s="1" t="s">
        <v>52</v>
      </c>
      <c r="P5132" s="1" t="s">
        <v>68</v>
      </c>
      <c r="Q5132" s="1">
        <v>13</v>
      </c>
      <c r="R5132" s="1">
        <v>0</v>
      </c>
      <c r="S5132" s="1">
        <v>0</v>
      </c>
      <c r="T5132" s="1">
        <v>13</v>
      </c>
      <c r="U5132" s="1">
        <v>0</v>
      </c>
      <c r="V5132" s="1" t="str">
        <f t="shared" si="981"/>
        <v>里程返程</v>
      </c>
      <c r="W5132" s="1" t="str">
        <f>"0020"</f>
        <v>0020</v>
      </c>
      <c r="X5132" s="1" t="s">
        <v>29</v>
      </c>
    </row>
    <row r="5133" spans="1:24" x14ac:dyDescent="0.3">
      <c r="A5133" s="1" t="str">
        <f t="shared" si="982"/>
        <v>59820</v>
      </c>
      <c r="B5133" s="1" t="s">
        <v>53</v>
      </c>
      <c r="C5133" s="1" t="s">
        <v>54</v>
      </c>
      <c r="D5133" s="1" t="str">
        <f t="shared" si="983"/>
        <v>9801</v>
      </c>
      <c r="E5133" s="1" t="s">
        <v>25</v>
      </c>
      <c r="F5133" s="1" t="str">
        <f>"774923793"</f>
        <v>774923793</v>
      </c>
      <c r="G5133" s="1" t="s">
        <v>33</v>
      </c>
      <c r="H5133" s="1" t="str">
        <f t="shared" si="979"/>
        <v>20220924</v>
      </c>
      <c r="I5133" s="1" t="str">
        <f>"105133"</f>
        <v>105133</v>
      </c>
      <c r="J5133" s="1" t="s">
        <v>28</v>
      </c>
      <c r="K5133" s="1" t="s">
        <v>28</v>
      </c>
      <c r="L5133" s="1" t="str">
        <f t="shared" si="980"/>
        <v>20220924</v>
      </c>
      <c r="M5133" s="1" t="str">
        <f>"111320"</f>
        <v>111320</v>
      </c>
      <c r="N5133" s="1" t="s">
        <v>65</v>
      </c>
      <c r="O5133" s="1" t="s">
        <v>52</v>
      </c>
      <c r="P5133" s="1" t="s">
        <v>55</v>
      </c>
      <c r="Q5133" s="1">
        <v>25</v>
      </c>
      <c r="R5133" s="1">
        <v>25</v>
      </c>
      <c r="S5133" s="1">
        <v>0</v>
      </c>
      <c r="T5133" s="1">
        <v>0</v>
      </c>
      <c r="U5133" s="1">
        <v>0</v>
      </c>
      <c r="V5133" s="1" t="str">
        <f t="shared" si="981"/>
        <v>里程返程</v>
      </c>
      <c r="W5133" s="1" t="str">
        <f>"1420"</f>
        <v>1420</v>
      </c>
      <c r="X5133" s="1" t="s">
        <v>35</v>
      </c>
    </row>
    <row r="5134" spans="1:24" x14ac:dyDescent="0.3">
      <c r="A5134" s="1" t="str">
        <f t="shared" si="982"/>
        <v>59820</v>
      </c>
      <c r="B5134" s="1" t="s">
        <v>53</v>
      </c>
      <c r="C5134" s="1" t="s">
        <v>54</v>
      </c>
      <c r="D5134" s="1" t="str">
        <f t="shared" si="983"/>
        <v>9801</v>
      </c>
      <c r="E5134" s="1" t="s">
        <v>25</v>
      </c>
      <c r="F5134" s="1" t="str">
        <f>"610D5E5B692804001C00000000000000"</f>
        <v>610D5E5B692804001C00000000000000</v>
      </c>
      <c r="G5134" s="1" t="s">
        <v>58</v>
      </c>
      <c r="H5134" s="1" t="str">
        <f t="shared" si="979"/>
        <v>20220924</v>
      </c>
      <c r="I5134" s="1" t="str">
        <f>"105146"</f>
        <v>105146</v>
      </c>
      <c r="J5134" s="1" t="s">
        <v>28</v>
      </c>
      <c r="K5134" s="1" t="s">
        <v>28</v>
      </c>
      <c r="L5134" s="1" t="str">
        <f t="shared" si="980"/>
        <v>20220924</v>
      </c>
      <c r="M5134" s="1" t="str">
        <f>"111318"</f>
        <v>111318</v>
      </c>
      <c r="N5134" s="1" t="s">
        <v>65</v>
      </c>
      <c r="O5134" s="1" t="s">
        <v>52</v>
      </c>
      <c r="P5134" s="1" t="s">
        <v>55</v>
      </c>
      <c r="Q5134" s="1">
        <v>25</v>
      </c>
      <c r="R5134" s="1">
        <v>25</v>
      </c>
      <c r="S5134" s="1">
        <v>0</v>
      </c>
      <c r="T5134" s="1">
        <v>0</v>
      </c>
      <c r="U5134" s="1">
        <v>0</v>
      </c>
      <c r="V5134" s="1" t="str">
        <f t="shared" si="981"/>
        <v>里程返程</v>
      </c>
      <c r="W5134" s="1" t="str">
        <f>"0020"</f>
        <v>0020</v>
      </c>
      <c r="X5134" s="1" t="s">
        <v>29</v>
      </c>
    </row>
    <row r="5135" spans="1:24" x14ac:dyDescent="0.3">
      <c r="A5135" s="1" t="str">
        <f t="shared" si="982"/>
        <v>59820</v>
      </c>
      <c r="B5135" s="1" t="s">
        <v>53</v>
      </c>
      <c r="C5135" s="1" t="s">
        <v>54</v>
      </c>
      <c r="D5135" s="1" t="str">
        <f t="shared" si="983"/>
        <v>9801</v>
      </c>
      <c r="E5135" s="1" t="s">
        <v>25</v>
      </c>
      <c r="F5135" s="1" t="str">
        <f>"82D5FB02AE880400C834002000000015"</f>
        <v>82D5FB02AE880400C834002000000015</v>
      </c>
      <c r="G5135" s="1" t="s">
        <v>26</v>
      </c>
      <c r="H5135" s="1" t="str">
        <f t="shared" si="979"/>
        <v>20220924</v>
      </c>
      <c r="I5135" s="1" t="str">
        <f>"111430"</f>
        <v>111430</v>
      </c>
      <c r="J5135" s="1" t="s">
        <v>72</v>
      </c>
      <c r="K5135" s="1" t="s">
        <v>52</v>
      </c>
      <c r="L5135" s="1" t="str">
        <f t="shared" si="980"/>
        <v>20220924</v>
      </c>
      <c r="M5135" s="1" t="str">
        <f>"111634"</f>
        <v>111634</v>
      </c>
      <c r="N5135" s="1" t="s">
        <v>51</v>
      </c>
      <c r="O5135" s="1" t="s">
        <v>52</v>
      </c>
      <c r="P5135" s="1" t="s">
        <v>68</v>
      </c>
      <c r="Q5135" s="1">
        <v>13</v>
      </c>
      <c r="R5135" s="1">
        <v>0</v>
      </c>
      <c r="S5135" s="1">
        <v>0</v>
      </c>
      <c r="T5135" s="1">
        <v>13</v>
      </c>
      <c r="U5135" s="1">
        <v>0</v>
      </c>
      <c r="V5135" s="1" t="str">
        <f t="shared" si="981"/>
        <v>里程返程</v>
      </c>
      <c r="W5135" s="1" t="str">
        <f>"0020"</f>
        <v>0020</v>
      </c>
      <c r="X5135" s="1" t="s">
        <v>29</v>
      </c>
    </row>
    <row r="5136" spans="1:24" x14ac:dyDescent="0.3">
      <c r="A5136" s="1" t="str">
        <f t="shared" si="982"/>
        <v>59820</v>
      </c>
      <c r="B5136" s="1" t="s">
        <v>53</v>
      </c>
      <c r="C5136" s="1" t="s">
        <v>54</v>
      </c>
      <c r="D5136" s="1" t="str">
        <f t="shared" si="983"/>
        <v>9801</v>
      </c>
      <c r="E5136" s="1" t="s">
        <v>25</v>
      </c>
      <c r="F5136" s="1" t="str">
        <f>"72C1BC111E28040080CEBCD141912418"</f>
        <v>72C1BC111E28040080CEBCD141912418</v>
      </c>
      <c r="G5136" s="1" t="s">
        <v>59</v>
      </c>
      <c r="H5136" s="1" t="str">
        <f t="shared" si="979"/>
        <v>20220924</v>
      </c>
      <c r="I5136" s="1" t="str">
        <f>"112731"</f>
        <v>112731</v>
      </c>
      <c r="J5136" s="1" t="s">
        <v>44</v>
      </c>
      <c r="K5136" s="1" t="s">
        <v>45</v>
      </c>
      <c r="L5136" s="1" t="str">
        <f t="shared" si="980"/>
        <v>20220924</v>
      </c>
      <c r="M5136" s="1" t="str">
        <f>"113450"</f>
        <v>113450</v>
      </c>
      <c r="N5136" s="1" t="s">
        <v>91</v>
      </c>
      <c r="O5136" s="1" t="s">
        <v>45</v>
      </c>
      <c r="P5136" s="1" t="s">
        <v>55</v>
      </c>
      <c r="Q5136" s="1">
        <v>25</v>
      </c>
      <c r="R5136" s="1">
        <v>25</v>
      </c>
      <c r="S5136" s="1">
        <v>0</v>
      </c>
      <c r="T5136" s="1">
        <v>0</v>
      </c>
      <c r="U5136" s="1">
        <v>0</v>
      </c>
      <c r="V5136" s="1" t="str">
        <f t="shared" si="981"/>
        <v>里程返程</v>
      </c>
      <c r="W5136" s="1" t="str">
        <f>"0020"</f>
        <v>0020</v>
      </c>
      <c r="X5136" s="1" t="s">
        <v>29</v>
      </c>
    </row>
    <row r="5137" spans="1:24" x14ac:dyDescent="0.3">
      <c r="A5137" s="1" t="str">
        <f t="shared" si="982"/>
        <v>59820</v>
      </c>
      <c r="B5137" s="1" t="s">
        <v>53</v>
      </c>
      <c r="C5137" s="1" t="s">
        <v>54</v>
      </c>
      <c r="D5137" s="1" t="str">
        <f t="shared" si="983"/>
        <v>9801</v>
      </c>
      <c r="E5137" s="1" t="s">
        <v>25</v>
      </c>
      <c r="F5137" s="1" t="str">
        <f>"32780D0344880400C834002000000015"</f>
        <v>32780D0344880400C834002000000015</v>
      </c>
      <c r="G5137" s="1" t="s">
        <v>26</v>
      </c>
      <c r="H5137" s="1" t="str">
        <f t="shared" si="979"/>
        <v>20220924</v>
      </c>
      <c r="I5137" s="1" t="str">
        <f>"112936"</f>
        <v>112936</v>
      </c>
      <c r="J5137" s="1" t="s">
        <v>44</v>
      </c>
      <c r="K5137" s="1" t="s">
        <v>45</v>
      </c>
      <c r="L5137" s="1" t="str">
        <f t="shared" si="980"/>
        <v>20220924</v>
      </c>
      <c r="M5137" s="1" t="str">
        <f>"114837"</f>
        <v>114837</v>
      </c>
      <c r="N5137" s="1" t="s">
        <v>95</v>
      </c>
      <c r="O5137" s="1" t="s">
        <v>28</v>
      </c>
      <c r="P5137" s="1" t="s">
        <v>68</v>
      </c>
      <c r="Q5137" s="1">
        <v>13</v>
      </c>
      <c r="R5137" s="1">
        <v>0</v>
      </c>
      <c r="S5137" s="1">
        <v>0</v>
      </c>
      <c r="T5137" s="1">
        <v>13</v>
      </c>
      <c r="U5137" s="1">
        <v>0</v>
      </c>
      <c r="V5137" s="1" t="str">
        <f t="shared" si="981"/>
        <v>里程返程</v>
      </c>
      <c r="W5137" s="1" t="str">
        <f>"0020"</f>
        <v>0020</v>
      </c>
      <c r="X5137" s="1" t="s">
        <v>29</v>
      </c>
    </row>
    <row r="5138" spans="1:24" x14ac:dyDescent="0.3">
      <c r="A5138" s="1" t="str">
        <f t="shared" si="982"/>
        <v>59820</v>
      </c>
      <c r="B5138" s="1" t="s">
        <v>53</v>
      </c>
      <c r="C5138" s="1" t="s">
        <v>54</v>
      </c>
      <c r="D5138" s="1" t="str">
        <f t="shared" si="983"/>
        <v>9801</v>
      </c>
      <c r="E5138" s="1" t="s">
        <v>25</v>
      </c>
      <c r="F5138" s="1" t="str">
        <f>"3589896026"</f>
        <v>3589896026</v>
      </c>
      <c r="G5138" s="1" t="s">
        <v>33</v>
      </c>
      <c r="H5138" s="1" t="str">
        <f t="shared" si="979"/>
        <v>20220924</v>
      </c>
      <c r="I5138" s="1" t="str">
        <f>"113858"</f>
        <v>113858</v>
      </c>
      <c r="J5138" s="1" t="s">
        <v>56</v>
      </c>
      <c r="K5138" s="1" t="s">
        <v>45</v>
      </c>
      <c r="L5138" s="1" t="str">
        <f t="shared" si="980"/>
        <v>20220924</v>
      </c>
      <c r="M5138" s="1" t="str">
        <f>"115013"</f>
        <v>115013</v>
      </c>
      <c r="N5138" s="1" t="s">
        <v>28</v>
      </c>
      <c r="O5138" s="1" t="s">
        <v>28</v>
      </c>
      <c r="P5138" s="1" t="s">
        <v>55</v>
      </c>
      <c r="Q5138" s="1">
        <v>25</v>
      </c>
      <c r="R5138" s="1">
        <v>25</v>
      </c>
      <c r="S5138" s="1">
        <v>0</v>
      </c>
      <c r="T5138" s="1">
        <v>0</v>
      </c>
      <c r="U5138" s="1">
        <v>0</v>
      </c>
      <c r="V5138" s="1" t="str">
        <f t="shared" si="981"/>
        <v>里程返程</v>
      </c>
      <c r="W5138" s="1" t="str">
        <f>"2120"</f>
        <v>2120</v>
      </c>
      <c r="X5138" s="1" t="s">
        <v>35</v>
      </c>
    </row>
    <row r="5139" spans="1:24" x14ac:dyDescent="0.3">
      <c r="A5139" s="1" t="str">
        <f t="shared" si="982"/>
        <v>59820</v>
      </c>
      <c r="B5139" s="1" t="s">
        <v>53</v>
      </c>
      <c r="C5139" s="1" t="s">
        <v>54</v>
      </c>
      <c r="D5139" s="1" t="str">
        <f t="shared" si="983"/>
        <v>9801</v>
      </c>
      <c r="E5139" s="1" t="s">
        <v>25</v>
      </c>
      <c r="F5139" s="1" t="str">
        <f>"2395845819"</f>
        <v>2395845819</v>
      </c>
      <c r="G5139" s="1" t="s">
        <v>26</v>
      </c>
      <c r="H5139" s="1" t="str">
        <f t="shared" si="979"/>
        <v>20220924</v>
      </c>
      <c r="I5139" s="1" t="str">
        <f>"113900"</f>
        <v>113900</v>
      </c>
      <c r="J5139" s="1" t="s">
        <v>56</v>
      </c>
      <c r="K5139" s="1" t="s">
        <v>45</v>
      </c>
      <c r="L5139" s="1" t="str">
        <f t="shared" si="980"/>
        <v>20220924</v>
      </c>
      <c r="M5139" s="1" t="str">
        <f>"115011"</f>
        <v>115011</v>
      </c>
      <c r="N5139" s="1" t="s">
        <v>28</v>
      </c>
      <c r="O5139" s="1" t="s">
        <v>28</v>
      </c>
      <c r="P5139" s="1" t="s">
        <v>55</v>
      </c>
      <c r="Q5139" s="1">
        <v>13</v>
      </c>
      <c r="R5139" s="1">
        <v>13</v>
      </c>
      <c r="S5139" s="1">
        <v>0</v>
      </c>
      <c r="T5139" s="1">
        <v>0</v>
      </c>
      <c r="U5139" s="1">
        <v>0</v>
      </c>
      <c r="V5139" s="1" t="str">
        <f t="shared" si="981"/>
        <v>里程返程</v>
      </c>
      <c r="W5139" s="1" t="str">
        <f>"2120"</f>
        <v>2120</v>
      </c>
      <c r="X5139" s="1" t="s">
        <v>35</v>
      </c>
    </row>
    <row r="5140" spans="1:24" x14ac:dyDescent="0.3">
      <c r="A5140" s="1" t="str">
        <f t="shared" si="982"/>
        <v>59820</v>
      </c>
      <c r="B5140" s="1" t="s">
        <v>53</v>
      </c>
      <c r="C5140" s="1" t="s">
        <v>54</v>
      </c>
      <c r="D5140" s="1" t="str">
        <f t="shared" si="983"/>
        <v>9801</v>
      </c>
      <c r="E5140" s="1" t="s">
        <v>25</v>
      </c>
      <c r="F5140" s="1" t="str">
        <f>"5169AC0094880400432494C60002080E"</f>
        <v>5169AC0094880400432494C60002080E</v>
      </c>
      <c r="G5140" s="1" t="s">
        <v>59</v>
      </c>
      <c r="H5140" s="1" t="str">
        <f t="shared" si="979"/>
        <v>20220924</v>
      </c>
      <c r="I5140" s="1" t="str">
        <f>"115045"</f>
        <v>115045</v>
      </c>
      <c r="J5140" s="1" t="s">
        <v>28</v>
      </c>
      <c r="K5140" s="1" t="s">
        <v>28</v>
      </c>
      <c r="L5140" s="1" t="str">
        <f t="shared" si="980"/>
        <v>20220924</v>
      </c>
      <c r="M5140" s="1" t="str">
        <f>"121845"</f>
        <v>121845</v>
      </c>
      <c r="N5140" s="1" t="s">
        <v>51</v>
      </c>
      <c r="O5140" s="1" t="s">
        <v>52</v>
      </c>
      <c r="P5140" s="1" t="s">
        <v>55</v>
      </c>
      <c r="Q5140" s="1">
        <v>25</v>
      </c>
      <c r="R5140" s="1">
        <v>0</v>
      </c>
      <c r="S5140" s="1">
        <v>25</v>
      </c>
      <c r="T5140" s="1">
        <v>0</v>
      </c>
      <c r="U5140" s="1">
        <v>0</v>
      </c>
      <c r="V5140" s="1" t="str">
        <f t="shared" si="981"/>
        <v>里程返程</v>
      </c>
      <c r="W5140" s="1" t="str">
        <f>"0620"</f>
        <v>0620</v>
      </c>
      <c r="X5140" s="1" t="s">
        <v>29</v>
      </c>
    </row>
    <row r="5141" spans="1:24" x14ac:dyDescent="0.3">
      <c r="A5141" s="1" t="str">
        <f t="shared" si="982"/>
        <v>59820</v>
      </c>
      <c r="B5141" s="1" t="s">
        <v>53</v>
      </c>
      <c r="C5141" s="1" t="s">
        <v>54</v>
      </c>
      <c r="D5141" s="1" t="str">
        <f t="shared" si="983"/>
        <v>9801</v>
      </c>
      <c r="E5141" s="1" t="s">
        <v>25</v>
      </c>
      <c r="F5141" s="1" t="str">
        <f>"7111210546003590"</f>
        <v>7111210546003590</v>
      </c>
      <c r="G5141" s="1" t="s">
        <v>33</v>
      </c>
      <c r="H5141" s="1" t="str">
        <f t="shared" si="979"/>
        <v>20220924</v>
      </c>
      <c r="I5141" s="1" t="str">
        <f>"115059"</f>
        <v>115059</v>
      </c>
      <c r="J5141" s="1" t="s">
        <v>28</v>
      </c>
      <c r="K5141" s="1" t="s">
        <v>28</v>
      </c>
      <c r="L5141" s="1" t="str">
        <f t="shared" si="980"/>
        <v>20220924</v>
      </c>
      <c r="M5141" s="1" t="str">
        <f>"121843"</f>
        <v>121843</v>
      </c>
      <c r="N5141" s="1" t="s">
        <v>51</v>
      </c>
      <c r="O5141" s="1" t="s">
        <v>52</v>
      </c>
      <c r="P5141" s="1" t="s">
        <v>55</v>
      </c>
      <c r="Q5141" s="1">
        <v>25</v>
      </c>
      <c r="R5141" s="1">
        <v>25</v>
      </c>
      <c r="S5141" s="1">
        <v>0</v>
      </c>
      <c r="T5141" s="1">
        <v>0</v>
      </c>
      <c r="U5141" s="1">
        <v>0</v>
      </c>
      <c r="V5141" s="1" t="str">
        <f t="shared" si="981"/>
        <v>里程返程</v>
      </c>
      <c r="W5141" s="1" t="str">
        <f>"088B"</f>
        <v>088B</v>
      </c>
      <c r="X5141" s="1" t="s">
        <v>109</v>
      </c>
    </row>
    <row r="5142" spans="1:24" x14ac:dyDescent="0.3">
      <c r="A5142" s="1" t="str">
        <f t="shared" si="982"/>
        <v>59820</v>
      </c>
      <c r="B5142" s="1" t="s">
        <v>53</v>
      </c>
      <c r="C5142" s="1" t="s">
        <v>54</v>
      </c>
      <c r="D5142" s="1" t="str">
        <f t="shared" si="983"/>
        <v>9801</v>
      </c>
      <c r="E5142" s="1" t="s">
        <v>25</v>
      </c>
      <c r="F5142" s="1" t="str">
        <f>"321EF20ED0880400C820002000000018"</f>
        <v>321EF20ED0880400C820002000000018</v>
      </c>
      <c r="G5142" s="1" t="s">
        <v>59</v>
      </c>
      <c r="H5142" s="1" t="str">
        <f t="shared" si="979"/>
        <v>20220924</v>
      </c>
      <c r="I5142" s="1" t="str">
        <f>"115104"</f>
        <v>115104</v>
      </c>
      <c r="J5142" s="1" t="s">
        <v>28</v>
      </c>
      <c r="K5142" s="1" t="s">
        <v>28</v>
      </c>
      <c r="L5142" s="1" t="str">
        <f t="shared" si="980"/>
        <v>20220924</v>
      </c>
      <c r="M5142" s="1" t="str">
        <f>"122147"</f>
        <v>122147</v>
      </c>
      <c r="N5142" s="1" t="s">
        <v>86</v>
      </c>
      <c r="O5142" s="1" t="s">
        <v>52</v>
      </c>
      <c r="P5142" s="1" t="s">
        <v>55</v>
      </c>
      <c r="Q5142" s="1">
        <v>25</v>
      </c>
      <c r="R5142" s="1">
        <v>25</v>
      </c>
      <c r="S5142" s="1">
        <v>0</v>
      </c>
      <c r="T5142" s="1">
        <v>0</v>
      </c>
      <c r="U5142" s="1">
        <v>0</v>
      </c>
      <c r="V5142" s="1" t="str">
        <f t="shared" si="981"/>
        <v>里程返程</v>
      </c>
      <c r="W5142" s="1" t="str">
        <f>"0020"</f>
        <v>0020</v>
      </c>
      <c r="X5142" s="1" t="s">
        <v>29</v>
      </c>
    </row>
    <row r="5143" spans="1:24" x14ac:dyDescent="0.3">
      <c r="A5143" s="1" t="str">
        <f t="shared" si="982"/>
        <v>59820</v>
      </c>
      <c r="B5143" s="1" t="s">
        <v>53</v>
      </c>
      <c r="C5143" s="1" t="s">
        <v>54</v>
      </c>
      <c r="D5143" s="1" t="str">
        <f t="shared" si="983"/>
        <v>9801</v>
      </c>
      <c r="E5143" s="1" t="s">
        <v>25</v>
      </c>
      <c r="F5143" s="1" t="str">
        <f>"F7E6B1822288040043250D550012010F"</f>
        <v>F7E6B1822288040043250D550012010F</v>
      </c>
      <c r="G5143" s="1" t="s">
        <v>58</v>
      </c>
      <c r="H5143" s="1" t="str">
        <f t="shared" si="979"/>
        <v>20220924</v>
      </c>
      <c r="I5143" s="1" t="str">
        <f>"115351"</f>
        <v>115351</v>
      </c>
      <c r="J5143" s="1" t="s">
        <v>28</v>
      </c>
      <c r="K5143" s="1" t="s">
        <v>28</v>
      </c>
      <c r="L5143" s="1" t="str">
        <f t="shared" si="980"/>
        <v>20220924</v>
      </c>
      <c r="M5143" s="1" t="str">
        <f>"121557"</f>
        <v>121557</v>
      </c>
      <c r="N5143" s="1" t="s">
        <v>72</v>
      </c>
      <c r="O5143" s="1" t="s">
        <v>52</v>
      </c>
      <c r="P5143" s="1" t="s">
        <v>55</v>
      </c>
      <c r="Q5143" s="1">
        <v>25</v>
      </c>
      <c r="R5143" s="1">
        <v>0</v>
      </c>
      <c r="S5143" s="1">
        <v>25</v>
      </c>
      <c r="T5143" s="1">
        <v>0</v>
      </c>
      <c r="U5143" s="1">
        <v>0</v>
      </c>
      <c r="V5143" s="1" t="str">
        <f t="shared" si="981"/>
        <v>里程返程</v>
      </c>
      <c r="W5143" s="1" t="str">
        <f>"0620"</f>
        <v>0620</v>
      </c>
      <c r="X5143" s="1" t="s">
        <v>29</v>
      </c>
    </row>
    <row r="5144" spans="1:24" x14ac:dyDescent="0.3">
      <c r="A5144" s="1" t="str">
        <f t="shared" si="982"/>
        <v>59820</v>
      </c>
      <c r="B5144" s="1" t="s">
        <v>53</v>
      </c>
      <c r="C5144" s="1" t="s">
        <v>54</v>
      </c>
      <c r="D5144" s="1" t="str">
        <f t="shared" si="983"/>
        <v>9801</v>
      </c>
      <c r="E5144" s="1" t="s">
        <v>25</v>
      </c>
      <c r="F5144" s="1" t="str">
        <f>"EAD2547D1188040047C1267649000507"</f>
        <v>EAD2547D1188040047C1267649000507</v>
      </c>
      <c r="G5144" s="1" t="s">
        <v>58</v>
      </c>
      <c r="H5144" s="1" t="str">
        <f t="shared" si="979"/>
        <v>20220924</v>
      </c>
      <c r="I5144" s="1" t="str">
        <f>"115353"</f>
        <v>115353</v>
      </c>
      <c r="J5144" s="1" t="s">
        <v>28</v>
      </c>
      <c r="K5144" s="1" t="s">
        <v>28</v>
      </c>
      <c r="L5144" s="1" t="str">
        <f t="shared" si="980"/>
        <v>20220924</v>
      </c>
      <c r="M5144" s="1" t="str">
        <f>"121555"</f>
        <v>121555</v>
      </c>
      <c r="N5144" s="1" t="s">
        <v>72</v>
      </c>
      <c r="O5144" s="1" t="s">
        <v>52</v>
      </c>
      <c r="P5144" s="1" t="s">
        <v>55</v>
      </c>
      <c r="Q5144" s="1">
        <v>25</v>
      </c>
      <c r="R5144" s="1">
        <v>0</v>
      </c>
      <c r="S5144" s="1">
        <v>25</v>
      </c>
      <c r="T5144" s="1">
        <v>0</v>
      </c>
      <c r="U5144" s="1">
        <v>0</v>
      </c>
      <c r="V5144" s="1" t="str">
        <f t="shared" si="981"/>
        <v>里程返程</v>
      </c>
      <c r="W5144" s="1" t="str">
        <f>"0620"</f>
        <v>0620</v>
      </c>
      <c r="X5144" s="1" t="s">
        <v>29</v>
      </c>
    </row>
    <row r="5145" spans="1:24" x14ac:dyDescent="0.3">
      <c r="A5145" s="1" t="str">
        <f t="shared" si="982"/>
        <v>59820</v>
      </c>
      <c r="B5145" s="1" t="s">
        <v>53</v>
      </c>
      <c r="C5145" s="1" t="s">
        <v>54</v>
      </c>
      <c r="D5145" s="1" t="str">
        <f>"9805"</f>
        <v>9805</v>
      </c>
      <c r="E5145" s="1" t="s">
        <v>57</v>
      </c>
      <c r="F5145" s="1" t="str">
        <f>"1633626389"</f>
        <v>1633626389</v>
      </c>
      <c r="G5145" s="1" t="s">
        <v>33</v>
      </c>
      <c r="H5145" s="1" t="str">
        <f t="shared" si="979"/>
        <v>20220924</v>
      </c>
      <c r="I5145" s="1" t="str">
        <f>"142722"</f>
        <v>142722</v>
      </c>
      <c r="J5145" s="1" t="s">
        <v>28</v>
      </c>
      <c r="K5145" s="1" t="s">
        <v>28</v>
      </c>
      <c r="L5145" s="1" t="str">
        <f t="shared" si="980"/>
        <v>20220924</v>
      </c>
      <c r="M5145" s="1" t="str">
        <f>"144517"</f>
        <v>144517</v>
      </c>
      <c r="N5145" s="1" t="s">
        <v>52</v>
      </c>
      <c r="O5145" s="1" t="s">
        <v>52</v>
      </c>
      <c r="P5145" s="1" t="s">
        <v>55</v>
      </c>
      <c r="Q5145" s="1">
        <v>25</v>
      </c>
      <c r="R5145" s="1">
        <v>0</v>
      </c>
      <c r="S5145" s="1">
        <v>25</v>
      </c>
      <c r="T5145" s="1">
        <v>0</v>
      </c>
      <c r="U5145" s="1">
        <v>0</v>
      </c>
      <c r="V5145" s="1" t="str">
        <f t="shared" ref="V5145:V5151" si="984">"里程去程"</f>
        <v>里程去程</v>
      </c>
      <c r="W5145" s="1" t="str">
        <f>"0820"</f>
        <v>0820</v>
      </c>
      <c r="X5145" s="1" t="s">
        <v>35</v>
      </c>
    </row>
    <row r="5146" spans="1:24" x14ac:dyDescent="0.3">
      <c r="A5146" s="1" t="str">
        <f t="shared" si="982"/>
        <v>59820</v>
      </c>
      <c r="B5146" s="1" t="s">
        <v>53</v>
      </c>
      <c r="C5146" s="1" t="s">
        <v>54</v>
      </c>
      <c r="D5146" s="1" t="str">
        <f>"9805"</f>
        <v>9805</v>
      </c>
      <c r="E5146" s="1" t="s">
        <v>57</v>
      </c>
      <c r="F5146" s="1" t="str">
        <f>"32780D0344880400C834002000000015"</f>
        <v>32780D0344880400C834002000000015</v>
      </c>
      <c r="G5146" s="1" t="s">
        <v>26</v>
      </c>
      <c r="H5146" s="1" t="str">
        <f t="shared" si="979"/>
        <v>20220924</v>
      </c>
      <c r="I5146" s="1" t="str">
        <f>"143108"</f>
        <v>143108</v>
      </c>
      <c r="J5146" s="1" t="s">
        <v>28</v>
      </c>
      <c r="K5146" s="1" t="s">
        <v>28</v>
      </c>
      <c r="L5146" s="1" t="str">
        <f t="shared" si="980"/>
        <v>20220924</v>
      </c>
      <c r="M5146" s="1" t="str">
        <f>"144240"</f>
        <v>144240</v>
      </c>
      <c r="N5146" s="1" t="s">
        <v>62</v>
      </c>
      <c r="O5146" s="1" t="s">
        <v>28</v>
      </c>
      <c r="P5146" s="1" t="s">
        <v>68</v>
      </c>
      <c r="Q5146" s="1">
        <v>13</v>
      </c>
      <c r="R5146" s="1">
        <v>0</v>
      </c>
      <c r="S5146" s="1">
        <v>0</v>
      </c>
      <c r="T5146" s="1">
        <v>13</v>
      </c>
      <c r="U5146" s="1">
        <v>0</v>
      </c>
      <c r="V5146" s="1" t="str">
        <f t="shared" si="984"/>
        <v>里程去程</v>
      </c>
      <c r="W5146" s="1" t="str">
        <f>"0020"</f>
        <v>0020</v>
      </c>
      <c r="X5146" s="1" t="s">
        <v>29</v>
      </c>
    </row>
    <row r="5147" spans="1:24" x14ac:dyDescent="0.3">
      <c r="A5147" s="1" t="str">
        <f t="shared" si="982"/>
        <v>59820</v>
      </c>
      <c r="B5147" s="1" t="s">
        <v>53</v>
      </c>
      <c r="C5147" s="1" t="s">
        <v>54</v>
      </c>
      <c r="D5147" s="1" t="str">
        <f>"9805"</f>
        <v>9805</v>
      </c>
      <c r="E5147" s="1" t="s">
        <v>57</v>
      </c>
      <c r="F5147" s="1" t="str">
        <f>"7227671624880400C814002000000019"</f>
        <v>7227671624880400C814002000000019</v>
      </c>
      <c r="G5147" s="1" t="s">
        <v>82</v>
      </c>
      <c r="H5147" s="1" t="str">
        <f t="shared" si="979"/>
        <v>20220924</v>
      </c>
      <c r="I5147" s="1" t="str">
        <f>"143812"</f>
        <v>143812</v>
      </c>
      <c r="J5147" s="1" t="s">
        <v>46</v>
      </c>
      <c r="K5147" s="1" t="s">
        <v>28</v>
      </c>
      <c r="L5147" s="1" t="str">
        <f t="shared" si="980"/>
        <v>20220924</v>
      </c>
      <c r="M5147" s="1" t="str">
        <f>"144343"</f>
        <v>144343</v>
      </c>
      <c r="N5147" s="1" t="s">
        <v>52</v>
      </c>
      <c r="O5147" s="1" t="s">
        <v>52</v>
      </c>
      <c r="P5147" s="1" t="s">
        <v>55</v>
      </c>
      <c r="Q5147" s="1">
        <v>13</v>
      </c>
      <c r="R5147" s="1">
        <v>13</v>
      </c>
      <c r="S5147" s="1">
        <v>0</v>
      </c>
      <c r="T5147" s="1">
        <v>0</v>
      </c>
      <c r="U5147" s="1">
        <v>0</v>
      </c>
      <c r="V5147" s="1" t="str">
        <f t="shared" si="984"/>
        <v>里程去程</v>
      </c>
      <c r="W5147" s="1" t="str">
        <f>"0020"</f>
        <v>0020</v>
      </c>
      <c r="X5147" s="1" t="s">
        <v>29</v>
      </c>
    </row>
    <row r="5148" spans="1:24" x14ac:dyDescent="0.3">
      <c r="A5148" s="1" t="str">
        <f t="shared" si="982"/>
        <v>59820</v>
      </c>
      <c r="B5148" s="1" t="s">
        <v>53</v>
      </c>
      <c r="C5148" s="1" t="s">
        <v>54</v>
      </c>
      <c r="D5148" s="1" t="str">
        <f>"9805"</f>
        <v>9805</v>
      </c>
      <c r="E5148" s="1" t="s">
        <v>57</v>
      </c>
      <c r="F5148" s="1" t="str">
        <f>"0202511647880400C814002000000019"</f>
        <v>0202511647880400C814002000000019</v>
      </c>
      <c r="G5148" s="1" t="s">
        <v>66</v>
      </c>
      <c r="H5148" s="1" t="str">
        <f t="shared" si="979"/>
        <v>20220924</v>
      </c>
      <c r="I5148" s="1" t="str">
        <f>"143815"</f>
        <v>143815</v>
      </c>
      <c r="J5148" s="1" t="s">
        <v>46</v>
      </c>
      <c r="K5148" s="1" t="s">
        <v>28</v>
      </c>
      <c r="L5148" s="1" t="str">
        <f t="shared" si="980"/>
        <v>20220924</v>
      </c>
      <c r="M5148" s="1" t="str">
        <f>"144406"</f>
        <v>144406</v>
      </c>
      <c r="N5148" s="1" t="s">
        <v>52</v>
      </c>
      <c r="O5148" s="1" t="s">
        <v>52</v>
      </c>
      <c r="P5148" s="1" t="s">
        <v>55</v>
      </c>
      <c r="Q5148" s="1">
        <v>13</v>
      </c>
      <c r="R5148" s="1">
        <v>13</v>
      </c>
      <c r="S5148" s="1">
        <v>0</v>
      </c>
      <c r="T5148" s="1">
        <v>0</v>
      </c>
      <c r="U5148" s="1">
        <v>0</v>
      </c>
      <c r="V5148" s="1" t="str">
        <f t="shared" si="984"/>
        <v>里程去程</v>
      </c>
      <c r="W5148" s="1" t="str">
        <f>"0020"</f>
        <v>0020</v>
      </c>
      <c r="X5148" s="1" t="s">
        <v>29</v>
      </c>
    </row>
    <row r="5149" spans="1:24" x14ac:dyDescent="0.3">
      <c r="A5149" s="1" t="str">
        <f t="shared" si="982"/>
        <v>59820</v>
      </c>
      <c r="B5149" s="1" t="s">
        <v>53</v>
      </c>
      <c r="C5149" s="1" t="s">
        <v>54</v>
      </c>
      <c r="D5149" s="1" t="str">
        <f>"9803"</f>
        <v>9803</v>
      </c>
      <c r="E5149" s="1" t="s">
        <v>32</v>
      </c>
      <c r="F5149" s="1" t="str">
        <f>"585742913"</f>
        <v>585742913</v>
      </c>
      <c r="G5149" s="1" t="s">
        <v>33</v>
      </c>
      <c r="H5149" s="1" t="str">
        <f t="shared" si="979"/>
        <v>20220924</v>
      </c>
      <c r="I5149" s="1" t="str">
        <f>"150808"</f>
        <v>150808</v>
      </c>
      <c r="J5149" s="1" t="s">
        <v>28</v>
      </c>
      <c r="K5149" s="1" t="s">
        <v>28</v>
      </c>
      <c r="L5149" s="1" t="str">
        <f t="shared" si="980"/>
        <v>20220924</v>
      </c>
      <c r="M5149" s="1" t="str">
        <f>"152026"</f>
        <v>152026</v>
      </c>
      <c r="N5149" s="1" t="s">
        <v>79</v>
      </c>
      <c r="O5149" s="1" t="s">
        <v>28</v>
      </c>
      <c r="P5149" s="1" t="s">
        <v>55</v>
      </c>
      <c r="Q5149" s="1">
        <v>25</v>
      </c>
      <c r="R5149" s="1">
        <v>0</v>
      </c>
      <c r="S5149" s="1">
        <v>25</v>
      </c>
      <c r="T5149" s="1">
        <v>0</v>
      </c>
      <c r="U5149" s="1">
        <v>0</v>
      </c>
      <c r="V5149" s="1" t="str">
        <f t="shared" si="984"/>
        <v>里程去程</v>
      </c>
      <c r="W5149" s="1" t="str">
        <f>"0820"</f>
        <v>0820</v>
      </c>
      <c r="X5149" s="1" t="s">
        <v>35</v>
      </c>
    </row>
    <row r="5150" spans="1:24" x14ac:dyDescent="0.3">
      <c r="A5150" s="1" t="str">
        <f t="shared" si="982"/>
        <v>59820</v>
      </c>
      <c r="B5150" s="1" t="s">
        <v>53</v>
      </c>
      <c r="C5150" s="1" t="s">
        <v>54</v>
      </c>
      <c r="D5150" s="1" t="str">
        <f>"9803"</f>
        <v>9803</v>
      </c>
      <c r="E5150" s="1" t="s">
        <v>32</v>
      </c>
      <c r="F5150" s="1" t="str">
        <f>"195986389"</f>
        <v>195986389</v>
      </c>
      <c r="G5150" s="1" t="s">
        <v>33</v>
      </c>
      <c r="H5150" s="1" t="str">
        <f t="shared" si="979"/>
        <v>20220924</v>
      </c>
      <c r="I5150" s="1" t="str">
        <f>"150810"</f>
        <v>150810</v>
      </c>
      <c r="J5150" s="1" t="s">
        <v>28</v>
      </c>
      <c r="K5150" s="1" t="s">
        <v>28</v>
      </c>
      <c r="L5150" s="1" t="str">
        <f t="shared" si="980"/>
        <v>20220924</v>
      </c>
      <c r="M5150" s="1" t="str">
        <f>"152020"</f>
        <v>152020</v>
      </c>
      <c r="N5150" s="1" t="s">
        <v>79</v>
      </c>
      <c r="O5150" s="1" t="s">
        <v>28</v>
      </c>
      <c r="P5150" s="1" t="s">
        <v>55</v>
      </c>
      <c r="Q5150" s="1">
        <v>25</v>
      </c>
      <c r="R5150" s="1">
        <v>0</v>
      </c>
      <c r="S5150" s="1">
        <v>25</v>
      </c>
      <c r="T5150" s="1">
        <v>0</v>
      </c>
      <c r="U5150" s="1">
        <v>0</v>
      </c>
      <c r="V5150" s="1" t="str">
        <f t="shared" si="984"/>
        <v>里程去程</v>
      </c>
      <c r="W5150" s="1" t="str">
        <f>"0820"</f>
        <v>0820</v>
      </c>
      <c r="X5150" s="1" t="s">
        <v>35</v>
      </c>
    </row>
    <row r="5151" spans="1:24" x14ac:dyDescent="0.3">
      <c r="A5151" s="1" t="str">
        <f t="shared" si="982"/>
        <v>59820</v>
      </c>
      <c r="B5151" s="1" t="s">
        <v>53</v>
      </c>
      <c r="C5151" s="1" t="s">
        <v>54</v>
      </c>
      <c r="D5151" s="1" t="str">
        <f>"9803"</f>
        <v>9803</v>
      </c>
      <c r="E5151" s="1" t="s">
        <v>32</v>
      </c>
      <c r="F5151" s="1" t="str">
        <f>"825874053"</f>
        <v>825874053</v>
      </c>
      <c r="G5151" s="1" t="s">
        <v>33</v>
      </c>
      <c r="H5151" s="1" t="str">
        <f t="shared" si="979"/>
        <v>20220924</v>
      </c>
      <c r="I5151" s="1" t="str">
        <f>"150827"</f>
        <v>150827</v>
      </c>
      <c r="J5151" s="1" t="s">
        <v>28</v>
      </c>
      <c r="K5151" s="1" t="s">
        <v>28</v>
      </c>
      <c r="L5151" s="1" t="str">
        <f t="shared" si="980"/>
        <v>20220924</v>
      </c>
      <c r="M5151" s="1" t="str">
        <f>"151842"</f>
        <v>151842</v>
      </c>
      <c r="N5151" s="1" t="s">
        <v>79</v>
      </c>
      <c r="O5151" s="1" t="s">
        <v>28</v>
      </c>
      <c r="P5151" s="1" t="s">
        <v>55</v>
      </c>
      <c r="Q5151" s="1">
        <v>25</v>
      </c>
      <c r="R5151" s="1">
        <v>0</v>
      </c>
      <c r="S5151" s="1">
        <v>25</v>
      </c>
      <c r="T5151" s="1">
        <v>0</v>
      </c>
      <c r="U5151" s="1">
        <v>0</v>
      </c>
      <c r="V5151" s="1" t="str">
        <f t="shared" si="984"/>
        <v>里程去程</v>
      </c>
      <c r="W5151" s="1" t="str">
        <f>"0820"</f>
        <v>0820</v>
      </c>
      <c r="X5151" s="1" t="s">
        <v>35</v>
      </c>
    </row>
    <row r="5152" spans="1:24" x14ac:dyDescent="0.3">
      <c r="A5152" s="1" t="str">
        <f t="shared" si="982"/>
        <v>59820</v>
      </c>
      <c r="B5152" s="1" t="s">
        <v>53</v>
      </c>
      <c r="C5152" s="1" t="s">
        <v>54</v>
      </c>
      <c r="D5152" s="1" t="str">
        <f t="shared" ref="D5152:D5176" si="985">"9801"</f>
        <v>9801</v>
      </c>
      <c r="E5152" s="1" t="s">
        <v>25</v>
      </c>
      <c r="F5152" s="1" t="str">
        <f>"71B25430A7280400F700000000000000"</f>
        <v>71B25430A7280400F700000000000000</v>
      </c>
      <c r="G5152" s="1" t="s">
        <v>58</v>
      </c>
      <c r="H5152" s="1" t="str">
        <f t="shared" si="979"/>
        <v>20220924</v>
      </c>
      <c r="I5152" s="1" t="str">
        <f>"192214"</f>
        <v>192214</v>
      </c>
      <c r="J5152" s="1" t="s">
        <v>28</v>
      </c>
      <c r="K5152" s="1" t="s">
        <v>28</v>
      </c>
      <c r="L5152" s="1" t="str">
        <f t="shared" si="980"/>
        <v>20220924</v>
      </c>
      <c r="M5152" s="1" t="str">
        <f>"194345"</f>
        <v>194345</v>
      </c>
      <c r="N5152" s="1" t="s">
        <v>65</v>
      </c>
      <c r="O5152" s="1" t="s">
        <v>52</v>
      </c>
      <c r="P5152" s="1" t="s">
        <v>55</v>
      </c>
      <c r="Q5152" s="1">
        <v>25</v>
      </c>
      <c r="R5152" s="1">
        <v>25</v>
      </c>
      <c r="S5152" s="1">
        <v>0</v>
      </c>
      <c r="T5152" s="1">
        <v>0</v>
      </c>
      <c r="U5152" s="1">
        <v>0</v>
      </c>
      <c r="V5152" s="1" t="str">
        <f>"里程返程"</f>
        <v>里程返程</v>
      </c>
      <c r="W5152" s="1" t="str">
        <f>"0020"</f>
        <v>0020</v>
      </c>
      <c r="X5152" s="1" t="s">
        <v>29</v>
      </c>
    </row>
    <row r="5153" spans="1:24" x14ac:dyDescent="0.3">
      <c r="A5153" s="1" t="str">
        <f t="shared" si="982"/>
        <v>59820</v>
      </c>
      <c r="B5153" s="1" t="s">
        <v>53</v>
      </c>
      <c r="C5153" s="1" t="s">
        <v>54</v>
      </c>
      <c r="D5153" s="1" t="str">
        <f t="shared" si="985"/>
        <v>9801</v>
      </c>
      <c r="E5153" s="1" t="s">
        <v>25</v>
      </c>
      <c r="F5153" s="1" t="str">
        <f>"109547985"</f>
        <v>109547985</v>
      </c>
      <c r="G5153" s="1" t="s">
        <v>26</v>
      </c>
      <c r="H5153" s="1" t="str">
        <f t="shared" si="979"/>
        <v>20220924</v>
      </c>
      <c r="I5153" s="1" t="str">
        <f>"192250"</f>
        <v>192250</v>
      </c>
      <c r="J5153" s="1" t="s">
        <v>28</v>
      </c>
      <c r="K5153" s="1" t="s">
        <v>28</v>
      </c>
      <c r="L5153" s="1" t="str">
        <f t="shared" si="980"/>
        <v>20220924</v>
      </c>
      <c r="M5153" s="1" t="str">
        <f>"195229"</f>
        <v>195229</v>
      </c>
      <c r="N5153" s="1" t="s">
        <v>52</v>
      </c>
      <c r="O5153" s="1" t="s">
        <v>52</v>
      </c>
      <c r="P5153" s="1" t="s">
        <v>55</v>
      </c>
      <c r="Q5153" s="1">
        <v>13</v>
      </c>
      <c r="R5153" s="1">
        <v>13</v>
      </c>
      <c r="S5153" s="1">
        <v>0</v>
      </c>
      <c r="T5153" s="1">
        <v>0</v>
      </c>
      <c r="U5153" s="1">
        <v>0</v>
      </c>
      <c r="V5153" s="1" t="str">
        <f>"里程返程"</f>
        <v>里程返程</v>
      </c>
      <c r="W5153" s="1" t="str">
        <f>"0220"</f>
        <v>0220</v>
      </c>
      <c r="X5153" s="1" t="s">
        <v>35</v>
      </c>
    </row>
    <row r="5154" spans="1:24" x14ac:dyDescent="0.3">
      <c r="A5154" s="1" t="str">
        <f t="shared" ref="A5154:A5176" si="986">"59822"</f>
        <v>59822</v>
      </c>
      <c r="B5154" s="1" t="s">
        <v>39</v>
      </c>
      <c r="C5154" s="1" t="s">
        <v>40</v>
      </c>
      <c r="D5154" s="1" t="str">
        <f t="shared" si="985"/>
        <v>9801</v>
      </c>
      <c r="E5154" s="1" t="s">
        <v>25</v>
      </c>
      <c r="F5154" s="1" t="str">
        <f>"226769153"</f>
        <v>226769153</v>
      </c>
      <c r="G5154" s="1" t="s">
        <v>33</v>
      </c>
      <c r="H5154" s="1" t="str">
        <f t="shared" si="979"/>
        <v>20220924</v>
      </c>
      <c r="I5154" s="1" t="str">
        <f>"070244"</f>
        <v>070244</v>
      </c>
      <c r="J5154" s="1" t="s">
        <v>100</v>
      </c>
      <c r="K5154" s="1" t="s">
        <v>45</v>
      </c>
      <c r="L5154" s="1" t="str">
        <f t="shared" si="980"/>
        <v>20220924</v>
      </c>
      <c r="M5154" s="1" t="str">
        <f>"071839"</f>
        <v>071839</v>
      </c>
      <c r="N5154" s="1" t="s">
        <v>28</v>
      </c>
      <c r="O5154" s="1" t="s">
        <v>28</v>
      </c>
      <c r="P5154" s="1" t="s">
        <v>55</v>
      </c>
      <c r="Q5154" s="1">
        <v>25</v>
      </c>
      <c r="R5154" s="1">
        <v>25</v>
      </c>
      <c r="S5154" s="1">
        <v>0</v>
      </c>
      <c r="T5154" s="1">
        <v>0</v>
      </c>
      <c r="U5154" s="1">
        <v>0</v>
      </c>
      <c r="V5154" s="1" t="str">
        <f>"里程返程"</f>
        <v>里程返程</v>
      </c>
      <c r="W5154" s="1" t="str">
        <f>"1f20"</f>
        <v>1f20</v>
      </c>
      <c r="X5154" s="1" t="s">
        <v>35</v>
      </c>
    </row>
    <row r="5155" spans="1:24" x14ac:dyDescent="0.3">
      <c r="A5155" s="1" t="str">
        <f t="shared" si="986"/>
        <v>59822</v>
      </c>
      <c r="B5155" s="1" t="s">
        <v>39</v>
      </c>
      <c r="C5155" s="1" t="s">
        <v>40</v>
      </c>
      <c r="D5155" s="1" t="str">
        <f t="shared" si="985"/>
        <v>9801</v>
      </c>
      <c r="E5155" s="1" t="s">
        <v>25</v>
      </c>
      <c r="F5155" s="1" t="str">
        <f>"91D42A036C88040043252B4B0010050F"</f>
        <v>91D42A036C88040043252B4B0010050F</v>
      </c>
      <c r="G5155" s="1" t="s">
        <v>58</v>
      </c>
      <c r="H5155" s="1" t="str">
        <f t="shared" si="979"/>
        <v>20220924</v>
      </c>
      <c r="I5155" s="1" t="str">
        <f>"083012"</f>
        <v>083012</v>
      </c>
      <c r="J5155" s="1" t="s">
        <v>27</v>
      </c>
      <c r="K5155" s="1" t="s">
        <v>28</v>
      </c>
      <c r="L5155" s="1" t="str">
        <f t="shared" si="980"/>
        <v>20220924</v>
      </c>
      <c r="M5155" s="1" t="str">
        <f>"085540"</f>
        <v>085540</v>
      </c>
      <c r="N5155" s="1" t="s">
        <v>44</v>
      </c>
      <c r="O5155" s="1" t="s">
        <v>45</v>
      </c>
      <c r="P5155" s="1" t="s">
        <v>55</v>
      </c>
      <c r="Q5155" s="1">
        <v>25</v>
      </c>
      <c r="R5155" s="1">
        <v>0</v>
      </c>
      <c r="S5155" s="1">
        <v>25</v>
      </c>
      <c r="T5155" s="1">
        <v>0</v>
      </c>
      <c r="U5155" s="1">
        <v>0</v>
      </c>
      <c r="V5155" s="1" t="str">
        <f t="shared" ref="V5155:V5166" si="987">"里程去程"</f>
        <v>里程去程</v>
      </c>
      <c r="W5155" s="1" t="str">
        <f>"0620"</f>
        <v>0620</v>
      </c>
      <c r="X5155" s="1" t="s">
        <v>29</v>
      </c>
    </row>
    <row r="5156" spans="1:24" x14ac:dyDescent="0.3">
      <c r="A5156" s="1" t="str">
        <f t="shared" si="986"/>
        <v>59822</v>
      </c>
      <c r="B5156" s="1" t="s">
        <v>39</v>
      </c>
      <c r="C5156" s="1" t="s">
        <v>40</v>
      </c>
      <c r="D5156" s="1" t="str">
        <f t="shared" si="985"/>
        <v>9801</v>
      </c>
      <c r="E5156" s="1" t="s">
        <v>25</v>
      </c>
      <c r="F5156" s="1" t="str">
        <f>"E213BD024E880400C834002000000015"</f>
        <v>E213BD024E880400C834002000000015</v>
      </c>
      <c r="G5156" s="1" t="s">
        <v>74</v>
      </c>
      <c r="H5156" s="1" t="str">
        <f t="shared" si="979"/>
        <v>20220924</v>
      </c>
      <c r="I5156" s="1" t="str">
        <f>"083015"</f>
        <v>083015</v>
      </c>
      <c r="J5156" s="1" t="s">
        <v>27</v>
      </c>
      <c r="K5156" s="1" t="s">
        <v>28</v>
      </c>
      <c r="L5156" s="1" t="str">
        <f t="shared" si="980"/>
        <v>20220924</v>
      </c>
      <c r="M5156" s="1" t="str">
        <f>"084620"</f>
        <v>084620</v>
      </c>
      <c r="N5156" s="1" t="s">
        <v>61</v>
      </c>
      <c r="O5156" s="1" t="s">
        <v>45</v>
      </c>
      <c r="P5156" s="1" t="s">
        <v>68</v>
      </c>
      <c r="Q5156" s="1">
        <v>13</v>
      </c>
      <c r="R5156" s="1">
        <v>0</v>
      </c>
      <c r="S5156" s="1">
        <v>0</v>
      </c>
      <c r="T5156" s="1">
        <v>13</v>
      </c>
      <c r="U5156" s="1">
        <v>0</v>
      </c>
      <c r="V5156" s="1" t="str">
        <f t="shared" si="987"/>
        <v>里程去程</v>
      </c>
      <c r="W5156" s="1" t="str">
        <f>"0020"</f>
        <v>0020</v>
      </c>
      <c r="X5156" s="1" t="s">
        <v>29</v>
      </c>
    </row>
    <row r="5157" spans="1:24" x14ac:dyDescent="0.3">
      <c r="A5157" s="1" t="str">
        <f t="shared" si="986"/>
        <v>59822</v>
      </c>
      <c r="B5157" s="1" t="s">
        <v>39</v>
      </c>
      <c r="C5157" s="1" t="s">
        <v>40</v>
      </c>
      <c r="D5157" s="1" t="str">
        <f t="shared" si="985"/>
        <v>9801</v>
      </c>
      <c r="E5157" s="1" t="s">
        <v>25</v>
      </c>
      <c r="F5157" s="1" t="str">
        <f>"234627749"</f>
        <v>234627749</v>
      </c>
      <c r="G5157" s="1" t="s">
        <v>33</v>
      </c>
      <c r="H5157" s="1" t="str">
        <f t="shared" si="979"/>
        <v>20220924</v>
      </c>
      <c r="I5157" s="1" t="str">
        <f>"083023"</f>
        <v>083023</v>
      </c>
      <c r="J5157" s="1" t="s">
        <v>27</v>
      </c>
      <c r="K5157" s="1" t="s">
        <v>28</v>
      </c>
      <c r="L5157" s="1" t="str">
        <f t="shared" si="980"/>
        <v>20220924</v>
      </c>
      <c r="M5157" s="1" t="str">
        <f>"085727"</f>
        <v>085727</v>
      </c>
      <c r="N5157" s="1" t="s">
        <v>44</v>
      </c>
      <c r="O5157" s="1" t="s">
        <v>45</v>
      </c>
      <c r="P5157" s="1" t="s">
        <v>55</v>
      </c>
      <c r="Q5157" s="1">
        <v>25</v>
      </c>
      <c r="R5157" s="1">
        <v>25</v>
      </c>
      <c r="S5157" s="1">
        <v>0</v>
      </c>
      <c r="T5157" s="1">
        <v>0</v>
      </c>
      <c r="U5157" s="1">
        <v>0</v>
      </c>
      <c r="V5157" s="1" t="str">
        <f t="shared" si="987"/>
        <v>里程去程</v>
      </c>
      <c r="W5157" s="1" t="str">
        <f>"2020"</f>
        <v>2020</v>
      </c>
      <c r="X5157" s="1" t="s">
        <v>35</v>
      </c>
    </row>
    <row r="5158" spans="1:24" x14ac:dyDescent="0.3">
      <c r="A5158" s="1" t="str">
        <f t="shared" si="986"/>
        <v>59822</v>
      </c>
      <c r="B5158" s="1" t="s">
        <v>39</v>
      </c>
      <c r="C5158" s="1" t="s">
        <v>40</v>
      </c>
      <c r="D5158" s="1" t="str">
        <f t="shared" si="985"/>
        <v>9801</v>
      </c>
      <c r="E5158" s="1" t="s">
        <v>25</v>
      </c>
      <c r="F5158" s="1" t="str">
        <f>"1081688273"</f>
        <v>1081688273</v>
      </c>
      <c r="G5158" s="1" t="s">
        <v>33</v>
      </c>
      <c r="H5158" s="1" t="str">
        <f t="shared" ref="H5158:H5189" si="988">"20220924"</f>
        <v>20220924</v>
      </c>
      <c r="I5158" s="1" t="str">
        <f>"083033"</f>
        <v>083033</v>
      </c>
      <c r="J5158" s="1" t="s">
        <v>27</v>
      </c>
      <c r="K5158" s="1" t="s">
        <v>28</v>
      </c>
      <c r="L5158" s="1" t="str">
        <f t="shared" ref="L5158:L5189" si="989">"20220924"</f>
        <v>20220924</v>
      </c>
      <c r="M5158" s="1" t="str">
        <f>"084702"</f>
        <v>084702</v>
      </c>
      <c r="N5158" s="1" t="s">
        <v>56</v>
      </c>
      <c r="O5158" s="1" t="s">
        <v>45</v>
      </c>
      <c r="P5158" s="1" t="s">
        <v>55</v>
      </c>
      <c r="Q5158" s="1">
        <v>25</v>
      </c>
      <c r="R5158" s="1">
        <v>25</v>
      </c>
      <c r="S5158" s="1">
        <v>0</v>
      </c>
      <c r="T5158" s="1">
        <v>0</v>
      </c>
      <c r="U5158" s="1">
        <v>0</v>
      </c>
      <c r="V5158" s="1" t="str">
        <f t="shared" si="987"/>
        <v>里程去程</v>
      </c>
      <c r="W5158" s="1" t="str">
        <f>"0120"</f>
        <v>0120</v>
      </c>
      <c r="X5158" s="1" t="s">
        <v>35</v>
      </c>
    </row>
    <row r="5159" spans="1:24" x14ac:dyDescent="0.3">
      <c r="A5159" s="1" t="str">
        <f t="shared" si="986"/>
        <v>59822</v>
      </c>
      <c r="B5159" s="1" t="s">
        <v>39</v>
      </c>
      <c r="C5159" s="1" t="s">
        <v>40</v>
      </c>
      <c r="D5159" s="1" t="str">
        <f t="shared" si="985"/>
        <v>9801</v>
      </c>
      <c r="E5159" s="1" t="s">
        <v>25</v>
      </c>
      <c r="F5159" s="1" t="str">
        <f>"3717978542"</f>
        <v>3717978542</v>
      </c>
      <c r="G5159" s="1" t="s">
        <v>33</v>
      </c>
      <c r="H5159" s="1" t="str">
        <f t="shared" si="988"/>
        <v>20220924</v>
      </c>
      <c r="I5159" s="1" t="str">
        <f>"083037"</f>
        <v>083037</v>
      </c>
      <c r="J5159" s="1" t="s">
        <v>27</v>
      </c>
      <c r="K5159" s="1" t="s">
        <v>28</v>
      </c>
      <c r="L5159" s="1" t="str">
        <f t="shared" si="989"/>
        <v>20220924</v>
      </c>
      <c r="M5159" s="1" t="str">
        <f>"084659"</f>
        <v>084659</v>
      </c>
      <c r="N5159" s="1" t="s">
        <v>56</v>
      </c>
      <c r="O5159" s="1" t="s">
        <v>45</v>
      </c>
      <c r="P5159" s="1" t="s">
        <v>55</v>
      </c>
      <c r="Q5159" s="1">
        <v>25</v>
      </c>
      <c r="R5159" s="1">
        <v>25</v>
      </c>
      <c r="S5159" s="1">
        <v>0</v>
      </c>
      <c r="T5159" s="1">
        <v>0</v>
      </c>
      <c r="U5159" s="1">
        <v>0</v>
      </c>
      <c r="V5159" s="1" t="str">
        <f t="shared" si="987"/>
        <v>里程去程</v>
      </c>
      <c r="W5159" s="1" t="str">
        <f>"0120"</f>
        <v>0120</v>
      </c>
      <c r="X5159" s="1" t="s">
        <v>35</v>
      </c>
    </row>
    <row r="5160" spans="1:24" x14ac:dyDescent="0.3">
      <c r="A5160" s="1" t="str">
        <f t="shared" si="986"/>
        <v>59822</v>
      </c>
      <c r="B5160" s="1" t="s">
        <v>39</v>
      </c>
      <c r="C5160" s="1" t="s">
        <v>40</v>
      </c>
      <c r="D5160" s="1" t="str">
        <f t="shared" si="985"/>
        <v>9801</v>
      </c>
      <c r="E5160" s="1" t="s">
        <v>25</v>
      </c>
      <c r="F5160" s="1" t="str">
        <f>"82D5FB02AE880400C834002000000015"</f>
        <v>82D5FB02AE880400C834002000000015</v>
      </c>
      <c r="G5160" s="1" t="s">
        <v>26</v>
      </c>
      <c r="H5160" s="1" t="str">
        <f t="shared" si="988"/>
        <v>20220924</v>
      </c>
      <c r="I5160" s="1" t="str">
        <f>"091001"</f>
        <v>091001</v>
      </c>
      <c r="J5160" s="1" t="s">
        <v>51</v>
      </c>
      <c r="K5160" s="1" t="s">
        <v>52</v>
      </c>
      <c r="L5160" s="1" t="str">
        <f t="shared" si="989"/>
        <v>20220924</v>
      </c>
      <c r="M5160" s="1" t="str">
        <f>"095238"</f>
        <v>095238</v>
      </c>
      <c r="N5160" s="1" t="s">
        <v>44</v>
      </c>
      <c r="O5160" s="1" t="s">
        <v>45</v>
      </c>
      <c r="P5160" s="1" t="s">
        <v>68</v>
      </c>
      <c r="Q5160" s="1">
        <v>25</v>
      </c>
      <c r="R5160" s="1">
        <v>0</v>
      </c>
      <c r="S5160" s="1">
        <v>0</v>
      </c>
      <c r="T5160" s="1">
        <v>25</v>
      </c>
      <c r="U5160" s="1">
        <v>0</v>
      </c>
      <c r="V5160" s="1" t="str">
        <f t="shared" si="987"/>
        <v>里程去程</v>
      </c>
      <c r="W5160" s="1" t="str">
        <f>"0020"</f>
        <v>0020</v>
      </c>
      <c r="X5160" s="1" t="s">
        <v>29</v>
      </c>
    </row>
    <row r="5161" spans="1:24" x14ac:dyDescent="0.3">
      <c r="A5161" s="1" t="str">
        <f t="shared" si="986"/>
        <v>59822</v>
      </c>
      <c r="B5161" s="1" t="s">
        <v>39</v>
      </c>
      <c r="C5161" s="1" t="s">
        <v>40</v>
      </c>
      <c r="D5161" s="1" t="str">
        <f t="shared" si="985"/>
        <v>9801</v>
      </c>
      <c r="E5161" s="1" t="s">
        <v>25</v>
      </c>
      <c r="F5161" s="1" t="str">
        <f>"6131B94FA62804001C00000000000000"</f>
        <v>6131B94FA62804001C00000000000000</v>
      </c>
      <c r="G5161" s="1" t="s">
        <v>58</v>
      </c>
      <c r="H5161" s="1" t="str">
        <f t="shared" si="988"/>
        <v>20220924</v>
      </c>
      <c r="I5161" s="1" t="str">
        <f>"091941"</f>
        <v>091941</v>
      </c>
      <c r="J5161" s="1" t="s">
        <v>77</v>
      </c>
      <c r="K5161" s="1" t="s">
        <v>52</v>
      </c>
      <c r="L5161" s="1" t="str">
        <f t="shared" si="989"/>
        <v>20220924</v>
      </c>
      <c r="M5161" s="1" t="str">
        <f>"093233"</f>
        <v>093233</v>
      </c>
      <c r="N5161" s="1" t="s">
        <v>70</v>
      </c>
      <c r="O5161" s="1" t="s">
        <v>28</v>
      </c>
      <c r="P5161" s="1" t="s">
        <v>55</v>
      </c>
      <c r="Q5161" s="1">
        <v>25</v>
      </c>
      <c r="R5161" s="1">
        <v>25</v>
      </c>
      <c r="S5161" s="1">
        <v>0</v>
      </c>
      <c r="T5161" s="1">
        <v>0</v>
      </c>
      <c r="U5161" s="1">
        <v>0</v>
      </c>
      <c r="V5161" s="1" t="str">
        <f t="shared" si="987"/>
        <v>里程去程</v>
      </c>
      <c r="W5161" s="1" t="str">
        <f>"0020"</f>
        <v>0020</v>
      </c>
      <c r="X5161" s="1" t="s">
        <v>29</v>
      </c>
    </row>
    <row r="5162" spans="1:24" x14ac:dyDescent="0.3">
      <c r="A5162" s="1" t="str">
        <f t="shared" si="986"/>
        <v>59822</v>
      </c>
      <c r="B5162" s="1" t="s">
        <v>39</v>
      </c>
      <c r="C5162" s="1" t="s">
        <v>40</v>
      </c>
      <c r="D5162" s="1" t="str">
        <f t="shared" si="985"/>
        <v>9801</v>
      </c>
      <c r="E5162" s="1" t="s">
        <v>25</v>
      </c>
      <c r="F5162" s="1" t="str">
        <f>"1636928213"</f>
        <v>1636928213</v>
      </c>
      <c r="G5162" s="1" t="s">
        <v>33</v>
      </c>
      <c r="H5162" s="1" t="str">
        <f t="shared" si="988"/>
        <v>20220924</v>
      </c>
      <c r="I5162" s="1" t="str">
        <f>"092205"</f>
        <v>092205</v>
      </c>
      <c r="J5162" s="1" t="s">
        <v>69</v>
      </c>
      <c r="K5162" s="1" t="s">
        <v>52</v>
      </c>
      <c r="L5162" s="1" t="str">
        <f t="shared" si="989"/>
        <v>20220924</v>
      </c>
      <c r="M5162" s="1" t="str">
        <f>"093223"</f>
        <v>093223</v>
      </c>
      <c r="N5162" s="1" t="s">
        <v>70</v>
      </c>
      <c r="O5162" s="1" t="s">
        <v>28</v>
      </c>
      <c r="P5162" s="1" t="s">
        <v>55</v>
      </c>
      <c r="Q5162" s="1">
        <v>25</v>
      </c>
      <c r="R5162" s="1">
        <v>25</v>
      </c>
      <c r="S5162" s="1">
        <v>0</v>
      </c>
      <c r="T5162" s="1">
        <v>0</v>
      </c>
      <c r="U5162" s="1">
        <v>0</v>
      </c>
      <c r="V5162" s="1" t="str">
        <f t="shared" si="987"/>
        <v>里程去程</v>
      </c>
      <c r="W5162" s="1" t="str">
        <f>"2120"</f>
        <v>2120</v>
      </c>
      <c r="X5162" s="1" t="s">
        <v>35</v>
      </c>
    </row>
    <row r="5163" spans="1:24" x14ac:dyDescent="0.3">
      <c r="A5163" s="1" t="str">
        <f t="shared" si="986"/>
        <v>59822</v>
      </c>
      <c r="B5163" s="1" t="s">
        <v>39</v>
      </c>
      <c r="C5163" s="1" t="s">
        <v>40</v>
      </c>
      <c r="D5163" s="1" t="str">
        <f t="shared" si="985"/>
        <v>9801</v>
      </c>
      <c r="E5163" s="1" t="s">
        <v>25</v>
      </c>
      <c r="F5163" s="1" t="str">
        <f>"114923265D8804004328091300190212"</f>
        <v>114923265D8804004328091300190212</v>
      </c>
      <c r="G5163" s="1" t="s">
        <v>82</v>
      </c>
      <c r="H5163" s="1" t="str">
        <f t="shared" si="988"/>
        <v>20220924</v>
      </c>
      <c r="I5163" s="1" t="str">
        <f>"093245"</f>
        <v>093245</v>
      </c>
      <c r="J5163" s="1" t="s">
        <v>27</v>
      </c>
      <c r="K5163" s="1" t="s">
        <v>28</v>
      </c>
      <c r="L5163" s="1" t="str">
        <f t="shared" si="989"/>
        <v>20220924</v>
      </c>
      <c r="M5163" s="1" t="str">
        <f>"095421"</f>
        <v>095421</v>
      </c>
      <c r="N5163" s="1" t="s">
        <v>44</v>
      </c>
      <c r="O5163" s="1" t="s">
        <v>45</v>
      </c>
      <c r="P5163" s="1" t="s">
        <v>55</v>
      </c>
      <c r="Q5163" s="1">
        <v>13</v>
      </c>
      <c r="R5163" s="1">
        <v>13</v>
      </c>
      <c r="S5163" s="1">
        <v>0</v>
      </c>
      <c r="T5163" s="1">
        <v>0</v>
      </c>
      <c r="U5163" s="1">
        <v>0</v>
      </c>
      <c r="V5163" s="1" t="str">
        <f t="shared" si="987"/>
        <v>里程去程</v>
      </c>
      <c r="W5163" s="1" t="str">
        <f>"0020"</f>
        <v>0020</v>
      </c>
      <c r="X5163" s="1" t="s">
        <v>29</v>
      </c>
    </row>
    <row r="5164" spans="1:24" x14ac:dyDescent="0.3">
      <c r="A5164" s="1" t="str">
        <f t="shared" si="986"/>
        <v>59822</v>
      </c>
      <c r="B5164" s="1" t="s">
        <v>39</v>
      </c>
      <c r="C5164" s="1" t="s">
        <v>40</v>
      </c>
      <c r="D5164" s="1" t="str">
        <f t="shared" si="985"/>
        <v>9801</v>
      </c>
      <c r="E5164" s="1" t="s">
        <v>25</v>
      </c>
      <c r="F5164" s="1" t="str">
        <f>"319562223"</f>
        <v>319562223</v>
      </c>
      <c r="G5164" s="1" t="s">
        <v>33</v>
      </c>
      <c r="H5164" s="1" t="str">
        <f t="shared" si="988"/>
        <v>20220924</v>
      </c>
      <c r="I5164" s="1" t="str">
        <f>"093251"</f>
        <v>093251</v>
      </c>
      <c r="J5164" s="1" t="s">
        <v>27</v>
      </c>
      <c r="K5164" s="1" t="s">
        <v>28</v>
      </c>
      <c r="L5164" s="1" t="str">
        <f t="shared" si="989"/>
        <v>20220924</v>
      </c>
      <c r="M5164" s="1" t="str">
        <f>"094957"</f>
        <v>094957</v>
      </c>
      <c r="N5164" s="1" t="s">
        <v>91</v>
      </c>
      <c r="O5164" s="1" t="s">
        <v>45</v>
      </c>
      <c r="P5164" s="1" t="s">
        <v>55</v>
      </c>
      <c r="Q5164" s="1">
        <v>25</v>
      </c>
      <c r="R5164" s="1">
        <v>25</v>
      </c>
      <c r="S5164" s="1">
        <v>0</v>
      </c>
      <c r="T5164" s="1">
        <v>0</v>
      </c>
      <c r="U5164" s="1">
        <v>0</v>
      </c>
      <c r="V5164" s="1" t="str">
        <f t="shared" si="987"/>
        <v>里程去程</v>
      </c>
      <c r="W5164" s="1" t="str">
        <f>"0820"</f>
        <v>0820</v>
      </c>
      <c r="X5164" s="1" t="s">
        <v>35</v>
      </c>
    </row>
    <row r="5165" spans="1:24" x14ac:dyDescent="0.3">
      <c r="A5165" s="1" t="str">
        <f t="shared" si="986"/>
        <v>59822</v>
      </c>
      <c r="B5165" s="1" t="s">
        <v>39</v>
      </c>
      <c r="C5165" s="1" t="s">
        <v>40</v>
      </c>
      <c r="D5165" s="1" t="str">
        <f t="shared" si="985"/>
        <v>9801</v>
      </c>
      <c r="E5165" s="1" t="s">
        <v>25</v>
      </c>
      <c r="F5165" s="1" t="str">
        <f>"1404578225"</f>
        <v>1404578225</v>
      </c>
      <c r="G5165" s="1" t="s">
        <v>26</v>
      </c>
      <c r="H5165" s="1" t="str">
        <f t="shared" si="988"/>
        <v>20220924</v>
      </c>
      <c r="I5165" s="1" t="str">
        <f>"093303"</f>
        <v>093303</v>
      </c>
      <c r="J5165" s="1" t="s">
        <v>27</v>
      </c>
      <c r="K5165" s="1" t="s">
        <v>28</v>
      </c>
      <c r="L5165" s="1" t="str">
        <f t="shared" si="989"/>
        <v>20220924</v>
      </c>
      <c r="M5165" s="1" t="str">
        <f>"094404"</f>
        <v>094404</v>
      </c>
      <c r="N5165" s="1" t="s">
        <v>45</v>
      </c>
      <c r="O5165" s="1" t="s">
        <v>45</v>
      </c>
      <c r="P5165" s="1" t="s">
        <v>55</v>
      </c>
      <c r="Q5165" s="1">
        <v>13</v>
      </c>
      <c r="R5165" s="1">
        <v>0</v>
      </c>
      <c r="S5165" s="1">
        <v>13</v>
      </c>
      <c r="T5165" s="1">
        <v>0</v>
      </c>
      <c r="U5165" s="1">
        <v>0</v>
      </c>
      <c r="V5165" s="1" t="str">
        <f t="shared" si="987"/>
        <v>里程去程</v>
      </c>
      <c r="W5165" s="1" t="str">
        <f>"0820"</f>
        <v>0820</v>
      </c>
      <c r="X5165" s="1" t="s">
        <v>35</v>
      </c>
    </row>
    <row r="5166" spans="1:24" x14ac:dyDescent="0.3">
      <c r="A5166" s="1" t="str">
        <f t="shared" si="986"/>
        <v>59822</v>
      </c>
      <c r="B5166" s="1" t="s">
        <v>39</v>
      </c>
      <c r="C5166" s="1" t="s">
        <v>40</v>
      </c>
      <c r="D5166" s="1" t="str">
        <f t="shared" si="985"/>
        <v>9801</v>
      </c>
      <c r="E5166" s="1" t="s">
        <v>25</v>
      </c>
      <c r="F5166" s="1" t="str">
        <f>"1695708368"</f>
        <v>1695708368</v>
      </c>
      <c r="G5166" s="1" t="s">
        <v>33</v>
      </c>
      <c r="H5166" s="1" t="str">
        <f t="shared" si="988"/>
        <v>20220924</v>
      </c>
      <c r="I5166" s="1" t="str">
        <f>"093309"</f>
        <v>093309</v>
      </c>
      <c r="J5166" s="1" t="s">
        <v>27</v>
      </c>
      <c r="K5166" s="1" t="s">
        <v>28</v>
      </c>
      <c r="L5166" s="1" t="str">
        <f t="shared" si="989"/>
        <v>20220924</v>
      </c>
      <c r="M5166" s="1" t="str">
        <f>"094951"</f>
        <v>094951</v>
      </c>
      <c r="N5166" s="1" t="s">
        <v>91</v>
      </c>
      <c r="O5166" s="1" t="s">
        <v>45</v>
      </c>
      <c r="P5166" s="1" t="s">
        <v>55</v>
      </c>
      <c r="Q5166" s="1">
        <v>25</v>
      </c>
      <c r="R5166" s="1">
        <v>25</v>
      </c>
      <c r="S5166" s="1">
        <v>0</v>
      </c>
      <c r="T5166" s="1">
        <v>0</v>
      </c>
      <c r="U5166" s="1">
        <v>0</v>
      </c>
      <c r="V5166" s="1" t="str">
        <f t="shared" si="987"/>
        <v>里程去程</v>
      </c>
      <c r="W5166" s="1" t="str">
        <f>"2020"</f>
        <v>2020</v>
      </c>
      <c r="X5166" s="1" t="s">
        <v>35</v>
      </c>
    </row>
    <row r="5167" spans="1:24" x14ac:dyDescent="0.3">
      <c r="A5167" s="1" t="str">
        <f t="shared" si="986"/>
        <v>59822</v>
      </c>
      <c r="B5167" s="1" t="s">
        <v>39</v>
      </c>
      <c r="C5167" s="1" t="s">
        <v>40</v>
      </c>
      <c r="D5167" s="1" t="str">
        <f t="shared" si="985"/>
        <v>9801</v>
      </c>
      <c r="E5167" s="1" t="s">
        <v>25</v>
      </c>
      <c r="F5167" s="1" t="str">
        <f>"319562223"</f>
        <v>319562223</v>
      </c>
      <c r="G5167" s="1" t="s">
        <v>33</v>
      </c>
      <c r="H5167" s="1" t="str">
        <f t="shared" si="988"/>
        <v>20220924</v>
      </c>
      <c r="I5167" s="1" t="str">
        <f>"123608"</f>
        <v>123608</v>
      </c>
      <c r="J5167" s="1" t="s">
        <v>91</v>
      </c>
      <c r="K5167" s="1" t="s">
        <v>45</v>
      </c>
      <c r="L5167" s="1" t="str">
        <f t="shared" si="989"/>
        <v>20220924</v>
      </c>
      <c r="M5167" s="1" t="str">
        <f>"125004"</f>
        <v>125004</v>
      </c>
      <c r="N5167" s="1" t="s">
        <v>28</v>
      </c>
      <c r="O5167" s="1" t="s">
        <v>28</v>
      </c>
      <c r="P5167" s="1" t="s">
        <v>55</v>
      </c>
      <c r="Q5167" s="1">
        <v>25</v>
      </c>
      <c r="R5167" s="1">
        <v>25</v>
      </c>
      <c r="S5167" s="1">
        <v>0</v>
      </c>
      <c r="T5167" s="1">
        <v>0</v>
      </c>
      <c r="U5167" s="1">
        <v>0</v>
      </c>
      <c r="V5167" s="1" t="str">
        <f t="shared" ref="V5167:V5176" si="990">"里程返程"</f>
        <v>里程返程</v>
      </c>
      <c r="W5167" s="1" t="str">
        <f>"2020"</f>
        <v>2020</v>
      </c>
      <c r="X5167" s="1" t="s">
        <v>35</v>
      </c>
    </row>
    <row r="5168" spans="1:24" x14ac:dyDescent="0.3">
      <c r="A5168" s="1" t="str">
        <f t="shared" si="986"/>
        <v>59822</v>
      </c>
      <c r="B5168" s="1" t="s">
        <v>39</v>
      </c>
      <c r="C5168" s="1" t="s">
        <v>40</v>
      </c>
      <c r="D5168" s="1" t="str">
        <f t="shared" si="985"/>
        <v>9801</v>
      </c>
      <c r="E5168" s="1" t="s">
        <v>25</v>
      </c>
      <c r="F5168" s="1" t="str">
        <f>"72C1BC111E28040080CEBCD141912418"</f>
        <v>72C1BC111E28040080CEBCD141912418</v>
      </c>
      <c r="G5168" s="1" t="s">
        <v>59</v>
      </c>
      <c r="H5168" s="1" t="str">
        <f t="shared" si="988"/>
        <v>20220924</v>
      </c>
      <c r="I5168" s="1" t="str">
        <f>"123611"</f>
        <v>123611</v>
      </c>
      <c r="J5168" s="1" t="s">
        <v>91</v>
      </c>
      <c r="K5168" s="1" t="s">
        <v>45</v>
      </c>
      <c r="L5168" s="1" t="str">
        <f t="shared" si="989"/>
        <v>20220924</v>
      </c>
      <c r="M5168" s="1" t="str">
        <f>"124958"</f>
        <v>124958</v>
      </c>
      <c r="N5168" s="1" t="s">
        <v>28</v>
      </c>
      <c r="O5168" s="1" t="s">
        <v>28</v>
      </c>
      <c r="P5168" s="1" t="s">
        <v>55</v>
      </c>
      <c r="Q5168" s="1">
        <v>25</v>
      </c>
      <c r="R5168" s="1">
        <v>25</v>
      </c>
      <c r="S5168" s="1">
        <v>0</v>
      </c>
      <c r="T5168" s="1">
        <v>0</v>
      </c>
      <c r="U5168" s="1">
        <v>0</v>
      </c>
      <c r="V5168" s="1" t="str">
        <f t="shared" si="990"/>
        <v>里程返程</v>
      </c>
      <c r="W5168" s="1" t="str">
        <f>"0020"</f>
        <v>0020</v>
      </c>
      <c r="X5168" s="1" t="s">
        <v>29</v>
      </c>
    </row>
    <row r="5169" spans="1:24" x14ac:dyDescent="0.3">
      <c r="A5169" s="1" t="str">
        <f t="shared" si="986"/>
        <v>59822</v>
      </c>
      <c r="B5169" s="1" t="s">
        <v>39</v>
      </c>
      <c r="C5169" s="1" t="s">
        <v>40</v>
      </c>
      <c r="D5169" s="1" t="str">
        <f t="shared" si="985"/>
        <v>9801</v>
      </c>
      <c r="E5169" s="1" t="s">
        <v>25</v>
      </c>
      <c r="F5169" s="1" t="str">
        <f>"266724945"</f>
        <v>266724945</v>
      </c>
      <c r="G5169" s="1" t="s">
        <v>33</v>
      </c>
      <c r="H5169" s="1" t="str">
        <f t="shared" si="988"/>
        <v>20220924</v>
      </c>
      <c r="I5169" s="1" t="str">
        <f>"125040"</f>
        <v>125040</v>
      </c>
      <c r="J5169" s="1" t="s">
        <v>28</v>
      </c>
      <c r="K5169" s="1" t="s">
        <v>28</v>
      </c>
      <c r="L5169" s="1" t="str">
        <f t="shared" si="989"/>
        <v>20220924</v>
      </c>
      <c r="M5169" s="1" t="str">
        <f>"132114"</f>
        <v>132114</v>
      </c>
      <c r="N5169" s="1" t="s">
        <v>52</v>
      </c>
      <c r="O5169" s="1" t="s">
        <v>52</v>
      </c>
      <c r="P5169" s="1" t="s">
        <v>55</v>
      </c>
      <c r="Q5169" s="1">
        <v>25</v>
      </c>
      <c r="R5169" s="1">
        <v>25</v>
      </c>
      <c r="S5169" s="1">
        <v>0</v>
      </c>
      <c r="T5169" s="1">
        <v>0</v>
      </c>
      <c r="U5169" s="1">
        <v>0</v>
      </c>
      <c r="V5169" s="1" t="str">
        <f t="shared" si="990"/>
        <v>里程返程</v>
      </c>
      <c r="W5169" s="1" t="str">
        <f>"1120"</f>
        <v>1120</v>
      </c>
      <c r="X5169" s="1" t="s">
        <v>35</v>
      </c>
    </row>
    <row r="5170" spans="1:24" x14ac:dyDescent="0.3">
      <c r="A5170" s="1" t="str">
        <f t="shared" si="986"/>
        <v>59822</v>
      </c>
      <c r="B5170" s="1" t="s">
        <v>39</v>
      </c>
      <c r="C5170" s="1" t="s">
        <v>40</v>
      </c>
      <c r="D5170" s="1" t="str">
        <f t="shared" si="985"/>
        <v>9801</v>
      </c>
      <c r="E5170" s="1" t="s">
        <v>25</v>
      </c>
      <c r="F5170" s="1" t="str">
        <f>"1695708368"</f>
        <v>1695708368</v>
      </c>
      <c r="G5170" s="1" t="s">
        <v>33</v>
      </c>
      <c r="H5170" s="1" t="str">
        <f t="shared" si="988"/>
        <v>20220924</v>
      </c>
      <c r="I5170" s="1" t="str">
        <f>"142635"</f>
        <v>142635</v>
      </c>
      <c r="J5170" s="1" t="s">
        <v>44</v>
      </c>
      <c r="K5170" s="1" t="s">
        <v>45</v>
      </c>
      <c r="L5170" s="1" t="str">
        <f t="shared" si="989"/>
        <v>20220924</v>
      </c>
      <c r="M5170" s="1" t="str">
        <f>"145105"</f>
        <v>145105</v>
      </c>
      <c r="N5170" s="1" t="s">
        <v>28</v>
      </c>
      <c r="O5170" s="1" t="s">
        <v>28</v>
      </c>
      <c r="P5170" s="1" t="s">
        <v>55</v>
      </c>
      <c r="Q5170" s="1">
        <v>25</v>
      </c>
      <c r="R5170" s="1">
        <v>25</v>
      </c>
      <c r="S5170" s="1">
        <v>0</v>
      </c>
      <c r="T5170" s="1">
        <v>0</v>
      </c>
      <c r="U5170" s="1">
        <v>0</v>
      </c>
      <c r="V5170" s="1" t="str">
        <f t="shared" si="990"/>
        <v>里程返程</v>
      </c>
      <c r="W5170" s="1" t="str">
        <f>"2020"</f>
        <v>2020</v>
      </c>
      <c r="X5170" s="1" t="s">
        <v>35</v>
      </c>
    </row>
    <row r="5171" spans="1:24" x14ac:dyDescent="0.3">
      <c r="A5171" s="1" t="str">
        <f t="shared" si="986"/>
        <v>59822</v>
      </c>
      <c r="B5171" s="1" t="s">
        <v>39</v>
      </c>
      <c r="C5171" s="1" t="s">
        <v>40</v>
      </c>
      <c r="D5171" s="1" t="str">
        <f t="shared" si="985"/>
        <v>9801</v>
      </c>
      <c r="E5171" s="1" t="s">
        <v>25</v>
      </c>
      <c r="F5171" s="1" t="str">
        <f>"1028018341"</f>
        <v>1028018341</v>
      </c>
      <c r="G5171" s="1" t="s">
        <v>33</v>
      </c>
      <c r="H5171" s="1" t="str">
        <f t="shared" si="988"/>
        <v>20220924</v>
      </c>
      <c r="I5171" s="1" t="str">
        <f>"143523"</f>
        <v>143523</v>
      </c>
      <c r="J5171" s="1" t="s">
        <v>91</v>
      </c>
      <c r="K5171" s="1" t="s">
        <v>45</v>
      </c>
      <c r="L5171" s="1" t="str">
        <f t="shared" si="989"/>
        <v>20220924</v>
      </c>
      <c r="M5171" s="1" t="str">
        <f>"151643"</f>
        <v>151643</v>
      </c>
      <c r="N5171" s="1" t="s">
        <v>52</v>
      </c>
      <c r="O5171" s="1" t="s">
        <v>52</v>
      </c>
      <c r="P5171" s="1" t="s">
        <v>55</v>
      </c>
      <c r="Q5171" s="1">
        <v>50</v>
      </c>
      <c r="R5171" s="1">
        <v>50</v>
      </c>
      <c r="S5171" s="1">
        <v>0</v>
      </c>
      <c r="T5171" s="1">
        <v>0</v>
      </c>
      <c r="U5171" s="1">
        <v>0</v>
      </c>
      <c r="V5171" s="1" t="str">
        <f t="shared" si="990"/>
        <v>里程返程</v>
      </c>
      <c r="W5171" s="1" t="str">
        <f>"1420"</f>
        <v>1420</v>
      </c>
      <c r="X5171" s="1" t="s">
        <v>35</v>
      </c>
    </row>
    <row r="5172" spans="1:24" x14ac:dyDescent="0.3">
      <c r="A5172" s="1" t="str">
        <f t="shared" si="986"/>
        <v>59822</v>
      </c>
      <c r="B5172" s="1" t="s">
        <v>39</v>
      </c>
      <c r="C5172" s="1" t="s">
        <v>40</v>
      </c>
      <c r="D5172" s="1" t="str">
        <f t="shared" si="985"/>
        <v>9801</v>
      </c>
      <c r="E5172" s="1" t="s">
        <v>25</v>
      </c>
      <c r="F5172" s="1" t="str">
        <f>"236138630"</f>
        <v>236138630</v>
      </c>
      <c r="G5172" s="1" t="s">
        <v>26</v>
      </c>
      <c r="H5172" s="1" t="str">
        <f t="shared" si="988"/>
        <v>20220924</v>
      </c>
      <c r="I5172" s="1" t="str">
        <f>"143532"</f>
        <v>143532</v>
      </c>
      <c r="J5172" s="1" t="s">
        <v>91</v>
      </c>
      <c r="K5172" s="1" t="s">
        <v>45</v>
      </c>
      <c r="L5172" s="1" t="str">
        <f t="shared" si="989"/>
        <v>20220924</v>
      </c>
      <c r="M5172" s="1" t="str">
        <f>"151648"</f>
        <v>151648</v>
      </c>
      <c r="N5172" s="1" t="s">
        <v>52</v>
      </c>
      <c r="O5172" s="1" t="s">
        <v>52</v>
      </c>
      <c r="P5172" s="1" t="s">
        <v>55</v>
      </c>
      <c r="Q5172" s="1">
        <v>25</v>
      </c>
      <c r="R5172" s="1">
        <v>25</v>
      </c>
      <c r="S5172" s="1">
        <v>0</v>
      </c>
      <c r="T5172" s="1">
        <v>0</v>
      </c>
      <c r="U5172" s="1">
        <v>0</v>
      </c>
      <c r="V5172" s="1" t="str">
        <f t="shared" si="990"/>
        <v>里程返程</v>
      </c>
      <c r="W5172" s="1" t="str">
        <f>"1420"</f>
        <v>1420</v>
      </c>
      <c r="X5172" s="1" t="s">
        <v>35</v>
      </c>
    </row>
    <row r="5173" spans="1:24" x14ac:dyDescent="0.3">
      <c r="A5173" s="1" t="str">
        <f t="shared" si="986"/>
        <v>59822</v>
      </c>
      <c r="B5173" s="1" t="s">
        <v>39</v>
      </c>
      <c r="C5173" s="1" t="s">
        <v>40</v>
      </c>
      <c r="D5173" s="1" t="str">
        <f t="shared" si="985"/>
        <v>9801</v>
      </c>
      <c r="E5173" s="1" t="s">
        <v>25</v>
      </c>
      <c r="F5173" s="1" t="str">
        <f>"32780D0344880400C834002000000015"</f>
        <v>32780D0344880400C834002000000015</v>
      </c>
      <c r="G5173" s="1" t="s">
        <v>26</v>
      </c>
      <c r="H5173" s="1" t="str">
        <f t="shared" si="988"/>
        <v>20220924</v>
      </c>
      <c r="I5173" s="1" t="str">
        <f>"152445"</f>
        <v>152445</v>
      </c>
      <c r="J5173" s="1" t="s">
        <v>44</v>
      </c>
      <c r="K5173" s="1" t="s">
        <v>45</v>
      </c>
      <c r="L5173" s="1" t="str">
        <f t="shared" si="989"/>
        <v>20220924</v>
      </c>
      <c r="M5173" s="1" t="str">
        <f>"155128"</f>
        <v>155128</v>
      </c>
      <c r="N5173" s="1" t="s">
        <v>95</v>
      </c>
      <c r="O5173" s="1" t="s">
        <v>28</v>
      </c>
      <c r="P5173" s="1" t="s">
        <v>68</v>
      </c>
      <c r="Q5173" s="1">
        <v>13</v>
      </c>
      <c r="R5173" s="1">
        <v>0</v>
      </c>
      <c r="S5173" s="1">
        <v>0</v>
      </c>
      <c r="T5173" s="1">
        <v>13</v>
      </c>
      <c r="U5173" s="1">
        <v>0</v>
      </c>
      <c r="V5173" s="1" t="str">
        <f t="shared" si="990"/>
        <v>里程返程</v>
      </c>
      <c r="W5173" s="1" t="str">
        <f>"0020"</f>
        <v>0020</v>
      </c>
      <c r="X5173" s="1" t="s">
        <v>29</v>
      </c>
    </row>
    <row r="5174" spans="1:24" x14ac:dyDescent="0.3">
      <c r="A5174" s="1" t="str">
        <f t="shared" si="986"/>
        <v>59822</v>
      </c>
      <c r="B5174" s="1" t="s">
        <v>39</v>
      </c>
      <c r="C5174" s="1" t="s">
        <v>40</v>
      </c>
      <c r="D5174" s="1" t="str">
        <f t="shared" si="985"/>
        <v>9801</v>
      </c>
      <c r="E5174" s="1" t="s">
        <v>25</v>
      </c>
      <c r="F5174" s="1" t="str">
        <f>"1028018341"</f>
        <v>1028018341</v>
      </c>
      <c r="G5174" s="1" t="s">
        <v>33</v>
      </c>
      <c r="H5174" s="1" t="str">
        <f t="shared" si="988"/>
        <v>20220924</v>
      </c>
      <c r="I5174" s="1" t="str">
        <f>"152908"</f>
        <v>152908</v>
      </c>
      <c r="J5174" s="1" t="s">
        <v>44</v>
      </c>
      <c r="K5174" s="1" t="s">
        <v>45</v>
      </c>
      <c r="L5174" s="1" t="str">
        <f t="shared" si="989"/>
        <v>20220924</v>
      </c>
      <c r="M5174" s="1" t="str">
        <f>"153220"</f>
        <v>153220</v>
      </c>
      <c r="N5174" s="1" t="s">
        <v>44</v>
      </c>
      <c r="O5174" s="1" t="s">
        <v>45</v>
      </c>
      <c r="P5174" s="1" t="s">
        <v>55</v>
      </c>
      <c r="Q5174" s="1">
        <v>25</v>
      </c>
      <c r="R5174" s="1">
        <v>25</v>
      </c>
      <c r="S5174" s="1">
        <v>0</v>
      </c>
      <c r="T5174" s="1">
        <v>0</v>
      </c>
      <c r="U5174" s="1">
        <v>0</v>
      </c>
      <c r="V5174" s="1" t="str">
        <f t="shared" si="990"/>
        <v>里程返程</v>
      </c>
      <c r="W5174" s="1" t="str">
        <f>"2020"</f>
        <v>2020</v>
      </c>
      <c r="X5174" s="1" t="s">
        <v>35</v>
      </c>
    </row>
    <row r="5175" spans="1:24" x14ac:dyDescent="0.3">
      <c r="A5175" s="1" t="str">
        <f t="shared" si="986"/>
        <v>59822</v>
      </c>
      <c r="B5175" s="1" t="s">
        <v>39</v>
      </c>
      <c r="C5175" s="1" t="s">
        <v>40</v>
      </c>
      <c r="D5175" s="1" t="str">
        <f t="shared" si="985"/>
        <v>9801</v>
      </c>
      <c r="E5175" s="1" t="s">
        <v>25</v>
      </c>
      <c r="F5175" s="1" t="str">
        <f>"236138630"</f>
        <v>236138630</v>
      </c>
      <c r="G5175" s="1" t="s">
        <v>26</v>
      </c>
      <c r="H5175" s="1" t="str">
        <f t="shared" si="988"/>
        <v>20220924</v>
      </c>
      <c r="I5175" s="1" t="str">
        <f>"152928"</f>
        <v>152928</v>
      </c>
      <c r="J5175" s="1" t="s">
        <v>44</v>
      </c>
      <c r="K5175" s="1" t="s">
        <v>45</v>
      </c>
      <c r="L5175" s="1" t="str">
        <f t="shared" si="989"/>
        <v>20220924</v>
      </c>
      <c r="M5175" s="1" t="str">
        <f>"153232"</f>
        <v>153232</v>
      </c>
      <c r="N5175" s="1" t="s">
        <v>44</v>
      </c>
      <c r="O5175" s="1" t="s">
        <v>45</v>
      </c>
      <c r="P5175" s="1" t="s">
        <v>55</v>
      </c>
      <c r="Q5175" s="1">
        <v>13</v>
      </c>
      <c r="R5175" s="1">
        <v>0</v>
      </c>
      <c r="S5175" s="1">
        <v>13</v>
      </c>
      <c r="T5175" s="1">
        <v>0</v>
      </c>
      <c r="U5175" s="1">
        <v>0</v>
      </c>
      <c r="V5175" s="1" t="str">
        <f t="shared" si="990"/>
        <v>里程返程</v>
      </c>
      <c r="W5175" s="1" t="str">
        <f>"2020"</f>
        <v>2020</v>
      </c>
      <c r="X5175" s="1" t="s">
        <v>35</v>
      </c>
    </row>
    <row r="5176" spans="1:24" x14ac:dyDescent="0.3">
      <c r="A5176" s="1" t="str">
        <f t="shared" si="986"/>
        <v>59822</v>
      </c>
      <c r="B5176" s="1" t="s">
        <v>39</v>
      </c>
      <c r="C5176" s="1" t="s">
        <v>40</v>
      </c>
      <c r="D5176" s="1" t="str">
        <f t="shared" si="985"/>
        <v>9801</v>
      </c>
      <c r="E5176" s="1" t="s">
        <v>25</v>
      </c>
      <c r="F5176" s="1" t="str">
        <f>"2741001316"</f>
        <v>2741001316</v>
      </c>
      <c r="G5176" s="1" t="s">
        <v>33</v>
      </c>
      <c r="H5176" s="1" t="str">
        <f t="shared" si="988"/>
        <v>20220924</v>
      </c>
      <c r="I5176" s="1" t="str">
        <f>"165030"</f>
        <v>165030</v>
      </c>
      <c r="J5176" s="1" t="s">
        <v>28</v>
      </c>
      <c r="K5176" s="1" t="s">
        <v>28</v>
      </c>
      <c r="L5176" s="1" t="str">
        <f t="shared" si="989"/>
        <v>20220924</v>
      </c>
      <c r="M5176" s="1" t="str">
        <f>"170211"</f>
        <v>170211</v>
      </c>
      <c r="N5176" s="1" t="s">
        <v>83</v>
      </c>
      <c r="O5176" s="1" t="s">
        <v>52</v>
      </c>
      <c r="P5176" s="1" t="s">
        <v>55</v>
      </c>
      <c r="Q5176" s="1">
        <v>25</v>
      </c>
      <c r="R5176" s="1">
        <v>25</v>
      </c>
      <c r="S5176" s="1">
        <v>0</v>
      </c>
      <c r="T5176" s="1">
        <v>0</v>
      </c>
      <c r="U5176" s="1">
        <v>0</v>
      </c>
      <c r="V5176" s="1" t="str">
        <f t="shared" si="990"/>
        <v>里程返程</v>
      </c>
      <c r="W5176" s="1" t="str">
        <f>"0220"</f>
        <v>0220</v>
      </c>
      <c r="X5176" s="1" t="s">
        <v>35</v>
      </c>
    </row>
    <row r="5177" spans="1:24" x14ac:dyDescent="0.3">
      <c r="A5177" s="1" t="str">
        <f t="shared" ref="A5177:A5215" si="991">"59825"</f>
        <v>59825</v>
      </c>
      <c r="B5177" s="1" t="s">
        <v>30</v>
      </c>
      <c r="C5177" s="1" t="s">
        <v>31</v>
      </c>
      <c r="D5177" s="1" t="str">
        <f t="shared" ref="D5177:D5213" si="992">"9803"</f>
        <v>9803</v>
      </c>
      <c r="E5177" s="1" t="s">
        <v>32</v>
      </c>
      <c r="F5177" s="1" t="str">
        <f>"226629793"</f>
        <v>226629793</v>
      </c>
      <c r="G5177" s="1" t="s">
        <v>33</v>
      </c>
      <c r="H5177" s="1" t="str">
        <f t="shared" si="988"/>
        <v>20220924</v>
      </c>
      <c r="I5177" s="1" t="str">
        <f>"073245"</f>
        <v>073245</v>
      </c>
      <c r="J5177" s="1" t="s">
        <v>28</v>
      </c>
      <c r="K5177" s="1" t="s">
        <v>28</v>
      </c>
      <c r="L5177" s="1" t="str">
        <f t="shared" si="989"/>
        <v>20220924</v>
      </c>
      <c r="M5177" s="1" t="str">
        <f>"075141"</f>
        <v>075141</v>
      </c>
      <c r="N5177" s="1" t="s">
        <v>34</v>
      </c>
      <c r="O5177" s="1" t="s">
        <v>34</v>
      </c>
      <c r="P5177" s="1" t="s">
        <v>55</v>
      </c>
      <c r="Q5177" s="1">
        <v>25</v>
      </c>
      <c r="R5177" s="1">
        <v>25</v>
      </c>
      <c r="S5177" s="1">
        <v>0</v>
      </c>
      <c r="T5177" s="1">
        <v>0</v>
      </c>
      <c r="U5177" s="1">
        <v>0</v>
      </c>
      <c r="V5177" s="1" t="str">
        <f t="shared" ref="V5177:V5194" si="993">"里程去程"</f>
        <v>里程去程</v>
      </c>
      <c r="W5177" s="1" t="str">
        <f>"0620"</f>
        <v>0620</v>
      </c>
      <c r="X5177" s="1" t="s">
        <v>35</v>
      </c>
    </row>
    <row r="5178" spans="1:24" x14ac:dyDescent="0.3">
      <c r="A5178" s="1" t="str">
        <f t="shared" si="991"/>
        <v>59825</v>
      </c>
      <c r="B5178" s="1" t="s">
        <v>30</v>
      </c>
      <c r="C5178" s="1" t="s">
        <v>31</v>
      </c>
      <c r="D5178" s="1" t="str">
        <f t="shared" si="992"/>
        <v>9803</v>
      </c>
      <c r="E5178" s="1" t="s">
        <v>32</v>
      </c>
      <c r="F5178" s="1" t="str">
        <f>"406662017"</f>
        <v>406662017</v>
      </c>
      <c r="G5178" s="1" t="s">
        <v>33</v>
      </c>
      <c r="H5178" s="1" t="str">
        <f t="shared" si="988"/>
        <v>20220924</v>
      </c>
      <c r="I5178" s="1" t="str">
        <f>"073255"</f>
        <v>073255</v>
      </c>
      <c r="J5178" s="1" t="s">
        <v>28</v>
      </c>
      <c r="K5178" s="1" t="s">
        <v>28</v>
      </c>
      <c r="L5178" s="1" t="str">
        <f t="shared" si="989"/>
        <v>20220924</v>
      </c>
      <c r="M5178" s="1" t="str">
        <f>"075133"</f>
        <v>075133</v>
      </c>
      <c r="N5178" s="1" t="s">
        <v>34</v>
      </c>
      <c r="O5178" s="1" t="s">
        <v>34</v>
      </c>
      <c r="P5178" s="1" t="s">
        <v>55</v>
      </c>
      <c r="Q5178" s="1">
        <v>25</v>
      </c>
      <c r="R5178" s="1">
        <v>25</v>
      </c>
      <c r="S5178" s="1">
        <v>0</v>
      </c>
      <c r="T5178" s="1">
        <v>0</v>
      </c>
      <c r="U5178" s="1">
        <v>0</v>
      </c>
      <c r="V5178" s="1" t="str">
        <f t="shared" si="993"/>
        <v>里程去程</v>
      </c>
      <c r="W5178" s="1" t="str">
        <f>"0620"</f>
        <v>0620</v>
      </c>
      <c r="X5178" s="1" t="s">
        <v>35</v>
      </c>
    </row>
    <row r="5179" spans="1:24" x14ac:dyDescent="0.3">
      <c r="A5179" s="1" t="str">
        <f t="shared" si="991"/>
        <v>59825</v>
      </c>
      <c r="B5179" s="1" t="s">
        <v>30</v>
      </c>
      <c r="C5179" s="1" t="s">
        <v>31</v>
      </c>
      <c r="D5179" s="1" t="str">
        <f t="shared" si="992"/>
        <v>9803</v>
      </c>
      <c r="E5179" s="1" t="s">
        <v>32</v>
      </c>
      <c r="F5179" s="1" t="str">
        <f>"1095280305"</f>
        <v>1095280305</v>
      </c>
      <c r="G5179" s="1" t="s">
        <v>33</v>
      </c>
      <c r="H5179" s="1" t="str">
        <f t="shared" si="988"/>
        <v>20220924</v>
      </c>
      <c r="I5179" s="1" t="str">
        <f>"102701"</f>
        <v>102701</v>
      </c>
      <c r="J5179" s="1" t="s">
        <v>28</v>
      </c>
      <c r="K5179" s="1" t="s">
        <v>28</v>
      </c>
      <c r="L5179" s="1" t="str">
        <f t="shared" si="989"/>
        <v>20220924</v>
      </c>
      <c r="M5179" s="1" t="str">
        <f>"103946"</f>
        <v>103946</v>
      </c>
      <c r="N5179" s="1" t="s">
        <v>46</v>
      </c>
      <c r="O5179" s="1" t="s">
        <v>28</v>
      </c>
      <c r="P5179" s="1" t="s">
        <v>55</v>
      </c>
      <c r="Q5179" s="1">
        <v>25</v>
      </c>
      <c r="R5179" s="1">
        <v>0</v>
      </c>
      <c r="S5179" s="1">
        <v>25</v>
      </c>
      <c r="T5179" s="1">
        <v>0</v>
      </c>
      <c r="U5179" s="1">
        <v>0</v>
      </c>
      <c r="V5179" s="1" t="str">
        <f t="shared" si="993"/>
        <v>里程去程</v>
      </c>
      <c r="W5179" s="1" t="str">
        <f>"0820"</f>
        <v>0820</v>
      </c>
      <c r="X5179" s="1" t="s">
        <v>35</v>
      </c>
    </row>
    <row r="5180" spans="1:24" x14ac:dyDescent="0.3">
      <c r="A5180" s="1" t="str">
        <f t="shared" si="991"/>
        <v>59825</v>
      </c>
      <c r="B5180" s="1" t="s">
        <v>30</v>
      </c>
      <c r="C5180" s="1" t="s">
        <v>31</v>
      </c>
      <c r="D5180" s="1" t="str">
        <f t="shared" si="992"/>
        <v>9803</v>
      </c>
      <c r="E5180" s="1" t="s">
        <v>32</v>
      </c>
      <c r="F5180" s="1" t="str">
        <f>"1233903797"</f>
        <v>1233903797</v>
      </c>
      <c r="G5180" s="1" t="s">
        <v>26</v>
      </c>
      <c r="H5180" s="1" t="str">
        <f t="shared" si="988"/>
        <v>20220924</v>
      </c>
      <c r="I5180" s="1" t="str">
        <f>"102713"</f>
        <v>102713</v>
      </c>
      <c r="J5180" s="1" t="s">
        <v>28</v>
      </c>
      <c r="K5180" s="1" t="s">
        <v>28</v>
      </c>
      <c r="L5180" s="1" t="str">
        <f t="shared" si="989"/>
        <v>20220924</v>
      </c>
      <c r="M5180" s="1" t="str">
        <f>"103943"</f>
        <v>103943</v>
      </c>
      <c r="N5180" s="1" t="s">
        <v>46</v>
      </c>
      <c r="O5180" s="1" t="s">
        <v>28</v>
      </c>
      <c r="P5180" s="1" t="s">
        <v>55</v>
      </c>
      <c r="Q5180" s="1">
        <v>13</v>
      </c>
      <c r="R5180" s="1">
        <v>0</v>
      </c>
      <c r="S5180" s="1">
        <v>13</v>
      </c>
      <c r="T5180" s="1">
        <v>0</v>
      </c>
      <c r="U5180" s="1">
        <v>0</v>
      </c>
      <c r="V5180" s="1" t="str">
        <f t="shared" si="993"/>
        <v>里程去程</v>
      </c>
      <c r="W5180" s="1" t="str">
        <f>"0820"</f>
        <v>0820</v>
      </c>
      <c r="X5180" s="1" t="s">
        <v>35</v>
      </c>
    </row>
    <row r="5181" spans="1:24" x14ac:dyDescent="0.3">
      <c r="A5181" s="1" t="str">
        <f t="shared" si="991"/>
        <v>59825</v>
      </c>
      <c r="B5181" s="1" t="s">
        <v>30</v>
      </c>
      <c r="C5181" s="1" t="s">
        <v>31</v>
      </c>
      <c r="D5181" s="1" t="str">
        <f t="shared" si="992"/>
        <v>9803</v>
      </c>
      <c r="E5181" s="1" t="s">
        <v>32</v>
      </c>
      <c r="F5181" s="1" t="str">
        <f>"321323439"</f>
        <v>321323439</v>
      </c>
      <c r="G5181" s="1" t="s">
        <v>33</v>
      </c>
      <c r="H5181" s="1" t="str">
        <f t="shared" si="988"/>
        <v>20220924</v>
      </c>
      <c r="I5181" s="1" t="str">
        <f>"102719"</f>
        <v>102719</v>
      </c>
      <c r="J5181" s="1" t="s">
        <v>28</v>
      </c>
      <c r="K5181" s="1" t="s">
        <v>28</v>
      </c>
      <c r="L5181" s="1" t="str">
        <f t="shared" si="989"/>
        <v>20220924</v>
      </c>
      <c r="M5181" s="1" t="str">
        <f>"105015"</f>
        <v>105015</v>
      </c>
      <c r="N5181" s="1" t="s">
        <v>34</v>
      </c>
      <c r="O5181" s="1" t="s">
        <v>34</v>
      </c>
      <c r="P5181" s="1" t="s">
        <v>55</v>
      </c>
      <c r="Q5181" s="1">
        <v>25</v>
      </c>
      <c r="R5181" s="1">
        <v>25</v>
      </c>
      <c r="S5181" s="1">
        <v>0</v>
      </c>
      <c r="T5181" s="1">
        <v>0</v>
      </c>
      <c r="U5181" s="1">
        <v>0</v>
      </c>
      <c r="V5181" s="1" t="str">
        <f t="shared" si="993"/>
        <v>里程去程</v>
      </c>
      <c r="W5181" s="1" t="str">
        <f>"0820"</f>
        <v>0820</v>
      </c>
      <c r="X5181" s="1" t="s">
        <v>35</v>
      </c>
    </row>
    <row r="5182" spans="1:24" x14ac:dyDescent="0.3">
      <c r="A5182" s="1" t="str">
        <f t="shared" si="991"/>
        <v>59825</v>
      </c>
      <c r="B5182" s="1" t="s">
        <v>30</v>
      </c>
      <c r="C5182" s="1" t="s">
        <v>31</v>
      </c>
      <c r="D5182" s="1" t="str">
        <f t="shared" si="992"/>
        <v>9803</v>
      </c>
      <c r="E5182" s="1" t="s">
        <v>32</v>
      </c>
      <c r="F5182" s="1" t="str">
        <f>"2653756328"</f>
        <v>2653756328</v>
      </c>
      <c r="G5182" s="1" t="s">
        <v>33</v>
      </c>
      <c r="H5182" s="1" t="str">
        <f t="shared" si="988"/>
        <v>20220924</v>
      </c>
      <c r="I5182" s="1" t="str">
        <f>"102727"</f>
        <v>102727</v>
      </c>
      <c r="J5182" s="1" t="s">
        <v>28</v>
      </c>
      <c r="K5182" s="1" t="s">
        <v>28</v>
      </c>
      <c r="L5182" s="1" t="str">
        <f t="shared" si="989"/>
        <v>20220924</v>
      </c>
      <c r="M5182" s="1" t="str">
        <f>"105010"</f>
        <v>105010</v>
      </c>
      <c r="N5182" s="1" t="s">
        <v>34</v>
      </c>
      <c r="O5182" s="1" t="s">
        <v>34</v>
      </c>
      <c r="P5182" s="1" t="s">
        <v>55</v>
      </c>
      <c r="Q5182" s="1">
        <v>25</v>
      </c>
      <c r="R5182" s="1">
        <v>25</v>
      </c>
      <c r="S5182" s="1">
        <v>0</v>
      </c>
      <c r="T5182" s="1">
        <v>0</v>
      </c>
      <c r="U5182" s="1">
        <v>0</v>
      </c>
      <c r="V5182" s="1" t="str">
        <f t="shared" si="993"/>
        <v>里程去程</v>
      </c>
      <c r="W5182" s="1" t="str">
        <f>"1920"</f>
        <v>1920</v>
      </c>
      <c r="X5182" s="1" t="s">
        <v>35</v>
      </c>
    </row>
    <row r="5183" spans="1:24" x14ac:dyDescent="0.3">
      <c r="A5183" s="1" t="str">
        <f t="shared" si="991"/>
        <v>59825</v>
      </c>
      <c r="B5183" s="1" t="s">
        <v>30</v>
      </c>
      <c r="C5183" s="1" t="s">
        <v>31</v>
      </c>
      <c r="D5183" s="1" t="str">
        <f t="shared" si="992"/>
        <v>9803</v>
      </c>
      <c r="E5183" s="1" t="s">
        <v>32</v>
      </c>
      <c r="F5183" s="1" t="str">
        <f>"195917413"</f>
        <v>195917413</v>
      </c>
      <c r="G5183" s="1" t="s">
        <v>33</v>
      </c>
      <c r="H5183" s="1" t="str">
        <f t="shared" si="988"/>
        <v>20220924</v>
      </c>
      <c r="I5183" s="1" t="str">
        <f>"102747"</f>
        <v>102747</v>
      </c>
      <c r="J5183" s="1" t="s">
        <v>28</v>
      </c>
      <c r="K5183" s="1" t="s">
        <v>28</v>
      </c>
      <c r="L5183" s="1" t="str">
        <f t="shared" si="989"/>
        <v>20220924</v>
      </c>
      <c r="M5183" s="1" t="str">
        <f>"105006"</f>
        <v>105006</v>
      </c>
      <c r="N5183" s="1" t="s">
        <v>34</v>
      </c>
      <c r="O5183" s="1" t="s">
        <v>34</v>
      </c>
      <c r="P5183" s="1" t="s">
        <v>55</v>
      </c>
      <c r="Q5183" s="1">
        <v>25</v>
      </c>
      <c r="R5183" s="1">
        <v>25</v>
      </c>
      <c r="S5183" s="1">
        <v>0</v>
      </c>
      <c r="T5183" s="1">
        <v>0</v>
      </c>
      <c r="U5183" s="1">
        <v>0</v>
      </c>
      <c r="V5183" s="1" t="str">
        <f t="shared" si="993"/>
        <v>里程去程</v>
      </c>
      <c r="W5183" s="1" t="str">
        <f>"0820"</f>
        <v>0820</v>
      </c>
      <c r="X5183" s="1" t="s">
        <v>35</v>
      </c>
    </row>
    <row r="5184" spans="1:24" x14ac:dyDescent="0.3">
      <c r="A5184" s="1" t="str">
        <f t="shared" si="991"/>
        <v>59825</v>
      </c>
      <c r="B5184" s="1" t="s">
        <v>30</v>
      </c>
      <c r="C5184" s="1" t="s">
        <v>31</v>
      </c>
      <c r="D5184" s="1" t="str">
        <f t="shared" si="992"/>
        <v>9803</v>
      </c>
      <c r="E5184" s="1" t="s">
        <v>32</v>
      </c>
      <c r="F5184" s="1" t="str">
        <f>"D1914B1219280400F700000000000000"</f>
        <v>D1914B1219280400F700000000000000</v>
      </c>
      <c r="G5184" s="1" t="s">
        <v>58</v>
      </c>
      <c r="H5184" s="1" t="str">
        <f t="shared" si="988"/>
        <v>20220924</v>
      </c>
      <c r="I5184" s="1" t="str">
        <f>"102801"</f>
        <v>102801</v>
      </c>
      <c r="J5184" s="1" t="s">
        <v>28</v>
      </c>
      <c r="K5184" s="1" t="s">
        <v>28</v>
      </c>
      <c r="L5184" s="1" t="str">
        <f t="shared" si="989"/>
        <v>20220924</v>
      </c>
      <c r="M5184" s="1" t="str">
        <f>"104938"</f>
        <v>104938</v>
      </c>
      <c r="N5184" s="1" t="s">
        <v>34</v>
      </c>
      <c r="O5184" s="1" t="s">
        <v>34</v>
      </c>
      <c r="P5184" s="1" t="s">
        <v>55</v>
      </c>
      <c r="Q5184" s="1">
        <v>25</v>
      </c>
      <c r="R5184" s="1">
        <v>25</v>
      </c>
      <c r="S5184" s="1">
        <v>0</v>
      </c>
      <c r="T5184" s="1">
        <v>0</v>
      </c>
      <c r="U5184" s="1">
        <v>0</v>
      </c>
      <c r="V5184" s="1" t="str">
        <f t="shared" si="993"/>
        <v>里程去程</v>
      </c>
      <c r="W5184" s="1" t="str">
        <f>"0020"</f>
        <v>0020</v>
      </c>
      <c r="X5184" s="1" t="s">
        <v>29</v>
      </c>
    </row>
    <row r="5185" spans="1:24" x14ac:dyDescent="0.3">
      <c r="A5185" s="1" t="str">
        <f t="shared" si="991"/>
        <v>59825</v>
      </c>
      <c r="B5185" s="1" t="s">
        <v>30</v>
      </c>
      <c r="C5185" s="1" t="s">
        <v>31</v>
      </c>
      <c r="D5185" s="1" t="str">
        <f t="shared" si="992"/>
        <v>9803</v>
      </c>
      <c r="E5185" s="1" t="s">
        <v>32</v>
      </c>
      <c r="F5185" s="1" t="str">
        <f>"A184A935B9280400F700000000000000"</f>
        <v>A184A935B9280400F700000000000000</v>
      </c>
      <c r="G5185" s="1" t="s">
        <v>58</v>
      </c>
      <c r="H5185" s="1" t="str">
        <f t="shared" si="988"/>
        <v>20220924</v>
      </c>
      <c r="I5185" s="1" t="str">
        <f>"112955"</f>
        <v>112955</v>
      </c>
      <c r="J5185" s="1" t="s">
        <v>28</v>
      </c>
      <c r="K5185" s="1" t="s">
        <v>28</v>
      </c>
      <c r="L5185" s="1" t="str">
        <f t="shared" si="989"/>
        <v>20220924</v>
      </c>
      <c r="M5185" s="1" t="str">
        <f>"115200"</f>
        <v>115200</v>
      </c>
      <c r="N5185" s="1" t="s">
        <v>34</v>
      </c>
      <c r="O5185" s="1" t="s">
        <v>34</v>
      </c>
      <c r="P5185" s="1" t="s">
        <v>55</v>
      </c>
      <c r="Q5185" s="1">
        <v>25</v>
      </c>
      <c r="R5185" s="1">
        <v>0</v>
      </c>
      <c r="S5185" s="1">
        <v>25</v>
      </c>
      <c r="T5185" s="1">
        <v>0</v>
      </c>
      <c r="U5185" s="1">
        <v>0</v>
      </c>
      <c r="V5185" s="1" t="str">
        <f t="shared" si="993"/>
        <v>里程去程</v>
      </c>
      <c r="W5185" s="1" t="str">
        <f>"0620"</f>
        <v>0620</v>
      </c>
      <c r="X5185" s="1" t="s">
        <v>29</v>
      </c>
    </row>
    <row r="5186" spans="1:24" x14ac:dyDescent="0.3">
      <c r="A5186" s="1" t="str">
        <f t="shared" si="991"/>
        <v>59825</v>
      </c>
      <c r="B5186" s="1" t="s">
        <v>30</v>
      </c>
      <c r="C5186" s="1" t="s">
        <v>31</v>
      </c>
      <c r="D5186" s="1" t="str">
        <f t="shared" si="992"/>
        <v>9803</v>
      </c>
      <c r="E5186" s="1" t="s">
        <v>32</v>
      </c>
      <c r="F5186" s="1" t="str">
        <f>"E1F2F148AA2804001C00000000000000"</f>
        <v>E1F2F148AA2804001C00000000000000</v>
      </c>
      <c r="G5186" s="1" t="s">
        <v>58</v>
      </c>
      <c r="H5186" s="1" t="str">
        <f t="shared" si="988"/>
        <v>20220924</v>
      </c>
      <c r="I5186" s="1" t="str">
        <f>"112959"</f>
        <v>112959</v>
      </c>
      <c r="J5186" s="1" t="s">
        <v>28</v>
      </c>
      <c r="K5186" s="1" t="s">
        <v>28</v>
      </c>
      <c r="L5186" s="1" t="str">
        <f t="shared" si="989"/>
        <v>20220924</v>
      </c>
      <c r="M5186" s="1" t="str">
        <f>"115215"</f>
        <v>115215</v>
      </c>
      <c r="N5186" s="1" t="s">
        <v>34</v>
      </c>
      <c r="O5186" s="1" t="s">
        <v>34</v>
      </c>
      <c r="P5186" s="1" t="s">
        <v>55</v>
      </c>
      <c r="Q5186" s="1">
        <v>25</v>
      </c>
      <c r="R5186" s="1">
        <v>0</v>
      </c>
      <c r="S5186" s="1">
        <v>25</v>
      </c>
      <c r="T5186" s="1">
        <v>0</v>
      </c>
      <c r="U5186" s="1">
        <v>0</v>
      </c>
      <c r="V5186" s="1" t="str">
        <f t="shared" si="993"/>
        <v>里程去程</v>
      </c>
      <c r="W5186" s="1" t="str">
        <f>"0620"</f>
        <v>0620</v>
      </c>
      <c r="X5186" s="1" t="s">
        <v>29</v>
      </c>
    </row>
    <row r="5187" spans="1:24" x14ac:dyDescent="0.3">
      <c r="A5187" s="1" t="str">
        <f t="shared" si="991"/>
        <v>59825</v>
      </c>
      <c r="B5187" s="1" t="s">
        <v>30</v>
      </c>
      <c r="C5187" s="1" t="s">
        <v>31</v>
      </c>
      <c r="D5187" s="1" t="str">
        <f t="shared" si="992"/>
        <v>9803</v>
      </c>
      <c r="E5187" s="1" t="s">
        <v>32</v>
      </c>
      <c r="F5187" s="1" t="str">
        <f>"1297634545"</f>
        <v>1297634545</v>
      </c>
      <c r="G5187" s="1" t="s">
        <v>33</v>
      </c>
      <c r="H5187" s="1" t="str">
        <f t="shared" si="988"/>
        <v>20220924</v>
      </c>
      <c r="I5187" s="1" t="str">
        <f>"113007"</f>
        <v>113007</v>
      </c>
      <c r="J5187" s="1" t="s">
        <v>28</v>
      </c>
      <c r="K5187" s="1" t="s">
        <v>28</v>
      </c>
      <c r="L5187" s="1" t="str">
        <f t="shared" si="989"/>
        <v>20220924</v>
      </c>
      <c r="M5187" s="1" t="str">
        <f>"115222"</f>
        <v>115222</v>
      </c>
      <c r="N5187" s="1" t="s">
        <v>34</v>
      </c>
      <c r="O5187" s="1" t="s">
        <v>34</v>
      </c>
      <c r="P5187" s="1" t="s">
        <v>55</v>
      </c>
      <c r="Q5187" s="1">
        <v>25</v>
      </c>
      <c r="R5187" s="1">
        <v>25</v>
      </c>
      <c r="S5187" s="1">
        <v>0</v>
      </c>
      <c r="T5187" s="1">
        <v>0</v>
      </c>
      <c r="U5187" s="1">
        <v>0</v>
      </c>
      <c r="V5187" s="1" t="str">
        <f t="shared" si="993"/>
        <v>里程去程</v>
      </c>
      <c r="W5187" s="1" t="str">
        <f>"0820"</f>
        <v>0820</v>
      </c>
      <c r="X5187" s="1" t="s">
        <v>35</v>
      </c>
    </row>
    <row r="5188" spans="1:24" x14ac:dyDescent="0.3">
      <c r="A5188" s="1" t="str">
        <f t="shared" si="991"/>
        <v>59825</v>
      </c>
      <c r="B5188" s="1" t="s">
        <v>30</v>
      </c>
      <c r="C5188" s="1" t="s">
        <v>31</v>
      </c>
      <c r="D5188" s="1" t="str">
        <f t="shared" si="992"/>
        <v>9803</v>
      </c>
      <c r="E5188" s="1" t="s">
        <v>32</v>
      </c>
      <c r="F5188" s="1" t="str">
        <f>"1760517733"</f>
        <v>1760517733</v>
      </c>
      <c r="G5188" s="1" t="s">
        <v>33</v>
      </c>
      <c r="H5188" s="1" t="str">
        <f t="shared" si="988"/>
        <v>20220924</v>
      </c>
      <c r="I5188" s="1" t="str">
        <f>"113010"</f>
        <v>113010</v>
      </c>
      <c r="J5188" s="1" t="s">
        <v>28</v>
      </c>
      <c r="K5188" s="1" t="s">
        <v>28</v>
      </c>
      <c r="L5188" s="1" t="str">
        <f t="shared" si="989"/>
        <v>20220924</v>
      </c>
      <c r="M5188" s="1" t="str">
        <f>"115219"</f>
        <v>115219</v>
      </c>
      <c r="N5188" s="1" t="s">
        <v>34</v>
      </c>
      <c r="O5188" s="1" t="s">
        <v>34</v>
      </c>
      <c r="P5188" s="1" t="s">
        <v>55</v>
      </c>
      <c r="Q5188" s="1">
        <v>25</v>
      </c>
      <c r="R5188" s="1">
        <v>25</v>
      </c>
      <c r="S5188" s="1">
        <v>0</v>
      </c>
      <c r="T5188" s="1">
        <v>0</v>
      </c>
      <c r="U5188" s="1">
        <v>0</v>
      </c>
      <c r="V5188" s="1" t="str">
        <f t="shared" si="993"/>
        <v>里程去程</v>
      </c>
      <c r="W5188" s="1" t="str">
        <f>"0820"</f>
        <v>0820</v>
      </c>
      <c r="X5188" s="1" t="s">
        <v>35</v>
      </c>
    </row>
    <row r="5189" spans="1:24" x14ac:dyDescent="0.3">
      <c r="A5189" s="1" t="str">
        <f t="shared" si="991"/>
        <v>59825</v>
      </c>
      <c r="B5189" s="1" t="s">
        <v>30</v>
      </c>
      <c r="C5189" s="1" t="s">
        <v>31</v>
      </c>
      <c r="D5189" s="1" t="str">
        <f t="shared" si="992"/>
        <v>9803</v>
      </c>
      <c r="E5189" s="1" t="s">
        <v>32</v>
      </c>
      <c r="F5189" s="1" t="str">
        <f>"767563829"</f>
        <v>767563829</v>
      </c>
      <c r="G5189" s="1" t="s">
        <v>33</v>
      </c>
      <c r="H5189" s="1" t="str">
        <f t="shared" si="988"/>
        <v>20220924</v>
      </c>
      <c r="I5189" s="1" t="str">
        <f>"113015"</f>
        <v>113015</v>
      </c>
      <c r="J5189" s="1" t="s">
        <v>28</v>
      </c>
      <c r="K5189" s="1" t="s">
        <v>28</v>
      </c>
      <c r="L5189" s="1" t="str">
        <f t="shared" si="989"/>
        <v>20220924</v>
      </c>
      <c r="M5189" s="1" t="str">
        <f>"115227"</f>
        <v>115227</v>
      </c>
      <c r="N5189" s="1" t="s">
        <v>34</v>
      </c>
      <c r="O5189" s="1" t="s">
        <v>34</v>
      </c>
      <c r="P5189" s="1" t="s">
        <v>55</v>
      </c>
      <c r="Q5189" s="1">
        <v>25</v>
      </c>
      <c r="R5189" s="1">
        <v>25</v>
      </c>
      <c r="S5189" s="1">
        <v>0</v>
      </c>
      <c r="T5189" s="1">
        <v>0</v>
      </c>
      <c r="U5189" s="1">
        <v>0</v>
      </c>
      <c r="V5189" s="1" t="str">
        <f t="shared" si="993"/>
        <v>里程去程</v>
      </c>
      <c r="W5189" s="1" t="str">
        <f>"1420"</f>
        <v>1420</v>
      </c>
      <c r="X5189" s="1" t="s">
        <v>35</v>
      </c>
    </row>
    <row r="5190" spans="1:24" x14ac:dyDescent="0.3">
      <c r="A5190" s="1" t="str">
        <f t="shared" si="991"/>
        <v>59825</v>
      </c>
      <c r="B5190" s="1" t="s">
        <v>30</v>
      </c>
      <c r="C5190" s="1" t="s">
        <v>31</v>
      </c>
      <c r="D5190" s="1" t="str">
        <f t="shared" si="992"/>
        <v>9803</v>
      </c>
      <c r="E5190" s="1" t="s">
        <v>32</v>
      </c>
      <c r="F5190" s="1" t="str">
        <f>"176709973"</f>
        <v>176709973</v>
      </c>
      <c r="G5190" s="1" t="s">
        <v>33</v>
      </c>
      <c r="H5190" s="1" t="str">
        <f t="shared" ref="H5190:H5221" si="994">"20220924"</f>
        <v>20220924</v>
      </c>
      <c r="I5190" s="1" t="str">
        <f>"113022"</f>
        <v>113022</v>
      </c>
      <c r="J5190" s="1" t="s">
        <v>28</v>
      </c>
      <c r="K5190" s="1" t="s">
        <v>28</v>
      </c>
      <c r="L5190" s="1" t="str">
        <f t="shared" ref="L5190:L5221" si="995">"20220924"</f>
        <v>20220924</v>
      </c>
      <c r="M5190" s="1" t="str">
        <f>"115211"</f>
        <v>115211</v>
      </c>
      <c r="N5190" s="1" t="s">
        <v>34</v>
      </c>
      <c r="O5190" s="1" t="s">
        <v>34</v>
      </c>
      <c r="P5190" s="1" t="s">
        <v>55</v>
      </c>
      <c r="Q5190" s="1">
        <v>25</v>
      </c>
      <c r="R5190" s="1">
        <v>25</v>
      </c>
      <c r="S5190" s="1">
        <v>0</v>
      </c>
      <c r="T5190" s="1">
        <v>0</v>
      </c>
      <c r="U5190" s="1">
        <v>0</v>
      </c>
      <c r="V5190" s="1" t="str">
        <f t="shared" si="993"/>
        <v>里程去程</v>
      </c>
      <c r="W5190" s="1" t="str">
        <f>"0120"</f>
        <v>0120</v>
      </c>
      <c r="X5190" s="1" t="s">
        <v>35</v>
      </c>
    </row>
    <row r="5191" spans="1:24" x14ac:dyDescent="0.3">
      <c r="A5191" s="1" t="str">
        <f t="shared" si="991"/>
        <v>59825</v>
      </c>
      <c r="B5191" s="1" t="s">
        <v>30</v>
      </c>
      <c r="C5191" s="1" t="s">
        <v>31</v>
      </c>
      <c r="D5191" s="1" t="str">
        <f t="shared" si="992"/>
        <v>9803</v>
      </c>
      <c r="E5191" s="1" t="s">
        <v>32</v>
      </c>
      <c r="F5191" s="1" t="str">
        <f>"1771046181"</f>
        <v>1771046181</v>
      </c>
      <c r="G5191" s="1" t="s">
        <v>33</v>
      </c>
      <c r="H5191" s="1" t="str">
        <f t="shared" si="994"/>
        <v>20220924</v>
      </c>
      <c r="I5191" s="1" t="str">
        <f>"113027"</f>
        <v>113027</v>
      </c>
      <c r="J5191" s="1" t="s">
        <v>28</v>
      </c>
      <c r="K5191" s="1" t="s">
        <v>28</v>
      </c>
      <c r="L5191" s="1" t="str">
        <f t="shared" si="995"/>
        <v>20220924</v>
      </c>
      <c r="M5191" s="1" t="str">
        <f>"115205"</f>
        <v>115205</v>
      </c>
      <c r="N5191" s="1" t="s">
        <v>34</v>
      </c>
      <c r="O5191" s="1" t="s">
        <v>34</v>
      </c>
      <c r="P5191" s="1" t="s">
        <v>55</v>
      </c>
      <c r="Q5191" s="1">
        <v>25</v>
      </c>
      <c r="R5191" s="1">
        <v>25</v>
      </c>
      <c r="S5191" s="1">
        <v>0</v>
      </c>
      <c r="T5191" s="1">
        <v>0</v>
      </c>
      <c r="U5191" s="1">
        <v>0</v>
      </c>
      <c r="V5191" s="1" t="str">
        <f t="shared" si="993"/>
        <v>里程去程</v>
      </c>
      <c r="W5191" s="1" t="str">
        <f>"0120"</f>
        <v>0120</v>
      </c>
      <c r="X5191" s="1" t="s">
        <v>35</v>
      </c>
    </row>
    <row r="5192" spans="1:24" x14ac:dyDescent="0.3">
      <c r="A5192" s="1" t="str">
        <f t="shared" si="991"/>
        <v>59825</v>
      </c>
      <c r="B5192" s="1" t="s">
        <v>30</v>
      </c>
      <c r="C5192" s="1" t="s">
        <v>31</v>
      </c>
      <c r="D5192" s="1" t="str">
        <f t="shared" si="992"/>
        <v>9803</v>
      </c>
      <c r="E5192" s="1" t="s">
        <v>32</v>
      </c>
      <c r="F5192" s="1" t="str">
        <f>"297343503"</f>
        <v>297343503</v>
      </c>
      <c r="G5192" s="1" t="s">
        <v>33</v>
      </c>
      <c r="H5192" s="1" t="str">
        <f t="shared" si="994"/>
        <v>20220924</v>
      </c>
      <c r="I5192" s="1" t="str">
        <f>"113036"</f>
        <v>113036</v>
      </c>
      <c r="J5192" s="1" t="s">
        <v>28</v>
      </c>
      <c r="K5192" s="1" t="s">
        <v>28</v>
      </c>
      <c r="L5192" s="1" t="str">
        <f t="shared" si="995"/>
        <v>20220924</v>
      </c>
      <c r="M5192" s="1" t="str">
        <f>"115101"</f>
        <v>115101</v>
      </c>
      <c r="N5192" s="1" t="s">
        <v>89</v>
      </c>
      <c r="O5192" s="1" t="s">
        <v>28</v>
      </c>
      <c r="P5192" s="1" t="s">
        <v>55</v>
      </c>
      <c r="Q5192" s="1">
        <v>25</v>
      </c>
      <c r="R5192" s="1">
        <v>25</v>
      </c>
      <c r="S5192" s="1">
        <v>0</v>
      </c>
      <c r="T5192" s="1">
        <v>0</v>
      </c>
      <c r="U5192" s="1">
        <v>0</v>
      </c>
      <c r="V5192" s="1" t="str">
        <f t="shared" si="993"/>
        <v>里程去程</v>
      </c>
      <c r="W5192" s="1" t="str">
        <f>"0820"</f>
        <v>0820</v>
      </c>
      <c r="X5192" s="1" t="s">
        <v>35</v>
      </c>
    </row>
    <row r="5193" spans="1:24" x14ac:dyDescent="0.3">
      <c r="A5193" s="1" t="str">
        <f t="shared" si="991"/>
        <v>59825</v>
      </c>
      <c r="B5193" s="1" t="s">
        <v>30</v>
      </c>
      <c r="C5193" s="1" t="s">
        <v>31</v>
      </c>
      <c r="D5193" s="1" t="str">
        <f t="shared" si="992"/>
        <v>9803</v>
      </c>
      <c r="E5193" s="1" t="s">
        <v>32</v>
      </c>
      <c r="F5193" s="1" t="str">
        <f>"730216885"</f>
        <v>730216885</v>
      </c>
      <c r="G5193" s="1" t="s">
        <v>33</v>
      </c>
      <c r="H5193" s="1" t="str">
        <f t="shared" si="994"/>
        <v>20220924</v>
      </c>
      <c r="I5193" s="1" t="str">
        <f>"113045"</f>
        <v>113045</v>
      </c>
      <c r="J5193" s="1" t="s">
        <v>28</v>
      </c>
      <c r="K5193" s="1" t="s">
        <v>28</v>
      </c>
      <c r="L5193" s="1" t="str">
        <f t="shared" si="995"/>
        <v>20220924</v>
      </c>
      <c r="M5193" s="1" t="str">
        <f>"115055"</f>
        <v>115055</v>
      </c>
      <c r="N5193" s="1" t="s">
        <v>89</v>
      </c>
      <c r="O5193" s="1" t="s">
        <v>28</v>
      </c>
      <c r="P5193" s="1" t="s">
        <v>55</v>
      </c>
      <c r="Q5193" s="1">
        <v>25</v>
      </c>
      <c r="R5193" s="1">
        <v>0</v>
      </c>
      <c r="S5193" s="1">
        <v>25</v>
      </c>
      <c r="T5193" s="1">
        <v>0</v>
      </c>
      <c r="U5193" s="1">
        <v>0</v>
      </c>
      <c r="V5193" s="1" t="str">
        <f t="shared" si="993"/>
        <v>里程去程</v>
      </c>
      <c r="W5193" s="1" t="str">
        <f>"0820"</f>
        <v>0820</v>
      </c>
      <c r="X5193" s="1" t="s">
        <v>35</v>
      </c>
    </row>
    <row r="5194" spans="1:24" x14ac:dyDescent="0.3">
      <c r="A5194" s="1" t="str">
        <f t="shared" si="991"/>
        <v>59825</v>
      </c>
      <c r="B5194" s="1" t="s">
        <v>30</v>
      </c>
      <c r="C5194" s="1" t="s">
        <v>31</v>
      </c>
      <c r="D5194" s="1" t="str">
        <f t="shared" si="992"/>
        <v>9803</v>
      </c>
      <c r="E5194" s="1" t="s">
        <v>32</v>
      </c>
      <c r="F5194" s="1" t="str">
        <f>"37457601"</f>
        <v>37457601</v>
      </c>
      <c r="G5194" s="1" t="s">
        <v>33</v>
      </c>
      <c r="H5194" s="1" t="str">
        <f t="shared" si="994"/>
        <v>20220924</v>
      </c>
      <c r="I5194" s="1" t="str">
        <f>"113553"</f>
        <v>113553</v>
      </c>
      <c r="J5194" s="1" t="s">
        <v>90</v>
      </c>
      <c r="K5194" s="1" t="s">
        <v>28</v>
      </c>
      <c r="L5194" s="1" t="str">
        <f t="shared" si="995"/>
        <v>20220924</v>
      </c>
      <c r="M5194" s="1" t="str">
        <f>"115251"</f>
        <v>115251</v>
      </c>
      <c r="N5194" s="1" t="s">
        <v>34</v>
      </c>
      <c r="O5194" s="1" t="s">
        <v>34</v>
      </c>
      <c r="P5194" s="1" t="s">
        <v>55</v>
      </c>
      <c r="Q5194" s="1">
        <v>25</v>
      </c>
      <c r="R5194" s="1">
        <v>25</v>
      </c>
      <c r="S5194" s="1">
        <v>0</v>
      </c>
      <c r="T5194" s="1">
        <v>0</v>
      </c>
      <c r="U5194" s="1">
        <v>0</v>
      </c>
      <c r="V5194" s="1" t="str">
        <f t="shared" si="993"/>
        <v>里程去程</v>
      </c>
      <c r="W5194" s="1" t="str">
        <f>"1120"</f>
        <v>1120</v>
      </c>
      <c r="X5194" s="1" t="s">
        <v>35</v>
      </c>
    </row>
    <row r="5195" spans="1:24" x14ac:dyDescent="0.3">
      <c r="A5195" s="1" t="str">
        <f t="shared" si="991"/>
        <v>59825</v>
      </c>
      <c r="B5195" s="1" t="s">
        <v>30</v>
      </c>
      <c r="C5195" s="1" t="s">
        <v>31</v>
      </c>
      <c r="D5195" s="1" t="str">
        <f t="shared" si="992"/>
        <v>9803</v>
      </c>
      <c r="E5195" s="1" t="s">
        <v>32</v>
      </c>
      <c r="F5195" s="1" t="str">
        <f>"637614465"</f>
        <v>637614465</v>
      </c>
      <c r="G5195" s="1" t="s">
        <v>33</v>
      </c>
      <c r="H5195" s="1" t="str">
        <f t="shared" si="994"/>
        <v>20220924</v>
      </c>
      <c r="I5195" s="1" t="str">
        <f>"115346"</f>
        <v>115346</v>
      </c>
      <c r="J5195" s="1" t="s">
        <v>34</v>
      </c>
      <c r="K5195" s="1" t="s">
        <v>34</v>
      </c>
      <c r="L5195" s="1" t="str">
        <f t="shared" si="995"/>
        <v>20220924</v>
      </c>
      <c r="M5195" s="1" t="str">
        <f>"121858"</f>
        <v>121858</v>
      </c>
      <c r="N5195" s="1" t="s">
        <v>46</v>
      </c>
      <c r="O5195" s="1" t="s">
        <v>28</v>
      </c>
      <c r="P5195" s="1" t="s">
        <v>55</v>
      </c>
      <c r="Q5195" s="1">
        <v>25</v>
      </c>
      <c r="R5195" s="1">
        <v>25</v>
      </c>
      <c r="S5195" s="1">
        <v>0</v>
      </c>
      <c r="T5195" s="1">
        <v>0</v>
      </c>
      <c r="U5195" s="1">
        <v>0</v>
      </c>
      <c r="V5195" s="1" t="str">
        <f>"里程返程"</f>
        <v>里程返程</v>
      </c>
      <c r="W5195" s="1" t="str">
        <f>"2020"</f>
        <v>2020</v>
      </c>
      <c r="X5195" s="1" t="s">
        <v>35</v>
      </c>
    </row>
    <row r="5196" spans="1:24" x14ac:dyDescent="0.3">
      <c r="A5196" s="1" t="str">
        <f t="shared" si="991"/>
        <v>59825</v>
      </c>
      <c r="B5196" s="1" t="s">
        <v>30</v>
      </c>
      <c r="C5196" s="1" t="s">
        <v>31</v>
      </c>
      <c r="D5196" s="1" t="str">
        <f t="shared" si="992"/>
        <v>9803</v>
      </c>
      <c r="E5196" s="1" t="s">
        <v>32</v>
      </c>
      <c r="F5196" s="1" t="str">
        <f>"1297377553"</f>
        <v>1297377553</v>
      </c>
      <c r="G5196" s="1" t="s">
        <v>33</v>
      </c>
      <c r="H5196" s="1" t="str">
        <f t="shared" si="994"/>
        <v>20220924</v>
      </c>
      <c r="I5196" s="1" t="str">
        <f>"122749"</f>
        <v>122749</v>
      </c>
      <c r="J5196" s="1" t="s">
        <v>28</v>
      </c>
      <c r="K5196" s="1" t="s">
        <v>28</v>
      </c>
      <c r="L5196" s="1" t="str">
        <f t="shared" si="995"/>
        <v>20220924</v>
      </c>
      <c r="M5196" s="1" t="str">
        <f>"125002"</f>
        <v>125002</v>
      </c>
      <c r="N5196" s="1" t="s">
        <v>34</v>
      </c>
      <c r="O5196" s="1" t="s">
        <v>34</v>
      </c>
      <c r="P5196" s="1" t="s">
        <v>55</v>
      </c>
      <c r="Q5196" s="1">
        <v>25</v>
      </c>
      <c r="R5196" s="1">
        <v>0</v>
      </c>
      <c r="S5196" s="1">
        <v>25</v>
      </c>
      <c r="T5196" s="1">
        <v>0</v>
      </c>
      <c r="U5196" s="1">
        <v>0</v>
      </c>
      <c r="V5196" s="1" t="str">
        <f t="shared" ref="V5196:V5204" si="996">"里程去程"</f>
        <v>里程去程</v>
      </c>
      <c r="W5196" s="1" t="str">
        <f>"0820"</f>
        <v>0820</v>
      </c>
      <c r="X5196" s="1" t="s">
        <v>35</v>
      </c>
    </row>
    <row r="5197" spans="1:24" x14ac:dyDescent="0.3">
      <c r="A5197" s="1" t="str">
        <f t="shared" si="991"/>
        <v>59825</v>
      </c>
      <c r="B5197" s="1" t="s">
        <v>30</v>
      </c>
      <c r="C5197" s="1" t="s">
        <v>31</v>
      </c>
      <c r="D5197" s="1" t="str">
        <f t="shared" si="992"/>
        <v>9803</v>
      </c>
      <c r="E5197" s="1" t="s">
        <v>32</v>
      </c>
      <c r="F5197" s="1" t="str">
        <f>"1840449553"</f>
        <v>1840449553</v>
      </c>
      <c r="G5197" s="1" t="s">
        <v>33</v>
      </c>
      <c r="H5197" s="1" t="str">
        <f t="shared" si="994"/>
        <v>20220924</v>
      </c>
      <c r="I5197" s="1" t="str">
        <f>"122800"</f>
        <v>122800</v>
      </c>
      <c r="J5197" s="1" t="s">
        <v>28</v>
      </c>
      <c r="K5197" s="1" t="s">
        <v>28</v>
      </c>
      <c r="L5197" s="1" t="str">
        <f t="shared" si="995"/>
        <v>20220924</v>
      </c>
      <c r="M5197" s="1" t="str">
        <f>"125027"</f>
        <v>125027</v>
      </c>
      <c r="N5197" s="1" t="s">
        <v>34</v>
      </c>
      <c r="O5197" s="1" t="s">
        <v>34</v>
      </c>
      <c r="P5197" s="1" t="s">
        <v>55</v>
      </c>
      <c r="Q5197" s="1">
        <v>25</v>
      </c>
      <c r="R5197" s="1">
        <v>25</v>
      </c>
      <c r="S5197" s="1">
        <v>0</v>
      </c>
      <c r="T5197" s="1">
        <v>0</v>
      </c>
      <c r="U5197" s="1">
        <v>0</v>
      </c>
      <c r="V5197" s="1" t="str">
        <f t="shared" si="996"/>
        <v>里程去程</v>
      </c>
      <c r="W5197" s="1" t="str">
        <f>"0820"</f>
        <v>0820</v>
      </c>
      <c r="X5197" s="1" t="s">
        <v>35</v>
      </c>
    </row>
    <row r="5198" spans="1:24" x14ac:dyDescent="0.3">
      <c r="A5198" s="1" t="str">
        <f t="shared" si="991"/>
        <v>59825</v>
      </c>
      <c r="B5198" s="1" t="s">
        <v>30</v>
      </c>
      <c r="C5198" s="1" t="s">
        <v>31</v>
      </c>
      <c r="D5198" s="1" t="str">
        <f t="shared" si="992"/>
        <v>9803</v>
      </c>
      <c r="E5198" s="1" t="s">
        <v>32</v>
      </c>
      <c r="F5198" s="1" t="str">
        <f>"1765898369"</f>
        <v>1765898369</v>
      </c>
      <c r="G5198" s="1" t="s">
        <v>33</v>
      </c>
      <c r="H5198" s="1" t="str">
        <f t="shared" si="994"/>
        <v>20220924</v>
      </c>
      <c r="I5198" s="1" t="str">
        <f>"122801"</f>
        <v>122801</v>
      </c>
      <c r="J5198" s="1" t="s">
        <v>28</v>
      </c>
      <c r="K5198" s="1" t="s">
        <v>28</v>
      </c>
      <c r="L5198" s="1" t="str">
        <f t="shared" si="995"/>
        <v>20220924</v>
      </c>
      <c r="M5198" s="1" t="str">
        <f>"124959"</f>
        <v>124959</v>
      </c>
      <c r="N5198" s="1" t="s">
        <v>34</v>
      </c>
      <c r="O5198" s="1" t="s">
        <v>34</v>
      </c>
      <c r="P5198" s="1" t="s">
        <v>55</v>
      </c>
      <c r="Q5198" s="1">
        <v>25</v>
      </c>
      <c r="R5198" s="1">
        <v>0</v>
      </c>
      <c r="S5198" s="1">
        <v>25</v>
      </c>
      <c r="T5198" s="1">
        <v>0</v>
      </c>
      <c r="U5198" s="1">
        <v>0</v>
      </c>
      <c r="V5198" s="1" t="str">
        <f t="shared" si="996"/>
        <v>里程去程</v>
      </c>
      <c r="W5198" s="1" t="str">
        <f>"0820"</f>
        <v>0820</v>
      </c>
      <c r="X5198" s="1" t="s">
        <v>35</v>
      </c>
    </row>
    <row r="5199" spans="1:24" x14ac:dyDescent="0.3">
      <c r="A5199" s="1" t="str">
        <f t="shared" si="991"/>
        <v>59825</v>
      </c>
      <c r="B5199" s="1" t="s">
        <v>30</v>
      </c>
      <c r="C5199" s="1" t="s">
        <v>31</v>
      </c>
      <c r="D5199" s="1" t="str">
        <f t="shared" si="992"/>
        <v>9803</v>
      </c>
      <c r="E5199" s="1" t="s">
        <v>32</v>
      </c>
      <c r="F5199" s="1" t="str">
        <f>"2876750458"</f>
        <v>2876750458</v>
      </c>
      <c r="G5199" s="1" t="s">
        <v>33</v>
      </c>
      <c r="H5199" s="1" t="str">
        <f t="shared" si="994"/>
        <v>20220924</v>
      </c>
      <c r="I5199" s="1" t="str">
        <f>"122804"</f>
        <v>122804</v>
      </c>
      <c r="J5199" s="1" t="s">
        <v>28</v>
      </c>
      <c r="K5199" s="1" t="s">
        <v>28</v>
      </c>
      <c r="L5199" s="1" t="str">
        <f t="shared" si="995"/>
        <v>20220924</v>
      </c>
      <c r="M5199" s="1" t="str">
        <f>"125030"</f>
        <v>125030</v>
      </c>
      <c r="N5199" s="1" t="s">
        <v>34</v>
      </c>
      <c r="O5199" s="1" t="s">
        <v>34</v>
      </c>
      <c r="P5199" s="1" t="s">
        <v>55</v>
      </c>
      <c r="Q5199" s="1">
        <v>25</v>
      </c>
      <c r="R5199" s="1">
        <v>25</v>
      </c>
      <c r="S5199" s="1">
        <v>0</v>
      </c>
      <c r="T5199" s="1">
        <v>0</v>
      </c>
      <c r="U5199" s="1">
        <v>0</v>
      </c>
      <c r="V5199" s="1" t="str">
        <f t="shared" si="996"/>
        <v>里程去程</v>
      </c>
      <c r="W5199" s="1" t="str">
        <f>"0820"</f>
        <v>0820</v>
      </c>
      <c r="X5199" s="1" t="s">
        <v>35</v>
      </c>
    </row>
    <row r="5200" spans="1:24" x14ac:dyDescent="0.3">
      <c r="A5200" s="1" t="str">
        <f t="shared" si="991"/>
        <v>59825</v>
      </c>
      <c r="B5200" s="1" t="s">
        <v>30</v>
      </c>
      <c r="C5200" s="1" t="s">
        <v>31</v>
      </c>
      <c r="D5200" s="1" t="str">
        <f t="shared" si="992"/>
        <v>9803</v>
      </c>
      <c r="E5200" s="1" t="s">
        <v>32</v>
      </c>
      <c r="F5200" s="1" t="str">
        <f>"1826534901"</f>
        <v>1826534901</v>
      </c>
      <c r="G5200" s="1" t="s">
        <v>38</v>
      </c>
      <c r="H5200" s="1" t="str">
        <f t="shared" si="994"/>
        <v>20220924</v>
      </c>
      <c r="I5200" s="1" t="str">
        <f>"122809"</f>
        <v>122809</v>
      </c>
      <c r="J5200" s="1" t="s">
        <v>28</v>
      </c>
      <c r="K5200" s="1" t="s">
        <v>28</v>
      </c>
      <c r="L5200" s="1" t="str">
        <f t="shared" si="995"/>
        <v>20220924</v>
      </c>
      <c r="M5200" s="1" t="str">
        <f>"124736"</f>
        <v>124736</v>
      </c>
      <c r="N5200" s="1" t="s">
        <v>93</v>
      </c>
      <c r="O5200" s="1" t="s">
        <v>28</v>
      </c>
      <c r="P5200" s="1" t="s">
        <v>55</v>
      </c>
      <c r="Q5200" s="1">
        <v>25</v>
      </c>
      <c r="R5200" s="1">
        <v>25</v>
      </c>
      <c r="S5200" s="1">
        <v>0</v>
      </c>
      <c r="T5200" s="1">
        <v>0</v>
      </c>
      <c r="U5200" s="1">
        <v>0</v>
      </c>
      <c r="V5200" s="1" t="str">
        <f t="shared" si="996"/>
        <v>里程去程</v>
      </c>
      <c r="W5200" s="1" t="str">
        <f>"0120"</f>
        <v>0120</v>
      </c>
      <c r="X5200" s="1" t="s">
        <v>35</v>
      </c>
    </row>
    <row r="5201" spans="1:24" x14ac:dyDescent="0.3">
      <c r="A5201" s="1" t="str">
        <f t="shared" si="991"/>
        <v>59825</v>
      </c>
      <c r="B5201" s="1" t="s">
        <v>30</v>
      </c>
      <c r="C5201" s="1" t="s">
        <v>31</v>
      </c>
      <c r="D5201" s="1" t="str">
        <f t="shared" si="992"/>
        <v>9803</v>
      </c>
      <c r="E5201" s="1" t="s">
        <v>32</v>
      </c>
      <c r="F5201" s="1" t="str">
        <f>"405674545"</f>
        <v>405674545</v>
      </c>
      <c r="G5201" s="1" t="s">
        <v>33</v>
      </c>
      <c r="H5201" s="1" t="str">
        <f t="shared" si="994"/>
        <v>20220924</v>
      </c>
      <c r="I5201" s="1" t="str">
        <f>"123031"</f>
        <v>123031</v>
      </c>
      <c r="J5201" s="1" t="s">
        <v>28</v>
      </c>
      <c r="K5201" s="1" t="s">
        <v>28</v>
      </c>
      <c r="L5201" s="1" t="str">
        <f t="shared" si="995"/>
        <v>20220924</v>
      </c>
      <c r="M5201" s="1" t="str">
        <f>"125018"</f>
        <v>125018</v>
      </c>
      <c r="N5201" s="1" t="s">
        <v>34</v>
      </c>
      <c r="O5201" s="1" t="s">
        <v>34</v>
      </c>
      <c r="P5201" s="1" t="s">
        <v>55</v>
      </c>
      <c r="Q5201" s="1">
        <v>25</v>
      </c>
      <c r="R5201" s="1">
        <v>25</v>
      </c>
      <c r="S5201" s="1">
        <v>0</v>
      </c>
      <c r="T5201" s="1">
        <v>0</v>
      </c>
      <c r="U5201" s="1">
        <v>0</v>
      </c>
      <c r="V5201" s="1" t="str">
        <f t="shared" si="996"/>
        <v>里程去程</v>
      </c>
      <c r="W5201" s="1" t="str">
        <f>"2020"</f>
        <v>2020</v>
      </c>
      <c r="X5201" s="1" t="s">
        <v>35</v>
      </c>
    </row>
    <row r="5202" spans="1:24" x14ac:dyDescent="0.3">
      <c r="A5202" s="1" t="str">
        <f t="shared" si="991"/>
        <v>59825</v>
      </c>
      <c r="B5202" s="1" t="s">
        <v>30</v>
      </c>
      <c r="C5202" s="1" t="s">
        <v>110</v>
      </c>
      <c r="D5202" s="1" t="str">
        <f t="shared" si="992"/>
        <v>9803</v>
      </c>
      <c r="E5202" s="1" t="s">
        <v>32</v>
      </c>
      <c r="F5202" s="1" t="str">
        <f>"7112200214000097"</f>
        <v>7112200214000097</v>
      </c>
      <c r="G5202" s="1" t="s">
        <v>33</v>
      </c>
      <c r="H5202" s="1" t="str">
        <f t="shared" si="994"/>
        <v>20220924</v>
      </c>
      <c r="I5202" s="1" t="str">
        <f>"123038"</f>
        <v>123038</v>
      </c>
      <c r="J5202" s="1" t="s">
        <v>28</v>
      </c>
      <c r="K5202" s="1" t="s">
        <v>28</v>
      </c>
      <c r="L5202" s="1" t="str">
        <f t="shared" si="995"/>
        <v>20220924</v>
      </c>
      <c r="M5202" s="1" t="str">
        <f>"125014"</f>
        <v>125014</v>
      </c>
      <c r="N5202" s="1" t="s">
        <v>34</v>
      </c>
      <c r="O5202" s="1" t="s">
        <v>34</v>
      </c>
      <c r="P5202" s="1" t="s">
        <v>55</v>
      </c>
      <c r="Q5202" s="1">
        <v>25</v>
      </c>
      <c r="R5202" s="1">
        <v>25</v>
      </c>
      <c r="S5202" s="1">
        <v>0</v>
      </c>
      <c r="T5202" s="1">
        <v>0</v>
      </c>
      <c r="U5202" s="1">
        <v>0</v>
      </c>
      <c r="V5202" s="1" t="str">
        <f t="shared" si="996"/>
        <v>里程去程</v>
      </c>
      <c r="W5202" s="1" t="str">
        <f>"103B"</f>
        <v>103B</v>
      </c>
      <c r="X5202" s="1" t="s">
        <v>109</v>
      </c>
    </row>
    <row r="5203" spans="1:24" x14ac:dyDescent="0.3">
      <c r="A5203" s="1" t="str">
        <f t="shared" si="991"/>
        <v>59825</v>
      </c>
      <c r="B5203" s="1" t="s">
        <v>30</v>
      </c>
      <c r="C5203" s="1" t="s">
        <v>31</v>
      </c>
      <c r="D5203" s="1" t="str">
        <f t="shared" si="992"/>
        <v>9803</v>
      </c>
      <c r="E5203" s="1" t="s">
        <v>32</v>
      </c>
      <c r="F5203" s="1" t="str">
        <f>"448191489"</f>
        <v>448191489</v>
      </c>
      <c r="G5203" s="1" t="s">
        <v>33</v>
      </c>
      <c r="H5203" s="1" t="str">
        <f t="shared" si="994"/>
        <v>20220924</v>
      </c>
      <c r="I5203" s="1" t="str">
        <f>"123105"</f>
        <v>123105</v>
      </c>
      <c r="J5203" s="1" t="s">
        <v>28</v>
      </c>
      <c r="K5203" s="1" t="s">
        <v>28</v>
      </c>
      <c r="L5203" s="1" t="str">
        <f t="shared" si="995"/>
        <v>20220924</v>
      </c>
      <c r="M5203" s="1" t="str">
        <f>"123948"</f>
        <v>123948</v>
      </c>
      <c r="N5203" s="1" t="s">
        <v>79</v>
      </c>
      <c r="O5203" s="1" t="s">
        <v>28</v>
      </c>
      <c r="P5203" s="1" t="s">
        <v>55</v>
      </c>
      <c r="Q5203" s="1">
        <v>25</v>
      </c>
      <c r="R5203" s="1">
        <v>25</v>
      </c>
      <c r="S5203" s="1">
        <v>0</v>
      </c>
      <c r="T5203" s="1">
        <v>0</v>
      </c>
      <c r="U5203" s="1">
        <v>0</v>
      </c>
      <c r="V5203" s="1" t="str">
        <f t="shared" si="996"/>
        <v>里程去程</v>
      </c>
      <c r="W5203" s="1" t="str">
        <f>"0020"</f>
        <v>0020</v>
      </c>
      <c r="X5203" s="1" t="s">
        <v>35</v>
      </c>
    </row>
    <row r="5204" spans="1:24" x14ac:dyDescent="0.3">
      <c r="A5204" s="1" t="str">
        <f t="shared" si="991"/>
        <v>59825</v>
      </c>
      <c r="B5204" s="1" t="s">
        <v>30</v>
      </c>
      <c r="C5204" s="1" t="s">
        <v>31</v>
      </c>
      <c r="D5204" s="1" t="str">
        <f t="shared" si="992"/>
        <v>9803</v>
      </c>
      <c r="E5204" s="1" t="s">
        <v>32</v>
      </c>
      <c r="F5204" s="1" t="str">
        <f>"448185137"</f>
        <v>448185137</v>
      </c>
      <c r="G5204" s="1" t="s">
        <v>33</v>
      </c>
      <c r="H5204" s="1" t="str">
        <f t="shared" si="994"/>
        <v>20220924</v>
      </c>
      <c r="I5204" s="1" t="str">
        <f>"123124"</f>
        <v>123124</v>
      </c>
      <c r="J5204" s="1" t="s">
        <v>28</v>
      </c>
      <c r="K5204" s="1" t="s">
        <v>28</v>
      </c>
      <c r="L5204" s="1" t="str">
        <f t="shared" si="995"/>
        <v>20220924</v>
      </c>
      <c r="M5204" s="1" t="str">
        <f>"123939"</f>
        <v>123939</v>
      </c>
      <c r="N5204" s="1" t="s">
        <v>79</v>
      </c>
      <c r="O5204" s="1" t="s">
        <v>28</v>
      </c>
      <c r="P5204" s="1" t="s">
        <v>55</v>
      </c>
      <c r="Q5204" s="1">
        <v>25</v>
      </c>
      <c r="R5204" s="1">
        <v>25</v>
      </c>
      <c r="S5204" s="1">
        <v>0</v>
      </c>
      <c r="T5204" s="1">
        <v>0</v>
      </c>
      <c r="U5204" s="1">
        <v>0</v>
      </c>
      <c r="V5204" s="1" t="str">
        <f t="shared" si="996"/>
        <v>里程去程</v>
      </c>
      <c r="W5204" s="1" t="str">
        <f>"0620"</f>
        <v>0620</v>
      </c>
      <c r="X5204" s="1" t="s">
        <v>35</v>
      </c>
    </row>
    <row r="5205" spans="1:24" x14ac:dyDescent="0.3">
      <c r="A5205" s="1" t="str">
        <f t="shared" si="991"/>
        <v>59825</v>
      </c>
      <c r="B5205" s="1" t="s">
        <v>30</v>
      </c>
      <c r="C5205" s="1" t="s">
        <v>31</v>
      </c>
      <c r="D5205" s="1" t="str">
        <f t="shared" si="992"/>
        <v>9803</v>
      </c>
      <c r="E5205" s="1" t="s">
        <v>32</v>
      </c>
      <c r="F5205" s="1" t="str">
        <f>"586894929"</f>
        <v>586894929</v>
      </c>
      <c r="G5205" s="1" t="s">
        <v>33</v>
      </c>
      <c r="H5205" s="1" t="str">
        <f t="shared" si="994"/>
        <v>20220924</v>
      </c>
      <c r="I5205" s="1" t="str">
        <f>"125114"</f>
        <v>125114</v>
      </c>
      <c r="J5205" s="1" t="s">
        <v>34</v>
      </c>
      <c r="K5205" s="1" t="s">
        <v>34</v>
      </c>
      <c r="L5205" s="1" t="str">
        <f t="shared" si="995"/>
        <v>20220924</v>
      </c>
      <c r="M5205" s="1" t="str">
        <f>"132812"</f>
        <v>132812</v>
      </c>
      <c r="N5205" s="1" t="s">
        <v>28</v>
      </c>
      <c r="O5205" s="1" t="s">
        <v>28</v>
      </c>
      <c r="P5205" s="1" t="s">
        <v>55</v>
      </c>
      <c r="Q5205" s="1">
        <v>25</v>
      </c>
      <c r="R5205" s="1">
        <v>25</v>
      </c>
      <c r="S5205" s="1">
        <v>0</v>
      </c>
      <c r="T5205" s="1">
        <v>0</v>
      </c>
      <c r="U5205" s="1">
        <v>0</v>
      </c>
      <c r="V5205" s="1" t="str">
        <f t="shared" ref="V5205:V5215" si="997">"里程返程"</f>
        <v>里程返程</v>
      </c>
      <c r="W5205" s="1" t="str">
        <f>"2020"</f>
        <v>2020</v>
      </c>
      <c r="X5205" s="1" t="s">
        <v>35</v>
      </c>
    </row>
    <row r="5206" spans="1:24" x14ac:dyDescent="0.3">
      <c r="A5206" s="1" t="str">
        <f t="shared" si="991"/>
        <v>59825</v>
      </c>
      <c r="B5206" s="1" t="s">
        <v>30</v>
      </c>
      <c r="C5206" s="1" t="s">
        <v>31</v>
      </c>
      <c r="D5206" s="1" t="str">
        <f t="shared" si="992"/>
        <v>9803</v>
      </c>
      <c r="E5206" s="1" t="s">
        <v>32</v>
      </c>
      <c r="F5206" s="1" t="str">
        <f>"714AFB3FFF280400F700000000000000"</f>
        <v>714AFB3FFF280400F700000000000000</v>
      </c>
      <c r="G5206" s="1" t="s">
        <v>58</v>
      </c>
      <c r="H5206" s="1" t="str">
        <f t="shared" si="994"/>
        <v>20220924</v>
      </c>
      <c r="I5206" s="1" t="str">
        <f>"125230"</f>
        <v>125230</v>
      </c>
      <c r="J5206" s="1" t="s">
        <v>34</v>
      </c>
      <c r="K5206" s="1" t="s">
        <v>34</v>
      </c>
      <c r="L5206" s="1" t="str">
        <f t="shared" si="995"/>
        <v>20220924</v>
      </c>
      <c r="M5206" s="1" t="str">
        <f>"132832"</f>
        <v>132832</v>
      </c>
      <c r="N5206" s="1" t="s">
        <v>28</v>
      </c>
      <c r="O5206" s="1" t="s">
        <v>28</v>
      </c>
      <c r="P5206" s="1" t="s">
        <v>55</v>
      </c>
      <c r="Q5206" s="1">
        <v>25</v>
      </c>
      <c r="R5206" s="1">
        <v>25</v>
      </c>
      <c r="S5206" s="1">
        <v>0</v>
      </c>
      <c r="T5206" s="1">
        <v>0</v>
      </c>
      <c r="U5206" s="1">
        <v>0</v>
      </c>
      <c r="V5206" s="1" t="str">
        <f t="shared" si="997"/>
        <v>里程返程</v>
      </c>
      <c r="W5206" s="1" t="str">
        <f>"0020"</f>
        <v>0020</v>
      </c>
      <c r="X5206" s="1" t="s">
        <v>29</v>
      </c>
    </row>
    <row r="5207" spans="1:24" x14ac:dyDescent="0.3">
      <c r="A5207" s="1" t="str">
        <f t="shared" si="991"/>
        <v>59825</v>
      </c>
      <c r="B5207" s="1" t="s">
        <v>30</v>
      </c>
      <c r="C5207" s="1" t="s">
        <v>31</v>
      </c>
      <c r="D5207" s="1" t="str">
        <f t="shared" si="992"/>
        <v>9803</v>
      </c>
      <c r="E5207" s="1" t="s">
        <v>32</v>
      </c>
      <c r="F5207" s="1" t="str">
        <f>"1659820261"</f>
        <v>1659820261</v>
      </c>
      <c r="G5207" s="1" t="s">
        <v>26</v>
      </c>
      <c r="H5207" s="1" t="str">
        <f t="shared" si="994"/>
        <v>20220924</v>
      </c>
      <c r="I5207" s="1" t="str">
        <f>"160455"</f>
        <v>160455</v>
      </c>
      <c r="J5207" s="1" t="s">
        <v>34</v>
      </c>
      <c r="K5207" s="1" t="s">
        <v>34</v>
      </c>
      <c r="L5207" s="1" t="str">
        <f t="shared" si="995"/>
        <v>20220924</v>
      </c>
      <c r="M5207" s="1" t="str">
        <f>"164001"</f>
        <v>164001</v>
      </c>
      <c r="N5207" s="1" t="s">
        <v>28</v>
      </c>
      <c r="O5207" s="1" t="s">
        <v>28</v>
      </c>
      <c r="P5207" s="1" t="s">
        <v>55</v>
      </c>
      <c r="Q5207" s="1">
        <v>13</v>
      </c>
      <c r="R5207" s="1">
        <v>13</v>
      </c>
      <c r="S5207" s="1">
        <v>0</v>
      </c>
      <c r="T5207" s="1">
        <v>0</v>
      </c>
      <c r="U5207" s="1">
        <v>0</v>
      </c>
      <c r="V5207" s="1" t="str">
        <f t="shared" si="997"/>
        <v>里程返程</v>
      </c>
      <c r="W5207" s="1" t="str">
        <f>"2020"</f>
        <v>2020</v>
      </c>
      <c r="X5207" s="1" t="s">
        <v>35</v>
      </c>
    </row>
    <row r="5208" spans="1:24" x14ac:dyDescent="0.3">
      <c r="A5208" s="1" t="str">
        <f t="shared" si="991"/>
        <v>59825</v>
      </c>
      <c r="B5208" s="1" t="s">
        <v>30</v>
      </c>
      <c r="C5208" s="1" t="s">
        <v>31</v>
      </c>
      <c r="D5208" s="1" t="str">
        <f t="shared" si="992"/>
        <v>9803</v>
      </c>
      <c r="E5208" s="1" t="s">
        <v>32</v>
      </c>
      <c r="F5208" s="1" t="str">
        <f>"1147066005"</f>
        <v>1147066005</v>
      </c>
      <c r="G5208" s="1" t="s">
        <v>26</v>
      </c>
      <c r="H5208" s="1" t="str">
        <f t="shared" si="994"/>
        <v>20220924</v>
      </c>
      <c r="I5208" s="1" t="str">
        <f>"160504"</f>
        <v>160504</v>
      </c>
      <c r="J5208" s="1" t="s">
        <v>34</v>
      </c>
      <c r="K5208" s="1" t="s">
        <v>34</v>
      </c>
      <c r="L5208" s="1" t="str">
        <f t="shared" si="995"/>
        <v>20220924</v>
      </c>
      <c r="M5208" s="1" t="str">
        <f>"164005"</f>
        <v>164005</v>
      </c>
      <c r="N5208" s="1" t="s">
        <v>28</v>
      </c>
      <c r="O5208" s="1" t="s">
        <v>28</v>
      </c>
      <c r="P5208" s="1" t="s">
        <v>55</v>
      </c>
      <c r="Q5208" s="1">
        <v>13</v>
      </c>
      <c r="R5208" s="1">
        <v>13</v>
      </c>
      <c r="S5208" s="1">
        <v>0</v>
      </c>
      <c r="T5208" s="1">
        <v>0</v>
      </c>
      <c r="U5208" s="1">
        <v>0</v>
      </c>
      <c r="V5208" s="1" t="str">
        <f t="shared" si="997"/>
        <v>里程返程</v>
      </c>
      <c r="W5208" s="1" t="str">
        <f>"0820"</f>
        <v>0820</v>
      </c>
      <c r="X5208" s="1" t="s">
        <v>35</v>
      </c>
    </row>
    <row r="5209" spans="1:24" x14ac:dyDescent="0.3">
      <c r="A5209" s="1" t="str">
        <f t="shared" si="991"/>
        <v>59825</v>
      </c>
      <c r="B5209" s="1" t="s">
        <v>30</v>
      </c>
      <c r="C5209" s="1" t="s">
        <v>31</v>
      </c>
      <c r="D5209" s="1" t="str">
        <f t="shared" si="992"/>
        <v>9803</v>
      </c>
      <c r="E5209" s="1" t="s">
        <v>32</v>
      </c>
      <c r="F5209" s="1" t="str">
        <f>"1212807333"</f>
        <v>1212807333</v>
      </c>
      <c r="G5209" s="1" t="s">
        <v>33</v>
      </c>
      <c r="H5209" s="1" t="str">
        <f t="shared" si="994"/>
        <v>20220924</v>
      </c>
      <c r="I5209" s="1" t="str">
        <f>"160518"</f>
        <v>160518</v>
      </c>
      <c r="J5209" s="1" t="s">
        <v>34</v>
      </c>
      <c r="K5209" s="1" t="s">
        <v>34</v>
      </c>
      <c r="L5209" s="1" t="str">
        <f t="shared" si="995"/>
        <v>20220924</v>
      </c>
      <c r="M5209" s="1" t="str">
        <f>"163947"</f>
        <v>163947</v>
      </c>
      <c r="N5209" s="1" t="s">
        <v>28</v>
      </c>
      <c r="O5209" s="1" t="s">
        <v>28</v>
      </c>
      <c r="P5209" s="1" t="s">
        <v>55</v>
      </c>
      <c r="Q5209" s="1">
        <v>25</v>
      </c>
      <c r="R5209" s="1">
        <v>25</v>
      </c>
      <c r="S5209" s="1">
        <v>0</v>
      </c>
      <c r="T5209" s="1">
        <v>0</v>
      </c>
      <c r="U5209" s="1">
        <v>0</v>
      </c>
      <c r="V5209" s="1" t="str">
        <f t="shared" si="997"/>
        <v>里程返程</v>
      </c>
      <c r="W5209" s="1" t="str">
        <f t="shared" ref="W5209:W5215" si="998">"2020"</f>
        <v>2020</v>
      </c>
      <c r="X5209" s="1" t="s">
        <v>35</v>
      </c>
    </row>
    <row r="5210" spans="1:24" x14ac:dyDescent="0.3">
      <c r="A5210" s="1" t="str">
        <f t="shared" si="991"/>
        <v>59825</v>
      </c>
      <c r="B5210" s="1" t="s">
        <v>30</v>
      </c>
      <c r="C5210" s="1" t="s">
        <v>31</v>
      </c>
      <c r="D5210" s="1" t="str">
        <f t="shared" si="992"/>
        <v>9803</v>
      </c>
      <c r="E5210" s="1" t="s">
        <v>32</v>
      </c>
      <c r="F5210" s="1" t="str">
        <f>"1011227077"</f>
        <v>1011227077</v>
      </c>
      <c r="G5210" s="1" t="s">
        <v>38</v>
      </c>
      <c r="H5210" s="1" t="str">
        <f t="shared" si="994"/>
        <v>20220924</v>
      </c>
      <c r="I5210" s="1" t="str">
        <f>"160520"</f>
        <v>160520</v>
      </c>
      <c r="J5210" s="1" t="s">
        <v>34</v>
      </c>
      <c r="K5210" s="1" t="s">
        <v>34</v>
      </c>
      <c r="L5210" s="1" t="str">
        <f t="shared" si="995"/>
        <v>20220924</v>
      </c>
      <c r="M5210" s="1" t="str">
        <f>"163927"</f>
        <v>163927</v>
      </c>
      <c r="N5210" s="1" t="s">
        <v>28</v>
      </c>
      <c r="O5210" s="1" t="s">
        <v>28</v>
      </c>
      <c r="P5210" s="1" t="s">
        <v>55</v>
      </c>
      <c r="Q5210" s="1">
        <v>25</v>
      </c>
      <c r="R5210" s="1">
        <v>25</v>
      </c>
      <c r="S5210" s="1">
        <v>0</v>
      </c>
      <c r="T5210" s="1">
        <v>0</v>
      </c>
      <c r="U5210" s="1">
        <v>0</v>
      </c>
      <c r="V5210" s="1" t="str">
        <f t="shared" si="997"/>
        <v>里程返程</v>
      </c>
      <c r="W5210" s="1" t="str">
        <f t="shared" si="998"/>
        <v>2020</v>
      </c>
      <c r="X5210" s="1" t="s">
        <v>35</v>
      </c>
    </row>
    <row r="5211" spans="1:24" x14ac:dyDescent="0.3">
      <c r="A5211" s="1" t="str">
        <f t="shared" si="991"/>
        <v>59825</v>
      </c>
      <c r="B5211" s="1" t="s">
        <v>30</v>
      </c>
      <c r="C5211" s="1" t="s">
        <v>31</v>
      </c>
      <c r="D5211" s="1" t="str">
        <f t="shared" si="992"/>
        <v>9803</v>
      </c>
      <c r="E5211" s="1" t="s">
        <v>32</v>
      </c>
      <c r="F5211" s="1" t="str">
        <f>"1719486005"</f>
        <v>1719486005</v>
      </c>
      <c r="G5211" s="1" t="s">
        <v>38</v>
      </c>
      <c r="H5211" s="1" t="str">
        <f t="shared" si="994"/>
        <v>20220924</v>
      </c>
      <c r="I5211" s="1" t="str">
        <f>"160533"</f>
        <v>160533</v>
      </c>
      <c r="J5211" s="1" t="s">
        <v>34</v>
      </c>
      <c r="K5211" s="1" t="s">
        <v>34</v>
      </c>
      <c r="L5211" s="1" t="str">
        <f t="shared" si="995"/>
        <v>20220924</v>
      </c>
      <c r="M5211" s="1" t="str">
        <f>"163942"</f>
        <v>163942</v>
      </c>
      <c r="N5211" s="1" t="s">
        <v>28</v>
      </c>
      <c r="O5211" s="1" t="s">
        <v>28</v>
      </c>
      <c r="P5211" s="1" t="s">
        <v>55</v>
      </c>
      <c r="Q5211" s="1">
        <v>25</v>
      </c>
      <c r="R5211" s="1">
        <v>25</v>
      </c>
      <c r="S5211" s="1">
        <v>0</v>
      </c>
      <c r="T5211" s="1">
        <v>0</v>
      </c>
      <c r="U5211" s="1">
        <v>0</v>
      </c>
      <c r="V5211" s="1" t="str">
        <f t="shared" si="997"/>
        <v>里程返程</v>
      </c>
      <c r="W5211" s="1" t="str">
        <f t="shared" si="998"/>
        <v>2020</v>
      </c>
      <c r="X5211" s="1" t="s">
        <v>35</v>
      </c>
    </row>
    <row r="5212" spans="1:24" x14ac:dyDescent="0.3">
      <c r="A5212" s="1" t="str">
        <f t="shared" si="991"/>
        <v>59825</v>
      </c>
      <c r="B5212" s="1" t="s">
        <v>30</v>
      </c>
      <c r="C5212" s="1" t="s">
        <v>31</v>
      </c>
      <c r="D5212" s="1" t="str">
        <f t="shared" si="992"/>
        <v>9803</v>
      </c>
      <c r="E5212" s="1" t="s">
        <v>32</v>
      </c>
      <c r="F5212" s="1" t="str">
        <f>"F7E6B1822288040043250D550012010F"</f>
        <v>F7E6B1822288040043250D550012010F</v>
      </c>
      <c r="G5212" s="1" t="s">
        <v>58</v>
      </c>
      <c r="H5212" s="1" t="str">
        <f t="shared" si="994"/>
        <v>20220924</v>
      </c>
      <c r="I5212" s="1" t="str">
        <f>"162843"</f>
        <v>162843</v>
      </c>
      <c r="J5212" s="1" t="s">
        <v>46</v>
      </c>
      <c r="K5212" s="1" t="s">
        <v>28</v>
      </c>
      <c r="L5212" s="1" t="str">
        <f t="shared" si="995"/>
        <v>20220924</v>
      </c>
      <c r="M5212" s="1" t="str">
        <f>"163938"</f>
        <v>163938</v>
      </c>
      <c r="N5212" s="1" t="s">
        <v>28</v>
      </c>
      <c r="O5212" s="1" t="s">
        <v>28</v>
      </c>
      <c r="P5212" s="1" t="s">
        <v>55</v>
      </c>
      <c r="Q5212" s="1">
        <v>25</v>
      </c>
      <c r="R5212" s="1">
        <v>0</v>
      </c>
      <c r="S5212" s="1">
        <v>25</v>
      </c>
      <c r="T5212" s="1">
        <v>0</v>
      </c>
      <c r="U5212" s="1">
        <v>0</v>
      </c>
      <c r="V5212" s="1" t="str">
        <f t="shared" si="997"/>
        <v>里程返程</v>
      </c>
      <c r="W5212" s="1" t="str">
        <f t="shared" si="998"/>
        <v>2020</v>
      </c>
      <c r="X5212" s="1" t="s">
        <v>29</v>
      </c>
    </row>
    <row r="5213" spans="1:24" x14ac:dyDescent="0.3">
      <c r="A5213" s="1" t="str">
        <f t="shared" si="991"/>
        <v>59825</v>
      </c>
      <c r="B5213" s="1" t="s">
        <v>30</v>
      </c>
      <c r="C5213" s="1" t="s">
        <v>31</v>
      </c>
      <c r="D5213" s="1" t="str">
        <f t="shared" si="992"/>
        <v>9803</v>
      </c>
      <c r="E5213" s="1" t="s">
        <v>32</v>
      </c>
      <c r="F5213" s="1" t="str">
        <f>"EAD2547D1188040047C1267649000507"</f>
        <v>EAD2547D1188040047C1267649000507</v>
      </c>
      <c r="G5213" s="1" t="s">
        <v>58</v>
      </c>
      <c r="H5213" s="1" t="str">
        <f t="shared" si="994"/>
        <v>20220924</v>
      </c>
      <c r="I5213" s="1" t="str">
        <f>"162845"</f>
        <v>162845</v>
      </c>
      <c r="J5213" s="1" t="s">
        <v>46</v>
      </c>
      <c r="K5213" s="1" t="s">
        <v>28</v>
      </c>
      <c r="L5213" s="1" t="str">
        <f t="shared" si="995"/>
        <v>20220924</v>
      </c>
      <c r="M5213" s="1" t="str">
        <f>"163934"</f>
        <v>163934</v>
      </c>
      <c r="N5213" s="1" t="s">
        <v>28</v>
      </c>
      <c r="O5213" s="1" t="s">
        <v>28</v>
      </c>
      <c r="P5213" s="1" t="s">
        <v>55</v>
      </c>
      <c r="Q5213" s="1">
        <v>25</v>
      </c>
      <c r="R5213" s="1">
        <v>0</v>
      </c>
      <c r="S5213" s="1">
        <v>25</v>
      </c>
      <c r="T5213" s="1">
        <v>0</v>
      </c>
      <c r="U5213" s="1">
        <v>0</v>
      </c>
      <c r="V5213" s="1" t="str">
        <f t="shared" si="997"/>
        <v>里程返程</v>
      </c>
      <c r="W5213" s="1" t="str">
        <f t="shared" si="998"/>
        <v>2020</v>
      </c>
      <c r="X5213" s="1" t="s">
        <v>29</v>
      </c>
    </row>
    <row r="5214" spans="1:24" x14ac:dyDescent="0.3">
      <c r="A5214" s="1" t="str">
        <f t="shared" si="991"/>
        <v>59825</v>
      </c>
      <c r="B5214" s="1" t="s">
        <v>30</v>
      </c>
      <c r="C5214" s="1" t="s">
        <v>31</v>
      </c>
      <c r="D5214" s="1" t="str">
        <f>"9805"</f>
        <v>9805</v>
      </c>
      <c r="E5214" s="1" t="s">
        <v>57</v>
      </c>
      <c r="F5214" s="1" t="str">
        <f>"974271701"</f>
        <v>974271701</v>
      </c>
      <c r="G5214" s="1" t="s">
        <v>33</v>
      </c>
      <c r="H5214" s="1" t="str">
        <f t="shared" si="994"/>
        <v>20220924</v>
      </c>
      <c r="I5214" s="1" t="str">
        <f>"182157"</f>
        <v>182157</v>
      </c>
      <c r="J5214" s="1" t="s">
        <v>52</v>
      </c>
      <c r="K5214" s="1" t="s">
        <v>52</v>
      </c>
      <c r="L5214" s="1" t="str">
        <f t="shared" si="995"/>
        <v>20220924</v>
      </c>
      <c r="M5214" s="1" t="str">
        <f>"184247"</f>
        <v>184247</v>
      </c>
      <c r="N5214" s="1" t="s">
        <v>28</v>
      </c>
      <c r="O5214" s="1" t="s">
        <v>28</v>
      </c>
      <c r="P5214" s="1" t="s">
        <v>55</v>
      </c>
      <c r="Q5214" s="1">
        <v>25</v>
      </c>
      <c r="R5214" s="1">
        <v>0</v>
      </c>
      <c r="S5214" s="1">
        <v>25</v>
      </c>
      <c r="T5214" s="1">
        <v>0</v>
      </c>
      <c r="U5214" s="1">
        <v>0</v>
      </c>
      <c r="V5214" s="1" t="str">
        <f t="shared" si="997"/>
        <v>里程返程</v>
      </c>
      <c r="W5214" s="1" t="str">
        <f t="shared" si="998"/>
        <v>2020</v>
      </c>
      <c r="X5214" s="1" t="s">
        <v>35</v>
      </c>
    </row>
    <row r="5215" spans="1:24" x14ac:dyDescent="0.3">
      <c r="A5215" s="1" t="str">
        <f t="shared" si="991"/>
        <v>59825</v>
      </c>
      <c r="B5215" s="1" t="s">
        <v>30</v>
      </c>
      <c r="C5215" s="1" t="s">
        <v>31</v>
      </c>
      <c r="D5215" s="1" t="str">
        <f>"9805"</f>
        <v>9805</v>
      </c>
      <c r="E5215" s="1" t="s">
        <v>57</v>
      </c>
      <c r="F5215" s="1" t="str">
        <f>"1737283381"</f>
        <v>1737283381</v>
      </c>
      <c r="G5215" s="1" t="s">
        <v>33</v>
      </c>
      <c r="H5215" s="1" t="str">
        <f t="shared" si="994"/>
        <v>20220924</v>
      </c>
      <c r="I5215" s="1" t="str">
        <f>"182159"</f>
        <v>182159</v>
      </c>
      <c r="J5215" s="1" t="s">
        <v>52</v>
      </c>
      <c r="K5215" s="1" t="s">
        <v>52</v>
      </c>
      <c r="L5215" s="1" t="str">
        <f t="shared" si="995"/>
        <v>20220924</v>
      </c>
      <c r="M5215" s="1" t="str">
        <f>"184249"</f>
        <v>184249</v>
      </c>
      <c r="N5215" s="1" t="s">
        <v>28</v>
      </c>
      <c r="O5215" s="1" t="s">
        <v>28</v>
      </c>
      <c r="P5215" s="1" t="s">
        <v>55</v>
      </c>
      <c r="Q5215" s="1">
        <v>25</v>
      </c>
      <c r="R5215" s="1">
        <v>0</v>
      </c>
      <c r="S5215" s="1">
        <v>25</v>
      </c>
      <c r="T5215" s="1">
        <v>0</v>
      </c>
      <c r="U5215" s="1">
        <v>0</v>
      </c>
      <c r="V5215" s="1" t="str">
        <f t="shared" si="997"/>
        <v>里程返程</v>
      </c>
      <c r="W5215" s="1" t="str">
        <f t="shared" si="998"/>
        <v>2020</v>
      </c>
      <c r="X5215" s="1" t="s">
        <v>35</v>
      </c>
    </row>
    <row r="5216" spans="1:24" x14ac:dyDescent="0.3">
      <c r="A5216" s="1" t="str">
        <f t="shared" ref="A5216:A5254" si="999">"59828"</f>
        <v>59828</v>
      </c>
      <c r="B5216" s="1" t="s">
        <v>23</v>
      </c>
      <c r="C5216" s="1" t="s">
        <v>24</v>
      </c>
      <c r="D5216" s="1" t="str">
        <f t="shared" ref="D5216:D5236" si="1000">"9803"</f>
        <v>9803</v>
      </c>
      <c r="E5216" s="1" t="s">
        <v>32</v>
      </c>
      <c r="F5216" s="1" t="str">
        <f>"1041309525"</f>
        <v>1041309525</v>
      </c>
      <c r="G5216" s="1" t="s">
        <v>33</v>
      </c>
      <c r="H5216" s="1" t="str">
        <f t="shared" si="994"/>
        <v>20220924</v>
      </c>
      <c r="I5216" s="1" t="str">
        <f>"062731"</f>
        <v>062731</v>
      </c>
      <c r="J5216" s="1" t="s">
        <v>90</v>
      </c>
      <c r="K5216" s="1" t="s">
        <v>28</v>
      </c>
      <c r="L5216" s="1" t="str">
        <f t="shared" si="995"/>
        <v>20220924</v>
      </c>
      <c r="M5216" s="1" t="str">
        <f>"064155"</f>
        <v>064155</v>
      </c>
      <c r="N5216" s="1" t="s">
        <v>34</v>
      </c>
      <c r="O5216" s="1" t="s">
        <v>34</v>
      </c>
      <c r="P5216" s="1" t="s">
        <v>55</v>
      </c>
      <c r="Q5216" s="1">
        <v>25</v>
      </c>
      <c r="R5216" s="1">
        <v>25</v>
      </c>
      <c r="S5216" s="1">
        <v>0</v>
      </c>
      <c r="T5216" s="1">
        <v>0</v>
      </c>
      <c r="U5216" s="1">
        <v>0</v>
      </c>
      <c r="V5216" s="1" t="str">
        <f t="shared" ref="V5216:V5234" si="1001">"里程去程"</f>
        <v>里程去程</v>
      </c>
      <c r="W5216" s="1" t="str">
        <f>"0320"</f>
        <v>0320</v>
      </c>
      <c r="X5216" s="1" t="s">
        <v>35</v>
      </c>
    </row>
    <row r="5217" spans="1:24" x14ac:dyDescent="0.3">
      <c r="A5217" s="1" t="str">
        <f t="shared" si="999"/>
        <v>59828</v>
      </c>
      <c r="B5217" s="1" t="s">
        <v>23</v>
      </c>
      <c r="C5217" s="1" t="s">
        <v>24</v>
      </c>
      <c r="D5217" s="1" t="str">
        <f t="shared" si="1000"/>
        <v>9803</v>
      </c>
      <c r="E5217" s="1" t="s">
        <v>32</v>
      </c>
      <c r="F5217" s="1" t="str">
        <f>"1142114741"</f>
        <v>1142114741</v>
      </c>
      <c r="G5217" s="1" t="s">
        <v>33</v>
      </c>
      <c r="H5217" s="1" t="str">
        <f t="shared" si="994"/>
        <v>20220924</v>
      </c>
      <c r="I5217" s="1" t="str">
        <f>"062749"</f>
        <v>062749</v>
      </c>
      <c r="J5217" s="1" t="s">
        <v>90</v>
      </c>
      <c r="K5217" s="1" t="s">
        <v>28</v>
      </c>
      <c r="L5217" s="1" t="str">
        <f t="shared" si="995"/>
        <v>20220924</v>
      </c>
      <c r="M5217" s="1" t="str">
        <f>"064148"</f>
        <v>064148</v>
      </c>
      <c r="N5217" s="1" t="s">
        <v>34</v>
      </c>
      <c r="O5217" s="1" t="s">
        <v>34</v>
      </c>
      <c r="P5217" s="1" t="s">
        <v>55</v>
      </c>
      <c r="Q5217" s="1">
        <v>25</v>
      </c>
      <c r="R5217" s="1">
        <v>25</v>
      </c>
      <c r="S5217" s="1">
        <v>0</v>
      </c>
      <c r="T5217" s="1">
        <v>0</v>
      </c>
      <c r="U5217" s="1">
        <v>0</v>
      </c>
      <c r="V5217" s="1" t="str">
        <f t="shared" si="1001"/>
        <v>里程去程</v>
      </c>
      <c r="W5217" s="1" t="str">
        <f>"0820"</f>
        <v>0820</v>
      </c>
      <c r="X5217" s="1" t="s">
        <v>35</v>
      </c>
    </row>
    <row r="5218" spans="1:24" x14ac:dyDescent="0.3">
      <c r="A5218" s="1" t="str">
        <f t="shared" si="999"/>
        <v>59828</v>
      </c>
      <c r="B5218" s="1" t="s">
        <v>23</v>
      </c>
      <c r="C5218" s="1" t="s">
        <v>24</v>
      </c>
      <c r="D5218" s="1" t="str">
        <f t="shared" si="1000"/>
        <v>9803</v>
      </c>
      <c r="E5218" s="1" t="s">
        <v>32</v>
      </c>
      <c r="F5218" s="1" t="str">
        <f>"2AFBE36052880400C185149965904512"</f>
        <v>2AFBE36052880400C185149965904512</v>
      </c>
      <c r="G5218" s="1" t="s">
        <v>58</v>
      </c>
      <c r="H5218" s="1" t="str">
        <f t="shared" si="994"/>
        <v>20220924</v>
      </c>
      <c r="I5218" s="1" t="str">
        <f>"080821"</f>
        <v>080821</v>
      </c>
      <c r="J5218" s="1" t="s">
        <v>28</v>
      </c>
      <c r="K5218" s="1" t="s">
        <v>28</v>
      </c>
      <c r="L5218" s="1" t="str">
        <f t="shared" si="995"/>
        <v>20220924</v>
      </c>
      <c r="M5218" s="1" t="str">
        <f>"083013"</f>
        <v>083013</v>
      </c>
      <c r="N5218" s="1" t="s">
        <v>34</v>
      </c>
      <c r="O5218" s="1" t="s">
        <v>34</v>
      </c>
      <c r="P5218" s="1" t="s">
        <v>55</v>
      </c>
      <c r="Q5218" s="1">
        <v>25</v>
      </c>
      <c r="R5218" s="1">
        <v>25</v>
      </c>
      <c r="S5218" s="1">
        <v>0</v>
      </c>
      <c r="T5218" s="1">
        <v>0</v>
      </c>
      <c r="U5218" s="1">
        <v>0</v>
      </c>
      <c r="V5218" s="1" t="str">
        <f t="shared" si="1001"/>
        <v>里程去程</v>
      </c>
      <c r="W5218" s="1" t="str">
        <f>"0020"</f>
        <v>0020</v>
      </c>
      <c r="X5218" s="1" t="s">
        <v>29</v>
      </c>
    </row>
    <row r="5219" spans="1:24" x14ac:dyDescent="0.3">
      <c r="A5219" s="1" t="str">
        <f t="shared" si="999"/>
        <v>59828</v>
      </c>
      <c r="B5219" s="1" t="s">
        <v>23</v>
      </c>
      <c r="C5219" s="1" t="s">
        <v>24</v>
      </c>
      <c r="D5219" s="1" t="str">
        <f t="shared" si="1000"/>
        <v>9803</v>
      </c>
      <c r="E5219" s="1" t="s">
        <v>32</v>
      </c>
      <c r="F5219" s="1" t="str">
        <f>"1012774821"</f>
        <v>1012774821</v>
      </c>
      <c r="G5219" s="1" t="s">
        <v>33</v>
      </c>
      <c r="H5219" s="1" t="str">
        <f t="shared" si="994"/>
        <v>20220924</v>
      </c>
      <c r="I5219" s="1" t="str">
        <f>"080827"</f>
        <v>080827</v>
      </c>
      <c r="J5219" s="1" t="s">
        <v>28</v>
      </c>
      <c r="K5219" s="1" t="s">
        <v>28</v>
      </c>
      <c r="L5219" s="1" t="str">
        <f t="shared" si="995"/>
        <v>20220924</v>
      </c>
      <c r="M5219" s="1" t="str">
        <f>"083005"</f>
        <v>083005</v>
      </c>
      <c r="N5219" s="1" t="s">
        <v>34</v>
      </c>
      <c r="O5219" s="1" t="s">
        <v>34</v>
      </c>
      <c r="P5219" s="1" t="s">
        <v>55</v>
      </c>
      <c r="Q5219" s="1">
        <v>25</v>
      </c>
      <c r="R5219" s="1">
        <v>25</v>
      </c>
      <c r="S5219" s="1">
        <v>0</v>
      </c>
      <c r="T5219" s="1">
        <v>0</v>
      </c>
      <c r="U5219" s="1">
        <v>0</v>
      </c>
      <c r="V5219" s="1" t="str">
        <f t="shared" si="1001"/>
        <v>里程去程</v>
      </c>
      <c r="W5219" s="1" t="str">
        <f>"1420"</f>
        <v>1420</v>
      </c>
      <c r="X5219" s="1" t="s">
        <v>35</v>
      </c>
    </row>
    <row r="5220" spans="1:24" x14ac:dyDescent="0.3">
      <c r="A5220" s="1" t="str">
        <f t="shared" si="999"/>
        <v>59828</v>
      </c>
      <c r="B5220" s="1" t="s">
        <v>23</v>
      </c>
      <c r="C5220" s="1" t="s">
        <v>24</v>
      </c>
      <c r="D5220" s="1" t="str">
        <f t="shared" si="1000"/>
        <v>9803</v>
      </c>
      <c r="E5220" s="1" t="s">
        <v>32</v>
      </c>
      <c r="F5220" s="1" t="str">
        <f>"E1F6F551B32804001C00000000000000"</f>
        <v>E1F6F551B32804001C00000000000000</v>
      </c>
      <c r="G5220" s="1" t="s">
        <v>58</v>
      </c>
      <c r="H5220" s="1" t="str">
        <f t="shared" si="994"/>
        <v>20220924</v>
      </c>
      <c r="I5220" s="1" t="str">
        <f>"080834"</f>
        <v>080834</v>
      </c>
      <c r="J5220" s="1" t="s">
        <v>28</v>
      </c>
      <c r="K5220" s="1" t="s">
        <v>28</v>
      </c>
      <c r="L5220" s="1" t="str">
        <f t="shared" si="995"/>
        <v>20220924</v>
      </c>
      <c r="M5220" s="1" t="str">
        <f>"083008"</f>
        <v>083008</v>
      </c>
      <c r="N5220" s="1" t="s">
        <v>34</v>
      </c>
      <c r="O5220" s="1" t="s">
        <v>34</v>
      </c>
      <c r="P5220" s="1" t="s">
        <v>55</v>
      </c>
      <c r="Q5220" s="1">
        <v>25</v>
      </c>
      <c r="R5220" s="1">
        <v>25</v>
      </c>
      <c r="S5220" s="1">
        <v>0</v>
      </c>
      <c r="T5220" s="1">
        <v>0</v>
      </c>
      <c r="U5220" s="1">
        <v>0</v>
      </c>
      <c r="V5220" s="1" t="str">
        <f t="shared" si="1001"/>
        <v>里程去程</v>
      </c>
      <c r="W5220" s="1" t="str">
        <f>"0020"</f>
        <v>0020</v>
      </c>
      <c r="X5220" s="1" t="s">
        <v>29</v>
      </c>
    </row>
    <row r="5221" spans="1:24" x14ac:dyDescent="0.3">
      <c r="A5221" s="1" t="str">
        <f t="shared" si="999"/>
        <v>59828</v>
      </c>
      <c r="B5221" s="1" t="s">
        <v>23</v>
      </c>
      <c r="C5221" s="1" t="s">
        <v>24</v>
      </c>
      <c r="D5221" s="1" t="str">
        <f t="shared" si="1000"/>
        <v>9803</v>
      </c>
      <c r="E5221" s="1" t="s">
        <v>32</v>
      </c>
      <c r="F5221" s="1" t="str">
        <f>"221727617"</f>
        <v>221727617</v>
      </c>
      <c r="G5221" s="1" t="s">
        <v>33</v>
      </c>
      <c r="H5221" s="1" t="str">
        <f t="shared" si="994"/>
        <v>20220924</v>
      </c>
      <c r="I5221" s="1" t="str">
        <f>"080838"</f>
        <v>080838</v>
      </c>
      <c r="J5221" s="1" t="s">
        <v>28</v>
      </c>
      <c r="K5221" s="1" t="s">
        <v>28</v>
      </c>
      <c r="L5221" s="1" t="str">
        <f t="shared" si="995"/>
        <v>20220924</v>
      </c>
      <c r="M5221" s="1" t="str">
        <f>"082957"</f>
        <v>082957</v>
      </c>
      <c r="N5221" s="1" t="s">
        <v>34</v>
      </c>
      <c r="O5221" s="1" t="s">
        <v>34</v>
      </c>
      <c r="P5221" s="1" t="s">
        <v>55</v>
      </c>
      <c r="Q5221" s="1">
        <v>25</v>
      </c>
      <c r="R5221" s="1">
        <v>25</v>
      </c>
      <c r="S5221" s="1">
        <v>0</v>
      </c>
      <c r="T5221" s="1">
        <v>0</v>
      </c>
      <c r="U5221" s="1">
        <v>0</v>
      </c>
      <c r="V5221" s="1" t="str">
        <f t="shared" si="1001"/>
        <v>里程去程</v>
      </c>
      <c r="W5221" s="1" t="str">
        <f>"0320"</f>
        <v>0320</v>
      </c>
      <c r="X5221" s="1" t="s">
        <v>35</v>
      </c>
    </row>
    <row r="5222" spans="1:24" x14ac:dyDescent="0.3">
      <c r="A5222" s="1" t="str">
        <f t="shared" si="999"/>
        <v>59828</v>
      </c>
      <c r="B5222" s="1" t="s">
        <v>23</v>
      </c>
      <c r="C5222" s="1" t="s">
        <v>24</v>
      </c>
      <c r="D5222" s="1" t="str">
        <f t="shared" si="1000"/>
        <v>9803</v>
      </c>
      <c r="E5222" s="1" t="s">
        <v>32</v>
      </c>
      <c r="F5222" s="1" t="str">
        <f>"3602457219"</f>
        <v>3602457219</v>
      </c>
      <c r="G5222" s="1" t="s">
        <v>33</v>
      </c>
      <c r="H5222" s="1" t="str">
        <f t="shared" ref="H5222:H5254" si="1002">"20220924"</f>
        <v>20220924</v>
      </c>
      <c r="I5222" s="1" t="str">
        <f>"080851"</f>
        <v>080851</v>
      </c>
      <c r="J5222" s="1" t="s">
        <v>28</v>
      </c>
      <c r="K5222" s="1" t="s">
        <v>28</v>
      </c>
      <c r="L5222" s="1" t="str">
        <f t="shared" ref="L5222:L5254" si="1003">"20220924"</f>
        <v>20220924</v>
      </c>
      <c r="M5222" s="1" t="str">
        <f>"083002"</f>
        <v>083002</v>
      </c>
      <c r="N5222" s="1" t="s">
        <v>34</v>
      </c>
      <c r="O5222" s="1" t="s">
        <v>34</v>
      </c>
      <c r="P5222" s="1" t="s">
        <v>55</v>
      </c>
      <c r="Q5222" s="1">
        <v>25</v>
      </c>
      <c r="R5222" s="1">
        <v>25</v>
      </c>
      <c r="S5222" s="1">
        <v>0</v>
      </c>
      <c r="T5222" s="1">
        <v>0</v>
      </c>
      <c r="U5222" s="1">
        <v>0</v>
      </c>
      <c r="V5222" s="1" t="str">
        <f t="shared" si="1001"/>
        <v>里程去程</v>
      </c>
      <c r="W5222" s="1" t="str">
        <f>"0120"</f>
        <v>0120</v>
      </c>
      <c r="X5222" s="1" t="s">
        <v>35</v>
      </c>
    </row>
    <row r="5223" spans="1:24" x14ac:dyDescent="0.3">
      <c r="A5223" s="1" t="str">
        <f t="shared" si="999"/>
        <v>59828</v>
      </c>
      <c r="B5223" s="1" t="s">
        <v>23</v>
      </c>
      <c r="C5223" s="1" t="s">
        <v>24</v>
      </c>
      <c r="D5223" s="1" t="str">
        <f t="shared" si="1000"/>
        <v>9803</v>
      </c>
      <c r="E5223" s="1" t="s">
        <v>32</v>
      </c>
      <c r="F5223" s="1" t="str">
        <f>"1608156421"</f>
        <v>1608156421</v>
      </c>
      <c r="G5223" s="1" t="s">
        <v>33</v>
      </c>
      <c r="H5223" s="1" t="str">
        <f t="shared" si="1002"/>
        <v>20220924</v>
      </c>
      <c r="I5223" s="1" t="str">
        <f>"080856"</f>
        <v>080856</v>
      </c>
      <c r="J5223" s="1" t="s">
        <v>28</v>
      </c>
      <c r="K5223" s="1" t="s">
        <v>28</v>
      </c>
      <c r="L5223" s="1" t="str">
        <f t="shared" si="1003"/>
        <v>20220924</v>
      </c>
      <c r="M5223" s="1" t="str">
        <f>"082959"</f>
        <v>082959</v>
      </c>
      <c r="N5223" s="1" t="s">
        <v>34</v>
      </c>
      <c r="O5223" s="1" t="s">
        <v>34</v>
      </c>
      <c r="P5223" s="1" t="s">
        <v>55</v>
      </c>
      <c r="Q5223" s="1">
        <v>25</v>
      </c>
      <c r="R5223" s="1">
        <v>25</v>
      </c>
      <c r="S5223" s="1">
        <v>0</v>
      </c>
      <c r="T5223" s="1">
        <v>0</v>
      </c>
      <c r="U5223" s="1">
        <v>0</v>
      </c>
      <c r="V5223" s="1" t="str">
        <f t="shared" si="1001"/>
        <v>里程去程</v>
      </c>
      <c r="W5223" s="1" t="str">
        <f>"0120"</f>
        <v>0120</v>
      </c>
      <c r="X5223" s="1" t="s">
        <v>35</v>
      </c>
    </row>
    <row r="5224" spans="1:24" x14ac:dyDescent="0.3">
      <c r="A5224" s="1" t="str">
        <f t="shared" si="999"/>
        <v>59828</v>
      </c>
      <c r="B5224" s="1" t="s">
        <v>23</v>
      </c>
      <c r="C5224" s="1" t="s">
        <v>24</v>
      </c>
      <c r="D5224" s="1" t="str">
        <f t="shared" si="1000"/>
        <v>9803</v>
      </c>
      <c r="E5224" s="1" t="s">
        <v>32</v>
      </c>
      <c r="F5224" s="1" t="str">
        <f>"2781495119"</f>
        <v>2781495119</v>
      </c>
      <c r="G5224" s="1" t="s">
        <v>33</v>
      </c>
      <c r="H5224" s="1" t="str">
        <f t="shared" si="1002"/>
        <v>20220924</v>
      </c>
      <c r="I5224" s="1" t="str">
        <f>"081006"</f>
        <v>081006</v>
      </c>
      <c r="J5224" s="1" t="s">
        <v>28</v>
      </c>
      <c r="K5224" s="1" t="s">
        <v>28</v>
      </c>
      <c r="L5224" s="1" t="str">
        <f t="shared" si="1003"/>
        <v>20220924</v>
      </c>
      <c r="M5224" s="1" t="str">
        <f>"083036"</f>
        <v>083036</v>
      </c>
      <c r="N5224" s="1" t="s">
        <v>34</v>
      </c>
      <c r="O5224" s="1" t="s">
        <v>34</v>
      </c>
      <c r="P5224" s="1" t="s">
        <v>55</v>
      </c>
      <c r="Q5224" s="1">
        <v>25</v>
      </c>
      <c r="R5224" s="1">
        <v>25</v>
      </c>
      <c r="S5224" s="1">
        <v>0</v>
      </c>
      <c r="T5224" s="1">
        <v>0</v>
      </c>
      <c r="U5224" s="1">
        <v>0</v>
      </c>
      <c r="V5224" s="1" t="str">
        <f t="shared" si="1001"/>
        <v>里程去程</v>
      </c>
      <c r="W5224" s="1" t="str">
        <f>"0820"</f>
        <v>0820</v>
      </c>
      <c r="X5224" s="1" t="s">
        <v>35</v>
      </c>
    </row>
    <row r="5225" spans="1:24" x14ac:dyDescent="0.3">
      <c r="A5225" s="1" t="str">
        <f t="shared" si="999"/>
        <v>59828</v>
      </c>
      <c r="B5225" s="1" t="s">
        <v>23</v>
      </c>
      <c r="C5225" s="1" t="s">
        <v>24</v>
      </c>
      <c r="D5225" s="1" t="str">
        <f t="shared" si="1000"/>
        <v>9803</v>
      </c>
      <c r="E5225" s="1" t="s">
        <v>32</v>
      </c>
      <c r="F5225" s="1" t="str">
        <f>"1275282949"</f>
        <v>1275282949</v>
      </c>
      <c r="G5225" s="1" t="s">
        <v>33</v>
      </c>
      <c r="H5225" s="1" t="str">
        <f t="shared" si="1002"/>
        <v>20220924</v>
      </c>
      <c r="I5225" s="1" t="str">
        <f>"081016"</f>
        <v>081016</v>
      </c>
      <c r="J5225" s="1" t="s">
        <v>28</v>
      </c>
      <c r="K5225" s="1" t="s">
        <v>28</v>
      </c>
      <c r="L5225" s="1" t="str">
        <f t="shared" si="1003"/>
        <v>20220924</v>
      </c>
      <c r="M5225" s="1" t="str">
        <f>"083028"</f>
        <v>083028</v>
      </c>
      <c r="N5225" s="1" t="s">
        <v>34</v>
      </c>
      <c r="O5225" s="1" t="s">
        <v>34</v>
      </c>
      <c r="P5225" s="1" t="s">
        <v>55</v>
      </c>
      <c r="Q5225" s="1">
        <v>25</v>
      </c>
      <c r="R5225" s="1">
        <v>25</v>
      </c>
      <c r="S5225" s="1">
        <v>0</v>
      </c>
      <c r="T5225" s="1">
        <v>0</v>
      </c>
      <c r="U5225" s="1">
        <v>0</v>
      </c>
      <c r="V5225" s="1" t="str">
        <f t="shared" si="1001"/>
        <v>里程去程</v>
      </c>
      <c r="W5225" s="1" t="str">
        <f>"0020"</f>
        <v>0020</v>
      </c>
      <c r="X5225" s="1" t="s">
        <v>35</v>
      </c>
    </row>
    <row r="5226" spans="1:24" x14ac:dyDescent="0.3">
      <c r="A5226" s="1" t="str">
        <f t="shared" si="999"/>
        <v>59828</v>
      </c>
      <c r="B5226" s="1" t="s">
        <v>23</v>
      </c>
      <c r="C5226" s="1" t="s">
        <v>24</v>
      </c>
      <c r="D5226" s="1" t="str">
        <f t="shared" si="1000"/>
        <v>9803</v>
      </c>
      <c r="E5226" s="1" t="s">
        <v>32</v>
      </c>
      <c r="F5226" s="1" t="str">
        <f>"1643022485"</f>
        <v>1643022485</v>
      </c>
      <c r="G5226" s="1" t="s">
        <v>33</v>
      </c>
      <c r="H5226" s="1" t="str">
        <f t="shared" si="1002"/>
        <v>20220924</v>
      </c>
      <c r="I5226" s="1" t="str">
        <f>"081051"</f>
        <v>081051</v>
      </c>
      <c r="J5226" s="1" t="s">
        <v>28</v>
      </c>
      <c r="K5226" s="1" t="s">
        <v>28</v>
      </c>
      <c r="L5226" s="1" t="str">
        <f t="shared" si="1003"/>
        <v>20220924</v>
      </c>
      <c r="M5226" s="1" t="str">
        <f>"083019"</f>
        <v>083019</v>
      </c>
      <c r="N5226" s="1" t="s">
        <v>34</v>
      </c>
      <c r="O5226" s="1" t="s">
        <v>34</v>
      </c>
      <c r="P5226" s="1" t="s">
        <v>55</v>
      </c>
      <c r="Q5226" s="1">
        <v>25</v>
      </c>
      <c r="R5226" s="1">
        <v>25</v>
      </c>
      <c r="S5226" s="1">
        <v>0</v>
      </c>
      <c r="T5226" s="1">
        <v>0</v>
      </c>
      <c r="U5226" s="1">
        <v>0</v>
      </c>
      <c r="V5226" s="1" t="str">
        <f t="shared" si="1001"/>
        <v>里程去程</v>
      </c>
      <c r="W5226" s="1" t="str">
        <f>"1220"</f>
        <v>1220</v>
      </c>
      <c r="X5226" s="1" t="s">
        <v>35</v>
      </c>
    </row>
    <row r="5227" spans="1:24" x14ac:dyDescent="0.3">
      <c r="A5227" s="1" t="str">
        <f t="shared" si="999"/>
        <v>59828</v>
      </c>
      <c r="B5227" s="1" t="s">
        <v>23</v>
      </c>
      <c r="C5227" s="1" t="s">
        <v>24</v>
      </c>
      <c r="D5227" s="1" t="str">
        <f t="shared" si="1000"/>
        <v>9803</v>
      </c>
      <c r="E5227" s="1" t="s">
        <v>32</v>
      </c>
      <c r="F5227" s="1" t="str">
        <f>"1189806037"</f>
        <v>1189806037</v>
      </c>
      <c r="G5227" s="1" t="s">
        <v>33</v>
      </c>
      <c r="H5227" s="1" t="str">
        <f t="shared" si="1002"/>
        <v>20220924</v>
      </c>
      <c r="I5227" s="1" t="str">
        <f>"081057"</f>
        <v>081057</v>
      </c>
      <c r="J5227" s="1" t="s">
        <v>28</v>
      </c>
      <c r="K5227" s="1" t="s">
        <v>28</v>
      </c>
      <c r="L5227" s="1" t="str">
        <f t="shared" si="1003"/>
        <v>20220924</v>
      </c>
      <c r="M5227" s="1" t="str">
        <f>"082955"</f>
        <v>082955</v>
      </c>
      <c r="N5227" s="1" t="s">
        <v>34</v>
      </c>
      <c r="O5227" s="1" t="s">
        <v>34</v>
      </c>
      <c r="P5227" s="1" t="s">
        <v>55</v>
      </c>
      <c r="Q5227" s="1">
        <v>25</v>
      </c>
      <c r="R5227" s="1">
        <v>25</v>
      </c>
      <c r="S5227" s="1">
        <v>0</v>
      </c>
      <c r="T5227" s="1">
        <v>0</v>
      </c>
      <c r="U5227" s="1">
        <v>0</v>
      </c>
      <c r="V5227" s="1" t="str">
        <f t="shared" si="1001"/>
        <v>里程去程</v>
      </c>
      <c r="W5227" s="1" t="str">
        <f>"1420"</f>
        <v>1420</v>
      </c>
      <c r="X5227" s="1" t="s">
        <v>35</v>
      </c>
    </row>
    <row r="5228" spans="1:24" x14ac:dyDescent="0.3">
      <c r="A5228" s="1" t="str">
        <f t="shared" si="999"/>
        <v>59828</v>
      </c>
      <c r="B5228" s="1" t="s">
        <v>23</v>
      </c>
      <c r="C5228" s="1" t="s">
        <v>24</v>
      </c>
      <c r="D5228" s="1" t="str">
        <f t="shared" si="1000"/>
        <v>9803</v>
      </c>
      <c r="E5228" s="1" t="s">
        <v>32</v>
      </c>
      <c r="F5228" s="1" t="str">
        <f>"A29047196C880400C821002000000019"</f>
        <v>A29047196C880400C821002000000019</v>
      </c>
      <c r="G5228" s="1" t="s">
        <v>64</v>
      </c>
      <c r="H5228" s="1" t="str">
        <f t="shared" si="1002"/>
        <v>20220924</v>
      </c>
      <c r="I5228" s="1" t="str">
        <f>"081104"</f>
        <v>081104</v>
      </c>
      <c r="J5228" s="1" t="s">
        <v>28</v>
      </c>
      <c r="K5228" s="1" t="s">
        <v>28</v>
      </c>
      <c r="L5228" s="1" t="str">
        <f t="shared" si="1003"/>
        <v>20220924</v>
      </c>
      <c r="M5228" s="1" t="str">
        <f>"081829"</f>
        <v>081829</v>
      </c>
      <c r="N5228" s="1" t="s">
        <v>79</v>
      </c>
      <c r="O5228" s="1" t="s">
        <v>28</v>
      </c>
      <c r="P5228" s="1" t="s">
        <v>55</v>
      </c>
      <c r="Q5228" s="1">
        <v>13</v>
      </c>
      <c r="R5228" s="1">
        <v>13</v>
      </c>
      <c r="S5228" s="1">
        <v>0</v>
      </c>
      <c r="T5228" s="1">
        <v>0</v>
      </c>
      <c r="U5228" s="1">
        <v>0</v>
      </c>
      <c r="V5228" s="1" t="str">
        <f t="shared" si="1001"/>
        <v>里程去程</v>
      </c>
      <c r="W5228" s="1" t="str">
        <f>"0020"</f>
        <v>0020</v>
      </c>
      <c r="X5228" s="1" t="s">
        <v>29</v>
      </c>
    </row>
    <row r="5229" spans="1:24" x14ac:dyDescent="0.3">
      <c r="A5229" s="1" t="str">
        <f t="shared" si="999"/>
        <v>59828</v>
      </c>
      <c r="B5229" s="1" t="s">
        <v>23</v>
      </c>
      <c r="C5229" s="1" t="s">
        <v>24</v>
      </c>
      <c r="D5229" s="1" t="str">
        <f t="shared" si="1000"/>
        <v>9803</v>
      </c>
      <c r="E5229" s="1" t="s">
        <v>32</v>
      </c>
      <c r="F5229" s="1" t="str">
        <f>"227919077"</f>
        <v>227919077</v>
      </c>
      <c r="G5229" s="1" t="s">
        <v>33</v>
      </c>
      <c r="H5229" s="1" t="str">
        <f t="shared" si="1002"/>
        <v>20220924</v>
      </c>
      <c r="I5229" s="1" t="str">
        <f>"081110"</f>
        <v>081110</v>
      </c>
      <c r="J5229" s="1" t="s">
        <v>28</v>
      </c>
      <c r="K5229" s="1" t="s">
        <v>28</v>
      </c>
      <c r="L5229" s="1" t="str">
        <f t="shared" si="1003"/>
        <v>20220924</v>
      </c>
      <c r="M5229" s="1" t="str">
        <f>"082946"</f>
        <v>082946</v>
      </c>
      <c r="N5229" s="1" t="s">
        <v>34</v>
      </c>
      <c r="O5229" s="1" t="s">
        <v>34</v>
      </c>
      <c r="P5229" s="1" t="s">
        <v>55</v>
      </c>
      <c r="Q5229" s="1">
        <v>25</v>
      </c>
      <c r="R5229" s="1">
        <v>25</v>
      </c>
      <c r="S5229" s="1">
        <v>0</v>
      </c>
      <c r="T5229" s="1">
        <v>0</v>
      </c>
      <c r="U5229" s="1">
        <v>0</v>
      </c>
      <c r="V5229" s="1" t="str">
        <f t="shared" si="1001"/>
        <v>里程去程</v>
      </c>
      <c r="W5229" s="1" t="str">
        <f>"0820"</f>
        <v>0820</v>
      </c>
      <c r="X5229" s="1" t="s">
        <v>35</v>
      </c>
    </row>
    <row r="5230" spans="1:24" x14ac:dyDescent="0.3">
      <c r="A5230" s="1" t="str">
        <f t="shared" si="999"/>
        <v>59828</v>
      </c>
      <c r="B5230" s="1" t="s">
        <v>23</v>
      </c>
      <c r="C5230" s="1" t="s">
        <v>24</v>
      </c>
      <c r="D5230" s="1" t="str">
        <f t="shared" si="1000"/>
        <v>9803</v>
      </c>
      <c r="E5230" s="1" t="s">
        <v>32</v>
      </c>
      <c r="F5230" s="1" t="str">
        <f>"813890065"</f>
        <v>813890065</v>
      </c>
      <c r="G5230" s="1" t="s">
        <v>33</v>
      </c>
      <c r="H5230" s="1" t="str">
        <f t="shared" si="1002"/>
        <v>20220924</v>
      </c>
      <c r="I5230" s="1" t="str">
        <f>"081123"</f>
        <v>081123</v>
      </c>
      <c r="J5230" s="1" t="s">
        <v>28</v>
      </c>
      <c r="K5230" s="1" t="s">
        <v>28</v>
      </c>
      <c r="L5230" s="1" t="str">
        <f t="shared" si="1003"/>
        <v>20220924</v>
      </c>
      <c r="M5230" s="1" t="str">
        <f>"082951"</f>
        <v>082951</v>
      </c>
      <c r="N5230" s="1" t="s">
        <v>34</v>
      </c>
      <c r="O5230" s="1" t="s">
        <v>34</v>
      </c>
      <c r="P5230" s="1" t="s">
        <v>55</v>
      </c>
      <c r="Q5230" s="1">
        <v>25</v>
      </c>
      <c r="R5230" s="1">
        <v>25</v>
      </c>
      <c r="S5230" s="1">
        <v>0</v>
      </c>
      <c r="T5230" s="1">
        <v>0</v>
      </c>
      <c r="U5230" s="1">
        <v>0</v>
      </c>
      <c r="V5230" s="1" t="str">
        <f t="shared" si="1001"/>
        <v>里程去程</v>
      </c>
      <c r="W5230" s="1" t="str">
        <f>"0820"</f>
        <v>0820</v>
      </c>
      <c r="X5230" s="1" t="s">
        <v>35</v>
      </c>
    </row>
    <row r="5231" spans="1:24" x14ac:dyDescent="0.3">
      <c r="A5231" s="1" t="str">
        <f t="shared" si="999"/>
        <v>59828</v>
      </c>
      <c r="B5231" s="1" t="s">
        <v>23</v>
      </c>
      <c r="C5231" s="1" t="s">
        <v>24</v>
      </c>
      <c r="D5231" s="1" t="str">
        <f t="shared" si="1000"/>
        <v>9803</v>
      </c>
      <c r="E5231" s="1" t="s">
        <v>32</v>
      </c>
      <c r="F5231" s="1" t="str">
        <f>"1524290A12180200D200000C22400417"</f>
        <v>1524290A12180200D200000C22400417</v>
      </c>
      <c r="G5231" s="1" t="s">
        <v>58</v>
      </c>
      <c r="H5231" s="1" t="str">
        <f t="shared" si="1002"/>
        <v>20220924</v>
      </c>
      <c r="I5231" s="1" t="str">
        <f>"094928"</f>
        <v>094928</v>
      </c>
      <c r="J5231" s="1" t="s">
        <v>28</v>
      </c>
      <c r="K5231" s="1" t="s">
        <v>28</v>
      </c>
      <c r="L5231" s="1" t="str">
        <f t="shared" si="1003"/>
        <v>20220924</v>
      </c>
      <c r="M5231" s="1" t="str">
        <f>"100825"</f>
        <v>100825</v>
      </c>
      <c r="N5231" s="1" t="s">
        <v>34</v>
      </c>
      <c r="O5231" s="1" t="s">
        <v>34</v>
      </c>
      <c r="P5231" s="1" t="s">
        <v>55</v>
      </c>
      <c r="Q5231" s="1">
        <v>25</v>
      </c>
      <c r="R5231" s="1">
        <v>25</v>
      </c>
      <c r="S5231" s="1">
        <v>0</v>
      </c>
      <c r="T5231" s="1">
        <v>0</v>
      </c>
      <c r="U5231" s="1">
        <v>0</v>
      </c>
      <c r="V5231" s="1" t="str">
        <f t="shared" si="1001"/>
        <v>里程去程</v>
      </c>
      <c r="W5231" s="1" t="str">
        <f>"0020"</f>
        <v>0020</v>
      </c>
      <c r="X5231" s="1" t="s">
        <v>29</v>
      </c>
    </row>
    <row r="5232" spans="1:24" x14ac:dyDescent="0.3">
      <c r="A5232" s="1" t="str">
        <f t="shared" si="999"/>
        <v>59828</v>
      </c>
      <c r="B5232" s="1" t="s">
        <v>23</v>
      </c>
      <c r="C5232" s="1" t="s">
        <v>24</v>
      </c>
      <c r="D5232" s="1" t="str">
        <f t="shared" si="1000"/>
        <v>9803</v>
      </c>
      <c r="E5232" s="1" t="s">
        <v>32</v>
      </c>
      <c r="F5232" s="1" t="str">
        <f>"7511210957005479"</f>
        <v>7511210957005479</v>
      </c>
      <c r="G5232" s="1" t="s">
        <v>33</v>
      </c>
      <c r="H5232" s="1" t="str">
        <f t="shared" si="1002"/>
        <v>20220924</v>
      </c>
      <c r="I5232" s="1" t="str">
        <f>"094947"</f>
        <v>094947</v>
      </c>
      <c r="J5232" s="1" t="s">
        <v>28</v>
      </c>
      <c r="K5232" s="1" t="s">
        <v>28</v>
      </c>
      <c r="L5232" s="1" t="str">
        <f t="shared" si="1003"/>
        <v>20220924</v>
      </c>
      <c r="M5232" s="1" t="str">
        <f>"100836"</f>
        <v>100836</v>
      </c>
      <c r="N5232" s="1" t="s">
        <v>34</v>
      </c>
      <c r="O5232" s="1" t="s">
        <v>34</v>
      </c>
      <c r="P5232" s="1" t="s">
        <v>55</v>
      </c>
      <c r="Q5232" s="1">
        <v>25</v>
      </c>
      <c r="R5232" s="1">
        <v>25</v>
      </c>
      <c r="S5232" s="1">
        <v>0</v>
      </c>
      <c r="T5232" s="1">
        <v>0</v>
      </c>
      <c r="U5232" s="1">
        <v>0</v>
      </c>
      <c r="V5232" s="1" t="str">
        <f t="shared" si="1001"/>
        <v>里程去程</v>
      </c>
      <c r="W5232" s="1" t="str">
        <f>"003B"</f>
        <v>003B</v>
      </c>
      <c r="X5232" s="1" t="s">
        <v>109</v>
      </c>
    </row>
    <row r="5233" spans="1:24" x14ac:dyDescent="0.3">
      <c r="A5233" s="1" t="str">
        <f t="shared" si="999"/>
        <v>59828</v>
      </c>
      <c r="B5233" s="1" t="s">
        <v>23</v>
      </c>
      <c r="C5233" s="1" t="s">
        <v>24</v>
      </c>
      <c r="D5233" s="1" t="str">
        <f t="shared" si="1000"/>
        <v>9803</v>
      </c>
      <c r="E5233" s="1" t="s">
        <v>32</v>
      </c>
      <c r="F5233" s="1" t="str">
        <f>"F2132015D428040080CEDA1449914018"</f>
        <v>F2132015D428040080CEDA1449914018</v>
      </c>
      <c r="G5233" s="1" t="s">
        <v>58</v>
      </c>
      <c r="H5233" s="1" t="str">
        <f t="shared" si="1002"/>
        <v>20220924</v>
      </c>
      <c r="I5233" s="1" t="str">
        <f>"094951"</f>
        <v>094951</v>
      </c>
      <c r="J5233" s="1" t="s">
        <v>28</v>
      </c>
      <c r="K5233" s="1" t="s">
        <v>28</v>
      </c>
      <c r="L5233" s="1" t="str">
        <f t="shared" si="1003"/>
        <v>20220924</v>
      </c>
      <c r="M5233" s="1" t="str">
        <f>"100806"</f>
        <v>100806</v>
      </c>
      <c r="N5233" s="1" t="s">
        <v>34</v>
      </c>
      <c r="O5233" s="1" t="s">
        <v>34</v>
      </c>
      <c r="P5233" s="1" t="s">
        <v>55</v>
      </c>
      <c r="Q5233" s="1">
        <v>25</v>
      </c>
      <c r="R5233" s="1">
        <v>25</v>
      </c>
      <c r="S5233" s="1">
        <v>0</v>
      </c>
      <c r="T5233" s="1">
        <v>0</v>
      </c>
      <c r="U5233" s="1">
        <v>0</v>
      </c>
      <c r="V5233" s="1" t="str">
        <f t="shared" si="1001"/>
        <v>里程去程</v>
      </c>
      <c r="W5233" s="1" t="str">
        <f>"0020"</f>
        <v>0020</v>
      </c>
      <c r="X5233" s="1" t="s">
        <v>29</v>
      </c>
    </row>
    <row r="5234" spans="1:24" x14ac:dyDescent="0.3">
      <c r="A5234" s="1" t="str">
        <f t="shared" si="999"/>
        <v>59828</v>
      </c>
      <c r="B5234" s="1" t="s">
        <v>23</v>
      </c>
      <c r="C5234" s="1" t="s">
        <v>24</v>
      </c>
      <c r="D5234" s="1" t="str">
        <f t="shared" si="1000"/>
        <v>9803</v>
      </c>
      <c r="E5234" s="1" t="s">
        <v>32</v>
      </c>
      <c r="F5234" s="1" t="str">
        <f>"832247861"</f>
        <v>832247861</v>
      </c>
      <c r="G5234" s="1" t="s">
        <v>33</v>
      </c>
      <c r="H5234" s="1" t="str">
        <f t="shared" si="1002"/>
        <v>20220924</v>
      </c>
      <c r="I5234" s="1" t="str">
        <f>"094954"</f>
        <v>094954</v>
      </c>
      <c r="J5234" s="1" t="s">
        <v>28</v>
      </c>
      <c r="K5234" s="1" t="s">
        <v>28</v>
      </c>
      <c r="L5234" s="1" t="str">
        <f t="shared" si="1003"/>
        <v>20220924</v>
      </c>
      <c r="M5234" s="1" t="str">
        <f>"100803"</f>
        <v>100803</v>
      </c>
      <c r="N5234" s="1" t="s">
        <v>34</v>
      </c>
      <c r="O5234" s="1" t="s">
        <v>34</v>
      </c>
      <c r="P5234" s="1" t="s">
        <v>55</v>
      </c>
      <c r="Q5234" s="1">
        <v>25</v>
      </c>
      <c r="R5234" s="1">
        <v>25</v>
      </c>
      <c r="S5234" s="1">
        <v>0</v>
      </c>
      <c r="T5234" s="1">
        <v>0</v>
      </c>
      <c r="U5234" s="1">
        <v>0</v>
      </c>
      <c r="V5234" s="1" t="str">
        <f t="shared" si="1001"/>
        <v>里程去程</v>
      </c>
      <c r="W5234" s="1" t="str">
        <f>"0320"</f>
        <v>0320</v>
      </c>
      <c r="X5234" s="1" t="s">
        <v>35</v>
      </c>
    </row>
    <row r="5235" spans="1:24" x14ac:dyDescent="0.3">
      <c r="A5235" s="1" t="str">
        <f t="shared" si="999"/>
        <v>59828</v>
      </c>
      <c r="B5235" s="1" t="s">
        <v>23</v>
      </c>
      <c r="C5235" s="1" t="s">
        <v>24</v>
      </c>
      <c r="D5235" s="1" t="str">
        <f t="shared" si="1000"/>
        <v>9803</v>
      </c>
      <c r="E5235" s="1" t="s">
        <v>32</v>
      </c>
      <c r="F5235" s="1" t="str">
        <f>"588130049"</f>
        <v>588130049</v>
      </c>
      <c r="G5235" s="1" t="s">
        <v>33</v>
      </c>
      <c r="H5235" s="1" t="str">
        <f t="shared" si="1002"/>
        <v>20220924</v>
      </c>
      <c r="I5235" s="1" t="str">
        <f>"105523"</f>
        <v>105523</v>
      </c>
      <c r="J5235" s="1" t="s">
        <v>46</v>
      </c>
      <c r="K5235" s="1" t="s">
        <v>28</v>
      </c>
      <c r="L5235" s="1" t="str">
        <f t="shared" si="1003"/>
        <v>20220924</v>
      </c>
      <c r="M5235" s="1" t="str">
        <f>"110850"</f>
        <v>110850</v>
      </c>
      <c r="N5235" s="1" t="s">
        <v>28</v>
      </c>
      <c r="O5235" s="1" t="s">
        <v>28</v>
      </c>
      <c r="P5235" s="1" t="s">
        <v>55</v>
      </c>
      <c r="Q5235" s="1">
        <v>25</v>
      </c>
      <c r="R5235" s="1">
        <v>25</v>
      </c>
      <c r="S5235" s="1">
        <v>0</v>
      </c>
      <c r="T5235" s="1">
        <v>0</v>
      </c>
      <c r="U5235" s="1">
        <v>0</v>
      </c>
      <c r="V5235" s="1" t="str">
        <f>"里程返程"</f>
        <v>里程返程</v>
      </c>
      <c r="W5235" s="1" t="str">
        <f>"2020"</f>
        <v>2020</v>
      </c>
      <c r="X5235" s="1" t="s">
        <v>35</v>
      </c>
    </row>
    <row r="5236" spans="1:24" x14ac:dyDescent="0.3">
      <c r="A5236" s="1" t="str">
        <f t="shared" si="999"/>
        <v>59828</v>
      </c>
      <c r="B5236" s="1" t="s">
        <v>23</v>
      </c>
      <c r="C5236" s="1" t="s">
        <v>24</v>
      </c>
      <c r="D5236" s="1" t="str">
        <f t="shared" si="1000"/>
        <v>9803</v>
      </c>
      <c r="E5236" s="1" t="s">
        <v>32</v>
      </c>
      <c r="F5236" s="1" t="str">
        <f>"566252193"</f>
        <v>566252193</v>
      </c>
      <c r="G5236" s="1" t="s">
        <v>33</v>
      </c>
      <c r="H5236" s="1" t="str">
        <f t="shared" si="1002"/>
        <v>20220924</v>
      </c>
      <c r="I5236" s="1" t="str">
        <f>"105556"</f>
        <v>105556</v>
      </c>
      <c r="J5236" s="1" t="s">
        <v>46</v>
      </c>
      <c r="K5236" s="1" t="s">
        <v>28</v>
      </c>
      <c r="L5236" s="1" t="str">
        <f t="shared" si="1003"/>
        <v>20220924</v>
      </c>
      <c r="M5236" s="1" t="str">
        <f>"110852"</f>
        <v>110852</v>
      </c>
      <c r="N5236" s="1" t="s">
        <v>28</v>
      </c>
      <c r="O5236" s="1" t="s">
        <v>28</v>
      </c>
      <c r="P5236" s="1" t="s">
        <v>55</v>
      </c>
      <c r="Q5236" s="1">
        <v>25</v>
      </c>
      <c r="R5236" s="1">
        <v>25</v>
      </c>
      <c r="S5236" s="1">
        <v>0</v>
      </c>
      <c r="T5236" s="1">
        <v>0</v>
      </c>
      <c r="U5236" s="1">
        <v>0</v>
      </c>
      <c r="V5236" s="1" t="str">
        <f>"里程返程"</f>
        <v>里程返程</v>
      </c>
      <c r="W5236" s="1" t="str">
        <f>"2020"</f>
        <v>2020</v>
      </c>
      <c r="X5236" s="1" t="s">
        <v>35</v>
      </c>
    </row>
    <row r="5237" spans="1:24" x14ac:dyDescent="0.3">
      <c r="A5237" s="1" t="str">
        <f t="shared" si="999"/>
        <v>59828</v>
      </c>
      <c r="B5237" s="1" t="s">
        <v>23</v>
      </c>
      <c r="C5237" s="1" t="s">
        <v>24</v>
      </c>
      <c r="D5237" s="1" t="str">
        <f>"9805"</f>
        <v>9805</v>
      </c>
      <c r="E5237" s="1" t="s">
        <v>57</v>
      </c>
      <c r="F5237" s="1" t="str">
        <f>"7227671624880400C814002000000019"</f>
        <v>7227671624880400C814002000000019</v>
      </c>
      <c r="G5237" s="1" t="s">
        <v>82</v>
      </c>
      <c r="H5237" s="1" t="str">
        <f t="shared" si="1002"/>
        <v>20220924</v>
      </c>
      <c r="I5237" s="1" t="str">
        <f>"121031"</f>
        <v>121031</v>
      </c>
      <c r="J5237" s="1" t="s">
        <v>28</v>
      </c>
      <c r="K5237" s="1" t="s">
        <v>28</v>
      </c>
      <c r="L5237" s="1" t="str">
        <f t="shared" si="1003"/>
        <v>20220924</v>
      </c>
      <c r="M5237" s="1" t="str">
        <f>"122149"</f>
        <v>122149</v>
      </c>
      <c r="N5237" s="1" t="s">
        <v>46</v>
      </c>
      <c r="O5237" s="1" t="s">
        <v>28</v>
      </c>
      <c r="P5237" s="1" t="s">
        <v>55</v>
      </c>
      <c r="Q5237" s="1">
        <v>13</v>
      </c>
      <c r="R5237" s="1">
        <v>13</v>
      </c>
      <c r="S5237" s="1">
        <v>0</v>
      </c>
      <c r="T5237" s="1">
        <v>0</v>
      </c>
      <c r="U5237" s="1">
        <v>0</v>
      </c>
      <c r="V5237" s="1" t="str">
        <f>"里程去程"</f>
        <v>里程去程</v>
      </c>
      <c r="W5237" s="1" t="str">
        <f>"0020"</f>
        <v>0020</v>
      </c>
      <c r="X5237" s="1" t="s">
        <v>29</v>
      </c>
    </row>
    <row r="5238" spans="1:24" x14ac:dyDescent="0.3">
      <c r="A5238" s="1" t="str">
        <f t="shared" si="999"/>
        <v>59828</v>
      </c>
      <c r="B5238" s="1" t="s">
        <v>23</v>
      </c>
      <c r="C5238" s="1" t="s">
        <v>24</v>
      </c>
      <c r="D5238" s="1" t="str">
        <f>"9805"</f>
        <v>9805</v>
      </c>
      <c r="E5238" s="1" t="s">
        <v>57</v>
      </c>
      <c r="F5238" s="1" t="str">
        <f>"0202511647880400C814002000000019"</f>
        <v>0202511647880400C814002000000019</v>
      </c>
      <c r="G5238" s="1" t="s">
        <v>66</v>
      </c>
      <c r="H5238" s="1" t="str">
        <f t="shared" si="1002"/>
        <v>20220924</v>
      </c>
      <c r="I5238" s="1" t="str">
        <f>"121035"</f>
        <v>121035</v>
      </c>
      <c r="J5238" s="1" t="s">
        <v>28</v>
      </c>
      <c r="K5238" s="1" t="s">
        <v>28</v>
      </c>
      <c r="L5238" s="1" t="str">
        <f t="shared" si="1003"/>
        <v>20220924</v>
      </c>
      <c r="M5238" s="1" t="str">
        <f>"122151"</f>
        <v>122151</v>
      </c>
      <c r="N5238" s="1" t="s">
        <v>46</v>
      </c>
      <c r="O5238" s="1" t="s">
        <v>28</v>
      </c>
      <c r="P5238" s="1" t="s">
        <v>55</v>
      </c>
      <c r="Q5238" s="1">
        <v>13</v>
      </c>
      <c r="R5238" s="1">
        <v>13</v>
      </c>
      <c r="S5238" s="1">
        <v>0</v>
      </c>
      <c r="T5238" s="1">
        <v>0</v>
      </c>
      <c r="U5238" s="1">
        <v>0</v>
      </c>
      <c r="V5238" s="1" t="str">
        <f>"里程去程"</f>
        <v>里程去程</v>
      </c>
      <c r="W5238" s="1" t="str">
        <f>"0020"</f>
        <v>0020</v>
      </c>
      <c r="X5238" s="1" t="s">
        <v>29</v>
      </c>
    </row>
    <row r="5239" spans="1:24" x14ac:dyDescent="0.3">
      <c r="A5239" s="1" t="str">
        <f t="shared" si="999"/>
        <v>59828</v>
      </c>
      <c r="B5239" s="1" t="s">
        <v>23</v>
      </c>
      <c r="C5239" s="1" t="s">
        <v>24</v>
      </c>
      <c r="D5239" s="1" t="str">
        <f>"9805"</f>
        <v>9805</v>
      </c>
      <c r="E5239" s="1" t="s">
        <v>57</v>
      </c>
      <c r="F5239" s="1" t="str">
        <f>"964606673"</f>
        <v>964606673</v>
      </c>
      <c r="G5239" s="1" t="s">
        <v>33</v>
      </c>
      <c r="H5239" s="1" t="str">
        <f t="shared" si="1002"/>
        <v>20220924</v>
      </c>
      <c r="I5239" s="1" t="str">
        <f>"130808"</f>
        <v>130808</v>
      </c>
      <c r="J5239" s="1" t="s">
        <v>52</v>
      </c>
      <c r="K5239" s="1" t="s">
        <v>52</v>
      </c>
      <c r="L5239" s="1" t="str">
        <f t="shared" si="1003"/>
        <v>20220924</v>
      </c>
      <c r="M5239" s="1" t="str">
        <f>"132812"</f>
        <v>132812</v>
      </c>
      <c r="N5239" s="1" t="s">
        <v>28</v>
      </c>
      <c r="O5239" s="1" t="s">
        <v>28</v>
      </c>
      <c r="P5239" s="1" t="s">
        <v>55</v>
      </c>
      <c r="Q5239" s="1">
        <v>25</v>
      </c>
      <c r="R5239" s="1">
        <v>0</v>
      </c>
      <c r="S5239" s="1">
        <v>25</v>
      </c>
      <c r="T5239" s="1">
        <v>0</v>
      </c>
      <c r="U5239" s="1">
        <v>0</v>
      </c>
      <c r="V5239" s="1" t="str">
        <f>"里程返程"</f>
        <v>里程返程</v>
      </c>
      <c r="W5239" s="1" t="str">
        <f>"2020"</f>
        <v>2020</v>
      </c>
      <c r="X5239" s="1" t="s">
        <v>35</v>
      </c>
    </row>
    <row r="5240" spans="1:24" x14ac:dyDescent="0.3">
      <c r="A5240" s="1" t="str">
        <f t="shared" si="999"/>
        <v>59828</v>
      </c>
      <c r="B5240" s="1" t="s">
        <v>23</v>
      </c>
      <c r="C5240" s="1" t="s">
        <v>24</v>
      </c>
      <c r="D5240" s="1" t="str">
        <f>"9805"</f>
        <v>9805</v>
      </c>
      <c r="E5240" s="1" t="s">
        <v>57</v>
      </c>
      <c r="F5240" s="1" t="str">
        <f>"422984049"</f>
        <v>422984049</v>
      </c>
      <c r="G5240" s="1" t="s">
        <v>33</v>
      </c>
      <c r="H5240" s="1" t="str">
        <f t="shared" si="1002"/>
        <v>20220924</v>
      </c>
      <c r="I5240" s="1" t="str">
        <f>"130810"</f>
        <v>130810</v>
      </c>
      <c r="J5240" s="1" t="s">
        <v>52</v>
      </c>
      <c r="K5240" s="1" t="s">
        <v>52</v>
      </c>
      <c r="L5240" s="1" t="str">
        <f t="shared" si="1003"/>
        <v>20220924</v>
      </c>
      <c r="M5240" s="1" t="str">
        <f>"132810"</f>
        <v>132810</v>
      </c>
      <c r="N5240" s="1" t="s">
        <v>28</v>
      </c>
      <c r="O5240" s="1" t="s">
        <v>28</v>
      </c>
      <c r="P5240" s="1" t="s">
        <v>55</v>
      </c>
      <c r="Q5240" s="1">
        <v>25</v>
      </c>
      <c r="R5240" s="1">
        <v>0</v>
      </c>
      <c r="S5240" s="1">
        <v>25</v>
      </c>
      <c r="T5240" s="1">
        <v>0</v>
      </c>
      <c r="U5240" s="1">
        <v>0</v>
      </c>
      <c r="V5240" s="1" t="str">
        <f>"里程返程"</f>
        <v>里程返程</v>
      </c>
      <c r="W5240" s="1" t="str">
        <f>"2020"</f>
        <v>2020</v>
      </c>
      <c r="X5240" s="1" t="s">
        <v>35</v>
      </c>
    </row>
    <row r="5241" spans="1:24" x14ac:dyDescent="0.3">
      <c r="A5241" s="1" t="str">
        <f t="shared" si="999"/>
        <v>59828</v>
      </c>
      <c r="B5241" s="1" t="s">
        <v>23</v>
      </c>
      <c r="C5241" s="1" t="s">
        <v>24</v>
      </c>
      <c r="D5241" s="1" t="str">
        <f>"9805"</f>
        <v>9805</v>
      </c>
      <c r="E5241" s="1" t="s">
        <v>57</v>
      </c>
      <c r="F5241" s="1" t="str">
        <f>"1026346373"</f>
        <v>1026346373</v>
      </c>
      <c r="G5241" s="1" t="s">
        <v>38</v>
      </c>
      <c r="H5241" s="1" t="str">
        <f t="shared" si="1002"/>
        <v>20220924</v>
      </c>
      <c r="I5241" s="1" t="str">
        <f>"130819"</f>
        <v>130819</v>
      </c>
      <c r="J5241" s="1" t="s">
        <v>52</v>
      </c>
      <c r="K5241" s="1" t="s">
        <v>52</v>
      </c>
      <c r="L5241" s="1" t="str">
        <f t="shared" si="1003"/>
        <v>20220924</v>
      </c>
      <c r="M5241" s="1" t="str">
        <f>"132757"</f>
        <v>132757</v>
      </c>
      <c r="N5241" s="1" t="s">
        <v>95</v>
      </c>
      <c r="O5241" s="1" t="s">
        <v>28</v>
      </c>
      <c r="P5241" s="1" t="s">
        <v>55</v>
      </c>
      <c r="Q5241" s="1">
        <v>25</v>
      </c>
      <c r="R5241" s="1">
        <v>25</v>
      </c>
      <c r="S5241" s="1">
        <v>0</v>
      </c>
      <c r="T5241" s="1">
        <v>0</v>
      </c>
      <c r="U5241" s="1">
        <v>0</v>
      </c>
      <c r="V5241" s="1" t="str">
        <f>"里程返程"</f>
        <v>里程返程</v>
      </c>
      <c r="W5241" s="1" t="str">
        <f>"0120"</f>
        <v>0120</v>
      </c>
      <c r="X5241" s="1" t="s">
        <v>35</v>
      </c>
    </row>
    <row r="5242" spans="1:24" x14ac:dyDescent="0.3">
      <c r="A5242" s="1" t="str">
        <f t="shared" si="999"/>
        <v>59828</v>
      </c>
      <c r="B5242" s="1" t="s">
        <v>23</v>
      </c>
      <c r="C5242" s="1" t="s">
        <v>24</v>
      </c>
      <c r="D5242" s="1" t="str">
        <f>"9803"</f>
        <v>9803</v>
      </c>
      <c r="E5242" s="1" t="s">
        <v>32</v>
      </c>
      <c r="F5242" s="1" t="str">
        <f>"1075137473"</f>
        <v>1075137473</v>
      </c>
      <c r="G5242" s="1" t="s">
        <v>33</v>
      </c>
      <c r="H5242" s="1" t="str">
        <f t="shared" si="1002"/>
        <v>20220924</v>
      </c>
      <c r="I5242" s="1" t="str">
        <f>"140705"</f>
        <v>140705</v>
      </c>
      <c r="J5242" s="1" t="s">
        <v>87</v>
      </c>
      <c r="K5242" s="1" t="s">
        <v>28</v>
      </c>
      <c r="L5242" s="1" t="str">
        <f t="shared" si="1003"/>
        <v>20220924</v>
      </c>
      <c r="M5242" s="1" t="str">
        <f>"142909"</f>
        <v>142909</v>
      </c>
      <c r="N5242" s="1" t="s">
        <v>28</v>
      </c>
      <c r="O5242" s="1" t="s">
        <v>28</v>
      </c>
      <c r="P5242" s="1" t="s">
        <v>55</v>
      </c>
      <c r="Q5242" s="1">
        <v>25</v>
      </c>
      <c r="R5242" s="1">
        <v>25</v>
      </c>
      <c r="S5242" s="1">
        <v>0</v>
      </c>
      <c r="T5242" s="1">
        <v>0</v>
      </c>
      <c r="U5242" s="1">
        <v>0</v>
      </c>
      <c r="V5242" s="1" t="str">
        <f>"里程返程"</f>
        <v>里程返程</v>
      </c>
      <c r="W5242" s="1" t="str">
        <f>"0320"</f>
        <v>0320</v>
      </c>
      <c r="X5242" s="1" t="s">
        <v>35</v>
      </c>
    </row>
    <row r="5243" spans="1:24" x14ac:dyDescent="0.3">
      <c r="A5243" s="1" t="str">
        <f t="shared" si="999"/>
        <v>59828</v>
      </c>
      <c r="B5243" s="1" t="s">
        <v>23</v>
      </c>
      <c r="C5243" s="1" t="s">
        <v>24</v>
      </c>
      <c r="D5243" s="1" t="str">
        <f t="shared" ref="D5243:D5248" si="1004">"9805"</f>
        <v>9805</v>
      </c>
      <c r="E5243" s="1" t="s">
        <v>57</v>
      </c>
      <c r="F5243" s="1" t="str">
        <f>"1272F30E9D880400C820002000000018"</f>
        <v>1272F30E9D880400C820002000000018</v>
      </c>
      <c r="G5243" s="1" t="s">
        <v>59</v>
      </c>
      <c r="H5243" s="1" t="str">
        <f t="shared" si="1002"/>
        <v>20220924</v>
      </c>
      <c r="I5243" s="1" t="str">
        <f>"151629"</f>
        <v>151629</v>
      </c>
      <c r="J5243" s="1" t="s">
        <v>28</v>
      </c>
      <c r="K5243" s="1" t="s">
        <v>28</v>
      </c>
      <c r="L5243" s="1" t="str">
        <f t="shared" si="1003"/>
        <v>20220924</v>
      </c>
      <c r="M5243" s="1" t="str">
        <f>"153206"</f>
        <v>153206</v>
      </c>
      <c r="N5243" s="1" t="s">
        <v>61</v>
      </c>
      <c r="O5243" s="1" t="s">
        <v>28</v>
      </c>
      <c r="P5243" s="1" t="s">
        <v>55</v>
      </c>
      <c r="Q5243" s="1">
        <v>25</v>
      </c>
      <c r="R5243" s="1">
        <v>0</v>
      </c>
      <c r="S5243" s="1">
        <v>25</v>
      </c>
      <c r="T5243" s="1">
        <v>0</v>
      </c>
      <c r="U5243" s="1">
        <v>0</v>
      </c>
      <c r="V5243" s="1" t="str">
        <f t="shared" ref="V5243:V5248" si="1005">"里程去程"</f>
        <v>里程去程</v>
      </c>
      <c r="W5243" s="1" t="str">
        <f>"0620"</f>
        <v>0620</v>
      </c>
      <c r="X5243" s="1" t="s">
        <v>29</v>
      </c>
    </row>
    <row r="5244" spans="1:24" x14ac:dyDescent="0.3">
      <c r="A5244" s="1" t="str">
        <f t="shared" si="999"/>
        <v>59828</v>
      </c>
      <c r="B5244" s="1" t="s">
        <v>23</v>
      </c>
      <c r="C5244" s="1" t="s">
        <v>24</v>
      </c>
      <c r="D5244" s="1" t="str">
        <f t="shared" si="1004"/>
        <v>9805</v>
      </c>
      <c r="E5244" s="1" t="s">
        <v>57</v>
      </c>
      <c r="F5244" s="1" t="str">
        <f>"800537269"</f>
        <v>800537269</v>
      </c>
      <c r="G5244" s="1" t="s">
        <v>26</v>
      </c>
      <c r="H5244" s="1" t="str">
        <f t="shared" si="1002"/>
        <v>20220924</v>
      </c>
      <c r="I5244" s="1" t="str">
        <f>"151632"</f>
        <v>151632</v>
      </c>
      <c r="J5244" s="1" t="s">
        <v>28</v>
      </c>
      <c r="K5244" s="1" t="s">
        <v>28</v>
      </c>
      <c r="L5244" s="1" t="str">
        <f t="shared" si="1003"/>
        <v>20220924</v>
      </c>
      <c r="M5244" s="1" t="str">
        <f>"153334"</f>
        <v>153334</v>
      </c>
      <c r="N5244" s="1" t="s">
        <v>62</v>
      </c>
      <c r="O5244" s="1" t="s">
        <v>28</v>
      </c>
      <c r="P5244" s="1" t="s">
        <v>55</v>
      </c>
      <c r="Q5244" s="1">
        <v>13</v>
      </c>
      <c r="R5244" s="1">
        <v>13</v>
      </c>
      <c r="S5244" s="1">
        <v>0</v>
      </c>
      <c r="T5244" s="1">
        <v>0</v>
      </c>
      <c r="U5244" s="1">
        <v>0</v>
      </c>
      <c r="V5244" s="1" t="str">
        <f t="shared" si="1005"/>
        <v>里程去程</v>
      </c>
      <c r="W5244" s="1" t="str">
        <f>"0120"</f>
        <v>0120</v>
      </c>
      <c r="X5244" s="1" t="s">
        <v>35</v>
      </c>
    </row>
    <row r="5245" spans="1:24" x14ac:dyDescent="0.3">
      <c r="A5245" s="1" t="str">
        <f t="shared" si="999"/>
        <v>59828</v>
      </c>
      <c r="B5245" s="1" t="s">
        <v>23</v>
      </c>
      <c r="C5245" s="1" t="s">
        <v>24</v>
      </c>
      <c r="D5245" s="1" t="str">
        <f t="shared" si="1004"/>
        <v>9805</v>
      </c>
      <c r="E5245" s="1" t="s">
        <v>57</v>
      </c>
      <c r="F5245" s="1" t="str">
        <f>"1210609461"</f>
        <v>1210609461</v>
      </c>
      <c r="G5245" s="1" t="s">
        <v>26</v>
      </c>
      <c r="H5245" s="1" t="str">
        <f t="shared" si="1002"/>
        <v>20220924</v>
      </c>
      <c r="I5245" s="1" t="str">
        <f>"151635"</f>
        <v>151635</v>
      </c>
      <c r="J5245" s="1" t="s">
        <v>28</v>
      </c>
      <c r="K5245" s="1" t="s">
        <v>28</v>
      </c>
      <c r="L5245" s="1" t="str">
        <f t="shared" si="1003"/>
        <v>20220924</v>
      </c>
      <c r="M5245" s="1" t="str">
        <f>"153331"</f>
        <v>153331</v>
      </c>
      <c r="N5245" s="1" t="s">
        <v>62</v>
      </c>
      <c r="O5245" s="1" t="s">
        <v>28</v>
      </c>
      <c r="P5245" s="1" t="s">
        <v>55</v>
      </c>
      <c r="Q5245" s="1">
        <v>13</v>
      </c>
      <c r="R5245" s="1">
        <v>13</v>
      </c>
      <c r="S5245" s="1">
        <v>0</v>
      </c>
      <c r="T5245" s="1">
        <v>0</v>
      </c>
      <c r="U5245" s="1">
        <v>0</v>
      </c>
      <c r="V5245" s="1" t="str">
        <f t="shared" si="1005"/>
        <v>里程去程</v>
      </c>
      <c r="W5245" s="1" t="str">
        <f>"0120"</f>
        <v>0120</v>
      </c>
      <c r="X5245" s="1" t="s">
        <v>35</v>
      </c>
    </row>
    <row r="5246" spans="1:24" x14ac:dyDescent="0.3">
      <c r="A5246" s="1" t="str">
        <f t="shared" si="999"/>
        <v>59828</v>
      </c>
      <c r="B5246" s="1" t="s">
        <v>23</v>
      </c>
      <c r="C5246" s="1" t="s">
        <v>24</v>
      </c>
      <c r="D5246" s="1" t="str">
        <f t="shared" si="1004"/>
        <v>9805</v>
      </c>
      <c r="E5246" s="1" t="s">
        <v>57</v>
      </c>
      <c r="F5246" s="1" t="str">
        <f>"1075209217"</f>
        <v>1075209217</v>
      </c>
      <c r="G5246" s="1" t="s">
        <v>33</v>
      </c>
      <c r="H5246" s="1" t="str">
        <f t="shared" si="1002"/>
        <v>20220924</v>
      </c>
      <c r="I5246" s="1" t="str">
        <f>"151721"</f>
        <v>151721</v>
      </c>
      <c r="J5246" s="1" t="s">
        <v>28</v>
      </c>
      <c r="K5246" s="1" t="s">
        <v>28</v>
      </c>
      <c r="L5246" s="1" t="str">
        <f t="shared" si="1003"/>
        <v>20220924</v>
      </c>
      <c r="M5246" s="1" t="str">
        <f>"153614"</f>
        <v>153614</v>
      </c>
      <c r="N5246" s="1" t="s">
        <v>52</v>
      </c>
      <c r="O5246" s="1" t="s">
        <v>52</v>
      </c>
      <c r="P5246" s="1" t="s">
        <v>55</v>
      </c>
      <c r="Q5246" s="1">
        <v>25</v>
      </c>
      <c r="R5246" s="1">
        <v>25</v>
      </c>
      <c r="S5246" s="1">
        <v>0</v>
      </c>
      <c r="T5246" s="1">
        <v>0</v>
      </c>
      <c r="U5246" s="1">
        <v>0</v>
      </c>
      <c r="V5246" s="1" t="str">
        <f t="shared" si="1005"/>
        <v>里程去程</v>
      </c>
      <c r="W5246" s="1" t="str">
        <f>"2320"</f>
        <v>2320</v>
      </c>
      <c r="X5246" s="1" t="s">
        <v>35</v>
      </c>
    </row>
    <row r="5247" spans="1:24" x14ac:dyDescent="0.3">
      <c r="A5247" s="1" t="str">
        <f t="shared" si="999"/>
        <v>59828</v>
      </c>
      <c r="B5247" s="1" t="s">
        <v>23</v>
      </c>
      <c r="C5247" s="1" t="s">
        <v>24</v>
      </c>
      <c r="D5247" s="1" t="str">
        <f t="shared" si="1004"/>
        <v>9805</v>
      </c>
      <c r="E5247" s="1" t="s">
        <v>57</v>
      </c>
      <c r="F5247" s="1" t="str">
        <f>"37808869"</f>
        <v>37808869</v>
      </c>
      <c r="G5247" s="1" t="s">
        <v>33</v>
      </c>
      <c r="H5247" s="1" t="str">
        <f t="shared" si="1002"/>
        <v>20220924</v>
      </c>
      <c r="I5247" s="1" t="str">
        <f>"151729"</f>
        <v>151729</v>
      </c>
      <c r="J5247" s="1" t="s">
        <v>28</v>
      </c>
      <c r="K5247" s="1" t="s">
        <v>28</v>
      </c>
      <c r="L5247" s="1" t="str">
        <f t="shared" si="1003"/>
        <v>20220924</v>
      </c>
      <c r="M5247" s="1" t="str">
        <f>"153620"</f>
        <v>153620</v>
      </c>
      <c r="N5247" s="1" t="s">
        <v>52</v>
      </c>
      <c r="O5247" s="1" t="s">
        <v>52</v>
      </c>
      <c r="P5247" s="1" t="s">
        <v>55</v>
      </c>
      <c r="Q5247" s="1">
        <v>25</v>
      </c>
      <c r="R5247" s="1">
        <v>25</v>
      </c>
      <c r="S5247" s="1">
        <v>0</v>
      </c>
      <c r="T5247" s="1">
        <v>0</v>
      </c>
      <c r="U5247" s="1">
        <v>0</v>
      </c>
      <c r="V5247" s="1" t="str">
        <f t="shared" si="1005"/>
        <v>里程去程</v>
      </c>
      <c r="W5247" s="1" t="str">
        <f>"0120"</f>
        <v>0120</v>
      </c>
      <c r="X5247" s="1" t="s">
        <v>35</v>
      </c>
    </row>
    <row r="5248" spans="1:24" x14ac:dyDescent="0.3">
      <c r="A5248" s="1" t="str">
        <f t="shared" si="999"/>
        <v>59828</v>
      </c>
      <c r="B5248" s="1" t="s">
        <v>23</v>
      </c>
      <c r="C5248" s="1" t="s">
        <v>24</v>
      </c>
      <c r="D5248" s="1" t="str">
        <f t="shared" si="1004"/>
        <v>9805</v>
      </c>
      <c r="E5248" s="1" t="s">
        <v>57</v>
      </c>
      <c r="F5248" s="1" t="str">
        <f>"3219875340"</f>
        <v>3219875340</v>
      </c>
      <c r="G5248" s="1" t="s">
        <v>33</v>
      </c>
      <c r="H5248" s="1" t="str">
        <f t="shared" si="1002"/>
        <v>20220924</v>
      </c>
      <c r="I5248" s="1" t="str">
        <f>"151810"</f>
        <v>151810</v>
      </c>
      <c r="J5248" s="1" t="s">
        <v>28</v>
      </c>
      <c r="K5248" s="1" t="s">
        <v>28</v>
      </c>
      <c r="L5248" s="1" t="str">
        <f t="shared" si="1003"/>
        <v>20220924</v>
      </c>
      <c r="M5248" s="1" t="str">
        <f>"153338"</f>
        <v>153338</v>
      </c>
      <c r="N5248" s="1" t="s">
        <v>62</v>
      </c>
      <c r="O5248" s="1" t="s">
        <v>28</v>
      </c>
      <c r="P5248" s="1" t="s">
        <v>55</v>
      </c>
      <c r="Q5248" s="1">
        <v>25</v>
      </c>
      <c r="R5248" s="1">
        <v>25</v>
      </c>
      <c r="S5248" s="1">
        <v>0</v>
      </c>
      <c r="T5248" s="1">
        <v>0</v>
      </c>
      <c r="U5248" s="1">
        <v>0</v>
      </c>
      <c r="V5248" s="1" t="str">
        <f t="shared" si="1005"/>
        <v>里程去程</v>
      </c>
      <c r="W5248" s="1" t="str">
        <f>"0120"</f>
        <v>0120</v>
      </c>
      <c r="X5248" s="1" t="s">
        <v>35</v>
      </c>
    </row>
    <row r="5249" spans="1:24" x14ac:dyDescent="0.3">
      <c r="A5249" s="1" t="str">
        <f t="shared" si="999"/>
        <v>59828</v>
      </c>
      <c r="B5249" s="1" t="s">
        <v>23</v>
      </c>
      <c r="C5249" s="1" t="s">
        <v>24</v>
      </c>
      <c r="D5249" s="1" t="str">
        <f t="shared" ref="D5249:D5254" si="1006">"9803"</f>
        <v>9803</v>
      </c>
      <c r="E5249" s="1" t="s">
        <v>32</v>
      </c>
      <c r="F5249" s="1" t="str">
        <f>"3762921799"</f>
        <v>3762921799</v>
      </c>
      <c r="G5249" s="1" t="s">
        <v>33</v>
      </c>
      <c r="H5249" s="1" t="str">
        <f t="shared" si="1002"/>
        <v>20220924</v>
      </c>
      <c r="I5249" s="1" t="str">
        <f>"180841"</f>
        <v>180841</v>
      </c>
      <c r="J5249" s="1" t="s">
        <v>34</v>
      </c>
      <c r="K5249" s="1" t="s">
        <v>34</v>
      </c>
      <c r="L5249" s="1" t="str">
        <f t="shared" si="1003"/>
        <v>20220924</v>
      </c>
      <c r="M5249" s="1" t="str">
        <f>"182520"</f>
        <v>182520</v>
      </c>
      <c r="N5249" s="1" t="s">
        <v>46</v>
      </c>
      <c r="O5249" s="1" t="s">
        <v>28</v>
      </c>
      <c r="P5249" s="1" t="s">
        <v>55</v>
      </c>
      <c r="Q5249" s="1">
        <v>25</v>
      </c>
      <c r="R5249" s="1">
        <v>25</v>
      </c>
      <c r="S5249" s="1">
        <v>0</v>
      </c>
      <c r="T5249" s="1">
        <v>0</v>
      </c>
      <c r="U5249" s="1">
        <v>0</v>
      </c>
      <c r="V5249" s="1" t="str">
        <f t="shared" ref="V5249:V5254" si="1007">"里程返程"</f>
        <v>里程返程</v>
      </c>
      <c r="W5249" s="1" t="str">
        <f>"2020"</f>
        <v>2020</v>
      </c>
      <c r="X5249" s="1" t="s">
        <v>35</v>
      </c>
    </row>
    <row r="5250" spans="1:24" x14ac:dyDescent="0.3">
      <c r="A5250" s="1" t="str">
        <f t="shared" si="999"/>
        <v>59828</v>
      </c>
      <c r="B5250" s="1" t="s">
        <v>23</v>
      </c>
      <c r="C5250" s="1" t="s">
        <v>24</v>
      </c>
      <c r="D5250" s="1" t="str">
        <f t="shared" si="1006"/>
        <v>9803</v>
      </c>
      <c r="E5250" s="1" t="s">
        <v>32</v>
      </c>
      <c r="F5250" s="1" t="str">
        <f>"6717161015186788"</f>
        <v>6717161015186788</v>
      </c>
      <c r="G5250" s="1" t="s">
        <v>33</v>
      </c>
      <c r="H5250" s="1" t="str">
        <f t="shared" si="1002"/>
        <v>20220924</v>
      </c>
      <c r="I5250" s="1" t="str">
        <f>"180847"</f>
        <v>180847</v>
      </c>
      <c r="J5250" s="1" t="s">
        <v>34</v>
      </c>
      <c r="K5250" s="1" t="s">
        <v>34</v>
      </c>
      <c r="L5250" s="1" t="str">
        <f t="shared" si="1003"/>
        <v>20220924</v>
      </c>
      <c r="M5250" s="1" t="str">
        <f>"183832"</f>
        <v>183832</v>
      </c>
      <c r="N5250" s="1" t="s">
        <v>28</v>
      </c>
      <c r="O5250" s="1" t="s">
        <v>28</v>
      </c>
      <c r="P5250" s="1" t="s">
        <v>55</v>
      </c>
      <c r="Q5250" s="1">
        <v>25</v>
      </c>
      <c r="R5250" s="1">
        <v>25</v>
      </c>
      <c r="S5250" s="1">
        <v>0</v>
      </c>
      <c r="T5250" s="1">
        <v>0</v>
      </c>
      <c r="U5250" s="1">
        <v>0</v>
      </c>
      <c r="V5250" s="1" t="str">
        <f t="shared" si="1007"/>
        <v>里程返程</v>
      </c>
      <c r="W5250" s="1" t="str">
        <f>"3B8B"</f>
        <v>3B8B</v>
      </c>
      <c r="X5250" s="1" t="s">
        <v>109</v>
      </c>
    </row>
    <row r="5251" spans="1:24" x14ac:dyDescent="0.3">
      <c r="A5251" s="1" t="str">
        <f t="shared" si="999"/>
        <v>59828</v>
      </c>
      <c r="B5251" s="1" t="s">
        <v>23</v>
      </c>
      <c r="C5251" s="1" t="s">
        <v>24</v>
      </c>
      <c r="D5251" s="1" t="str">
        <f t="shared" si="1006"/>
        <v>9803</v>
      </c>
      <c r="E5251" s="1" t="s">
        <v>32</v>
      </c>
      <c r="F5251" s="1" t="str">
        <f>"9114DD277F280400F700000000000000"</f>
        <v>9114DD277F280400F700000000000000</v>
      </c>
      <c r="G5251" s="1" t="s">
        <v>58</v>
      </c>
      <c r="H5251" s="1" t="str">
        <f t="shared" si="1002"/>
        <v>20220924</v>
      </c>
      <c r="I5251" s="1" t="str">
        <f>"180852"</f>
        <v>180852</v>
      </c>
      <c r="J5251" s="1" t="s">
        <v>34</v>
      </c>
      <c r="K5251" s="1" t="s">
        <v>34</v>
      </c>
      <c r="L5251" s="1" t="str">
        <f t="shared" si="1003"/>
        <v>20220924</v>
      </c>
      <c r="M5251" s="1" t="str">
        <f>"183826"</f>
        <v>183826</v>
      </c>
      <c r="N5251" s="1" t="s">
        <v>28</v>
      </c>
      <c r="O5251" s="1" t="s">
        <v>28</v>
      </c>
      <c r="P5251" s="1" t="s">
        <v>55</v>
      </c>
      <c r="Q5251" s="1">
        <v>25</v>
      </c>
      <c r="R5251" s="1">
        <v>25</v>
      </c>
      <c r="S5251" s="1">
        <v>0</v>
      </c>
      <c r="T5251" s="1">
        <v>0</v>
      </c>
      <c r="U5251" s="1">
        <v>0</v>
      </c>
      <c r="V5251" s="1" t="str">
        <f t="shared" si="1007"/>
        <v>里程返程</v>
      </c>
      <c r="W5251" s="1" t="str">
        <f>"0020"</f>
        <v>0020</v>
      </c>
      <c r="X5251" s="1" t="s">
        <v>29</v>
      </c>
    </row>
    <row r="5252" spans="1:24" x14ac:dyDescent="0.3">
      <c r="A5252" s="1" t="str">
        <f t="shared" si="999"/>
        <v>59828</v>
      </c>
      <c r="B5252" s="1" t="s">
        <v>23</v>
      </c>
      <c r="C5252" s="1" t="s">
        <v>24</v>
      </c>
      <c r="D5252" s="1" t="str">
        <f t="shared" si="1006"/>
        <v>9803</v>
      </c>
      <c r="E5252" s="1" t="s">
        <v>32</v>
      </c>
      <c r="F5252" s="1" t="str">
        <f>"2512222626"</f>
        <v>2512222626</v>
      </c>
      <c r="G5252" s="1" t="s">
        <v>33</v>
      </c>
      <c r="H5252" s="1" t="str">
        <f t="shared" si="1002"/>
        <v>20220924</v>
      </c>
      <c r="I5252" s="1" t="str">
        <f>"180859"</f>
        <v>180859</v>
      </c>
      <c r="J5252" s="1" t="s">
        <v>34</v>
      </c>
      <c r="K5252" s="1" t="s">
        <v>34</v>
      </c>
      <c r="L5252" s="1" t="str">
        <f t="shared" si="1003"/>
        <v>20220924</v>
      </c>
      <c r="M5252" s="1" t="str">
        <f>"183838"</f>
        <v>183838</v>
      </c>
      <c r="N5252" s="1" t="s">
        <v>28</v>
      </c>
      <c r="O5252" s="1" t="s">
        <v>28</v>
      </c>
      <c r="P5252" s="1" t="s">
        <v>55</v>
      </c>
      <c r="Q5252" s="1">
        <v>25</v>
      </c>
      <c r="R5252" s="1">
        <v>25</v>
      </c>
      <c r="S5252" s="1">
        <v>0</v>
      </c>
      <c r="T5252" s="1">
        <v>0</v>
      </c>
      <c r="U5252" s="1">
        <v>0</v>
      </c>
      <c r="V5252" s="1" t="str">
        <f t="shared" si="1007"/>
        <v>里程返程</v>
      </c>
      <c r="W5252" s="1" t="str">
        <f>"2020"</f>
        <v>2020</v>
      </c>
      <c r="X5252" s="1" t="s">
        <v>35</v>
      </c>
    </row>
    <row r="5253" spans="1:24" x14ac:dyDescent="0.3">
      <c r="A5253" s="1" t="str">
        <f t="shared" si="999"/>
        <v>59828</v>
      </c>
      <c r="B5253" s="1" t="s">
        <v>23</v>
      </c>
      <c r="C5253" s="1" t="s">
        <v>24</v>
      </c>
      <c r="D5253" s="1" t="str">
        <f t="shared" si="1006"/>
        <v>9803</v>
      </c>
      <c r="E5253" s="1" t="s">
        <v>32</v>
      </c>
      <c r="F5253" s="1" t="str">
        <f>"1403511537"</f>
        <v>1403511537</v>
      </c>
      <c r="G5253" s="1" t="s">
        <v>33</v>
      </c>
      <c r="H5253" s="1" t="str">
        <f t="shared" si="1002"/>
        <v>20220924</v>
      </c>
      <c r="I5253" s="1" t="str">
        <f>"180910"</f>
        <v>180910</v>
      </c>
      <c r="J5253" s="1" t="s">
        <v>34</v>
      </c>
      <c r="K5253" s="1" t="s">
        <v>34</v>
      </c>
      <c r="L5253" s="1" t="str">
        <f t="shared" si="1003"/>
        <v>20220924</v>
      </c>
      <c r="M5253" s="1" t="str">
        <f>"183810"</f>
        <v>183810</v>
      </c>
      <c r="N5253" s="1" t="s">
        <v>28</v>
      </c>
      <c r="O5253" s="1" t="s">
        <v>28</v>
      </c>
      <c r="P5253" s="1" t="s">
        <v>55</v>
      </c>
      <c r="Q5253" s="1">
        <v>25</v>
      </c>
      <c r="R5253" s="1">
        <v>25</v>
      </c>
      <c r="S5253" s="1">
        <v>0</v>
      </c>
      <c r="T5253" s="1">
        <v>0</v>
      </c>
      <c r="U5253" s="1">
        <v>0</v>
      </c>
      <c r="V5253" s="1" t="str">
        <f t="shared" si="1007"/>
        <v>里程返程</v>
      </c>
      <c r="W5253" s="1" t="str">
        <f>"2020"</f>
        <v>2020</v>
      </c>
      <c r="X5253" s="1" t="s">
        <v>35</v>
      </c>
    </row>
    <row r="5254" spans="1:24" x14ac:dyDescent="0.3">
      <c r="A5254" s="1" t="str">
        <f t="shared" si="999"/>
        <v>59828</v>
      </c>
      <c r="B5254" s="1" t="s">
        <v>23</v>
      </c>
      <c r="C5254" s="1" t="s">
        <v>24</v>
      </c>
      <c r="D5254" s="1" t="str">
        <f t="shared" si="1006"/>
        <v>9803</v>
      </c>
      <c r="E5254" s="1" t="s">
        <v>32</v>
      </c>
      <c r="F5254" s="1" t="str">
        <f>"1278116053"</f>
        <v>1278116053</v>
      </c>
      <c r="G5254" s="1" t="s">
        <v>33</v>
      </c>
      <c r="H5254" s="1" t="str">
        <f t="shared" si="1002"/>
        <v>20220924</v>
      </c>
      <c r="I5254" s="1" t="str">
        <f>"180927"</f>
        <v>180927</v>
      </c>
      <c r="J5254" s="1" t="s">
        <v>34</v>
      </c>
      <c r="K5254" s="1" t="s">
        <v>34</v>
      </c>
      <c r="L5254" s="1" t="str">
        <f t="shared" si="1003"/>
        <v>20220924</v>
      </c>
      <c r="M5254" s="1" t="str">
        <f>"183819"</f>
        <v>183819</v>
      </c>
      <c r="N5254" s="1" t="s">
        <v>28</v>
      </c>
      <c r="O5254" s="1" t="s">
        <v>28</v>
      </c>
      <c r="P5254" s="1" t="s">
        <v>55</v>
      </c>
      <c r="Q5254" s="1">
        <v>25</v>
      </c>
      <c r="R5254" s="1">
        <v>25</v>
      </c>
      <c r="S5254" s="1">
        <v>0</v>
      </c>
      <c r="T5254" s="1">
        <v>0</v>
      </c>
      <c r="U5254" s="1">
        <v>0</v>
      </c>
      <c r="V5254" s="1" t="str">
        <f t="shared" si="1007"/>
        <v>里程返程</v>
      </c>
      <c r="W5254" s="1" t="str">
        <f>"2020"</f>
        <v>2020</v>
      </c>
      <c r="X5254" s="1" t="s">
        <v>35</v>
      </c>
    </row>
    <row r="5255" spans="1:24" x14ac:dyDescent="0.3">
      <c r="A5255" s="1" t="str">
        <f t="shared" ref="A5255:A5278" si="1008">"59809"</f>
        <v>59809</v>
      </c>
      <c r="B5255" s="1" t="s">
        <v>42</v>
      </c>
      <c r="C5255" s="1" t="s">
        <v>43</v>
      </c>
      <c r="D5255" s="1" t="str">
        <f>"9805"</f>
        <v>9805</v>
      </c>
      <c r="E5255" s="1" t="s">
        <v>57</v>
      </c>
      <c r="F5255" s="1" t="str">
        <f>"4119043B67280400F700000000000000"</f>
        <v>4119043B67280400F700000000000000</v>
      </c>
      <c r="G5255" s="1" t="s">
        <v>58</v>
      </c>
      <c r="H5255" s="1" t="str">
        <f t="shared" ref="H5255:H5286" si="1009">"20220925"</f>
        <v>20220925</v>
      </c>
      <c r="I5255" s="1" t="str">
        <f>"103518"</f>
        <v>103518</v>
      </c>
      <c r="J5255" s="1" t="s">
        <v>28</v>
      </c>
      <c r="K5255" s="1" t="s">
        <v>28</v>
      </c>
      <c r="L5255" s="1" t="str">
        <f t="shared" ref="L5255:L5286" si="1010">"20220925"</f>
        <v>20220925</v>
      </c>
      <c r="M5255" s="1" t="str">
        <f>"105811"</f>
        <v>105811</v>
      </c>
      <c r="N5255" s="1" t="s">
        <v>52</v>
      </c>
      <c r="O5255" s="1" t="s">
        <v>52</v>
      </c>
      <c r="P5255" s="1" t="s">
        <v>55</v>
      </c>
      <c r="Q5255" s="1">
        <v>25</v>
      </c>
      <c r="R5255" s="1">
        <v>0</v>
      </c>
      <c r="S5255" s="1">
        <v>25</v>
      </c>
      <c r="T5255" s="1">
        <v>0</v>
      </c>
      <c r="U5255" s="1">
        <v>0</v>
      </c>
      <c r="V5255" s="1" t="str">
        <f t="shared" ref="V5255:V5266" si="1011">"里程去程"</f>
        <v>里程去程</v>
      </c>
      <c r="W5255" s="1" t="str">
        <f>"0620"</f>
        <v>0620</v>
      </c>
      <c r="X5255" s="1" t="s">
        <v>29</v>
      </c>
    </row>
    <row r="5256" spans="1:24" x14ac:dyDescent="0.3">
      <c r="A5256" s="1" t="str">
        <f t="shared" si="1008"/>
        <v>59809</v>
      </c>
      <c r="B5256" s="1" t="s">
        <v>42</v>
      </c>
      <c r="C5256" s="1" t="s">
        <v>43</v>
      </c>
      <c r="D5256" s="1" t="str">
        <f>"9805"</f>
        <v>9805</v>
      </c>
      <c r="E5256" s="1" t="s">
        <v>57</v>
      </c>
      <c r="F5256" s="1" t="str">
        <f>"4232953804"</f>
        <v>4232953804</v>
      </c>
      <c r="G5256" s="1" t="s">
        <v>33</v>
      </c>
      <c r="H5256" s="1" t="str">
        <f t="shared" si="1009"/>
        <v>20220925</v>
      </c>
      <c r="I5256" s="1" t="str">
        <f>"103522"</f>
        <v>103522</v>
      </c>
      <c r="J5256" s="1" t="s">
        <v>28</v>
      </c>
      <c r="K5256" s="1" t="s">
        <v>28</v>
      </c>
      <c r="L5256" s="1" t="str">
        <f t="shared" si="1010"/>
        <v>20220925</v>
      </c>
      <c r="M5256" s="1" t="str">
        <f>"105808"</f>
        <v>105808</v>
      </c>
      <c r="N5256" s="1" t="s">
        <v>52</v>
      </c>
      <c r="O5256" s="1" t="s">
        <v>52</v>
      </c>
      <c r="P5256" s="1" t="s">
        <v>55</v>
      </c>
      <c r="Q5256" s="1">
        <v>25</v>
      </c>
      <c r="R5256" s="1">
        <v>25</v>
      </c>
      <c r="S5256" s="1">
        <v>0</v>
      </c>
      <c r="T5256" s="1">
        <v>0</v>
      </c>
      <c r="U5256" s="1">
        <v>0</v>
      </c>
      <c r="V5256" s="1" t="str">
        <f t="shared" si="1011"/>
        <v>里程去程</v>
      </c>
      <c r="W5256" s="1" t="str">
        <f>"0820"</f>
        <v>0820</v>
      </c>
      <c r="X5256" s="1" t="s">
        <v>35</v>
      </c>
    </row>
    <row r="5257" spans="1:24" x14ac:dyDescent="0.3">
      <c r="A5257" s="1" t="str">
        <f t="shared" si="1008"/>
        <v>59809</v>
      </c>
      <c r="B5257" s="1" t="s">
        <v>42</v>
      </c>
      <c r="C5257" s="1" t="s">
        <v>43</v>
      </c>
      <c r="D5257" s="1" t="str">
        <f>"9805"</f>
        <v>9805</v>
      </c>
      <c r="E5257" s="1" t="s">
        <v>57</v>
      </c>
      <c r="F5257" s="1" t="str">
        <f>"5159044C40280400F700000000000000"</f>
        <v>5159044C40280400F700000000000000</v>
      </c>
      <c r="G5257" s="1" t="s">
        <v>58</v>
      </c>
      <c r="H5257" s="1" t="str">
        <f t="shared" si="1009"/>
        <v>20220925</v>
      </c>
      <c r="I5257" s="1" t="str">
        <f>"103610"</f>
        <v>103610</v>
      </c>
      <c r="J5257" s="1" t="s">
        <v>28</v>
      </c>
      <c r="K5257" s="1" t="s">
        <v>28</v>
      </c>
      <c r="L5257" s="1" t="str">
        <f t="shared" si="1010"/>
        <v>20220925</v>
      </c>
      <c r="M5257" s="1" t="str">
        <f>"104813"</f>
        <v>104813</v>
      </c>
      <c r="N5257" s="1" t="s">
        <v>79</v>
      </c>
      <c r="O5257" s="1" t="s">
        <v>28</v>
      </c>
      <c r="P5257" s="1" t="s">
        <v>55</v>
      </c>
      <c r="Q5257" s="1">
        <v>25</v>
      </c>
      <c r="R5257" s="1">
        <v>0</v>
      </c>
      <c r="S5257" s="1">
        <v>25</v>
      </c>
      <c r="T5257" s="1">
        <v>0</v>
      </c>
      <c r="U5257" s="1">
        <v>0</v>
      </c>
      <c r="V5257" s="1" t="str">
        <f t="shared" si="1011"/>
        <v>里程去程</v>
      </c>
      <c r="W5257" s="1" t="str">
        <f>"0620"</f>
        <v>0620</v>
      </c>
      <c r="X5257" s="1" t="s">
        <v>29</v>
      </c>
    </row>
    <row r="5258" spans="1:24" x14ac:dyDescent="0.3">
      <c r="A5258" s="1" t="str">
        <f t="shared" si="1008"/>
        <v>59809</v>
      </c>
      <c r="B5258" s="1" t="s">
        <v>42</v>
      </c>
      <c r="C5258" s="1" t="s">
        <v>43</v>
      </c>
      <c r="D5258" s="1" t="str">
        <f t="shared" ref="D5258:D5277" si="1012">"9801"</f>
        <v>9801</v>
      </c>
      <c r="E5258" s="1" t="s">
        <v>25</v>
      </c>
      <c r="F5258" s="1" t="str">
        <f>"460978337"</f>
        <v>460978337</v>
      </c>
      <c r="G5258" s="1" t="s">
        <v>26</v>
      </c>
      <c r="H5258" s="1" t="str">
        <f t="shared" si="1009"/>
        <v>20220925</v>
      </c>
      <c r="I5258" s="1" t="str">
        <f>"123411"</f>
        <v>123411</v>
      </c>
      <c r="J5258" s="1" t="s">
        <v>27</v>
      </c>
      <c r="K5258" s="1" t="s">
        <v>28</v>
      </c>
      <c r="L5258" s="1" t="str">
        <f t="shared" si="1010"/>
        <v>20220925</v>
      </c>
      <c r="M5258" s="1" t="str">
        <f>"125622"</f>
        <v>125622</v>
      </c>
      <c r="N5258" s="1" t="s">
        <v>44</v>
      </c>
      <c r="O5258" s="1" t="s">
        <v>45</v>
      </c>
      <c r="P5258" s="1" t="s">
        <v>55</v>
      </c>
      <c r="Q5258" s="1">
        <v>13</v>
      </c>
      <c r="R5258" s="1">
        <v>13</v>
      </c>
      <c r="S5258" s="1">
        <v>0</v>
      </c>
      <c r="T5258" s="1">
        <v>0</v>
      </c>
      <c r="U5258" s="1">
        <v>0</v>
      </c>
      <c r="V5258" s="1" t="str">
        <f t="shared" si="1011"/>
        <v>里程去程</v>
      </c>
      <c r="W5258" s="1" t="str">
        <f>"0620"</f>
        <v>0620</v>
      </c>
      <c r="X5258" s="1" t="s">
        <v>35</v>
      </c>
    </row>
    <row r="5259" spans="1:24" x14ac:dyDescent="0.3">
      <c r="A5259" s="1" t="str">
        <f t="shared" si="1008"/>
        <v>59809</v>
      </c>
      <c r="B5259" s="1" t="s">
        <v>42</v>
      </c>
      <c r="C5259" s="1" t="s">
        <v>43</v>
      </c>
      <c r="D5259" s="1" t="str">
        <f t="shared" si="1012"/>
        <v>9801</v>
      </c>
      <c r="E5259" s="1" t="s">
        <v>25</v>
      </c>
      <c r="F5259" s="1" t="str">
        <f>"2016810456"</f>
        <v>2016810456</v>
      </c>
      <c r="G5259" s="1" t="s">
        <v>33</v>
      </c>
      <c r="H5259" s="1" t="str">
        <f t="shared" si="1009"/>
        <v>20220925</v>
      </c>
      <c r="I5259" s="1" t="str">
        <f>"123413"</f>
        <v>123413</v>
      </c>
      <c r="J5259" s="1" t="s">
        <v>27</v>
      </c>
      <c r="K5259" s="1" t="s">
        <v>28</v>
      </c>
      <c r="L5259" s="1" t="str">
        <f t="shared" si="1010"/>
        <v>20220925</v>
      </c>
      <c r="M5259" s="1" t="str">
        <f>"125619"</f>
        <v>125619</v>
      </c>
      <c r="N5259" s="1" t="s">
        <v>44</v>
      </c>
      <c r="O5259" s="1" t="s">
        <v>45</v>
      </c>
      <c r="P5259" s="1" t="s">
        <v>55</v>
      </c>
      <c r="Q5259" s="1">
        <v>25</v>
      </c>
      <c r="R5259" s="1">
        <v>25</v>
      </c>
      <c r="S5259" s="1">
        <v>0</v>
      </c>
      <c r="T5259" s="1">
        <v>0</v>
      </c>
      <c r="U5259" s="1">
        <v>0</v>
      </c>
      <c r="V5259" s="1" t="str">
        <f t="shared" si="1011"/>
        <v>里程去程</v>
      </c>
      <c r="W5259" s="1" t="str">
        <f>"0820"</f>
        <v>0820</v>
      </c>
      <c r="X5259" s="1" t="s">
        <v>35</v>
      </c>
    </row>
    <row r="5260" spans="1:24" x14ac:dyDescent="0.3">
      <c r="A5260" s="1" t="str">
        <f t="shared" si="1008"/>
        <v>59809</v>
      </c>
      <c r="B5260" s="1" t="s">
        <v>42</v>
      </c>
      <c r="C5260" s="1" t="s">
        <v>43</v>
      </c>
      <c r="D5260" s="1" t="str">
        <f t="shared" si="1012"/>
        <v>9801</v>
      </c>
      <c r="E5260" s="1" t="s">
        <v>25</v>
      </c>
      <c r="F5260" s="1" t="str">
        <f>"02F81903E0880400C834002000000015"</f>
        <v>02F81903E0880400C834002000000015</v>
      </c>
      <c r="G5260" s="1" t="s">
        <v>26</v>
      </c>
      <c r="H5260" s="1" t="str">
        <f t="shared" si="1009"/>
        <v>20220925</v>
      </c>
      <c r="I5260" s="1" t="str">
        <f>"123425"</f>
        <v>123425</v>
      </c>
      <c r="J5260" s="1" t="s">
        <v>27</v>
      </c>
      <c r="K5260" s="1" t="s">
        <v>28</v>
      </c>
      <c r="L5260" s="1" t="str">
        <f t="shared" si="1010"/>
        <v>20220925</v>
      </c>
      <c r="M5260" s="1" t="str">
        <f>"125614"</f>
        <v>125614</v>
      </c>
      <c r="N5260" s="1" t="s">
        <v>44</v>
      </c>
      <c r="O5260" s="1" t="s">
        <v>45</v>
      </c>
      <c r="P5260" s="1" t="s">
        <v>68</v>
      </c>
      <c r="Q5260" s="1">
        <v>13</v>
      </c>
      <c r="R5260" s="1">
        <v>0</v>
      </c>
      <c r="S5260" s="1">
        <v>0</v>
      </c>
      <c r="T5260" s="1">
        <v>13</v>
      </c>
      <c r="U5260" s="1">
        <v>0</v>
      </c>
      <c r="V5260" s="1" t="str">
        <f t="shared" si="1011"/>
        <v>里程去程</v>
      </c>
      <c r="W5260" s="1" t="str">
        <f>"0020"</f>
        <v>0020</v>
      </c>
      <c r="X5260" s="1" t="s">
        <v>29</v>
      </c>
    </row>
    <row r="5261" spans="1:24" x14ac:dyDescent="0.3">
      <c r="A5261" s="1" t="str">
        <f t="shared" si="1008"/>
        <v>59809</v>
      </c>
      <c r="B5261" s="1" t="s">
        <v>42</v>
      </c>
      <c r="C5261" s="1" t="s">
        <v>43</v>
      </c>
      <c r="D5261" s="1" t="str">
        <f t="shared" si="1012"/>
        <v>9801</v>
      </c>
      <c r="E5261" s="1" t="s">
        <v>25</v>
      </c>
      <c r="F5261" s="1" t="str">
        <f>"2680212027"</f>
        <v>2680212027</v>
      </c>
      <c r="G5261" s="1" t="s">
        <v>33</v>
      </c>
      <c r="H5261" s="1" t="str">
        <f t="shared" si="1009"/>
        <v>20220925</v>
      </c>
      <c r="I5261" s="1" t="str">
        <f>"123458"</f>
        <v>123458</v>
      </c>
      <c r="J5261" s="1" t="s">
        <v>27</v>
      </c>
      <c r="K5261" s="1" t="s">
        <v>28</v>
      </c>
      <c r="L5261" s="1" t="str">
        <f t="shared" si="1010"/>
        <v>20220925</v>
      </c>
      <c r="M5261" s="1" t="str">
        <f>"125507"</f>
        <v>125507</v>
      </c>
      <c r="N5261" s="1" t="s">
        <v>44</v>
      </c>
      <c r="O5261" s="1" t="s">
        <v>45</v>
      </c>
      <c r="P5261" s="1" t="s">
        <v>55</v>
      </c>
      <c r="Q5261" s="1">
        <v>25</v>
      </c>
      <c r="R5261" s="1">
        <v>25</v>
      </c>
      <c r="S5261" s="1">
        <v>0</v>
      </c>
      <c r="T5261" s="1">
        <v>0</v>
      </c>
      <c r="U5261" s="1">
        <v>0</v>
      </c>
      <c r="V5261" s="1" t="str">
        <f t="shared" si="1011"/>
        <v>里程去程</v>
      </c>
      <c r="W5261" s="1" t="str">
        <f>"0e20"</f>
        <v>0e20</v>
      </c>
      <c r="X5261" s="1" t="s">
        <v>35</v>
      </c>
    </row>
    <row r="5262" spans="1:24" x14ac:dyDescent="0.3">
      <c r="A5262" s="1" t="str">
        <f t="shared" si="1008"/>
        <v>59809</v>
      </c>
      <c r="B5262" s="1" t="s">
        <v>42</v>
      </c>
      <c r="C5262" s="1" t="s">
        <v>43</v>
      </c>
      <c r="D5262" s="1" t="str">
        <f t="shared" si="1012"/>
        <v>9801</v>
      </c>
      <c r="E5262" s="1" t="s">
        <v>25</v>
      </c>
      <c r="F5262" s="1" t="str">
        <f>"1818148293"</f>
        <v>1818148293</v>
      </c>
      <c r="G5262" s="1" t="s">
        <v>38</v>
      </c>
      <c r="H5262" s="1" t="str">
        <f t="shared" si="1009"/>
        <v>20220925</v>
      </c>
      <c r="I5262" s="1" t="str">
        <f>"132953"</f>
        <v>132953</v>
      </c>
      <c r="J5262" s="1" t="s">
        <v>27</v>
      </c>
      <c r="K5262" s="1" t="s">
        <v>28</v>
      </c>
      <c r="L5262" s="1" t="str">
        <f t="shared" si="1010"/>
        <v>20220925</v>
      </c>
      <c r="M5262" s="1" t="str">
        <f>"135552"</f>
        <v>135552</v>
      </c>
      <c r="N5262" s="1" t="s">
        <v>44</v>
      </c>
      <c r="O5262" s="1" t="s">
        <v>45</v>
      </c>
      <c r="P5262" s="1" t="s">
        <v>55</v>
      </c>
      <c r="Q5262" s="1">
        <v>25</v>
      </c>
      <c r="R5262" s="1">
        <v>0</v>
      </c>
      <c r="S5262" s="1">
        <v>25</v>
      </c>
      <c r="T5262" s="1">
        <v>0</v>
      </c>
      <c r="U5262" s="1">
        <v>0</v>
      </c>
      <c r="V5262" s="1" t="str">
        <f t="shared" si="1011"/>
        <v>里程去程</v>
      </c>
      <c r="W5262" s="1" t="str">
        <f>"2120"</f>
        <v>2120</v>
      </c>
      <c r="X5262" s="1" t="s">
        <v>35</v>
      </c>
    </row>
    <row r="5263" spans="1:24" x14ac:dyDescent="0.3">
      <c r="A5263" s="1" t="str">
        <f t="shared" si="1008"/>
        <v>59809</v>
      </c>
      <c r="B5263" s="1" t="s">
        <v>42</v>
      </c>
      <c r="C5263" s="1" t="s">
        <v>43</v>
      </c>
      <c r="D5263" s="1" t="str">
        <f t="shared" si="1012"/>
        <v>9801</v>
      </c>
      <c r="E5263" s="1" t="s">
        <v>25</v>
      </c>
      <c r="F5263" s="1" t="str">
        <f>"F27CE6026A880400C834002000000015"</f>
        <v>F27CE6026A880400C834002000000015</v>
      </c>
      <c r="G5263" s="1" t="s">
        <v>74</v>
      </c>
      <c r="H5263" s="1" t="str">
        <f t="shared" si="1009"/>
        <v>20220925</v>
      </c>
      <c r="I5263" s="1" t="str">
        <f>"145519"</f>
        <v>145519</v>
      </c>
      <c r="J5263" s="1" t="s">
        <v>52</v>
      </c>
      <c r="K5263" s="1" t="s">
        <v>52</v>
      </c>
      <c r="L5263" s="1" t="str">
        <f t="shared" si="1010"/>
        <v>20220925</v>
      </c>
      <c r="M5263" s="1" t="str">
        <f>"150513"</f>
        <v>150513</v>
      </c>
      <c r="N5263" s="1" t="s">
        <v>60</v>
      </c>
      <c r="O5263" s="1" t="s">
        <v>52</v>
      </c>
      <c r="P5263" s="1" t="s">
        <v>68</v>
      </c>
      <c r="Q5263" s="1">
        <v>13</v>
      </c>
      <c r="R5263" s="1">
        <v>0</v>
      </c>
      <c r="S5263" s="1">
        <v>0</v>
      </c>
      <c r="T5263" s="1">
        <v>13</v>
      </c>
      <c r="U5263" s="1">
        <v>0</v>
      </c>
      <c r="V5263" s="1" t="str">
        <f t="shared" si="1011"/>
        <v>里程去程</v>
      </c>
      <c r="W5263" s="1" t="str">
        <f>"0020"</f>
        <v>0020</v>
      </c>
      <c r="X5263" s="1" t="s">
        <v>29</v>
      </c>
    </row>
    <row r="5264" spans="1:24" x14ac:dyDescent="0.3">
      <c r="A5264" s="1" t="str">
        <f t="shared" si="1008"/>
        <v>59809</v>
      </c>
      <c r="B5264" s="1" t="s">
        <v>42</v>
      </c>
      <c r="C5264" s="1" t="s">
        <v>43</v>
      </c>
      <c r="D5264" s="1" t="str">
        <f t="shared" si="1012"/>
        <v>9801</v>
      </c>
      <c r="E5264" s="1" t="s">
        <v>25</v>
      </c>
      <c r="F5264" s="1" t="str">
        <f>"E220D10211880400C834002000000015"</f>
        <v>E220D10211880400C834002000000015</v>
      </c>
      <c r="G5264" s="1" t="s">
        <v>74</v>
      </c>
      <c r="H5264" s="1" t="str">
        <f t="shared" si="1009"/>
        <v>20220925</v>
      </c>
      <c r="I5264" s="1" t="str">
        <f>"151032"</f>
        <v>151032</v>
      </c>
      <c r="J5264" s="1" t="s">
        <v>72</v>
      </c>
      <c r="K5264" s="1" t="s">
        <v>52</v>
      </c>
      <c r="L5264" s="1" t="str">
        <f t="shared" si="1010"/>
        <v>20220925</v>
      </c>
      <c r="M5264" s="1" t="str">
        <f>"151412"</f>
        <v>151412</v>
      </c>
      <c r="N5264" s="1" t="s">
        <v>80</v>
      </c>
      <c r="O5264" s="1" t="s">
        <v>52</v>
      </c>
      <c r="P5264" s="1" t="s">
        <v>68</v>
      </c>
      <c r="Q5264" s="1">
        <v>13</v>
      </c>
      <c r="R5264" s="1">
        <v>0</v>
      </c>
      <c r="S5264" s="1">
        <v>0</v>
      </c>
      <c r="T5264" s="1">
        <v>13</v>
      </c>
      <c r="U5264" s="1">
        <v>0</v>
      </c>
      <c r="V5264" s="1" t="str">
        <f t="shared" si="1011"/>
        <v>里程去程</v>
      </c>
      <c r="W5264" s="1" t="str">
        <f>"0020"</f>
        <v>0020</v>
      </c>
      <c r="X5264" s="1" t="s">
        <v>29</v>
      </c>
    </row>
    <row r="5265" spans="1:24" x14ac:dyDescent="0.3">
      <c r="A5265" s="1" t="str">
        <f t="shared" si="1008"/>
        <v>59809</v>
      </c>
      <c r="B5265" s="1" t="s">
        <v>42</v>
      </c>
      <c r="C5265" s="1" t="s">
        <v>43</v>
      </c>
      <c r="D5265" s="1" t="str">
        <f t="shared" si="1012"/>
        <v>9801</v>
      </c>
      <c r="E5265" s="1" t="s">
        <v>25</v>
      </c>
      <c r="F5265" s="1" t="str">
        <f>"589583889"</f>
        <v>589583889</v>
      </c>
      <c r="G5265" s="1" t="s">
        <v>33</v>
      </c>
      <c r="H5265" s="1" t="str">
        <f t="shared" si="1009"/>
        <v>20220925</v>
      </c>
      <c r="I5265" s="1" t="str">
        <f>"155921"</f>
        <v>155921</v>
      </c>
      <c r="J5265" s="1" t="s">
        <v>52</v>
      </c>
      <c r="K5265" s="1" t="s">
        <v>52</v>
      </c>
      <c r="L5265" s="1" t="str">
        <f t="shared" si="1010"/>
        <v>20220925</v>
      </c>
      <c r="M5265" s="1" t="str">
        <f>"161843"</f>
        <v>161843</v>
      </c>
      <c r="N5265" s="1" t="s">
        <v>78</v>
      </c>
      <c r="O5265" s="1" t="s">
        <v>52</v>
      </c>
      <c r="P5265" s="1" t="s">
        <v>55</v>
      </c>
      <c r="Q5265" s="1">
        <v>25</v>
      </c>
      <c r="R5265" s="1">
        <v>0</v>
      </c>
      <c r="S5265" s="1">
        <v>25</v>
      </c>
      <c r="T5265" s="1">
        <v>0</v>
      </c>
      <c r="U5265" s="1">
        <v>0</v>
      </c>
      <c r="V5265" s="1" t="str">
        <f t="shared" si="1011"/>
        <v>里程去程</v>
      </c>
      <c r="W5265" s="1" t="str">
        <f>"2120"</f>
        <v>2120</v>
      </c>
      <c r="X5265" s="1" t="s">
        <v>35</v>
      </c>
    </row>
    <row r="5266" spans="1:24" x14ac:dyDescent="0.3">
      <c r="A5266" s="1" t="str">
        <f t="shared" si="1008"/>
        <v>59809</v>
      </c>
      <c r="B5266" s="1" t="s">
        <v>42</v>
      </c>
      <c r="C5266" s="1" t="s">
        <v>43</v>
      </c>
      <c r="D5266" s="1" t="str">
        <f t="shared" si="1012"/>
        <v>9801</v>
      </c>
      <c r="E5266" s="1" t="s">
        <v>25</v>
      </c>
      <c r="F5266" s="1" t="str">
        <f>"1054096469"</f>
        <v>1054096469</v>
      </c>
      <c r="G5266" s="1" t="s">
        <v>33</v>
      </c>
      <c r="H5266" s="1" t="str">
        <f t="shared" si="1009"/>
        <v>20220925</v>
      </c>
      <c r="I5266" s="1" t="str">
        <f>"162819"</f>
        <v>162819</v>
      </c>
      <c r="J5266" s="1" t="s">
        <v>27</v>
      </c>
      <c r="K5266" s="1" t="s">
        <v>28</v>
      </c>
      <c r="L5266" s="1" t="str">
        <f t="shared" si="1010"/>
        <v>20220925</v>
      </c>
      <c r="M5266" s="1" t="str">
        <f>"165920"</f>
        <v>165920</v>
      </c>
      <c r="N5266" s="1" t="s">
        <v>44</v>
      </c>
      <c r="O5266" s="1" t="s">
        <v>45</v>
      </c>
      <c r="P5266" s="1" t="s">
        <v>55</v>
      </c>
      <c r="Q5266" s="1">
        <v>25</v>
      </c>
      <c r="R5266" s="1">
        <v>0</v>
      </c>
      <c r="S5266" s="1">
        <v>25</v>
      </c>
      <c r="T5266" s="1">
        <v>0</v>
      </c>
      <c r="U5266" s="1">
        <v>0</v>
      </c>
      <c r="V5266" s="1" t="str">
        <f t="shared" si="1011"/>
        <v>里程去程</v>
      </c>
      <c r="W5266" s="1" t="str">
        <f>"0820"</f>
        <v>0820</v>
      </c>
      <c r="X5266" s="1" t="s">
        <v>35</v>
      </c>
    </row>
    <row r="5267" spans="1:24" x14ac:dyDescent="0.3">
      <c r="A5267" s="1" t="str">
        <f t="shared" si="1008"/>
        <v>59809</v>
      </c>
      <c r="B5267" s="1" t="s">
        <v>42</v>
      </c>
      <c r="C5267" s="1" t="s">
        <v>43</v>
      </c>
      <c r="D5267" s="1" t="str">
        <f t="shared" si="1012"/>
        <v>9801</v>
      </c>
      <c r="E5267" s="1" t="s">
        <v>25</v>
      </c>
      <c r="F5267" s="1" t="str">
        <f>"988756149"</f>
        <v>988756149</v>
      </c>
      <c r="G5267" s="1" t="s">
        <v>33</v>
      </c>
      <c r="H5267" s="1" t="str">
        <f t="shared" si="1009"/>
        <v>20220925</v>
      </c>
      <c r="I5267" s="1" t="str">
        <f>"175104"</f>
        <v>175104</v>
      </c>
      <c r="J5267" s="1" t="s">
        <v>28</v>
      </c>
      <c r="K5267" s="1" t="s">
        <v>28</v>
      </c>
      <c r="L5267" s="1" t="str">
        <f t="shared" si="1010"/>
        <v>20220925</v>
      </c>
      <c r="M5267" s="1" t="str">
        <f>"180709"</f>
        <v>180709</v>
      </c>
      <c r="N5267" s="1" t="s">
        <v>69</v>
      </c>
      <c r="O5267" s="1" t="s">
        <v>52</v>
      </c>
      <c r="P5267" s="1" t="s">
        <v>55</v>
      </c>
      <c r="Q5267" s="1">
        <v>25</v>
      </c>
      <c r="R5267" s="1">
        <v>25</v>
      </c>
      <c r="S5267" s="1">
        <v>0</v>
      </c>
      <c r="T5267" s="1">
        <v>0</v>
      </c>
      <c r="U5267" s="1">
        <v>0</v>
      </c>
      <c r="V5267" s="1" t="str">
        <f t="shared" ref="V5267:V5273" si="1013">"里程返程"</f>
        <v>里程返程</v>
      </c>
      <c r="W5267" s="1" t="str">
        <f>"2020"</f>
        <v>2020</v>
      </c>
      <c r="X5267" s="1" t="s">
        <v>35</v>
      </c>
    </row>
    <row r="5268" spans="1:24" x14ac:dyDescent="0.3">
      <c r="A5268" s="1" t="str">
        <f t="shared" si="1008"/>
        <v>59809</v>
      </c>
      <c r="B5268" s="1" t="s">
        <v>42</v>
      </c>
      <c r="C5268" s="1" t="s">
        <v>43</v>
      </c>
      <c r="D5268" s="1" t="str">
        <f t="shared" si="1012"/>
        <v>9801</v>
      </c>
      <c r="E5268" s="1" t="s">
        <v>25</v>
      </c>
      <c r="F5268" s="1" t="str">
        <f>"A295321B1E880400C817002000000021"</f>
        <v>A295321B1E880400C817002000000021</v>
      </c>
      <c r="G5268" s="1" t="s">
        <v>59</v>
      </c>
      <c r="H5268" s="1" t="str">
        <f t="shared" si="1009"/>
        <v>20220925</v>
      </c>
      <c r="I5268" s="1" t="str">
        <f>"175113"</f>
        <v>175113</v>
      </c>
      <c r="J5268" s="1" t="s">
        <v>28</v>
      </c>
      <c r="K5268" s="1" t="s">
        <v>28</v>
      </c>
      <c r="L5268" s="1" t="str">
        <f t="shared" si="1010"/>
        <v>20220925</v>
      </c>
      <c r="M5268" s="1" t="str">
        <f>"182442"</f>
        <v>182442</v>
      </c>
      <c r="N5268" s="1" t="s">
        <v>52</v>
      </c>
      <c r="O5268" s="1" t="s">
        <v>52</v>
      </c>
      <c r="P5268" s="1" t="s">
        <v>55</v>
      </c>
      <c r="Q5268" s="1">
        <v>25</v>
      </c>
      <c r="R5268" s="1">
        <v>25</v>
      </c>
      <c r="S5268" s="1">
        <v>0</v>
      </c>
      <c r="T5268" s="1">
        <v>0</v>
      </c>
      <c r="U5268" s="1">
        <v>0</v>
      </c>
      <c r="V5268" s="1" t="str">
        <f t="shared" si="1013"/>
        <v>里程返程</v>
      </c>
      <c r="W5268" s="1" t="str">
        <f>"0020"</f>
        <v>0020</v>
      </c>
      <c r="X5268" s="1" t="s">
        <v>29</v>
      </c>
    </row>
    <row r="5269" spans="1:24" x14ac:dyDescent="0.3">
      <c r="A5269" s="1" t="str">
        <f t="shared" si="1008"/>
        <v>59809</v>
      </c>
      <c r="B5269" s="1" t="s">
        <v>42</v>
      </c>
      <c r="C5269" s="1" t="s">
        <v>43</v>
      </c>
      <c r="D5269" s="1" t="str">
        <f t="shared" si="1012"/>
        <v>9801</v>
      </c>
      <c r="E5269" s="1" t="s">
        <v>25</v>
      </c>
      <c r="F5269" s="1" t="str">
        <f>"3013788618"</f>
        <v>3013788618</v>
      </c>
      <c r="G5269" s="1" t="s">
        <v>33</v>
      </c>
      <c r="H5269" s="1" t="str">
        <f t="shared" si="1009"/>
        <v>20220925</v>
      </c>
      <c r="I5269" s="1" t="str">
        <f>"175206"</f>
        <v>175206</v>
      </c>
      <c r="J5269" s="1" t="s">
        <v>28</v>
      </c>
      <c r="K5269" s="1" t="s">
        <v>28</v>
      </c>
      <c r="L5269" s="1" t="str">
        <f t="shared" si="1010"/>
        <v>20220925</v>
      </c>
      <c r="M5269" s="1" t="str">
        <f>"180524"</f>
        <v>180524</v>
      </c>
      <c r="N5269" s="1" t="s">
        <v>78</v>
      </c>
      <c r="O5269" s="1" t="s">
        <v>52</v>
      </c>
      <c r="P5269" s="1" t="s">
        <v>55</v>
      </c>
      <c r="Q5269" s="1">
        <v>25</v>
      </c>
      <c r="R5269" s="1">
        <v>0</v>
      </c>
      <c r="S5269" s="1">
        <v>25</v>
      </c>
      <c r="T5269" s="1">
        <v>0</v>
      </c>
      <c r="U5269" s="1">
        <v>0</v>
      </c>
      <c r="V5269" s="1" t="str">
        <f t="shared" si="1013"/>
        <v>里程返程</v>
      </c>
      <c r="W5269" s="1" t="str">
        <f>"0820"</f>
        <v>0820</v>
      </c>
      <c r="X5269" s="1" t="s">
        <v>35</v>
      </c>
    </row>
    <row r="5270" spans="1:24" x14ac:dyDescent="0.3">
      <c r="A5270" s="1" t="str">
        <f t="shared" si="1008"/>
        <v>59809</v>
      </c>
      <c r="B5270" s="1" t="s">
        <v>42</v>
      </c>
      <c r="C5270" s="1" t="s">
        <v>43</v>
      </c>
      <c r="D5270" s="1" t="str">
        <f t="shared" si="1012"/>
        <v>9801</v>
      </c>
      <c r="E5270" s="1" t="s">
        <v>25</v>
      </c>
      <c r="F5270" s="1" t="str">
        <f>"41A79F453C280400F700000000000000"</f>
        <v>41A79F453C280400F700000000000000</v>
      </c>
      <c r="G5270" s="1" t="s">
        <v>58</v>
      </c>
      <c r="H5270" s="1" t="str">
        <f t="shared" si="1009"/>
        <v>20220925</v>
      </c>
      <c r="I5270" s="1" t="str">
        <f>"175435"</f>
        <v>175435</v>
      </c>
      <c r="J5270" s="1" t="s">
        <v>28</v>
      </c>
      <c r="K5270" s="1" t="s">
        <v>28</v>
      </c>
      <c r="L5270" s="1" t="str">
        <f t="shared" si="1010"/>
        <v>20220925</v>
      </c>
      <c r="M5270" s="1" t="str">
        <f>"182445"</f>
        <v>182445</v>
      </c>
      <c r="N5270" s="1" t="s">
        <v>52</v>
      </c>
      <c r="O5270" s="1" t="s">
        <v>52</v>
      </c>
      <c r="P5270" s="1" t="s">
        <v>55</v>
      </c>
      <c r="Q5270" s="1">
        <v>25</v>
      </c>
      <c r="R5270" s="1">
        <v>0</v>
      </c>
      <c r="S5270" s="1">
        <v>25</v>
      </c>
      <c r="T5270" s="1">
        <v>0</v>
      </c>
      <c r="U5270" s="1">
        <v>0</v>
      </c>
      <c r="V5270" s="1" t="str">
        <f t="shared" si="1013"/>
        <v>里程返程</v>
      </c>
      <c r="W5270" s="1" t="str">
        <f>"0620"</f>
        <v>0620</v>
      </c>
      <c r="X5270" s="1" t="s">
        <v>29</v>
      </c>
    </row>
    <row r="5271" spans="1:24" x14ac:dyDescent="0.3">
      <c r="A5271" s="1" t="str">
        <f t="shared" si="1008"/>
        <v>59809</v>
      </c>
      <c r="B5271" s="1" t="s">
        <v>42</v>
      </c>
      <c r="C5271" s="1" t="s">
        <v>43</v>
      </c>
      <c r="D5271" s="1" t="str">
        <f t="shared" si="1012"/>
        <v>9801</v>
      </c>
      <c r="E5271" s="1" t="s">
        <v>25</v>
      </c>
      <c r="F5271" s="1" t="str">
        <f>"589583889"</f>
        <v>589583889</v>
      </c>
      <c r="G5271" s="1" t="s">
        <v>33</v>
      </c>
      <c r="H5271" s="1" t="str">
        <f t="shared" si="1009"/>
        <v>20220925</v>
      </c>
      <c r="I5271" s="1" t="str">
        <f>"180351"</f>
        <v>180351</v>
      </c>
      <c r="J5271" s="1" t="s">
        <v>67</v>
      </c>
      <c r="K5271" s="1" t="s">
        <v>52</v>
      </c>
      <c r="L5271" s="1" t="str">
        <f t="shared" si="1010"/>
        <v>20220925</v>
      </c>
      <c r="M5271" s="1" t="str">
        <f>"182438"</f>
        <v>182438</v>
      </c>
      <c r="N5271" s="1" t="s">
        <v>52</v>
      </c>
      <c r="O5271" s="1" t="s">
        <v>52</v>
      </c>
      <c r="P5271" s="1" t="s">
        <v>55</v>
      </c>
      <c r="Q5271" s="1">
        <v>25</v>
      </c>
      <c r="R5271" s="1">
        <v>25</v>
      </c>
      <c r="S5271" s="1">
        <v>0</v>
      </c>
      <c r="T5271" s="1">
        <v>0</v>
      </c>
      <c r="U5271" s="1">
        <v>0</v>
      </c>
      <c r="V5271" s="1" t="str">
        <f t="shared" si="1013"/>
        <v>里程返程</v>
      </c>
      <c r="W5271" s="1" t="str">
        <f>"2020"</f>
        <v>2020</v>
      </c>
      <c r="X5271" s="1" t="s">
        <v>35</v>
      </c>
    </row>
    <row r="5272" spans="1:24" x14ac:dyDescent="0.3">
      <c r="A5272" s="1" t="str">
        <f t="shared" si="1008"/>
        <v>59809</v>
      </c>
      <c r="B5272" s="1" t="s">
        <v>42</v>
      </c>
      <c r="C5272" s="1" t="s">
        <v>43</v>
      </c>
      <c r="D5272" s="1" t="str">
        <f t="shared" si="1012"/>
        <v>9801</v>
      </c>
      <c r="E5272" s="1" t="s">
        <v>25</v>
      </c>
      <c r="F5272" s="1" t="str">
        <f>"4251460257880400C821002000000015"</f>
        <v>4251460257880400C821002000000015</v>
      </c>
      <c r="G5272" s="1" t="s">
        <v>26</v>
      </c>
      <c r="H5272" s="1" t="str">
        <f t="shared" si="1009"/>
        <v>20220925</v>
      </c>
      <c r="I5272" s="1" t="str">
        <f>"180715"</f>
        <v>180715</v>
      </c>
      <c r="J5272" s="1" t="s">
        <v>69</v>
      </c>
      <c r="K5272" s="1" t="s">
        <v>52</v>
      </c>
      <c r="L5272" s="1" t="str">
        <f t="shared" si="1010"/>
        <v>20220925</v>
      </c>
      <c r="M5272" s="1" t="str">
        <f>"181518"</f>
        <v>181518</v>
      </c>
      <c r="N5272" s="1" t="s">
        <v>72</v>
      </c>
      <c r="O5272" s="1" t="s">
        <v>52</v>
      </c>
      <c r="P5272" s="1" t="s">
        <v>68</v>
      </c>
      <c r="Q5272" s="1">
        <v>13</v>
      </c>
      <c r="R5272" s="1">
        <v>0</v>
      </c>
      <c r="S5272" s="1">
        <v>0</v>
      </c>
      <c r="T5272" s="1">
        <v>13</v>
      </c>
      <c r="U5272" s="1">
        <v>0</v>
      </c>
      <c r="V5272" s="1" t="str">
        <f t="shared" si="1013"/>
        <v>里程返程</v>
      </c>
      <c r="W5272" s="1" t="str">
        <f>"0020"</f>
        <v>0020</v>
      </c>
      <c r="X5272" s="1" t="s">
        <v>29</v>
      </c>
    </row>
    <row r="5273" spans="1:24" x14ac:dyDescent="0.3">
      <c r="A5273" s="1" t="str">
        <f t="shared" si="1008"/>
        <v>59809</v>
      </c>
      <c r="B5273" s="1" t="s">
        <v>42</v>
      </c>
      <c r="C5273" s="1" t="s">
        <v>43</v>
      </c>
      <c r="D5273" s="1" t="str">
        <f t="shared" si="1012"/>
        <v>9801</v>
      </c>
      <c r="E5273" s="1" t="s">
        <v>25</v>
      </c>
      <c r="F5273" s="1" t="str">
        <f>"232582417"</f>
        <v>232582417</v>
      </c>
      <c r="G5273" s="1" t="s">
        <v>33</v>
      </c>
      <c r="H5273" s="1" t="str">
        <f t="shared" si="1009"/>
        <v>20220925</v>
      </c>
      <c r="I5273" s="1" t="str">
        <f>"185314"</f>
        <v>185314</v>
      </c>
      <c r="J5273" s="1" t="s">
        <v>28</v>
      </c>
      <c r="K5273" s="1" t="s">
        <v>28</v>
      </c>
      <c r="L5273" s="1" t="str">
        <f t="shared" si="1010"/>
        <v>20220925</v>
      </c>
      <c r="M5273" s="1" t="str">
        <f>"191625"</f>
        <v>191625</v>
      </c>
      <c r="N5273" s="1" t="s">
        <v>60</v>
      </c>
      <c r="O5273" s="1" t="s">
        <v>52</v>
      </c>
      <c r="P5273" s="1" t="s">
        <v>55</v>
      </c>
      <c r="Q5273" s="1">
        <v>25</v>
      </c>
      <c r="R5273" s="1">
        <v>0</v>
      </c>
      <c r="S5273" s="1">
        <v>25</v>
      </c>
      <c r="T5273" s="1">
        <v>0</v>
      </c>
      <c r="U5273" s="1">
        <v>0</v>
      </c>
      <c r="V5273" s="1" t="str">
        <f t="shared" si="1013"/>
        <v>里程返程</v>
      </c>
      <c r="W5273" s="1" t="str">
        <f>"0820"</f>
        <v>0820</v>
      </c>
      <c r="X5273" s="1" t="s">
        <v>35</v>
      </c>
    </row>
    <row r="5274" spans="1:24" x14ac:dyDescent="0.3">
      <c r="A5274" s="1" t="str">
        <f t="shared" si="1008"/>
        <v>59809</v>
      </c>
      <c r="B5274" s="1" t="s">
        <v>42</v>
      </c>
      <c r="C5274" s="1" t="s">
        <v>43</v>
      </c>
      <c r="D5274" s="1" t="str">
        <f t="shared" si="1012"/>
        <v>9801</v>
      </c>
      <c r="E5274" s="1" t="s">
        <v>25</v>
      </c>
      <c r="F5274" s="1" t="str">
        <f>"589583889"</f>
        <v>589583889</v>
      </c>
      <c r="G5274" s="1" t="s">
        <v>33</v>
      </c>
      <c r="H5274" s="1" t="str">
        <f t="shared" si="1009"/>
        <v>20220925</v>
      </c>
      <c r="I5274" s="1" t="str">
        <f>"195652"</f>
        <v>195652</v>
      </c>
      <c r="J5274" s="1" t="s">
        <v>52</v>
      </c>
      <c r="K5274" s="1" t="s">
        <v>52</v>
      </c>
      <c r="L5274" s="1" t="str">
        <f t="shared" si="1010"/>
        <v>20220925</v>
      </c>
      <c r="M5274" s="1" t="str">
        <f>"202146"</f>
        <v>202146</v>
      </c>
      <c r="N5274" s="1" t="s">
        <v>67</v>
      </c>
      <c r="O5274" s="1" t="s">
        <v>52</v>
      </c>
      <c r="P5274" s="1" t="s">
        <v>55</v>
      </c>
      <c r="Q5274" s="1">
        <v>25</v>
      </c>
      <c r="R5274" s="1">
        <v>25</v>
      </c>
      <c r="S5274" s="1">
        <v>0</v>
      </c>
      <c r="T5274" s="1">
        <v>0</v>
      </c>
      <c r="U5274" s="1">
        <v>0</v>
      </c>
      <c r="V5274" s="1" t="str">
        <f>"里程去程"</f>
        <v>里程去程</v>
      </c>
      <c r="W5274" s="1" t="str">
        <f>"2020"</f>
        <v>2020</v>
      </c>
      <c r="X5274" s="1" t="s">
        <v>35</v>
      </c>
    </row>
    <row r="5275" spans="1:24" x14ac:dyDescent="0.3">
      <c r="A5275" s="1" t="str">
        <f t="shared" si="1008"/>
        <v>59809</v>
      </c>
      <c r="B5275" s="1" t="s">
        <v>42</v>
      </c>
      <c r="C5275" s="1" t="s">
        <v>43</v>
      </c>
      <c r="D5275" s="1" t="str">
        <f t="shared" si="1012"/>
        <v>9801</v>
      </c>
      <c r="E5275" s="1" t="s">
        <v>25</v>
      </c>
      <c r="F5275" s="1" t="str">
        <f>"805625665"</f>
        <v>805625665</v>
      </c>
      <c r="G5275" s="1" t="s">
        <v>26</v>
      </c>
      <c r="H5275" s="1" t="str">
        <f t="shared" si="1009"/>
        <v>20220925</v>
      </c>
      <c r="I5275" s="1" t="str">
        <f>"202851"</f>
        <v>202851</v>
      </c>
      <c r="J5275" s="1" t="s">
        <v>27</v>
      </c>
      <c r="K5275" s="1" t="s">
        <v>28</v>
      </c>
      <c r="L5275" s="1" t="str">
        <f t="shared" si="1010"/>
        <v>20220925</v>
      </c>
      <c r="M5275" s="1" t="str">
        <f>"205536"</f>
        <v>205536</v>
      </c>
      <c r="N5275" s="1" t="s">
        <v>44</v>
      </c>
      <c r="O5275" s="1" t="s">
        <v>45</v>
      </c>
      <c r="P5275" s="1" t="s">
        <v>55</v>
      </c>
      <c r="Q5275" s="1">
        <v>13</v>
      </c>
      <c r="R5275" s="1">
        <v>0</v>
      </c>
      <c r="S5275" s="1">
        <v>13</v>
      </c>
      <c r="T5275" s="1">
        <v>0</v>
      </c>
      <c r="U5275" s="1">
        <v>0</v>
      </c>
      <c r="V5275" s="1" t="str">
        <f>"里程去程"</f>
        <v>里程去程</v>
      </c>
      <c r="W5275" s="1" t="str">
        <f>"0820"</f>
        <v>0820</v>
      </c>
      <c r="X5275" s="1" t="s">
        <v>35</v>
      </c>
    </row>
    <row r="5276" spans="1:24" x14ac:dyDescent="0.3">
      <c r="A5276" s="1" t="str">
        <f t="shared" si="1008"/>
        <v>59809</v>
      </c>
      <c r="B5276" s="1" t="s">
        <v>42</v>
      </c>
      <c r="C5276" s="1" t="s">
        <v>43</v>
      </c>
      <c r="D5276" s="1" t="str">
        <f t="shared" si="1012"/>
        <v>9801</v>
      </c>
      <c r="E5276" s="1" t="s">
        <v>25</v>
      </c>
      <c r="F5276" s="1" t="str">
        <f>"4238651558"</f>
        <v>4238651558</v>
      </c>
      <c r="G5276" s="1" t="s">
        <v>33</v>
      </c>
      <c r="H5276" s="1" t="str">
        <f t="shared" si="1009"/>
        <v>20220925</v>
      </c>
      <c r="I5276" s="1" t="str">
        <f>"203033"</f>
        <v>203033</v>
      </c>
      <c r="J5276" s="1" t="s">
        <v>27</v>
      </c>
      <c r="K5276" s="1" t="s">
        <v>28</v>
      </c>
      <c r="L5276" s="1" t="str">
        <f t="shared" si="1010"/>
        <v>20220925</v>
      </c>
      <c r="M5276" s="1" t="str">
        <f>"204624"</f>
        <v>204624</v>
      </c>
      <c r="N5276" s="1" t="s">
        <v>75</v>
      </c>
      <c r="O5276" s="1" t="s">
        <v>45</v>
      </c>
      <c r="P5276" s="1" t="s">
        <v>55</v>
      </c>
      <c r="Q5276" s="1">
        <v>25</v>
      </c>
      <c r="R5276" s="1">
        <v>25</v>
      </c>
      <c r="S5276" s="1">
        <v>0</v>
      </c>
      <c r="T5276" s="1">
        <v>0</v>
      </c>
      <c r="U5276" s="1">
        <v>0</v>
      </c>
      <c r="V5276" s="1" t="str">
        <f>"里程去程"</f>
        <v>里程去程</v>
      </c>
      <c r="W5276" s="1" t="str">
        <f>"2120"</f>
        <v>2120</v>
      </c>
      <c r="X5276" s="1" t="s">
        <v>35</v>
      </c>
    </row>
    <row r="5277" spans="1:24" x14ac:dyDescent="0.3">
      <c r="A5277" s="1" t="str">
        <f t="shared" si="1008"/>
        <v>59809</v>
      </c>
      <c r="B5277" s="1" t="s">
        <v>42</v>
      </c>
      <c r="C5277" s="1" t="s">
        <v>43</v>
      </c>
      <c r="D5277" s="1" t="str">
        <f t="shared" si="1012"/>
        <v>9801</v>
      </c>
      <c r="E5277" s="1" t="s">
        <v>25</v>
      </c>
      <c r="F5277" s="1" t="str">
        <f>"1148091361"</f>
        <v>1148091361</v>
      </c>
      <c r="G5277" s="1" t="s">
        <v>33</v>
      </c>
      <c r="H5277" s="1" t="str">
        <f t="shared" si="1009"/>
        <v>20220925</v>
      </c>
      <c r="I5277" s="1" t="str">
        <f>"203136"</f>
        <v>203136</v>
      </c>
      <c r="J5277" s="1" t="s">
        <v>27</v>
      </c>
      <c r="K5277" s="1" t="s">
        <v>28</v>
      </c>
      <c r="L5277" s="1" t="str">
        <f t="shared" si="1010"/>
        <v>20220925</v>
      </c>
      <c r="M5277" s="1" t="str">
        <f>"204946"</f>
        <v>204946</v>
      </c>
      <c r="N5277" s="1" t="s">
        <v>91</v>
      </c>
      <c r="O5277" s="1" t="s">
        <v>45</v>
      </c>
      <c r="P5277" s="1" t="s">
        <v>55</v>
      </c>
      <c r="Q5277" s="1">
        <v>25</v>
      </c>
      <c r="R5277" s="1">
        <v>25</v>
      </c>
      <c r="S5277" s="1">
        <v>0</v>
      </c>
      <c r="T5277" s="1">
        <v>0</v>
      </c>
      <c r="U5277" s="1">
        <v>0</v>
      </c>
      <c r="V5277" s="1" t="str">
        <f>"里程去程"</f>
        <v>里程去程</v>
      </c>
      <c r="W5277" s="1" t="str">
        <f>"2120"</f>
        <v>2120</v>
      </c>
      <c r="X5277" s="1" t="s">
        <v>35</v>
      </c>
    </row>
    <row r="5278" spans="1:24" x14ac:dyDescent="0.3">
      <c r="A5278" s="1" t="str">
        <f t="shared" si="1008"/>
        <v>59809</v>
      </c>
      <c r="B5278" s="1" t="s">
        <v>42</v>
      </c>
      <c r="C5278" s="1" t="s">
        <v>43</v>
      </c>
      <c r="D5278" s="1" t="str">
        <f>"9805"</f>
        <v>9805</v>
      </c>
      <c r="E5278" s="1" t="s">
        <v>57</v>
      </c>
      <c r="F5278" s="1" t="str">
        <f>"1067769797"</f>
        <v>1067769797</v>
      </c>
      <c r="G5278" s="1" t="s">
        <v>33</v>
      </c>
      <c r="H5278" s="1" t="str">
        <f t="shared" si="1009"/>
        <v>20220925</v>
      </c>
      <c r="I5278" s="1" t="str">
        <f>"212740"</f>
        <v>212740</v>
      </c>
      <c r="J5278" s="1" t="s">
        <v>79</v>
      </c>
      <c r="K5278" s="1" t="s">
        <v>28</v>
      </c>
      <c r="L5278" s="1" t="str">
        <f t="shared" si="1010"/>
        <v>20220925</v>
      </c>
      <c r="M5278" s="1" t="str">
        <f>"213112"</f>
        <v>213112</v>
      </c>
      <c r="N5278" s="1" t="s">
        <v>61</v>
      </c>
      <c r="O5278" s="1" t="s">
        <v>28</v>
      </c>
      <c r="P5278" s="1" t="s">
        <v>55</v>
      </c>
      <c r="Q5278" s="1">
        <v>25</v>
      </c>
      <c r="R5278" s="1">
        <v>0</v>
      </c>
      <c r="S5278" s="1">
        <v>25</v>
      </c>
      <c r="T5278" s="1">
        <v>0</v>
      </c>
      <c r="U5278" s="1">
        <v>0</v>
      </c>
      <c r="V5278" s="1" t="str">
        <f>"里程去程"</f>
        <v>里程去程</v>
      </c>
      <c r="W5278" s="1" t="str">
        <f>"0820"</f>
        <v>0820</v>
      </c>
      <c r="X5278" s="1" t="s">
        <v>35</v>
      </c>
    </row>
    <row r="5279" spans="1:24" x14ac:dyDescent="0.3">
      <c r="A5279" s="1" t="str">
        <f t="shared" ref="A5279:A5316" si="1014">"59820"</f>
        <v>59820</v>
      </c>
      <c r="B5279" s="1" t="s">
        <v>53</v>
      </c>
      <c r="C5279" s="1" t="s">
        <v>54</v>
      </c>
      <c r="D5279" s="1" t="str">
        <f t="shared" ref="D5279:D5293" si="1015">"9801"</f>
        <v>9801</v>
      </c>
      <c r="E5279" s="1" t="s">
        <v>25</v>
      </c>
      <c r="F5279" s="1" t="str">
        <f>"903F7B7AAE880400468F755961003011"</f>
        <v>903F7B7AAE880400468F755961003011</v>
      </c>
      <c r="G5279" s="1" t="s">
        <v>58</v>
      </c>
      <c r="H5279" s="1" t="str">
        <f t="shared" si="1009"/>
        <v>20220925</v>
      </c>
      <c r="I5279" s="1" t="str">
        <f>"093944"</f>
        <v>093944</v>
      </c>
      <c r="J5279" s="1" t="s">
        <v>56</v>
      </c>
      <c r="K5279" s="1" t="s">
        <v>45</v>
      </c>
      <c r="L5279" s="1" t="str">
        <f t="shared" si="1010"/>
        <v>20220925</v>
      </c>
      <c r="M5279" s="1" t="str">
        <f>"095137"</f>
        <v>095137</v>
      </c>
      <c r="N5279" s="1" t="s">
        <v>28</v>
      </c>
      <c r="O5279" s="1" t="s">
        <v>28</v>
      </c>
      <c r="P5279" s="1" t="s">
        <v>55</v>
      </c>
      <c r="Q5279" s="1">
        <v>25</v>
      </c>
      <c r="R5279" s="1">
        <v>25</v>
      </c>
      <c r="S5279" s="1">
        <v>0</v>
      </c>
      <c r="T5279" s="1">
        <v>0</v>
      </c>
      <c r="U5279" s="1">
        <v>0</v>
      </c>
      <c r="V5279" s="1" t="str">
        <f t="shared" ref="V5279:V5294" si="1016">"里程返程"</f>
        <v>里程返程</v>
      </c>
      <c r="W5279" s="1" t="str">
        <f>"0020"</f>
        <v>0020</v>
      </c>
      <c r="X5279" s="1" t="s">
        <v>29</v>
      </c>
    </row>
    <row r="5280" spans="1:24" x14ac:dyDescent="0.3">
      <c r="A5280" s="1" t="str">
        <f t="shared" si="1014"/>
        <v>59820</v>
      </c>
      <c r="B5280" s="1" t="s">
        <v>53</v>
      </c>
      <c r="C5280" s="1" t="s">
        <v>54</v>
      </c>
      <c r="D5280" s="1" t="str">
        <f t="shared" si="1015"/>
        <v>9801</v>
      </c>
      <c r="E5280" s="1" t="s">
        <v>25</v>
      </c>
      <c r="F5280" s="1" t="str">
        <f>"8A551A4782880400C185149861304312"</f>
        <v>8A551A4782880400C185149861304312</v>
      </c>
      <c r="G5280" s="1" t="s">
        <v>58</v>
      </c>
      <c r="H5280" s="1" t="str">
        <f t="shared" si="1009"/>
        <v>20220925</v>
      </c>
      <c r="I5280" s="1" t="str">
        <f>"093952"</f>
        <v>093952</v>
      </c>
      <c r="J5280" s="1" t="s">
        <v>56</v>
      </c>
      <c r="K5280" s="1" t="s">
        <v>45</v>
      </c>
      <c r="L5280" s="1" t="str">
        <f t="shared" si="1010"/>
        <v>20220925</v>
      </c>
      <c r="M5280" s="1" t="str">
        <f>"095132"</f>
        <v>095132</v>
      </c>
      <c r="N5280" s="1" t="s">
        <v>28</v>
      </c>
      <c r="O5280" s="1" t="s">
        <v>28</v>
      </c>
      <c r="P5280" s="1" t="s">
        <v>55</v>
      </c>
      <c r="Q5280" s="1">
        <v>25</v>
      </c>
      <c r="R5280" s="1">
        <v>25</v>
      </c>
      <c r="S5280" s="1">
        <v>0</v>
      </c>
      <c r="T5280" s="1">
        <v>0</v>
      </c>
      <c r="U5280" s="1">
        <v>0</v>
      </c>
      <c r="V5280" s="1" t="str">
        <f t="shared" si="1016"/>
        <v>里程返程</v>
      </c>
      <c r="W5280" s="1" t="str">
        <f>"0020"</f>
        <v>0020</v>
      </c>
      <c r="X5280" s="1" t="s">
        <v>29</v>
      </c>
    </row>
    <row r="5281" spans="1:24" x14ac:dyDescent="0.3">
      <c r="A5281" s="1" t="str">
        <f t="shared" si="1014"/>
        <v>59820</v>
      </c>
      <c r="B5281" s="1" t="s">
        <v>53</v>
      </c>
      <c r="C5281" s="1" t="s">
        <v>54</v>
      </c>
      <c r="D5281" s="1" t="str">
        <f t="shared" si="1015"/>
        <v>9801</v>
      </c>
      <c r="E5281" s="1" t="s">
        <v>25</v>
      </c>
      <c r="F5281" s="1" t="str">
        <f>"F13B475DD08804004325C3F9000E0C0F"</f>
        <v>F13B475DD08804004325C3F9000E0C0F</v>
      </c>
      <c r="G5281" s="1" t="s">
        <v>64</v>
      </c>
      <c r="H5281" s="1" t="str">
        <f t="shared" si="1009"/>
        <v>20220925</v>
      </c>
      <c r="I5281" s="1" t="str">
        <f>"095145"</f>
        <v>095145</v>
      </c>
      <c r="J5281" s="1" t="s">
        <v>28</v>
      </c>
      <c r="K5281" s="1" t="s">
        <v>28</v>
      </c>
      <c r="L5281" s="1" t="str">
        <f t="shared" si="1010"/>
        <v>20220925</v>
      </c>
      <c r="M5281" s="1" t="str">
        <f>"101421"</f>
        <v>101421</v>
      </c>
      <c r="N5281" s="1" t="s">
        <v>65</v>
      </c>
      <c r="O5281" s="1" t="s">
        <v>52</v>
      </c>
      <c r="P5281" s="1" t="s">
        <v>55</v>
      </c>
      <c r="Q5281" s="1">
        <v>13</v>
      </c>
      <c r="R5281" s="1">
        <v>13</v>
      </c>
      <c r="S5281" s="1">
        <v>0</v>
      </c>
      <c r="T5281" s="1">
        <v>0</v>
      </c>
      <c r="U5281" s="1">
        <v>0</v>
      </c>
      <c r="V5281" s="1" t="str">
        <f t="shared" si="1016"/>
        <v>里程返程</v>
      </c>
      <c r="W5281" s="1" t="str">
        <f>"0020"</f>
        <v>0020</v>
      </c>
      <c r="X5281" s="1" t="s">
        <v>29</v>
      </c>
    </row>
    <row r="5282" spans="1:24" x14ac:dyDescent="0.3">
      <c r="A5282" s="1" t="str">
        <f t="shared" si="1014"/>
        <v>59820</v>
      </c>
      <c r="B5282" s="1" t="s">
        <v>53</v>
      </c>
      <c r="C5282" s="1" t="s">
        <v>54</v>
      </c>
      <c r="D5282" s="1" t="str">
        <f t="shared" si="1015"/>
        <v>9801</v>
      </c>
      <c r="E5282" s="1" t="s">
        <v>25</v>
      </c>
      <c r="F5282" s="1" t="str">
        <f>"635703217"</f>
        <v>635703217</v>
      </c>
      <c r="G5282" s="1" t="s">
        <v>33</v>
      </c>
      <c r="H5282" s="1" t="str">
        <f t="shared" si="1009"/>
        <v>20220925</v>
      </c>
      <c r="I5282" s="1" t="str">
        <f>"095150"</f>
        <v>095150</v>
      </c>
      <c r="J5282" s="1" t="s">
        <v>28</v>
      </c>
      <c r="K5282" s="1" t="s">
        <v>28</v>
      </c>
      <c r="L5282" s="1" t="str">
        <f t="shared" si="1010"/>
        <v>20220925</v>
      </c>
      <c r="M5282" s="1" t="str">
        <f>"100606"</f>
        <v>100606</v>
      </c>
      <c r="N5282" s="1" t="s">
        <v>69</v>
      </c>
      <c r="O5282" s="1" t="s">
        <v>52</v>
      </c>
      <c r="P5282" s="1" t="s">
        <v>55</v>
      </c>
      <c r="Q5282" s="1">
        <v>25</v>
      </c>
      <c r="R5282" s="1">
        <v>25</v>
      </c>
      <c r="S5282" s="1">
        <v>0</v>
      </c>
      <c r="T5282" s="1">
        <v>0</v>
      </c>
      <c r="U5282" s="1">
        <v>0</v>
      </c>
      <c r="V5282" s="1" t="str">
        <f t="shared" si="1016"/>
        <v>里程返程</v>
      </c>
      <c r="W5282" s="1" t="str">
        <f>"0220"</f>
        <v>0220</v>
      </c>
      <c r="X5282" s="1" t="s">
        <v>35</v>
      </c>
    </row>
    <row r="5283" spans="1:24" x14ac:dyDescent="0.3">
      <c r="A5283" s="1" t="str">
        <f t="shared" si="1014"/>
        <v>59820</v>
      </c>
      <c r="B5283" s="1" t="s">
        <v>53</v>
      </c>
      <c r="C5283" s="1" t="s">
        <v>54</v>
      </c>
      <c r="D5283" s="1" t="str">
        <f t="shared" si="1015"/>
        <v>9801</v>
      </c>
      <c r="E5283" s="1" t="s">
        <v>25</v>
      </c>
      <c r="F5283" s="1" t="str">
        <f>"942983973"</f>
        <v>942983973</v>
      </c>
      <c r="G5283" s="1" t="s">
        <v>33</v>
      </c>
      <c r="H5283" s="1" t="str">
        <f t="shared" si="1009"/>
        <v>20220925</v>
      </c>
      <c r="I5283" s="1" t="str">
        <f>"095223"</f>
        <v>095223</v>
      </c>
      <c r="J5283" s="1" t="s">
        <v>28</v>
      </c>
      <c r="K5283" s="1" t="s">
        <v>28</v>
      </c>
      <c r="L5283" s="1" t="str">
        <f t="shared" si="1010"/>
        <v>20220925</v>
      </c>
      <c r="M5283" s="1" t="str">
        <f>"101529"</f>
        <v>101529</v>
      </c>
      <c r="N5283" s="1" t="s">
        <v>72</v>
      </c>
      <c r="O5283" s="1" t="s">
        <v>52</v>
      </c>
      <c r="P5283" s="1" t="s">
        <v>55</v>
      </c>
      <c r="Q5283" s="1">
        <v>25</v>
      </c>
      <c r="R5283" s="1">
        <v>0</v>
      </c>
      <c r="S5283" s="1">
        <v>25</v>
      </c>
      <c r="T5283" s="1">
        <v>0</v>
      </c>
      <c r="U5283" s="1">
        <v>0</v>
      </c>
      <c r="V5283" s="1" t="str">
        <f t="shared" si="1016"/>
        <v>里程返程</v>
      </c>
      <c r="W5283" s="1" t="str">
        <f>"2120"</f>
        <v>2120</v>
      </c>
      <c r="X5283" s="1" t="s">
        <v>35</v>
      </c>
    </row>
    <row r="5284" spans="1:24" x14ac:dyDescent="0.3">
      <c r="A5284" s="1" t="str">
        <f t="shared" si="1014"/>
        <v>59820</v>
      </c>
      <c r="B5284" s="1" t="s">
        <v>53</v>
      </c>
      <c r="C5284" s="1" t="s">
        <v>54</v>
      </c>
      <c r="D5284" s="1" t="str">
        <f t="shared" si="1015"/>
        <v>9801</v>
      </c>
      <c r="E5284" s="1" t="s">
        <v>25</v>
      </c>
      <c r="F5284" s="1" t="str">
        <f>"848112533"</f>
        <v>848112533</v>
      </c>
      <c r="G5284" s="1" t="s">
        <v>33</v>
      </c>
      <c r="H5284" s="1" t="str">
        <f t="shared" si="1009"/>
        <v>20220925</v>
      </c>
      <c r="I5284" s="1" t="str">
        <f>"095225"</f>
        <v>095225</v>
      </c>
      <c r="J5284" s="1" t="s">
        <v>28</v>
      </c>
      <c r="K5284" s="1" t="s">
        <v>28</v>
      </c>
      <c r="L5284" s="1" t="str">
        <f t="shared" si="1010"/>
        <v>20220925</v>
      </c>
      <c r="M5284" s="1" t="str">
        <f>"101527"</f>
        <v>101527</v>
      </c>
      <c r="N5284" s="1" t="s">
        <v>72</v>
      </c>
      <c r="O5284" s="1" t="s">
        <v>52</v>
      </c>
      <c r="P5284" s="1" t="s">
        <v>55</v>
      </c>
      <c r="Q5284" s="1">
        <v>25</v>
      </c>
      <c r="R5284" s="1">
        <v>0</v>
      </c>
      <c r="S5284" s="1">
        <v>25</v>
      </c>
      <c r="T5284" s="1">
        <v>0</v>
      </c>
      <c r="U5284" s="1">
        <v>0</v>
      </c>
      <c r="V5284" s="1" t="str">
        <f t="shared" si="1016"/>
        <v>里程返程</v>
      </c>
      <c r="W5284" s="1" t="str">
        <f>"0820"</f>
        <v>0820</v>
      </c>
      <c r="X5284" s="1" t="s">
        <v>35</v>
      </c>
    </row>
    <row r="5285" spans="1:24" x14ac:dyDescent="0.3">
      <c r="A5285" s="1" t="str">
        <f t="shared" si="1014"/>
        <v>59820</v>
      </c>
      <c r="B5285" s="1" t="s">
        <v>53</v>
      </c>
      <c r="C5285" s="1" t="s">
        <v>54</v>
      </c>
      <c r="D5285" s="1" t="str">
        <f t="shared" si="1015"/>
        <v>9801</v>
      </c>
      <c r="E5285" s="1" t="s">
        <v>25</v>
      </c>
      <c r="F5285" s="1" t="str">
        <f>"2754738095"</f>
        <v>2754738095</v>
      </c>
      <c r="G5285" s="1" t="s">
        <v>33</v>
      </c>
      <c r="H5285" s="1" t="str">
        <f t="shared" si="1009"/>
        <v>20220925</v>
      </c>
      <c r="I5285" s="1" t="str">
        <f>"095252"</f>
        <v>095252</v>
      </c>
      <c r="J5285" s="1" t="s">
        <v>28</v>
      </c>
      <c r="K5285" s="1" t="s">
        <v>28</v>
      </c>
      <c r="L5285" s="1" t="str">
        <f t="shared" si="1010"/>
        <v>20220925</v>
      </c>
      <c r="M5285" s="1" t="str">
        <f>"102401"</f>
        <v>102401</v>
      </c>
      <c r="N5285" s="1" t="s">
        <v>52</v>
      </c>
      <c r="O5285" s="1" t="s">
        <v>52</v>
      </c>
      <c r="P5285" s="1" t="s">
        <v>55</v>
      </c>
      <c r="Q5285" s="1">
        <v>25</v>
      </c>
      <c r="R5285" s="1">
        <v>25</v>
      </c>
      <c r="S5285" s="1">
        <v>0</v>
      </c>
      <c r="T5285" s="1">
        <v>0</v>
      </c>
      <c r="U5285" s="1">
        <v>0</v>
      </c>
      <c r="V5285" s="1" t="str">
        <f t="shared" si="1016"/>
        <v>里程返程</v>
      </c>
      <c r="W5285" s="1" t="str">
        <f>"2120"</f>
        <v>2120</v>
      </c>
      <c r="X5285" s="1" t="s">
        <v>35</v>
      </c>
    </row>
    <row r="5286" spans="1:24" x14ac:dyDescent="0.3">
      <c r="A5286" s="1" t="str">
        <f t="shared" si="1014"/>
        <v>59820</v>
      </c>
      <c r="B5286" s="1" t="s">
        <v>53</v>
      </c>
      <c r="C5286" s="1" t="s">
        <v>54</v>
      </c>
      <c r="D5286" s="1" t="str">
        <f t="shared" si="1015"/>
        <v>9801</v>
      </c>
      <c r="E5286" s="1" t="s">
        <v>25</v>
      </c>
      <c r="F5286" s="1" t="str">
        <f>"F11D4C63C32804001C00000000000000"</f>
        <v>F11D4C63C32804001C00000000000000</v>
      </c>
      <c r="G5286" s="1" t="s">
        <v>58</v>
      </c>
      <c r="H5286" s="1" t="str">
        <f t="shared" si="1009"/>
        <v>20220925</v>
      </c>
      <c r="I5286" s="1" t="str">
        <f>"095259"</f>
        <v>095259</v>
      </c>
      <c r="J5286" s="1" t="s">
        <v>28</v>
      </c>
      <c r="K5286" s="1" t="s">
        <v>28</v>
      </c>
      <c r="L5286" s="1" t="str">
        <f t="shared" si="1010"/>
        <v>20220925</v>
      </c>
      <c r="M5286" s="1" t="str">
        <f>"102359"</f>
        <v>102359</v>
      </c>
      <c r="N5286" s="1" t="s">
        <v>52</v>
      </c>
      <c r="O5286" s="1" t="s">
        <v>52</v>
      </c>
      <c r="P5286" s="1" t="s">
        <v>55</v>
      </c>
      <c r="Q5286" s="1">
        <v>25</v>
      </c>
      <c r="R5286" s="1">
        <v>25</v>
      </c>
      <c r="S5286" s="1">
        <v>0</v>
      </c>
      <c r="T5286" s="1">
        <v>0</v>
      </c>
      <c r="U5286" s="1">
        <v>0</v>
      </c>
      <c r="V5286" s="1" t="str">
        <f t="shared" si="1016"/>
        <v>里程返程</v>
      </c>
      <c r="W5286" s="1" t="str">
        <f>"0020"</f>
        <v>0020</v>
      </c>
      <c r="X5286" s="1" t="s">
        <v>29</v>
      </c>
    </row>
    <row r="5287" spans="1:24" x14ac:dyDescent="0.3">
      <c r="A5287" s="1" t="str">
        <f t="shared" si="1014"/>
        <v>59820</v>
      </c>
      <c r="B5287" s="1" t="s">
        <v>53</v>
      </c>
      <c r="C5287" s="1" t="s">
        <v>54</v>
      </c>
      <c r="D5287" s="1" t="str">
        <f t="shared" si="1015"/>
        <v>9801</v>
      </c>
      <c r="E5287" s="1" t="s">
        <v>25</v>
      </c>
      <c r="F5287" s="1" t="str">
        <f>"4251460257880400C821002000000015"</f>
        <v>4251460257880400C821002000000015</v>
      </c>
      <c r="G5287" s="1" t="s">
        <v>26</v>
      </c>
      <c r="H5287" s="1" t="str">
        <f t="shared" ref="H5287:H5318" si="1017">"20220925"</f>
        <v>20220925</v>
      </c>
      <c r="I5287" s="1" t="str">
        <f>"104311"</f>
        <v>104311</v>
      </c>
      <c r="J5287" s="1" t="s">
        <v>45</v>
      </c>
      <c r="K5287" s="1" t="s">
        <v>45</v>
      </c>
      <c r="L5287" s="1" t="str">
        <f t="shared" ref="L5287:L5318" si="1018">"20220925"</f>
        <v>20220925</v>
      </c>
      <c r="M5287" s="1" t="str">
        <f>"110603"</f>
        <v>110603</v>
      </c>
      <c r="N5287" s="1" t="s">
        <v>69</v>
      </c>
      <c r="O5287" s="1" t="s">
        <v>52</v>
      </c>
      <c r="P5287" s="1" t="s">
        <v>68</v>
      </c>
      <c r="Q5287" s="1">
        <v>25</v>
      </c>
      <c r="R5287" s="1">
        <v>0</v>
      </c>
      <c r="S5287" s="1">
        <v>0</v>
      </c>
      <c r="T5287" s="1">
        <v>25</v>
      </c>
      <c r="U5287" s="1">
        <v>0</v>
      </c>
      <c r="V5287" s="1" t="str">
        <f t="shared" si="1016"/>
        <v>里程返程</v>
      </c>
      <c r="W5287" s="1" t="str">
        <f>"0020"</f>
        <v>0020</v>
      </c>
      <c r="X5287" s="1" t="s">
        <v>29</v>
      </c>
    </row>
    <row r="5288" spans="1:24" x14ac:dyDescent="0.3">
      <c r="A5288" s="1" t="str">
        <f t="shared" si="1014"/>
        <v>59820</v>
      </c>
      <c r="B5288" s="1" t="s">
        <v>53</v>
      </c>
      <c r="C5288" s="1" t="s">
        <v>54</v>
      </c>
      <c r="D5288" s="1" t="str">
        <f t="shared" si="1015"/>
        <v>9801</v>
      </c>
      <c r="E5288" s="1" t="s">
        <v>25</v>
      </c>
      <c r="F5288" s="1" t="str">
        <f>"82D5FB02AE880400C834002000000015"</f>
        <v>82D5FB02AE880400C834002000000015</v>
      </c>
      <c r="G5288" s="1" t="s">
        <v>26</v>
      </c>
      <c r="H5288" s="1" t="str">
        <f t="shared" si="1017"/>
        <v>20220925</v>
      </c>
      <c r="I5288" s="1" t="str">
        <f>"111557"</f>
        <v>111557</v>
      </c>
      <c r="J5288" s="1" t="s">
        <v>72</v>
      </c>
      <c r="K5288" s="1" t="s">
        <v>52</v>
      </c>
      <c r="L5288" s="1" t="str">
        <f t="shared" si="1018"/>
        <v>20220925</v>
      </c>
      <c r="M5288" s="1" t="str">
        <f>"111831"</f>
        <v>111831</v>
      </c>
      <c r="N5288" s="1" t="s">
        <v>51</v>
      </c>
      <c r="O5288" s="1" t="s">
        <v>52</v>
      </c>
      <c r="P5288" s="1" t="s">
        <v>68</v>
      </c>
      <c r="Q5288" s="1">
        <v>13</v>
      </c>
      <c r="R5288" s="1">
        <v>0</v>
      </c>
      <c r="S5288" s="1">
        <v>0</v>
      </c>
      <c r="T5288" s="1">
        <v>13</v>
      </c>
      <c r="U5288" s="1">
        <v>0</v>
      </c>
      <c r="V5288" s="1" t="str">
        <f t="shared" si="1016"/>
        <v>里程返程</v>
      </c>
      <c r="W5288" s="1" t="str">
        <f>"0020"</f>
        <v>0020</v>
      </c>
      <c r="X5288" s="1" t="s">
        <v>29</v>
      </c>
    </row>
    <row r="5289" spans="1:24" x14ac:dyDescent="0.3">
      <c r="A5289" s="1" t="str">
        <f t="shared" si="1014"/>
        <v>59820</v>
      </c>
      <c r="B5289" s="1" t="s">
        <v>53</v>
      </c>
      <c r="C5289" s="1" t="s">
        <v>54</v>
      </c>
      <c r="D5289" s="1" t="str">
        <f t="shared" si="1015"/>
        <v>9801</v>
      </c>
      <c r="E5289" s="1" t="s">
        <v>25</v>
      </c>
      <c r="F5289" s="1" t="str">
        <f>"734641205"</f>
        <v>734641205</v>
      </c>
      <c r="G5289" s="1" t="s">
        <v>33</v>
      </c>
      <c r="H5289" s="1" t="str">
        <f t="shared" si="1017"/>
        <v>20220925</v>
      </c>
      <c r="I5289" s="1" t="str">
        <f>"115211"</f>
        <v>115211</v>
      </c>
      <c r="J5289" s="1" t="s">
        <v>28</v>
      </c>
      <c r="K5289" s="1" t="s">
        <v>28</v>
      </c>
      <c r="L5289" s="1" t="str">
        <f t="shared" si="1018"/>
        <v>20220925</v>
      </c>
      <c r="M5289" s="1" t="str">
        <f>"121401"</f>
        <v>121401</v>
      </c>
      <c r="N5289" s="1" t="s">
        <v>65</v>
      </c>
      <c r="O5289" s="1" t="s">
        <v>52</v>
      </c>
      <c r="P5289" s="1" t="s">
        <v>55</v>
      </c>
      <c r="Q5289" s="1">
        <v>25</v>
      </c>
      <c r="R5289" s="1">
        <v>0</v>
      </c>
      <c r="S5289" s="1">
        <v>25</v>
      </c>
      <c r="T5289" s="1">
        <v>0</v>
      </c>
      <c r="U5289" s="1">
        <v>0</v>
      </c>
      <c r="V5289" s="1" t="str">
        <f t="shared" si="1016"/>
        <v>里程返程</v>
      </c>
      <c r="W5289" s="1" t="str">
        <f>"0820"</f>
        <v>0820</v>
      </c>
      <c r="X5289" s="1" t="s">
        <v>35</v>
      </c>
    </row>
    <row r="5290" spans="1:24" x14ac:dyDescent="0.3">
      <c r="A5290" s="1" t="str">
        <f t="shared" si="1014"/>
        <v>59820</v>
      </c>
      <c r="B5290" s="1" t="s">
        <v>53</v>
      </c>
      <c r="C5290" s="1" t="s">
        <v>54</v>
      </c>
      <c r="D5290" s="1" t="str">
        <f t="shared" si="1015"/>
        <v>9801</v>
      </c>
      <c r="E5290" s="1" t="s">
        <v>25</v>
      </c>
      <c r="F5290" s="1" t="str">
        <f>"212A65234D8804004328148200120112"</f>
        <v>212A65234D8804004328148200120112</v>
      </c>
      <c r="G5290" s="1" t="s">
        <v>74</v>
      </c>
      <c r="H5290" s="1" t="str">
        <f t="shared" si="1017"/>
        <v>20220925</v>
      </c>
      <c r="I5290" s="1" t="str">
        <f>"115220"</f>
        <v>115220</v>
      </c>
      <c r="J5290" s="1" t="s">
        <v>28</v>
      </c>
      <c r="K5290" s="1" t="s">
        <v>28</v>
      </c>
      <c r="L5290" s="1" t="str">
        <f t="shared" si="1018"/>
        <v>20220925</v>
      </c>
      <c r="M5290" s="1" t="str">
        <f>"121408"</f>
        <v>121408</v>
      </c>
      <c r="N5290" s="1" t="s">
        <v>65</v>
      </c>
      <c r="O5290" s="1" t="s">
        <v>52</v>
      </c>
      <c r="P5290" s="1" t="s">
        <v>55</v>
      </c>
      <c r="Q5290" s="1">
        <v>13</v>
      </c>
      <c r="R5290" s="1">
        <v>0</v>
      </c>
      <c r="S5290" s="1">
        <v>13</v>
      </c>
      <c r="T5290" s="1">
        <v>0</v>
      </c>
      <c r="U5290" s="1">
        <v>0</v>
      </c>
      <c r="V5290" s="1" t="str">
        <f t="shared" si="1016"/>
        <v>里程返程</v>
      </c>
      <c r="W5290" s="1" t="str">
        <f>"0620"</f>
        <v>0620</v>
      </c>
      <c r="X5290" s="1" t="s">
        <v>29</v>
      </c>
    </row>
    <row r="5291" spans="1:24" x14ac:dyDescent="0.3">
      <c r="A5291" s="1" t="str">
        <f t="shared" si="1014"/>
        <v>59820</v>
      </c>
      <c r="B5291" s="1" t="s">
        <v>53</v>
      </c>
      <c r="C5291" s="1" t="s">
        <v>54</v>
      </c>
      <c r="D5291" s="1" t="str">
        <f t="shared" si="1015"/>
        <v>9801</v>
      </c>
      <c r="E5291" s="1" t="s">
        <v>25</v>
      </c>
      <c r="F5291" s="1" t="str">
        <f>"F172A425028804004328091300040212"</f>
        <v>F172A425028804004328091300040212</v>
      </c>
      <c r="G5291" s="1" t="s">
        <v>102</v>
      </c>
      <c r="H5291" s="1" t="str">
        <f t="shared" si="1017"/>
        <v>20220925</v>
      </c>
      <c r="I5291" s="1" t="str">
        <f>"115223"</f>
        <v>115223</v>
      </c>
      <c r="J5291" s="1" t="s">
        <v>28</v>
      </c>
      <c r="K5291" s="1" t="s">
        <v>28</v>
      </c>
      <c r="L5291" s="1" t="str">
        <f t="shared" si="1018"/>
        <v>20220925</v>
      </c>
      <c r="M5291" s="1" t="str">
        <f>"121412"</f>
        <v>121412</v>
      </c>
      <c r="N5291" s="1" t="s">
        <v>65</v>
      </c>
      <c r="O5291" s="1" t="s">
        <v>52</v>
      </c>
      <c r="P5291" s="1" t="s">
        <v>55</v>
      </c>
      <c r="Q5291" s="1">
        <v>13</v>
      </c>
      <c r="R5291" s="1">
        <v>0</v>
      </c>
      <c r="S5291" s="1">
        <v>13</v>
      </c>
      <c r="T5291" s="1">
        <v>0</v>
      </c>
      <c r="U5291" s="1">
        <v>0</v>
      </c>
      <c r="V5291" s="1" t="str">
        <f t="shared" si="1016"/>
        <v>里程返程</v>
      </c>
      <c r="W5291" s="1" t="str">
        <f>"0620"</f>
        <v>0620</v>
      </c>
      <c r="X5291" s="1" t="s">
        <v>29</v>
      </c>
    </row>
    <row r="5292" spans="1:24" x14ac:dyDescent="0.3">
      <c r="A5292" s="1" t="str">
        <f t="shared" si="1014"/>
        <v>59820</v>
      </c>
      <c r="B5292" s="1" t="s">
        <v>53</v>
      </c>
      <c r="C5292" s="1" t="s">
        <v>54</v>
      </c>
      <c r="D5292" s="1" t="str">
        <f t="shared" si="1015"/>
        <v>9801</v>
      </c>
      <c r="E5292" s="1" t="s">
        <v>25</v>
      </c>
      <c r="F5292" s="1" t="str">
        <f>"1435122465"</f>
        <v>1435122465</v>
      </c>
      <c r="G5292" s="1" t="s">
        <v>33</v>
      </c>
      <c r="H5292" s="1" t="str">
        <f t="shared" si="1017"/>
        <v>20220925</v>
      </c>
      <c r="I5292" s="1" t="str">
        <f>"115230"</f>
        <v>115230</v>
      </c>
      <c r="J5292" s="1" t="s">
        <v>28</v>
      </c>
      <c r="K5292" s="1" t="s">
        <v>28</v>
      </c>
      <c r="L5292" s="1" t="str">
        <f t="shared" si="1018"/>
        <v>20220925</v>
      </c>
      <c r="M5292" s="1" t="str">
        <f>"121449"</f>
        <v>121449</v>
      </c>
      <c r="N5292" s="1" t="s">
        <v>65</v>
      </c>
      <c r="O5292" s="1" t="s">
        <v>52</v>
      </c>
      <c r="P5292" s="1" t="s">
        <v>55</v>
      </c>
      <c r="Q5292" s="1">
        <v>25</v>
      </c>
      <c r="R5292" s="1">
        <v>25</v>
      </c>
      <c r="S5292" s="1">
        <v>0</v>
      </c>
      <c r="T5292" s="1">
        <v>0</v>
      </c>
      <c r="U5292" s="1">
        <v>0</v>
      </c>
      <c r="V5292" s="1" t="str">
        <f t="shared" si="1016"/>
        <v>里程返程</v>
      </c>
      <c r="W5292" s="1" t="str">
        <f>"0020"</f>
        <v>0020</v>
      </c>
      <c r="X5292" s="1" t="s">
        <v>35</v>
      </c>
    </row>
    <row r="5293" spans="1:24" x14ac:dyDescent="0.3">
      <c r="A5293" s="1" t="str">
        <f t="shared" si="1014"/>
        <v>59820</v>
      </c>
      <c r="B5293" s="1" t="s">
        <v>53</v>
      </c>
      <c r="C5293" s="1" t="s">
        <v>54</v>
      </c>
      <c r="D5293" s="1" t="str">
        <f t="shared" si="1015"/>
        <v>9801</v>
      </c>
      <c r="E5293" s="1" t="s">
        <v>25</v>
      </c>
      <c r="F5293" s="1" t="str">
        <f>"1740615365"</f>
        <v>1740615365</v>
      </c>
      <c r="G5293" s="1" t="s">
        <v>33</v>
      </c>
      <c r="H5293" s="1" t="str">
        <f t="shared" si="1017"/>
        <v>20220925</v>
      </c>
      <c r="I5293" s="1" t="str">
        <f>"115246"</f>
        <v>115246</v>
      </c>
      <c r="J5293" s="1" t="s">
        <v>28</v>
      </c>
      <c r="K5293" s="1" t="s">
        <v>28</v>
      </c>
      <c r="L5293" s="1" t="str">
        <f t="shared" si="1018"/>
        <v>20220925</v>
      </c>
      <c r="M5293" s="1" t="str">
        <f>"121452"</f>
        <v>121452</v>
      </c>
      <c r="N5293" s="1" t="s">
        <v>65</v>
      </c>
      <c r="O5293" s="1" t="s">
        <v>52</v>
      </c>
      <c r="P5293" s="1" t="s">
        <v>55</v>
      </c>
      <c r="Q5293" s="1">
        <v>25</v>
      </c>
      <c r="R5293" s="1">
        <v>0</v>
      </c>
      <c r="S5293" s="1">
        <v>25</v>
      </c>
      <c r="T5293" s="1">
        <v>0</v>
      </c>
      <c r="U5293" s="1">
        <v>0</v>
      </c>
      <c r="V5293" s="1" t="str">
        <f t="shared" si="1016"/>
        <v>里程返程</v>
      </c>
      <c r="W5293" s="1" t="str">
        <f>"0820"</f>
        <v>0820</v>
      </c>
      <c r="X5293" s="1" t="s">
        <v>35</v>
      </c>
    </row>
    <row r="5294" spans="1:24" x14ac:dyDescent="0.3">
      <c r="A5294" s="1" t="str">
        <f t="shared" si="1014"/>
        <v>59820</v>
      </c>
      <c r="B5294" s="1" t="s">
        <v>53</v>
      </c>
      <c r="C5294" s="1" t="s">
        <v>54</v>
      </c>
      <c r="D5294" s="1" t="str">
        <f>"9805"</f>
        <v>9805</v>
      </c>
      <c r="E5294" s="1" t="s">
        <v>57</v>
      </c>
      <c r="F5294" s="1" t="str">
        <f>"924D1A03C6880400C834002000000015"</f>
        <v>924D1A03C6880400C834002000000015</v>
      </c>
      <c r="G5294" s="1" t="s">
        <v>74</v>
      </c>
      <c r="H5294" s="1" t="str">
        <f t="shared" si="1017"/>
        <v>20220925</v>
      </c>
      <c r="I5294" s="1" t="str">
        <f>"133444"</f>
        <v>133444</v>
      </c>
      <c r="J5294" s="1" t="s">
        <v>62</v>
      </c>
      <c r="K5294" s="1" t="s">
        <v>28</v>
      </c>
      <c r="L5294" s="1" t="str">
        <f t="shared" si="1018"/>
        <v>20220925</v>
      </c>
      <c r="M5294" s="1" t="str">
        <f>"134620"</f>
        <v>134620</v>
      </c>
      <c r="N5294" s="1" t="s">
        <v>28</v>
      </c>
      <c r="O5294" s="1" t="s">
        <v>28</v>
      </c>
      <c r="P5294" s="1" t="s">
        <v>68</v>
      </c>
      <c r="Q5294" s="1">
        <v>13</v>
      </c>
      <c r="R5294" s="1">
        <v>0</v>
      </c>
      <c r="S5294" s="1">
        <v>0</v>
      </c>
      <c r="T5294" s="1">
        <v>13</v>
      </c>
      <c r="U5294" s="1">
        <v>0</v>
      </c>
      <c r="V5294" s="1" t="str">
        <f t="shared" si="1016"/>
        <v>里程返程</v>
      </c>
      <c r="W5294" s="1" t="str">
        <f>"0020"</f>
        <v>0020</v>
      </c>
      <c r="X5294" s="1" t="s">
        <v>29</v>
      </c>
    </row>
    <row r="5295" spans="1:24" x14ac:dyDescent="0.3">
      <c r="A5295" s="1" t="str">
        <f t="shared" si="1014"/>
        <v>59820</v>
      </c>
      <c r="B5295" s="1" t="s">
        <v>53</v>
      </c>
      <c r="C5295" s="1" t="s">
        <v>54</v>
      </c>
      <c r="D5295" s="1" t="str">
        <f>"9805"</f>
        <v>9805</v>
      </c>
      <c r="E5295" s="1" t="s">
        <v>57</v>
      </c>
      <c r="F5295" s="1" t="str">
        <f>"7511161290005753"</f>
        <v>7511161290005753</v>
      </c>
      <c r="G5295" s="1" t="s">
        <v>33</v>
      </c>
      <c r="H5295" s="1" t="str">
        <f t="shared" si="1017"/>
        <v>20220925</v>
      </c>
      <c r="I5295" s="1" t="str">
        <f>"142732"</f>
        <v>142732</v>
      </c>
      <c r="J5295" s="1" t="s">
        <v>28</v>
      </c>
      <c r="K5295" s="1" t="s">
        <v>28</v>
      </c>
      <c r="L5295" s="1" t="str">
        <f t="shared" si="1018"/>
        <v>20220925</v>
      </c>
      <c r="M5295" s="1" t="str">
        <f>"144644"</f>
        <v>144644</v>
      </c>
      <c r="N5295" s="1" t="s">
        <v>52</v>
      </c>
      <c r="O5295" s="1" t="s">
        <v>52</v>
      </c>
      <c r="P5295" s="1" t="s">
        <v>55</v>
      </c>
      <c r="Q5295" s="1">
        <v>25</v>
      </c>
      <c r="R5295" s="1">
        <v>25</v>
      </c>
      <c r="S5295" s="1">
        <v>0</v>
      </c>
      <c r="T5295" s="1">
        <v>0</v>
      </c>
      <c r="U5295" s="1">
        <v>0</v>
      </c>
      <c r="V5295" s="1" t="str">
        <f t="shared" ref="V5295:V5300" si="1019">"里程去程"</f>
        <v>里程去程</v>
      </c>
      <c r="W5295" s="1" t="str">
        <f>"088B"</f>
        <v>088B</v>
      </c>
      <c r="X5295" s="1" t="s">
        <v>109</v>
      </c>
    </row>
    <row r="5296" spans="1:24" x14ac:dyDescent="0.3">
      <c r="A5296" s="1" t="str">
        <f t="shared" si="1014"/>
        <v>59820</v>
      </c>
      <c r="B5296" s="1" t="s">
        <v>53</v>
      </c>
      <c r="C5296" s="1" t="s">
        <v>54</v>
      </c>
      <c r="D5296" s="1" t="str">
        <f>"9805"</f>
        <v>9805</v>
      </c>
      <c r="E5296" s="1" t="s">
        <v>57</v>
      </c>
      <c r="F5296" s="1" t="str">
        <f>"806467669"</f>
        <v>806467669</v>
      </c>
      <c r="G5296" s="1" t="s">
        <v>33</v>
      </c>
      <c r="H5296" s="1" t="str">
        <f t="shared" si="1017"/>
        <v>20220925</v>
      </c>
      <c r="I5296" s="1" t="str">
        <f>"142737"</f>
        <v>142737</v>
      </c>
      <c r="J5296" s="1" t="s">
        <v>28</v>
      </c>
      <c r="K5296" s="1" t="s">
        <v>28</v>
      </c>
      <c r="L5296" s="1" t="str">
        <f t="shared" si="1018"/>
        <v>20220925</v>
      </c>
      <c r="M5296" s="1" t="str">
        <f>"144651"</f>
        <v>144651</v>
      </c>
      <c r="N5296" s="1" t="s">
        <v>52</v>
      </c>
      <c r="O5296" s="1" t="s">
        <v>52</v>
      </c>
      <c r="P5296" s="1" t="s">
        <v>55</v>
      </c>
      <c r="Q5296" s="1">
        <v>25</v>
      </c>
      <c r="R5296" s="1">
        <v>25</v>
      </c>
      <c r="S5296" s="1">
        <v>0</v>
      </c>
      <c r="T5296" s="1">
        <v>0</v>
      </c>
      <c r="U5296" s="1">
        <v>0</v>
      </c>
      <c r="V5296" s="1" t="str">
        <f t="shared" si="1019"/>
        <v>里程去程</v>
      </c>
      <c r="W5296" s="1" t="str">
        <f>"2020"</f>
        <v>2020</v>
      </c>
      <c r="X5296" s="1" t="s">
        <v>35</v>
      </c>
    </row>
    <row r="5297" spans="1:24" x14ac:dyDescent="0.3">
      <c r="A5297" s="1" t="str">
        <f t="shared" si="1014"/>
        <v>59820</v>
      </c>
      <c r="B5297" s="1" t="s">
        <v>53</v>
      </c>
      <c r="C5297" s="1" t="s">
        <v>54</v>
      </c>
      <c r="D5297" s="1" t="str">
        <f>"9805"</f>
        <v>9805</v>
      </c>
      <c r="E5297" s="1" t="s">
        <v>57</v>
      </c>
      <c r="F5297" s="1" t="str">
        <f>"A1FD782602280400F700000000000000"</f>
        <v>A1FD782602280400F700000000000000</v>
      </c>
      <c r="G5297" s="1" t="s">
        <v>58</v>
      </c>
      <c r="H5297" s="1" t="str">
        <f t="shared" si="1017"/>
        <v>20220925</v>
      </c>
      <c r="I5297" s="1" t="str">
        <f>"142930"</f>
        <v>142930</v>
      </c>
      <c r="J5297" s="1" t="s">
        <v>28</v>
      </c>
      <c r="K5297" s="1" t="s">
        <v>28</v>
      </c>
      <c r="L5297" s="1" t="str">
        <f t="shared" si="1018"/>
        <v>20220925</v>
      </c>
      <c r="M5297" s="1" t="str">
        <f>"144640"</f>
        <v>144640</v>
      </c>
      <c r="N5297" s="1" t="s">
        <v>52</v>
      </c>
      <c r="O5297" s="1" t="s">
        <v>52</v>
      </c>
      <c r="P5297" s="1" t="s">
        <v>55</v>
      </c>
      <c r="Q5297" s="1">
        <v>25</v>
      </c>
      <c r="R5297" s="1">
        <v>25</v>
      </c>
      <c r="S5297" s="1">
        <v>0</v>
      </c>
      <c r="T5297" s="1">
        <v>0</v>
      </c>
      <c r="U5297" s="1">
        <v>0</v>
      </c>
      <c r="V5297" s="1" t="str">
        <f t="shared" si="1019"/>
        <v>里程去程</v>
      </c>
      <c r="W5297" s="1" t="str">
        <f>"0020"</f>
        <v>0020</v>
      </c>
      <c r="X5297" s="1" t="s">
        <v>29</v>
      </c>
    </row>
    <row r="5298" spans="1:24" x14ac:dyDescent="0.3">
      <c r="A5298" s="1" t="str">
        <f t="shared" si="1014"/>
        <v>59820</v>
      </c>
      <c r="B5298" s="1" t="s">
        <v>53</v>
      </c>
      <c r="C5298" s="1" t="s">
        <v>54</v>
      </c>
      <c r="D5298" s="1" t="str">
        <f>"9805"</f>
        <v>9805</v>
      </c>
      <c r="E5298" s="1" t="s">
        <v>57</v>
      </c>
      <c r="F5298" s="1" t="str">
        <f>"1074902213"</f>
        <v>1074902213</v>
      </c>
      <c r="G5298" s="1" t="s">
        <v>33</v>
      </c>
      <c r="H5298" s="1" t="str">
        <f t="shared" si="1017"/>
        <v>20220925</v>
      </c>
      <c r="I5298" s="1" t="str">
        <f>"142953"</f>
        <v>142953</v>
      </c>
      <c r="J5298" s="1" t="s">
        <v>28</v>
      </c>
      <c r="K5298" s="1" t="s">
        <v>28</v>
      </c>
      <c r="L5298" s="1" t="str">
        <f t="shared" si="1018"/>
        <v>20220925</v>
      </c>
      <c r="M5298" s="1" t="str">
        <f>"144648"</f>
        <v>144648</v>
      </c>
      <c r="N5298" s="1" t="s">
        <v>52</v>
      </c>
      <c r="O5298" s="1" t="s">
        <v>52</v>
      </c>
      <c r="P5298" s="1" t="s">
        <v>55</v>
      </c>
      <c r="Q5298" s="1">
        <v>25</v>
      </c>
      <c r="R5298" s="1">
        <v>0</v>
      </c>
      <c r="S5298" s="1">
        <v>25</v>
      </c>
      <c r="T5298" s="1">
        <v>0</v>
      </c>
      <c r="U5298" s="1">
        <v>0</v>
      </c>
      <c r="V5298" s="1" t="str">
        <f t="shared" si="1019"/>
        <v>里程去程</v>
      </c>
      <c r="W5298" s="1" t="str">
        <f>"2120"</f>
        <v>2120</v>
      </c>
      <c r="X5298" s="1" t="s">
        <v>35</v>
      </c>
    </row>
    <row r="5299" spans="1:24" x14ac:dyDescent="0.3">
      <c r="A5299" s="1" t="str">
        <f t="shared" si="1014"/>
        <v>59820</v>
      </c>
      <c r="B5299" s="1" t="s">
        <v>53</v>
      </c>
      <c r="C5299" s="1" t="s">
        <v>54</v>
      </c>
      <c r="D5299" s="1" t="str">
        <f t="shared" ref="D5299:D5306" si="1020">"9803"</f>
        <v>9803</v>
      </c>
      <c r="E5299" s="1" t="s">
        <v>32</v>
      </c>
      <c r="F5299" s="1" t="str">
        <f>"2065610870"</f>
        <v>2065610870</v>
      </c>
      <c r="G5299" s="1" t="s">
        <v>33</v>
      </c>
      <c r="H5299" s="1" t="str">
        <f t="shared" si="1017"/>
        <v>20220925</v>
      </c>
      <c r="I5299" s="1" t="str">
        <f>"150829"</f>
        <v>150829</v>
      </c>
      <c r="J5299" s="1" t="s">
        <v>28</v>
      </c>
      <c r="K5299" s="1" t="s">
        <v>28</v>
      </c>
      <c r="L5299" s="1" t="str">
        <f t="shared" si="1018"/>
        <v>20220925</v>
      </c>
      <c r="M5299" s="1" t="str">
        <f>"151707"</f>
        <v>151707</v>
      </c>
      <c r="N5299" s="1" t="s">
        <v>79</v>
      </c>
      <c r="O5299" s="1" t="s">
        <v>28</v>
      </c>
      <c r="P5299" s="1" t="s">
        <v>55</v>
      </c>
      <c r="Q5299" s="1">
        <v>25</v>
      </c>
      <c r="R5299" s="1">
        <v>0</v>
      </c>
      <c r="S5299" s="1">
        <v>25</v>
      </c>
      <c r="T5299" s="1">
        <v>0</v>
      </c>
      <c r="U5299" s="1">
        <v>0</v>
      </c>
      <c r="V5299" s="1" t="str">
        <f t="shared" si="1019"/>
        <v>里程去程</v>
      </c>
      <c r="W5299" s="1" t="str">
        <f>"0820"</f>
        <v>0820</v>
      </c>
      <c r="X5299" s="1" t="s">
        <v>35</v>
      </c>
    </row>
    <row r="5300" spans="1:24" x14ac:dyDescent="0.3">
      <c r="A5300" s="1" t="str">
        <f t="shared" si="1014"/>
        <v>59820</v>
      </c>
      <c r="B5300" s="1" t="s">
        <v>53</v>
      </c>
      <c r="C5300" s="1" t="s">
        <v>54</v>
      </c>
      <c r="D5300" s="1" t="str">
        <f t="shared" si="1020"/>
        <v>9803</v>
      </c>
      <c r="E5300" s="1" t="s">
        <v>32</v>
      </c>
      <c r="F5300" s="1" t="str">
        <f>"1709069061"</f>
        <v>1709069061</v>
      </c>
      <c r="G5300" s="1" t="s">
        <v>33</v>
      </c>
      <c r="H5300" s="1" t="str">
        <f t="shared" si="1017"/>
        <v>20220925</v>
      </c>
      <c r="I5300" s="1" t="str">
        <f>"151936"</f>
        <v>151936</v>
      </c>
      <c r="J5300" s="1" t="s">
        <v>46</v>
      </c>
      <c r="K5300" s="1" t="s">
        <v>28</v>
      </c>
      <c r="L5300" s="1" t="str">
        <f t="shared" si="1018"/>
        <v>20220925</v>
      </c>
      <c r="M5300" s="1" t="str">
        <f>"152755"</f>
        <v>152755</v>
      </c>
      <c r="N5300" s="1" t="s">
        <v>34</v>
      </c>
      <c r="O5300" s="1" t="s">
        <v>34</v>
      </c>
      <c r="P5300" s="1" t="s">
        <v>55</v>
      </c>
      <c r="Q5300" s="1">
        <v>25</v>
      </c>
      <c r="R5300" s="1">
        <v>25</v>
      </c>
      <c r="S5300" s="1">
        <v>0</v>
      </c>
      <c r="T5300" s="1">
        <v>0</v>
      </c>
      <c r="U5300" s="1">
        <v>0</v>
      </c>
      <c r="V5300" s="1" t="str">
        <f t="shared" si="1019"/>
        <v>里程去程</v>
      </c>
      <c r="W5300" s="1" t="str">
        <f>"2020"</f>
        <v>2020</v>
      </c>
      <c r="X5300" s="1" t="s">
        <v>35</v>
      </c>
    </row>
    <row r="5301" spans="1:24" x14ac:dyDescent="0.3">
      <c r="A5301" s="1" t="str">
        <f t="shared" si="1014"/>
        <v>59820</v>
      </c>
      <c r="B5301" s="1" t="s">
        <v>53</v>
      </c>
      <c r="C5301" s="1" t="s">
        <v>54</v>
      </c>
      <c r="D5301" s="1" t="str">
        <f t="shared" si="1020"/>
        <v>9803</v>
      </c>
      <c r="E5301" s="1" t="s">
        <v>32</v>
      </c>
      <c r="F5301" s="1" t="str">
        <f>"255200449"</f>
        <v>255200449</v>
      </c>
      <c r="G5301" s="1" t="s">
        <v>33</v>
      </c>
      <c r="H5301" s="1" t="str">
        <f t="shared" si="1017"/>
        <v>20220925</v>
      </c>
      <c r="I5301" s="1" t="str">
        <f>"153918"</f>
        <v>153918</v>
      </c>
      <c r="J5301" s="1" t="s">
        <v>34</v>
      </c>
      <c r="K5301" s="1" t="s">
        <v>34</v>
      </c>
      <c r="L5301" s="1" t="str">
        <f t="shared" si="1018"/>
        <v>20220925</v>
      </c>
      <c r="M5301" s="1" t="str">
        <f>"160900"</f>
        <v>160900</v>
      </c>
      <c r="N5301" s="1" t="s">
        <v>28</v>
      </c>
      <c r="O5301" s="1" t="s">
        <v>28</v>
      </c>
      <c r="P5301" s="1" t="s">
        <v>55</v>
      </c>
      <c r="Q5301" s="1">
        <v>25</v>
      </c>
      <c r="R5301" s="1">
        <v>25</v>
      </c>
      <c r="S5301" s="1">
        <v>0</v>
      </c>
      <c r="T5301" s="1">
        <v>0</v>
      </c>
      <c r="U5301" s="1">
        <v>0</v>
      </c>
      <c r="V5301" s="1" t="str">
        <f t="shared" ref="V5301:V5320" si="1021">"里程返程"</f>
        <v>里程返程</v>
      </c>
      <c r="W5301" s="1" t="str">
        <f>"2020"</f>
        <v>2020</v>
      </c>
      <c r="X5301" s="1" t="s">
        <v>35</v>
      </c>
    </row>
    <row r="5302" spans="1:24" x14ac:dyDescent="0.3">
      <c r="A5302" s="1" t="str">
        <f t="shared" si="1014"/>
        <v>59820</v>
      </c>
      <c r="B5302" s="1" t="s">
        <v>53</v>
      </c>
      <c r="C5302" s="1" t="s">
        <v>54</v>
      </c>
      <c r="D5302" s="1" t="str">
        <f t="shared" si="1020"/>
        <v>9803</v>
      </c>
      <c r="E5302" s="1" t="s">
        <v>32</v>
      </c>
      <c r="F5302" s="1" t="str">
        <f>"1484921647"</f>
        <v>1484921647</v>
      </c>
      <c r="G5302" s="1" t="s">
        <v>33</v>
      </c>
      <c r="H5302" s="1" t="str">
        <f t="shared" si="1017"/>
        <v>20220925</v>
      </c>
      <c r="I5302" s="1" t="str">
        <f>"153926"</f>
        <v>153926</v>
      </c>
      <c r="J5302" s="1" t="s">
        <v>34</v>
      </c>
      <c r="K5302" s="1" t="s">
        <v>34</v>
      </c>
      <c r="L5302" s="1" t="str">
        <f t="shared" si="1018"/>
        <v>20220925</v>
      </c>
      <c r="M5302" s="1" t="str">
        <f>"160831"</f>
        <v>160831</v>
      </c>
      <c r="N5302" s="1" t="s">
        <v>28</v>
      </c>
      <c r="O5302" s="1" t="s">
        <v>28</v>
      </c>
      <c r="P5302" s="1" t="s">
        <v>55</v>
      </c>
      <c r="Q5302" s="1">
        <v>25</v>
      </c>
      <c r="R5302" s="1">
        <v>25</v>
      </c>
      <c r="S5302" s="1">
        <v>0</v>
      </c>
      <c r="T5302" s="1">
        <v>0</v>
      </c>
      <c r="U5302" s="1">
        <v>0</v>
      </c>
      <c r="V5302" s="1" t="str">
        <f t="shared" si="1021"/>
        <v>里程返程</v>
      </c>
      <c r="W5302" s="1" t="str">
        <f>"2120"</f>
        <v>2120</v>
      </c>
      <c r="X5302" s="1" t="s">
        <v>35</v>
      </c>
    </row>
    <row r="5303" spans="1:24" x14ac:dyDescent="0.3">
      <c r="A5303" s="1" t="str">
        <f t="shared" si="1014"/>
        <v>59820</v>
      </c>
      <c r="B5303" s="1" t="s">
        <v>53</v>
      </c>
      <c r="C5303" s="1" t="s">
        <v>54</v>
      </c>
      <c r="D5303" s="1" t="str">
        <f t="shared" si="1020"/>
        <v>9803</v>
      </c>
      <c r="E5303" s="1" t="s">
        <v>32</v>
      </c>
      <c r="F5303" s="1" t="str">
        <f>"637572065"</f>
        <v>637572065</v>
      </c>
      <c r="G5303" s="1" t="s">
        <v>33</v>
      </c>
      <c r="H5303" s="1" t="str">
        <f t="shared" si="1017"/>
        <v>20220925</v>
      </c>
      <c r="I5303" s="1" t="str">
        <f>"153938"</f>
        <v>153938</v>
      </c>
      <c r="J5303" s="1" t="s">
        <v>34</v>
      </c>
      <c r="K5303" s="1" t="s">
        <v>34</v>
      </c>
      <c r="L5303" s="1" t="str">
        <f t="shared" si="1018"/>
        <v>20220925</v>
      </c>
      <c r="M5303" s="1" t="str">
        <f>"160848"</f>
        <v>160848</v>
      </c>
      <c r="N5303" s="1" t="s">
        <v>28</v>
      </c>
      <c r="O5303" s="1" t="s">
        <v>28</v>
      </c>
      <c r="P5303" s="1" t="s">
        <v>55</v>
      </c>
      <c r="Q5303" s="1">
        <v>25</v>
      </c>
      <c r="R5303" s="1">
        <v>25</v>
      </c>
      <c r="S5303" s="1">
        <v>0</v>
      </c>
      <c r="T5303" s="1">
        <v>0</v>
      </c>
      <c r="U5303" s="1">
        <v>0</v>
      </c>
      <c r="V5303" s="1" t="str">
        <f t="shared" si="1021"/>
        <v>里程返程</v>
      </c>
      <c r="W5303" s="1" t="str">
        <f>"2020"</f>
        <v>2020</v>
      </c>
      <c r="X5303" s="1" t="s">
        <v>35</v>
      </c>
    </row>
    <row r="5304" spans="1:24" x14ac:dyDescent="0.3">
      <c r="A5304" s="1" t="str">
        <f t="shared" si="1014"/>
        <v>59820</v>
      </c>
      <c r="B5304" s="1" t="s">
        <v>53</v>
      </c>
      <c r="C5304" s="1" t="s">
        <v>54</v>
      </c>
      <c r="D5304" s="1" t="str">
        <f t="shared" si="1020"/>
        <v>9803</v>
      </c>
      <c r="E5304" s="1" t="s">
        <v>32</v>
      </c>
      <c r="F5304" s="1" t="str">
        <f>"867669729"</f>
        <v>867669729</v>
      </c>
      <c r="G5304" s="1" t="s">
        <v>33</v>
      </c>
      <c r="H5304" s="1" t="str">
        <f t="shared" si="1017"/>
        <v>20220925</v>
      </c>
      <c r="I5304" s="1" t="str">
        <f>"153940"</f>
        <v>153940</v>
      </c>
      <c r="J5304" s="1" t="s">
        <v>34</v>
      </c>
      <c r="K5304" s="1" t="s">
        <v>34</v>
      </c>
      <c r="L5304" s="1" t="str">
        <f t="shared" si="1018"/>
        <v>20220925</v>
      </c>
      <c r="M5304" s="1" t="str">
        <f>"160852"</f>
        <v>160852</v>
      </c>
      <c r="N5304" s="1" t="s">
        <v>28</v>
      </c>
      <c r="O5304" s="1" t="s">
        <v>28</v>
      </c>
      <c r="P5304" s="1" t="s">
        <v>55</v>
      </c>
      <c r="Q5304" s="1">
        <v>25</v>
      </c>
      <c r="R5304" s="1">
        <v>25</v>
      </c>
      <c r="S5304" s="1">
        <v>0</v>
      </c>
      <c r="T5304" s="1">
        <v>0</v>
      </c>
      <c r="U5304" s="1">
        <v>0</v>
      </c>
      <c r="V5304" s="1" t="str">
        <f t="shared" si="1021"/>
        <v>里程返程</v>
      </c>
      <c r="W5304" s="1" t="str">
        <f>"2020"</f>
        <v>2020</v>
      </c>
      <c r="X5304" s="1" t="s">
        <v>35</v>
      </c>
    </row>
    <row r="5305" spans="1:24" x14ac:dyDescent="0.3">
      <c r="A5305" s="1" t="str">
        <f t="shared" si="1014"/>
        <v>59820</v>
      </c>
      <c r="B5305" s="1" t="s">
        <v>53</v>
      </c>
      <c r="C5305" s="1" t="s">
        <v>54</v>
      </c>
      <c r="D5305" s="1" t="str">
        <f t="shared" si="1020"/>
        <v>9803</v>
      </c>
      <c r="E5305" s="1" t="s">
        <v>32</v>
      </c>
      <c r="F5305" s="1" t="str">
        <f>"1092286753"</f>
        <v>1092286753</v>
      </c>
      <c r="G5305" s="1" t="s">
        <v>33</v>
      </c>
      <c r="H5305" s="1" t="str">
        <f t="shared" si="1017"/>
        <v>20220925</v>
      </c>
      <c r="I5305" s="1" t="str">
        <f>"153944"</f>
        <v>153944</v>
      </c>
      <c r="J5305" s="1" t="s">
        <v>34</v>
      </c>
      <c r="K5305" s="1" t="s">
        <v>34</v>
      </c>
      <c r="L5305" s="1" t="str">
        <f t="shared" si="1018"/>
        <v>20220925</v>
      </c>
      <c r="M5305" s="1" t="str">
        <f>"155345"</f>
        <v>155345</v>
      </c>
      <c r="N5305" s="1" t="s">
        <v>46</v>
      </c>
      <c r="O5305" s="1" t="s">
        <v>28</v>
      </c>
      <c r="P5305" s="1" t="s">
        <v>55</v>
      </c>
      <c r="Q5305" s="1">
        <v>25</v>
      </c>
      <c r="R5305" s="1">
        <v>25</v>
      </c>
      <c r="S5305" s="1">
        <v>0</v>
      </c>
      <c r="T5305" s="1">
        <v>0</v>
      </c>
      <c r="U5305" s="1">
        <v>0</v>
      </c>
      <c r="V5305" s="1" t="str">
        <f t="shared" si="1021"/>
        <v>里程返程</v>
      </c>
      <c r="W5305" s="1" t="str">
        <f>"0820"</f>
        <v>0820</v>
      </c>
      <c r="X5305" s="1" t="s">
        <v>35</v>
      </c>
    </row>
    <row r="5306" spans="1:24" x14ac:dyDescent="0.3">
      <c r="A5306" s="1" t="str">
        <f t="shared" si="1014"/>
        <v>59820</v>
      </c>
      <c r="B5306" s="1" t="s">
        <v>53</v>
      </c>
      <c r="C5306" s="1" t="s">
        <v>54</v>
      </c>
      <c r="D5306" s="1" t="str">
        <f t="shared" si="1020"/>
        <v>9803</v>
      </c>
      <c r="E5306" s="1" t="s">
        <v>32</v>
      </c>
      <c r="F5306" s="1" t="str">
        <f>"1751346001"</f>
        <v>1751346001</v>
      </c>
      <c r="G5306" s="1" t="s">
        <v>33</v>
      </c>
      <c r="H5306" s="1" t="str">
        <f t="shared" si="1017"/>
        <v>20220925</v>
      </c>
      <c r="I5306" s="1" t="str">
        <f>"154014"</f>
        <v>154014</v>
      </c>
      <c r="J5306" s="1" t="s">
        <v>34</v>
      </c>
      <c r="K5306" s="1" t="s">
        <v>34</v>
      </c>
      <c r="L5306" s="1" t="str">
        <f t="shared" si="1018"/>
        <v>20220925</v>
      </c>
      <c r="M5306" s="1" t="str">
        <f>"160854"</f>
        <v>160854</v>
      </c>
      <c r="N5306" s="1" t="s">
        <v>28</v>
      </c>
      <c r="O5306" s="1" t="s">
        <v>28</v>
      </c>
      <c r="P5306" s="1" t="s">
        <v>55</v>
      </c>
      <c r="Q5306" s="1">
        <v>25</v>
      </c>
      <c r="R5306" s="1">
        <v>25</v>
      </c>
      <c r="S5306" s="1">
        <v>0</v>
      </c>
      <c r="T5306" s="1">
        <v>0</v>
      </c>
      <c r="U5306" s="1">
        <v>0</v>
      </c>
      <c r="V5306" s="1" t="str">
        <f t="shared" si="1021"/>
        <v>里程返程</v>
      </c>
      <c r="W5306" s="1" t="str">
        <f>"2020"</f>
        <v>2020</v>
      </c>
      <c r="X5306" s="1" t="s">
        <v>35</v>
      </c>
    </row>
    <row r="5307" spans="1:24" x14ac:dyDescent="0.3">
      <c r="A5307" s="1" t="str">
        <f t="shared" si="1014"/>
        <v>59820</v>
      </c>
      <c r="B5307" s="1" t="s">
        <v>53</v>
      </c>
      <c r="C5307" s="1" t="s">
        <v>54</v>
      </c>
      <c r="D5307" s="1" t="str">
        <f>"9806"</f>
        <v>9806</v>
      </c>
      <c r="E5307" s="1" t="s">
        <v>49</v>
      </c>
      <c r="F5307" s="1" t="str">
        <f>"B2412A13CA28040080CED9985D913018"</f>
        <v>B2412A13CA28040080CED9985D913018</v>
      </c>
      <c r="G5307" s="1" t="s">
        <v>58</v>
      </c>
      <c r="H5307" s="1" t="str">
        <f t="shared" si="1017"/>
        <v>20220925</v>
      </c>
      <c r="I5307" s="1" t="str">
        <f>"160941"</f>
        <v>160941</v>
      </c>
      <c r="J5307" s="1" t="s">
        <v>28</v>
      </c>
      <c r="K5307" s="1" t="s">
        <v>28</v>
      </c>
      <c r="L5307" s="1" t="str">
        <f t="shared" si="1018"/>
        <v>20220925</v>
      </c>
      <c r="M5307" s="1" t="str">
        <f>"162520"</f>
        <v>162520</v>
      </c>
      <c r="N5307" s="1" t="s">
        <v>99</v>
      </c>
      <c r="O5307" s="1" t="s">
        <v>28</v>
      </c>
      <c r="P5307" s="1" t="s">
        <v>55</v>
      </c>
      <c r="Q5307" s="1">
        <v>25</v>
      </c>
      <c r="R5307" s="1">
        <v>25</v>
      </c>
      <c r="S5307" s="1">
        <v>0</v>
      </c>
      <c r="T5307" s="1">
        <v>0</v>
      </c>
      <c r="U5307" s="1">
        <v>0</v>
      </c>
      <c r="V5307" s="1" t="str">
        <f t="shared" si="1021"/>
        <v>里程返程</v>
      </c>
      <c r="W5307" s="1" t="str">
        <f>"0020"</f>
        <v>0020</v>
      </c>
      <c r="X5307" s="1" t="s">
        <v>29</v>
      </c>
    </row>
    <row r="5308" spans="1:24" x14ac:dyDescent="0.3">
      <c r="A5308" s="1" t="str">
        <f t="shared" si="1014"/>
        <v>59820</v>
      </c>
      <c r="B5308" s="1" t="s">
        <v>53</v>
      </c>
      <c r="C5308" s="1" t="s">
        <v>54</v>
      </c>
      <c r="D5308" s="1" t="str">
        <f t="shared" ref="D5308:D5314" si="1022">"9801"</f>
        <v>9801</v>
      </c>
      <c r="E5308" s="1" t="s">
        <v>25</v>
      </c>
      <c r="F5308" s="1" t="str">
        <f>"0E2821363188040047C13517C9002508"</f>
        <v>0E2821363188040047C13517C9002508</v>
      </c>
      <c r="G5308" s="1" t="s">
        <v>58</v>
      </c>
      <c r="H5308" s="1" t="str">
        <f t="shared" si="1017"/>
        <v>20220925</v>
      </c>
      <c r="I5308" s="1" t="str">
        <f>"192144"</f>
        <v>192144</v>
      </c>
      <c r="J5308" s="1" t="s">
        <v>28</v>
      </c>
      <c r="K5308" s="1" t="s">
        <v>28</v>
      </c>
      <c r="L5308" s="1" t="str">
        <f t="shared" si="1018"/>
        <v>20220925</v>
      </c>
      <c r="M5308" s="1" t="str">
        <f>"193951"</f>
        <v>193951</v>
      </c>
      <c r="N5308" s="1" t="s">
        <v>77</v>
      </c>
      <c r="O5308" s="1" t="s">
        <v>52</v>
      </c>
      <c r="P5308" s="1" t="s">
        <v>55</v>
      </c>
      <c r="Q5308" s="1">
        <v>25</v>
      </c>
      <c r="R5308" s="1">
        <v>0</v>
      </c>
      <c r="S5308" s="1">
        <v>25</v>
      </c>
      <c r="T5308" s="1">
        <v>0</v>
      </c>
      <c r="U5308" s="1">
        <v>0</v>
      </c>
      <c r="V5308" s="1" t="str">
        <f t="shared" si="1021"/>
        <v>里程返程</v>
      </c>
      <c r="W5308" s="1" t="str">
        <f>"0620"</f>
        <v>0620</v>
      </c>
      <c r="X5308" s="1" t="s">
        <v>29</v>
      </c>
    </row>
    <row r="5309" spans="1:24" x14ac:dyDescent="0.3">
      <c r="A5309" s="1" t="str">
        <f t="shared" si="1014"/>
        <v>59820</v>
      </c>
      <c r="B5309" s="1" t="s">
        <v>53</v>
      </c>
      <c r="C5309" s="1" t="s">
        <v>54</v>
      </c>
      <c r="D5309" s="1" t="str">
        <f t="shared" si="1022"/>
        <v>9801</v>
      </c>
      <c r="E5309" s="1" t="s">
        <v>25</v>
      </c>
      <c r="F5309" s="1" t="str">
        <f>"B211381B80880400C817002000000021"</f>
        <v>B211381B80880400C817002000000021</v>
      </c>
      <c r="G5309" s="1" t="s">
        <v>59</v>
      </c>
      <c r="H5309" s="1" t="str">
        <f t="shared" si="1017"/>
        <v>20220925</v>
      </c>
      <c r="I5309" s="1" t="str">
        <f>"192148"</f>
        <v>192148</v>
      </c>
      <c r="J5309" s="1" t="s">
        <v>28</v>
      </c>
      <c r="K5309" s="1" t="s">
        <v>28</v>
      </c>
      <c r="L5309" s="1" t="str">
        <f t="shared" si="1018"/>
        <v>20220925</v>
      </c>
      <c r="M5309" s="1" t="str">
        <f>"194709"</f>
        <v>194709</v>
      </c>
      <c r="N5309" s="1" t="s">
        <v>71</v>
      </c>
      <c r="O5309" s="1" t="s">
        <v>52</v>
      </c>
      <c r="P5309" s="1" t="s">
        <v>55</v>
      </c>
      <c r="Q5309" s="1">
        <v>25</v>
      </c>
      <c r="R5309" s="1">
        <v>0</v>
      </c>
      <c r="S5309" s="1">
        <v>25</v>
      </c>
      <c r="T5309" s="1">
        <v>0</v>
      </c>
      <c r="U5309" s="1">
        <v>0</v>
      </c>
      <c r="V5309" s="1" t="str">
        <f t="shared" si="1021"/>
        <v>里程返程</v>
      </c>
      <c r="W5309" s="1" t="str">
        <f>"0620"</f>
        <v>0620</v>
      </c>
      <c r="X5309" s="1" t="s">
        <v>29</v>
      </c>
    </row>
    <row r="5310" spans="1:24" x14ac:dyDescent="0.3">
      <c r="A5310" s="1" t="str">
        <f t="shared" si="1014"/>
        <v>59820</v>
      </c>
      <c r="B5310" s="1" t="s">
        <v>53</v>
      </c>
      <c r="C5310" s="1" t="s">
        <v>54</v>
      </c>
      <c r="D5310" s="1" t="str">
        <f t="shared" si="1022"/>
        <v>9801</v>
      </c>
      <c r="E5310" s="1" t="s">
        <v>25</v>
      </c>
      <c r="F5310" s="1" t="str">
        <f>"927435205"</f>
        <v>927435205</v>
      </c>
      <c r="G5310" s="1" t="s">
        <v>38</v>
      </c>
      <c r="H5310" s="1" t="str">
        <f t="shared" si="1017"/>
        <v>20220925</v>
      </c>
      <c r="I5310" s="1" t="str">
        <f>"192152"</f>
        <v>192152</v>
      </c>
      <c r="J5310" s="1" t="s">
        <v>28</v>
      </c>
      <c r="K5310" s="1" t="s">
        <v>28</v>
      </c>
      <c r="L5310" s="1" t="str">
        <f t="shared" si="1018"/>
        <v>20220925</v>
      </c>
      <c r="M5310" s="1" t="str">
        <f>"195017"</f>
        <v>195017</v>
      </c>
      <c r="N5310" s="1" t="s">
        <v>60</v>
      </c>
      <c r="O5310" s="1" t="s">
        <v>52</v>
      </c>
      <c r="P5310" s="1" t="s">
        <v>55</v>
      </c>
      <c r="Q5310" s="1">
        <v>25</v>
      </c>
      <c r="R5310" s="1">
        <v>25</v>
      </c>
      <c r="S5310" s="1">
        <v>0</v>
      </c>
      <c r="T5310" s="1">
        <v>0</v>
      </c>
      <c r="U5310" s="1">
        <v>0</v>
      </c>
      <c r="V5310" s="1" t="str">
        <f t="shared" si="1021"/>
        <v>里程返程</v>
      </c>
      <c r="W5310" s="1" t="str">
        <f>"0820"</f>
        <v>0820</v>
      </c>
      <c r="X5310" s="1" t="s">
        <v>35</v>
      </c>
    </row>
    <row r="5311" spans="1:24" x14ac:dyDescent="0.3">
      <c r="A5311" s="1" t="str">
        <f t="shared" si="1014"/>
        <v>59820</v>
      </c>
      <c r="B5311" s="1" t="s">
        <v>53</v>
      </c>
      <c r="C5311" s="1" t="s">
        <v>54</v>
      </c>
      <c r="D5311" s="1" t="str">
        <f t="shared" si="1022"/>
        <v>9801</v>
      </c>
      <c r="E5311" s="1" t="s">
        <v>25</v>
      </c>
      <c r="F5311" s="1" t="str">
        <f>"1080477425"</f>
        <v>1080477425</v>
      </c>
      <c r="G5311" s="1" t="s">
        <v>33</v>
      </c>
      <c r="H5311" s="1" t="str">
        <f t="shared" si="1017"/>
        <v>20220925</v>
      </c>
      <c r="I5311" s="1" t="str">
        <f>"192217"</f>
        <v>192217</v>
      </c>
      <c r="J5311" s="1" t="s">
        <v>28</v>
      </c>
      <c r="K5311" s="1" t="s">
        <v>28</v>
      </c>
      <c r="L5311" s="1" t="str">
        <f t="shared" si="1018"/>
        <v>20220925</v>
      </c>
      <c r="M5311" s="1" t="str">
        <f>"194943"</f>
        <v>194943</v>
      </c>
      <c r="N5311" s="1" t="s">
        <v>60</v>
      </c>
      <c r="O5311" s="1" t="s">
        <v>52</v>
      </c>
      <c r="P5311" s="1" t="s">
        <v>55</v>
      </c>
      <c r="Q5311" s="1">
        <v>25</v>
      </c>
      <c r="R5311" s="1">
        <v>0</v>
      </c>
      <c r="S5311" s="1">
        <v>25</v>
      </c>
      <c r="T5311" s="1">
        <v>0</v>
      </c>
      <c r="U5311" s="1">
        <v>0</v>
      </c>
      <c r="V5311" s="1" t="str">
        <f t="shared" si="1021"/>
        <v>里程返程</v>
      </c>
      <c r="W5311" s="1" t="str">
        <f>"0820"</f>
        <v>0820</v>
      </c>
      <c r="X5311" s="1" t="s">
        <v>35</v>
      </c>
    </row>
    <row r="5312" spans="1:24" x14ac:dyDescent="0.3">
      <c r="A5312" s="1" t="str">
        <f t="shared" si="1014"/>
        <v>59820</v>
      </c>
      <c r="B5312" s="1" t="s">
        <v>53</v>
      </c>
      <c r="C5312" s="1" t="s">
        <v>54</v>
      </c>
      <c r="D5312" s="1" t="str">
        <f t="shared" si="1022"/>
        <v>9801</v>
      </c>
      <c r="E5312" s="1" t="s">
        <v>25</v>
      </c>
      <c r="F5312" s="1" t="str">
        <f>"923E4D16F7880400C814002000000019"</f>
        <v>923E4D16F7880400C814002000000019</v>
      </c>
      <c r="G5312" s="1" t="s">
        <v>58</v>
      </c>
      <c r="H5312" s="1" t="str">
        <f t="shared" si="1017"/>
        <v>20220925</v>
      </c>
      <c r="I5312" s="1" t="str">
        <f>"192223"</f>
        <v>192223</v>
      </c>
      <c r="J5312" s="1" t="s">
        <v>28</v>
      </c>
      <c r="K5312" s="1" t="s">
        <v>28</v>
      </c>
      <c r="L5312" s="1" t="str">
        <f t="shared" si="1018"/>
        <v>20220925</v>
      </c>
      <c r="M5312" s="1" t="str">
        <f>"194611"</f>
        <v>194611</v>
      </c>
      <c r="N5312" s="1" t="s">
        <v>72</v>
      </c>
      <c r="O5312" s="1" t="s">
        <v>52</v>
      </c>
      <c r="P5312" s="1" t="s">
        <v>55</v>
      </c>
      <c r="Q5312" s="1">
        <v>25</v>
      </c>
      <c r="R5312" s="1">
        <v>25</v>
      </c>
      <c r="S5312" s="1">
        <v>0</v>
      </c>
      <c r="T5312" s="1">
        <v>0</v>
      </c>
      <c r="U5312" s="1">
        <v>0</v>
      </c>
      <c r="V5312" s="1" t="str">
        <f t="shared" si="1021"/>
        <v>里程返程</v>
      </c>
      <c r="W5312" s="1" t="str">
        <f>"0020"</f>
        <v>0020</v>
      </c>
      <c r="X5312" s="1" t="s">
        <v>29</v>
      </c>
    </row>
    <row r="5313" spans="1:24" x14ac:dyDescent="0.3">
      <c r="A5313" s="1" t="str">
        <f t="shared" si="1014"/>
        <v>59820</v>
      </c>
      <c r="B5313" s="1" t="s">
        <v>53</v>
      </c>
      <c r="C5313" s="1" t="s">
        <v>54</v>
      </c>
      <c r="D5313" s="1" t="str">
        <f t="shared" si="1022"/>
        <v>9801</v>
      </c>
      <c r="E5313" s="1" t="s">
        <v>25</v>
      </c>
      <c r="F5313" s="1" t="str">
        <f>"924653669"</f>
        <v>924653669</v>
      </c>
      <c r="G5313" s="1" t="s">
        <v>33</v>
      </c>
      <c r="H5313" s="1" t="str">
        <f t="shared" si="1017"/>
        <v>20220925</v>
      </c>
      <c r="I5313" s="1" t="str">
        <f>"192231"</f>
        <v>192231</v>
      </c>
      <c r="J5313" s="1" t="s">
        <v>28</v>
      </c>
      <c r="K5313" s="1" t="s">
        <v>28</v>
      </c>
      <c r="L5313" s="1" t="str">
        <f t="shared" si="1018"/>
        <v>20220925</v>
      </c>
      <c r="M5313" s="1" t="str">
        <f>"195431"</f>
        <v>195431</v>
      </c>
      <c r="N5313" s="1" t="s">
        <v>52</v>
      </c>
      <c r="O5313" s="1" t="s">
        <v>52</v>
      </c>
      <c r="P5313" s="1" t="s">
        <v>55</v>
      </c>
      <c r="Q5313" s="1">
        <v>25</v>
      </c>
      <c r="R5313" s="1">
        <v>25</v>
      </c>
      <c r="S5313" s="1">
        <v>0</v>
      </c>
      <c r="T5313" s="1">
        <v>0</v>
      </c>
      <c r="U5313" s="1">
        <v>0</v>
      </c>
      <c r="V5313" s="1" t="str">
        <f t="shared" si="1021"/>
        <v>里程返程</v>
      </c>
      <c r="W5313" s="1" t="str">
        <f>"0320"</f>
        <v>0320</v>
      </c>
      <c r="X5313" s="1" t="s">
        <v>35</v>
      </c>
    </row>
    <row r="5314" spans="1:24" x14ac:dyDescent="0.3">
      <c r="A5314" s="1" t="str">
        <f t="shared" si="1014"/>
        <v>59820</v>
      </c>
      <c r="B5314" s="1" t="s">
        <v>53</v>
      </c>
      <c r="C5314" s="1" t="s">
        <v>54</v>
      </c>
      <c r="D5314" s="1" t="str">
        <f t="shared" si="1022"/>
        <v>9801</v>
      </c>
      <c r="E5314" s="1" t="s">
        <v>25</v>
      </c>
      <c r="F5314" s="1" t="str">
        <f>"439403761"</f>
        <v>439403761</v>
      </c>
      <c r="G5314" s="1" t="s">
        <v>33</v>
      </c>
      <c r="H5314" s="1" t="str">
        <f t="shared" si="1017"/>
        <v>20220925</v>
      </c>
      <c r="I5314" s="1" t="str">
        <f>"192407"</f>
        <v>192407</v>
      </c>
      <c r="J5314" s="1" t="s">
        <v>28</v>
      </c>
      <c r="K5314" s="1" t="s">
        <v>28</v>
      </c>
      <c r="L5314" s="1" t="str">
        <f t="shared" si="1018"/>
        <v>20220925</v>
      </c>
      <c r="M5314" s="1" t="str">
        <f>"195423"</f>
        <v>195423</v>
      </c>
      <c r="N5314" s="1" t="s">
        <v>52</v>
      </c>
      <c r="O5314" s="1" t="s">
        <v>52</v>
      </c>
      <c r="P5314" s="1" t="s">
        <v>55</v>
      </c>
      <c r="Q5314" s="1">
        <v>25</v>
      </c>
      <c r="R5314" s="1">
        <v>25</v>
      </c>
      <c r="S5314" s="1">
        <v>0</v>
      </c>
      <c r="T5314" s="1">
        <v>0</v>
      </c>
      <c r="U5314" s="1">
        <v>0</v>
      </c>
      <c r="V5314" s="1" t="str">
        <f t="shared" si="1021"/>
        <v>里程返程</v>
      </c>
      <c r="W5314" s="1" t="str">
        <f>"0820"</f>
        <v>0820</v>
      </c>
      <c r="X5314" s="1" t="s">
        <v>35</v>
      </c>
    </row>
    <row r="5315" spans="1:24" x14ac:dyDescent="0.3">
      <c r="A5315" s="1" t="str">
        <f t="shared" si="1014"/>
        <v>59820</v>
      </c>
      <c r="B5315" s="1" t="s">
        <v>53</v>
      </c>
      <c r="C5315" s="1" t="s">
        <v>54</v>
      </c>
      <c r="D5315" s="1" t="str">
        <f>"9805"</f>
        <v>9805</v>
      </c>
      <c r="E5315" s="1" t="s">
        <v>57</v>
      </c>
      <c r="F5315" s="1" t="str">
        <f>"2135280058"</f>
        <v>2135280058</v>
      </c>
      <c r="G5315" s="1" t="s">
        <v>33</v>
      </c>
      <c r="H5315" s="1" t="str">
        <f t="shared" si="1017"/>
        <v>20220925</v>
      </c>
      <c r="I5315" s="1" t="str">
        <f>"195506"</f>
        <v>195506</v>
      </c>
      <c r="J5315" s="1" t="s">
        <v>52</v>
      </c>
      <c r="K5315" s="1" t="s">
        <v>52</v>
      </c>
      <c r="L5315" s="1" t="str">
        <f t="shared" si="1018"/>
        <v>20220925</v>
      </c>
      <c r="M5315" s="1" t="str">
        <f>"202036"</f>
        <v>202036</v>
      </c>
      <c r="N5315" s="1" t="s">
        <v>28</v>
      </c>
      <c r="O5315" s="1" t="s">
        <v>28</v>
      </c>
      <c r="P5315" s="1" t="s">
        <v>55</v>
      </c>
      <c r="Q5315" s="1">
        <v>25</v>
      </c>
      <c r="R5315" s="1">
        <v>25</v>
      </c>
      <c r="S5315" s="1">
        <v>0</v>
      </c>
      <c r="T5315" s="1">
        <v>0</v>
      </c>
      <c r="U5315" s="1">
        <v>0</v>
      </c>
      <c r="V5315" s="1" t="str">
        <f t="shared" si="1021"/>
        <v>里程返程</v>
      </c>
      <c r="W5315" s="1" t="str">
        <f>"2020"</f>
        <v>2020</v>
      </c>
      <c r="X5315" s="1" t="s">
        <v>35</v>
      </c>
    </row>
    <row r="5316" spans="1:24" x14ac:dyDescent="0.3">
      <c r="A5316" s="1" t="str">
        <f t="shared" si="1014"/>
        <v>59820</v>
      </c>
      <c r="B5316" s="1" t="s">
        <v>53</v>
      </c>
      <c r="C5316" s="1" t="s">
        <v>54</v>
      </c>
      <c r="D5316" s="1" t="str">
        <f>"9805"</f>
        <v>9805</v>
      </c>
      <c r="E5316" s="1" t="s">
        <v>57</v>
      </c>
      <c r="F5316" s="1" t="str">
        <f>"1324246865"</f>
        <v>1324246865</v>
      </c>
      <c r="G5316" s="1" t="s">
        <v>33</v>
      </c>
      <c r="H5316" s="1" t="str">
        <f t="shared" si="1017"/>
        <v>20220925</v>
      </c>
      <c r="I5316" s="1" t="str">
        <f>"195514"</f>
        <v>195514</v>
      </c>
      <c r="J5316" s="1" t="s">
        <v>52</v>
      </c>
      <c r="K5316" s="1" t="s">
        <v>52</v>
      </c>
      <c r="L5316" s="1" t="str">
        <f t="shared" si="1018"/>
        <v>20220925</v>
      </c>
      <c r="M5316" s="1" t="str">
        <f>"201753"</f>
        <v>201753</v>
      </c>
      <c r="N5316" s="1" t="s">
        <v>90</v>
      </c>
      <c r="O5316" s="1" t="s">
        <v>28</v>
      </c>
      <c r="P5316" s="1" t="s">
        <v>55</v>
      </c>
      <c r="Q5316" s="1">
        <v>25</v>
      </c>
      <c r="R5316" s="1">
        <v>25</v>
      </c>
      <c r="S5316" s="1">
        <v>0</v>
      </c>
      <c r="T5316" s="1">
        <v>0</v>
      </c>
      <c r="U5316" s="1">
        <v>0</v>
      </c>
      <c r="V5316" s="1" t="str">
        <f t="shared" si="1021"/>
        <v>里程返程</v>
      </c>
      <c r="W5316" s="1" t="str">
        <f>"0820"</f>
        <v>0820</v>
      </c>
      <c r="X5316" s="1" t="s">
        <v>35</v>
      </c>
    </row>
    <row r="5317" spans="1:24" x14ac:dyDescent="0.3">
      <c r="A5317" s="1" t="str">
        <f t="shared" ref="A5317:A5343" si="1023">"59822"</f>
        <v>59822</v>
      </c>
      <c r="B5317" s="1" t="s">
        <v>39</v>
      </c>
      <c r="C5317" s="1" t="s">
        <v>40</v>
      </c>
      <c r="D5317" s="1" t="str">
        <f t="shared" ref="D5317:D5343" si="1024">"9801"</f>
        <v>9801</v>
      </c>
      <c r="E5317" s="1" t="s">
        <v>25</v>
      </c>
      <c r="F5317" s="1" t="str">
        <f>"656798351"</f>
        <v>656798351</v>
      </c>
      <c r="G5317" s="1" t="s">
        <v>33</v>
      </c>
      <c r="H5317" s="1" t="str">
        <f t="shared" si="1017"/>
        <v>20220925</v>
      </c>
      <c r="I5317" s="1" t="str">
        <f>"070100"</f>
        <v>070100</v>
      </c>
      <c r="J5317" s="1" t="s">
        <v>44</v>
      </c>
      <c r="K5317" s="1" t="s">
        <v>45</v>
      </c>
      <c r="L5317" s="1" t="str">
        <f t="shared" si="1018"/>
        <v>20220925</v>
      </c>
      <c r="M5317" s="1" t="str">
        <f>"071837"</f>
        <v>071837</v>
      </c>
      <c r="N5317" s="1" t="s">
        <v>28</v>
      </c>
      <c r="O5317" s="1" t="s">
        <v>28</v>
      </c>
      <c r="P5317" s="1" t="s">
        <v>55</v>
      </c>
      <c r="Q5317" s="1">
        <v>25</v>
      </c>
      <c r="R5317" s="1">
        <v>25</v>
      </c>
      <c r="S5317" s="1">
        <v>0</v>
      </c>
      <c r="T5317" s="1">
        <v>0</v>
      </c>
      <c r="U5317" s="1">
        <v>0</v>
      </c>
      <c r="V5317" s="1" t="str">
        <f t="shared" si="1021"/>
        <v>里程返程</v>
      </c>
      <c r="W5317" s="1" t="str">
        <f>"0820"</f>
        <v>0820</v>
      </c>
      <c r="X5317" s="1" t="s">
        <v>35</v>
      </c>
    </row>
    <row r="5318" spans="1:24" x14ac:dyDescent="0.3">
      <c r="A5318" s="1" t="str">
        <f t="shared" si="1023"/>
        <v>59822</v>
      </c>
      <c r="B5318" s="1" t="s">
        <v>39</v>
      </c>
      <c r="C5318" s="1" t="s">
        <v>40</v>
      </c>
      <c r="D5318" s="1" t="str">
        <f t="shared" si="1024"/>
        <v>9801</v>
      </c>
      <c r="E5318" s="1" t="s">
        <v>25</v>
      </c>
      <c r="F5318" s="1" t="str">
        <f>"775960949"</f>
        <v>775960949</v>
      </c>
      <c r="G5318" s="1" t="s">
        <v>38</v>
      </c>
      <c r="H5318" s="1" t="str">
        <f t="shared" si="1017"/>
        <v>20220925</v>
      </c>
      <c r="I5318" s="1" t="str">
        <f>"071133"</f>
        <v>071133</v>
      </c>
      <c r="J5318" s="1" t="s">
        <v>79</v>
      </c>
      <c r="K5318" s="1" t="s">
        <v>45</v>
      </c>
      <c r="L5318" s="1" t="str">
        <f t="shared" si="1018"/>
        <v>20220925</v>
      </c>
      <c r="M5318" s="1" t="str">
        <f>"071841"</f>
        <v>071841</v>
      </c>
      <c r="N5318" s="1" t="s">
        <v>28</v>
      </c>
      <c r="O5318" s="1" t="s">
        <v>28</v>
      </c>
      <c r="P5318" s="1" t="s">
        <v>55</v>
      </c>
      <c r="Q5318" s="1">
        <v>25</v>
      </c>
      <c r="R5318" s="1">
        <v>25</v>
      </c>
      <c r="S5318" s="1">
        <v>0</v>
      </c>
      <c r="T5318" s="1">
        <v>0</v>
      </c>
      <c r="U5318" s="1">
        <v>0</v>
      </c>
      <c r="V5318" s="1" t="str">
        <f t="shared" si="1021"/>
        <v>里程返程</v>
      </c>
      <c r="W5318" s="1" t="str">
        <f>"1c20"</f>
        <v>1c20</v>
      </c>
      <c r="X5318" s="1" t="s">
        <v>35</v>
      </c>
    </row>
    <row r="5319" spans="1:24" x14ac:dyDescent="0.3">
      <c r="A5319" s="1" t="str">
        <f t="shared" si="1023"/>
        <v>59822</v>
      </c>
      <c r="B5319" s="1" t="s">
        <v>39</v>
      </c>
      <c r="C5319" s="1" t="s">
        <v>40</v>
      </c>
      <c r="D5319" s="1" t="str">
        <f t="shared" si="1024"/>
        <v>9801</v>
      </c>
      <c r="E5319" s="1" t="s">
        <v>25</v>
      </c>
      <c r="F5319" s="1" t="str">
        <f>"32780D0344880400C834002000000015"</f>
        <v>32780D0344880400C834002000000015</v>
      </c>
      <c r="G5319" s="1" t="s">
        <v>26</v>
      </c>
      <c r="H5319" s="1" t="str">
        <f t="shared" ref="H5319:H5350" si="1025">"20220925"</f>
        <v>20220925</v>
      </c>
      <c r="I5319" s="1" t="str">
        <f>"072752"</f>
        <v>072752</v>
      </c>
      <c r="J5319" s="1" t="s">
        <v>85</v>
      </c>
      <c r="K5319" s="1" t="s">
        <v>28</v>
      </c>
      <c r="L5319" s="1" t="str">
        <f t="shared" ref="L5319:L5350" si="1026">"20220925"</f>
        <v>20220925</v>
      </c>
      <c r="M5319" s="1" t="str">
        <f>"075227"</f>
        <v>075227</v>
      </c>
      <c r="N5319" s="1" t="s">
        <v>52</v>
      </c>
      <c r="O5319" s="1" t="s">
        <v>52</v>
      </c>
      <c r="P5319" s="1" t="s">
        <v>68</v>
      </c>
      <c r="Q5319" s="1">
        <v>13</v>
      </c>
      <c r="R5319" s="1">
        <v>0</v>
      </c>
      <c r="S5319" s="1">
        <v>0</v>
      </c>
      <c r="T5319" s="1">
        <v>13</v>
      </c>
      <c r="U5319" s="1">
        <v>0</v>
      </c>
      <c r="V5319" s="1" t="str">
        <f t="shared" si="1021"/>
        <v>里程返程</v>
      </c>
      <c r="W5319" s="1" t="str">
        <f>"0020"</f>
        <v>0020</v>
      </c>
      <c r="X5319" s="1" t="s">
        <v>29</v>
      </c>
    </row>
    <row r="5320" spans="1:24" x14ac:dyDescent="0.3">
      <c r="A5320" s="1" t="str">
        <f t="shared" si="1023"/>
        <v>59822</v>
      </c>
      <c r="B5320" s="1" t="s">
        <v>39</v>
      </c>
      <c r="C5320" s="1" t="s">
        <v>40</v>
      </c>
      <c r="D5320" s="1" t="str">
        <f t="shared" si="1024"/>
        <v>9801</v>
      </c>
      <c r="E5320" s="1" t="s">
        <v>25</v>
      </c>
      <c r="F5320" s="1" t="str">
        <f>"42720D033E880400C834002000000015"</f>
        <v>42720D033E880400C834002000000015</v>
      </c>
      <c r="G5320" s="1" t="s">
        <v>26</v>
      </c>
      <c r="H5320" s="1" t="str">
        <f t="shared" si="1025"/>
        <v>20220925</v>
      </c>
      <c r="I5320" s="1" t="str">
        <f>"072753"</f>
        <v>072753</v>
      </c>
      <c r="J5320" s="1" t="s">
        <v>85</v>
      </c>
      <c r="K5320" s="1" t="s">
        <v>28</v>
      </c>
      <c r="L5320" s="1" t="str">
        <f t="shared" si="1026"/>
        <v>20220925</v>
      </c>
      <c r="M5320" s="1" t="str">
        <f>"075230"</f>
        <v>075230</v>
      </c>
      <c r="N5320" s="1" t="s">
        <v>52</v>
      </c>
      <c r="O5320" s="1" t="s">
        <v>52</v>
      </c>
      <c r="P5320" s="1" t="s">
        <v>68</v>
      </c>
      <c r="Q5320" s="1">
        <v>13</v>
      </c>
      <c r="R5320" s="1">
        <v>0</v>
      </c>
      <c r="S5320" s="1">
        <v>0</v>
      </c>
      <c r="T5320" s="1">
        <v>13</v>
      </c>
      <c r="U5320" s="1">
        <v>0</v>
      </c>
      <c r="V5320" s="1" t="str">
        <f t="shared" si="1021"/>
        <v>里程返程</v>
      </c>
      <c r="W5320" s="1" t="str">
        <f>"0020"</f>
        <v>0020</v>
      </c>
      <c r="X5320" s="1" t="s">
        <v>29</v>
      </c>
    </row>
    <row r="5321" spans="1:24" x14ac:dyDescent="0.3">
      <c r="A5321" s="1" t="str">
        <f t="shared" si="1023"/>
        <v>59822</v>
      </c>
      <c r="B5321" s="1" t="s">
        <v>39</v>
      </c>
      <c r="C5321" s="1" t="s">
        <v>40</v>
      </c>
      <c r="D5321" s="1" t="str">
        <f t="shared" si="1024"/>
        <v>9801</v>
      </c>
      <c r="E5321" s="1" t="s">
        <v>25</v>
      </c>
      <c r="F5321" s="1" t="str">
        <f>"82D5FB02AE880400C834002000000015"</f>
        <v>82D5FB02AE880400C834002000000015</v>
      </c>
      <c r="G5321" s="1" t="s">
        <v>26</v>
      </c>
      <c r="H5321" s="1" t="str">
        <f t="shared" si="1025"/>
        <v>20220925</v>
      </c>
      <c r="I5321" s="1" t="str">
        <f>"080802"</f>
        <v>080802</v>
      </c>
      <c r="J5321" s="1" t="s">
        <v>51</v>
      </c>
      <c r="K5321" s="1" t="s">
        <v>52</v>
      </c>
      <c r="L5321" s="1" t="str">
        <f t="shared" si="1026"/>
        <v>20220925</v>
      </c>
      <c r="M5321" s="1" t="str">
        <f>"084305"</f>
        <v>084305</v>
      </c>
      <c r="N5321" s="1" t="s">
        <v>79</v>
      </c>
      <c r="O5321" s="1" t="s">
        <v>45</v>
      </c>
      <c r="P5321" s="1" t="s">
        <v>68</v>
      </c>
      <c r="Q5321" s="1">
        <v>25</v>
      </c>
      <c r="R5321" s="1">
        <v>0</v>
      </c>
      <c r="S5321" s="1">
        <v>0</v>
      </c>
      <c r="T5321" s="1">
        <v>25</v>
      </c>
      <c r="U5321" s="1">
        <v>0</v>
      </c>
      <c r="V5321" s="1" t="str">
        <f t="shared" ref="V5321:V5330" si="1027">"里程去程"</f>
        <v>里程去程</v>
      </c>
      <c r="W5321" s="1" t="str">
        <f>"0020"</f>
        <v>0020</v>
      </c>
      <c r="X5321" s="1" t="s">
        <v>29</v>
      </c>
    </row>
    <row r="5322" spans="1:24" x14ac:dyDescent="0.3">
      <c r="A5322" s="1" t="str">
        <f t="shared" si="1023"/>
        <v>59822</v>
      </c>
      <c r="B5322" s="1" t="s">
        <v>39</v>
      </c>
      <c r="C5322" s="1" t="s">
        <v>40</v>
      </c>
      <c r="D5322" s="1" t="str">
        <f t="shared" si="1024"/>
        <v>9801</v>
      </c>
      <c r="E5322" s="1" t="s">
        <v>25</v>
      </c>
      <c r="F5322" s="1" t="str">
        <f>"4251460257880400C821002000000015"</f>
        <v>4251460257880400C821002000000015</v>
      </c>
      <c r="G5322" s="1" t="s">
        <v>26</v>
      </c>
      <c r="H5322" s="1" t="str">
        <f t="shared" si="1025"/>
        <v>20220925</v>
      </c>
      <c r="I5322" s="1" t="str">
        <f>"081838"</f>
        <v>081838</v>
      </c>
      <c r="J5322" s="1" t="s">
        <v>69</v>
      </c>
      <c r="K5322" s="1" t="s">
        <v>52</v>
      </c>
      <c r="L5322" s="1" t="str">
        <f t="shared" si="1026"/>
        <v>20220925</v>
      </c>
      <c r="M5322" s="1" t="str">
        <f>"084531"</f>
        <v>084531</v>
      </c>
      <c r="N5322" s="1" t="s">
        <v>45</v>
      </c>
      <c r="O5322" s="1" t="s">
        <v>45</v>
      </c>
      <c r="P5322" s="1" t="s">
        <v>68</v>
      </c>
      <c r="Q5322" s="1">
        <v>25</v>
      </c>
      <c r="R5322" s="1">
        <v>0</v>
      </c>
      <c r="S5322" s="1">
        <v>0</v>
      </c>
      <c r="T5322" s="1">
        <v>25</v>
      </c>
      <c r="U5322" s="1">
        <v>0</v>
      </c>
      <c r="V5322" s="1" t="str">
        <f t="shared" si="1027"/>
        <v>里程去程</v>
      </c>
      <c r="W5322" s="1" t="str">
        <f>"0020"</f>
        <v>0020</v>
      </c>
      <c r="X5322" s="1" t="s">
        <v>29</v>
      </c>
    </row>
    <row r="5323" spans="1:24" x14ac:dyDescent="0.3">
      <c r="A5323" s="1" t="str">
        <f t="shared" si="1023"/>
        <v>59822</v>
      </c>
      <c r="B5323" s="1" t="s">
        <v>39</v>
      </c>
      <c r="C5323" s="1" t="s">
        <v>40</v>
      </c>
      <c r="D5323" s="1" t="str">
        <f t="shared" si="1024"/>
        <v>9801</v>
      </c>
      <c r="E5323" s="1" t="s">
        <v>25</v>
      </c>
      <c r="F5323" s="1" t="str">
        <f>"1103370693"</f>
        <v>1103370693</v>
      </c>
      <c r="G5323" s="1" t="s">
        <v>33</v>
      </c>
      <c r="H5323" s="1" t="str">
        <f t="shared" si="1025"/>
        <v>20220925</v>
      </c>
      <c r="I5323" s="1" t="str">
        <f>"082839"</f>
        <v>082839</v>
      </c>
      <c r="J5323" s="1" t="s">
        <v>27</v>
      </c>
      <c r="K5323" s="1" t="s">
        <v>28</v>
      </c>
      <c r="L5323" s="1" t="str">
        <f t="shared" si="1026"/>
        <v>20220925</v>
      </c>
      <c r="M5323" s="1" t="str">
        <f>"084821"</f>
        <v>084821</v>
      </c>
      <c r="N5323" s="1" t="s">
        <v>56</v>
      </c>
      <c r="O5323" s="1" t="s">
        <v>45</v>
      </c>
      <c r="P5323" s="1" t="s">
        <v>55</v>
      </c>
      <c r="Q5323" s="1">
        <v>25</v>
      </c>
      <c r="R5323" s="1">
        <v>0</v>
      </c>
      <c r="S5323" s="1">
        <v>25</v>
      </c>
      <c r="T5323" s="1">
        <v>0</v>
      </c>
      <c r="U5323" s="1">
        <v>0</v>
      </c>
      <c r="V5323" s="1" t="str">
        <f t="shared" si="1027"/>
        <v>里程去程</v>
      </c>
      <c r="W5323" s="1" t="str">
        <f>"0820"</f>
        <v>0820</v>
      </c>
      <c r="X5323" s="1" t="s">
        <v>35</v>
      </c>
    </row>
    <row r="5324" spans="1:24" x14ac:dyDescent="0.3">
      <c r="A5324" s="1" t="str">
        <f t="shared" si="1023"/>
        <v>59822</v>
      </c>
      <c r="B5324" s="1" t="s">
        <v>39</v>
      </c>
      <c r="C5324" s="1" t="s">
        <v>40</v>
      </c>
      <c r="D5324" s="1" t="str">
        <f t="shared" si="1024"/>
        <v>9801</v>
      </c>
      <c r="E5324" s="1" t="s">
        <v>25</v>
      </c>
      <c r="F5324" s="1" t="str">
        <f>"1081688273"</f>
        <v>1081688273</v>
      </c>
      <c r="G5324" s="1" t="s">
        <v>33</v>
      </c>
      <c r="H5324" s="1" t="str">
        <f t="shared" si="1025"/>
        <v>20220925</v>
      </c>
      <c r="I5324" s="1" t="str">
        <f>"082842"</f>
        <v>082842</v>
      </c>
      <c r="J5324" s="1" t="s">
        <v>27</v>
      </c>
      <c r="K5324" s="1" t="s">
        <v>28</v>
      </c>
      <c r="L5324" s="1" t="str">
        <f t="shared" si="1026"/>
        <v>20220925</v>
      </c>
      <c r="M5324" s="1" t="str">
        <f>"084819"</f>
        <v>084819</v>
      </c>
      <c r="N5324" s="1" t="s">
        <v>56</v>
      </c>
      <c r="O5324" s="1" t="s">
        <v>45</v>
      </c>
      <c r="P5324" s="1" t="s">
        <v>55</v>
      </c>
      <c r="Q5324" s="1">
        <v>25</v>
      </c>
      <c r="R5324" s="1">
        <v>0</v>
      </c>
      <c r="S5324" s="1">
        <v>25</v>
      </c>
      <c r="T5324" s="1">
        <v>0</v>
      </c>
      <c r="U5324" s="1">
        <v>0</v>
      </c>
      <c r="V5324" s="1" t="str">
        <f t="shared" si="1027"/>
        <v>里程去程</v>
      </c>
      <c r="W5324" s="1" t="str">
        <f>"0820"</f>
        <v>0820</v>
      </c>
      <c r="X5324" s="1" t="s">
        <v>35</v>
      </c>
    </row>
    <row r="5325" spans="1:24" x14ac:dyDescent="0.3">
      <c r="A5325" s="1" t="str">
        <f t="shared" si="1023"/>
        <v>59822</v>
      </c>
      <c r="B5325" s="1" t="s">
        <v>39</v>
      </c>
      <c r="C5325" s="1" t="s">
        <v>40</v>
      </c>
      <c r="D5325" s="1" t="str">
        <f t="shared" si="1024"/>
        <v>9801</v>
      </c>
      <c r="E5325" s="1" t="s">
        <v>25</v>
      </c>
      <c r="F5325" s="1" t="str">
        <f>"325A1A0371880400C834002000000015"</f>
        <v>325A1A0371880400C834002000000015</v>
      </c>
      <c r="G5325" s="1" t="s">
        <v>26</v>
      </c>
      <c r="H5325" s="1" t="str">
        <f t="shared" si="1025"/>
        <v>20220925</v>
      </c>
      <c r="I5325" s="1" t="str">
        <f>"082849"</f>
        <v>082849</v>
      </c>
      <c r="J5325" s="1" t="s">
        <v>27</v>
      </c>
      <c r="K5325" s="1" t="s">
        <v>28</v>
      </c>
      <c r="L5325" s="1" t="str">
        <f t="shared" si="1026"/>
        <v>20220925</v>
      </c>
      <c r="M5325" s="1" t="str">
        <f>"085550"</f>
        <v>085550</v>
      </c>
      <c r="N5325" s="1" t="s">
        <v>44</v>
      </c>
      <c r="O5325" s="1" t="s">
        <v>45</v>
      </c>
      <c r="P5325" s="1" t="s">
        <v>68</v>
      </c>
      <c r="Q5325" s="1">
        <v>13</v>
      </c>
      <c r="R5325" s="1">
        <v>0</v>
      </c>
      <c r="S5325" s="1">
        <v>0</v>
      </c>
      <c r="T5325" s="1">
        <v>13</v>
      </c>
      <c r="U5325" s="1">
        <v>0</v>
      </c>
      <c r="V5325" s="1" t="str">
        <f t="shared" si="1027"/>
        <v>里程去程</v>
      </c>
      <c r="W5325" s="1" t="str">
        <f>"0020"</f>
        <v>0020</v>
      </c>
      <c r="X5325" s="1" t="s">
        <v>29</v>
      </c>
    </row>
    <row r="5326" spans="1:24" x14ac:dyDescent="0.3">
      <c r="A5326" s="1" t="str">
        <f t="shared" si="1023"/>
        <v>59822</v>
      </c>
      <c r="B5326" s="1" t="s">
        <v>39</v>
      </c>
      <c r="C5326" s="1" t="s">
        <v>40</v>
      </c>
      <c r="D5326" s="1" t="str">
        <f t="shared" si="1024"/>
        <v>9801</v>
      </c>
      <c r="E5326" s="1" t="s">
        <v>25</v>
      </c>
      <c r="F5326" s="1" t="str">
        <f>"E213BD024E880400C834002000000015"</f>
        <v>E213BD024E880400C834002000000015</v>
      </c>
      <c r="G5326" s="1" t="s">
        <v>74</v>
      </c>
      <c r="H5326" s="1" t="str">
        <f t="shared" si="1025"/>
        <v>20220925</v>
      </c>
      <c r="I5326" s="1" t="str">
        <f>"082859"</f>
        <v>082859</v>
      </c>
      <c r="J5326" s="1" t="s">
        <v>27</v>
      </c>
      <c r="K5326" s="1" t="s">
        <v>28</v>
      </c>
      <c r="L5326" s="1" t="str">
        <f t="shared" si="1026"/>
        <v>20220925</v>
      </c>
      <c r="M5326" s="1" t="str">
        <f>"084729"</f>
        <v>084729</v>
      </c>
      <c r="N5326" s="1" t="s">
        <v>61</v>
      </c>
      <c r="O5326" s="1" t="s">
        <v>45</v>
      </c>
      <c r="P5326" s="1" t="s">
        <v>68</v>
      </c>
      <c r="Q5326" s="1">
        <v>13</v>
      </c>
      <c r="R5326" s="1">
        <v>0</v>
      </c>
      <c r="S5326" s="1">
        <v>0</v>
      </c>
      <c r="T5326" s="1">
        <v>13</v>
      </c>
      <c r="U5326" s="1">
        <v>0</v>
      </c>
      <c r="V5326" s="1" t="str">
        <f t="shared" si="1027"/>
        <v>里程去程</v>
      </c>
      <c r="W5326" s="1" t="str">
        <f>"0020"</f>
        <v>0020</v>
      </c>
      <c r="X5326" s="1" t="s">
        <v>29</v>
      </c>
    </row>
    <row r="5327" spans="1:24" x14ac:dyDescent="0.3">
      <c r="A5327" s="1" t="str">
        <f t="shared" si="1023"/>
        <v>59822</v>
      </c>
      <c r="B5327" s="1" t="s">
        <v>39</v>
      </c>
      <c r="C5327" s="1" t="s">
        <v>40</v>
      </c>
      <c r="D5327" s="1" t="str">
        <f t="shared" si="1024"/>
        <v>9801</v>
      </c>
      <c r="E5327" s="1" t="s">
        <v>25</v>
      </c>
      <c r="F5327" s="1" t="str">
        <f>"42720D033E880400C834002000000015"</f>
        <v>42720D033E880400C834002000000015</v>
      </c>
      <c r="G5327" s="1" t="s">
        <v>26</v>
      </c>
      <c r="H5327" s="1" t="str">
        <f t="shared" si="1025"/>
        <v>20220925</v>
      </c>
      <c r="I5327" s="1" t="str">
        <f>"085931"</f>
        <v>085931</v>
      </c>
      <c r="J5327" s="1" t="s">
        <v>52</v>
      </c>
      <c r="K5327" s="1" t="s">
        <v>52</v>
      </c>
      <c r="L5327" s="1" t="str">
        <f t="shared" si="1026"/>
        <v>20220925</v>
      </c>
      <c r="M5327" s="1" t="str">
        <f>"092924"</f>
        <v>092924</v>
      </c>
      <c r="N5327" s="1" t="s">
        <v>27</v>
      </c>
      <c r="O5327" s="1" t="s">
        <v>28</v>
      </c>
      <c r="P5327" s="1" t="s">
        <v>68</v>
      </c>
      <c r="Q5327" s="1">
        <v>13</v>
      </c>
      <c r="R5327" s="1">
        <v>0</v>
      </c>
      <c r="S5327" s="1">
        <v>0</v>
      </c>
      <c r="T5327" s="1">
        <v>13</v>
      </c>
      <c r="U5327" s="1">
        <v>0</v>
      </c>
      <c r="V5327" s="1" t="str">
        <f t="shared" si="1027"/>
        <v>里程去程</v>
      </c>
      <c r="W5327" s="1" t="str">
        <f>"0020"</f>
        <v>0020</v>
      </c>
      <c r="X5327" s="1" t="s">
        <v>29</v>
      </c>
    </row>
    <row r="5328" spans="1:24" x14ac:dyDescent="0.3">
      <c r="A5328" s="1" t="str">
        <f t="shared" si="1023"/>
        <v>59822</v>
      </c>
      <c r="B5328" s="1" t="s">
        <v>39</v>
      </c>
      <c r="C5328" s="1" t="s">
        <v>40</v>
      </c>
      <c r="D5328" s="1" t="str">
        <f t="shared" si="1024"/>
        <v>9801</v>
      </c>
      <c r="E5328" s="1" t="s">
        <v>25</v>
      </c>
      <c r="F5328" s="1" t="str">
        <f>"32780D0344880400C834002000000015"</f>
        <v>32780D0344880400C834002000000015</v>
      </c>
      <c r="G5328" s="1" t="s">
        <v>26</v>
      </c>
      <c r="H5328" s="1" t="str">
        <f t="shared" si="1025"/>
        <v>20220925</v>
      </c>
      <c r="I5328" s="1" t="str">
        <f>"090021"</f>
        <v>090021</v>
      </c>
      <c r="J5328" s="1" t="s">
        <v>52</v>
      </c>
      <c r="K5328" s="1" t="s">
        <v>52</v>
      </c>
      <c r="L5328" s="1" t="str">
        <f t="shared" si="1026"/>
        <v>20220925</v>
      </c>
      <c r="M5328" s="1" t="str">
        <f>"093055"</f>
        <v>093055</v>
      </c>
      <c r="N5328" s="1" t="s">
        <v>70</v>
      </c>
      <c r="O5328" s="1" t="s">
        <v>28</v>
      </c>
      <c r="P5328" s="1" t="s">
        <v>68</v>
      </c>
      <c r="Q5328" s="1">
        <v>13</v>
      </c>
      <c r="R5328" s="1">
        <v>0</v>
      </c>
      <c r="S5328" s="1">
        <v>0</v>
      </c>
      <c r="T5328" s="1">
        <v>13</v>
      </c>
      <c r="U5328" s="1">
        <v>0</v>
      </c>
      <c r="V5328" s="1" t="str">
        <f t="shared" si="1027"/>
        <v>里程去程</v>
      </c>
      <c r="W5328" s="1" t="str">
        <f>"0020"</f>
        <v>0020</v>
      </c>
      <c r="X5328" s="1" t="s">
        <v>29</v>
      </c>
    </row>
    <row r="5329" spans="1:24" x14ac:dyDescent="0.3">
      <c r="A5329" s="1" t="str">
        <f t="shared" si="1023"/>
        <v>59822</v>
      </c>
      <c r="B5329" s="1" t="s">
        <v>39</v>
      </c>
      <c r="C5329" s="1" t="s">
        <v>40</v>
      </c>
      <c r="D5329" s="1" t="str">
        <f t="shared" si="1024"/>
        <v>9801</v>
      </c>
      <c r="E5329" s="1" t="s">
        <v>25</v>
      </c>
      <c r="F5329" s="1" t="str">
        <f>"1032450693"</f>
        <v>1032450693</v>
      </c>
      <c r="G5329" s="1" t="s">
        <v>38</v>
      </c>
      <c r="H5329" s="1" t="str">
        <f t="shared" si="1025"/>
        <v>20220925</v>
      </c>
      <c r="I5329" s="1" t="str">
        <f>"093231"</f>
        <v>093231</v>
      </c>
      <c r="J5329" s="1" t="s">
        <v>27</v>
      </c>
      <c r="K5329" s="1" t="s">
        <v>28</v>
      </c>
      <c r="L5329" s="1" t="str">
        <f t="shared" si="1026"/>
        <v>20220925</v>
      </c>
      <c r="M5329" s="1" t="str">
        <f>"095905"</f>
        <v>095905</v>
      </c>
      <c r="N5329" s="1" t="s">
        <v>44</v>
      </c>
      <c r="O5329" s="1" t="s">
        <v>45</v>
      </c>
      <c r="P5329" s="1" t="s">
        <v>55</v>
      </c>
      <c r="Q5329" s="1">
        <v>25</v>
      </c>
      <c r="R5329" s="1">
        <v>25</v>
      </c>
      <c r="S5329" s="1">
        <v>0</v>
      </c>
      <c r="T5329" s="1">
        <v>0</v>
      </c>
      <c r="U5329" s="1">
        <v>0</v>
      </c>
      <c r="V5329" s="1" t="str">
        <f t="shared" si="1027"/>
        <v>里程去程</v>
      </c>
      <c r="W5329" s="1" t="str">
        <f>"0320"</f>
        <v>0320</v>
      </c>
      <c r="X5329" s="1" t="s">
        <v>35</v>
      </c>
    </row>
    <row r="5330" spans="1:24" x14ac:dyDescent="0.3">
      <c r="A5330" s="1" t="str">
        <f t="shared" si="1023"/>
        <v>59822</v>
      </c>
      <c r="B5330" s="1" t="s">
        <v>39</v>
      </c>
      <c r="C5330" s="1" t="s">
        <v>40</v>
      </c>
      <c r="D5330" s="1" t="str">
        <f t="shared" si="1024"/>
        <v>9801</v>
      </c>
      <c r="E5330" s="1" t="s">
        <v>25</v>
      </c>
      <c r="F5330" s="1" t="str">
        <f>"82D5FB02AE880400C834002000000015"</f>
        <v>82D5FB02AE880400C834002000000015</v>
      </c>
      <c r="G5330" s="1" t="s">
        <v>26</v>
      </c>
      <c r="H5330" s="1" t="str">
        <f t="shared" si="1025"/>
        <v>20220925</v>
      </c>
      <c r="I5330" s="1" t="str">
        <f>"094437"</f>
        <v>094437</v>
      </c>
      <c r="J5330" s="1" t="s">
        <v>79</v>
      </c>
      <c r="K5330" s="1" t="s">
        <v>45</v>
      </c>
      <c r="L5330" s="1" t="str">
        <f t="shared" si="1026"/>
        <v>20220925</v>
      </c>
      <c r="M5330" s="1" t="str">
        <f>"095721"</f>
        <v>095721</v>
      </c>
      <c r="N5330" s="1" t="s">
        <v>44</v>
      </c>
      <c r="O5330" s="1" t="s">
        <v>45</v>
      </c>
      <c r="P5330" s="1" t="s">
        <v>68</v>
      </c>
      <c r="Q5330" s="1">
        <v>13</v>
      </c>
      <c r="R5330" s="1">
        <v>0</v>
      </c>
      <c r="S5330" s="1">
        <v>0</v>
      </c>
      <c r="T5330" s="1">
        <v>13</v>
      </c>
      <c r="U5330" s="1">
        <v>0</v>
      </c>
      <c r="V5330" s="1" t="str">
        <f t="shared" si="1027"/>
        <v>里程去程</v>
      </c>
      <c r="W5330" s="1" t="str">
        <f>"0020"</f>
        <v>0020</v>
      </c>
      <c r="X5330" s="1" t="s">
        <v>29</v>
      </c>
    </row>
    <row r="5331" spans="1:24" x14ac:dyDescent="0.3">
      <c r="A5331" s="1" t="str">
        <f t="shared" si="1023"/>
        <v>59822</v>
      </c>
      <c r="B5331" s="1" t="s">
        <v>39</v>
      </c>
      <c r="C5331" s="1" t="s">
        <v>40</v>
      </c>
      <c r="D5331" s="1" t="str">
        <f t="shared" si="1024"/>
        <v>9801</v>
      </c>
      <c r="E5331" s="1" t="s">
        <v>25</v>
      </c>
      <c r="F5331" s="1" t="str">
        <f>"E08803711A880400468F745955402811"</f>
        <v>E08803711A880400468F745955402811</v>
      </c>
      <c r="G5331" s="1" t="s">
        <v>59</v>
      </c>
      <c r="H5331" s="1" t="str">
        <f t="shared" si="1025"/>
        <v>20220925</v>
      </c>
      <c r="I5331" s="1" t="str">
        <f>"125527"</f>
        <v>125527</v>
      </c>
      <c r="J5331" s="1" t="s">
        <v>28</v>
      </c>
      <c r="K5331" s="1" t="s">
        <v>28</v>
      </c>
      <c r="L5331" s="1" t="str">
        <f t="shared" si="1026"/>
        <v>20220925</v>
      </c>
      <c r="M5331" s="1" t="str">
        <f>"130615"</f>
        <v>130615</v>
      </c>
      <c r="N5331" s="1" t="s">
        <v>67</v>
      </c>
      <c r="O5331" s="1" t="s">
        <v>52</v>
      </c>
      <c r="P5331" s="1" t="s">
        <v>55</v>
      </c>
      <c r="Q5331" s="1">
        <v>25</v>
      </c>
      <c r="R5331" s="1">
        <v>0</v>
      </c>
      <c r="S5331" s="1">
        <v>25</v>
      </c>
      <c r="T5331" s="1">
        <v>0</v>
      </c>
      <c r="U5331" s="1">
        <v>0</v>
      </c>
      <c r="V5331" s="1" t="str">
        <f t="shared" ref="V5331:V5343" si="1028">"里程返程"</f>
        <v>里程返程</v>
      </c>
      <c r="W5331" s="1" t="str">
        <f>"0620"</f>
        <v>0620</v>
      </c>
      <c r="X5331" s="1" t="s">
        <v>29</v>
      </c>
    </row>
    <row r="5332" spans="1:24" x14ac:dyDescent="0.3">
      <c r="A5332" s="1" t="str">
        <f t="shared" si="1023"/>
        <v>59822</v>
      </c>
      <c r="B5332" s="1" t="s">
        <v>39</v>
      </c>
      <c r="C5332" s="1" t="s">
        <v>40</v>
      </c>
      <c r="D5332" s="1" t="str">
        <f t="shared" si="1024"/>
        <v>9801</v>
      </c>
      <c r="E5332" s="1" t="s">
        <v>25</v>
      </c>
      <c r="F5332" s="1" t="str">
        <f>"E220D10211880400C834002000000015"</f>
        <v>E220D10211880400C834002000000015</v>
      </c>
      <c r="G5332" s="1" t="s">
        <v>74</v>
      </c>
      <c r="H5332" s="1" t="str">
        <f t="shared" si="1025"/>
        <v>20220925</v>
      </c>
      <c r="I5332" s="1" t="str">
        <f>"131315"</f>
        <v>131315</v>
      </c>
      <c r="J5332" s="1" t="s">
        <v>97</v>
      </c>
      <c r="K5332" s="1" t="s">
        <v>52</v>
      </c>
      <c r="L5332" s="1" t="str">
        <f t="shared" si="1026"/>
        <v>20220925</v>
      </c>
      <c r="M5332" s="1" t="str">
        <f>"131555"</f>
        <v>131555</v>
      </c>
      <c r="N5332" s="1" t="s">
        <v>65</v>
      </c>
      <c r="O5332" s="1" t="s">
        <v>52</v>
      </c>
      <c r="P5332" s="1" t="s">
        <v>68</v>
      </c>
      <c r="Q5332" s="1">
        <v>13</v>
      </c>
      <c r="R5332" s="1">
        <v>0</v>
      </c>
      <c r="S5332" s="1">
        <v>0</v>
      </c>
      <c r="T5332" s="1">
        <v>13</v>
      </c>
      <c r="U5332" s="1">
        <v>0</v>
      </c>
      <c r="V5332" s="1" t="str">
        <f t="shared" si="1028"/>
        <v>里程返程</v>
      </c>
      <c r="W5332" s="1" t="str">
        <f>"0020"</f>
        <v>0020</v>
      </c>
      <c r="X5332" s="1" t="s">
        <v>29</v>
      </c>
    </row>
    <row r="5333" spans="1:24" x14ac:dyDescent="0.3">
      <c r="A5333" s="1" t="str">
        <f t="shared" si="1023"/>
        <v>59822</v>
      </c>
      <c r="B5333" s="1" t="s">
        <v>39</v>
      </c>
      <c r="C5333" s="1" t="s">
        <v>40</v>
      </c>
      <c r="D5333" s="1" t="str">
        <f t="shared" si="1024"/>
        <v>9801</v>
      </c>
      <c r="E5333" s="1" t="s">
        <v>25</v>
      </c>
      <c r="F5333" s="1" t="str">
        <f>"3183631402"</f>
        <v>3183631402</v>
      </c>
      <c r="G5333" s="1" t="s">
        <v>33</v>
      </c>
      <c r="H5333" s="1" t="str">
        <f t="shared" si="1025"/>
        <v>20220925</v>
      </c>
      <c r="I5333" s="1" t="str">
        <f>"142921"</f>
        <v>142921</v>
      </c>
      <c r="J5333" s="1" t="s">
        <v>44</v>
      </c>
      <c r="K5333" s="1" t="s">
        <v>45</v>
      </c>
      <c r="L5333" s="1" t="str">
        <f t="shared" si="1026"/>
        <v>20220925</v>
      </c>
      <c r="M5333" s="1" t="str">
        <f>"145301"</f>
        <v>145301</v>
      </c>
      <c r="N5333" s="1" t="s">
        <v>28</v>
      </c>
      <c r="O5333" s="1" t="s">
        <v>28</v>
      </c>
      <c r="P5333" s="1" t="s">
        <v>55</v>
      </c>
      <c r="Q5333" s="1">
        <v>25</v>
      </c>
      <c r="R5333" s="1">
        <v>0</v>
      </c>
      <c r="S5333" s="1">
        <v>25</v>
      </c>
      <c r="T5333" s="1">
        <v>0</v>
      </c>
      <c r="U5333" s="1">
        <v>0</v>
      </c>
      <c r="V5333" s="1" t="str">
        <f t="shared" si="1028"/>
        <v>里程返程</v>
      </c>
      <c r="W5333" s="1" t="str">
        <f>"2020"</f>
        <v>2020</v>
      </c>
      <c r="X5333" s="1" t="s">
        <v>35</v>
      </c>
    </row>
    <row r="5334" spans="1:24" x14ac:dyDescent="0.3">
      <c r="A5334" s="1" t="str">
        <f t="shared" si="1023"/>
        <v>59822</v>
      </c>
      <c r="B5334" s="1" t="s">
        <v>39</v>
      </c>
      <c r="C5334" s="1" t="s">
        <v>40</v>
      </c>
      <c r="D5334" s="1" t="str">
        <f t="shared" si="1024"/>
        <v>9801</v>
      </c>
      <c r="E5334" s="1" t="s">
        <v>25</v>
      </c>
      <c r="F5334" s="1" t="str">
        <f>"636904207"</f>
        <v>636904207</v>
      </c>
      <c r="G5334" s="1" t="s">
        <v>33</v>
      </c>
      <c r="H5334" s="1" t="str">
        <f t="shared" si="1025"/>
        <v>20220925</v>
      </c>
      <c r="I5334" s="1" t="str">
        <f>"151639"</f>
        <v>151639</v>
      </c>
      <c r="J5334" s="1" t="s">
        <v>60</v>
      </c>
      <c r="K5334" s="1" t="s">
        <v>52</v>
      </c>
      <c r="L5334" s="1" t="str">
        <f t="shared" si="1026"/>
        <v>20220925</v>
      </c>
      <c r="M5334" s="1" t="str">
        <f>"152128"</f>
        <v>152128</v>
      </c>
      <c r="N5334" s="1" t="s">
        <v>52</v>
      </c>
      <c r="O5334" s="1" t="s">
        <v>52</v>
      </c>
      <c r="P5334" s="1" t="s">
        <v>55</v>
      </c>
      <c r="Q5334" s="1">
        <v>25</v>
      </c>
      <c r="R5334" s="1">
        <v>25</v>
      </c>
      <c r="S5334" s="1">
        <v>0</v>
      </c>
      <c r="T5334" s="1">
        <v>0</v>
      </c>
      <c r="U5334" s="1">
        <v>0</v>
      </c>
      <c r="V5334" s="1" t="str">
        <f t="shared" si="1028"/>
        <v>里程返程</v>
      </c>
      <c r="W5334" s="1" t="str">
        <f>"0120"</f>
        <v>0120</v>
      </c>
      <c r="X5334" s="1" t="s">
        <v>35</v>
      </c>
    </row>
    <row r="5335" spans="1:24" x14ac:dyDescent="0.3">
      <c r="A5335" s="1" t="str">
        <f t="shared" si="1023"/>
        <v>59822</v>
      </c>
      <c r="B5335" s="1" t="s">
        <v>39</v>
      </c>
      <c r="C5335" s="1" t="s">
        <v>40</v>
      </c>
      <c r="D5335" s="1" t="str">
        <f t="shared" si="1024"/>
        <v>9801</v>
      </c>
      <c r="E5335" s="1" t="s">
        <v>25</v>
      </c>
      <c r="F5335" s="1" t="str">
        <f>"636904207"</f>
        <v>636904207</v>
      </c>
      <c r="G5335" s="1" t="s">
        <v>33</v>
      </c>
      <c r="H5335" s="1" t="str">
        <f t="shared" si="1025"/>
        <v>20220925</v>
      </c>
      <c r="I5335" s="1" t="str">
        <f>"152155"</f>
        <v>152155</v>
      </c>
      <c r="J5335" s="1" t="s">
        <v>44</v>
      </c>
      <c r="K5335" s="1" t="s">
        <v>45</v>
      </c>
      <c r="L5335" s="1" t="str">
        <f t="shared" si="1026"/>
        <v>20220925</v>
      </c>
      <c r="M5335" s="1" t="str">
        <f>"153614"</f>
        <v>153614</v>
      </c>
      <c r="N5335" s="1" t="s">
        <v>91</v>
      </c>
      <c r="O5335" s="1" t="s">
        <v>45</v>
      </c>
      <c r="P5335" s="1" t="s">
        <v>55</v>
      </c>
      <c r="Q5335" s="1">
        <v>25</v>
      </c>
      <c r="R5335" s="1">
        <v>25</v>
      </c>
      <c r="S5335" s="1">
        <v>0</v>
      </c>
      <c r="T5335" s="1">
        <v>0</v>
      </c>
      <c r="U5335" s="1">
        <v>0</v>
      </c>
      <c r="V5335" s="1" t="str">
        <f t="shared" si="1028"/>
        <v>里程返程</v>
      </c>
      <c r="W5335" s="1" t="str">
        <f>"2020"</f>
        <v>2020</v>
      </c>
      <c r="X5335" s="1" t="s">
        <v>35</v>
      </c>
    </row>
    <row r="5336" spans="1:24" x14ac:dyDescent="0.3">
      <c r="A5336" s="1" t="str">
        <f t="shared" si="1023"/>
        <v>59822</v>
      </c>
      <c r="B5336" s="1" t="s">
        <v>39</v>
      </c>
      <c r="C5336" s="1" t="s">
        <v>40</v>
      </c>
      <c r="D5336" s="1" t="str">
        <f t="shared" si="1024"/>
        <v>9801</v>
      </c>
      <c r="E5336" s="1" t="s">
        <v>25</v>
      </c>
      <c r="F5336" s="1" t="str">
        <f>"4119043B67280400F700000000000000"</f>
        <v>4119043B67280400F700000000000000</v>
      </c>
      <c r="G5336" s="1" t="s">
        <v>58</v>
      </c>
      <c r="H5336" s="1" t="str">
        <f t="shared" si="1025"/>
        <v>20220925</v>
      </c>
      <c r="I5336" s="1" t="str">
        <f>"152253"</f>
        <v>152253</v>
      </c>
      <c r="J5336" s="1" t="s">
        <v>44</v>
      </c>
      <c r="K5336" s="1" t="s">
        <v>45</v>
      </c>
      <c r="L5336" s="1" t="str">
        <f t="shared" si="1026"/>
        <v>20220925</v>
      </c>
      <c r="M5336" s="1" t="str">
        <f>"155210"</f>
        <v>155210</v>
      </c>
      <c r="N5336" s="1" t="s">
        <v>28</v>
      </c>
      <c r="O5336" s="1" t="s">
        <v>28</v>
      </c>
      <c r="P5336" s="1" t="s">
        <v>55</v>
      </c>
      <c r="Q5336" s="1">
        <v>25</v>
      </c>
      <c r="R5336" s="1">
        <v>0</v>
      </c>
      <c r="S5336" s="1">
        <v>25</v>
      </c>
      <c r="T5336" s="1">
        <v>0</v>
      </c>
      <c r="U5336" s="1">
        <v>0</v>
      </c>
      <c r="V5336" s="1" t="str">
        <f t="shared" si="1028"/>
        <v>里程返程</v>
      </c>
      <c r="W5336" s="1" t="str">
        <f>"2020"</f>
        <v>2020</v>
      </c>
      <c r="X5336" s="1" t="s">
        <v>29</v>
      </c>
    </row>
    <row r="5337" spans="1:24" x14ac:dyDescent="0.3">
      <c r="A5337" s="1" t="str">
        <f t="shared" si="1023"/>
        <v>59822</v>
      </c>
      <c r="B5337" s="1" t="s">
        <v>39</v>
      </c>
      <c r="C5337" s="1" t="s">
        <v>40</v>
      </c>
      <c r="D5337" s="1" t="str">
        <f t="shared" si="1024"/>
        <v>9801</v>
      </c>
      <c r="E5337" s="1" t="s">
        <v>25</v>
      </c>
      <c r="F5337" s="1" t="str">
        <f>"4232953804"</f>
        <v>4232953804</v>
      </c>
      <c r="G5337" s="1" t="s">
        <v>33</v>
      </c>
      <c r="H5337" s="1" t="str">
        <f t="shared" si="1025"/>
        <v>20220925</v>
      </c>
      <c r="I5337" s="1" t="str">
        <f>"152257"</f>
        <v>152257</v>
      </c>
      <c r="J5337" s="1" t="s">
        <v>44</v>
      </c>
      <c r="K5337" s="1" t="s">
        <v>45</v>
      </c>
      <c r="L5337" s="1" t="str">
        <f t="shared" si="1026"/>
        <v>20220925</v>
      </c>
      <c r="M5337" s="1" t="str">
        <f>"155212"</f>
        <v>155212</v>
      </c>
      <c r="N5337" s="1" t="s">
        <v>28</v>
      </c>
      <c r="O5337" s="1" t="s">
        <v>28</v>
      </c>
      <c r="P5337" s="1" t="s">
        <v>55</v>
      </c>
      <c r="Q5337" s="1">
        <v>25</v>
      </c>
      <c r="R5337" s="1">
        <v>0</v>
      </c>
      <c r="S5337" s="1">
        <v>25</v>
      </c>
      <c r="T5337" s="1">
        <v>0</v>
      </c>
      <c r="U5337" s="1">
        <v>0</v>
      </c>
      <c r="V5337" s="1" t="str">
        <f t="shared" si="1028"/>
        <v>里程返程</v>
      </c>
      <c r="W5337" s="1" t="str">
        <f>"2020"</f>
        <v>2020</v>
      </c>
      <c r="X5337" s="1" t="s">
        <v>35</v>
      </c>
    </row>
    <row r="5338" spans="1:24" x14ac:dyDescent="0.3">
      <c r="A5338" s="1" t="str">
        <f t="shared" si="1023"/>
        <v>59822</v>
      </c>
      <c r="B5338" s="1" t="s">
        <v>39</v>
      </c>
      <c r="C5338" s="1" t="s">
        <v>40</v>
      </c>
      <c r="D5338" s="1" t="str">
        <f t="shared" si="1024"/>
        <v>9801</v>
      </c>
      <c r="E5338" s="1" t="s">
        <v>25</v>
      </c>
      <c r="F5338" s="1" t="str">
        <f>"32E4D00107880400C818002000000015"</f>
        <v>32E4D00107880400C818002000000015</v>
      </c>
      <c r="G5338" s="1" t="s">
        <v>58</v>
      </c>
      <c r="H5338" s="1" t="str">
        <f t="shared" si="1025"/>
        <v>20220925</v>
      </c>
      <c r="I5338" s="1" t="str">
        <f>"154318"</f>
        <v>154318</v>
      </c>
      <c r="J5338" s="1" t="s">
        <v>45</v>
      </c>
      <c r="K5338" s="1" t="s">
        <v>45</v>
      </c>
      <c r="L5338" s="1" t="str">
        <f t="shared" si="1026"/>
        <v>20220925</v>
      </c>
      <c r="M5338" s="1" t="str">
        <f>"161929"</f>
        <v>161929</v>
      </c>
      <c r="N5338" s="1" t="s">
        <v>86</v>
      </c>
      <c r="O5338" s="1" t="s">
        <v>52</v>
      </c>
      <c r="P5338" s="1" t="s">
        <v>55</v>
      </c>
      <c r="Q5338" s="1">
        <v>50</v>
      </c>
      <c r="R5338" s="1">
        <v>25</v>
      </c>
      <c r="S5338" s="1">
        <v>25</v>
      </c>
      <c r="T5338" s="1">
        <v>0</v>
      </c>
      <c r="U5338" s="1">
        <v>0</v>
      </c>
      <c r="V5338" s="1" t="str">
        <f t="shared" si="1028"/>
        <v>里程返程</v>
      </c>
      <c r="W5338" s="1" t="str">
        <f>"2020"</f>
        <v>2020</v>
      </c>
      <c r="X5338" s="1" t="s">
        <v>29</v>
      </c>
    </row>
    <row r="5339" spans="1:24" x14ac:dyDescent="0.3">
      <c r="A5339" s="1" t="str">
        <f t="shared" si="1023"/>
        <v>59822</v>
      </c>
      <c r="B5339" s="1" t="s">
        <v>39</v>
      </c>
      <c r="C5339" s="1" t="s">
        <v>40</v>
      </c>
      <c r="D5339" s="1" t="str">
        <f t="shared" si="1024"/>
        <v>9801</v>
      </c>
      <c r="E5339" s="1" t="s">
        <v>25</v>
      </c>
      <c r="F5339" s="1" t="str">
        <f>"72AE480296880400C821002000000015"</f>
        <v>72AE480296880400C821002000000015</v>
      </c>
      <c r="G5339" s="1" t="s">
        <v>26</v>
      </c>
      <c r="H5339" s="1" t="str">
        <f t="shared" si="1025"/>
        <v>20220925</v>
      </c>
      <c r="I5339" s="1" t="str">
        <f>"155222"</f>
        <v>155222</v>
      </c>
      <c r="J5339" s="1" t="s">
        <v>28</v>
      </c>
      <c r="K5339" s="1" t="s">
        <v>28</v>
      </c>
      <c r="L5339" s="1" t="str">
        <f t="shared" si="1026"/>
        <v>20220925</v>
      </c>
      <c r="M5339" s="1" t="str">
        <f>"160634"</f>
        <v>160634</v>
      </c>
      <c r="N5339" s="1" t="s">
        <v>69</v>
      </c>
      <c r="O5339" s="1" t="s">
        <v>52</v>
      </c>
      <c r="P5339" s="1" t="s">
        <v>68</v>
      </c>
      <c r="Q5339" s="1">
        <v>13</v>
      </c>
      <c r="R5339" s="1">
        <v>0</v>
      </c>
      <c r="S5339" s="1">
        <v>0</v>
      </c>
      <c r="T5339" s="1">
        <v>13</v>
      </c>
      <c r="U5339" s="1">
        <v>0</v>
      </c>
      <c r="V5339" s="1" t="str">
        <f t="shared" si="1028"/>
        <v>里程返程</v>
      </c>
      <c r="W5339" s="1" t="str">
        <f>"0020"</f>
        <v>0020</v>
      </c>
      <c r="X5339" s="1" t="s">
        <v>29</v>
      </c>
    </row>
    <row r="5340" spans="1:24" x14ac:dyDescent="0.3">
      <c r="A5340" s="1" t="str">
        <f t="shared" si="1023"/>
        <v>59822</v>
      </c>
      <c r="B5340" s="1" t="s">
        <v>39</v>
      </c>
      <c r="C5340" s="1" t="s">
        <v>40</v>
      </c>
      <c r="D5340" s="1" t="str">
        <f t="shared" si="1024"/>
        <v>9801</v>
      </c>
      <c r="E5340" s="1" t="s">
        <v>25</v>
      </c>
      <c r="F5340" s="1" t="str">
        <f>"460978337"</f>
        <v>460978337</v>
      </c>
      <c r="G5340" s="1" t="s">
        <v>26</v>
      </c>
      <c r="H5340" s="1" t="str">
        <f t="shared" si="1025"/>
        <v>20220925</v>
      </c>
      <c r="I5340" s="1" t="str">
        <f>"162314"</f>
        <v>162314</v>
      </c>
      <c r="J5340" s="1" t="s">
        <v>44</v>
      </c>
      <c r="K5340" s="1" t="s">
        <v>45</v>
      </c>
      <c r="L5340" s="1" t="str">
        <f t="shared" si="1026"/>
        <v>20220925</v>
      </c>
      <c r="M5340" s="1" t="str">
        <f>"164946"</f>
        <v>164946</v>
      </c>
      <c r="N5340" s="1" t="s">
        <v>28</v>
      </c>
      <c r="O5340" s="1" t="s">
        <v>28</v>
      </c>
      <c r="P5340" s="1" t="s">
        <v>55</v>
      </c>
      <c r="Q5340" s="1">
        <v>13</v>
      </c>
      <c r="R5340" s="1">
        <v>0</v>
      </c>
      <c r="S5340" s="1">
        <v>13</v>
      </c>
      <c r="T5340" s="1">
        <v>0</v>
      </c>
      <c r="U5340" s="1">
        <v>0</v>
      </c>
      <c r="V5340" s="1" t="str">
        <f t="shared" si="1028"/>
        <v>里程返程</v>
      </c>
      <c r="W5340" s="1" t="str">
        <f>"2020"</f>
        <v>2020</v>
      </c>
      <c r="X5340" s="1" t="s">
        <v>35</v>
      </c>
    </row>
    <row r="5341" spans="1:24" x14ac:dyDescent="0.3">
      <c r="A5341" s="1" t="str">
        <f t="shared" si="1023"/>
        <v>59822</v>
      </c>
      <c r="B5341" s="1" t="s">
        <v>39</v>
      </c>
      <c r="C5341" s="1" t="s">
        <v>40</v>
      </c>
      <c r="D5341" s="1" t="str">
        <f t="shared" si="1024"/>
        <v>9801</v>
      </c>
      <c r="E5341" s="1" t="s">
        <v>25</v>
      </c>
      <c r="F5341" s="1" t="str">
        <f>"2016810456"</f>
        <v>2016810456</v>
      </c>
      <c r="G5341" s="1" t="s">
        <v>33</v>
      </c>
      <c r="H5341" s="1" t="str">
        <f t="shared" si="1025"/>
        <v>20220925</v>
      </c>
      <c r="I5341" s="1" t="str">
        <f>"162318"</f>
        <v>162318</v>
      </c>
      <c r="J5341" s="1" t="s">
        <v>44</v>
      </c>
      <c r="K5341" s="1" t="s">
        <v>45</v>
      </c>
      <c r="L5341" s="1" t="str">
        <f t="shared" si="1026"/>
        <v>20220925</v>
      </c>
      <c r="M5341" s="1" t="str">
        <f>"164943"</f>
        <v>164943</v>
      </c>
      <c r="N5341" s="1" t="s">
        <v>28</v>
      </c>
      <c r="O5341" s="1" t="s">
        <v>28</v>
      </c>
      <c r="P5341" s="1" t="s">
        <v>55</v>
      </c>
      <c r="Q5341" s="1">
        <v>25</v>
      </c>
      <c r="R5341" s="1">
        <v>25</v>
      </c>
      <c r="S5341" s="1">
        <v>0</v>
      </c>
      <c r="T5341" s="1">
        <v>0</v>
      </c>
      <c r="U5341" s="1">
        <v>0</v>
      </c>
      <c r="V5341" s="1" t="str">
        <f t="shared" si="1028"/>
        <v>里程返程</v>
      </c>
      <c r="W5341" s="1" t="str">
        <f>"2020"</f>
        <v>2020</v>
      </c>
      <c r="X5341" s="1" t="s">
        <v>35</v>
      </c>
    </row>
    <row r="5342" spans="1:24" x14ac:dyDescent="0.3">
      <c r="A5342" s="1" t="str">
        <f t="shared" si="1023"/>
        <v>59822</v>
      </c>
      <c r="B5342" s="1" t="s">
        <v>39</v>
      </c>
      <c r="C5342" s="1" t="s">
        <v>40</v>
      </c>
      <c r="D5342" s="1" t="str">
        <f t="shared" si="1024"/>
        <v>9801</v>
      </c>
      <c r="E5342" s="1" t="s">
        <v>25</v>
      </c>
      <c r="F5342" s="1" t="str">
        <f>"1526871937"</f>
        <v>1526871937</v>
      </c>
      <c r="G5342" s="1" t="s">
        <v>33</v>
      </c>
      <c r="H5342" s="1" t="str">
        <f t="shared" si="1025"/>
        <v>20220925</v>
      </c>
      <c r="I5342" s="1" t="str">
        <f>"165008"</f>
        <v>165008</v>
      </c>
      <c r="J5342" s="1" t="s">
        <v>28</v>
      </c>
      <c r="K5342" s="1" t="s">
        <v>28</v>
      </c>
      <c r="L5342" s="1" t="str">
        <f t="shared" si="1026"/>
        <v>20220925</v>
      </c>
      <c r="M5342" s="1" t="str">
        <f>"170355"</f>
        <v>170355</v>
      </c>
      <c r="N5342" s="1" t="s">
        <v>67</v>
      </c>
      <c r="O5342" s="1" t="s">
        <v>52</v>
      </c>
      <c r="P5342" s="1" t="s">
        <v>55</v>
      </c>
      <c r="Q5342" s="1">
        <v>25</v>
      </c>
      <c r="R5342" s="1">
        <v>25</v>
      </c>
      <c r="S5342" s="1">
        <v>0</v>
      </c>
      <c r="T5342" s="1">
        <v>0</v>
      </c>
      <c r="U5342" s="1">
        <v>0</v>
      </c>
      <c r="V5342" s="1" t="str">
        <f t="shared" si="1028"/>
        <v>里程返程</v>
      </c>
      <c r="W5342" s="1" t="str">
        <f>"2020"</f>
        <v>2020</v>
      </c>
      <c r="X5342" s="1" t="s">
        <v>35</v>
      </c>
    </row>
    <row r="5343" spans="1:24" x14ac:dyDescent="0.3">
      <c r="A5343" s="1" t="str">
        <f t="shared" si="1023"/>
        <v>59822</v>
      </c>
      <c r="B5343" s="1" t="s">
        <v>39</v>
      </c>
      <c r="C5343" s="1" t="s">
        <v>40</v>
      </c>
      <c r="D5343" s="1" t="str">
        <f t="shared" si="1024"/>
        <v>9801</v>
      </c>
      <c r="E5343" s="1" t="s">
        <v>25</v>
      </c>
      <c r="F5343" s="1" t="str">
        <f>"4251460257880400C821002000000015"</f>
        <v>4251460257880400C821002000000015</v>
      </c>
      <c r="G5343" s="1" t="s">
        <v>26</v>
      </c>
      <c r="H5343" s="1" t="str">
        <f t="shared" si="1025"/>
        <v>20220925</v>
      </c>
      <c r="I5343" s="1" t="str">
        <f>"170016"</f>
        <v>170016</v>
      </c>
      <c r="J5343" s="1" t="s">
        <v>84</v>
      </c>
      <c r="K5343" s="1" t="s">
        <v>28</v>
      </c>
      <c r="L5343" s="1" t="str">
        <f t="shared" si="1026"/>
        <v>20220925</v>
      </c>
      <c r="M5343" s="1" t="str">
        <f>"170637"</f>
        <v>170637</v>
      </c>
      <c r="N5343" s="1" t="s">
        <v>69</v>
      </c>
      <c r="O5343" s="1" t="s">
        <v>52</v>
      </c>
      <c r="P5343" s="1" t="s">
        <v>68</v>
      </c>
      <c r="Q5343" s="1">
        <v>13</v>
      </c>
      <c r="R5343" s="1">
        <v>0</v>
      </c>
      <c r="S5343" s="1">
        <v>0</v>
      </c>
      <c r="T5343" s="1">
        <v>13</v>
      </c>
      <c r="U5343" s="1">
        <v>0</v>
      </c>
      <c r="V5343" s="1" t="str">
        <f t="shared" si="1028"/>
        <v>里程返程</v>
      </c>
      <c r="W5343" s="1" t="str">
        <f>"0020"</f>
        <v>0020</v>
      </c>
      <c r="X5343" s="1" t="s">
        <v>29</v>
      </c>
    </row>
    <row r="5344" spans="1:24" x14ac:dyDescent="0.3">
      <c r="A5344" s="1" t="str">
        <f t="shared" ref="A5344:A5379" si="1029">"59825"</f>
        <v>59825</v>
      </c>
      <c r="B5344" s="1" t="s">
        <v>30</v>
      </c>
      <c r="C5344" s="1" t="s">
        <v>31</v>
      </c>
      <c r="D5344" s="1" t="str">
        <f t="shared" ref="D5344:D5388" si="1030">"9803"</f>
        <v>9803</v>
      </c>
      <c r="E5344" s="1" t="s">
        <v>32</v>
      </c>
      <c r="F5344" s="1" t="str">
        <f>"1289181761"</f>
        <v>1289181761</v>
      </c>
      <c r="G5344" s="1" t="s">
        <v>33</v>
      </c>
      <c r="H5344" s="1" t="str">
        <f t="shared" si="1025"/>
        <v>20220925</v>
      </c>
      <c r="I5344" s="1" t="str">
        <f>"083331"</f>
        <v>083331</v>
      </c>
      <c r="J5344" s="1" t="s">
        <v>28</v>
      </c>
      <c r="K5344" s="1" t="s">
        <v>28</v>
      </c>
      <c r="L5344" s="1" t="str">
        <f t="shared" si="1026"/>
        <v>20220925</v>
      </c>
      <c r="M5344" s="1" t="str">
        <f>"085141"</f>
        <v>085141</v>
      </c>
      <c r="N5344" s="1" t="s">
        <v>34</v>
      </c>
      <c r="O5344" s="1" t="s">
        <v>34</v>
      </c>
      <c r="P5344" s="1" t="s">
        <v>55</v>
      </c>
      <c r="Q5344" s="1">
        <v>25</v>
      </c>
      <c r="R5344" s="1">
        <v>25</v>
      </c>
      <c r="S5344" s="1">
        <v>0</v>
      </c>
      <c r="T5344" s="1">
        <v>0</v>
      </c>
      <c r="U5344" s="1">
        <v>0</v>
      </c>
      <c r="V5344" s="1" t="str">
        <f t="shared" ref="V5344:V5350" si="1031">"里程去程"</f>
        <v>里程去程</v>
      </c>
      <c r="W5344" s="1" t="str">
        <f>"0120"</f>
        <v>0120</v>
      </c>
      <c r="X5344" s="1" t="s">
        <v>35</v>
      </c>
    </row>
    <row r="5345" spans="1:24" x14ac:dyDescent="0.3">
      <c r="A5345" s="1" t="str">
        <f t="shared" si="1029"/>
        <v>59825</v>
      </c>
      <c r="B5345" s="1" t="s">
        <v>30</v>
      </c>
      <c r="C5345" s="1" t="s">
        <v>31</v>
      </c>
      <c r="D5345" s="1" t="str">
        <f t="shared" si="1030"/>
        <v>9803</v>
      </c>
      <c r="E5345" s="1" t="s">
        <v>32</v>
      </c>
      <c r="F5345" s="1" t="str">
        <f>"1779300725"</f>
        <v>1779300725</v>
      </c>
      <c r="G5345" s="1" t="s">
        <v>33</v>
      </c>
      <c r="H5345" s="1" t="str">
        <f t="shared" si="1025"/>
        <v>20220925</v>
      </c>
      <c r="I5345" s="1" t="str">
        <f>"102648"</f>
        <v>102648</v>
      </c>
      <c r="J5345" s="1" t="s">
        <v>28</v>
      </c>
      <c r="K5345" s="1" t="s">
        <v>28</v>
      </c>
      <c r="L5345" s="1" t="str">
        <f t="shared" si="1026"/>
        <v>20220925</v>
      </c>
      <c r="M5345" s="1" t="str">
        <f>"105008"</f>
        <v>105008</v>
      </c>
      <c r="N5345" s="1" t="s">
        <v>34</v>
      </c>
      <c r="O5345" s="1" t="s">
        <v>34</v>
      </c>
      <c r="P5345" s="1" t="s">
        <v>55</v>
      </c>
      <c r="Q5345" s="1">
        <v>25</v>
      </c>
      <c r="R5345" s="1">
        <v>25</v>
      </c>
      <c r="S5345" s="1">
        <v>0</v>
      </c>
      <c r="T5345" s="1">
        <v>0</v>
      </c>
      <c r="U5345" s="1">
        <v>0</v>
      </c>
      <c r="V5345" s="1" t="str">
        <f t="shared" si="1031"/>
        <v>里程去程</v>
      </c>
      <c r="W5345" s="1" t="str">
        <f>"0e20"</f>
        <v>0e20</v>
      </c>
      <c r="X5345" s="1" t="s">
        <v>35</v>
      </c>
    </row>
    <row r="5346" spans="1:24" x14ac:dyDescent="0.3">
      <c r="A5346" s="1" t="str">
        <f t="shared" si="1029"/>
        <v>59825</v>
      </c>
      <c r="B5346" s="1" t="s">
        <v>30</v>
      </c>
      <c r="C5346" s="1" t="s">
        <v>31</v>
      </c>
      <c r="D5346" s="1" t="str">
        <f t="shared" si="1030"/>
        <v>9803</v>
      </c>
      <c r="E5346" s="1" t="s">
        <v>32</v>
      </c>
      <c r="F5346" s="1" t="str">
        <f>"1045196773"</f>
        <v>1045196773</v>
      </c>
      <c r="G5346" s="1" t="s">
        <v>33</v>
      </c>
      <c r="H5346" s="1" t="str">
        <f t="shared" si="1025"/>
        <v>20220925</v>
      </c>
      <c r="I5346" s="1" t="str">
        <f>"102735"</f>
        <v>102735</v>
      </c>
      <c r="J5346" s="1" t="s">
        <v>28</v>
      </c>
      <c r="K5346" s="1" t="s">
        <v>28</v>
      </c>
      <c r="L5346" s="1" t="str">
        <f t="shared" si="1026"/>
        <v>20220925</v>
      </c>
      <c r="M5346" s="1" t="str">
        <f>"104942"</f>
        <v>104942</v>
      </c>
      <c r="N5346" s="1" t="s">
        <v>34</v>
      </c>
      <c r="O5346" s="1" t="s">
        <v>34</v>
      </c>
      <c r="P5346" s="1" t="s">
        <v>55</v>
      </c>
      <c r="Q5346" s="1">
        <v>25</v>
      </c>
      <c r="R5346" s="1">
        <v>25</v>
      </c>
      <c r="S5346" s="1">
        <v>0</v>
      </c>
      <c r="T5346" s="1">
        <v>0</v>
      </c>
      <c r="U5346" s="1">
        <v>0</v>
      </c>
      <c r="V5346" s="1" t="str">
        <f t="shared" si="1031"/>
        <v>里程去程</v>
      </c>
      <c r="W5346" s="1" t="str">
        <f>"0620"</f>
        <v>0620</v>
      </c>
      <c r="X5346" s="1" t="s">
        <v>35</v>
      </c>
    </row>
    <row r="5347" spans="1:24" x14ac:dyDescent="0.3">
      <c r="A5347" s="1" t="str">
        <f t="shared" si="1029"/>
        <v>59825</v>
      </c>
      <c r="B5347" s="1" t="s">
        <v>30</v>
      </c>
      <c r="C5347" s="1" t="s">
        <v>31</v>
      </c>
      <c r="D5347" s="1" t="str">
        <f t="shared" si="1030"/>
        <v>9803</v>
      </c>
      <c r="E5347" s="1" t="s">
        <v>32</v>
      </c>
      <c r="F5347" s="1" t="str">
        <f>"1049579665"</f>
        <v>1049579665</v>
      </c>
      <c r="G5347" s="1" t="s">
        <v>33</v>
      </c>
      <c r="H5347" s="1" t="str">
        <f t="shared" si="1025"/>
        <v>20220925</v>
      </c>
      <c r="I5347" s="1" t="str">
        <f>"102745"</f>
        <v>102745</v>
      </c>
      <c r="J5347" s="1" t="s">
        <v>28</v>
      </c>
      <c r="K5347" s="1" t="s">
        <v>28</v>
      </c>
      <c r="L5347" s="1" t="str">
        <f t="shared" si="1026"/>
        <v>20220925</v>
      </c>
      <c r="M5347" s="1" t="str">
        <f>"105019"</f>
        <v>105019</v>
      </c>
      <c r="N5347" s="1" t="s">
        <v>34</v>
      </c>
      <c r="O5347" s="1" t="s">
        <v>34</v>
      </c>
      <c r="P5347" s="1" t="s">
        <v>55</v>
      </c>
      <c r="Q5347" s="1">
        <v>25</v>
      </c>
      <c r="R5347" s="1">
        <v>25</v>
      </c>
      <c r="S5347" s="1">
        <v>0</v>
      </c>
      <c r="T5347" s="1">
        <v>0</v>
      </c>
      <c r="U5347" s="1">
        <v>0</v>
      </c>
      <c r="V5347" s="1" t="str">
        <f t="shared" si="1031"/>
        <v>里程去程</v>
      </c>
      <c r="W5347" s="1" t="str">
        <f>"0120"</f>
        <v>0120</v>
      </c>
      <c r="X5347" s="1" t="s">
        <v>35</v>
      </c>
    </row>
    <row r="5348" spans="1:24" x14ac:dyDescent="0.3">
      <c r="A5348" s="1" t="str">
        <f t="shared" si="1029"/>
        <v>59825</v>
      </c>
      <c r="B5348" s="1" t="s">
        <v>30</v>
      </c>
      <c r="C5348" s="1" t="s">
        <v>31</v>
      </c>
      <c r="D5348" s="1" t="str">
        <f t="shared" si="1030"/>
        <v>9803</v>
      </c>
      <c r="E5348" s="1" t="s">
        <v>32</v>
      </c>
      <c r="F5348" s="1" t="str">
        <f>"1093124049"</f>
        <v>1093124049</v>
      </c>
      <c r="G5348" s="1" t="s">
        <v>33</v>
      </c>
      <c r="H5348" s="1" t="str">
        <f t="shared" si="1025"/>
        <v>20220925</v>
      </c>
      <c r="I5348" s="1" t="str">
        <f>"102817"</f>
        <v>102817</v>
      </c>
      <c r="J5348" s="1" t="s">
        <v>28</v>
      </c>
      <c r="K5348" s="1" t="s">
        <v>28</v>
      </c>
      <c r="L5348" s="1" t="str">
        <f t="shared" si="1026"/>
        <v>20220925</v>
      </c>
      <c r="M5348" s="1" t="str">
        <f>"105034"</f>
        <v>105034</v>
      </c>
      <c r="N5348" s="1" t="s">
        <v>34</v>
      </c>
      <c r="O5348" s="1" t="s">
        <v>34</v>
      </c>
      <c r="P5348" s="1" t="s">
        <v>55</v>
      </c>
      <c r="Q5348" s="1">
        <v>25</v>
      </c>
      <c r="R5348" s="1">
        <v>25</v>
      </c>
      <c r="S5348" s="1">
        <v>0</v>
      </c>
      <c r="T5348" s="1">
        <v>0</v>
      </c>
      <c r="U5348" s="1">
        <v>0</v>
      </c>
      <c r="V5348" s="1" t="str">
        <f t="shared" si="1031"/>
        <v>里程去程</v>
      </c>
      <c r="W5348" s="1" t="str">
        <f>"0820"</f>
        <v>0820</v>
      </c>
      <c r="X5348" s="1" t="s">
        <v>35</v>
      </c>
    </row>
    <row r="5349" spans="1:24" x14ac:dyDescent="0.3">
      <c r="A5349" s="1" t="str">
        <f t="shared" si="1029"/>
        <v>59825</v>
      </c>
      <c r="B5349" s="1" t="s">
        <v>30</v>
      </c>
      <c r="C5349" s="1" t="s">
        <v>31</v>
      </c>
      <c r="D5349" s="1" t="str">
        <f t="shared" si="1030"/>
        <v>9803</v>
      </c>
      <c r="E5349" s="1" t="s">
        <v>32</v>
      </c>
      <c r="F5349" s="1" t="str">
        <f>"3183631402"</f>
        <v>3183631402</v>
      </c>
      <c r="G5349" s="1" t="s">
        <v>33</v>
      </c>
      <c r="H5349" s="1" t="str">
        <f t="shared" si="1025"/>
        <v>20220925</v>
      </c>
      <c r="I5349" s="1" t="str">
        <f>"112955"</f>
        <v>112955</v>
      </c>
      <c r="J5349" s="1" t="s">
        <v>28</v>
      </c>
      <c r="K5349" s="1" t="s">
        <v>28</v>
      </c>
      <c r="L5349" s="1" t="str">
        <f t="shared" si="1026"/>
        <v>20220925</v>
      </c>
      <c r="M5349" s="1" t="str">
        <f>"114241"</f>
        <v>114241</v>
      </c>
      <c r="N5349" s="1" t="s">
        <v>46</v>
      </c>
      <c r="O5349" s="1" t="s">
        <v>28</v>
      </c>
      <c r="P5349" s="1" t="s">
        <v>55</v>
      </c>
      <c r="Q5349" s="1">
        <v>25</v>
      </c>
      <c r="R5349" s="1">
        <v>25</v>
      </c>
      <c r="S5349" s="1">
        <v>0</v>
      </c>
      <c r="T5349" s="1">
        <v>0</v>
      </c>
      <c r="U5349" s="1">
        <v>0</v>
      </c>
      <c r="V5349" s="1" t="str">
        <f t="shared" si="1031"/>
        <v>里程去程</v>
      </c>
      <c r="W5349" s="1" t="str">
        <f>"2020"</f>
        <v>2020</v>
      </c>
      <c r="X5349" s="1" t="s">
        <v>35</v>
      </c>
    </row>
    <row r="5350" spans="1:24" x14ac:dyDescent="0.3">
      <c r="A5350" s="1" t="str">
        <f t="shared" si="1029"/>
        <v>59825</v>
      </c>
      <c r="B5350" s="1" t="s">
        <v>30</v>
      </c>
      <c r="C5350" s="1" t="s">
        <v>31</v>
      </c>
      <c r="D5350" s="1" t="str">
        <f t="shared" si="1030"/>
        <v>9803</v>
      </c>
      <c r="E5350" s="1" t="s">
        <v>32</v>
      </c>
      <c r="F5350" s="1" t="str">
        <f>"825874053"</f>
        <v>825874053</v>
      </c>
      <c r="G5350" s="1" t="s">
        <v>33</v>
      </c>
      <c r="H5350" s="1" t="str">
        <f t="shared" si="1025"/>
        <v>20220925</v>
      </c>
      <c r="I5350" s="1" t="str">
        <f>"113945"</f>
        <v>113945</v>
      </c>
      <c r="J5350" s="1" t="s">
        <v>79</v>
      </c>
      <c r="K5350" s="1" t="s">
        <v>28</v>
      </c>
      <c r="L5350" s="1" t="str">
        <f t="shared" si="1026"/>
        <v>20220925</v>
      </c>
      <c r="M5350" s="1" t="str">
        <f>"115436"</f>
        <v>115436</v>
      </c>
      <c r="N5350" s="1" t="s">
        <v>34</v>
      </c>
      <c r="O5350" s="1" t="s">
        <v>34</v>
      </c>
      <c r="P5350" s="1" t="s">
        <v>55</v>
      </c>
      <c r="Q5350" s="1">
        <v>25</v>
      </c>
      <c r="R5350" s="1">
        <v>25</v>
      </c>
      <c r="S5350" s="1">
        <v>0</v>
      </c>
      <c r="T5350" s="1">
        <v>0</v>
      </c>
      <c r="U5350" s="1">
        <v>0</v>
      </c>
      <c r="V5350" s="1" t="str">
        <f t="shared" si="1031"/>
        <v>里程去程</v>
      </c>
      <c r="W5350" s="1" t="str">
        <f>"2020"</f>
        <v>2020</v>
      </c>
      <c r="X5350" s="1" t="s">
        <v>35</v>
      </c>
    </row>
    <row r="5351" spans="1:24" x14ac:dyDescent="0.3">
      <c r="A5351" s="1" t="str">
        <f t="shared" si="1029"/>
        <v>59825</v>
      </c>
      <c r="B5351" s="1" t="s">
        <v>30</v>
      </c>
      <c r="C5351" s="1" t="s">
        <v>31</v>
      </c>
      <c r="D5351" s="1" t="str">
        <f t="shared" si="1030"/>
        <v>9803</v>
      </c>
      <c r="E5351" s="1" t="s">
        <v>32</v>
      </c>
      <c r="F5351" s="1" t="str">
        <f>"1107493349"</f>
        <v>1107493349</v>
      </c>
      <c r="G5351" s="1" t="s">
        <v>38</v>
      </c>
      <c r="H5351" s="1" t="str">
        <f t="shared" ref="H5351:H5382" si="1032">"20220925"</f>
        <v>20220925</v>
      </c>
      <c r="I5351" s="1" t="str">
        <f>"115506"</f>
        <v>115506</v>
      </c>
      <c r="J5351" s="1" t="s">
        <v>34</v>
      </c>
      <c r="K5351" s="1" t="s">
        <v>34</v>
      </c>
      <c r="L5351" s="1" t="str">
        <f t="shared" ref="L5351:L5362" si="1033">"20220925"</f>
        <v>20220925</v>
      </c>
      <c r="M5351" s="1" t="str">
        <f>"122730"</f>
        <v>122730</v>
      </c>
      <c r="N5351" s="1" t="s">
        <v>28</v>
      </c>
      <c r="O5351" s="1" t="s">
        <v>28</v>
      </c>
      <c r="P5351" s="1" t="s">
        <v>55</v>
      </c>
      <c r="Q5351" s="1">
        <v>25</v>
      </c>
      <c r="R5351" s="1">
        <v>25</v>
      </c>
      <c r="S5351" s="1">
        <v>0</v>
      </c>
      <c r="T5351" s="1">
        <v>0</v>
      </c>
      <c r="U5351" s="1">
        <v>0</v>
      </c>
      <c r="V5351" s="1" t="str">
        <f>"里程返程"</f>
        <v>里程返程</v>
      </c>
      <c r="W5351" s="1" t="str">
        <f>"2020"</f>
        <v>2020</v>
      </c>
      <c r="X5351" s="1" t="s">
        <v>35</v>
      </c>
    </row>
    <row r="5352" spans="1:24" x14ac:dyDescent="0.3">
      <c r="A5352" s="1" t="str">
        <f t="shared" si="1029"/>
        <v>59825</v>
      </c>
      <c r="B5352" s="1" t="s">
        <v>30</v>
      </c>
      <c r="C5352" s="1" t="s">
        <v>31</v>
      </c>
      <c r="D5352" s="1" t="str">
        <f t="shared" si="1030"/>
        <v>9803</v>
      </c>
      <c r="E5352" s="1" t="s">
        <v>32</v>
      </c>
      <c r="F5352" s="1" t="str">
        <f>"795716117"</f>
        <v>795716117</v>
      </c>
      <c r="G5352" s="1" t="s">
        <v>74</v>
      </c>
      <c r="H5352" s="1" t="str">
        <f t="shared" si="1032"/>
        <v>20220925</v>
      </c>
      <c r="I5352" s="1" t="str">
        <f>"115649"</f>
        <v>115649</v>
      </c>
      <c r="J5352" s="1" t="s">
        <v>34</v>
      </c>
      <c r="K5352" s="1" t="s">
        <v>34</v>
      </c>
      <c r="L5352" s="1" t="str">
        <f t="shared" si="1033"/>
        <v>20220925</v>
      </c>
      <c r="M5352" s="1" t="str">
        <f>"121544"</f>
        <v>121544</v>
      </c>
      <c r="N5352" s="1" t="s">
        <v>46</v>
      </c>
      <c r="O5352" s="1" t="s">
        <v>28</v>
      </c>
      <c r="P5352" s="1" t="s">
        <v>55</v>
      </c>
      <c r="Q5352" s="1">
        <v>13</v>
      </c>
      <c r="R5352" s="1">
        <v>13</v>
      </c>
      <c r="S5352" s="1">
        <v>0</v>
      </c>
      <c r="T5352" s="1">
        <v>0</v>
      </c>
      <c r="U5352" s="1">
        <v>0</v>
      </c>
      <c r="V5352" s="1" t="str">
        <f>"里程返程"</f>
        <v>里程返程</v>
      </c>
      <c r="W5352" s="1" t="str">
        <f>"0120"</f>
        <v>0120</v>
      </c>
      <c r="X5352" s="1" t="s">
        <v>35</v>
      </c>
    </row>
    <row r="5353" spans="1:24" x14ac:dyDescent="0.3">
      <c r="A5353" s="1" t="str">
        <f t="shared" si="1029"/>
        <v>59825</v>
      </c>
      <c r="B5353" s="1" t="s">
        <v>30</v>
      </c>
      <c r="C5353" s="1" t="s">
        <v>31</v>
      </c>
      <c r="D5353" s="1" t="str">
        <f t="shared" si="1030"/>
        <v>9803</v>
      </c>
      <c r="E5353" s="1" t="s">
        <v>32</v>
      </c>
      <c r="F5353" s="1" t="str">
        <f>"E2B957020E880400C821002000000015"</f>
        <v>E2B957020E880400C821002000000015</v>
      </c>
      <c r="G5353" s="1" t="s">
        <v>59</v>
      </c>
      <c r="H5353" s="1" t="str">
        <f t="shared" si="1032"/>
        <v>20220925</v>
      </c>
      <c r="I5353" s="1" t="str">
        <f>"115651"</f>
        <v>115651</v>
      </c>
      <c r="J5353" s="1" t="s">
        <v>34</v>
      </c>
      <c r="K5353" s="1" t="s">
        <v>34</v>
      </c>
      <c r="L5353" s="1" t="str">
        <f t="shared" si="1033"/>
        <v>20220925</v>
      </c>
      <c r="M5353" s="1" t="str">
        <f>"121555"</f>
        <v>121555</v>
      </c>
      <c r="N5353" s="1" t="s">
        <v>46</v>
      </c>
      <c r="O5353" s="1" t="s">
        <v>28</v>
      </c>
      <c r="P5353" s="1" t="s">
        <v>55</v>
      </c>
      <c r="Q5353" s="1">
        <v>25</v>
      </c>
      <c r="R5353" s="1">
        <v>25</v>
      </c>
      <c r="S5353" s="1">
        <v>0</v>
      </c>
      <c r="T5353" s="1">
        <v>0</v>
      </c>
      <c r="U5353" s="1">
        <v>0</v>
      </c>
      <c r="V5353" s="1" t="str">
        <f>"里程返程"</f>
        <v>里程返程</v>
      </c>
      <c r="W5353" s="1" t="str">
        <f>"0020"</f>
        <v>0020</v>
      </c>
      <c r="X5353" s="1" t="s">
        <v>29</v>
      </c>
    </row>
    <row r="5354" spans="1:24" x14ac:dyDescent="0.3">
      <c r="A5354" s="1" t="str">
        <f t="shared" si="1029"/>
        <v>59825</v>
      </c>
      <c r="B5354" s="1" t="s">
        <v>30</v>
      </c>
      <c r="C5354" s="1" t="s">
        <v>31</v>
      </c>
      <c r="D5354" s="1" t="str">
        <f t="shared" si="1030"/>
        <v>9803</v>
      </c>
      <c r="E5354" s="1" t="s">
        <v>32</v>
      </c>
      <c r="F5354" s="1" t="str">
        <f>"781418097"</f>
        <v>781418097</v>
      </c>
      <c r="G5354" s="1" t="s">
        <v>33</v>
      </c>
      <c r="H5354" s="1" t="str">
        <f t="shared" si="1032"/>
        <v>20220925</v>
      </c>
      <c r="I5354" s="1" t="str">
        <f>"115655"</f>
        <v>115655</v>
      </c>
      <c r="J5354" s="1" t="s">
        <v>34</v>
      </c>
      <c r="K5354" s="1" t="s">
        <v>34</v>
      </c>
      <c r="L5354" s="1" t="str">
        <f t="shared" si="1033"/>
        <v>20220925</v>
      </c>
      <c r="M5354" s="1" t="str">
        <f>"121540"</f>
        <v>121540</v>
      </c>
      <c r="N5354" s="1" t="s">
        <v>46</v>
      </c>
      <c r="O5354" s="1" t="s">
        <v>28</v>
      </c>
      <c r="P5354" s="1" t="s">
        <v>55</v>
      </c>
      <c r="Q5354" s="1">
        <v>25</v>
      </c>
      <c r="R5354" s="1">
        <v>25</v>
      </c>
      <c r="S5354" s="1">
        <v>0</v>
      </c>
      <c r="T5354" s="1">
        <v>0</v>
      </c>
      <c r="U5354" s="1">
        <v>0</v>
      </c>
      <c r="V5354" s="1" t="str">
        <f>"里程返程"</f>
        <v>里程返程</v>
      </c>
      <c r="W5354" s="1" t="str">
        <f>"0120"</f>
        <v>0120</v>
      </c>
      <c r="X5354" s="1" t="s">
        <v>35</v>
      </c>
    </row>
    <row r="5355" spans="1:24" x14ac:dyDescent="0.3">
      <c r="A5355" s="1" t="str">
        <f t="shared" si="1029"/>
        <v>59825</v>
      </c>
      <c r="B5355" s="1" t="s">
        <v>30</v>
      </c>
      <c r="C5355" s="1" t="s">
        <v>31</v>
      </c>
      <c r="D5355" s="1" t="str">
        <f t="shared" si="1030"/>
        <v>9803</v>
      </c>
      <c r="E5355" s="1" t="s">
        <v>32</v>
      </c>
      <c r="F5355" s="1" t="str">
        <f>"1221561397"</f>
        <v>1221561397</v>
      </c>
      <c r="G5355" s="1" t="s">
        <v>33</v>
      </c>
      <c r="H5355" s="1" t="str">
        <f t="shared" si="1032"/>
        <v>20220925</v>
      </c>
      <c r="I5355" s="1" t="str">
        <f>"122802"</f>
        <v>122802</v>
      </c>
      <c r="J5355" s="1" t="s">
        <v>28</v>
      </c>
      <c r="K5355" s="1" t="s">
        <v>28</v>
      </c>
      <c r="L5355" s="1" t="str">
        <f t="shared" si="1033"/>
        <v>20220925</v>
      </c>
      <c r="M5355" s="1" t="str">
        <f>"125013"</f>
        <v>125013</v>
      </c>
      <c r="N5355" s="1" t="s">
        <v>34</v>
      </c>
      <c r="O5355" s="1" t="s">
        <v>34</v>
      </c>
      <c r="P5355" s="1" t="s">
        <v>55</v>
      </c>
      <c r="Q5355" s="1">
        <v>25</v>
      </c>
      <c r="R5355" s="1">
        <v>25</v>
      </c>
      <c r="S5355" s="1">
        <v>0</v>
      </c>
      <c r="T5355" s="1">
        <v>0</v>
      </c>
      <c r="U5355" s="1">
        <v>0</v>
      </c>
      <c r="V5355" s="1" t="str">
        <f t="shared" ref="V5355:V5361" si="1034">"里程去程"</f>
        <v>里程去程</v>
      </c>
      <c r="W5355" s="1" t="str">
        <f>"0120"</f>
        <v>0120</v>
      </c>
      <c r="X5355" s="1" t="s">
        <v>35</v>
      </c>
    </row>
    <row r="5356" spans="1:24" x14ac:dyDescent="0.3">
      <c r="A5356" s="1" t="str">
        <f t="shared" si="1029"/>
        <v>59825</v>
      </c>
      <c r="B5356" s="1" t="s">
        <v>30</v>
      </c>
      <c r="C5356" s="1" t="s">
        <v>31</v>
      </c>
      <c r="D5356" s="1" t="str">
        <f t="shared" si="1030"/>
        <v>9803</v>
      </c>
      <c r="E5356" s="1" t="s">
        <v>32</v>
      </c>
      <c r="F5356" s="1" t="str">
        <f>"233291857"</f>
        <v>233291857</v>
      </c>
      <c r="G5356" s="1" t="s">
        <v>33</v>
      </c>
      <c r="H5356" s="1" t="str">
        <f t="shared" si="1032"/>
        <v>20220925</v>
      </c>
      <c r="I5356" s="1" t="str">
        <f>"122811"</f>
        <v>122811</v>
      </c>
      <c r="J5356" s="1" t="s">
        <v>28</v>
      </c>
      <c r="K5356" s="1" t="s">
        <v>28</v>
      </c>
      <c r="L5356" s="1" t="str">
        <f t="shared" si="1033"/>
        <v>20220925</v>
      </c>
      <c r="M5356" s="1" t="str">
        <f>"125009"</f>
        <v>125009</v>
      </c>
      <c r="N5356" s="1" t="s">
        <v>34</v>
      </c>
      <c r="O5356" s="1" t="s">
        <v>34</v>
      </c>
      <c r="P5356" s="1" t="s">
        <v>55</v>
      </c>
      <c r="Q5356" s="1">
        <v>25</v>
      </c>
      <c r="R5356" s="1">
        <v>25</v>
      </c>
      <c r="S5356" s="1">
        <v>0</v>
      </c>
      <c r="T5356" s="1">
        <v>0</v>
      </c>
      <c r="U5356" s="1">
        <v>0</v>
      </c>
      <c r="V5356" s="1" t="str">
        <f t="shared" si="1034"/>
        <v>里程去程</v>
      </c>
      <c r="W5356" s="1" t="str">
        <f>"1c20"</f>
        <v>1c20</v>
      </c>
      <c r="X5356" s="1" t="s">
        <v>35</v>
      </c>
    </row>
    <row r="5357" spans="1:24" x14ac:dyDescent="0.3">
      <c r="A5357" s="1" t="str">
        <f t="shared" si="1029"/>
        <v>59825</v>
      </c>
      <c r="B5357" s="1" t="s">
        <v>30</v>
      </c>
      <c r="C5357" s="1" t="s">
        <v>31</v>
      </c>
      <c r="D5357" s="1" t="str">
        <f t="shared" si="1030"/>
        <v>9803</v>
      </c>
      <c r="E5357" s="1" t="s">
        <v>32</v>
      </c>
      <c r="F5357" s="1" t="str">
        <f>"1147202565"</f>
        <v>1147202565</v>
      </c>
      <c r="G5357" s="1" t="s">
        <v>38</v>
      </c>
      <c r="H5357" s="1" t="str">
        <f t="shared" si="1032"/>
        <v>20220925</v>
      </c>
      <c r="I5357" s="1" t="str">
        <f>"122818"</f>
        <v>122818</v>
      </c>
      <c r="J5357" s="1" t="s">
        <v>28</v>
      </c>
      <c r="K5357" s="1" t="s">
        <v>28</v>
      </c>
      <c r="L5357" s="1" t="str">
        <f t="shared" si="1033"/>
        <v>20220925</v>
      </c>
      <c r="M5357" s="1" t="str">
        <f>"125027"</f>
        <v>125027</v>
      </c>
      <c r="N5357" s="1" t="s">
        <v>34</v>
      </c>
      <c r="O5357" s="1" t="s">
        <v>34</v>
      </c>
      <c r="P5357" s="1" t="s">
        <v>55</v>
      </c>
      <c r="Q5357" s="1">
        <v>25</v>
      </c>
      <c r="R5357" s="1">
        <v>0</v>
      </c>
      <c r="S5357" s="1">
        <v>25</v>
      </c>
      <c r="T5357" s="1">
        <v>0</v>
      </c>
      <c r="U5357" s="1">
        <v>0</v>
      </c>
      <c r="V5357" s="1" t="str">
        <f t="shared" si="1034"/>
        <v>里程去程</v>
      </c>
      <c r="W5357" s="1" t="str">
        <f>"0820"</f>
        <v>0820</v>
      </c>
      <c r="X5357" s="1" t="s">
        <v>35</v>
      </c>
    </row>
    <row r="5358" spans="1:24" x14ac:dyDescent="0.3">
      <c r="A5358" s="1" t="str">
        <f t="shared" si="1029"/>
        <v>59825</v>
      </c>
      <c r="B5358" s="1" t="s">
        <v>30</v>
      </c>
      <c r="C5358" s="1" t="s">
        <v>31</v>
      </c>
      <c r="D5358" s="1" t="str">
        <f t="shared" si="1030"/>
        <v>9803</v>
      </c>
      <c r="E5358" s="1" t="s">
        <v>32</v>
      </c>
      <c r="F5358" s="1" t="str">
        <f>"3815376339"</f>
        <v>3815376339</v>
      </c>
      <c r="G5358" s="1" t="s">
        <v>33</v>
      </c>
      <c r="H5358" s="1" t="str">
        <f t="shared" si="1032"/>
        <v>20220925</v>
      </c>
      <c r="I5358" s="1" t="str">
        <f>"122828"</f>
        <v>122828</v>
      </c>
      <c r="J5358" s="1" t="s">
        <v>28</v>
      </c>
      <c r="K5358" s="1" t="s">
        <v>28</v>
      </c>
      <c r="L5358" s="1" t="str">
        <f t="shared" si="1033"/>
        <v>20220925</v>
      </c>
      <c r="M5358" s="1" t="str">
        <f>"125019"</f>
        <v>125019</v>
      </c>
      <c r="N5358" s="1" t="s">
        <v>34</v>
      </c>
      <c r="O5358" s="1" t="s">
        <v>34</v>
      </c>
      <c r="P5358" s="1" t="s">
        <v>55</v>
      </c>
      <c r="Q5358" s="1">
        <v>25</v>
      </c>
      <c r="R5358" s="1">
        <v>25</v>
      </c>
      <c r="S5358" s="1">
        <v>0</v>
      </c>
      <c r="T5358" s="1">
        <v>0</v>
      </c>
      <c r="U5358" s="1">
        <v>0</v>
      </c>
      <c r="V5358" s="1" t="str">
        <f t="shared" si="1034"/>
        <v>里程去程</v>
      </c>
      <c r="W5358" s="1" t="str">
        <f>"0e20"</f>
        <v>0e20</v>
      </c>
      <c r="X5358" s="1" t="s">
        <v>35</v>
      </c>
    </row>
    <row r="5359" spans="1:24" x14ac:dyDescent="0.3">
      <c r="A5359" s="1" t="str">
        <f t="shared" si="1029"/>
        <v>59825</v>
      </c>
      <c r="B5359" s="1" t="s">
        <v>30</v>
      </c>
      <c r="C5359" s="1" t="s">
        <v>31</v>
      </c>
      <c r="D5359" s="1" t="str">
        <f t="shared" si="1030"/>
        <v>9803</v>
      </c>
      <c r="E5359" s="1" t="s">
        <v>32</v>
      </c>
      <c r="F5359" s="1" t="str">
        <f>"974139189"</f>
        <v>974139189</v>
      </c>
      <c r="G5359" s="1" t="s">
        <v>33</v>
      </c>
      <c r="H5359" s="1" t="str">
        <f t="shared" si="1032"/>
        <v>20220925</v>
      </c>
      <c r="I5359" s="1" t="str">
        <f>"122836"</f>
        <v>122836</v>
      </c>
      <c r="J5359" s="1" t="s">
        <v>28</v>
      </c>
      <c r="K5359" s="1" t="s">
        <v>28</v>
      </c>
      <c r="L5359" s="1" t="str">
        <f t="shared" si="1033"/>
        <v>20220925</v>
      </c>
      <c r="M5359" s="1" t="str">
        <f>"125023"</f>
        <v>125023</v>
      </c>
      <c r="N5359" s="1" t="s">
        <v>34</v>
      </c>
      <c r="O5359" s="1" t="s">
        <v>34</v>
      </c>
      <c r="P5359" s="1" t="s">
        <v>55</v>
      </c>
      <c r="Q5359" s="1">
        <v>25</v>
      </c>
      <c r="R5359" s="1">
        <v>25</v>
      </c>
      <c r="S5359" s="1">
        <v>0</v>
      </c>
      <c r="T5359" s="1">
        <v>0</v>
      </c>
      <c r="U5359" s="1">
        <v>0</v>
      </c>
      <c r="V5359" s="1" t="str">
        <f t="shared" si="1034"/>
        <v>里程去程</v>
      </c>
      <c r="W5359" s="1" t="str">
        <f>"0120"</f>
        <v>0120</v>
      </c>
      <c r="X5359" s="1" t="s">
        <v>35</v>
      </c>
    </row>
    <row r="5360" spans="1:24" x14ac:dyDescent="0.3">
      <c r="A5360" s="1" t="str">
        <f t="shared" si="1029"/>
        <v>59825</v>
      </c>
      <c r="B5360" s="1" t="s">
        <v>30</v>
      </c>
      <c r="C5360" s="1" t="s">
        <v>31</v>
      </c>
      <c r="D5360" s="1" t="str">
        <f t="shared" si="1030"/>
        <v>9803</v>
      </c>
      <c r="E5360" s="1" t="s">
        <v>32</v>
      </c>
      <c r="F5360" s="1" t="str">
        <f>"1719393141"</f>
        <v>1719393141</v>
      </c>
      <c r="G5360" s="1" t="s">
        <v>33</v>
      </c>
      <c r="H5360" s="1" t="str">
        <f t="shared" si="1032"/>
        <v>20220925</v>
      </c>
      <c r="I5360" s="1" t="str">
        <f>"122851"</f>
        <v>122851</v>
      </c>
      <c r="J5360" s="1" t="s">
        <v>28</v>
      </c>
      <c r="K5360" s="1" t="s">
        <v>28</v>
      </c>
      <c r="L5360" s="1" t="str">
        <f t="shared" si="1033"/>
        <v>20220925</v>
      </c>
      <c r="M5360" s="1" t="str">
        <f>"125001"</f>
        <v>125001</v>
      </c>
      <c r="N5360" s="1" t="s">
        <v>34</v>
      </c>
      <c r="O5360" s="1" t="s">
        <v>34</v>
      </c>
      <c r="P5360" s="1" t="s">
        <v>55</v>
      </c>
      <c r="Q5360" s="1">
        <v>25</v>
      </c>
      <c r="R5360" s="1">
        <v>25</v>
      </c>
      <c r="S5360" s="1">
        <v>0</v>
      </c>
      <c r="T5360" s="1">
        <v>0</v>
      </c>
      <c r="U5360" s="1">
        <v>0</v>
      </c>
      <c r="V5360" s="1" t="str">
        <f t="shared" si="1034"/>
        <v>里程去程</v>
      </c>
      <c r="W5360" s="1" t="str">
        <f>"0120"</f>
        <v>0120</v>
      </c>
      <c r="X5360" s="1" t="s">
        <v>35</v>
      </c>
    </row>
    <row r="5361" spans="1:24" x14ac:dyDescent="0.3">
      <c r="A5361" s="1" t="str">
        <f t="shared" si="1029"/>
        <v>59825</v>
      </c>
      <c r="B5361" s="1" t="s">
        <v>30</v>
      </c>
      <c r="C5361" s="1" t="s">
        <v>31</v>
      </c>
      <c r="D5361" s="1" t="str">
        <f t="shared" si="1030"/>
        <v>9803</v>
      </c>
      <c r="E5361" s="1" t="s">
        <v>32</v>
      </c>
      <c r="F5361" s="1" t="str">
        <f>"1005511265"</f>
        <v>1005511265</v>
      </c>
      <c r="G5361" s="1" t="s">
        <v>33</v>
      </c>
      <c r="H5361" s="1" t="str">
        <f t="shared" si="1032"/>
        <v>20220925</v>
      </c>
      <c r="I5361" s="1" t="str">
        <f>"122854"</f>
        <v>122854</v>
      </c>
      <c r="J5361" s="1" t="s">
        <v>28</v>
      </c>
      <c r="K5361" s="1" t="s">
        <v>28</v>
      </c>
      <c r="L5361" s="1" t="str">
        <f t="shared" si="1033"/>
        <v>20220925</v>
      </c>
      <c r="M5361" s="1" t="str">
        <f>"125006"</f>
        <v>125006</v>
      </c>
      <c r="N5361" s="1" t="s">
        <v>34</v>
      </c>
      <c r="O5361" s="1" t="s">
        <v>34</v>
      </c>
      <c r="P5361" s="1" t="s">
        <v>55</v>
      </c>
      <c r="Q5361" s="1">
        <v>25</v>
      </c>
      <c r="R5361" s="1">
        <v>25</v>
      </c>
      <c r="S5361" s="1">
        <v>0</v>
      </c>
      <c r="T5361" s="1">
        <v>0</v>
      </c>
      <c r="U5361" s="1">
        <v>0</v>
      </c>
      <c r="V5361" s="1" t="str">
        <f t="shared" si="1034"/>
        <v>里程去程</v>
      </c>
      <c r="W5361" s="1" t="str">
        <f>"0620"</f>
        <v>0620</v>
      </c>
      <c r="X5361" s="1" t="s">
        <v>35</v>
      </c>
    </row>
    <row r="5362" spans="1:24" x14ac:dyDescent="0.3">
      <c r="A5362" s="1" t="str">
        <f t="shared" si="1029"/>
        <v>59825</v>
      </c>
      <c r="B5362" s="1" t="s">
        <v>30</v>
      </c>
      <c r="C5362" s="1" t="s">
        <v>31</v>
      </c>
      <c r="D5362" s="1" t="str">
        <f t="shared" si="1030"/>
        <v>9803</v>
      </c>
      <c r="E5362" s="1" t="s">
        <v>32</v>
      </c>
      <c r="F5362" s="1" t="str">
        <f>"1012768869"</f>
        <v>1012768869</v>
      </c>
      <c r="G5362" s="1" t="s">
        <v>33</v>
      </c>
      <c r="H5362" s="1" t="str">
        <f t="shared" si="1032"/>
        <v>20220925</v>
      </c>
      <c r="I5362" s="1" t="str">
        <f>"160306"</f>
        <v>160306</v>
      </c>
      <c r="J5362" s="1" t="s">
        <v>34</v>
      </c>
      <c r="K5362" s="1" t="s">
        <v>34</v>
      </c>
      <c r="L5362" s="1" t="str">
        <f t="shared" si="1033"/>
        <v>20220925</v>
      </c>
      <c r="M5362" s="1" t="str">
        <f>"164028"</f>
        <v>164028</v>
      </c>
      <c r="N5362" s="1" t="s">
        <v>28</v>
      </c>
      <c r="O5362" s="1" t="s">
        <v>28</v>
      </c>
      <c r="P5362" s="1" t="s">
        <v>55</v>
      </c>
      <c r="Q5362" s="1">
        <v>25</v>
      </c>
      <c r="R5362" s="1">
        <v>25</v>
      </c>
      <c r="S5362" s="1">
        <v>0</v>
      </c>
      <c r="T5362" s="1">
        <v>0</v>
      </c>
      <c r="U5362" s="1">
        <v>0</v>
      </c>
      <c r="V5362" s="1" t="str">
        <f t="shared" ref="V5362:V5379" si="1035">"里程返程"</f>
        <v>里程返程</v>
      </c>
      <c r="W5362" s="1" t="str">
        <f>"2020"</f>
        <v>2020</v>
      </c>
      <c r="X5362" s="1" t="s">
        <v>35</v>
      </c>
    </row>
    <row r="5363" spans="1:24" x14ac:dyDescent="0.3">
      <c r="A5363" s="1" t="str">
        <f t="shared" si="1029"/>
        <v>59825</v>
      </c>
      <c r="B5363" s="1" t="s">
        <v>30</v>
      </c>
      <c r="C5363" s="1" t="s">
        <v>31</v>
      </c>
      <c r="D5363" s="1" t="str">
        <f t="shared" si="1030"/>
        <v>9803</v>
      </c>
      <c r="E5363" s="1" t="s">
        <v>32</v>
      </c>
      <c r="F5363" s="1" t="str">
        <f>"E7D6A56CF888040043250FDF000F0C0E"</f>
        <v>E7D6A56CF888040043250FDF000F0C0E</v>
      </c>
      <c r="G5363" s="1" t="s">
        <v>58</v>
      </c>
      <c r="H5363" s="1" t="str">
        <f t="shared" si="1032"/>
        <v>20220925</v>
      </c>
      <c r="I5363" s="1" t="str">
        <f>"160310"</f>
        <v>160310</v>
      </c>
      <c r="J5363" s="1" t="s">
        <v>34</v>
      </c>
      <c r="K5363" s="1" t="s">
        <v>34</v>
      </c>
      <c r="L5363" s="1" t="str">
        <f>""</f>
        <v/>
      </c>
      <c r="M5363" s="1" t="str">
        <f>""</f>
        <v/>
      </c>
      <c r="P5363" s="1" t="s">
        <v>88</v>
      </c>
      <c r="Q5363" s="1">
        <v>25</v>
      </c>
      <c r="R5363" s="1">
        <v>25</v>
      </c>
      <c r="S5363" s="1">
        <v>0</v>
      </c>
      <c r="T5363" s="1">
        <v>0</v>
      </c>
      <c r="U5363" s="1">
        <v>0</v>
      </c>
      <c r="V5363" s="1" t="str">
        <f t="shared" si="1035"/>
        <v>里程返程</v>
      </c>
      <c r="W5363" s="1" t="str">
        <f>"0020"</f>
        <v>0020</v>
      </c>
      <c r="X5363" s="1" t="s">
        <v>29</v>
      </c>
    </row>
    <row r="5364" spans="1:24" x14ac:dyDescent="0.3">
      <c r="A5364" s="1" t="str">
        <f t="shared" si="1029"/>
        <v>59825</v>
      </c>
      <c r="B5364" s="1" t="s">
        <v>30</v>
      </c>
      <c r="C5364" s="1" t="s">
        <v>31</v>
      </c>
      <c r="D5364" s="1" t="str">
        <f t="shared" si="1030"/>
        <v>9803</v>
      </c>
      <c r="E5364" s="1" t="s">
        <v>32</v>
      </c>
      <c r="F5364" s="1" t="str">
        <f>"915C8F3F7D280400F700000000000000"</f>
        <v>915C8F3F7D280400F700000000000000</v>
      </c>
      <c r="G5364" s="1" t="s">
        <v>58</v>
      </c>
      <c r="H5364" s="1" t="str">
        <f t="shared" si="1032"/>
        <v>20220925</v>
      </c>
      <c r="I5364" s="1" t="str">
        <f>"160323"</f>
        <v>160323</v>
      </c>
      <c r="J5364" s="1" t="s">
        <v>34</v>
      </c>
      <c r="K5364" s="1" t="s">
        <v>34</v>
      </c>
      <c r="L5364" s="1" t="str">
        <f t="shared" ref="L5364:L5395" si="1036">"20220925"</f>
        <v>20220925</v>
      </c>
      <c r="M5364" s="1" t="str">
        <f>"164009"</f>
        <v>164009</v>
      </c>
      <c r="N5364" s="1" t="s">
        <v>28</v>
      </c>
      <c r="O5364" s="1" t="s">
        <v>28</v>
      </c>
      <c r="P5364" s="1" t="s">
        <v>55</v>
      </c>
      <c r="Q5364" s="1">
        <v>25</v>
      </c>
      <c r="R5364" s="1">
        <v>25</v>
      </c>
      <c r="S5364" s="1">
        <v>0</v>
      </c>
      <c r="T5364" s="1">
        <v>0</v>
      </c>
      <c r="U5364" s="1">
        <v>0</v>
      </c>
      <c r="V5364" s="1" t="str">
        <f t="shared" si="1035"/>
        <v>里程返程</v>
      </c>
      <c r="W5364" s="1" t="str">
        <f>"0020"</f>
        <v>0020</v>
      </c>
      <c r="X5364" s="1" t="s">
        <v>29</v>
      </c>
    </row>
    <row r="5365" spans="1:24" x14ac:dyDescent="0.3">
      <c r="A5365" s="1" t="str">
        <f t="shared" si="1029"/>
        <v>59825</v>
      </c>
      <c r="B5365" s="1" t="s">
        <v>30</v>
      </c>
      <c r="C5365" s="1" t="s">
        <v>31</v>
      </c>
      <c r="D5365" s="1" t="str">
        <f t="shared" si="1030"/>
        <v>9803</v>
      </c>
      <c r="E5365" s="1" t="s">
        <v>32</v>
      </c>
      <c r="F5365" s="1" t="str">
        <f>"C1EAAB1898280400F700000000000000"</f>
        <v>C1EAAB1898280400F700000000000000</v>
      </c>
      <c r="G5365" s="1" t="s">
        <v>58</v>
      </c>
      <c r="H5365" s="1" t="str">
        <f t="shared" si="1032"/>
        <v>20220925</v>
      </c>
      <c r="I5365" s="1" t="str">
        <f>"160329"</f>
        <v>160329</v>
      </c>
      <c r="J5365" s="1" t="s">
        <v>34</v>
      </c>
      <c r="K5365" s="1" t="s">
        <v>34</v>
      </c>
      <c r="L5365" s="1" t="str">
        <f t="shared" si="1036"/>
        <v>20220925</v>
      </c>
      <c r="M5365" s="1" t="str">
        <f>"164024"</f>
        <v>164024</v>
      </c>
      <c r="N5365" s="1" t="s">
        <v>28</v>
      </c>
      <c r="O5365" s="1" t="s">
        <v>28</v>
      </c>
      <c r="P5365" s="1" t="s">
        <v>55</v>
      </c>
      <c r="Q5365" s="1">
        <v>25</v>
      </c>
      <c r="R5365" s="1">
        <v>25</v>
      </c>
      <c r="S5365" s="1">
        <v>0</v>
      </c>
      <c r="T5365" s="1">
        <v>0</v>
      </c>
      <c r="U5365" s="1">
        <v>0</v>
      </c>
      <c r="V5365" s="1" t="str">
        <f t="shared" si="1035"/>
        <v>里程返程</v>
      </c>
      <c r="W5365" s="1" t="str">
        <f>"0020"</f>
        <v>0020</v>
      </c>
      <c r="X5365" s="1" t="s">
        <v>29</v>
      </c>
    </row>
    <row r="5366" spans="1:24" x14ac:dyDescent="0.3">
      <c r="A5366" s="1" t="str">
        <f t="shared" si="1029"/>
        <v>59825</v>
      </c>
      <c r="B5366" s="1" t="s">
        <v>30</v>
      </c>
      <c r="C5366" s="1" t="s">
        <v>31</v>
      </c>
      <c r="D5366" s="1" t="str">
        <f t="shared" si="1030"/>
        <v>9803</v>
      </c>
      <c r="E5366" s="1" t="s">
        <v>32</v>
      </c>
      <c r="F5366" s="1" t="str">
        <f>"1011323845"</f>
        <v>1011323845</v>
      </c>
      <c r="G5366" s="1" t="s">
        <v>33</v>
      </c>
      <c r="H5366" s="1" t="str">
        <f t="shared" si="1032"/>
        <v>20220925</v>
      </c>
      <c r="I5366" s="1" t="str">
        <f>"160336"</f>
        <v>160336</v>
      </c>
      <c r="J5366" s="1" t="s">
        <v>34</v>
      </c>
      <c r="K5366" s="1" t="s">
        <v>34</v>
      </c>
      <c r="L5366" s="1" t="str">
        <f t="shared" si="1036"/>
        <v>20220925</v>
      </c>
      <c r="M5366" s="1" t="str">
        <f>"163949"</f>
        <v>163949</v>
      </c>
      <c r="N5366" s="1" t="s">
        <v>28</v>
      </c>
      <c r="O5366" s="1" t="s">
        <v>28</v>
      </c>
      <c r="P5366" s="1" t="s">
        <v>55</v>
      </c>
      <c r="Q5366" s="1">
        <v>25</v>
      </c>
      <c r="R5366" s="1">
        <v>25</v>
      </c>
      <c r="S5366" s="1">
        <v>0</v>
      </c>
      <c r="T5366" s="1">
        <v>0</v>
      </c>
      <c r="U5366" s="1">
        <v>0</v>
      </c>
      <c r="V5366" s="1" t="str">
        <f t="shared" si="1035"/>
        <v>里程返程</v>
      </c>
      <c r="W5366" s="1" t="str">
        <f>"2120"</f>
        <v>2120</v>
      </c>
      <c r="X5366" s="1" t="s">
        <v>35</v>
      </c>
    </row>
    <row r="5367" spans="1:24" x14ac:dyDescent="0.3">
      <c r="A5367" s="1" t="str">
        <f t="shared" si="1029"/>
        <v>59825</v>
      </c>
      <c r="B5367" s="1" t="s">
        <v>30</v>
      </c>
      <c r="C5367" s="1" t="s">
        <v>31</v>
      </c>
      <c r="D5367" s="1" t="str">
        <f t="shared" si="1030"/>
        <v>9803</v>
      </c>
      <c r="E5367" s="1" t="s">
        <v>32</v>
      </c>
      <c r="F5367" s="1" t="str">
        <f>"E1FC3D3010280400F700000000000000"</f>
        <v>E1FC3D3010280400F700000000000000</v>
      </c>
      <c r="G5367" s="1" t="s">
        <v>58</v>
      </c>
      <c r="H5367" s="1" t="str">
        <f t="shared" si="1032"/>
        <v>20220925</v>
      </c>
      <c r="I5367" s="1" t="str">
        <f>"160343"</f>
        <v>160343</v>
      </c>
      <c r="J5367" s="1" t="s">
        <v>34</v>
      </c>
      <c r="K5367" s="1" t="s">
        <v>34</v>
      </c>
      <c r="L5367" s="1" t="str">
        <f t="shared" si="1036"/>
        <v>20220925</v>
      </c>
      <c r="M5367" s="1" t="str">
        <f>"164048"</f>
        <v>164048</v>
      </c>
      <c r="N5367" s="1" t="s">
        <v>28</v>
      </c>
      <c r="O5367" s="1" t="s">
        <v>28</v>
      </c>
      <c r="P5367" s="1" t="s">
        <v>55</v>
      </c>
      <c r="Q5367" s="1">
        <v>25</v>
      </c>
      <c r="R5367" s="1">
        <v>25</v>
      </c>
      <c r="S5367" s="1">
        <v>0</v>
      </c>
      <c r="T5367" s="1">
        <v>0</v>
      </c>
      <c r="U5367" s="1">
        <v>0</v>
      </c>
      <c r="V5367" s="1" t="str">
        <f t="shared" si="1035"/>
        <v>里程返程</v>
      </c>
      <c r="W5367" s="1" t="str">
        <f>"0020"</f>
        <v>0020</v>
      </c>
      <c r="X5367" s="1" t="s">
        <v>29</v>
      </c>
    </row>
    <row r="5368" spans="1:24" x14ac:dyDescent="0.3">
      <c r="A5368" s="1" t="str">
        <f t="shared" si="1029"/>
        <v>59825</v>
      </c>
      <c r="B5368" s="1" t="s">
        <v>30</v>
      </c>
      <c r="C5368" s="1" t="s">
        <v>31</v>
      </c>
      <c r="D5368" s="1" t="str">
        <f t="shared" si="1030"/>
        <v>9803</v>
      </c>
      <c r="E5368" s="1" t="s">
        <v>32</v>
      </c>
      <c r="F5368" s="1" t="str">
        <f>"1613661025"</f>
        <v>1613661025</v>
      </c>
      <c r="G5368" s="1" t="s">
        <v>33</v>
      </c>
      <c r="H5368" s="1" t="str">
        <f t="shared" si="1032"/>
        <v>20220925</v>
      </c>
      <c r="I5368" s="1" t="str">
        <f>"160359"</f>
        <v>160359</v>
      </c>
      <c r="J5368" s="1" t="s">
        <v>34</v>
      </c>
      <c r="K5368" s="1" t="s">
        <v>34</v>
      </c>
      <c r="L5368" s="1" t="str">
        <f t="shared" si="1036"/>
        <v>20220925</v>
      </c>
      <c r="M5368" s="1" t="str">
        <f>"164100"</f>
        <v>164100</v>
      </c>
      <c r="N5368" s="1" t="s">
        <v>28</v>
      </c>
      <c r="O5368" s="1" t="s">
        <v>28</v>
      </c>
      <c r="P5368" s="1" t="s">
        <v>55</v>
      </c>
      <c r="Q5368" s="1">
        <v>25</v>
      </c>
      <c r="R5368" s="1">
        <v>25</v>
      </c>
      <c r="S5368" s="1">
        <v>0</v>
      </c>
      <c r="T5368" s="1">
        <v>0</v>
      </c>
      <c r="U5368" s="1">
        <v>0</v>
      </c>
      <c r="V5368" s="1" t="str">
        <f t="shared" si="1035"/>
        <v>里程返程</v>
      </c>
      <c r="W5368" s="1" t="str">
        <f>"0820"</f>
        <v>0820</v>
      </c>
      <c r="X5368" s="1" t="s">
        <v>35</v>
      </c>
    </row>
    <row r="5369" spans="1:24" x14ac:dyDescent="0.3">
      <c r="A5369" s="1" t="str">
        <f t="shared" si="1029"/>
        <v>59825</v>
      </c>
      <c r="B5369" s="1" t="s">
        <v>30</v>
      </c>
      <c r="C5369" s="1" t="s">
        <v>31</v>
      </c>
      <c r="D5369" s="1" t="str">
        <f t="shared" si="1030"/>
        <v>9803</v>
      </c>
      <c r="E5369" s="1" t="s">
        <v>32</v>
      </c>
      <c r="F5369" s="1" t="str">
        <f>"1059353989"</f>
        <v>1059353989</v>
      </c>
      <c r="G5369" s="1" t="s">
        <v>33</v>
      </c>
      <c r="H5369" s="1" t="str">
        <f t="shared" si="1032"/>
        <v>20220925</v>
      </c>
      <c r="I5369" s="1" t="str">
        <f>"160408"</f>
        <v>160408</v>
      </c>
      <c r="J5369" s="1" t="s">
        <v>34</v>
      </c>
      <c r="K5369" s="1" t="s">
        <v>34</v>
      </c>
      <c r="L5369" s="1" t="str">
        <f t="shared" si="1036"/>
        <v>20220925</v>
      </c>
      <c r="M5369" s="1" t="str">
        <f>"164040"</f>
        <v>164040</v>
      </c>
      <c r="N5369" s="1" t="s">
        <v>28</v>
      </c>
      <c r="O5369" s="1" t="s">
        <v>28</v>
      </c>
      <c r="P5369" s="1" t="s">
        <v>55</v>
      </c>
      <c r="Q5369" s="1">
        <v>25</v>
      </c>
      <c r="R5369" s="1">
        <v>25</v>
      </c>
      <c r="S5369" s="1">
        <v>0</v>
      </c>
      <c r="T5369" s="1">
        <v>0</v>
      </c>
      <c r="U5369" s="1">
        <v>0</v>
      </c>
      <c r="V5369" s="1" t="str">
        <f t="shared" si="1035"/>
        <v>里程返程</v>
      </c>
      <c r="W5369" s="1" t="str">
        <f>"0820"</f>
        <v>0820</v>
      </c>
      <c r="X5369" s="1" t="s">
        <v>35</v>
      </c>
    </row>
    <row r="5370" spans="1:24" x14ac:dyDescent="0.3">
      <c r="A5370" s="1" t="str">
        <f t="shared" si="1029"/>
        <v>59825</v>
      </c>
      <c r="B5370" s="1" t="s">
        <v>30</v>
      </c>
      <c r="C5370" s="1" t="s">
        <v>31</v>
      </c>
      <c r="D5370" s="1" t="str">
        <f t="shared" si="1030"/>
        <v>9803</v>
      </c>
      <c r="E5370" s="1" t="s">
        <v>32</v>
      </c>
      <c r="F5370" s="1" t="str">
        <f>"939087108"</f>
        <v>939087108</v>
      </c>
      <c r="G5370" s="1" t="s">
        <v>33</v>
      </c>
      <c r="H5370" s="1" t="str">
        <f t="shared" si="1032"/>
        <v>20220925</v>
      </c>
      <c r="I5370" s="1" t="str">
        <f>"160413"</f>
        <v>160413</v>
      </c>
      <c r="J5370" s="1" t="s">
        <v>34</v>
      </c>
      <c r="K5370" s="1" t="s">
        <v>34</v>
      </c>
      <c r="L5370" s="1" t="str">
        <f t="shared" si="1036"/>
        <v>20220925</v>
      </c>
      <c r="M5370" s="1" t="str">
        <f>"164056"</f>
        <v>164056</v>
      </c>
      <c r="N5370" s="1" t="s">
        <v>28</v>
      </c>
      <c r="O5370" s="1" t="s">
        <v>28</v>
      </c>
      <c r="P5370" s="1" t="s">
        <v>55</v>
      </c>
      <c r="Q5370" s="1">
        <v>25</v>
      </c>
      <c r="R5370" s="1">
        <v>25</v>
      </c>
      <c r="S5370" s="1">
        <v>0</v>
      </c>
      <c r="T5370" s="1">
        <v>0</v>
      </c>
      <c r="U5370" s="1">
        <v>0</v>
      </c>
      <c r="V5370" s="1" t="str">
        <f t="shared" si="1035"/>
        <v>里程返程</v>
      </c>
      <c r="W5370" s="1" t="str">
        <f>"0320"</f>
        <v>0320</v>
      </c>
      <c r="X5370" s="1" t="s">
        <v>35</v>
      </c>
    </row>
    <row r="5371" spans="1:24" x14ac:dyDescent="0.3">
      <c r="A5371" s="1" t="str">
        <f t="shared" si="1029"/>
        <v>59825</v>
      </c>
      <c r="B5371" s="1" t="s">
        <v>30</v>
      </c>
      <c r="C5371" s="1" t="s">
        <v>31</v>
      </c>
      <c r="D5371" s="1" t="str">
        <f t="shared" si="1030"/>
        <v>9803</v>
      </c>
      <c r="E5371" s="1" t="s">
        <v>32</v>
      </c>
      <c r="F5371" s="1" t="str">
        <f>"832247861"</f>
        <v>832247861</v>
      </c>
      <c r="G5371" s="1" t="s">
        <v>33</v>
      </c>
      <c r="H5371" s="1" t="str">
        <f t="shared" si="1032"/>
        <v>20220925</v>
      </c>
      <c r="I5371" s="1" t="str">
        <f>"160419"</f>
        <v>160419</v>
      </c>
      <c r="J5371" s="1" t="s">
        <v>34</v>
      </c>
      <c r="K5371" s="1" t="s">
        <v>34</v>
      </c>
      <c r="L5371" s="1" t="str">
        <f t="shared" si="1036"/>
        <v>20220925</v>
      </c>
      <c r="M5371" s="1" t="str">
        <f>"163947"</f>
        <v>163947</v>
      </c>
      <c r="N5371" s="1" t="s">
        <v>28</v>
      </c>
      <c r="O5371" s="1" t="s">
        <v>28</v>
      </c>
      <c r="P5371" s="1" t="s">
        <v>55</v>
      </c>
      <c r="Q5371" s="1">
        <v>25</v>
      </c>
      <c r="R5371" s="1">
        <v>25</v>
      </c>
      <c r="S5371" s="1">
        <v>0</v>
      </c>
      <c r="T5371" s="1">
        <v>0</v>
      </c>
      <c r="U5371" s="1">
        <v>0</v>
      </c>
      <c r="V5371" s="1" t="str">
        <f t="shared" si="1035"/>
        <v>里程返程</v>
      </c>
      <c r="W5371" s="1" t="str">
        <f>"2020"</f>
        <v>2020</v>
      </c>
      <c r="X5371" s="1" t="s">
        <v>35</v>
      </c>
    </row>
    <row r="5372" spans="1:24" x14ac:dyDescent="0.3">
      <c r="A5372" s="1" t="str">
        <f t="shared" si="1029"/>
        <v>59825</v>
      </c>
      <c r="B5372" s="1" t="s">
        <v>30</v>
      </c>
      <c r="C5372" s="1" t="s">
        <v>31</v>
      </c>
      <c r="D5372" s="1" t="str">
        <f t="shared" si="1030"/>
        <v>9803</v>
      </c>
      <c r="E5372" s="1" t="s">
        <v>32</v>
      </c>
      <c r="F5372" s="1" t="str">
        <f>"F2132015D428040080CEDA1449914018"</f>
        <v>F2132015D428040080CEDA1449914018</v>
      </c>
      <c r="G5372" s="1" t="s">
        <v>58</v>
      </c>
      <c r="H5372" s="1" t="str">
        <f t="shared" si="1032"/>
        <v>20220925</v>
      </c>
      <c r="I5372" s="1" t="str">
        <f>"160423"</f>
        <v>160423</v>
      </c>
      <c r="J5372" s="1" t="s">
        <v>34</v>
      </c>
      <c r="K5372" s="1" t="s">
        <v>34</v>
      </c>
      <c r="L5372" s="1" t="str">
        <f t="shared" si="1036"/>
        <v>20220925</v>
      </c>
      <c r="M5372" s="1" t="str">
        <f>"163946"</f>
        <v>163946</v>
      </c>
      <c r="N5372" s="1" t="s">
        <v>28</v>
      </c>
      <c r="O5372" s="1" t="s">
        <v>28</v>
      </c>
      <c r="P5372" s="1" t="s">
        <v>55</v>
      </c>
      <c r="Q5372" s="1">
        <v>25</v>
      </c>
      <c r="R5372" s="1">
        <v>25</v>
      </c>
      <c r="S5372" s="1">
        <v>0</v>
      </c>
      <c r="T5372" s="1">
        <v>0</v>
      </c>
      <c r="U5372" s="1">
        <v>0</v>
      </c>
      <c r="V5372" s="1" t="str">
        <f t="shared" si="1035"/>
        <v>里程返程</v>
      </c>
      <c r="W5372" s="1" t="str">
        <f>"0020"</f>
        <v>0020</v>
      </c>
      <c r="X5372" s="1" t="s">
        <v>29</v>
      </c>
    </row>
    <row r="5373" spans="1:24" x14ac:dyDescent="0.3">
      <c r="A5373" s="1" t="str">
        <f t="shared" si="1029"/>
        <v>59825</v>
      </c>
      <c r="B5373" s="1" t="s">
        <v>30</v>
      </c>
      <c r="C5373" s="1" t="s">
        <v>31</v>
      </c>
      <c r="D5373" s="1" t="str">
        <f t="shared" si="1030"/>
        <v>9803</v>
      </c>
      <c r="E5373" s="1" t="s">
        <v>32</v>
      </c>
      <c r="F5373" s="1" t="str">
        <f>"1057767013"</f>
        <v>1057767013</v>
      </c>
      <c r="G5373" s="1" t="s">
        <v>33</v>
      </c>
      <c r="H5373" s="1" t="str">
        <f t="shared" si="1032"/>
        <v>20220925</v>
      </c>
      <c r="I5373" s="1" t="str">
        <f>"160427"</f>
        <v>160427</v>
      </c>
      <c r="J5373" s="1" t="s">
        <v>34</v>
      </c>
      <c r="K5373" s="1" t="s">
        <v>34</v>
      </c>
      <c r="L5373" s="1" t="str">
        <f t="shared" si="1036"/>
        <v>20220925</v>
      </c>
      <c r="M5373" s="1" t="str">
        <f>"163940"</f>
        <v>163940</v>
      </c>
      <c r="N5373" s="1" t="s">
        <v>28</v>
      </c>
      <c r="O5373" s="1" t="s">
        <v>28</v>
      </c>
      <c r="P5373" s="1" t="s">
        <v>55</v>
      </c>
      <c r="Q5373" s="1">
        <v>25</v>
      </c>
      <c r="R5373" s="1">
        <v>25</v>
      </c>
      <c r="S5373" s="1">
        <v>0</v>
      </c>
      <c r="T5373" s="1">
        <v>0</v>
      </c>
      <c r="U5373" s="1">
        <v>0</v>
      </c>
      <c r="V5373" s="1" t="str">
        <f t="shared" si="1035"/>
        <v>里程返程</v>
      </c>
      <c r="W5373" s="1" t="str">
        <f>"1420"</f>
        <v>1420</v>
      </c>
      <c r="X5373" s="1" t="s">
        <v>35</v>
      </c>
    </row>
    <row r="5374" spans="1:24" x14ac:dyDescent="0.3">
      <c r="A5374" s="1" t="str">
        <f t="shared" si="1029"/>
        <v>59825</v>
      </c>
      <c r="B5374" s="1" t="s">
        <v>30</v>
      </c>
      <c r="C5374" s="1" t="s">
        <v>31</v>
      </c>
      <c r="D5374" s="1" t="str">
        <f t="shared" si="1030"/>
        <v>9803</v>
      </c>
      <c r="E5374" s="1" t="s">
        <v>32</v>
      </c>
      <c r="F5374" s="1" t="str">
        <f>"B1223C69C62804001C00000000000000"</f>
        <v>B1223C69C62804001C00000000000000</v>
      </c>
      <c r="G5374" s="1" t="s">
        <v>58</v>
      </c>
      <c r="H5374" s="1" t="str">
        <f t="shared" si="1032"/>
        <v>20220925</v>
      </c>
      <c r="I5374" s="1" t="str">
        <f>"160434"</f>
        <v>160434</v>
      </c>
      <c r="J5374" s="1" t="s">
        <v>34</v>
      </c>
      <c r="K5374" s="1" t="s">
        <v>34</v>
      </c>
      <c r="L5374" s="1" t="str">
        <f t="shared" si="1036"/>
        <v>20220925</v>
      </c>
      <c r="M5374" s="1" t="str">
        <f>"163943"</f>
        <v>163943</v>
      </c>
      <c r="N5374" s="1" t="s">
        <v>28</v>
      </c>
      <c r="O5374" s="1" t="s">
        <v>28</v>
      </c>
      <c r="P5374" s="1" t="s">
        <v>55</v>
      </c>
      <c r="Q5374" s="1">
        <v>25</v>
      </c>
      <c r="R5374" s="1">
        <v>25</v>
      </c>
      <c r="S5374" s="1">
        <v>0</v>
      </c>
      <c r="T5374" s="1">
        <v>0</v>
      </c>
      <c r="U5374" s="1">
        <v>0</v>
      </c>
      <c r="V5374" s="1" t="str">
        <f t="shared" si="1035"/>
        <v>里程返程</v>
      </c>
      <c r="W5374" s="1" t="str">
        <f>"0020"</f>
        <v>0020</v>
      </c>
      <c r="X5374" s="1" t="s">
        <v>29</v>
      </c>
    </row>
    <row r="5375" spans="1:24" x14ac:dyDescent="0.3">
      <c r="A5375" s="1" t="str">
        <f t="shared" si="1029"/>
        <v>59825</v>
      </c>
      <c r="B5375" s="1" t="s">
        <v>30</v>
      </c>
      <c r="C5375" s="1" t="s">
        <v>31</v>
      </c>
      <c r="D5375" s="1" t="str">
        <f t="shared" si="1030"/>
        <v>9803</v>
      </c>
      <c r="E5375" s="1" t="s">
        <v>32</v>
      </c>
      <c r="F5375" s="1" t="str">
        <f>"1221500097"</f>
        <v>1221500097</v>
      </c>
      <c r="G5375" s="1" t="s">
        <v>33</v>
      </c>
      <c r="H5375" s="1" t="str">
        <f t="shared" si="1032"/>
        <v>20220925</v>
      </c>
      <c r="I5375" s="1" t="str">
        <f>"160450"</f>
        <v>160450</v>
      </c>
      <c r="J5375" s="1" t="s">
        <v>34</v>
      </c>
      <c r="K5375" s="1" t="s">
        <v>34</v>
      </c>
      <c r="L5375" s="1" t="str">
        <f t="shared" si="1036"/>
        <v>20220925</v>
      </c>
      <c r="M5375" s="1" t="str">
        <f>"163935"</f>
        <v>163935</v>
      </c>
      <c r="N5375" s="1" t="s">
        <v>28</v>
      </c>
      <c r="O5375" s="1" t="s">
        <v>28</v>
      </c>
      <c r="P5375" s="1" t="s">
        <v>55</v>
      </c>
      <c r="Q5375" s="1">
        <v>25</v>
      </c>
      <c r="R5375" s="1">
        <v>25</v>
      </c>
      <c r="S5375" s="1">
        <v>0</v>
      </c>
      <c r="T5375" s="1">
        <v>0</v>
      </c>
      <c r="U5375" s="1">
        <v>0</v>
      </c>
      <c r="V5375" s="1" t="str">
        <f t="shared" si="1035"/>
        <v>里程返程</v>
      </c>
      <c r="W5375" s="1" t="str">
        <f>"2020"</f>
        <v>2020</v>
      </c>
      <c r="X5375" s="1" t="s">
        <v>35</v>
      </c>
    </row>
    <row r="5376" spans="1:24" x14ac:dyDescent="0.3">
      <c r="A5376" s="1" t="str">
        <f t="shared" si="1029"/>
        <v>59825</v>
      </c>
      <c r="B5376" s="1" t="s">
        <v>30</v>
      </c>
      <c r="C5376" s="1" t="s">
        <v>31</v>
      </c>
      <c r="D5376" s="1" t="str">
        <f t="shared" si="1030"/>
        <v>9803</v>
      </c>
      <c r="E5376" s="1" t="s">
        <v>32</v>
      </c>
      <c r="F5376" s="1" t="str">
        <f>"1709069061"</f>
        <v>1709069061</v>
      </c>
      <c r="G5376" s="1" t="s">
        <v>33</v>
      </c>
      <c r="H5376" s="1" t="str">
        <f t="shared" si="1032"/>
        <v>20220925</v>
      </c>
      <c r="I5376" s="1" t="str">
        <f>"173038"</f>
        <v>173038</v>
      </c>
      <c r="J5376" s="1" t="s">
        <v>34</v>
      </c>
      <c r="K5376" s="1" t="s">
        <v>34</v>
      </c>
      <c r="L5376" s="1" t="str">
        <f t="shared" si="1036"/>
        <v>20220925</v>
      </c>
      <c r="M5376" s="1" t="str">
        <f>"174718"</f>
        <v>174718</v>
      </c>
      <c r="N5376" s="1" t="s">
        <v>46</v>
      </c>
      <c r="O5376" s="1" t="s">
        <v>28</v>
      </c>
      <c r="P5376" s="1" t="s">
        <v>55</v>
      </c>
      <c r="Q5376" s="1">
        <v>25</v>
      </c>
      <c r="R5376" s="1">
        <v>25</v>
      </c>
      <c r="S5376" s="1">
        <v>0</v>
      </c>
      <c r="T5376" s="1">
        <v>0</v>
      </c>
      <c r="U5376" s="1">
        <v>0</v>
      </c>
      <c r="V5376" s="1" t="str">
        <f t="shared" si="1035"/>
        <v>里程返程</v>
      </c>
      <c r="W5376" s="1" t="str">
        <f>"2020"</f>
        <v>2020</v>
      </c>
      <c r="X5376" s="1" t="s">
        <v>35</v>
      </c>
    </row>
    <row r="5377" spans="1:24" x14ac:dyDescent="0.3">
      <c r="A5377" s="1" t="str">
        <f t="shared" si="1029"/>
        <v>59825</v>
      </c>
      <c r="B5377" s="1" t="s">
        <v>30</v>
      </c>
      <c r="C5377" s="1" t="s">
        <v>31</v>
      </c>
      <c r="D5377" s="1" t="str">
        <f t="shared" si="1030"/>
        <v>9803</v>
      </c>
      <c r="E5377" s="1" t="s">
        <v>32</v>
      </c>
      <c r="F5377" s="1" t="str">
        <f>"3492878375"</f>
        <v>3492878375</v>
      </c>
      <c r="G5377" s="1" t="s">
        <v>33</v>
      </c>
      <c r="H5377" s="1" t="str">
        <f t="shared" si="1032"/>
        <v>20220925</v>
      </c>
      <c r="I5377" s="1" t="str">
        <f>"173109"</f>
        <v>173109</v>
      </c>
      <c r="J5377" s="1" t="s">
        <v>34</v>
      </c>
      <c r="K5377" s="1" t="s">
        <v>34</v>
      </c>
      <c r="L5377" s="1" t="str">
        <f t="shared" si="1036"/>
        <v>20220925</v>
      </c>
      <c r="M5377" s="1" t="str">
        <f>"180138"</f>
        <v>180138</v>
      </c>
      <c r="N5377" s="1" t="s">
        <v>28</v>
      </c>
      <c r="O5377" s="1" t="s">
        <v>28</v>
      </c>
      <c r="P5377" s="1" t="s">
        <v>55</v>
      </c>
      <c r="Q5377" s="1">
        <v>25</v>
      </c>
      <c r="R5377" s="1">
        <v>25</v>
      </c>
      <c r="S5377" s="1">
        <v>0</v>
      </c>
      <c r="T5377" s="1">
        <v>0</v>
      </c>
      <c r="U5377" s="1">
        <v>0</v>
      </c>
      <c r="V5377" s="1" t="str">
        <f t="shared" si="1035"/>
        <v>里程返程</v>
      </c>
      <c r="W5377" s="1" t="str">
        <f>"0920"</f>
        <v>0920</v>
      </c>
      <c r="X5377" s="1" t="s">
        <v>35</v>
      </c>
    </row>
    <row r="5378" spans="1:24" x14ac:dyDescent="0.3">
      <c r="A5378" s="1" t="str">
        <f t="shared" si="1029"/>
        <v>59825</v>
      </c>
      <c r="B5378" s="1" t="s">
        <v>30</v>
      </c>
      <c r="C5378" s="1" t="s">
        <v>31</v>
      </c>
      <c r="D5378" s="1" t="str">
        <f t="shared" si="1030"/>
        <v>9803</v>
      </c>
      <c r="E5378" s="1" t="s">
        <v>32</v>
      </c>
      <c r="F5378" s="1" t="str">
        <f>"7109993EDF280400F700000000000000"</f>
        <v>7109993EDF280400F700000000000000</v>
      </c>
      <c r="G5378" s="1" t="s">
        <v>58</v>
      </c>
      <c r="H5378" s="1" t="str">
        <f t="shared" si="1032"/>
        <v>20220925</v>
      </c>
      <c r="I5378" s="1" t="str">
        <f>"173111"</f>
        <v>173111</v>
      </c>
      <c r="J5378" s="1" t="s">
        <v>34</v>
      </c>
      <c r="K5378" s="1" t="s">
        <v>34</v>
      </c>
      <c r="L5378" s="1" t="str">
        <f t="shared" si="1036"/>
        <v>20220925</v>
      </c>
      <c r="M5378" s="1" t="str">
        <f>"180104"</f>
        <v>180104</v>
      </c>
      <c r="N5378" s="1" t="s">
        <v>28</v>
      </c>
      <c r="O5378" s="1" t="s">
        <v>28</v>
      </c>
      <c r="P5378" s="1" t="s">
        <v>55</v>
      </c>
      <c r="Q5378" s="1">
        <v>25</v>
      </c>
      <c r="R5378" s="1">
        <v>25</v>
      </c>
      <c r="S5378" s="1">
        <v>0</v>
      </c>
      <c r="T5378" s="1">
        <v>0</v>
      </c>
      <c r="U5378" s="1">
        <v>0</v>
      </c>
      <c r="V5378" s="1" t="str">
        <f t="shared" si="1035"/>
        <v>里程返程</v>
      </c>
      <c r="W5378" s="1" t="str">
        <f>"0020"</f>
        <v>0020</v>
      </c>
      <c r="X5378" s="1" t="s">
        <v>29</v>
      </c>
    </row>
    <row r="5379" spans="1:24" x14ac:dyDescent="0.3">
      <c r="A5379" s="1" t="str">
        <f t="shared" si="1029"/>
        <v>59825</v>
      </c>
      <c r="B5379" s="1" t="s">
        <v>30</v>
      </c>
      <c r="C5379" s="1" t="s">
        <v>31</v>
      </c>
      <c r="D5379" s="1" t="str">
        <f t="shared" si="1030"/>
        <v>9803</v>
      </c>
      <c r="E5379" s="1" t="s">
        <v>32</v>
      </c>
      <c r="F5379" s="1" t="str">
        <f>"1010337557"</f>
        <v>1010337557</v>
      </c>
      <c r="G5379" s="1" t="s">
        <v>33</v>
      </c>
      <c r="H5379" s="1" t="str">
        <f t="shared" si="1032"/>
        <v>20220925</v>
      </c>
      <c r="I5379" s="1" t="str">
        <f>"173119"</f>
        <v>173119</v>
      </c>
      <c r="J5379" s="1" t="s">
        <v>34</v>
      </c>
      <c r="K5379" s="1" t="s">
        <v>34</v>
      </c>
      <c r="L5379" s="1" t="str">
        <f t="shared" si="1036"/>
        <v>20220925</v>
      </c>
      <c r="M5379" s="1" t="str">
        <f>"180057"</f>
        <v>180057</v>
      </c>
      <c r="N5379" s="1" t="s">
        <v>28</v>
      </c>
      <c r="O5379" s="1" t="s">
        <v>28</v>
      </c>
      <c r="P5379" s="1" t="s">
        <v>55</v>
      </c>
      <c r="Q5379" s="1">
        <v>25</v>
      </c>
      <c r="R5379" s="1">
        <v>25</v>
      </c>
      <c r="S5379" s="1">
        <v>0</v>
      </c>
      <c r="T5379" s="1">
        <v>0</v>
      </c>
      <c r="U5379" s="1">
        <v>0</v>
      </c>
      <c r="V5379" s="1" t="str">
        <f t="shared" si="1035"/>
        <v>里程返程</v>
      </c>
      <c r="W5379" s="1" t="str">
        <f>"2020"</f>
        <v>2020</v>
      </c>
      <c r="X5379" s="1" t="s">
        <v>35</v>
      </c>
    </row>
    <row r="5380" spans="1:24" x14ac:dyDescent="0.3">
      <c r="A5380" s="1" t="str">
        <f t="shared" ref="A5380:A5417" si="1037">"59828"</f>
        <v>59828</v>
      </c>
      <c r="B5380" s="1" t="s">
        <v>23</v>
      </c>
      <c r="C5380" s="1" t="s">
        <v>24</v>
      </c>
      <c r="D5380" s="1" t="str">
        <f t="shared" si="1030"/>
        <v>9803</v>
      </c>
      <c r="E5380" s="1" t="s">
        <v>32</v>
      </c>
      <c r="F5380" s="1" t="str">
        <f>"216623126"</f>
        <v>216623126</v>
      </c>
      <c r="G5380" s="1" t="s">
        <v>33</v>
      </c>
      <c r="H5380" s="1" t="str">
        <f t="shared" si="1032"/>
        <v>20220925</v>
      </c>
      <c r="I5380" s="1" t="str">
        <f>"062224"</f>
        <v>062224</v>
      </c>
      <c r="J5380" s="1" t="s">
        <v>28</v>
      </c>
      <c r="K5380" s="1" t="s">
        <v>28</v>
      </c>
      <c r="L5380" s="1" t="str">
        <f t="shared" si="1036"/>
        <v>20220925</v>
      </c>
      <c r="M5380" s="1" t="str">
        <f>"064130"</f>
        <v>064130</v>
      </c>
      <c r="N5380" s="1" t="s">
        <v>34</v>
      </c>
      <c r="O5380" s="1" t="s">
        <v>34</v>
      </c>
      <c r="P5380" s="1" t="s">
        <v>55</v>
      </c>
      <c r="Q5380" s="1">
        <v>25</v>
      </c>
      <c r="R5380" s="1">
        <v>25</v>
      </c>
      <c r="S5380" s="1">
        <v>0</v>
      </c>
      <c r="T5380" s="1">
        <v>0</v>
      </c>
      <c r="U5380" s="1">
        <v>0</v>
      </c>
      <c r="V5380" s="1" t="str">
        <f t="shared" ref="V5380:V5391" si="1038">"里程去程"</f>
        <v>里程去程</v>
      </c>
      <c r="W5380" s="1" t="str">
        <f>"0220"</f>
        <v>0220</v>
      </c>
      <c r="X5380" s="1" t="s">
        <v>35</v>
      </c>
    </row>
    <row r="5381" spans="1:24" x14ac:dyDescent="0.3">
      <c r="A5381" s="1" t="str">
        <f t="shared" si="1037"/>
        <v>59828</v>
      </c>
      <c r="B5381" s="1" t="s">
        <v>23</v>
      </c>
      <c r="C5381" s="1" t="s">
        <v>24</v>
      </c>
      <c r="D5381" s="1" t="str">
        <f t="shared" si="1030"/>
        <v>9803</v>
      </c>
      <c r="E5381" s="1" t="s">
        <v>32</v>
      </c>
      <c r="F5381" s="1" t="str">
        <f>"195986389"</f>
        <v>195986389</v>
      </c>
      <c r="G5381" s="1" t="s">
        <v>33</v>
      </c>
      <c r="H5381" s="1" t="str">
        <f t="shared" si="1032"/>
        <v>20220925</v>
      </c>
      <c r="I5381" s="1" t="str">
        <f>"063206"</f>
        <v>063206</v>
      </c>
      <c r="J5381" s="1" t="s">
        <v>46</v>
      </c>
      <c r="K5381" s="1" t="s">
        <v>28</v>
      </c>
      <c r="L5381" s="1" t="str">
        <f t="shared" si="1036"/>
        <v>20220925</v>
      </c>
      <c r="M5381" s="1" t="str">
        <f>"064117"</f>
        <v>064117</v>
      </c>
      <c r="N5381" s="1" t="s">
        <v>34</v>
      </c>
      <c r="O5381" s="1" t="s">
        <v>34</v>
      </c>
      <c r="P5381" s="1" t="s">
        <v>55</v>
      </c>
      <c r="Q5381" s="1">
        <v>25</v>
      </c>
      <c r="R5381" s="1">
        <v>25</v>
      </c>
      <c r="S5381" s="1">
        <v>0</v>
      </c>
      <c r="T5381" s="1">
        <v>0</v>
      </c>
      <c r="U5381" s="1">
        <v>0</v>
      </c>
      <c r="V5381" s="1" t="str">
        <f t="shared" si="1038"/>
        <v>里程去程</v>
      </c>
      <c r="W5381" s="1" t="str">
        <f>"2020"</f>
        <v>2020</v>
      </c>
      <c r="X5381" s="1" t="s">
        <v>35</v>
      </c>
    </row>
    <row r="5382" spans="1:24" x14ac:dyDescent="0.3">
      <c r="A5382" s="1" t="str">
        <f t="shared" si="1037"/>
        <v>59828</v>
      </c>
      <c r="B5382" s="1" t="s">
        <v>23</v>
      </c>
      <c r="C5382" s="1" t="s">
        <v>24</v>
      </c>
      <c r="D5382" s="1" t="str">
        <f t="shared" si="1030"/>
        <v>9803</v>
      </c>
      <c r="E5382" s="1" t="s">
        <v>32</v>
      </c>
      <c r="F5382" s="1" t="str">
        <f>"585742913"</f>
        <v>585742913</v>
      </c>
      <c r="G5382" s="1" t="s">
        <v>33</v>
      </c>
      <c r="H5382" s="1" t="str">
        <f t="shared" si="1032"/>
        <v>20220925</v>
      </c>
      <c r="I5382" s="1" t="str">
        <f>"063208"</f>
        <v>063208</v>
      </c>
      <c r="J5382" s="1" t="s">
        <v>46</v>
      </c>
      <c r="K5382" s="1" t="s">
        <v>28</v>
      </c>
      <c r="L5382" s="1" t="str">
        <f t="shared" si="1036"/>
        <v>20220925</v>
      </c>
      <c r="M5382" s="1" t="str">
        <f>"064122"</f>
        <v>064122</v>
      </c>
      <c r="N5382" s="1" t="s">
        <v>34</v>
      </c>
      <c r="O5382" s="1" t="s">
        <v>34</v>
      </c>
      <c r="P5382" s="1" t="s">
        <v>55</v>
      </c>
      <c r="Q5382" s="1">
        <v>25</v>
      </c>
      <c r="R5382" s="1">
        <v>25</v>
      </c>
      <c r="S5382" s="1">
        <v>0</v>
      </c>
      <c r="T5382" s="1">
        <v>0</v>
      </c>
      <c r="U5382" s="1">
        <v>0</v>
      </c>
      <c r="V5382" s="1" t="str">
        <f t="shared" si="1038"/>
        <v>里程去程</v>
      </c>
      <c r="W5382" s="1" t="str">
        <f>"2020"</f>
        <v>2020</v>
      </c>
      <c r="X5382" s="1" t="s">
        <v>35</v>
      </c>
    </row>
    <row r="5383" spans="1:24" x14ac:dyDescent="0.3">
      <c r="A5383" s="1" t="str">
        <f t="shared" si="1037"/>
        <v>59828</v>
      </c>
      <c r="B5383" s="1" t="s">
        <v>23</v>
      </c>
      <c r="C5383" s="1" t="s">
        <v>24</v>
      </c>
      <c r="D5383" s="1" t="str">
        <f t="shared" si="1030"/>
        <v>9803</v>
      </c>
      <c r="E5383" s="1" t="s">
        <v>32</v>
      </c>
      <c r="F5383" s="1" t="str">
        <f>"4173259661"</f>
        <v>4173259661</v>
      </c>
      <c r="G5383" s="1" t="s">
        <v>33</v>
      </c>
      <c r="H5383" s="1" t="str">
        <f t="shared" ref="H5383:H5417" si="1039">"20220925"</f>
        <v>20220925</v>
      </c>
      <c r="I5383" s="1" t="str">
        <f>"094734"</f>
        <v>094734</v>
      </c>
      <c r="J5383" s="1" t="s">
        <v>28</v>
      </c>
      <c r="K5383" s="1" t="s">
        <v>28</v>
      </c>
      <c r="L5383" s="1" t="str">
        <f t="shared" si="1036"/>
        <v>20220925</v>
      </c>
      <c r="M5383" s="1" t="str">
        <f>"100912"</f>
        <v>100912</v>
      </c>
      <c r="N5383" s="1" t="s">
        <v>34</v>
      </c>
      <c r="O5383" s="1" t="s">
        <v>34</v>
      </c>
      <c r="P5383" s="1" t="s">
        <v>55</v>
      </c>
      <c r="Q5383" s="1">
        <v>25</v>
      </c>
      <c r="R5383" s="1">
        <v>25</v>
      </c>
      <c r="S5383" s="1">
        <v>0</v>
      </c>
      <c r="T5383" s="1">
        <v>0</v>
      </c>
      <c r="U5383" s="1">
        <v>0</v>
      </c>
      <c r="V5383" s="1" t="str">
        <f t="shared" si="1038"/>
        <v>里程去程</v>
      </c>
      <c r="W5383" s="1" t="str">
        <f>"0320"</f>
        <v>0320</v>
      </c>
      <c r="X5383" s="1" t="s">
        <v>35</v>
      </c>
    </row>
    <row r="5384" spans="1:24" x14ac:dyDescent="0.3">
      <c r="A5384" s="1" t="str">
        <f t="shared" si="1037"/>
        <v>59828</v>
      </c>
      <c r="B5384" s="1" t="s">
        <v>23</v>
      </c>
      <c r="C5384" s="1" t="s">
        <v>24</v>
      </c>
      <c r="D5384" s="1" t="str">
        <f t="shared" si="1030"/>
        <v>9803</v>
      </c>
      <c r="E5384" s="1" t="s">
        <v>32</v>
      </c>
      <c r="F5384" s="1" t="str">
        <f>"756D2C0A3E180200D200000C22400417"</f>
        <v>756D2C0A3E180200D200000C22400417</v>
      </c>
      <c r="G5384" s="1" t="s">
        <v>58</v>
      </c>
      <c r="H5384" s="1" t="str">
        <f t="shared" si="1039"/>
        <v>20220925</v>
      </c>
      <c r="I5384" s="1" t="str">
        <f>"094751"</f>
        <v>094751</v>
      </c>
      <c r="J5384" s="1" t="s">
        <v>28</v>
      </c>
      <c r="K5384" s="1" t="s">
        <v>28</v>
      </c>
      <c r="L5384" s="1" t="str">
        <f t="shared" si="1036"/>
        <v>20220925</v>
      </c>
      <c r="M5384" s="1" t="str">
        <f>"100916"</f>
        <v>100916</v>
      </c>
      <c r="N5384" s="1" t="s">
        <v>34</v>
      </c>
      <c r="O5384" s="1" t="s">
        <v>34</v>
      </c>
      <c r="P5384" s="1" t="s">
        <v>55</v>
      </c>
      <c r="Q5384" s="1">
        <v>25</v>
      </c>
      <c r="R5384" s="1">
        <v>25</v>
      </c>
      <c r="S5384" s="1">
        <v>0</v>
      </c>
      <c r="T5384" s="1">
        <v>0</v>
      </c>
      <c r="U5384" s="1">
        <v>0</v>
      </c>
      <c r="V5384" s="1" t="str">
        <f t="shared" si="1038"/>
        <v>里程去程</v>
      </c>
      <c r="W5384" s="1" t="str">
        <f>"0020"</f>
        <v>0020</v>
      </c>
      <c r="X5384" s="1" t="s">
        <v>29</v>
      </c>
    </row>
    <row r="5385" spans="1:24" x14ac:dyDescent="0.3">
      <c r="A5385" s="1" t="str">
        <f t="shared" si="1037"/>
        <v>59828</v>
      </c>
      <c r="B5385" s="1" t="s">
        <v>23</v>
      </c>
      <c r="C5385" s="1" t="s">
        <v>24</v>
      </c>
      <c r="D5385" s="1" t="str">
        <f t="shared" si="1030"/>
        <v>9803</v>
      </c>
      <c r="E5385" s="1" t="s">
        <v>32</v>
      </c>
      <c r="F5385" s="1" t="str">
        <f>"1434600769"</f>
        <v>1434600769</v>
      </c>
      <c r="G5385" s="1" t="s">
        <v>33</v>
      </c>
      <c r="H5385" s="1" t="str">
        <f t="shared" si="1039"/>
        <v>20220925</v>
      </c>
      <c r="I5385" s="1" t="str">
        <f>"094757"</f>
        <v>094757</v>
      </c>
      <c r="J5385" s="1" t="s">
        <v>28</v>
      </c>
      <c r="K5385" s="1" t="s">
        <v>28</v>
      </c>
      <c r="L5385" s="1" t="str">
        <f t="shared" si="1036"/>
        <v>20220925</v>
      </c>
      <c r="M5385" s="1" t="str">
        <f>"100846"</f>
        <v>100846</v>
      </c>
      <c r="N5385" s="1" t="s">
        <v>34</v>
      </c>
      <c r="O5385" s="1" t="s">
        <v>34</v>
      </c>
      <c r="P5385" s="1" t="s">
        <v>55</v>
      </c>
      <c r="Q5385" s="1">
        <v>25</v>
      </c>
      <c r="R5385" s="1">
        <v>25</v>
      </c>
      <c r="S5385" s="1">
        <v>0</v>
      </c>
      <c r="T5385" s="1">
        <v>0</v>
      </c>
      <c r="U5385" s="1">
        <v>0</v>
      </c>
      <c r="V5385" s="1" t="str">
        <f t="shared" si="1038"/>
        <v>里程去程</v>
      </c>
      <c r="W5385" s="1" t="str">
        <f>"0820"</f>
        <v>0820</v>
      </c>
      <c r="X5385" s="1" t="s">
        <v>35</v>
      </c>
    </row>
    <row r="5386" spans="1:24" x14ac:dyDescent="0.3">
      <c r="A5386" s="1" t="str">
        <f t="shared" si="1037"/>
        <v>59828</v>
      </c>
      <c r="B5386" s="1" t="s">
        <v>23</v>
      </c>
      <c r="C5386" s="1" t="s">
        <v>24</v>
      </c>
      <c r="D5386" s="1" t="str">
        <f t="shared" si="1030"/>
        <v>9803</v>
      </c>
      <c r="E5386" s="1" t="s">
        <v>32</v>
      </c>
      <c r="F5386" s="1" t="str">
        <f>"2226814042"</f>
        <v>2226814042</v>
      </c>
      <c r="G5386" s="1" t="s">
        <v>33</v>
      </c>
      <c r="H5386" s="1" t="str">
        <f t="shared" si="1039"/>
        <v>20220925</v>
      </c>
      <c r="I5386" s="1" t="str">
        <f>"094805"</f>
        <v>094805</v>
      </c>
      <c r="J5386" s="1" t="s">
        <v>28</v>
      </c>
      <c r="K5386" s="1" t="s">
        <v>28</v>
      </c>
      <c r="L5386" s="1" t="str">
        <f t="shared" si="1036"/>
        <v>20220925</v>
      </c>
      <c r="M5386" s="1" t="str">
        <f>"095742"</f>
        <v>095742</v>
      </c>
      <c r="N5386" s="1" t="s">
        <v>79</v>
      </c>
      <c r="O5386" s="1" t="s">
        <v>28</v>
      </c>
      <c r="P5386" s="1" t="s">
        <v>55</v>
      </c>
      <c r="Q5386" s="1">
        <v>25</v>
      </c>
      <c r="R5386" s="1">
        <v>25</v>
      </c>
      <c r="S5386" s="1">
        <v>0</v>
      </c>
      <c r="T5386" s="1">
        <v>0</v>
      </c>
      <c r="U5386" s="1">
        <v>0</v>
      </c>
      <c r="V5386" s="1" t="str">
        <f t="shared" si="1038"/>
        <v>里程去程</v>
      </c>
      <c r="W5386" s="1" t="str">
        <f>"2120"</f>
        <v>2120</v>
      </c>
      <c r="X5386" s="1" t="s">
        <v>35</v>
      </c>
    </row>
    <row r="5387" spans="1:24" x14ac:dyDescent="0.3">
      <c r="A5387" s="1" t="str">
        <f t="shared" si="1037"/>
        <v>59828</v>
      </c>
      <c r="B5387" s="1" t="s">
        <v>23</v>
      </c>
      <c r="C5387" s="1" t="s">
        <v>24</v>
      </c>
      <c r="D5387" s="1" t="str">
        <f t="shared" si="1030"/>
        <v>9803</v>
      </c>
      <c r="E5387" s="1" t="s">
        <v>32</v>
      </c>
      <c r="F5387" s="1" t="str">
        <f>"2135280058"</f>
        <v>2135280058</v>
      </c>
      <c r="G5387" s="1" t="s">
        <v>33</v>
      </c>
      <c r="H5387" s="1" t="str">
        <f t="shared" si="1039"/>
        <v>20220925</v>
      </c>
      <c r="I5387" s="1" t="str">
        <f>"094810"</f>
        <v>094810</v>
      </c>
      <c r="J5387" s="1" t="s">
        <v>28</v>
      </c>
      <c r="K5387" s="1" t="s">
        <v>28</v>
      </c>
      <c r="L5387" s="1" t="str">
        <f t="shared" si="1036"/>
        <v>20220925</v>
      </c>
      <c r="M5387" s="1" t="str">
        <f>"095745"</f>
        <v>095745</v>
      </c>
      <c r="N5387" s="1" t="s">
        <v>79</v>
      </c>
      <c r="O5387" s="1" t="s">
        <v>28</v>
      </c>
      <c r="P5387" s="1" t="s">
        <v>55</v>
      </c>
      <c r="Q5387" s="1">
        <v>25</v>
      </c>
      <c r="R5387" s="1">
        <v>0</v>
      </c>
      <c r="S5387" s="1">
        <v>25</v>
      </c>
      <c r="T5387" s="1">
        <v>0</v>
      </c>
      <c r="U5387" s="1">
        <v>0</v>
      </c>
      <c r="V5387" s="1" t="str">
        <f t="shared" si="1038"/>
        <v>里程去程</v>
      </c>
      <c r="W5387" s="1" t="str">
        <f>"0820"</f>
        <v>0820</v>
      </c>
      <c r="X5387" s="1" t="s">
        <v>35</v>
      </c>
    </row>
    <row r="5388" spans="1:24" x14ac:dyDescent="0.3">
      <c r="A5388" s="1" t="str">
        <f t="shared" si="1037"/>
        <v>59828</v>
      </c>
      <c r="B5388" s="1" t="s">
        <v>23</v>
      </c>
      <c r="C5388" s="1" t="s">
        <v>24</v>
      </c>
      <c r="D5388" s="1" t="str">
        <f t="shared" si="1030"/>
        <v>9803</v>
      </c>
      <c r="E5388" s="1" t="s">
        <v>32</v>
      </c>
      <c r="F5388" s="1" t="str">
        <f>"244313231"</f>
        <v>244313231</v>
      </c>
      <c r="G5388" s="1" t="s">
        <v>33</v>
      </c>
      <c r="H5388" s="1" t="str">
        <f t="shared" si="1039"/>
        <v>20220925</v>
      </c>
      <c r="I5388" s="1" t="str">
        <f>"094826"</f>
        <v>094826</v>
      </c>
      <c r="J5388" s="1" t="s">
        <v>28</v>
      </c>
      <c r="K5388" s="1" t="s">
        <v>28</v>
      </c>
      <c r="L5388" s="1" t="str">
        <f t="shared" si="1036"/>
        <v>20220925</v>
      </c>
      <c r="M5388" s="1" t="str">
        <f>"100852"</f>
        <v>100852</v>
      </c>
      <c r="N5388" s="1" t="s">
        <v>34</v>
      </c>
      <c r="O5388" s="1" t="s">
        <v>34</v>
      </c>
      <c r="P5388" s="1" t="s">
        <v>55</v>
      </c>
      <c r="Q5388" s="1">
        <v>25</v>
      </c>
      <c r="R5388" s="1">
        <v>25</v>
      </c>
      <c r="S5388" s="1">
        <v>0</v>
      </c>
      <c r="T5388" s="1">
        <v>0</v>
      </c>
      <c r="U5388" s="1">
        <v>0</v>
      </c>
      <c r="V5388" s="1" t="str">
        <f t="shared" si="1038"/>
        <v>里程去程</v>
      </c>
      <c r="W5388" s="1" t="str">
        <f>"0120"</f>
        <v>0120</v>
      </c>
      <c r="X5388" s="1" t="s">
        <v>35</v>
      </c>
    </row>
    <row r="5389" spans="1:24" x14ac:dyDescent="0.3">
      <c r="A5389" s="1" t="str">
        <f t="shared" si="1037"/>
        <v>59828</v>
      </c>
      <c r="B5389" s="1" t="s">
        <v>23</v>
      </c>
      <c r="C5389" s="1" t="s">
        <v>24</v>
      </c>
      <c r="D5389" s="1" t="str">
        <f>"9805"</f>
        <v>9805</v>
      </c>
      <c r="E5389" s="1" t="s">
        <v>57</v>
      </c>
      <c r="F5389" s="1" t="str">
        <f>"1641403893"</f>
        <v>1641403893</v>
      </c>
      <c r="G5389" s="1" t="s">
        <v>26</v>
      </c>
      <c r="H5389" s="1" t="str">
        <f t="shared" si="1039"/>
        <v>20220925</v>
      </c>
      <c r="I5389" s="1" t="str">
        <f>"120741"</f>
        <v>120741</v>
      </c>
      <c r="J5389" s="1" t="s">
        <v>28</v>
      </c>
      <c r="K5389" s="1" t="s">
        <v>28</v>
      </c>
      <c r="L5389" s="1" t="str">
        <f t="shared" si="1036"/>
        <v>20220925</v>
      </c>
      <c r="M5389" s="1" t="str">
        <f>"122358"</f>
        <v>122358</v>
      </c>
      <c r="N5389" s="1" t="s">
        <v>62</v>
      </c>
      <c r="O5389" s="1" t="s">
        <v>28</v>
      </c>
      <c r="P5389" s="1" t="s">
        <v>55</v>
      </c>
      <c r="Q5389" s="1">
        <v>13</v>
      </c>
      <c r="R5389" s="1">
        <v>13</v>
      </c>
      <c r="S5389" s="1">
        <v>0</v>
      </c>
      <c r="T5389" s="1">
        <v>0</v>
      </c>
      <c r="U5389" s="1">
        <v>0</v>
      </c>
      <c r="V5389" s="1" t="str">
        <f t="shared" si="1038"/>
        <v>里程去程</v>
      </c>
      <c r="W5389" s="1" t="str">
        <f>"0320"</f>
        <v>0320</v>
      </c>
      <c r="X5389" s="1" t="s">
        <v>35</v>
      </c>
    </row>
    <row r="5390" spans="1:24" x14ac:dyDescent="0.3">
      <c r="A5390" s="1" t="str">
        <f t="shared" si="1037"/>
        <v>59828</v>
      </c>
      <c r="B5390" s="1" t="s">
        <v>23</v>
      </c>
      <c r="C5390" s="1" t="s">
        <v>24</v>
      </c>
      <c r="D5390" s="1" t="str">
        <f>"9805"</f>
        <v>9805</v>
      </c>
      <c r="E5390" s="1" t="s">
        <v>57</v>
      </c>
      <c r="F5390" s="1" t="str">
        <f>"1209364069"</f>
        <v>1209364069</v>
      </c>
      <c r="G5390" s="1" t="s">
        <v>26</v>
      </c>
      <c r="H5390" s="1" t="str">
        <f t="shared" si="1039"/>
        <v>20220925</v>
      </c>
      <c r="I5390" s="1" t="str">
        <f>"120754"</f>
        <v>120754</v>
      </c>
      <c r="J5390" s="1" t="s">
        <v>28</v>
      </c>
      <c r="K5390" s="1" t="s">
        <v>28</v>
      </c>
      <c r="L5390" s="1" t="str">
        <f t="shared" si="1036"/>
        <v>20220925</v>
      </c>
      <c r="M5390" s="1" t="str">
        <f>"122351"</f>
        <v>122351</v>
      </c>
      <c r="N5390" s="1" t="s">
        <v>62</v>
      </c>
      <c r="O5390" s="1" t="s">
        <v>28</v>
      </c>
      <c r="P5390" s="1" t="s">
        <v>55</v>
      </c>
      <c r="Q5390" s="1">
        <v>13</v>
      </c>
      <c r="R5390" s="1">
        <v>13</v>
      </c>
      <c r="S5390" s="1">
        <v>0</v>
      </c>
      <c r="T5390" s="1">
        <v>0</v>
      </c>
      <c r="U5390" s="1">
        <v>0</v>
      </c>
      <c r="V5390" s="1" t="str">
        <f t="shared" si="1038"/>
        <v>里程去程</v>
      </c>
      <c r="W5390" s="1" t="str">
        <f>"2120"</f>
        <v>2120</v>
      </c>
      <c r="X5390" s="1" t="s">
        <v>35</v>
      </c>
    </row>
    <row r="5391" spans="1:24" x14ac:dyDescent="0.3">
      <c r="A5391" s="1" t="str">
        <f t="shared" si="1037"/>
        <v>59828</v>
      </c>
      <c r="B5391" s="1" t="s">
        <v>23</v>
      </c>
      <c r="C5391" s="1" t="s">
        <v>24</v>
      </c>
      <c r="D5391" s="1" t="str">
        <f>"9805"</f>
        <v>9805</v>
      </c>
      <c r="E5391" s="1" t="s">
        <v>57</v>
      </c>
      <c r="F5391" s="1" t="str">
        <f>"139046223"</f>
        <v>139046223</v>
      </c>
      <c r="G5391" s="1" t="s">
        <v>33</v>
      </c>
      <c r="H5391" s="1" t="str">
        <f t="shared" si="1039"/>
        <v>20220925</v>
      </c>
      <c r="I5391" s="1" t="str">
        <f>"120800"</f>
        <v>120800</v>
      </c>
      <c r="J5391" s="1" t="s">
        <v>28</v>
      </c>
      <c r="K5391" s="1" t="s">
        <v>28</v>
      </c>
      <c r="L5391" s="1" t="str">
        <f t="shared" si="1036"/>
        <v>20220925</v>
      </c>
      <c r="M5391" s="1" t="str">
        <f>"122410"</f>
        <v>122410</v>
      </c>
      <c r="N5391" s="1" t="s">
        <v>62</v>
      </c>
      <c r="O5391" s="1" t="s">
        <v>28</v>
      </c>
      <c r="P5391" s="1" t="s">
        <v>55</v>
      </c>
      <c r="Q5391" s="1">
        <v>25</v>
      </c>
      <c r="R5391" s="1">
        <v>25</v>
      </c>
      <c r="S5391" s="1">
        <v>0</v>
      </c>
      <c r="T5391" s="1">
        <v>0</v>
      </c>
      <c r="U5391" s="1">
        <v>0</v>
      </c>
      <c r="V5391" s="1" t="str">
        <f t="shared" si="1038"/>
        <v>里程去程</v>
      </c>
      <c r="W5391" s="1" t="str">
        <f>"2020"</f>
        <v>2020</v>
      </c>
      <c r="X5391" s="1" t="s">
        <v>35</v>
      </c>
    </row>
    <row r="5392" spans="1:24" x14ac:dyDescent="0.3">
      <c r="A5392" s="1" t="str">
        <f t="shared" si="1037"/>
        <v>59828</v>
      </c>
      <c r="B5392" s="1" t="s">
        <v>23</v>
      </c>
      <c r="C5392" s="1" t="s">
        <v>24</v>
      </c>
      <c r="D5392" s="1" t="str">
        <f>"9805"</f>
        <v>9805</v>
      </c>
      <c r="E5392" s="1" t="s">
        <v>57</v>
      </c>
      <c r="F5392" s="1" t="str">
        <f>"F13B475DD08804004325C3F9000E0C0F"</f>
        <v>F13B475DD08804004325C3F9000E0C0F</v>
      </c>
      <c r="G5392" s="1" t="s">
        <v>64</v>
      </c>
      <c r="H5392" s="1" t="str">
        <f t="shared" si="1039"/>
        <v>20220925</v>
      </c>
      <c r="I5392" s="1" t="str">
        <f>"131027"</f>
        <v>131027</v>
      </c>
      <c r="J5392" s="1" t="s">
        <v>52</v>
      </c>
      <c r="K5392" s="1" t="s">
        <v>52</v>
      </c>
      <c r="L5392" s="1" t="str">
        <f t="shared" si="1036"/>
        <v>20220925</v>
      </c>
      <c r="M5392" s="1" t="str">
        <f>"132803"</f>
        <v>132803</v>
      </c>
      <c r="N5392" s="1" t="s">
        <v>28</v>
      </c>
      <c r="O5392" s="1" t="s">
        <v>28</v>
      </c>
      <c r="P5392" s="1" t="s">
        <v>55</v>
      </c>
      <c r="Q5392" s="1">
        <v>13</v>
      </c>
      <c r="R5392" s="1">
        <v>0</v>
      </c>
      <c r="S5392" s="1">
        <v>13</v>
      </c>
      <c r="T5392" s="1">
        <v>0</v>
      </c>
      <c r="U5392" s="1">
        <v>0</v>
      </c>
      <c r="V5392" s="1" t="str">
        <f>"里程返程"</f>
        <v>里程返程</v>
      </c>
      <c r="W5392" s="1" t="str">
        <f>"2020"</f>
        <v>2020</v>
      </c>
      <c r="X5392" s="1" t="s">
        <v>29</v>
      </c>
    </row>
    <row r="5393" spans="1:24" x14ac:dyDescent="0.3">
      <c r="A5393" s="1" t="str">
        <f t="shared" si="1037"/>
        <v>59828</v>
      </c>
      <c r="B5393" s="1" t="s">
        <v>23</v>
      </c>
      <c r="C5393" s="1" t="s">
        <v>24</v>
      </c>
      <c r="D5393" s="1" t="str">
        <f t="shared" ref="D5393:D5406" si="1040">"9803"</f>
        <v>9803</v>
      </c>
      <c r="E5393" s="1" t="s">
        <v>32</v>
      </c>
      <c r="F5393" s="1" t="str">
        <f>"32E4D00107880400C818002000000015"</f>
        <v>32E4D00107880400C818002000000015</v>
      </c>
      <c r="G5393" s="1" t="s">
        <v>58</v>
      </c>
      <c r="H5393" s="1" t="str">
        <f t="shared" si="1039"/>
        <v>20220925</v>
      </c>
      <c r="I5393" s="1" t="str">
        <f>"132842"</f>
        <v>132842</v>
      </c>
      <c r="J5393" s="1" t="s">
        <v>28</v>
      </c>
      <c r="K5393" s="1" t="s">
        <v>28</v>
      </c>
      <c r="L5393" s="1" t="str">
        <f t="shared" si="1036"/>
        <v>20220925</v>
      </c>
      <c r="M5393" s="1" t="str">
        <f>"134459"</f>
        <v>134459</v>
      </c>
      <c r="N5393" s="1" t="s">
        <v>93</v>
      </c>
      <c r="O5393" s="1" t="s">
        <v>28</v>
      </c>
      <c r="P5393" s="1" t="s">
        <v>55</v>
      </c>
      <c r="Q5393" s="1">
        <v>25</v>
      </c>
      <c r="R5393" s="1">
        <v>25</v>
      </c>
      <c r="S5393" s="1">
        <v>0</v>
      </c>
      <c r="T5393" s="1">
        <v>0</v>
      </c>
      <c r="U5393" s="1">
        <v>0</v>
      </c>
      <c r="V5393" s="1" t="str">
        <f>"里程去程"</f>
        <v>里程去程</v>
      </c>
      <c r="W5393" s="1" t="str">
        <f>"0020"</f>
        <v>0020</v>
      </c>
      <c r="X5393" s="1" t="s">
        <v>29</v>
      </c>
    </row>
    <row r="5394" spans="1:24" x14ac:dyDescent="0.3">
      <c r="A5394" s="1" t="str">
        <f t="shared" si="1037"/>
        <v>59828</v>
      </c>
      <c r="B5394" s="1" t="s">
        <v>23</v>
      </c>
      <c r="C5394" s="1" t="s">
        <v>24</v>
      </c>
      <c r="D5394" s="1" t="str">
        <f t="shared" si="1040"/>
        <v>9803</v>
      </c>
      <c r="E5394" s="1" t="s">
        <v>32</v>
      </c>
      <c r="F5394" s="1" t="str">
        <f>"F545339C1F88040043265ABE00040710"</f>
        <v>F545339C1F88040043265ABE00040710</v>
      </c>
      <c r="G5394" s="1" t="s">
        <v>58</v>
      </c>
      <c r="H5394" s="1" t="str">
        <f t="shared" si="1039"/>
        <v>20220925</v>
      </c>
      <c r="I5394" s="1" t="str">
        <f>"132853"</f>
        <v>132853</v>
      </c>
      <c r="J5394" s="1" t="s">
        <v>28</v>
      </c>
      <c r="K5394" s="1" t="s">
        <v>28</v>
      </c>
      <c r="L5394" s="1" t="str">
        <f t="shared" si="1036"/>
        <v>20220925</v>
      </c>
      <c r="M5394" s="1" t="str">
        <f>"134819"</f>
        <v>134819</v>
      </c>
      <c r="N5394" s="1" t="s">
        <v>34</v>
      </c>
      <c r="O5394" s="1" t="s">
        <v>34</v>
      </c>
      <c r="P5394" s="1" t="s">
        <v>55</v>
      </c>
      <c r="Q5394" s="1">
        <v>25</v>
      </c>
      <c r="R5394" s="1">
        <v>25</v>
      </c>
      <c r="S5394" s="1">
        <v>0</v>
      </c>
      <c r="T5394" s="1">
        <v>0</v>
      </c>
      <c r="U5394" s="1">
        <v>0</v>
      </c>
      <c r="V5394" s="1" t="str">
        <f>"里程去程"</f>
        <v>里程去程</v>
      </c>
      <c r="W5394" s="1" t="str">
        <f>"0020"</f>
        <v>0020</v>
      </c>
      <c r="X5394" s="1" t="s">
        <v>29</v>
      </c>
    </row>
    <row r="5395" spans="1:24" x14ac:dyDescent="0.3">
      <c r="A5395" s="1" t="str">
        <f t="shared" si="1037"/>
        <v>59828</v>
      </c>
      <c r="B5395" s="1" t="s">
        <v>23</v>
      </c>
      <c r="C5395" s="1" t="s">
        <v>24</v>
      </c>
      <c r="D5395" s="1" t="str">
        <f t="shared" si="1040"/>
        <v>9803</v>
      </c>
      <c r="E5395" s="1" t="s">
        <v>32</v>
      </c>
      <c r="F5395" s="1" t="str">
        <f>"1773017269"</f>
        <v>1773017269</v>
      </c>
      <c r="G5395" s="1" t="s">
        <v>33</v>
      </c>
      <c r="H5395" s="1" t="str">
        <f t="shared" si="1039"/>
        <v>20220925</v>
      </c>
      <c r="I5395" s="1" t="str">
        <f>"132903"</f>
        <v>132903</v>
      </c>
      <c r="J5395" s="1" t="s">
        <v>28</v>
      </c>
      <c r="K5395" s="1" t="s">
        <v>28</v>
      </c>
      <c r="L5395" s="1" t="str">
        <f t="shared" si="1036"/>
        <v>20220925</v>
      </c>
      <c r="M5395" s="1" t="str">
        <f>"134801"</f>
        <v>134801</v>
      </c>
      <c r="N5395" s="1" t="s">
        <v>34</v>
      </c>
      <c r="O5395" s="1" t="s">
        <v>34</v>
      </c>
      <c r="P5395" s="1" t="s">
        <v>55</v>
      </c>
      <c r="Q5395" s="1">
        <v>25</v>
      </c>
      <c r="R5395" s="1">
        <v>25</v>
      </c>
      <c r="S5395" s="1">
        <v>0</v>
      </c>
      <c r="T5395" s="1">
        <v>0</v>
      </c>
      <c r="U5395" s="1">
        <v>0</v>
      </c>
      <c r="V5395" s="1" t="str">
        <f>"里程去程"</f>
        <v>里程去程</v>
      </c>
      <c r="W5395" s="1" t="str">
        <f>"1620"</f>
        <v>1620</v>
      </c>
      <c r="X5395" s="1" t="s">
        <v>35</v>
      </c>
    </row>
    <row r="5396" spans="1:24" x14ac:dyDescent="0.3">
      <c r="A5396" s="1" t="str">
        <f t="shared" si="1037"/>
        <v>59828</v>
      </c>
      <c r="B5396" s="1" t="s">
        <v>23</v>
      </c>
      <c r="C5396" s="1" t="s">
        <v>24</v>
      </c>
      <c r="D5396" s="1" t="str">
        <f t="shared" si="1040"/>
        <v>9803</v>
      </c>
      <c r="E5396" s="1" t="s">
        <v>32</v>
      </c>
      <c r="F5396" s="1" t="str">
        <f>"1197824801"</f>
        <v>1197824801</v>
      </c>
      <c r="G5396" s="1" t="s">
        <v>33</v>
      </c>
      <c r="H5396" s="1" t="str">
        <f t="shared" si="1039"/>
        <v>20220925</v>
      </c>
      <c r="I5396" s="1" t="str">
        <f>"135757"</f>
        <v>135757</v>
      </c>
      <c r="J5396" s="1" t="s">
        <v>34</v>
      </c>
      <c r="K5396" s="1" t="s">
        <v>34</v>
      </c>
      <c r="L5396" s="1" t="str">
        <f t="shared" ref="L5396:L5417" si="1041">"20220925"</f>
        <v>20220925</v>
      </c>
      <c r="M5396" s="1" t="str">
        <f>"142925"</f>
        <v>142925</v>
      </c>
      <c r="N5396" s="1" t="s">
        <v>28</v>
      </c>
      <c r="O5396" s="1" t="s">
        <v>28</v>
      </c>
      <c r="P5396" s="1" t="s">
        <v>55</v>
      </c>
      <c r="Q5396" s="1">
        <v>25</v>
      </c>
      <c r="R5396" s="1">
        <v>25</v>
      </c>
      <c r="S5396" s="1">
        <v>0</v>
      </c>
      <c r="T5396" s="1">
        <v>0</v>
      </c>
      <c r="U5396" s="1">
        <v>0</v>
      </c>
      <c r="V5396" s="1" t="str">
        <f t="shared" ref="V5396:V5406" si="1042">"里程返程"</f>
        <v>里程返程</v>
      </c>
      <c r="W5396" s="1" t="str">
        <f>"2020"</f>
        <v>2020</v>
      </c>
      <c r="X5396" s="1" t="s">
        <v>35</v>
      </c>
    </row>
    <row r="5397" spans="1:24" x14ac:dyDescent="0.3">
      <c r="A5397" s="1" t="str">
        <f t="shared" si="1037"/>
        <v>59828</v>
      </c>
      <c r="B5397" s="1" t="s">
        <v>23</v>
      </c>
      <c r="C5397" s="1" t="s">
        <v>24</v>
      </c>
      <c r="D5397" s="1" t="str">
        <f t="shared" si="1040"/>
        <v>9803</v>
      </c>
      <c r="E5397" s="1" t="s">
        <v>32</v>
      </c>
      <c r="F5397" s="1" t="str">
        <f>"240216517"</f>
        <v>240216517</v>
      </c>
      <c r="G5397" s="1" t="s">
        <v>33</v>
      </c>
      <c r="H5397" s="1" t="str">
        <f t="shared" si="1039"/>
        <v>20220925</v>
      </c>
      <c r="I5397" s="1" t="str">
        <f>"135804"</f>
        <v>135804</v>
      </c>
      <c r="J5397" s="1" t="s">
        <v>34</v>
      </c>
      <c r="K5397" s="1" t="s">
        <v>34</v>
      </c>
      <c r="L5397" s="1" t="str">
        <f t="shared" si="1041"/>
        <v>20220925</v>
      </c>
      <c r="M5397" s="1" t="str">
        <f>"142928"</f>
        <v>142928</v>
      </c>
      <c r="N5397" s="1" t="s">
        <v>28</v>
      </c>
      <c r="O5397" s="1" t="s">
        <v>28</v>
      </c>
      <c r="P5397" s="1" t="s">
        <v>55</v>
      </c>
      <c r="Q5397" s="1">
        <v>25</v>
      </c>
      <c r="R5397" s="1">
        <v>25</v>
      </c>
      <c r="S5397" s="1">
        <v>0</v>
      </c>
      <c r="T5397" s="1">
        <v>0</v>
      </c>
      <c r="U5397" s="1">
        <v>0</v>
      </c>
      <c r="V5397" s="1" t="str">
        <f t="shared" si="1042"/>
        <v>里程返程</v>
      </c>
      <c r="W5397" s="1" t="str">
        <f>"2020"</f>
        <v>2020</v>
      </c>
      <c r="X5397" s="1" t="s">
        <v>35</v>
      </c>
    </row>
    <row r="5398" spans="1:24" x14ac:dyDescent="0.3">
      <c r="A5398" s="1" t="str">
        <f t="shared" si="1037"/>
        <v>59828</v>
      </c>
      <c r="B5398" s="1" t="s">
        <v>23</v>
      </c>
      <c r="C5398" s="1" t="s">
        <v>24</v>
      </c>
      <c r="D5398" s="1" t="str">
        <f t="shared" si="1040"/>
        <v>9803</v>
      </c>
      <c r="E5398" s="1" t="s">
        <v>32</v>
      </c>
      <c r="F5398" s="1" t="str">
        <f>"51637F4409280400F700000000000000"</f>
        <v>51637F4409280400F700000000000000</v>
      </c>
      <c r="G5398" s="1" t="s">
        <v>58</v>
      </c>
      <c r="H5398" s="1" t="str">
        <f t="shared" si="1039"/>
        <v>20220925</v>
      </c>
      <c r="I5398" s="1" t="str">
        <f>"135817"</f>
        <v>135817</v>
      </c>
      <c r="J5398" s="1" t="s">
        <v>34</v>
      </c>
      <c r="K5398" s="1" t="s">
        <v>34</v>
      </c>
      <c r="L5398" s="1" t="str">
        <f t="shared" si="1041"/>
        <v>20220925</v>
      </c>
      <c r="M5398" s="1" t="str">
        <f>"142921"</f>
        <v>142921</v>
      </c>
      <c r="N5398" s="1" t="s">
        <v>28</v>
      </c>
      <c r="O5398" s="1" t="s">
        <v>28</v>
      </c>
      <c r="P5398" s="1" t="s">
        <v>55</v>
      </c>
      <c r="Q5398" s="1">
        <v>25</v>
      </c>
      <c r="R5398" s="1">
        <v>25</v>
      </c>
      <c r="S5398" s="1">
        <v>0</v>
      </c>
      <c r="T5398" s="1">
        <v>0</v>
      </c>
      <c r="U5398" s="1">
        <v>0</v>
      </c>
      <c r="V5398" s="1" t="str">
        <f t="shared" si="1042"/>
        <v>里程返程</v>
      </c>
      <c r="W5398" s="1" t="str">
        <f>"0020"</f>
        <v>0020</v>
      </c>
      <c r="X5398" s="1" t="s">
        <v>29</v>
      </c>
    </row>
    <row r="5399" spans="1:24" x14ac:dyDescent="0.3">
      <c r="A5399" s="1" t="str">
        <f t="shared" si="1037"/>
        <v>59828</v>
      </c>
      <c r="B5399" s="1" t="s">
        <v>23</v>
      </c>
      <c r="C5399" s="1" t="s">
        <v>24</v>
      </c>
      <c r="D5399" s="1" t="str">
        <f t="shared" si="1040"/>
        <v>9803</v>
      </c>
      <c r="E5399" s="1" t="s">
        <v>32</v>
      </c>
      <c r="F5399" s="1" t="str">
        <f>"1464065169"</f>
        <v>1464065169</v>
      </c>
      <c r="G5399" s="1" t="s">
        <v>33</v>
      </c>
      <c r="H5399" s="1" t="str">
        <f t="shared" si="1039"/>
        <v>20220925</v>
      </c>
      <c r="I5399" s="1" t="str">
        <f>"135822"</f>
        <v>135822</v>
      </c>
      <c r="J5399" s="1" t="s">
        <v>34</v>
      </c>
      <c r="K5399" s="1" t="s">
        <v>34</v>
      </c>
      <c r="L5399" s="1" t="str">
        <f t="shared" si="1041"/>
        <v>20220925</v>
      </c>
      <c r="M5399" s="1" t="str">
        <f>"142917"</f>
        <v>142917</v>
      </c>
      <c r="N5399" s="1" t="s">
        <v>28</v>
      </c>
      <c r="O5399" s="1" t="s">
        <v>28</v>
      </c>
      <c r="P5399" s="1" t="s">
        <v>55</v>
      </c>
      <c r="Q5399" s="1">
        <v>25</v>
      </c>
      <c r="R5399" s="1">
        <v>25</v>
      </c>
      <c r="S5399" s="1">
        <v>0</v>
      </c>
      <c r="T5399" s="1">
        <v>0</v>
      </c>
      <c r="U5399" s="1">
        <v>0</v>
      </c>
      <c r="V5399" s="1" t="str">
        <f t="shared" si="1042"/>
        <v>里程返程</v>
      </c>
      <c r="W5399" s="1" t="str">
        <f>"0820"</f>
        <v>0820</v>
      </c>
      <c r="X5399" s="1" t="s">
        <v>35</v>
      </c>
    </row>
    <row r="5400" spans="1:24" x14ac:dyDescent="0.3">
      <c r="A5400" s="1" t="str">
        <f t="shared" si="1037"/>
        <v>59828</v>
      </c>
      <c r="B5400" s="1" t="s">
        <v>23</v>
      </c>
      <c r="C5400" s="1" t="s">
        <v>24</v>
      </c>
      <c r="D5400" s="1" t="str">
        <f t="shared" si="1040"/>
        <v>9803</v>
      </c>
      <c r="E5400" s="1" t="s">
        <v>32</v>
      </c>
      <c r="F5400" s="1" t="str">
        <f>"745446833"</f>
        <v>745446833</v>
      </c>
      <c r="G5400" s="1" t="s">
        <v>33</v>
      </c>
      <c r="H5400" s="1" t="str">
        <f t="shared" si="1039"/>
        <v>20220925</v>
      </c>
      <c r="I5400" s="1" t="str">
        <f>"135830"</f>
        <v>135830</v>
      </c>
      <c r="J5400" s="1" t="s">
        <v>34</v>
      </c>
      <c r="K5400" s="1" t="s">
        <v>34</v>
      </c>
      <c r="L5400" s="1" t="str">
        <f t="shared" si="1041"/>
        <v>20220925</v>
      </c>
      <c r="M5400" s="1" t="str">
        <f>"142911"</f>
        <v>142911</v>
      </c>
      <c r="N5400" s="1" t="s">
        <v>28</v>
      </c>
      <c r="O5400" s="1" t="s">
        <v>28</v>
      </c>
      <c r="P5400" s="1" t="s">
        <v>55</v>
      </c>
      <c r="Q5400" s="1">
        <v>25</v>
      </c>
      <c r="R5400" s="1">
        <v>25</v>
      </c>
      <c r="S5400" s="1">
        <v>0</v>
      </c>
      <c r="T5400" s="1">
        <v>0</v>
      </c>
      <c r="U5400" s="1">
        <v>0</v>
      </c>
      <c r="V5400" s="1" t="str">
        <f t="shared" si="1042"/>
        <v>里程返程</v>
      </c>
      <c r="W5400" s="1" t="str">
        <f>"0820"</f>
        <v>0820</v>
      </c>
      <c r="X5400" s="1" t="s">
        <v>35</v>
      </c>
    </row>
    <row r="5401" spans="1:24" x14ac:dyDescent="0.3">
      <c r="A5401" s="1" t="str">
        <f t="shared" si="1037"/>
        <v>59828</v>
      </c>
      <c r="B5401" s="1" t="s">
        <v>23</v>
      </c>
      <c r="C5401" s="1" t="s">
        <v>24</v>
      </c>
      <c r="D5401" s="1" t="str">
        <f t="shared" si="1040"/>
        <v>9803</v>
      </c>
      <c r="E5401" s="1" t="s">
        <v>32</v>
      </c>
      <c r="F5401" s="1" t="str">
        <f>"1640015685"</f>
        <v>1640015685</v>
      </c>
      <c r="G5401" s="1" t="s">
        <v>33</v>
      </c>
      <c r="H5401" s="1" t="str">
        <f t="shared" si="1039"/>
        <v>20220925</v>
      </c>
      <c r="I5401" s="1" t="str">
        <f>"135837"</f>
        <v>135837</v>
      </c>
      <c r="J5401" s="1" t="s">
        <v>34</v>
      </c>
      <c r="K5401" s="1" t="s">
        <v>34</v>
      </c>
      <c r="L5401" s="1" t="str">
        <f t="shared" si="1041"/>
        <v>20220925</v>
      </c>
      <c r="M5401" s="1" t="str">
        <f>"142907"</f>
        <v>142907</v>
      </c>
      <c r="N5401" s="1" t="s">
        <v>28</v>
      </c>
      <c r="O5401" s="1" t="s">
        <v>28</v>
      </c>
      <c r="P5401" s="1" t="s">
        <v>55</v>
      </c>
      <c r="Q5401" s="1">
        <v>25</v>
      </c>
      <c r="R5401" s="1">
        <v>25</v>
      </c>
      <c r="S5401" s="1">
        <v>0</v>
      </c>
      <c r="T5401" s="1">
        <v>0</v>
      </c>
      <c r="U5401" s="1">
        <v>0</v>
      </c>
      <c r="V5401" s="1" t="str">
        <f t="shared" si="1042"/>
        <v>里程返程</v>
      </c>
      <c r="W5401" s="1" t="str">
        <f>"2020"</f>
        <v>2020</v>
      </c>
      <c r="X5401" s="1" t="s">
        <v>35</v>
      </c>
    </row>
    <row r="5402" spans="1:24" x14ac:dyDescent="0.3">
      <c r="A5402" s="1" t="str">
        <f t="shared" si="1037"/>
        <v>59828</v>
      </c>
      <c r="B5402" s="1" t="s">
        <v>23</v>
      </c>
      <c r="C5402" s="1" t="s">
        <v>24</v>
      </c>
      <c r="D5402" s="1" t="str">
        <f t="shared" si="1040"/>
        <v>9803</v>
      </c>
      <c r="E5402" s="1" t="s">
        <v>32</v>
      </c>
      <c r="F5402" s="1" t="str">
        <f>"F567599C5788040043265ABE000A0710"</f>
        <v>F567599C5788040043265ABE000A0710</v>
      </c>
      <c r="G5402" s="1" t="s">
        <v>82</v>
      </c>
      <c r="H5402" s="1" t="str">
        <f t="shared" si="1039"/>
        <v>20220925</v>
      </c>
      <c r="I5402" s="1" t="str">
        <f>"135943"</f>
        <v>135943</v>
      </c>
      <c r="J5402" s="1" t="s">
        <v>34</v>
      </c>
      <c r="K5402" s="1" t="s">
        <v>34</v>
      </c>
      <c r="L5402" s="1" t="str">
        <f t="shared" si="1041"/>
        <v>20220925</v>
      </c>
      <c r="M5402" s="1" t="str">
        <f>"140351"</f>
        <v>140351</v>
      </c>
      <c r="N5402" s="1" t="s">
        <v>73</v>
      </c>
      <c r="O5402" s="1" t="s">
        <v>28</v>
      </c>
      <c r="P5402" s="1" t="s">
        <v>55</v>
      </c>
      <c r="Q5402" s="1">
        <v>13</v>
      </c>
      <c r="R5402" s="1">
        <v>13</v>
      </c>
      <c r="S5402" s="1">
        <v>0</v>
      </c>
      <c r="T5402" s="1">
        <v>0</v>
      </c>
      <c r="U5402" s="1">
        <v>0</v>
      </c>
      <c r="V5402" s="1" t="str">
        <f t="shared" si="1042"/>
        <v>里程返程</v>
      </c>
      <c r="W5402" s="1" t="str">
        <f>"0020"</f>
        <v>0020</v>
      </c>
      <c r="X5402" s="1" t="s">
        <v>29</v>
      </c>
    </row>
    <row r="5403" spans="1:24" x14ac:dyDescent="0.3">
      <c r="A5403" s="1" t="str">
        <f t="shared" si="1037"/>
        <v>59828</v>
      </c>
      <c r="B5403" s="1" t="s">
        <v>23</v>
      </c>
      <c r="C5403" s="1" t="s">
        <v>24</v>
      </c>
      <c r="D5403" s="1" t="str">
        <f t="shared" si="1040"/>
        <v>9803</v>
      </c>
      <c r="E5403" s="1" t="s">
        <v>32</v>
      </c>
      <c r="F5403" s="1" t="str">
        <f>"E59B599CBB88040043265ABE000A0710"</f>
        <v>E59B599CBB88040043265ABE000A0710</v>
      </c>
      <c r="G5403" s="1" t="s">
        <v>66</v>
      </c>
      <c r="H5403" s="1" t="str">
        <f t="shared" si="1039"/>
        <v>20220925</v>
      </c>
      <c r="I5403" s="1" t="str">
        <f>"135948"</f>
        <v>135948</v>
      </c>
      <c r="J5403" s="1" t="s">
        <v>34</v>
      </c>
      <c r="K5403" s="1" t="s">
        <v>34</v>
      </c>
      <c r="L5403" s="1" t="str">
        <f t="shared" si="1041"/>
        <v>20220925</v>
      </c>
      <c r="M5403" s="1" t="str">
        <f>"140355"</f>
        <v>140355</v>
      </c>
      <c r="N5403" s="1" t="s">
        <v>73</v>
      </c>
      <c r="O5403" s="1" t="s">
        <v>28</v>
      </c>
      <c r="P5403" s="1" t="s">
        <v>55</v>
      </c>
      <c r="Q5403" s="1">
        <v>13</v>
      </c>
      <c r="R5403" s="1">
        <v>13</v>
      </c>
      <c r="S5403" s="1">
        <v>0</v>
      </c>
      <c r="T5403" s="1">
        <v>0</v>
      </c>
      <c r="U5403" s="1">
        <v>0</v>
      </c>
      <c r="V5403" s="1" t="str">
        <f t="shared" si="1042"/>
        <v>里程返程</v>
      </c>
      <c r="W5403" s="1" t="str">
        <f>"0020"</f>
        <v>0020</v>
      </c>
      <c r="X5403" s="1" t="s">
        <v>29</v>
      </c>
    </row>
    <row r="5404" spans="1:24" x14ac:dyDescent="0.3">
      <c r="A5404" s="1" t="str">
        <f t="shared" si="1037"/>
        <v>59828</v>
      </c>
      <c r="B5404" s="1" t="s">
        <v>23</v>
      </c>
      <c r="C5404" s="1" t="s">
        <v>24</v>
      </c>
      <c r="D5404" s="1" t="str">
        <f t="shared" si="1040"/>
        <v>9803</v>
      </c>
      <c r="E5404" s="1" t="s">
        <v>32</v>
      </c>
      <c r="F5404" s="1" t="str">
        <f>"1036106037"</f>
        <v>1036106037</v>
      </c>
      <c r="G5404" s="1" t="s">
        <v>33</v>
      </c>
      <c r="H5404" s="1" t="str">
        <f t="shared" si="1039"/>
        <v>20220925</v>
      </c>
      <c r="I5404" s="1" t="str">
        <f>"140003"</f>
        <v>140003</v>
      </c>
      <c r="J5404" s="1" t="s">
        <v>34</v>
      </c>
      <c r="K5404" s="1" t="s">
        <v>34</v>
      </c>
      <c r="L5404" s="1" t="str">
        <f t="shared" si="1041"/>
        <v>20220925</v>
      </c>
      <c r="M5404" s="1" t="str">
        <f>"140417"</f>
        <v>140417</v>
      </c>
      <c r="N5404" s="1" t="s">
        <v>73</v>
      </c>
      <c r="O5404" s="1" t="s">
        <v>28</v>
      </c>
      <c r="P5404" s="1" t="s">
        <v>55</v>
      </c>
      <c r="Q5404" s="1">
        <v>25</v>
      </c>
      <c r="R5404" s="1">
        <v>25</v>
      </c>
      <c r="S5404" s="1">
        <v>0</v>
      </c>
      <c r="T5404" s="1">
        <v>0</v>
      </c>
      <c r="U5404" s="1">
        <v>0</v>
      </c>
      <c r="V5404" s="1" t="str">
        <f t="shared" si="1042"/>
        <v>里程返程</v>
      </c>
      <c r="W5404" s="1" t="str">
        <f>"1420"</f>
        <v>1420</v>
      </c>
      <c r="X5404" s="1" t="s">
        <v>35</v>
      </c>
    </row>
    <row r="5405" spans="1:24" x14ac:dyDescent="0.3">
      <c r="A5405" s="1" t="str">
        <f t="shared" si="1037"/>
        <v>59828</v>
      </c>
      <c r="B5405" s="1" t="s">
        <v>23</v>
      </c>
      <c r="C5405" s="1" t="s">
        <v>24</v>
      </c>
      <c r="D5405" s="1" t="str">
        <f t="shared" si="1040"/>
        <v>9803</v>
      </c>
      <c r="E5405" s="1" t="s">
        <v>32</v>
      </c>
      <c r="F5405" s="1" t="str">
        <f>"1057272357"</f>
        <v>1057272357</v>
      </c>
      <c r="G5405" s="1" t="s">
        <v>33</v>
      </c>
      <c r="H5405" s="1" t="str">
        <f t="shared" si="1039"/>
        <v>20220925</v>
      </c>
      <c r="I5405" s="1" t="str">
        <f>"140017"</f>
        <v>140017</v>
      </c>
      <c r="J5405" s="1" t="s">
        <v>34</v>
      </c>
      <c r="K5405" s="1" t="s">
        <v>34</v>
      </c>
      <c r="L5405" s="1" t="str">
        <f t="shared" si="1041"/>
        <v>20220925</v>
      </c>
      <c r="M5405" s="1" t="str">
        <f>"140412"</f>
        <v>140412</v>
      </c>
      <c r="N5405" s="1" t="s">
        <v>73</v>
      </c>
      <c r="O5405" s="1" t="s">
        <v>28</v>
      </c>
      <c r="P5405" s="1" t="s">
        <v>55</v>
      </c>
      <c r="Q5405" s="1">
        <v>25</v>
      </c>
      <c r="R5405" s="1">
        <v>25</v>
      </c>
      <c r="S5405" s="1">
        <v>0</v>
      </c>
      <c r="T5405" s="1">
        <v>0</v>
      </c>
      <c r="U5405" s="1">
        <v>0</v>
      </c>
      <c r="V5405" s="1" t="str">
        <f t="shared" si="1042"/>
        <v>里程返程</v>
      </c>
      <c r="W5405" s="1" t="str">
        <f>"1420"</f>
        <v>1420</v>
      </c>
      <c r="X5405" s="1" t="s">
        <v>35</v>
      </c>
    </row>
    <row r="5406" spans="1:24" x14ac:dyDescent="0.3">
      <c r="A5406" s="1" t="str">
        <f t="shared" si="1037"/>
        <v>59828</v>
      </c>
      <c r="B5406" s="1" t="s">
        <v>23</v>
      </c>
      <c r="C5406" s="1" t="s">
        <v>24</v>
      </c>
      <c r="D5406" s="1" t="str">
        <f t="shared" si="1040"/>
        <v>9803</v>
      </c>
      <c r="E5406" s="1" t="s">
        <v>32</v>
      </c>
      <c r="F5406" s="1" t="str">
        <f>"32E4D00107880400C818002000000015"</f>
        <v>32E4D00107880400C818002000000015</v>
      </c>
      <c r="G5406" s="1" t="s">
        <v>58</v>
      </c>
      <c r="H5406" s="1" t="str">
        <f t="shared" si="1039"/>
        <v>20220925</v>
      </c>
      <c r="I5406" s="1" t="str">
        <f>"140710"</f>
        <v>140710</v>
      </c>
      <c r="J5406" s="1" t="s">
        <v>87</v>
      </c>
      <c r="K5406" s="1" t="s">
        <v>28</v>
      </c>
      <c r="L5406" s="1" t="str">
        <f t="shared" si="1041"/>
        <v>20220925</v>
      </c>
      <c r="M5406" s="1" t="str">
        <f>"141417"</f>
        <v>141417</v>
      </c>
      <c r="N5406" s="1" t="s">
        <v>46</v>
      </c>
      <c r="O5406" s="1" t="s">
        <v>28</v>
      </c>
      <c r="P5406" s="1" t="s">
        <v>55</v>
      </c>
      <c r="Q5406" s="1">
        <v>25</v>
      </c>
      <c r="R5406" s="1">
        <v>25</v>
      </c>
      <c r="S5406" s="1">
        <v>0</v>
      </c>
      <c r="T5406" s="1">
        <v>0</v>
      </c>
      <c r="U5406" s="1">
        <v>0</v>
      </c>
      <c r="V5406" s="1" t="str">
        <f t="shared" si="1042"/>
        <v>里程返程</v>
      </c>
      <c r="W5406" s="1" t="str">
        <f>"0020"</f>
        <v>0020</v>
      </c>
      <c r="X5406" s="1" t="s">
        <v>29</v>
      </c>
    </row>
    <row r="5407" spans="1:24" x14ac:dyDescent="0.3">
      <c r="A5407" s="1" t="str">
        <f t="shared" si="1037"/>
        <v>59828</v>
      </c>
      <c r="B5407" s="1" t="s">
        <v>23</v>
      </c>
      <c r="C5407" s="1" t="s">
        <v>24</v>
      </c>
      <c r="D5407" s="1" t="str">
        <f>"9805"</f>
        <v>9805</v>
      </c>
      <c r="E5407" s="1" t="s">
        <v>57</v>
      </c>
      <c r="F5407" s="1" t="str">
        <f>"1031215125"</f>
        <v>1031215125</v>
      </c>
      <c r="G5407" s="1" t="s">
        <v>33</v>
      </c>
      <c r="H5407" s="1" t="str">
        <f t="shared" si="1039"/>
        <v>20220925</v>
      </c>
      <c r="I5407" s="1" t="str">
        <f>"151757"</f>
        <v>151757</v>
      </c>
      <c r="J5407" s="1" t="s">
        <v>28</v>
      </c>
      <c r="K5407" s="1" t="s">
        <v>28</v>
      </c>
      <c r="L5407" s="1" t="str">
        <f t="shared" si="1041"/>
        <v>20220925</v>
      </c>
      <c r="M5407" s="1" t="str">
        <f>"153823"</f>
        <v>153823</v>
      </c>
      <c r="N5407" s="1" t="s">
        <v>52</v>
      </c>
      <c r="O5407" s="1" t="s">
        <v>52</v>
      </c>
      <c r="P5407" s="1" t="s">
        <v>55</v>
      </c>
      <c r="Q5407" s="1">
        <v>25</v>
      </c>
      <c r="R5407" s="1">
        <v>25</v>
      </c>
      <c r="S5407" s="1">
        <v>0</v>
      </c>
      <c r="T5407" s="1">
        <v>0</v>
      </c>
      <c r="U5407" s="1">
        <v>0</v>
      </c>
      <c r="V5407" s="1" t="str">
        <f>"里程去程"</f>
        <v>里程去程</v>
      </c>
      <c r="W5407" s="1" t="str">
        <f>"0e20"</f>
        <v>0e20</v>
      </c>
      <c r="X5407" s="1" t="s">
        <v>35</v>
      </c>
    </row>
    <row r="5408" spans="1:24" x14ac:dyDescent="0.3">
      <c r="A5408" s="1" t="str">
        <f t="shared" si="1037"/>
        <v>59828</v>
      </c>
      <c r="B5408" s="1" t="s">
        <v>23</v>
      </c>
      <c r="C5408" s="1" t="s">
        <v>24</v>
      </c>
      <c r="D5408" s="1" t="str">
        <f>"9805"</f>
        <v>9805</v>
      </c>
      <c r="E5408" s="1" t="s">
        <v>57</v>
      </c>
      <c r="F5408" s="1" t="str">
        <f>"12D7401693880400C814002000000019"</f>
        <v>12D7401693880400C814002000000019</v>
      </c>
      <c r="G5408" s="1" t="s">
        <v>59</v>
      </c>
      <c r="H5408" s="1" t="str">
        <f t="shared" si="1039"/>
        <v>20220925</v>
      </c>
      <c r="I5408" s="1" t="str">
        <f>"151803"</f>
        <v>151803</v>
      </c>
      <c r="J5408" s="1" t="s">
        <v>28</v>
      </c>
      <c r="K5408" s="1" t="s">
        <v>28</v>
      </c>
      <c r="L5408" s="1" t="str">
        <f t="shared" si="1041"/>
        <v>20220925</v>
      </c>
      <c r="M5408" s="1" t="str">
        <f>"153828"</f>
        <v>153828</v>
      </c>
      <c r="N5408" s="1" t="s">
        <v>52</v>
      </c>
      <c r="O5408" s="1" t="s">
        <v>52</v>
      </c>
      <c r="P5408" s="1" t="s">
        <v>55</v>
      </c>
      <c r="Q5408" s="1">
        <v>25</v>
      </c>
      <c r="R5408" s="1">
        <v>25</v>
      </c>
      <c r="S5408" s="1">
        <v>0</v>
      </c>
      <c r="T5408" s="1">
        <v>0</v>
      </c>
      <c r="U5408" s="1">
        <v>0</v>
      </c>
      <c r="V5408" s="1" t="str">
        <f>"里程去程"</f>
        <v>里程去程</v>
      </c>
      <c r="W5408" s="1" t="str">
        <f>"0020"</f>
        <v>0020</v>
      </c>
      <c r="X5408" s="1" t="s">
        <v>29</v>
      </c>
    </row>
    <row r="5409" spans="1:24" x14ac:dyDescent="0.3">
      <c r="A5409" s="1" t="str">
        <f t="shared" si="1037"/>
        <v>59828</v>
      </c>
      <c r="B5409" s="1" t="s">
        <v>23</v>
      </c>
      <c r="C5409" s="1" t="s">
        <v>24</v>
      </c>
      <c r="D5409" s="1" t="str">
        <f t="shared" ref="D5409:D5417" si="1043">"9803"</f>
        <v>9803</v>
      </c>
      <c r="E5409" s="1" t="s">
        <v>32</v>
      </c>
      <c r="F5409" s="1" t="str">
        <f>"717291924"</f>
        <v>717291924</v>
      </c>
      <c r="G5409" s="1" t="s">
        <v>33</v>
      </c>
      <c r="H5409" s="1" t="str">
        <f t="shared" si="1039"/>
        <v>20220925</v>
      </c>
      <c r="I5409" s="1" t="str">
        <f>"180645"</f>
        <v>180645</v>
      </c>
      <c r="J5409" s="1" t="s">
        <v>34</v>
      </c>
      <c r="K5409" s="1" t="s">
        <v>34</v>
      </c>
      <c r="L5409" s="1" t="str">
        <f t="shared" si="1041"/>
        <v>20220925</v>
      </c>
      <c r="M5409" s="1" t="str">
        <f>"183824"</f>
        <v>183824</v>
      </c>
      <c r="N5409" s="1" t="s">
        <v>28</v>
      </c>
      <c r="O5409" s="1" t="s">
        <v>28</v>
      </c>
      <c r="P5409" s="1" t="s">
        <v>55</v>
      </c>
      <c r="Q5409" s="1">
        <v>25</v>
      </c>
      <c r="R5409" s="1">
        <v>25</v>
      </c>
      <c r="S5409" s="1">
        <v>0</v>
      </c>
      <c r="T5409" s="1">
        <v>0</v>
      </c>
      <c r="U5409" s="1">
        <v>0</v>
      </c>
      <c r="V5409" s="1" t="str">
        <f t="shared" ref="V5409:V5418" si="1044">"里程返程"</f>
        <v>里程返程</v>
      </c>
      <c r="W5409" s="1" t="str">
        <f>"2020"</f>
        <v>2020</v>
      </c>
      <c r="X5409" s="1" t="s">
        <v>35</v>
      </c>
    </row>
    <row r="5410" spans="1:24" x14ac:dyDescent="0.3">
      <c r="A5410" s="1" t="str">
        <f t="shared" si="1037"/>
        <v>59828</v>
      </c>
      <c r="B5410" s="1" t="s">
        <v>23</v>
      </c>
      <c r="C5410" s="1" t="s">
        <v>24</v>
      </c>
      <c r="D5410" s="1" t="str">
        <f t="shared" si="1043"/>
        <v>9803</v>
      </c>
      <c r="E5410" s="1" t="s">
        <v>32</v>
      </c>
      <c r="F5410" s="1" t="str">
        <f>"1004876485"</f>
        <v>1004876485</v>
      </c>
      <c r="G5410" s="1" t="s">
        <v>33</v>
      </c>
      <c r="H5410" s="1" t="str">
        <f t="shared" si="1039"/>
        <v>20220925</v>
      </c>
      <c r="I5410" s="1" t="str">
        <f>"180648"</f>
        <v>180648</v>
      </c>
      <c r="J5410" s="1" t="s">
        <v>34</v>
      </c>
      <c r="K5410" s="1" t="s">
        <v>34</v>
      </c>
      <c r="L5410" s="1" t="str">
        <f t="shared" si="1041"/>
        <v>20220925</v>
      </c>
      <c r="M5410" s="1" t="str">
        <f>"183827"</f>
        <v>183827</v>
      </c>
      <c r="N5410" s="1" t="s">
        <v>28</v>
      </c>
      <c r="O5410" s="1" t="s">
        <v>28</v>
      </c>
      <c r="P5410" s="1" t="s">
        <v>55</v>
      </c>
      <c r="Q5410" s="1">
        <v>25</v>
      </c>
      <c r="R5410" s="1">
        <v>25</v>
      </c>
      <c r="S5410" s="1">
        <v>0</v>
      </c>
      <c r="T5410" s="1">
        <v>0</v>
      </c>
      <c r="U5410" s="1">
        <v>0</v>
      </c>
      <c r="V5410" s="1" t="str">
        <f t="shared" si="1044"/>
        <v>里程返程</v>
      </c>
      <c r="W5410" s="1" t="str">
        <f>"2020"</f>
        <v>2020</v>
      </c>
      <c r="X5410" s="1" t="s">
        <v>35</v>
      </c>
    </row>
    <row r="5411" spans="1:24" x14ac:dyDescent="0.3">
      <c r="A5411" s="1" t="str">
        <f t="shared" si="1037"/>
        <v>59828</v>
      </c>
      <c r="B5411" s="1" t="s">
        <v>23</v>
      </c>
      <c r="C5411" s="1" t="s">
        <v>24</v>
      </c>
      <c r="D5411" s="1" t="str">
        <f t="shared" si="1043"/>
        <v>9803</v>
      </c>
      <c r="E5411" s="1" t="s">
        <v>32</v>
      </c>
      <c r="F5411" s="1" t="str">
        <f>"1295882049"</f>
        <v>1295882049</v>
      </c>
      <c r="G5411" s="1" t="s">
        <v>33</v>
      </c>
      <c r="H5411" s="1" t="str">
        <f t="shared" si="1039"/>
        <v>20220925</v>
      </c>
      <c r="I5411" s="1" t="str">
        <f>"180652"</f>
        <v>180652</v>
      </c>
      <c r="J5411" s="1" t="s">
        <v>34</v>
      </c>
      <c r="K5411" s="1" t="s">
        <v>34</v>
      </c>
      <c r="L5411" s="1" t="str">
        <f t="shared" si="1041"/>
        <v>20220925</v>
      </c>
      <c r="M5411" s="1" t="str">
        <f>"183727"</f>
        <v>183727</v>
      </c>
      <c r="N5411" s="1" t="s">
        <v>95</v>
      </c>
      <c r="O5411" s="1" t="s">
        <v>28</v>
      </c>
      <c r="P5411" s="1" t="s">
        <v>55</v>
      </c>
      <c r="Q5411" s="1">
        <v>25</v>
      </c>
      <c r="R5411" s="1">
        <v>25</v>
      </c>
      <c r="S5411" s="1">
        <v>0</v>
      </c>
      <c r="T5411" s="1">
        <v>0</v>
      </c>
      <c r="U5411" s="1">
        <v>0</v>
      </c>
      <c r="V5411" s="1" t="str">
        <f t="shared" si="1044"/>
        <v>里程返程</v>
      </c>
      <c r="W5411" s="1" t="str">
        <f>"2020"</f>
        <v>2020</v>
      </c>
      <c r="X5411" s="1" t="s">
        <v>35</v>
      </c>
    </row>
    <row r="5412" spans="1:24" x14ac:dyDescent="0.3">
      <c r="A5412" s="1" t="str">
        <f t="shared" si="1037"/>
        <v>59828</v>
      </c>
      <c r="B5412" s="1" t="s">
        <v>23</v>
      </c>
      <c r="C5412" s="1" t="s">
        <v>24</v>
      </c>
      <c r="D5412" s="1" t="str">
        <f t="shared" si="1043"/>
        <v>9803</v>
      </c>
      <c r="E5412" s="1" t="s">
        <v>32</v>
      </c>
      <c r="F5412" s="1" t="str">
        <f>"1419110224"</f>
        <v>1419110224</v>
      </c>
      <c r="G5412" s="1" t="s">
        <v>33</v>
      </c>
      <c r="H5412" s="1" t="str">
        <f t="shared" si="1039"/>
        <v>20220925</v>
      </c>
      <c r="I5412" s="1" t="str">
        <f>"180656"</f>
        <v>180656</v>
      </c>
      <c r="J5412" s="1" t="s">
        <v>34</v>
      </c>
      <c r="K5412" s="1" t="s">
        <v>34</v>
      </c>
      <c r="L5412" s="1" t="str">
        <f t="shared" si="1041"/>
        <v>20220925</v>
      </c>
      <c r="M5412" s="1" t="str">
        <f>"183725"</f>
        <v>183725</v>
      </c>
      <c r="N5412" s="1" t="s">
        <v>95</v>
      </c>
      <c r="O5412" s="1" t="s">
        <v>28</v>
      </c>
      <c r="P5412" s="1" t="s">
        <v>55</v>
      </c>
      <c r="Q5412" s="1">
        <v>25</v>
      </c>
      <c r="R5412" s="1">
        <v>25</v>
      </c>
      <c r="S5412" s="1">
        <v>0</v>
      </c>
      <c r="T5412" s="1">
        <v>0</v>
      </c>
      <c r="U5412" s="1">
        <v>0</v>
      </c>
      <c r="V5412" s="1" t="str">
        <f t="shared" si="1044"/>
        <v>里程返程</v>
      </c>
      <c r="W5412" s="1" t="str">
        <f>"2020"</f>
        <v>2020</v>
      </c>
      <c r="X5412" s="1" t="s">
        <v>35</v>
      </c>
    </row>
    <row r="5413" spans="1:24" x14ac:dyDescent="0.3">
      <c r="A5413" s="1" t="str">
        <f t="shared" si="1037"/>
        <v>59828</v>
      </c>
      <c r="B5413" s="1" t="s">
        <v>23</v>
      </c>
      <c r="C5413" s="1" t="s">
        <v>24</v>
      </c>
      <c r="D5413" s="1" t="str">
        <f t="shared" si="1043"/>
        <v>9803</v>
      </c>
      <c r="E5413" s="1" t="s">
        <v>32</v>
      </c>
      <c r="F5413" s="1" t="str">
        <f>"753099889"</f>
        <v>753099889</v>
      </c>
      <c r="G5413" s="1" t="s">
        <v>33</v>
      </c>
      <c r="H5413" s="1" t="str">
        <f t="shared" si="1039"/>
        <v>20220925</v>
      </c>
      <c r="I5413" s="1" t="str">
        <f>"180659"</f>
        <v>180659</v>
      </c>
      <c r="J5413" s="1" t="s">
        <v>34</v>
      </c>
      <c r="K5413" s="1" t="s">
        <v>34</v>
      </c>
      <c r="L5413" s="1" t="str">
        <f t="shared" si="1041"/>
        <v>20220925</v>
      </c>
      <c r="M5413" s="1" t="str">
        <f>"183839"</f>
        <v>183839</v>
      </c>
      <c r="N5413" s="1" t="s">
        <v>28</v>
      </c>
      <c r="O5413" s="1" t="s">
        <v>28</v>
      </c>
      <c r="P5413" s="1" t="s">
        <v>55</v>
      </c>
      <c r="Q5413" s="1">
        <v>25</v>
      </c>
      <c r="R5413" s="1">
        <v>25</v>
      </c>
      <c r="S5413" s="1">
        <v>0</v>
      </c>
      <c r="T5413" s="1">
        <v>0</v>
      </c>
      <c r="U5413" s="1">
        <v>0</v>
      </c>
      <c r="V5413" s="1" t="str">
        <f t="shared" si="1044"/>
        <v>里程返程</v>
      </c>
      <c r="W5413" s="1" t="str">
        <f>"0820"</f>
        <v>0820</v>
      </c>
      <c r="X5413" s="1" t="s">
        <v>35</v>
      </c>
    </row>
    <row r="5414" spans="1:24" x14ac:dyDescent="0.3">
      <c r="A5414" s="1" t="str">
        <f t="shared" si="1037"/>
        <v>59828</v>
      </c>
      <c r="B5414" s="1" t="s">
        <v>23</v>
      </c>
      <c r="C5414" s="1" t="s">
        <v>24</v>
      </c>
      <c r="D5414" s="1" t="str">
        <f t="shared" si="1043"/>
        <v>9803</v>
      </c>
      <c r="E5414" s="1" t="s">
        <v>32</v>
      </c>
      <c r="F5414" s="1" t="str">
        <f>"98024757"</f>
        <v>98024757</v>
      </c>
      <c r="G5414" s="1" t="s">
        <v>33</v>
      </c>
      <c r="H5414" s="1" t="str">
        <f t="shared" si="1039"/>
        <v>20220925</v>
      </c>
      <c r="I5414" s="1" t="str">
        <f>"180704"</f>
        <v>180704</v>
      </c>
      <c r="J5414" s="1" t="s">
        <v>34</v>
      </c>
      <c r="K5414" s="1" t="s">
        <v>34</v>
      </c>
      <c r="L5414" s="1" t="str">
        <f t="shared" si="1041"/>
        <v>20220925</v>
      </c>
      <c r="M5414" s="1" t="str">
        <f>"183833"</f>
        <v>183833</v>
      </c>
      <c r="N5414" s="1" t="s">
        <v>28</v>
      </c>
      <c r="O5414" s="1" t="s">
        <v>28</v>
      </c>
      <c r="P5414" s="1" t="s">
        <v>55</v>
      </c>
      <c r="Q5414" s="1">
        <v>25</v>
      </c>
      <c r="R5414" s="1">
        <v>25</v>
      </c>
      <c r="S5414" s="1">
        <v>0</v>
      </c>
      <c r="T5414" s="1">
        <v>0</v>
      </c>
      <c r="U5414" s="1">
        <v>0</v>
      </c>
      <c r="V5414" s="1" t="str">
        <f t="shared" si="1044"/>
        <v>里程返程</v>
      </c>
      <c r="W5414" s="1" t="str">
        <f>"0820"</f>
        <v>0820</v>
      </c>
      <c r="X5414" s="1" t="s">
        <v>35</v>
      </c>
    </row>
    <row r="5415" spans="1:24" x14ac:dyDescent="0.3">
      <c r="A5415" s="1" t="str">
        <f t="shared" si="1037"/>
        <v>59828</v>
      </c>
      <c r="B5415" s="1" t="s">
        <v>23</v>
      </c>
      <c r="C5415" s="1" t="s">
        <v>24</v>
      </c>
      <c r="D5415" s="1" t="str">
        <f t="shared" si="1043"/>
        <v>9803</v>
      </c>
      <c r="E5415" s="1" t="s">
        <v>32</v>
      </c>
      <c r="F5415" s="1" t="str">
        <f>"E2D066154128040080CEDA1449814018"</f>
        <v>E2D066154128040080CEDA1449814018</v>
      </c>
      <c r="G5415" s="1" t="s">
        <v>59</v>
      </c>
      <c r="H5415" s="1" t="str">
        <f t="shared" si="1039"/>
        <v>20220925</v>
      </c>
      <c r="I5415" s="1" t="str">
        <f>"180706"</f>
        <v>180706</v>
      </c>
      <c r="J5415" s="1" t="s">
        <v>34</v>
      </c>
      <c r="K5415" s="1" t="s">
        <v>34</v>
      </c>
      <c r="L5415" s="1" t="str">
        <f t="shared" si="1041"/>
        <v>20220925</v>
      </c>
      <c r="M5415" s="1" t="str">
        <f>"183836"</f>
        <v>183836</v>
      </c>
      <c r="N5415" s="1" t="s">
        <v>28</v>
      </c>
      <c r="O5415" s="1" t="s">
        <v>28</v>
      </c>
      <c r="P5415" s="1" t="s">
        <v>55</v>
      </c>
      <c r="Q5415" s="1">
        <v>25</v>
      </c>
      <c r="R5415" s="1">
        <v>25</v>
      </c>
      <c r="S5415" s="1">
        <v>0</v>
      </c>
      <c r="T5415" s="1">
        <v>0</v>
      </c>
      <c r="U5415" s="1">
        <v>0</v>
      </c>
      <c r="V5415" s="1" t="str">
        <f t="shared" si="1044"/>
        <v>里程返程</v>
      </c>
      <c r="W5415" s="1" t="str">
        <f>"0020"</f>
        <v>0020</v>
      </c>
      <c r="X5415" s="1" t="s">
        <v>29</v>
      </c>
    </row>
    <row r="5416" spans="1:24" x14ac:dyDescent="0.3">
      <c r="A5416" s="1" t="str">
        <f t="shared" si="1037"/>
        <v>59828</v>
      </c>
      <c r="B5416" s="1" t="s">
        <v>23</v>
      </c>
      <c r="C5416" s="1" t="s">
        <v>24</v>
      </c>
      <c r="D5416" s="1" t="str">
        <f t="shared" si="1043"/>
        <v>9803</v>
      </c>
      <c r="E5416" s="1" t="s">
        <v>32</v>
      </c>
      <c r="F5416" s="1" t="str">
        <f>"91EDF35AD52804001C00000000000000"</f>
        <v>91EDF35AD52804001C00000000000000</v>
      </c>
      <c r="G5416" s="1" t="s">
        <v>58</v>
      </c>
      <c r="H5416" s="1" t="str">
        <f t="shared" si="1039"/>
        <v>20220925</v>
      </c>
      <c r="I5416" s="1" t="str">
        <f>"180711"</f>
        <v>180711</v>
      </c>
      <c r="J5416" s="1" t="s">
        <v>34</v>
      </c>
      <c r="K5416" s="1" t="s">
        <v>34</v>
      </c>
      <c r="L5416" s="1" t="str">
        <f t="shared" si="1041"/>
        <v>20220925</v>
      </c>
      <c r="M5416" s="1" t="str">
        <f>"183829"</f>
        <v>183829</v>
      </c>
      <c r="N5416" s="1" t="s">
        <v>28</v>
      </c>
      <c r="O5416" s="1" t="s">
        <v>28</v>
      </c>
      <c r="P5416" s="1" t="s">
        <v>55</v>
      </c>
      <c r="Q5416" s="1">
        <v>25</v>
      </c>
      <c r="R5416" s="1">
        <v>25</v>
      </c>
      <c r="S5416" s="1">
        <v>0</v>
      </c>
      <c r="T5416" s="1">
        <v>0</v>
      </c>
      <c r="U5416" s="1">
        <v>0</v>
      </c>
      <c r="V5416" s="1" t="str">
        <f t="shared" si="1044"/>
        <v>里程返程</v>
      </c>
      <c r="W5416" s="1" t="str">
        <f>"0020"</f>
        <v>0020</v>
      </c>
      <c r="X5416" s="1" t="s">
        <v>29</v>
      </c>
    </row>
    <row r="5417" spans="1:24" x14ac:dyDescent="0.3">
      <c r="A5417" s="1" t="str">
        <f t="shared" si="1037"/>
        <v>59828</v>
      </c>
      <c r="B5417" s="1" t="s">
        <v>23</v>
      </c>
      <c r="C5417" s="1" t="s">
        <v>24</v>
      </c>
      <c r="D5417" s="1" t="str">
        <f t="shared" si="1043"/>
        <v>9803</v>
      </c>
      <c r="E5417" s="1" t="s">
        <v>32</v>
      </c>
      <c r="F5417" s="1" t="str">
        <f>"7511191258002107"</f>
        <v>7511191258002107</v>
      </c>
      <c r="G5417" s="1" t="s">
        <v>33</v>
      </c>
      <c r="H5417" s="1" t="str">
        <f t="shared" si="1039"/>
        <v>20220925</v>
      </c>
      <c r="I5417" s="1" t="str">
        <f>"180724"</f>
        <v>180724</v>
      </c>
      <c r="J5417" s="1" t="s">
        <v>34</v>
      </c>
      <c r="K5417" s="1" t="s">
        <v>34</v>
      </c>
      <c r="L5417" s="1" t="str">
        <f t="shared" si="1041"/>
        <v>20220925</v>
      </c>
      <c r="M5417" s="1" t="str">
        <f>"183848"</f>
        <v>183848</v>
      </c>
      <c r="N5417" s="1" t="s">
        <v>28</v>
      </c>
      <c r="O5417" s="1" t="s">
        <v>28</v>
      </c>
      <c r="P5417" s="1" t="s">
        <v>55</v>
      </c>
      <c r="Q5417" s="1">
        <v>25</v>
      </c>
      <c r="R5417" s="1">
        <v>25</v>
      </c>
      <c r="S5417" s="1">
        <v>0</v>
      </c>
      <c r="T5417" s="1">
        <v>0</v>
      </c>
      <c r="U5417" s="1">
        <v>0</v>
      </c>
      <c r="V5417" s="1" t="str">
        <f t="shared" si="1044"/>
        <v>里程返程</v>
      </c>
      <c r="W5417" s="1" t="str">
        <f>"023B"</f>
        <v>023B</v>
      </c>
      <c r="X5417" s="1" t="s">
        <v>109</v>
      </c>
    </row>
    <row r="5418" spans="1:24" x14ac:dyDescent="0.3">
      <c r="A5418" s="1" t="str">
        <f t="shared" ref="A5418:A5448" si="1045">"59820"</f>
        <v>59820</v>
      </c>
      <c r="B5418" s="1" t="s">
        <v>53</v>
      </c>
      <c r="C5418" s="1" t="s">
        <v>54</v>
      </c>
      <c r="D5418" s="1" t="str">
        <f t="shared" ref="D5418:D5428" si="1046">"9801"</f>
        <v>9801</v>
      </c>
      <c r="E5418" s="1" t="s">
        <v>25</v>
      </c>
      <c r="F5418" s="1" t="str">
        <f>"03A6A9454988040048B994D749703809"</f>
        <v>03A6A9454988040048B994D749703809</v>
      </c>
      <c r="G5418" s="1" t="s">
        <v>64</v>
      </c>
      <c r="H5418" s="1" t="str">
        <f t="shared" ref="H5418:H5449" si="1047">"20220926"</f>
        <v>20220926</v>
      </c>
      <c r="I5418" s="1" t="str">
        <f>"085115"</f>
        <v>085115</v>
      </c>
      <c r="J5418" s="1" t="s">
        <v>28</v>
      </c>
      <c r="K5418" s="1" t="s">
        <v>28</v>
      </c>
      <c r="L5418" s="1" t="str">
        <f t="shared" ref="L5418:L5449" si="1048">"20220926"</f>
        <v>20220926</v>
      </c>
      <c r="M5418" s="1" t="str">
        <f>"090455"</f>
        <v>090455</v>
      </c>
      <c r="N5418" s="1" t="s">
        <v>78</v>
      </c>
      <c r="O5418" s="1" t="s">
        <v>52</v>
      </c>
      <c r="P5418" s="1" t="s">
        <v>55</v>
      </c>
      <c r="Q5418" s="1">
        <v>13</v>
      </c>
      <c r="R5418" s="1">
        <v>13</v>
      </c>
      <c r="S5418" s="1">
        <v>0</v>
      </c>
      <c r="T5418" s="1">
        <v>0</v>
      </c>
      <c r="U5418" s="1">
        <v>0</v>
      </c>
      <c r="V5418" s="1" t="str">
        <f t="shared" si="1044"/>
        <v>里程返程</v>
      </c>
      <c r="W5418" s="1" t="str">
        <f>"0020"</f>
        <v>0020</v>
      </c>
      <c r="X5418" s="1" t="s">
        <v>29</v>
      </c>
    </row>
    <row r="5419" spans="1:24" x14ac:dyDescent="0.3">
      <c r="A5419" s="1" t="str">
        <f t="shared" si="1045"/>
        <v>59820</v>
      </c>
      <c r="B5419" s="1" t="s">
        <v>53</v>
      </c>
      <c r="C5419" s="1" t="s">
        <v>54</v>
      </c>
      <c r="D5419" s="1" t="str">
        <f t="shared" si="1046"/>
        <v>9801</v>
      </c>
      <c r="E5419" s="1" t="s">
        <v>25</v>
      </c>
      <c r="F5419" s="1" t="str">
        <f>"288567665"</f>
        <v>288567665</v>
      </c>
      <c r="G5419" s="1" t="s">
        <v>33</v>
      </c>
      <c r="H5419" s="1" t="str">
        <f t="shared" si="1047"/>
        <v>20220926</v>
      </c>
      <c r="I5419" s="1" t="str">
        <f>"092840"</f>
        <v>092840</v>
      </c>
      <c r="J5419" s="1" t="s">
        <v>52</v>
      </c>
      <c r="K5419" s="1" t="s">
        <v>52</v>
      </c>
      <c r="L5419" s="1" t="str">
        <f t="shared" si="1048"/>
        <v>20220926</v>
      </c>
      <c r="M5419" s="1" t="str">
        <f>"093002"</f>
        <v>093002</v>
      </c>
      <c r="N5419" s="1" t="s">
        <v>60</v>
      </c>
      <c r="O5419" s="1" t="s">
        <v>52</v>
      </c>
      <c r="P5419" s="1" t="s">
        <v>55</v>
      </c>
      <c r="Q5419" s="1">
        <v>25</v>
      </c>
      <c r="R5419" s="1">
        <v>25</v>
      </c>
      <c r="S5419" s="1">
        <v>0</v>
      </c>
      <c r="T5419" s="1">
        <v>0</v>
      </c>
      <c r="U5419" s="1">
        <v>0</v>
      </c>
      <c r="V5419" s="1" t="str">
        <f>"里程去程"</f>
        <v>里程去程</v>
      </c>
      <c r="W5419" s="1" t="str">
        <f>"2120"</f>
        <v>2120</v>
      </c>
      <c r="X5419" s="1" t="s">
        <v>35</v>
      </c>
    </row>
    <row r="5420" spans="1:24" x14ac:dyDescent="0.3">
      <c r="A5420" s="1" t="str">
        <f t="shared" si="1045"/>
        <v>59820</v>
      </c>
      <c r="B5420" s="1" t="s">
        <v>53</v>
      </c>
      <c r="C5420" s="1" t="s">
        <v>54</v>
      </c>
      <c r="D5420" s="1" t="str">
        <f t="shared" si="1046"/>
        <v>9801</v>
      </c>
      <c r="E5420" s="1" t="s">
        <v>25</v>
      </c>
      <c r="F5420" s="1" t="str">
        <f>"2859287523"</f>
        <v>2859287523</v>
      </c>
      <c r="G5420" s="1" t="s">
        <v>33</v>
      </c>
      <c r="H5420" s="1" t="str">
        <f t="shared" si="1047"/>
        <v>20220926</v>
      </c>
      <c r="I5420" s="1" t="str">
        <f>"092843"</f>
        <v>092843</v>
      </c>
      <c r="J5420" s="1" t="s">
        <v>52</v>
      </c>
      <c r="K5420" s="1" t="s">
        <v>52</v>
      </c>
      <c r="L5420" s="1" t="str">
        <f t="shared" si="1048"/>
        <v>20220926</v>
      </c>
      <c r="M5420" s="1" t="str">
        <f>"093004"</f>
        <v>093004</v>
      </c>
      <c r="N5420" s="1" t="s">
        <v>60</v>
      </c>
      <c r="O5420" s="1" t="s">
        <v>52</v>
      </c>
      <c r="P5420" s="1" t="s">
        <v>55</v>
      </c>
      <c r="Q5420" s="1">
        <v>25</v>
      </c>
      <c r="R5420" s="1">
        <v>25</v>
      </c>
      <c r="S5420" s="1">
        <v>0</v>
      </c>
      <c r="T5420" s="1">
        <v>0</v>
      </c>
      <c r="U5420" s="1">
        <v>0</v>
      </c>
      <c r="V5420" s="1" t="str">
        <f>"里程去程"</f>
        <v>里程去程</v>
      </c>
      <c r="W5420" s="1" t="str">
        <f>"2120"</f>
        <v>2120</v>
      </c>
      <c r="X5420" s="1" t="s">
        <v>35</v>
      </c>
    </row>
    <row r="5421" spans="1:24" x14ac:dyDescent="0.3">
      <c r="A5421" s="1" t="str">
        <f t="shared" si="1045"/>
        <v>59820</v>
      </c>
      <c r="B5421" s="1" t="s">
        <v>53</v>
      </c>
      <c r="C5421" s="1" t="s">
        <v>54</v>
      </c>
      <c r="D5421" s="1" t="str">
        <f t="shared" si="1046"/>
        <v>9801</v>
      </c>
      <c r="E5421" s="1" t="s">
        <v>25</v>
      </c>
      <c r="F5421" s="1" t="str">
        <f>"2691632207"</f>
        <v>2691632207</v>
      </c>
      <c r="G5421" s="1" t="s">
        <v>33</v>
      </c>
      <c r="H5421" s="1" t="str">
        <f t="shared" si="1047"/>
        <v>20220926</v>
      </c>
      <c r="I5421" s="1" t="str">
        <f>"095056"</f>
        <v>095056</v>
      </c>
      <c r="J5421" s="1" t="s">
        <v>28</v>
      </c>
      <c r="K5421" s="1" t="s">
        <v>28</v>
      </c>
      <c r="L5421" s="1" t="str">
        <f t="shared" si="1048"/>
        <v>20220926</v>
      </c>
      <c r="M5421" s="1" t="str">
        <f>"102246"</f>
        <v>102246</v>
      </c>
      <c r="N5421" s="1" t="s">
        <v>52</v>
      </c>
      <c r="O5421" s="1" t="s">
        <v>52</v>
      </c>
      <c r="P5421" s="1" t="s">
        <v>55</v>
      </c>
      <c r="Q5421" s="1">
        <v>25</v>
      </c>
      <c r="R5421" s="1">
        <v>25</v>
      </c>
      <c r="S5421" s="1">
        <v>0</v>
      </c>
      <c r="T5421" s="1">
        <v>0</v>
      </c>
      <c r="U5421" s="1">
        <v>0</v>
      </c>
      <c r="V5421" s="1" t="str">
        <f t="shared" ref="V5421:V5428" si="1049">"里程返程"</f>
        <v>里程返程</v>
      </c>
      <c r="W5421" s="1" t="str">
        <f>"0120"</f>
        <v>0120</v>
      </c>
      <c r="X5421" s="1" t="s">
        <v>35</v>
      </c>
    </row>
    <row r="5422" spans="1:24" x14ac:dyDescent="0.3">
      <c r="A5422" s="1" t="str">
        <f t="shared" si="1045"/>
        <v>59820</v>
      </c>
      <c r="B5422" s="1" t="s">
        <v>53</v>
      </c>
      <c r="C5422" s="1" t="s">
        <v>54</v>
      </c>
      <c r="D5422" s="1" t="str">
        <f t="shared" si="1046"/>
        <v>9801</v>
      </c>
      <c r="E5422" s="1" t="s">
        <v>25</v>
      </c>
      <c r="F5422" s="1" t="str">
        <f>"848555937"</f>
        <v>848555937</v>
      </c>
      <c r="G5422" s="1" t="s">
        <v>33</v>
      </c>
      <c r="H5422" s="1" t="str">
        <f t="shared" si="1047"/>
        <v>20220926</v>
      </c>
      <c r="I5422" s="1" t="str">
        <f>"095059"</f>
        <v>095059</v>
      </c>
      <c r="J5422" s="1" t="s">
        <v>28</v>
      </c>
      <c r="K5422" s="1" t="s">
        <v>28</v>
      </c>
      <c r="L5422" s="1" t="str">
        <f t="shared" si="1048"/>
        <v>20220926</v>
      </c>
      <c r="M5422" s="1" t="str">
        <f>"102243"</f>
        <v>102243</v>
      </c>
      <c r="N5422" s="1" t="s">
        <v>52</v>
      </c>
      <c r="O5422" s="1" t="s">
        <v>52</v>
      </c>
      <c r="P5422" s="1" t="s">
        <v>55</v>
      </c>
      <c r="Q5422" s="1">
        <v>25</v>
      </c>
      <c r="R5422" s="1">
        <v>25</v>
      </c>
      <c r="S5422" s="1">
        <v>0</v>
      </c>
      <c r="T5422" s="1">
        <v>0</v>
      </c>
      <c r="U5422" s="1">
        <v>0</v>
      </c>
      <c r="V5422" s="1" t="str">
        <f t="shared" si="1049"/>
        <v>里程返程</v>
      </c>
      <c r="W5422" s="1" t="str">
        <f>"0120"</f>
        <v>0120</v>
      </c>
      <c r="X5422" s="1" t="s">
        <v>35</v>
      </c>
    </row>
    <row r="5423" spans="1:24" x14ac:dyDescent="0.3">
      <c r="A5423" s="1" t="str">
        <f t="shared" si="1045"/>
        <v>59820</v>
      </c>
      <c r="B5423" s="1" t="s">
        <v>53</v>
      </c>
      <c r="C5423" s="1" t="s">
        <v>54</v>
      </c>
      <c r="D5423" s="1" t="str">
        <f t="shared" si="1046"/>
        <v>9801</v>
      </c>
      <c r="E5423" s="1" t="s">
        <v>25</v>
      </c>
      <c r="F5423" s="1" t="str">
        <f>"1869833489"</f>
        <v>1869833489</v>
      </c>
      <c r="G5423" s="1" t="s">
        <v>33</v>
      </c>
      <c r="H5423" s="1" t="str">
        <f t="shared" si="1047"/>
        <v>20220926</v>
      </c>
      <c r="I5423" s="1" t="str">
        <f>"095106"</f>
        <v>095106</v>
      </c>
      <c r="J5423" s="1" t="s">
        <v>28</v>
      </c>
      <c r="K5423" s="1" t="s">
        <v>28</v>
      </c>
      <c r="L5423" s="1" t="str">
        <f t="shared" si="1048"/>
        <v>20220926</v>
      </c>
      <c r="M5423" s="1" t="str">
        <f>"102237"</f>
        <v>102237</v>
      </c>
      <c r="N5423" s="1" t="s">
        <v>52</v>
      </c>
      <c r="O5423" s="1" t="s">
        <v>52</v>
      </c>
      <c r="P5423" s="1" t="s">
        <v>55</v>
      </c>
      <c r="Q5423" s="1">
        <v>25</v>
      </c>
      <c r="R5423" s="1">
        <v>25</v>
      </c>
      <c r="S5423" s="1">
        <v>0</v>
      </c>
      <c r="T5423" s="1">
        <v>0</v>
      </c>
      <c r="U5423" s="1">
        <v>0</v>
      </c>
      <c r="V5423" s="1" t="str">
        <f t="shared" si="1049"/>
        <v>里程返程</v>
      </c>
      <c r="W5423" s="1" t="str">
        <f>"0120"</f>
        <v>0120</v>
      </c>
      <c r="X5423" s="1" t="s">
        <v>35</v>
      </c>
    </row>
    <row r="5424" spans="1:24" x14ac:dyDescent="0.3">
      <c r="A5424" s="1" t="str">
        <f t="shared" si="1045"/>
        <v>59820</v>
      </c>
      <c r="B5424" s="1" t="s">
        <v>53</v>
      </c>
      <c r="C5424" s="1" t="s">
        <v>54</v>
      </c>
      <c r="D5424" s="1" t="str">
        <f t="shared" si="1046"/>
        <v>9801</v>
      </c>
      <c r="E5424" s="1" t="s">
        <v>25</v>
      </c>
      <c r="F5424" s="1" t="str">
        <f>"261093809"</f>
        <v>261093809</v>
      </c>
      <c r="G5424" s="1" t="s">
        <v>33</v>
      </c>
      <c r="H5424" s="1" t="str">
        <f t="shared" si="1047"/>
        <v>20220926</v>
      </c>
      <c r="I5424" s="1" t="str">
        <f>"095119"</f>
        <v>095119</v>
      </c>
      <c r="J5424" s="1" t="s">
        <v>28</v>
      </c>
      <c r="K5424" s="1" t="s">
        <v>28</v>
      </c>
      <c r="L5424" s="1" t="str">
        <f t="shared" si="1048"/>
        <v>20220926</v>
      </c>
      <c r="M5424" s="1" t="str">
        <f>"102232"</f>
        <v>102232</v>
      </c>
      <c r="N5424" s="1" t="s">
        <v>52</v>
      </c>
      <c r="O5424" s="1" t="s">
        <v>52</v>
      </c>
      <c r="P5424" s="1" t="s">
        <v>55</v>
      </c>
      <c r="Q5424" s="1">
        <v>25</v>
      </c>
      <c r="R5424" s="1">
        <v>25</v>
      </c>
      <c r="S5424" s="1">
        <v>0</v>
      </c>
      <c r="T5424" s="1">
        <v>0</v>
      </c>
      <c r="U5424" s="1">
        <v>0</v>
      </c>
      <c r="V5424" s="1" t="str">
        <f t="shared" si="1049"/>
        <v>里程返程</v>
      </c>
      <c r="W5424" s="1" t="str">
        <f>"1420"</f>
        <v>1420</v>
      </c>
      <c r="X5424" s="1" t="s">
        <v>35</v>
      </c>
    </row>
    <row r="5425" spans="1:24" x14ac:dyDescent="0.3">
      <c r="A5425" s="1" t="str">
        <f t="shared" si="1045"/>
        <v>59820</v>
      </c>
      <c r="B5425" s="1" t="s">
        <v>53</v>
      </c>
      <c r="C5425" s="1" t="s">
        <v>54</v>
      </c>
      <c r="D5425" s="1" t="str">
        <f t="shared" si="1046"/>
        <v>9801</v>
      </c>
      <c r="E5425" s="1" t="s">
        <v>25</v>
      </c>
      <c r="F5425" s="1" t="str">
        <f>"F25B1B03B1880400C834002000000015"</f>
        <v>F25B1B03B1880400C834002000000015</v>
      </c>
      <c r="G5425" s="1" t="s">
        <v>26</v>
      </c>
      <c r="H5425" s="1" t="str">
        <f t="shared" si="1047"/>
        <v>20220926</v>
      </c>
      <c r="I5425" s="1" t="str">
        <f>"105244"</f>
        <v>105244</v>
      </c>
      <c r="J5425" s="1" t="s">
        <v>28</v>
      </c>
      <c r="K5425" s="1" t="s">
        <v>28</v>
      </c>
      <c r="L5425" s="1" t="str">
        <f t="shared" si="1048"/>
        <v>20220926</v>
      </c>
      <c r="M5425" s="1" t="str">
        <f>"112026"</f>
        <v>112026</v>
      </c>
      <c r="N5425" s="1" t="s">
        <v>60</v>
      </c>
      <c r="O5425" s="1" t="s">
        <v>52</v>
      </c>
      <c r="P5425" s="1" t="s">
        <v>68</v>
      </c>
      <c r="Q5425" s="1">
        <v>13</v>
      </c>
      <c r="R5425" s="1">
        <v>0</v>
      </c>
      <c r="S5425" s="1">
        <v>0</v>
      </c>
      <c r="T5425" s="1">
        <v>13</v>
      </c>
      <c r="U5425" s="1">
        <v>0</v>
      </c>
      <c r="V5425" s="1" t="str">
        <f t="shared" si="1049"/>
        <v>里程返程</v>
      </c>
      <c r="W5425" s="1" t="str">
        <f>"0020"</f>
        <v>0020</v>
      </c>
      <c r="X5425" s="1" t="s">
        <v>29</v>
      </c>
    </row>
    <row r="5426" spans="1:24" x14ac:dyDescent="0.3">
      <c r="A5426" s="1" t="str">
        <f t="shared" si="1045"/>
        <v>59820</v>
      </c>
      <c r="B5426" s="1" t="s">
        <v>53</v>
      </c>
      <c r="C5426" s="1" t="s">
        <v>54</v>
      </c>
      <c r="D5426" s="1" t="str">
        <f t="shared" si="1046"/>
        <v>9801</v>
      </c>
      <c r="E5426" s="1" t="s">
        <v>25</v>
      </c>
      <c r="F5426" s="1" t="str">
        <f>"DA5276C8368804004759245051803107"</f>
        <v>DA5276C8368804004759245051803107</v>
      </c>
      <c r="G5426" s="1" t="s">
        <v>58</v>
      </c>
      <c r="H5426" s="1" t="str">
        <f t="shared" si="1047"/>
        <v>20220926</v>
      </c>
      <c r="I5426" s="1" t="str">
        <f>"115156"</f>
        <v>115156</v>
      </c>
      <c r="J5426" s="1" t="s">
        <v>28</v>
      </c>
      <c r="K5426" s="1" t="s">
        <v>28</v>
      </c>
      <c r="L5426" s="1" t="str">
        <f t="shared" si="1048"/>
        <v>20220926</v>
      </c>
      <c r="M5426" s="1" t="str">
        <f>"122356"</f>
        <v>122356</v>
      </c>
      <c r="N5426" s="1" t="s">
        <v>52</v>
      </c>
      <c r="O5426" s="1" t="s">
        <v>52</v>
      </c>
      <c r="P5426" s="1" t="s">
        <v>55</v>
      </c>
      <c r="Q5426" s="1">
        <v>25</v>
      </c>
      <c r="R5426" s="1">
        <v>0</v>
      </c>
      <c r="S5426" s="1">
        <v>25</v>
      </c>
      <c r="T5426" s="1">
        <v>0</v>
      </c>
      <c r="U5426" s="1">
        <v>0</v>
      </c>
      <c r="V5426" s="1" t="str">
        <f t="shared" si="1049"/>
        <v>里程返程</v>
      </c>
      <c r="W5426" s="1" t="str">
        <f>"0620"</f>
        <v>0620</v>
      </c>
      <c r="X5426" s="1" t="s">
        <v>29</v>
      </c>
    </row>
    <row r="5427" spans="1:24" x14ac:dyDescent="0.3">
      <c r="A5427" s="1" t="str">
        <f t="shared" si="1045"/>
        <v>59820</v>
      </c>
      <c r="B5427" s="1" t="s">
        <v>53</v>
      </c>
      <c r="C5427" s="1" t="s">
        <v>54</v>
      </c>
      <c r="D5427" s="1" t="str">
        <f t="shared" si="1046"/>
        <v>9801</v>
      </c>
      <c r="E5427" s="1" t="s">
        <v>25</v>
      </c>
      <c r="F5427" s="1" t="str">
        <f>"70E26643B78804004885149345002111"</f>
        <v>70E26643B78804004885149345002111</v>
      </c>
      <c r="G5427" s="1" t="s">
        <v>58</v>
      </c>
      <c r="H5427" s="1" t="str">
        <f t="shared" si="1047"/>
        <v>20220926</v>
      </c>
      <c r="I5427" s="1" t="str">
        <f>"115201"</f>
        <v>115201</v>
      </c>
      <c r="J5427" s="1" t="s">
        <v>28</v>
      </c>
      <c r="K5427" s="1" t="s">
        <v>28</v>
      </c>
      <c r="L5427" s="1" t="str">
        <f t="shared" si="1048"/>
        <v>20220926</v>
      </c>
      <c r="M5427" s="1" t="str">
        <f>"122353"</f>
        <v>122353</v>
      </c>
      <c r="N5427" s="1" t="s">
        <v>52</v>
      </c>
      <c r="O5427" s="1" t="s">
        <v>52</v>
      </c>
      <c r="P5427" s="1" t="s">
        <v>55</v>
      </c>
      <c r="Q5427" s="1">
        <v>25</v>
      </c>
      <c r="R5427" s="1">
        <v>0</v>
      </c>
      <c r="S5427" s="1">
        <v>25</v>
      </c>
      <c r="T5427" s="1">
        <v>0</v>
      </c>
      <c r="U5427" s="1">
        <v>0</v>
      </c>
      <c r="V5427" s="1" t="str">
        <f t="shared" si="1049"/>
        <v>里程返程</v>
      </c>
      <c r="W5427" s="1" t="str">
        <f>"0620"</f>
        <v>0620</v>
      </c>
      <c r="X5427" s="1" t="s">
        <v>29</v>
      </c>
    </row>
    <row r="5428" spans="1:24" x14ac:dyDescent="0.3">
      <c r="A5428" s="1" t="str">
        <f t="shared" si="1045"/>
        <v>59820</v>
      </c>
      <c r="B5428" s="1" t="s">
        <v>53</v>
      </c>
      <c r="C5428" s="1" t="s">
        <v>54</v>
      </c>
      <c r="D5428" s="1" t="str">
        <f t="shared" si="1046"/>
        <v>9801</v>
      </c>
      <c r="E5428" s="1" t="s">
        <v>25</v>
      </c>
      <c r="F5428" s="1" t="str">
        <f>"1257754053"</f>
        <v>1257754053</v>
      </c>
      <c r="G5428" s="1" t="s">
        <v>33</v>
      </c>
      <c r="H5428" s="1" t="str">
        <f t="shared" si="1047"/>
        <v>20220926</v>
      </c>
      <c r="I5428" s="1" t="str">
        <f>"115348"</f>
        <v>115348</v>
      </c>
      <c r="J5428" s="1" t="s">
        <v>28</v>
      </c>
      <c r="K5428" s="1" t="s">
        <v>28</v>
      </c>
      <c r="L5428" s="1" t="str">
        <f t="shared" si="1048"/>
        <v>20220926</v>
      </c>
      <c r="M5428" s="1" t="str">
        <f>"122359"</f>
        <v>122359</v>
      </c>
      <c r="N5428" s="1" t="s">
        <v>52</v>
      </c>
      <c r="O5428" s="1" t="s">
        <v>52</v>
      </c>
      <c r="P5428" s="1" t="s">
        <v>55</v>
      </c>
      <c r="Q5428" s="1">
        <v>25</v>
      </c>
      <c r="R5428" s="1">
        <v>25</v>
      </c>
      <c r="S5428" s="1">
        <v>0</v>
      </c>
      <c r="T5428" s="1">
        <v>0</v>
      </c>
      <c r="U5428" s="1">
        <v>0</v>
      </c>
      <c r="V5428" s="1" t="str">
        <f t="shared" si="1049"/>
        <v>里程返程</v>
      </c>
      <c r="W5428" s="1" t="str">
        <f>"1420"</f>
        <v>1420</v>
      </c>
      <c r="X5428" s="1" t="s">
        <v>35</v>
      </c>
    </row>
    <row r="5429" spans="1:24" x14ac:dyDescent="0.3">
      <c r="A5429" s="1" t="str">
        <f t="shared" si="1045"/>
        <v>59820</v>
      </c>
      <c r="B5429" s="1" t="s">
        <v>53</v>
      </c>
      <c r="C5429" s="1" t="s">
        <v>54</v>
      </c>
      <c r="D5429" s="1" t="str">
        <f>"9805"</f>
        <v>9805</v>
      </c>
      <c r="E5429" s="1" t="s">
        <v>57</v>
      </c>
      <c r="F5429" s="1" t="str">
        <f>"517F7B64312804001C00000000000000"</f>
        <v>517F7B64312804001C00000000000000</v>
      </c>
      <c r="G5429" s="1" t="s">
        <v>58</v>
      </c>
      <c r="H5429" s="1" t="str">
        <f t="shared" si="1047"/>
        <v>20220926</v>
      </c>
      <c r="I5429" s="1" t="str">
        <f>"142733"</f>
        <v>142733</v>
      </c>
      <c r="J5429" s="1" t="s">
        <v>28</v>
      </c>
      <c r="K5429" s="1" t="s">
        <v>28</v>
      </c>
      <c r="L5429" s="1" t="str">
        <f t="shared" si="1048"/>
        <v>20220926</v>
      </c>
      <c r="M5429" s="1" t="str">
        <f>"144336"</f>
        <v>144336</v>
      </c>
      <c r="N5429" s="1" t="s">
        <v>62</v>
      </c>
      <c r="O5429" s="1" t="s">
        <v>28</v>
      </c>
      <c r="P5429" s="1" t="s">
        <v>55</v>
      </c>
      <c r="Q5429" s="1">
        <v>25</v>
      </c>
      <c r="R5429" s="1">
        <v>25</v>
      </c>
      <c r="S5429" s="1">
        <v>0</v>
      </c>
      <c r="T5429" s="1">
        <v>0</v>
      </c>
      <c r="U5429" s="1">
        <v>0</v>
      </c>
      <c r="V5429" s="1" t="str">
        <f>"里程去程"</f>
        <v>里程去程</v>
      </c>
      <c r="W5429" s="1" t="str">
        <f>"0020"</f>
        <v>0020</v>
      </c>
      <c r="X5429" s="1" t="s">
        <v>29</v>
      </c>
    </row>
    <row r="5430" spans="1:24" x14ac:dyDescent="0.3">
      <c r="A5430" s="1" t="str">
        <f t="shared" si="1045"/>
        <v>59820</v>
      </c>
      <c r="B5430" s="1" t="s">
        <v>53</v>
      </c>
      <c r="C5430" s="1" t="s">
        <v>54</v>
      </c>
      <c r="D5430" s="1" t="str">
        <f>"9805"</f>
        <v>9805</v>
      </c>
      <c r="E5430" s="1" t="s">
        <v>57</v>
      </c>
      <c r="F5430" s="1" t="str">
        <f>"3621379539"</f>
        <v>3621379539</v>
      </c>
      <c r="G5430" s="1" t="s">
        <v>33</v>
      </c>
      <c r="H5430" s="1" t="str">
        <f t="shared" si="1047"/>
        <v>20220926</v>
      </c>
      <c r="I5430" s="1" t="str">
        <f>"145941"</f>
        <v>145941</v>
      </c>
      <c r="J5430" s="1" t="s">
        <v>46</v>
      </c>
      <c r="K5430" s="1" t="s">
        <v>28</v>
      </c>
      <c r="L5430" s="1" t="str">
        <f t="shared" si="1048"/>
        <v>20220926</v>
      </c>
      <c r="M5430" s="1" t="str">
        <f>"150932"</f>
        <v>150932</v>
      </c>
      <c r="N5430" s="1" t="s">
        <v>28</v>
      </c>
      <c r="O5430" s="1" t="s">
        <v>28</v>
      </c>
      <c r="P5430" s="1" t="s">
        <v>55</v>
      </c>
      <c r="Q5430" s="1">
        <v>25</v>
      </c>
      <c r="R5430" s="1">
        <v>0</v>
      </c>
      <c r="S5430" s="1">
        <v>25</v>
      </c>
      <c r="T5430" s="1">
        <v>0</v>
      </c>
      <c r="U5430" s="1">
        <v>0</v>
      </c>
      <c r="V5430" s="1" t="str">
        <f>"里程返程"</f>
        <v>里程返程</v>
      </c>
      <c r="W5430" s="1" t="str">
        <f>"2020"</f>
        <v>2020</v>
      </c>
      <c r="X5430" s="1" t="s">
        <v>35</v>
      </c>
    </row>
    <row r="5431" spans="1:24" x14ac:dyDescent="0.3">
      <c r="A5431" s="1" t="str">
        <f t="shared" si="1045"/>
        <v>59820</v>
      </c>
      <c r="B5431" s="1" t="s">
        <v>53</v>
      </c>
      <c r="C5431" s="1" t="s">
        <v>54</v>
      </c>
      <c r="D5431" s="1" t="str">
        <f>"9805"</f>
        <v>9805</v>
      </c>
      <c r="E5431" s="1" t="s">
        <v>57</v>
      </c>
      <c r="F5431" s="1" t="str">
        <f>"52CD6302FE880400C821002000000015"</f>
        <v>52CD6302FE880400C821002000000015</v>
      </c>
      <c r="G5431" s="1" t="s">
        <v>58</v>
      </c>
      <c r="H5431" s="1" t="str">
        <f t="shared" si="1047"/>
        <v>20220926</v>
      </c>
      <c r="I5431" s="1" t="str">
        <f>"145942"</f>
        <v>145942</v>
      </c>
      <c r="J5431" s="1" t="s">
        <v>46</v>
      </c>
      <c r="K5431" s="1" t="s">
        <v>28</v>
      </c>
      <c r="L5431" s="1" t="str">
        <f t="shared" si="1048"/>
        <v>20220926</v>
      </c>
      <c r="M5431" s="1" t="str">
        <f>"150930"</f>
        <v>150930</v>
      </c>
      <c r="N5431" s="1" t="s">
        <v>28</v>
      </c>
      <c r="O5431" s="1" t="s">
        <v>28</v>
      </c>
      <c r="P5431" s="1" t="s">
        <v>55</v>
      </c>
      <c r="Q5431" s="1">
        <v>25</v>
      </c>
      <c r="R5431" s="1">
        <v>0</v>
      </c>
      <c r="S5431" s="1">
        <v>25</v>
      </c>
      <c r="T5431" s="1">
        <v>0</v>
      </c>
      <c r="U5431" s="1">
        <v>0</v>
      </c>
      <c r="V5431" s="1" t="str">
        <f>"里程返程"</f>
        <v>里程返程</v>
      </c>
      <c r="W5431" s="1" t="str">
        <f>"2020"</f>
        <v>2020</v>
      </c>
      <c r="X5431" s="1" t="s">
        <v>29</v>
      </c>
    </row>
    <row r="5432" spans="1:24" x14ac:dyDescent="0.3">
      <c r="A5432" s="1" t="str">
        <f t="shared" si="1045"/>
        <v>59820</v>
      </c>
      <c r="B5432" s="1" t="s">
        <v>53</v>
      </c>
      <c r="C5432" s="1" t="s">
        <v>54</v>
      </c>
      <c r="D5432" s="1" t="str">
        <f>"9805"</f>
        <v>9805</v>
      </c>
      <c r="E5432" s="1" t="s">
        <v>57</v>
      </c>
      <c r="F5432" s="1" t="str">
        <f>"1071510117"</f>
        <v>1071510117</v>
      </c>
      <c r="G5432" s="1" t="s">
        <v>33</v>
      </c>
      <c r="H5432" s="1" t="str">
        <f t="shared" si="1047"/>
        <v>20220926</v>
      </c>
      <c r="I5432" s="1" t="str">
        <f>"150202"</f>
        <v>150202</v>
      </c>
      <c r="J5432" s="1" t="s">
        <v>92</v>
      </c>
      <c r="K5432" s="1" t="s">
        <v>28</v>
      </c>
      <c r="L5432" s="1" t="str">
        <f t="shared" si="1048"/>
        <v>20220926</v>
      </c>
      <c r="M5432" s="1" t="str">
        <f>"150923"</f>
        <v>150923</v>
      </c>
      <c r="N5432" s="1" t="s">
        <v>28</v>
      </c>
      <c r="O5432" s="1" t="s">
        <v>28</v>
      </c>
      <c r="P5432" s="1" t="s">
        <v>55</v>
      </c>
      <c r="Q5432" s="1">
        <v>25</v>
      </c>
      <c r="R5432" s="1">
        <v>25</v>
      </c>
      <c r="S5432" s="1">
        <v>0</v>
      </c>
      <c r="T5432" s="1">
        <v>0</v>
      </c>
      <c r="U5432" s="1">
        <v>0</v>
      </c>
      <c r="V5432" s="1" t="str">
        <f>"里程返程"</f>
        <v>里程返程</v>
      </c>
      <c r="W5432" s="1" t="str">
        <f>"0120"</f>
        <v>0120</v>
      </c>
      <c r="X5432" s="1" t="s">
        <v>35</v>
      </c>
    </row>
    <row r="5433" spans="1:24" x14ac:dyDescent="0.3">
      <c r="A5433" s="1" t="str">
        <f t="shared" si="1045"/>
        <v>59820</v>
      </c>
      <c r="B5433" s="1" t="s">
        <v>53</v>
      </c>
      <c r="C5433" s="1" t="s">
        <v>54</v>
      </c>
      <c r="D5433" s="1" t="str">
        <f>"9803"</f>
        <v>9803</v>
      </c>
      <c r="E5433" s="1" t="s">
        <v>32</v>
      </c>
      <c r="F5433" s="1" t="str">
        <f>"902861301"</f>
        <v>902861301</v>
      </c>
      <c r="G5433" s="1" t="s">
        <v>33</v>
      </c>
      <c r="H5433" s="1" t="str">
        <f t="shared" si="1047"/>
        <v>20220926</v>
      </c>
      <c r="I5433" s="1" t="str">
        <f>"151000"</f>
        <v>151000</v>
      </c>
      <c r="J5433" s="1" t="s">
        <v>28</v>
      </c>
      <c r="K5433" s="1" t="s">
        <v>28</v>
      </c>
      <c r="L5433" s="1" t="str">
        <f t="shared" si="1048"/>
        <v>20220926</v>
      </c>
      <c r="M5433" s="1" t="str">
        <f>"152830"</f>
        <v>152830</v>
      </c>
      <c r="N5433" s="1" t="s">
        <v>89</v>
      </c>
      <c r="O5433" s="1" t="s">
        <v>28</v>
      </c>
      <c r="P5433" s="1" t="s">
        <v>55</v>
      </c>
      <c r="Q5433" s="1">
        <v>25</v>
      </c>
      <c r="R5433" s="1">
        <v>25</v>
      </c>
      <c r="S5433" s="1">
        <v>0</v>
      </c>
      <c r="T5433" s="1">
        <v>0</v>
      </c>
      <c r="U5433" s="1">
        <v>0</v>
      </c>
      <c r="V5433" s="1" t="str">
        <f>"里程去程"</f>
        <v>里程去程</v>
      </c>
      <c r="W5433" s="1" t="str">
        <f>"0e20"</f>
        <v>0e20</v>
      </c>
      <c r="X5433" s="1" t="s">
        <v>35</v>
      </c>
    </row>
    <row r="5434" spans="1:24" x14ac:dyDescent="0.3">
      <c r="A5434" s="1" t="str">
        <f t="shared" si="1045"/>
        <v>59820</v>
      </c>
      <c r="B5434" s="1" t="s">
        <v>53</v>
      </c>
      <c r="C5434" s="1" t="s">
        <v>54</v>
      </c>
      <c r="D5434" s="1" t="str">
        <f>"9803"</f>
        <v>9803</v>
      </c>
      <c r="E5434" s="1" t="s">
        <v>32</v>
      </c>
      <c r="F5434" s="1" t="str">
        <f>"1715873301"</f>
        <v>1715873301</v>
      </c>
      <c r="G5434" s="1" t="s">
        <v>33</v>
      </c>
      <c r="H5434" s="1" t="str">
        <f t="shared" si="1047"/>
        <v>20220926</v>
      </c>
      <c r="I5434" s="1" t="str">
        <f>"154108"</f>
        <v>154108</v>
      </c>
      <c r="J5434" s="1" t="s">
        <v>34</v>
      </c>
      <c r="K5434" s="1" t="s">
        <v>34</v>
      </c>
      <c r="L5434" s="1" t="str">
        <f t="shared" si="1048"/>
        <v>20220926</v>
      </c>
      <c r="M5434" s="1" t="str">
        <f>"160819"</f>
        <v>160819</v>
      </c>
      <c r="N5434" s="1" t="s">
        <v>28</v>
      </c>
      <c r="O5434" s="1" t="s">
        <v>28</v>
      </c>
      <c r="P5434" s="1" t="s">
        <v>55</v>
      </c>
      <c r="Q5434" s="1">
        <v>25</v>
      </c>
      <c r="R5434" s="1">
        <v>25</v>
      </c>
      <c r="S5434" s="1">
        <v>0</v>
      </c>
      <c r="T5434" s="1">
        <v>0</v>
      </c>
      <c r="U5434" s="1">
        <v>0</v>
      </c>
      <c r="V5434" s="1" t="str">
        <f>"里程返程"</f>
        <v>里程返程</v>
      </c>
      <c r="W5434" s="1" t="str">
        <f>"2020"</f>
        <v>2020</v>
      </c>
      <c r="X5434" s="1" t="s">
        <v>35</v>
      </c>
    </row>
    <row r="5435" spans="1:24" x14ac:dyDescent="0.3">
      <c r="A5435" s="1" t="str">
        <f t="shared" si="1045"/>
        <v>59820</v>
      </c>
      <c r="B5435" s="1" t="s">
        <v>53</v>
      </c>
      <c r="C5435" s="1" t="s">
        <v>54</v>
      </c>
      <c r="D5435" s="1" t="str">
        <f>"9803"</f>
        <v>9803</v>
      </c>
      <c r="E5435" s="1" t="s">
        <v>32</v>
      </c>
      <c r="F5435" s="1" t="str">
        <f>"841694145"</f>
        <v>841694145</v>
      </c>
      <c r="G5435" s="1" t="s">
        <v>33</v>
      </c>
      <c r="H5435" s="1" t="str">
        <f t="shared" si="1047"/>
        <v>20220926</v>
      </c>
      <c r="I5435" s="1" t="str">
        <f>"154117"</f>
        <v>154117</v>
      </c>
      <c r="J5435" s="1" t="s">
        <v>34</v>
      </c>
      <c r="K5435" s="1" t="s">
        <v>34</v>
      </c>
      <c r="L5435" s="1" t="str">
        <f t="shared" si="1048"/>
        <v>20220926</v>
      </c>
      <c r="M5435" s="1" t="str">
        <f>"160837"</f>
        <v>160837</v>
      </c>
      <c r="N5435" s="1" t="s">
        <v>28</v>
      </c>
      <c r="O5435" s="1" t="s">
        <v>28</v>
      </c>
      <c r="P5435" s="1" t="s">
        <v>55</v>
      </c>
      <c r="Q5435" s="1">
        <v>25</v>
      </c>
      <c r="R5435" s="1">
        <v>25</v>
      </c>
      <c r="S5435" s="1">
        <v>0</v>
      </c>
      <c r="T5435" s="1">
        <v>0</v>
      </c>
      <c r="U5435" s="1">
        <v>0</v>
      </c>
      <c r="V5435" s="1" t="str">
        <f>"里程返程"</f>
        <v>里程返程</v>
      </c>
      <c r="W5435" s="1" t="str">
        <f>"0820"</f>
        <v>0820</v>
      </c>
      <c r="X5435" s="1" t="s">
        <v>35</v>
      </c>
    </row>
    <row r="5436" spans="1:24" x14ac:dyDescent="0.3">
      <c r="A5436" s="1" t="str">
        <f t="shared" si="1045"/>
        <v>59820</v>
      </c>
      <c r="B5436" s="1" t="s">
        <v>53</v>
      </c>
      <c r="C5436" s="1" t="s">
        <v>54</v>
      </c>
      <c r="D5436" s="1" t="str">
        <f>"9803"</f>
        <v>9803</v>
      </c>
      <c r="E5436" s="1" t="s">
        <v>32</v>
      </c>
      <c r="F5436" s="1" t="str">
        <f>"1888404113"</f>
        <v>1888404113</v>
      </c>
      <c r="G5436" s="1" t="s">
        <v>33</v>
      </c>
      <c r="H5436" s="1" t="str">
        <f t="shared" si="1047"/>
        <v>20220926</v>
      </c>
      <c r="I5436" s="1" t="str">
        <f>"154122"</f>
        <v>154122</v>
      </c>
      <c r="J5436" s="1" t="s">
        <v>34</v>
      </c>
      <c r="K5436" s="1" t="s">
        <v>34</v>
      </c>
      <c r="L5436" s="1" t="str">
        <f t="shared" si="1048"/>
        <v>20220926</v>
      </c>
      <c r="M5436" s="1" t="str">
        <f>"160834"</f>
        <v>160834</v>
      </c>
      <c r="N5436" s="1" t="s">
        <v>28</v>
      </c>
      <c r="O5436" s="1" t="s">
        <v>28</v>
      </c>
      <c r="P5436" s="1" t="s">
        <v>55</v>
      </c>
      <c r="Q5436" s="1">
        <v>25</v>
      </c>
      <c r="R5436" s="1">
        <v>25</v>
      </c>
      <c r="S5436" s="1">
        <v>0</v>
      </c>
      <c r="T5436" s="1">
        <v>0</v>
      </c>
      <c r="U5436" s="1">
        <v>0</v>
      </c>
      <c r="V5436" s="1" t="str">
        <f>"里程返程"</f>
        <v>里程返程</v>
      </c>
      <c r="W5436" s="1" t="str">
        <f>"0820"</f>
        <v>0820</v>
      </c>
      <c r="X5436" s="1" t="s">
        <v>35</v>
      </c>
    </row>
    <row r="5437" spans="1:24" x14ac:dyDescent="0.3">
      <c r="A5437" s="1" t="str">
        <f t="shared" si="1045"/>
        <v>59820</v>
      </c>
      <c r="B5437" s="1" t="s">
        <v>53</v>
      </c>
      <c r="C5437" s="1" t="s">
        <v>54</v>
      </c>
      <c r="D5437" s="1" t="str">
        <f>"9803"</f>
        <v>9803</v>
      </c>
      <c r="E5437" s="1" t="s">
        <v>32</v>
      </c>
      <c r="F5437" s="1" t="str">
        <f>"65B0960E4D180200D200000C22400417"</f>
        <v>65B0960E4D180200D200000C22400417</v>
      </c>
      <c r="G5437" s="1" t="s">
        <v>58</v>
      </c>
      <c r="H5437" s="1" t="str">
        <f t="shared" si="1047"/>
        <v>20220926</v>
      </c>
      <c r="I5437" s="1" t="str">
        <f>"154129"</f>
        <v>154129</v>
      </c>
      <c r="J5437" s="1" t="s">
        <v>34</v>
      </c>
      <c r="K5437" s="1" t="s">
        <v>34</v>
      </c>
      <c r="L5437" s="1" t="str">
        <f t="shared" si="1048"/>
        <v>20220926</v>
      </c>
      <c r="M5437" s="1" t="str">
        <f>"160830"</f>
        <v>160830</v>
      </c>
      <c r="N5437" s="1" t="s">
        <v>28</v>
      </c>
      <c r="O5437" s="1" t="s">
        <v>28</v>
      </c>
      <c r="P5437" s="1" t="s">
        <v>55</v>
      </c>
      <c r="Q5437" s="1">
        <v>25</v>
      </c>
      <c r="R5437" s="1">
        <v>25</v>
      </c>
      <c r="S5437" s="1">
        <v>0</v>
      </c>
      <c r="T5437" s="1">
        <v>0</v>
      </c>
      <c r="U5437" s="1">
        <v>0</v>
      </c>
      <c r="V5437" s="1" t="str">
        <f>"里程返程"</f>
        <v>里程返程</v>
      </c>
      <c r="W5437" s="1" t="str">
        <f>"0020"</f>
        <v>0020</v>
      </c>
      <c r="X5437" s="1" t="s">
        <v>29</v>
      </c>
    </row>
    <row r="5438" spans="1:24" x14ac:dyDescent="0.3">
      <c r="A5438" s="1" t="str">
        <f t="shared" si="1045"/>
        <v>59820</v>
      </c>
      <c r="B5438" s="1" t="s">
        <v>53</v>
      </c>
      <c r="C5438" s="1" t="s">
        <v>54</v>
      </c>
      <c r="D5438" s="1" t="str">
        <f t="shared" ref="D5438:D5444" si="1050">"9806"</f>
        <v>9806</v>
      </c>
      <c r="E5438" s="1" t="s">
        <v>49</v>
      </c>
      <c r="F5438" s="1" t="str">
        <f>"B211E70246880400C834002000000015"</f>
        <v>B211E70246880400C834002000000015</v>
      </c>
      <c r="G5438" s="1" t="s">
        <v>74</v>
      </c>
      <c r="H5438" s="1" t="str">
        <f t="shared" si="1047"/>
        <v>20220926</v>
      </c>
      <c r="I5438" s="1" t="str">
        <f>"163457"</f>
        <v>163457</v>
      </c>
      <c r="J5438" s="1" t="s">
        <v>76</v>
      </c>
      <c r="K5438" s="1" t="s">
        <v>28</v>
      </c>
      <c r="L5438" s="1" t="str">
        <f t="shared" si="1048"/>
        <v>20220926</v>
      </c>
      <c r="M5438" s="1" t="str">
        <f>"164631"</f>
        <v>164631</v>
      </c>
      <c r="N5438" s="1" t="s">
        <v>84</v>
      </c>
      <c r="O5438" s="1" t="s">
        <v>28</v>
      </c>
      <c r="P5438" s="1" t="s">
        <v>68</v>
      </c>
      <c r="Q5438" s="1">
        <v>13</v>
      </c>
      <c r="R5438" s="1">
        <v>0</v>
      </c>
      <c r="S5438" s="1">
        <v>0</v>
      </c>
      <c r="T5438" s="1">
        <v>13</v>
      </c>
      <c r="U5438" s="1">
        <v>0</v>
      </c>
      <c r="V5438" s="1" t="str">
        <f t="shared" ref="V5438:V5444" si="1051">"里程去程"</f>
        <v>里程去程</v>
      </c>
      <c r="W5438" s="1" t="str">
        <f>"0020"</f>
        <v>0020</v>
      </c>
      <c r="X5438" s="1" t="s">
        <v>29</v>
      </c>
    </row>
    <row r="5439" spans="1:24" x14ac:dyDescent="0.3">
      <c r="A5439" s="1" t="str">
        <f t="shared" si="1045"/>
        <v>59820</v>
      </c>
      <c r="B5439" s="1" t="s">
        <v>53</v>
      </c>
      <c r="C5439" s="1" t="s">
        <v>54</v>
      </c>
      <c r="D5439" s="1" t="str">
        <f t="shared" si="1050"/>
        <v>9806</v>
      </c>
      <c r="E5439" s="1" t="s">
        <v>49</v>
      </c>
      <c r="F5439" s="1" t="str">
        <f>"538267473"</f>
        <v>538267473</v>
      </c>
      <c r="G5439" s="1" t="s">
        <v>33</v>
      </c>
      <c r="H5439" s="1" t="str">
        <f t="shared" si="1047"/>
        <v>20220926</v>
      </c>
      <c r="I5439" s="1" t="str">
        <f>"163501"</f>
        <v>163501</v>
      </c>
      <c r="J5439" s="1" t="s">
        <v>76</v>
      </c>
      <c r="K5439" s="1" t="s">
        <v>28</v>
      </c>
      <c r="L5439" s="1" t="str">
        <f t="shared" si="1048"/>
        <v>20220926</v>
      </c>
      <c r="M5439" s="1" t="str">
        <f>"164952"</f>
        <v>164952</v>
      </c>
      <c r="N5439" s="1" t="s">
        <v>28</v>
      </c>
      <c r="O5439" s="1" t="s">
        <v>28</v>
      </c>
      <c r="P5439" s="1" t="s">
        <v>55</v>
      </c>
      <c r="Q5439" s="1">
        <v>25</v>
      </c>
      <c r="R5439" s="1">
        <v>25</v>
      </c>
      <c r="S5439" s="1">
        <v>0</v>
      </c>
      <c r="T5439" s="1">
        <v>0</v>
      </c>
      <c r="U5439" s="1">
        <v>0</v>
      </c>
      <c r="V5439" s="1" t="str">
        <f t="shared" si="1051"/>
        <v>里程去程</v>
      </c>
      <c r="W5439" s="1" t="str">
        <f>"2020"</f>
        <v>2020</v>
      </c>
      <c r="X5439" s="1" t="s">
        <v>35</v>
      </c>
    </row>
    <row r="5440" spans="1:24" x14ac:dyDescent="0.3">
      <c r="A5440" s="1" t="str">
        <f t="shared" si="1045"/>
        <v>59820</v>
      </c>
      <c r="B5440" s="1" t="s">
        <v>53</v>
      </c>
      <c r="C5440" s="1" t="s">
        <v>54</v>
      </c>
      <c r="D5440" s="1" t="str">
        <f t="shared" si="1050"/>
        <v>9806</v>
      </c>
      <c r="E5440" s="1" t="s">
        <v>49</v>
      </c>
      <c r="F5440" s="1" t="str">
        <f>"1202E702F5880400C834002000000015"</f>
        <v>1202E702F5880400C834002000000015</v>
      </c>
      <c r="G5440" s="1" t="s">
        <v>74</v>
      </c>
      <c r="H5440" s="1" t="str">
        <f t="shared" si="1047"/>
        <v>20220926</v>
      </c>
      <c r="I5440" s="1" t="str">
        <f>"163509"</f>
        <v>163509</v>
      </c>
      <c r="J5440" s="1" t="s">
        <v>76</v>
      </c>
      <c r="K5440" s="1" t="s">
        <v>28</v>
      </c>
      <c r="L5440" s="1" t="str">
        <f t="shared" si="1048"/>
        <v>20220926</v>
      </c>
      <c r="M5440" s="1" t="str">
        <f>"164635"</f>
        <v>164635</v>
      </c>
      <c r="N5440" s="1" t="s">
        <v>84</v>
      </c>
      <c r="O5440" s="1" t="s">
        <v>28</v>
      </c>
      <c r="P5440" s="1" t="s">
        <v>68</v>
      </c>
      <c r="Q5440" s="1">
        <v>13</v>
      </c>
      <c r="R5440" s="1">
        <v>0</v>
      </c>
      <c r="S5440" s="1">
        <v>0</v>
      </c>
      <c r="T5440" s="1">
        <v>13</v>
      </c>
      <c r="U5440" s="1">
        <v>0</v>
      </c>
      <c r="V5440" s="1" t="str">
        <f t="shared" si="1051"/>
        <v>里程去程</v>
      </c>
      <c r="W5440" s="1" t="str">
        <f>"0020"</f>
        <v>0020</v>
      </c>
      <c r="X5440" s="1" t="s">
        <v>29</v>
      </c>
    </row>
    <row r="5441" spans="1:24" x14ac:dyDescent="0.3">
      <c r="A5441" s="1" t="str">
        <f t="shared" si="1045"/>
        <v>59820</v>
      </c>
      <c r="B5441" s="1" t="s">
        <v>53</v>
      </c>
      <c r="C5441" s="1" t="s">
        <v>54</v>
      </c>
      <c r="D5441" s="1" t="str">
        <f t="shared" si="1050"/>
        <v>9806</v>
      </c>
      <c r="E5441" s="1" t="s">
        <v>49</v>
      </c>
      <c r="F5441" s="1" t="str">
        <f>"22C8DE1B2F880400C822002000000021"</f>
        <v>22C8DE1B2F880400C822002000000021</v>
      </c>
      <c r="G5441" s="1" t="s">
        <v>58</v>
      </c>
      <c r="H5441" s="1" t="str">
        <f t="shared" si="1047"/>
        <v>20220926</v>
      </c>
      <c r="I5441" s="1" t="str">
        <f>"163513"</f>
        <v>163513</v>
      </c>
      <c r="J5441" s="1" t="s">
        <v>76</v>
      </c>
      <c r="K5441" s="1" t="s">
        <v>28</v>
      </c>
      <c r="L5441" s="1" t="str">
        <f t="shared" si="1048"/>
        <v>20220926</v>
      </c>
      <c r="M5441" s="1" t="str">
        <f>"164947"</f>
        <v>164947</v>
      </c>
      <c r="N5441" s="1" t="s">
        <v>28</v>
      </c>
      <c r="O5441" s="1" t="s">
        <v>28</v>
      </c>
      <c r="P5441" s="1" t="s">
        <v>55</v>
      </c>
      <c r="Q5441" s="1">
        <v>25</v>
      </c>
      <c r="R5441" s="1">
        <v>25</v>
      </c>
      <c r="S5441" s="1">
        <v>0</v>
      </c>
      <c r="T5441" s="1">
        <v>0</v>
      </c>
      <c r="U5441" s="1">
        <v>0</v>
      </c>
      <c r="V5441" s="1" t="str">
        <f t="shared" si="1051"/>
        <v>里程去程</v>
      </c>
      <c r="W5441" s="1" t="str">
        <f>"0020"</f>
        <v>0020</v>
      </c>
      <c r="X5441" s="1" t="s">
        <v>29</v>
      </c>
    </row>
    <row r="5442" spans="1:24" x14ac:dyDescent="0.3">
      <c r="A5442" s="1" t="str">
        <f t="shared" si="1045"/>
        <v>59820</v>
      </c>
      <c r="B5442" s="1" t="s">
        <v>53</v>
      </c>
      <c r="C5442" s="1" t="s">
        <v>54</v>
      </c>
      <c r="D5442" s="1" t="str">
        <f t="shared" si="1050"/>
        <v>9806</v>
      </c>
      <c r="E5442" s="1" t="s">
        <v>49</v>
      </c>
      <c r="F5442" s="1" t="str">
        <f>"1695105317"</f>
        <v>1695105317</v>
      </c>
      <c r="G5442" s="1" t="s">
        <v>33</v>
      </c>
      <c r="H5442" s="1" t="str">
        <f t="shared" si="1047"/>
        <v>20220926</v>
      </c>
      <c r="I5442" s="1" t="str">
        <f>"163516"</f>
        <v>163516</v>
      </c>
      <c r="J5442" s="1" t="s">
        <v>76</v>
      </c>
      <c r="K5442" s="1" t="s">
        <v>28</v>
      </c>
      <c r="L5442" s="1" t="str">
        <f t="shared" si="1048"/>
        <v>20220926</v>
      </c>
      <c r="M5442" s="1" t="str">
        <f>"164950"</f>
        <v>164950</v>
      </c>
      <c r="N5442" s="1" t="s">
        <v>28</v>
      </c>
      <c r="O5442" s="1" t="s">
        <v>28</v>
      </c>
      <c r="P5442" s="1" t="s">
        <v>55</v>
      </c>
      <c r="Q5442" s="1">
        <v>25</v>
      </c>
      <c r="R5442" s="1">
        <v>25</v>
      </c>
      <c r="S5442" s="1">
        <v>0</v>
      </c>
      <c r="T5442" s="1">
        <v>0</v>
      </c>
      <c r="U5442" s="1">
        <v>0</v>
      </c>
      <c r="V5442" s="1" t="str">
        <f t="shared" si="1051"/>
        <v>里程去程</v>
      </c>
      <c r="W5442" s="1" t="str">
        <f>"2020"</f>
        <v>2020</v>
      </c>
      <c r="X5442" s="1" t="s">
        <v>35</v>
      </c>
    </row>
    <row r="5443" spans="1:24" x14ac:dyDescent="0.3">
      <c r="A5443" s="1" t="str">
        <f t="shared" si="1045"/>
        <v>59820</v>
      </c>
      <c r="B5443" s="1" t="s">
        <v>53</v>
      </c>
      <c r="C5443" s="1" t="s">
        <v>54</v>
      </c>
      <c r="D5443" s="1" t="str">
        <f t="shared" si="1050"/>
        <v>9806</v>
      </c>
      <c r="E5443" s="1" t="s">
        <v>49</v>
      </c>
      <c r="F5443" s="1" t="str">
        <f>"1055537829"</f>
        <v>1055537829</v>
      </c>
      <c r="G5443" s="1" t="s">
        <v>33</v>
      </c>
      <c r="H5443" s="1" t="str">
        <f t="shared" si="1047"/>
        <v>20220926</v>
      </c>
      <c r="I5443" s="1" t="str">
        <f>"164212"</f>
        <v>164212</v>
      </c>
      <c r="J5443" s="1" t="s">
        <v>98</v>
      </c>
      <c r="K5443" s="1" t="s">
        <v>28</v>
      </c>
      <c r="L5443" s="1" t="str">
        <f t="shared" si="1048"/>
        <v>20220926</v>
      </c>
      <c r="M5443" s="1" t="str">
        <f>"165002"</f>
        <v>165002</v>
      </c>
      <c r="N5443" s="1" t="s">
        <v>28</v>
      </c>
      <c r="O5443" s="1" t="s">
        <v>28</v>
      </c>
      <c r="P5443" s="1" t="s">
        <v>55</v>
      </c>
      <c r="Q5443" s="1">
        <v>25</v>
      </c>
      <c r="R5443" s="1">
        <v>25</v>
      </c>
      <c r="S5443" s="1">
        <v>0</v>
      </c>
      <c r="T5443" s="1">
        <v>0</v>
      </c>
      <c r="U5443" s="1">
        <v>0</v>
      </c>
      <c r="V5443" s="1" t="str">
        <f t="shared" si="1051"/>
        <v>里程去程</v>
      </c>
      <c r="W5443" s="1" t="str">
        <f>"2020"</f>
        <v>2020</v>
      </c>
      <c r="X5443" s="1" t="s">
        <v>35</v>
      </c>
    </row>
    <row r="5444" spans="1:24" x14ac:dyDescent="0.3">
      <c r="A5444" s="1" t="str">
        <f t="shared" si="1045"/>
        <v>59820</v>
      </c>
      <c r="B5444" s="1" t="s">
        <v>53</v>
      </c>
      <c r="C5444" s="1" t="s">
        <v>54</v>
      </c>
      <c r="D5444" s="1" t="str">
        <f t="shared" si="1050"/>
        <v>9806</v>
      </c>
      <c r="E5444" s="1" t="s">
        <v>49</v>
      </c>
      <c r="F5444" s="1" t="str">
        <f>"1845872357"</f>
        <v>1845872357</v>
      </c>
      <c r="G5444" s="1" t="s">
        <v>33</v>
      </c>
      <c r="H5444" s="1" t="str">
        <f t="shared" si="1047"/>
        <v>20220926</v>
      </c>
      <c r="I5444" s="1" t="str">
        <f>"164215"</f>
        <v>164215</v>
      </c>
      <c r="J5444" s="1" t="s">
        <v>98</v>
      </c>
      <c r="K5444" s="1" t="s">
        <v>28</v>
      </c>
      <c r="L5444" s="1" t="str">
        <f t="shared" si="1048"/>
        <v>20220926</v>
      </c>
      <c r="M5444" s="1" t="str">
        <f>"164957"</f>
        <v>164957</v>
      </c>
      <c r="N5444" s="1" t="s">
        <v>28</v>
      </c>
      <c r="O5444" s="1" t="s">
        <v>28</v>
      </c>
      <c r="P5444" s="1" t="s">
        <v>55</v>
      </c>
      <c r="Q5444" s="1">
        <v>25</v>
      </c>
      <c r="R5444" s="1">
        <v>25</v>
      </c>
      <c r="S5444" s="1">
        <v>0</v>
      </c>
      <c r="T5444" s="1">
        <v>0</v>
      </c>
      <c r="U5444" s="1">
        <v>0</v>
      </c>
      <c r="V5444" s="1" t="str">
        <f t="shared" si="1051"/>
        <v>里程去程</v>
      </c>
      <c r="W5444" s="1" t="str">
        <f>"2020"</f>
        <v>2020</v>
      </c>
      <c r="X5444" s="1" t="s">
        <v>35</v>
      </c>
    </row>
    <row r="5445" spans="1:24" x14ac:dyDescent="0.3">
      <c r="A5445" s="1" t="str">
        <f t="shared" si="1045"/>
        <v>59820</v>
      </c>
      <c r="B5445" s="1" t="s">
        <v>53</v>
      </c>
      <c r="C5445" s="1" t="s">
        <v>54</v>
      </c>
      <c r="D5445" s="1" t="str">
        <f>"9801"</f>
        <v>9801</v>
      </c>
      <c r="E5445" s="1" t="s">
        <v>25</v>
      </c>
      <c r="F5445" s="1" t="str">
        <f>"994316549"</f>
        <v>994316549</v>
      </c>
      <c r="G5445" s="1" t="s">
        <v>26</v>
      </c>
      <c r="H5445" s="1" t="str">
        <f t="shared" si="1047"/>
        <v>20220926</v>
      </c>
      <c r="I5445" s="1" t="str">
        <f>"185742"</f>
        <v>185742</v>
      </c>
      <c r="J5445" s="1" t="s">
        <v>44</v>
      </c>
      <c r="K5445" s="1" t="s">
        <v>45</v>
      </c>
      <c r="L5445" s="1" t="str">
        <f t="shared" si="1048"/>
        <v>20220926</v>
      </c>
      <c r="M5445" s="1" t="str">
        <f>"192139"</f>
        <v>192139</v>
      </c>
      <c r="N5445" s="1" t="s">
        <v>28</v>
      </c>
      <c r="O5445" s="1" t="s">
        <v>28</v>
      </c>
      <c r="P5445" s="1" t="s">
        <v>55</v>
      </c>
      <c r="Q5445" s="1">
        <v>13</v>
      </c>
      <c r="R5445" s="1">
        <v>0</v>
      </c>
      <c r="S5445" s="1">
        <v>13</v>
      </c>
      <c r="T5445" s="1">
        <v>0</v>
      </c>
      <c r="U5445" s="1">
        <v>0</v>
      </c>
      <c r="V5445" s="1" t="str">
        <f t="shared" ref="V5445:V5462" si="1052">"里程返程"</f>
        <v>里程返程</v>
      </c>
      <c r="W5445" s="1" t="str">
        <f>"2120"</f>
        <v>2120</v>
      </c>
      <c r="X5445" s="1" t="s">
        <v>35</v>
      </c>
    </row>
    <row r="5446" spans="1:24" x14ac:dyDescent="0.3">
      <c r="A5446" s="1" t="str">
        <f t="shared" si="1045"/>
        <v>59820</v>
      </c>
      <c r="B5446" s="1" t="s">
        <v>53</v>
      </c>
      <c r="C5446" s="1" t="s">
        <v>54</v>
      </c>
      <c r="D5446" s="1" t="str">
        <f>"9801"</f>
        <v>9801</v>
      </c>
      <c r="E5446" s="1" t="s">
        <v>25</v>
      </c>
      <c r="F5446" s="1" t="str">
        <f>"1737283381"</f>
        <v>1737283381</v>
      </c>
      <c r="G5446" s="1" t="s">
        <v>33</v>
      </c>
      <c r="H5446" s="1" t="str">
        <f t="shared" si="1047"/>
        <v>20220926</v>
      </c>
      <c r="I5446" s="1" t="str">
        <f>"185745"</f>
        <v>185745</v>
      </c>
      <c r="J5446" s="1" t="s">
        <v>44</v>
      </c>
      <c r="K5446" s="1" t="s">
        <v>45</v>
      </c>
      <c r="L5446" s="1" t="str">
        <f t="shared" si="1048"/>
        <v>20220926</v>
      </c>
      <c r="M5446" s="1" t="str">
        <f>"192146"</f>
        <v>192146</v>
      </c>
      <c r="N5446" s="1" t="s">
        <v>28</v>
      </c>
      <c r="O5446" s="1" t="s">
        <v>28</v>
      </c>
      <c r="P5446" s="1" t="s">
        <v>55</v>
      </c>
      <c r="Q5446" s="1">
        <v>25</v>
      </c>
      <c r="R5446" s="1">
        <v>0</v>
      </c>
      <c r="S5446" s="1">
        <v>25</v>
      </c>
      <c r="T5446" s="1">
        <v>0</v>
      </c>
      <c r="U5446" s="1">
        <v>0</v>
      </c>
      <c r="V5446" s="1" t="str">
        <f t="shared" si="1052"/>
        <v>里程返程</v>
      </c>
      <c r="W5446" s="1" t="str">
        <f>"2120"</f>
        <v>2120</v>
      </c>
      <c r="X5446" s="1" t="s">
        <v>35</v>
      </c>
    </row>
    <row r="5447" spans="1:24" x14ac:dyDescent="0.3">
      <c r="A5447" s="1" t="str">
        <f t="shared" si="1045"/>
        <v>59820</v>
      </c>
      <c r="B5447" s="1" t="s">
        <v>53</v>
      </c>
      <c r="C5447" s="1" t="s">
        <v>54</v>
      </c>
      <c r="D5447" s="1" t="str">
        <f>"9801"</f>
        <v>9801</v>
      </c>
      <c r="E5447" s="1" t="s">
        <v>25</v>
      </c>
      <c r="F5447" s="1" t="str">
        <f>"1241063925"</f>
        <v>1241063925</v>
      </c>
      <c r="G5447" s="1" t="s">
        <v>26</v>
      </c>
      <c r="H5447" s="1" t="str">
        <f t="shared" si="1047"/>
        <v>20220926</v>
      </c>
      <c r="I5447" s="1" t="str">
        <f>"185750"</f>
        <v>185750</v>
      </c>
      <c r="J5447" s="1" t="s">
        <v>44</v>
      </c>
      <c r="K5447" s="1" t="s">
        <v>45</v>
      </c>
      <c r="L5447" s="1" t="str">
        <f t="shared" si="1048"/>
        <v>20220926</v>
      </c>
      <c r="M5447" s="1" t="str">
        <f>"192143"</f>
        <v>192143</v>
      </c>
      <c r="N5447" s="1" t="s">
        <v>28</v>
      </c>
      <c r="O5447" s="1" t="s">
        <v>28</v>
      </c>
      <c r="P5447" s="1" t="s">
        <v>55</v>
      </c>
      <c r="Q5447" s="1">
        <v>13</v>
      </c>
      <c r="R5447" s="1">
        <v>0</v>
      </c>
      <c r="S5447" s="1">
        <v>13</v>
      </c>
      <c r="T5447" s="1">
        <v>0</v>
      </c>
      <c r="U5447" s="1">
        <v>0</v>
      </c>
      <c r="V5447" s="1" t="str">
        <f t="shared" si="1052"/>
        <v>里程返程</v>
      </c>
      <c r="W5447" s="1" t="str">
        <f>"2120"</f>
        <v>2120</v>
      </c>
      <c r="X5447" s="1" t="s">
        <v>35</v>
      </c>
    </row>
    <row r="5448" spans="1:24" x14ac:dyDescent="0.3">
      <c r="A5448" s="1" t="str">
        <f t="shared" si="1045"/>
        <v>59820</v>
      </c>
      <c r="B5448" s="1" t="s">
        <v>53</v>
      </c>
      <c r="C5448" s="1" t="s">
        <v>54</v>
      </c>
      <c r="D5448" s="1" t="str">
        <f>"9805"</f>
        <v>9805</v>
      </c>
      <c r="E5448" s="1" t="s">
        <v>57</v>
      </c>
      <c r="F5448" s="1" t="str">
        <f>"1810423056"</f>
        <v>1810423056</v>
      </c>
      <c r="G5448" s="1" t="s">
        <v>33</v>
      </c>
      <c r="H5448" s="1" t="str">
        <f t="shared" si="1047"/>
        <v>20220926</v>
      </c>
      <c r="I5448" s="1" t="str">
        <f>"200339"</f>
        <v>200339</v>
      </c>
      <c r="J5448" s="1" t="s">
        <v>62</v>
      </c>
      <c r="K5448" s="1" t="s">
        <v>28</v>
      </c>
      <c r="L5448" s="1" t="str">
        <f t="shared" si="1048"/>
        <v>20220926</v>
      </c>
      <c r="M5448" s="1" t="str">
        <f>"201548"</f>
        <v>201548</v>
      </c>
      <c r="N5448" s="1" t="s">
        <v>90</v>
      </c>
      <c r="O5448" s="1" t="s">
        <v>28</v>
      </c>
      <c r="P5448" s="1" t="s">
        <v>55</v>
      </c>
      <c r="Q5448" s="1">
        <v>25</v>
      </c>
      <c r="R5448" s="1">
        <v>0</v>
      </c>
      <c r="S5448" s="1">
        <v>25</v>
      </c>
      <c r="T5448" s="1">
        <v>0</v>
      </c>
      <c r="U5448" s="1">
        <v>0</v>
      </c>
      <c r="V5448" s="1" t="str">
        <f t="shared" si="1052"/>
        <v>里程返程</v>
      </c>
      <c r="W5448" s="1" t="str">
        <f>"2120"</f>
        <v>2120</v>
      </c>
      <c r="X5448" s="1" t="s">
        <v>35</v>
      </c>
    </row>
    <row r="5449" spans="1:24" x14ac:dyDescent="0.3">
      <c r="A5449" s="1" t="str">
        <f t="shared" ref="A5449:A5478" si="1053">"59822"</f>
        <v>59822</v>
      </c>
      <c r="B5449" s="1" t="s">
        <v>39</v>
      </c>
      <c r="C5449" s="1" t="s">
        <v>40</v>
      </c>
      <c r="D5449" s="1" t="str">
        <f t="shared" ref="D5449:D5478" si="1054">"9801"</f>
        <v>9801</v>
      </c>
      <c r="E5449" s="1" t="s">
        <v>25</v>
      </c>
      <c r="F5449" s="1" t="str">
        <f>"D2EDC500FA880400C801002000000015"</f>
        <v>D2EDC500FA880400C801002000000015</v>
      </c>
      <c r="G5449" s="1" t="s">
        <v>58</v>
      </c>
      <c r="H5449" s="1" t="str">
        <f t="shared" si="1047"/>
        <v>20220926</v>
      </c>
      <c r="I5449" s="1" t="str">
        <f>"063026"</f>
        <v>063026</v>
      </c>
      <c r="J5449" s="1" t="s">
        <v>28</v>
      </c>
      <c r="K5449" s="1" t="s">
        <v>28</v>
      </c>
      <c r="L5449" s="1" t="str">
        <f t="shared" si="1048"/>
        <v>20220926</v>
      </c>
      <c r="M5449" s="1" t="str">
        <f>"070423"</f>
        <v>070423</v>
      </c>
      <c r="N5449" s="1" t="s">
        <v>52</v>
      </c>
      <c r="O5449" s="1" t="s">
        <v>52</v>
      </c>
      <c r="P5449" s="1" t="s">
        <v>55</v>
      </c>
      <c r="Q5449" s="1">
        <v>25</v>
      </c>
      <c r="R5449" s="1">
        <v>25</v>
      </c>
      <c r="S5449" s="1">
        <v>0</v>
      </c>
      <c r="T5449" s="1">
        <v>0</v>
      </c>
      <c r="U5449" s="1">
        <v>0</v>
      </c>
      <c r="V5449" s="1" t="str">
        <f t="shared" si="1052"/>
        <v>里程返程</v>
      </c>
      <c r="W5449" s="1" t="str">
        <f>"0020"</f>
        <v>0020</v>
      </c>
      <c r="X5449" s="1" t="s">
        <v>29</v>
      </c>
    </row>
    <row r="5450" spans="1:24" x14ac:dyDescent="0.3">
      <c r="A5450" s="1" t="str">
        <f t="shared" si="1053"/>
        <v>59822</v>
      </c>
      <c r="B5450" s="1" t="s">
        <v>39</v>
      </c>
      <c r="C5450" s="1" t="s">
        <v>40</v>
      </c>
      <c r="D5450" s="1" t="str">
        <f t="shared" si="1054"/>
        <v>9801</v>
      </c>
      <c r="E5450" s="1" t="s">
        <v>25</v>
      </c>
      <c r="F5450" s="1" t="str">
        <f>"619F1761882804001C00000000000000"</f>
        <v>619F1761882804001C00000000000000</v>
      </c>
      <c r="G5450" s="1" t="s">
        <v>58</v>
      </c>
      <c r="H5450" s="1" t="str">
        <f t="shared" ref="H5450:H5481" si="1055">"20220926"</f>
        <v>20220926</v>
      </c>
      <c r="I5450" s="1" t="str">
        <f>"063519"</f>
        <v>063519</v>
      </c>
      <c r="J5450" s="1" t="s">
        <v>28</v>
      </c>
      <c r="K5450" s="1" t="s">
        <v>28</v>
      </c>
      <c r="L5450" s="1" t="str">
        <f t="shared" ref="L5450:L5481" si="1056">"20220926"</f>
        <v>20220926</v>
      </c>
      <c r="M5450" s="1" t="str">
        <f>"065457"</f>
        <v>065457</v>
      </c>
      <c r="N5450" s="1" t="s">
        <v>65</v>
      </c>
      <c r="O5450" s="1" t="s">
        <v>52</v>
      </c>
      <c r="P5450" s="1" t="s">
        <v>55</v>
      </c>
      <c r="Q5450" s="1">
        <v>25</v>
      </c>
      <c r="R5450" s="1">
        <v>0</v>
      </c>
      <c r="S5450" s="1">
        <v>25</v>
      </c>
      <c r="T5450" s="1">
        <v>0</v>
      </c>
      <c r="U5450" s="1">
        <v>0</v>
      </c>
      <c r="V5450" s="1" t="str">
        <f t="shared" si="1052"/>
        <v>里程返程</v>
      </c>
      <c r="W5450" s="1" t="str">
        <f>"0620"</f>
        <v>0620</v>
      </c>
      <c r="X5450" s="1" t="s">
        <v>29</v>
      </c>
    </row>
    <row r="5451" spans="1:24" x14ac:dyDescent="0.3">
      <c r="A5451" s="1" t="str">
        <f t="shared" si="1053"/>
        <v>59822</v>
      </c>
      <c r="B5451" s="1" t="s">
        <v>39</v>
      </c>
      <c r="C5451" s="1" t="s">
        <v>40</v>
      </c>
      <c r="D5451" s="1" t="str">
        <f t="shared" si="1054"/>
        <v>9801</v>
      </c>
      <c r="E5451" s="1" t="s">
        <v>25</v>
      </c>
      <c r="F5451" s="1" t="str">
        <f>"026A101860880400C814002000000019"</f>
        <v>026A101860880400C814002000000019</v>
      </c>
      <c r="G5451" s="1" t="s">
        <v>59</v>
      </c>
      <c r="H5451" s="1" t="str">
        <f t="shared" si="1055"/>
        <v>20220926</v>
      </c>
      <c r="I5451" s="1" t="str">
        <f>"063522"</f>
        <v>063522</v>
      </c>
      <c r="J5451" s="1" t="s">
        <v>28</v>
      </c>
      <c r="K5451" s="1" t="s">
        <v>28</v>
      </c>
      <c r="L5451" s="1" t="str">
        <f t="shared" si="1056"/>
        <v>20220926</v>
      </c>
      <c r="M5451" s="1" t="str">
        <f>"065614"</f>
        <v>065614</v>
      </c>
      <c r="N5451" s="1" t="s">
        <v>71</v>
      </c>
      <c r="O5451" s="1" t="s">
        <v>52</v>
      </c>
      <c r="P5451" s="1" t="s">
        <v>55</v>
      </c>
      <c r="Q5451" s="1">
        <v>25</v>
      </c>
      <c r="R5451" s="1">
        <v>0</v>
      </c>
      <c r="S5451" s="1">
        <v>25</v>
      </c>
      <c r="T5451" s="1">
        <v>0</v>
      </c>
      <c r="U5451" s="1">
        <v>0</v>
      </c>
      <c r="V5451" s="1" t="str">
        <f t="shared" si="1052"/>
        <v>里程返程</v>
      </c>
      <c r="W5451" s="1" t="str">
        <f>"0620"</f>
        <v>0620</v>
      </c>
      <c r="X5451" s="1" t="s">
        <v>29</v>
      </c>
    </row>
    <row r="5452" spans="1:24" x14ac:dyDescent="0.3">
      <c r="A5452" s="1" t="str">
        <f t="shared" si="1053"/>
        <v>59822</v>
      </c>
      <c r="B5452" s="1" t="s">
        <v>39</v>
      </c>
      <c r="C5452" s="1" t="s">
        <v>40</v>
      </c>
      <c r="D5452" s="1" t="str">
        <f t="shared" si="1054"/>
        <v>9801</v>
      </c>
      <c r="E5452" s="1" t="s">
        <v>25</v>
      </c>
      <c r="F5452" s="1" t="str">
        <f>"E2191918FA880400C819002000000019"</f>
        <v>E2191918FA880400C819002000000019</v>
      </c>
      <c r="G5452" s="1" t="s">
        <v>59</v>
      </c>
      <c r="H5452" s="1" t="str">
        <f t="shared" si="1055"/>
        <v>20220926</v>
      </c>
      <c r="I5452" s="1" t="str">
        <f>"063526"</f>
        <v>063526</v>
      </c>
      <c r="J5452" s="1" t="s">
        <v>28</v>
      </c>
      <c r="K5452" s="1" t="s">
        <v>28</v>
      </c>
      <c r="L5452" s="1" t="str">
        <f t="shared" si="1056"/>
        <v>20220926</v>
      </c>
      <c r="M5452" s="1" t="str">
        <f>"065611"</f>
        <v>065611</v>
      </c>
      <c r="N5452" s="1" t="s">
        <v>71</v>
      </c>
      <c r="O5452" s="1" t="s">
        <v>52</v>
      </c>
      <c r="P5452" s="1" t="s">
        <v>55</v>
      </c>
      <c r="Q5452" s="1">
        <v>25</v>
      </c>
      <c r="R5452" s="1">
        <v>0</v>
      </c>
      <c r="S5452" s="1">
        <v>25</v>
      </c>
      <c r="T5452" s="1">
        <v>0</v>
      </c>
      <c r="U5452" s="1">
        <v>0</v>
      </c>
      <c r="V5452" s="1" t="str">
        <f t="shared" si="1052"/>
        <v>里程返程</v>
      </c>
      <c r="W5452" s="1" t="str">
        <f>"0620"</f>
        <v>0620</v>
      </c>
      <c r="X5452" s="1" t="s">
        <v>29</v>
      </c>
    </row>
    <row r="5453" spans="1:24" x14ac:dyDescent="0.3">
      <c r="A5453" s="1" t="str">
        <f t="shared" si="1053"/>
        <v>59822</v>
      </c>
      <c r="B5453" s="1" t="s">
        <v>39</v>
      </c>
      <c r="C5453" s="1" t="s">
        <v>40</v>
      </c>
      <c r="D5453" s="1" t="str">
        <f t="shared" si="1054"/>
        <v>9801</v>
      </c>
      <c r="E5453" s="1" t="s">
        <v>25</v>
      </c>
      <c r="F5453" s="1" t="str">
        <f>"2893653869"</f>
        <v>2893653869</v>
      </c>
      <c r="G5453" s="1" t="s">
        <v>33</v>
      </c>
      <c r="H5453" s="1" t="str">
        <f t="shared" si="1055"/>
        <v>20220926</v>
      </c>
      <c r="I5453" s="1" t="str">
        <f>"070706"</f>
        <v>070706</v>
      </c>
      <c r="J5453" s="1" t="s">
        <v>100</v>
      </c>
      <c r="K5453" s="1" t="s">
        <v>45</v>
      </c>
      <c r="L5453" s="1" t="str">
        <f t="shared" si="1056"/>
        <v>20220926</v>
      </c>
      <c r="M5453" s="1" t="str">
        <f>"072518"</f>
        <v>072518</v>
      </c>
      <c r="N5453" s="1" t="s">
        <v>28</v>
      </c>
      <c r="O5453" s="1" t="s">
        <v>28</v>
      </c>
      <c r="P5453" s="1" t="s">
        <v>55</v>
      </c>
      <c r="Q5453" s="1">
        <v>25</v>
      </c>
      <c r="R5453" s="1">
        <v>25</v>
      </c>
      <c r="S5453" s="1">
        <v>0</v>
      </c>
      <c r="T5453" s="1">
        <v>0</v>
      </c>
      <c r="U5453" s="1">
        <v>0</v>
      </c>
      <c r="V5453" s="1" t="str">
        <f t="shared" si="1052"/>
        <v>里程返程</v>
      </c>
      <c r="W5453" s="1" t="str">
        <f>"2120"</f>
        <v>2120</v>
      </c>
      <c r="X5453" s="1" t="s">
        <v>35</v>
      </c>
    </row>
    <row r="5454" spans="1:24" x14ac:dyDescent="0.3">
      <c r="A5454" s="1" t="str">
        <f t="shared" si="1053"/>
        <v>59822</v>
      </c>
      <c r="B5454" s="1" t="s">
        <v>39</v>
      </c>
      <c r="C5454" s="1" t="s">
        <v>40</v>
      </c>
      <c r="D5454" s="1" t="str">
        <f t="shared" si="1054"/>
        <v>9801</v>
      </c>
      <c r="E5454" s="1" t="s">
        <v>25</v>
      </c>
      <c r="F5454" s="1" t="str">
        <f>"72BFE5022A880400C834002000000015"</f>
        <v>72BFE5022A880400C834002000000015</v>
      </c>
      <c r="G5454" s="1" t="s">
        <v>26</v>
      </c>
      <c r="H5454" s="1" t="str">
        <f t="shared" si="1055"/>
        <v>20220926</v>
      </c>
      <c r="I5454" s="1" t="str">
        <f>"071435"</f>
        <v>071435</v>
      </c>
      <c r="J5454" s="1" t="s">
        <v>56</v>
      </c>
      <c r="K5454" s="1" t="s">
        <v>45</v>
      </c>
      <c r="L5454" s="1" t="str">
        <f t="shared" si="1056"/>
        <v>20220926</v>
      </c>
      <c r="M5454" s="1" t="str">
        <f>"072510"</f>
        <v>072510</v>
      </c>
      <c r="N5454" s="1" t="s">
        <v>28</v>
      </c>
      <c r="O5454" s="1" t="s">
        <v>28</v>
      </c>
      <c r="P5454" s="1" t="s">
        <v>68</v>
      </c>
      <c r="Q5454" s="1">
        <v>13</v>
      </c>
      <c r="R5454" s="1">
        <v>0</v>
      </c>
      <c r="S5454" s="1">
        <v>0</v>
      </c>
      <c r="T5454" s="1">
        <v>13</v>
      </c>
      <c r="U5454" s="1">
        <v>0</v>
      </c>
      <c r="V5454" s="1" t="str">
        <f t="shared" si="1052"/>
        <v>里程返程</v>
      </c>
      <c r="W5454" s="1" t="str">
        <f>"0020"</f>
        <v>0020</v>
      </c>
      <c r="X5454" s="1" t="s">
        <v>29</v>
      </c>
    </row>
    <row r="5455" spans="1:24" x14ac:dyDescent="0.3">
      <c r="A5455" s="1" t="str">
        <f t="shared" si="1053"/>
        <v>59822</v>
      </c>
      <c r="B5455" s="1" t="s">
        <v>39</v>
      </c>
      <c r="C5455" s="1" t="s">
        <v>40</v>
      </c>
      <c r="D5455" s="1" t="str">
        <f t="shared" si="1054"/>
        <v>9801</v>
      </c>
      <c r="E5455" s="1" t="s">
        <v>25</v>
      </c>
      <c r="F5455" s="1" t="str">
        <f>"82730F18E6880400C814002000000019"</f>
        <v>82730F18E6880400C814002000000019</v>
      </c>
      <c r="G5455" s="1" t="s">
        <v>59</v>
      </c>
      <c r="H5455" s="1" t="str">
        <f t="shared" si="1055"/>
        <v>20220926</v>
      </c>
      <c r="I5455" s="1" t="str">
        <f>"072524"</f>
        <v>072524</v>
      </c>
      <c r="J5455" s="1" t="s">
        <v>28</v>
      </c>
      <c r="K5455" s="1" t="s">
        <v>28</v>
      </c>
      <c r="L5455" s="1" t="str">
        <f t="shared" si="1056"/>
        <v>20220926</v>
      </c>
      <c r="M5455" s="1" t="str">
        <f>"074454"</f>
        <v>074454</v>
      </c>
      <c r="N5455" s="1" t="s">
        <v>72</v>
      </c>
      <c r="O5455" s="1" t="s">
        <v>52</v>
      </c>
      <c r="P5455" s="1" t="s">
        <v>55</v>
      </c>
      <c r="Q5455" s="1">
        <v>25</v>
      </c>
      <c r="R5455" s="1">
        <v>0</v>
      </c>
      <c r="S5455" s="1">
        <v>25</v>
      </c>
      <c r="T5455" s="1">
        <v>0</v>
      </c>
      <c r="U5455" s="1">
        <v>0</v>
      </c>
      <c r="V5455" s="1" t="str">
        <f t="shared" si="1052"/>
        <v>里程返程</v>
      </c>
      <c r="W5455" s="1" t="str">
        <f>"0620"</f>
        <v>0620</v>
      </c>
      <c r="X5455" s="1" t="s">
        <v>29</v>
      </c>
    </row>
    <row r="5456" spans="1:24" x14ac:dyDescent="0.3">
      <c r="A5456" s="1" t="str">
        <f t="shared" si="1053"/>
        <v>59822</v>
      </c>
      <c r="B5456" s="1" t="s">
        <v>39</v>
      </c>
      <c r="C5456" s="1" t="s">
        <v>40</v>
      </c>
      <c r="D5456" s="1" t="str">
        <f t="shared" si="1054"/>
        <v>9801</v>
      </c>
      <c r="E5456" s="1" t="s">
        <v>25</v>
      </c>
      <c r="F5456" s="1" t="str">
        <f>"62F00B1881880400C814002000000019"</f>
        <v>62F00B1881880400C814002000000019</v>
      </c>
      <c r="G5456" s="1" t="s">
        <v>59</v>
      </c>
      <c r="H5456" s="1" t="str">
        <f t="shared" si="1055"/>
        <v>20220926</v>
      </c>
      <c r="I5456" s="1" t="str">
        <f>"072526"</f>
        <v>072526</v>
      </c>
      <c r="J5456" s="1" t="s">
        <v>28</v>
      </c>
      <c r="K5456" s="1" t="s">
        <v>28</v>
      </c>
      <c r="L5456" s="1" t="str">
        <f t="shared" si="1056"/>
        <v>20220926</v>
      </c>
      <c r="M5456" s="1" t="str">
        <f>"074457"</f>
        <v>074457</v>
      </c>
      <c r="N5456" s="1" t="s">
        <v>72</v>
      </c>
      <c r="O5456" s="1" t="s">
        <v>52</v>
      </c>
      <c r="P5456" s="1" t="s">
        <v>55</v>
      </c>
      <c r="Q5456" s="1">
        <v>25</v>
      </c>
      <c r="R5456" s="1">
        <v>0</v>
      </c>
      <c r="S5456" s="1">
        <v>25</v>
      </c>
      <c r="T5456" s="1">
        <v>0</v>
      </c>
      <c r="U5456" s="1">
        <v>0</v>
      </c>
      <c r="V5456" s="1" t="str">
        <f t="shared" si="1052"/>
        <v>里程返程</v>
      </c>
      <c r="W5456" s="1" t="str">
        <f>"0620"</f>
        <v>0620</v>
      </c>
      <c r="X5456" s="1" t="s">
        <v>29</v>
      </c>
    </row>
    <row r="5457" spans="1:24" x14ac:dyDescent="0.3">
      <c r="A5457" s="1" t="str">
        <f t="shared" si="1053"/>
        <v>59822</v>
      </c>
      <c r="B5457" s="1" t="s">
        <v>39</v>
      </c>
      <c r="C5457" s="1" t="s">
        <v>40</v>
      </c>
      <c r="D5457" s="1" t="str">
        <f t="shared" si="1054"/>
        <v>9801</v>
      </c>
      <c r="E5457" s="1" t="s">
        <v>25</v>
      </c>
      <c r="F5457" s="1" t="str">
        <f>"1204061808880400C814002000000019"</f>
        <v>1204061808880400C814002000000019</v>
      </c>
      <c r="G5457" s="1" t="s">
        <v>59</v>
      </c>
      <c r="H5457" s="1" t="str">
        <f t="shared" si="1055"/>
        <v>20220926</v>
      </c>
      <c r="I5457" s="1" t="str">
        <f>"072530"</f>
        <v>072530</v>
      </c>
      <c r="J5457" s="1" t="s">
        <v>28</v>
      </c>
      <c r="K5457" s="1" t="s">
        <v>28</v>
      </c>
      <c r="L5457" s="1" t="str">
        <f t="shared" si="1056"/>
        <v>20220926</v>
      </c>
      <c r="M5457" s="1" t="str">
        <f>"074451"</f>
        <v>074451</v>
      </c>
      <c r="N5457" s="1" t="s">
        <v>72</v>
      </c>
      <c r="O5457" s="1" t="s">
        <v>52</v>
      </c>
      <c r="P5457" s="1" t="s">
        <v>55</v>
      </c>
      <c r="Q5457" s="1">
        <v>25</v>
      </c>
      <c r="R5457" s="1">
        <v>0</v>
      </c>
      <c r="S5457" s="1">
        <v>25</v>
      </c>
      <c r="T5457" s="1">
        <v>0</v>
      </c>
      <c r="U5457" s="1">
        <v>0</v>
      </c>
      <c r="V5457" s="1" t="str">
        <f t="shared" si="1052"/>
        <v>里程返程</v>
      </c>
      <c r="W5457" s="1" t="str">
        <f>"0620"</f>
        <v>0620</v>
      </c>
      <c r="X5457" s="1" t="s">
        <v>29</v>
      </c>
    </row>
    <row r="5458" spans="1:24" x14ac:dyDescent="0.3">
      <c r="A5458" s="1" t="str">
        <f t="shared" si="1053"/>
        <v>59822</v>
      </c>
      <c r="B5458" s="1" t="s">
        <v>39</v>
      </c>
      <c r="C5458" s="1" t="s">
        <v>40</v>
      </c>
      <c r="D5458" s="1" t="str">
        <f t="shared" si="1054"/>
        <v>9801</v>
      </c>
      <c r="E5458" s="1" t="s">
        <v>25</v>
      </c>
      <c r="F5458" s="1" t="str">
        <f>"825D0C18CB880400C814002000000019"</f>
        <v>825D0C18CB880400C814002000000019</v>
      </c>
      <c r="G5458" s="1" t="s">
        <v>59</v>
      </c>
      <c r="H5458" s="1" t="str">
        <f t="shared" si="1055"/>
        <v>20220926</v>
      </c>
      <c r="I5458" s="1" t="str">
        <f>"072533"</f>
        <v>072533</v>
      </c>
      <c r="J5458" s="1" t="s">
        <v>28</v>
      </c>
      <c r="K5458" s="1" t="s">
        <v>28</v>
      </c>
      <c r="L5458" s="1" t="str">
        <f t="shared" si="1056"/>
        <v>20220926</v>
      </c>
      <c r="M5458" s="1" t="str">
        <f>"075240"</f>
        <v>075240</v>
      </c>
      <c r="N5458" s="1" t="s">
        <v>52</v>
      </c>
      <c r="O5458" s="1" t="s">
        <v>52</v>
      </c>
      <c r="P5458" s="1" t="s">
        <v>55</v>
      </c>
      <c r="Q5458" s="1">
        <v>25</v>
      </c>
      <c r="R5458" s="1">
        <v>0</v>
      </c>
      <c r="S5458" s="1">
        <v>25</v>
      </c>
      <c r="T5458" s="1">
        <v>0</v>
      </c>
      <c r="U5458" s="1">
        <v>0</v>
      </c>
      <c r="V5458" s="1" t="str">
        <f t="shared" si="1052"/>
        <v>里程返程</v>
      </c>
      <c r="W5458" s="1" t="str">
        <f>"0620"</f>
        <v>0620</v>
      </c>
      <c r="X5458" s="1" t="s">
        <v>29</v>
      </c>
    </row>
    <row r="5459" spans="1:24" x14ac:dyDescent="0.3">
      <c r="A5459" s="1" t="str">
        <f t="shared" si="1053"/>
        <v>59822</v>
      </c>
      <c r="B5459" s="1" t="s">
        <v>39</v>
      </c>
      <c r="C5459" s="1" t="s">
        <v>40</v>
      </c>
      <c r="D5459" s="1" t="str">
        <f t="shared" si="1054"/>
        <v>9801</v>
      </c>
      <c r="E5459" s="1" t="s">
        <v>25</v>
      </c>
      <c r="F5459" s="1" t="str">
        <f>"72CEE3124D28040080CEBCD765212818"</f>
        <v>72CEE3124D28040080CEBCD765212818</v>
      </c>
      <c r="G5459" s="1" t="s">
        <v>58</v>
      </c>
      <c r="H5459" s="1" t="str">
        <f t="shared" si="1055"/>
        <v>20220926</v>
      </c>
      <c r="I5459" s="1" t="str">
        <f>"072537"</f>
        <v>072537</v>
      </c>
      <c r="J5459" s="1" t="s">
        <v>28</v>
      </c>
      <c r="K5459" s="1" t="s">
        <v>28</v>
      </c>
      <c r="L5459" s="1" t="str">
        <f t="shared" si="1056"/>
        <v>20220926</v>
      </c>
      <c r="M5459" s="1" t="str">
        <f>"074409"</f>
        <v>074409</v>
      </c>
      <c r="N5459" s="1" t="s">
        <v>65</v>
      </c>
      <c r="O5459" s="1" t="s">
        <v>52</v>
      </c>
      <c r="P5459" s="1" t="s">
        <v>55</v>
      </c>
      <c r="Q5459" s="1">
        <v>25</v>
      </c>
      <c r="R5459" s="1">
        <v>0</v>
      </c>
      <c r="S5459" s="1">
        <v>25</v>
      </c>
      <c r="T5459" s="1">
        <v>0</v>
      </c>
      <c r="U5459" s="1">
        <v>0</v>
      </c>
      <c r="V5459" s="1" t="str">
        <f t="shared" si="1052"/>
        <v>里程返程</v>
      </c>
      <c r="W5459" s="1" t="str">
        <f>"0620"</f>
        <v>0620</v>
      </c>
      <c r="X5459" s="1" t="s">
        <v>29</v>
      </c>
    </row>
    <row r="5460" spans="1:24" x14ac:dyDescent="0.3">
      <c r="A5460" s="1" t="str">
        <f t="shared" si="1053"/>
        <v>59822</v>
      </c>
      <c r="B5460" s="1" t="s">
        <v>39</v>
      </c>
      <c r="C5460" s="1" t="s">
        <v>40</v>
      </c>
      <c r="D5460" s="1" t="str">
        <f t="shared" si="1054"/>
        <v>9801</v>
      </c>
      <c r="E5460" s="1" t="s">
        <v>25</v>
      </c>
      <c r="F5460" s="1" t="str">
        <f>"1324246865"</f>
        <v>1324246865</v>
      </c>
      <c r="G5460" s="1" t="s">
        <v>33</v>
      </c>
      <c r="H5460" s="1" t="str">
        <f t="shared" si="1055"/>
        <v>20220926</v>
      </c>
      <c r="I5460" s="1" t="str">
        <f>"072755"</f>
        <v>072755</v>
      </c>
      <c r="J5460" s="1" t="s">
        <v>85</v>
      </c>
      <c r="K5460" s="1" t="s">
        <v>28</v>
      </c>
      <c r="L5460" s="1" t="str">
        <f t="shared" si="1056"/>
        <v>20220926</v>
      </c>
      <c r="M5460" s="1" t="str">
        <f>"074156"</f>
        <v>074156</v>
      </c>
      <c r="N5460" s="1" t="s">
        <v>97</v>
      </c>
      <c r="O5460" s="1" t="s">
        <v>52</v>
      </c>
      <c r="P5460" s="1" t="s">
        <v>55</v>
      </c>
      <c r="Q5460" s="1">
        <v>25</v>
      </c>
      <c r="R5460" s="1">
        <v>25</v>
      </c>
      <c r="S5460" s="1">
        <v>0</v>
      </c>
      <c r="T5460" s="1">
        <v>0</v>
      </c>
      <c r="U5460" s="1">
        <v>0</v>
      </c>
      <c r="V5460" s="1" t="str">
        <f t="shared" si="1052"/>
        <v>里程返程</v>
      </c>
      <c r="W5460" s="1" t="str">
        <f>"2020"</f>
        <v>2020</v>
      </c>
      <c r="X5460" s="1" t="s">
        <v>35</v>
      </c>
    </row>
    <row r="5461" spans="1:24" x14ac:dyDescent="0.3">
      <c r="A5461" s="1" t="str">
        <f t="shared" si="1053"/>
        <v>59822</v>
      </c>
      <c r="B5461" s="1" t="s">
        <v>39</v>
      </c>
      <c r="C5461" s="1" t="s">
        <v>40</v>
      </c>
      <c r="D5461" s="1" t="str">
        <f t="shared" si="1054"/>
        <v>9801</v>
      </c>
      <c r="E5461" s="1" t="s">
        <v>25</v>
      </c>
      <c r="F5461" s="1" t="str">
        <f>"32780D0344880400C834002000000015"</f>
        <v>32780D0344880400C834002000000015</v>
      </c>
      <c r="G5461" s="1" t="s">
        <v>26</v>
      </c>
      <c r="H5461" s="1" t="str">
        <f t="shared" si="1055"/>
        <v>20220926</v>
      </c>
      <c r="I5461" s="1" t="str">
        <f>"072757"</f>
        <v>072757</v>
      </c>
      <c r="J5461" s="1" t="s">
        <v>85</v>
      </c>
      <c r="K5461" s="1" t="s">
        <v>28</v>
      </c>
      <c r="L5461" s="1" t="str">
        <f t="shared" si="1056"/>
        <v>20220926</v>
      </c>
      <c r="M5461" s="1" t="str">
        <f>"074414"</f>
        <v>074414</v>
      </c>
      <c r="N5461" s="1" t="s">
        <v>65</v>
      </c>
      <c r="O5461" s="1" t="s">
        <v>52</v>
      </c>
      <c r="P5461" s="1" t="s">
        <v>68</v>
      </c>
      <c r="Q5461" s="1">
        <v>13</v>
      </c>
      <c r="R5461" s="1">
        <v>0</v>
      </c>
      <c r="S5461" s="1">
        <v>0</v>
      </c>
      <c r="T5461" s="1">
        <v>13</v>
      </c>
      <c r="U5461" s="1">
        <v>0</v>
      </c>
      <c r="V5461" s="1" t="str">
        <f t="shared" si="1052"/>
        <v>里程返程</v>
      </c>
      <c r="W5461" s="1" t="str">
        <f>"0020"</f>
        <v>0020</v>
      </c>
      <c r="X5461" s="1" t="s">
        <v>29</v>
      </c>
    </row>
    <row r="5462" spans="1:24" x14ac:dyDescent="0.3">
      <c r="A5462" s="1" t="str">
        <f t="shared" si="1053"/>
        <v>59822</v>
      </c>
      <c r="B5462" s="1" t="s">
        <v>39</v>
      </c>
      <c r="C5462" s="1" t="s">
        <v>40</v>
      </c>
      <c r="D5462" s="1" t="str">
        <f t="shared" si="1054"/>
        <v>9801</v>
      </c>
      <c r="E5462" s="1" t="s">
        <v>25</v>
      </c>
      <c r="F5462" s="1" t="str">
        <f>"1759959808"</f>
        <v>1759959808</v>
      </c>
      <c r="G5462" s="1" t="s">
        <v>33</v>
      </c>
      <c r="H5462" s="1" t="str">
        <f t="shared" si="1055"/>
        <v>20220926</v>
      </c>
      <c r="I5462" s="1" t="str">
        <f>"074041"</f>
        <v>074041</v>
      </c>
      <c r="J5462" s="1" t="s">
        <v>80</v>
      </c>
      <c r="K5462" s="1" t="s">
        <v>52</v>
      </c>
      <c r="L5462" s="1" t="str">
        <f t="shared" si="1056"/>
        <v>20220926</v>
      </c>
      <c r="M5462" s="1" t="str">
        <f>"074818"</f>
        <v>074818</v>
      </c>
      <c r="N5462" s="1" t="s">
        <v>60</v>
      </c>
      <c r="O5462" s="1" t="s">
        <v>52</v>
      </c>
      <c r="P5462" s="1" t="s">
        <v>55</v>
      </c>
      <c r="Q5462" s="1">
        <v>25</v>
      </c>
      <c r="R5462" s="1">
        <v>25</v>
      </c>
      <c r="S5462" s="1">
        <v>0</v>
      </c>
      <c r="T5462" s="1">
        <v>0</v>
      </c>
      <c r="U5462" s="1">
        <v>0</v>
      </c>
      <c r="V5462" s="1" t="str">
        <f t="shared" si="1052"/>
        <v>里程返程</v>
      </c>
      <c r="W5462" s="1" t="str">
        <f>"2020"</f>
        <v>2020</v>
      </c>
      <c r="X5462" s="1" t="s">
        <v>35</v>
      </c>
    </row>
    <row r="5463" spans="1:24" x14ac:dyDescent="0.3">
      <c r="A5463" s="1" t="str">
        <f t="shared" si="1053"/>
        <v>59822</v>
      </c>
      <c r="B5463" s="1" t="s">
        <v>39</v>
      </c>
      <c r="C5463" s="1" t="s">
        <v>40</v>
      </c>
      <c r="D5463" s="1" t="str">
        <f t="shared" si="1054"/>
        <v>9801</v>
      </c>
      <c r="E5463" s="1" t="s">
        <v>25</v>
      </c>
      <c r="F5463" s="1" t="str">
        <f>"A2A0E602E6880400C834002000000015"</f>
        <v>A2A0E602E6880400C834002000000015</v>
      </c>
      <c r="G5463" s="1" t="s">
        <v>74</v>
      </c>
      <c r="H5463" s="1" t="str">
        <f t="shared" si="1055"/>
        <v>20220926</v>
      </c>
      <c r="I5463" s="1" t="str">
        <f>"075321"</f>
        <v>075321</v>
      </c>
      <c r="J5463" s="1" t="s">
        <v>52</v>
      </c>
      <c r="K5463" s="1" t="s">
        <v>52</v>
      </c>
      <c r="L5463" s="1" t="str">
        <f t="shared" si="1056"/>
        <v>20220926</v>
      </c>
      <c r="M5463" s="1" t="str">
        <f>"080642"</f>
        <v>080642</v>
      </c>
      <c r="N5463" s="1" t="s">
        <v>60</v>
      </c>
      <c r="O5463" s="1" t="s">
        <v>52</v>
      </c>
      <c r="P5463" s="1" t="s">
        <v>68</v>
      </c>
      <c r="Q5463" s="1">
        <v>13</v>
      </c>
      <c r="R5463" s="1">
        <v>0</v>
      </c>
      <c r="S5463" s="1">
        <v>0</v>
      </c>
      <c r="T5463" s="1">
        <v>13</v>
      </c>
      <c r="U5463" s="1">
        <v>0</v>
      </c>
      <c r="V5463" s="1" t="str">
        <f t="shared" ref="V5463:V5469" si="1057">"里程去程"</f>
        <v>里程去程</v>
      </c>
      <c r="W5463" s="1" t="str">
        <f>"0020"</f>
        <v>0020</v>
      </c>
      <c r="X5463" s="1" t="s">
        <v>29</v>
      </c>
    </row>
    <row r="5464" spans="1:24" x14ac:dyDescent="0.3">
      <c r="A5464" s="1" t="str">
        <f t="shared" si="1053"/>
        <v>59822</v>
      </c>
      <c r="B5464" s="1" t="s">
        <v>39</v>
      </c>
      <c r="C5464" s="1" t="s">
        <v>40</v>
      </c>
      <c r="D5464" s="1" t="str">
        <f t="shared" si="1054"/>
        <v>9801</v>
      </c>
      <c r="E5464" s="1" t="s">
        <v>25</v>
      </c>
      <c r="F5464" s="1" t="str">
        <f>"0117A72B9A280400F700000000000000"</f>
        <v>0117A72B9A280400F700000000000000</v>
      </c>
      <c r="G5464" s="1" t="s">
        <v>58</v>
      </c>
      <c r="H5464" s="1" t="str">
        <f t="shared" si="1055"/>
        <v>20220926</v>
      </c>
      <c r="I5464" s="1" t="str">
        <f>"083204"</f>
        <v>083204</v>
      </c>
      <c r="J5464" s="1" t="s">
        <v>27</v>
      </c>
      <c r="K5464" s="1" t="s">
        <v>28</v>
      </c>
      <c r="L5464" s="1" t="str">
        <f t="shared" si="1056"/>
        <v>20220926</v>
      </c>
      <c r="M5464" s="1" t="str">
        <f>"084610"</f>
        <v>084610</v>
      </c>
      <c r="N5464" s="1" t="s">
        <v>61</v>
      </c>
      <c r="O5464" s="1" t="s">
        <v>45</v>
      </c>
      <c r="P5464" s="1" t="s">
        <v>55</v>
      </c>
      <c r="Q5464" s="1">
        <v>25</v>
      </c>
      <c r="R5464" s="1">
        <v>0</v>
      </c>
      <c r="S5464" s="1">
        <v>25</v>
      </c>
      <c r="T5464" s="1">
        <v>0</v>
      </c>
      <c r="U5464" s="1">
        <v>0</v>
      </c>
      <c r="V5464" s="1" t="str">
        <f t="shared" si="1057"/>
        <v>里程去程</v>
      </c>
      <c r="W5464" s="1" t="str">
        <f>"0620"</f>
        <v>0620</v>
      </c>
      <c r="X5464" s="1" t="s">
        <v>29</v>
      </c>
    </row>
    <row r="5465" spans="1:24" x14ac:dyDescent="0.3">
      <c r="A5465" s="1" t="str">
        <f t="shared" si="1053"/>
        <v>59822</v>
      </c>
      <c r="B5465" s="1" t="s">
        <v>39</v>
      </c>
      <c r="C5465" s="1" t="s">
        <v>40</v>
      </c>
      <c r="D5465" s="1" t="str">
        <f t="shared" si="1054"/>
        <v>9801</v>
      </c>
      <c r="E5465" s="1" t="s">
        <v>25</v>
      </c>
      <c r="F5465" s="1" t="str">
        <f>"1660415157"</f>
        <v>1660415157</v>
      </c>
      <c r="G5465" s="1" t="s">
        <v>33</v>
      </c>
      <c r="H5465" s="1" t="str">
        <f t="shared" si="1055"/>
        <v>20220926</v>
      </c>
      <c r="I5465" s="1" t="str">
        <f>"083211"</f>
        <v>083211</v>
      </c>
      <c r="J5465" s="1" t="s">
        <v>27</v>
      </c>
      <c r="K5465" s="1" t="s">
        <v>28</v>
      </c>
      <c r="L5465" s="1" t="str">
        <f t="shared" si="1056"/>
        <v>20220926</v>
      </c>
      <c r="M5465" s="1" t="str">
        <f>"085736"</f>
        <v>085736</v>
      </c>
      <c r="N5465" s="1" t="s">
        <v>44</v>
      </c>
      <c r="O5465" s="1" t="s">
        <v>45</v>
      </c>
      <c r="P5465" s="1" t="s">
        <v>55</v>
      </c>
      <c r="Q5465" s="1">
        <v>25</v>
      </c>
      <c r="R5465" s="1">
        <v>0</v>
      </c>
      <c r="S5465" s="1">
        <v>25</v>
      </c>
      <c r="T5465" s="1">
        <v>0</v>
      </c>
      <c r="U5465" s="1">
        <v>0</v>
      </c>
      <c r="V5465" s="1" t="str">
        <f t="shared" si="1057"/>
        <v>里程去程</v>
      </c>
      <c r="W5465" s="1" t="str">
        <f>"0820"</f>
        <v>0820</v>
      </c>
      <c r="X5465" s="1" t="s">
        <v>35</v>
      </c>
    </row>
    <row r="5466" spans="1:24" x14ac:dyDescent="0.3">
      <c r="A5466" s="1" t="str">
        <f t="shared" si="1053"/>
        <v>59822</v>
      </c>
      <c r="B5466" s="1" t="s">
        <v>39</v>
      </c>
      <c r="C5466" s="1" t="s">
        <v>40</v>
      </c>
      <c r="D5466" s="1" t="str">
        <f t="shared" si="1054"/>
        <v>9801</v>
      </c>
      <c r="E5466" s="1" t="s">
        <v>25</v>
      </c>
      <c r="F5466" s="1" t="str">
        <f>"42F7E50252880400C834002000000015"</f>
        <v>42F7E50252880400C834002000000015</v>
      </c>
      <c r="G5466" s="1" t="s">
        <v>26</v>
      </c>
      <c r="H5466" s="1" t="str">
        <f t="shared" si="1055"/>
        <v>20220926</v>
      </c>
      <c r="I5466" s="1" t="str">
        <f>"083227"</f>
        <v>083227</v>
      </c>
      <c r="J5466" s="1" t="s">
        <v>27</v>
      </c>
      <c r="K5466" s="1" t="s">
        <v>28</v>
      </c>
      <c r="L5466" s="1" t="str">
        <f t="shared" si="1056"/>
        <v>20220926</v>
      </c>
      <c r="M5466" s="1" t="str">
        <f>"085729"</f>
        <v>085729</v>
      </c>
      <c r="N5466" s="1" t="s">
        <v>44</v>
      </c>
      <c r="O5466" s="1" t="s">
        <v>45</v>
      </c>
      <c r="P5466" s="1" t="s">
        <v>68</v>
      </c>
      <c r="Q5466" s="1">
        <v>13</v>
      </c>
      <c r="R5466" s="1">
        <v>0</v>
      </c>
      <c r="S5466" s="1">
        <v>0</v>
      </c>
      <c r="T5466" s="1">
        <v>13</v>
      </c>
      <c r="U5466" s="1">
        <v>0</v>
      </c>
      <c r="V5466" s="1" t="str">
        <f t="shared" si="1057"/>
        <v>里程去程</v>
      </c>
      <c r="W5466" s="1" t="str">
        <f>"0020"</f>
        <v>0020</v>
      </c>
      <c r="X5466" s="1" t="s">
        <v>29</v>
      </c>
    </row>
    <row r="5467" spans="1:24" x14ac:dyDescent="0.3">
      <c r="A5467" s="1" t="str">
        <f t="shared" si="1053"/>
        <v>59822</v>
      </c>
      <c r="B5467" s="1" t="s">
        <v>39</v>
      </c>
      <c r="C5467" s="1" t="s">
        <v>40</v>
      </c>
      <c r="D5467" s="1" t="str">
        <f t="shared" si="1054"/>
        <v>9801</v>
      </c>
      <c r="E5467" s="1" t="s">
        <v>25</v>
      </c>
      <c r="F5467" s="1" t="str">
        <f>"E213BD024E880400C834002000000015"</f>
        <v>E213BD024E880400C834002000000015</v>
      </c>
      <c r="G5467" s="1" t="s">
        <v>74</v>
      </c>
      <c r="H5467" s="1" t="str">
        <f t="shared" si="1055"/>
        <v>20220926</v>
      </c>
      <c r="I5467" s="1" t="str">
        <f>"093224"</f>
        <v>093224</v>
      </c>
      <c r="J5467" s="1" t="s">
        <v>27</v>
      </c>
      <c r="K5467" s="1" t="s">
        <v>28</v>
      </c>
      <c r="L5467" s="1" t="str">
        <f t="shared" si="1056"/>
        <v>20220926</v>
      </c>
      <c r="M5467" s="1" t="str">
        <f>"094507"</f>
        <v>094507</v>
      </c>
      <c r="N5467" s="1" t="s">
        <v>61</v>
      </c>
      <c r="O5467" s="1" t="s">
        <v>45</v>
      </c>
      <c r="P5467" s="1" t="s">
        <v>68</v>
      </c>
      <c r="Q5467" s="1">
        <v>13</v>
      </c>
      <c r="R5467" s="1">
        <v>0</v>
      </c>
      <c r="S5467" s="1">
        <v>0</v>
      </c>
      <c r="T5467" s="1">
        <v>13</v>
      </c>
      <c r="U5467" s="1">
        <v>0</v>
      </c>
      <c r="V5467" s="1" t="str">
        <f t="shared" si="1057"/>
        <v>里程去程</v>
      </c>
      <c r="W5467" s="1" t="str">
        <f>"0020"</f>
        <v>0020</v>
      </c>
      <c r="X5467" s="1" t="s">
        <v>29</v>
      </c>
    </row>
    <row r="5468" spans="1:24" x14ac:dyDescent="0.3">
      <c r="A5468" s="1" t="str">
        <f t="shared" si="1053"/>
        <v>59822</v>
      </c>
      <c r="B5468" s="1" t="s">
        <v>39</v>
      </c>
      <c r="C5468" s="1" t="s">
        <v>40</v>
      </c>
      <c r="D5468" s="1" t="str">
        <f t="shared" si="1054"/>
        <v>9801</v>
      </c>
      <c r="E5468" s="1" t="s">
        <v>25</v>
      </c>
      <c r="F5468" s="1" t="str">
        <f>"1727701397"</f>
        <v>1727701397</v>
      </c>
      <c r="G5468" s="1" t="s">
        <v>33</v>
      </c>
      <c r="H5468" s="1" t="str">
        <f t="shared" si="1055"/>
        <v>20220926</v>
      </c>
      <c r="I5468" s="1" t="str">
        <f>"093231"</f>
        <v>093231</v>
      </c>
      <c r="J5468" s="1" t="s">
        <v>27</v>
      </c>
      <c r="K5468" s="1" t="s">
        <v>28</v>
      </c>
      <c r="L5468" s="1" t="str">
        <f t="shared" si="1056"/>
        <v>20220926</v>
      </c>
      <c r="M5468" s="1" t="str">
        <f>"095422"</f>
        <v>095422</v>
      </c>
      <c r="N5468" s="1" t="s">
        <v>44</v>
      </c>
      <c r="O5468" s="1" t="s">
        <v>45</v>
      </c>
      <c r="P5468" s="1" t="s">
        <v>55</v>
      </c>
      <c r="Q5468" s="1">
        <v>25</v>
      </c>
      <c r="R5468" s="1">
        <v>0</v>
      </c>
      <c r="S5468" s="1">
        <v>25</v>
      </c>
      <c r="T5468" s="1">
        <v>0</v>
      </c>
      <c r="U5468" s="1">
        <v>0</v>
      </c>
      <c r="V5468" s="1" t="str">
        <f t="shared" si="1057"/>
        <v>里程去程</v>
      </c>
      <c r="W5468" s="1" t="str">
        <f>"0820"</f>
        <v>0820</v>
      </c>
      <c r="X5468" s="1" t="s">
        <v>35</v>
      </c>
    </row>
    <row r="5469" spans="1:24" x14ac:dyDescent="0.3">
      <c r="A5469" s="1" t="str">
        <f t="shared" si="1053"/>
        <v>59822</v>
      </c>
      <c r="B5469" s="1" t="s">
        <v>39</v>
      </c>
      <c r="C5469" s="1" t="s">
        <v>40</v>
      </c>
      <c r="D5469" s="1" t="str">
        <f t="shared" si="1054"/>
        <v>9801</v>
      </c>
      <c r="E5469" s="1" t="s">
        <v>25</v>
      </c>
      <c r="F5469" s="1" t="str">
        <f>"1221623937"</f>
        <v>1221623937</v>
      </c>
      <c r="G5469" s="1" t="s">
        <v>33</v>
      </c>
      <c r="H5469" s="1" t="str">
        <f t="shared" si="1055"/>
        <v>20220926</v>
      </c>
      <c r="I5469" s="1" t="str">
        <f>"093244"</f>
        <v>093244</v>
      </c>
      <c r="J5469" s="1" t="s">
        <v>27</v>
      </c>
      <c r="K5469" s="1" t="s">
        <v>28</v>
      </c>
      <c r="L5469" s="1" t="str">
        <f t="shared" si="1056"/>
        <v>20220926</v>
      </c>
      <c r="M5469" s="1" t="str">
        <f>"094300"</f>
        <v>094300</v>
      </c>
      <c r="N5469" s="1" t="s">
        <v>45</v>
      </c>
      <c r="O5469" s="1" t="s">
        <v>45</v>
      </c>
      <c r="P5469" s="1" t="s">
        <v>55</v>
      </c>
      <c r="Q5469" s="1">
        <v>25</v>
      </c>
      <c r="R5469" s="1">
        <v>25</v>
      </c>
      <c r="S5469" s="1">
        <v>0</v>
      </c>
      <c r="T5469" s="1">
        <v>0</v>
      </c>
      <c r="U5469" s="1">
        <v>0</v>
      </c>
      <c r="V5469" s="1" t="str">
        <f t="shared" si="1057"/>
        <v>里程去程</v>
      </c>
      <c r="W5469" s="1" t="str">
        <f>"0020"</f>
        <v>0020</v>
      </c>
      <c r="X5469" s="1" t="s">
        <v>35</v>
      </c>
    </row>
    <row r="5470" spans="1:24" x14ac:dyDescent="0.3">
      <c r="A5470" s="1" t="str">
        <f t="shared" si="1053"/>
        <v>59822</v>
      </c>
      <c r="B5470" s="1" t="s">
        <v>39</v>
      </c>
      <c r="C5470" s="1" t="s">
        <v>40</v>
      </c>
      <c r="D5470" s="1" t="str">
        <f t="shared" si="1054"/>
        <v>9801</v>
      </c>
      <c r="E5470" s="1" t="s">
        <v>25</v>
      </c>
      <c r="F5470" s="1" t="str">
        <f>"3022637810"</f>
        <v>3022637810</v>
      </c>
      <c r="G5470" s="1" t="s">
        <v>33</v>
      </c>
      <c r="H5470" s="1" t="str">
        <f t="shared" si="1055"/>
        <v>20220926</v>
      </c>
      <c r="I5470" s="1" t="str">
        <f>"123508"</f>
        <v>123508</v>
      </c>
      <c r="J5470" s="1" t="s">
        <v>100</v>
      </c>
      <c r="K5470" s="1" t="s">
        <v>45</v>
      </c>
      <c r="L5470" s="1" t="str">
        <f t="shared" si="1056"/>
        <v>20220926</v>
      </c>
      <c r="M5470" s="1" t="str">
        <f>"125431"</f>
        <v>125431</v>
      </c>
      <c r="N5470" s="1" t="s">
        <v>28</v>
      </c>
      <c r="O5470" s="1" t="s">
        <v>28</v>
      </c>
      <c r="P5470" s="1" t="s">
        <v>55</v>
      </c>
      <c r="Q5470" s="1">
        <v>25</v>
      </c>
      <c r="R5470" s="1">
        <v>25</v>
      </c>
      <c r="S5470" s="1">
        <v>0</v>
      </c>
      <c r="T5470" s="1">
        <v>0</v>
      </c>
      <c r="U5470" s="1">
        <v>0</v>
      </c>
      <c r="V5470" s="1" t="str">
        <f t="shared" ref="V5470:V5482" si="1058">"里程返程"</f>
        <v>里程返程</v>
      </c>
      <c r="W5470" s="1" t="str">
        <f>"0120"</f>
        <v>0120</v>
      </c>
      <c r="X5470" s="1" t="s">
        <v>35</v>
      </c>
    </row>
    <row r="5471" spans="1:24" x14ac:dyDescent="0.3">
      <c r="A5471" s="1" t="str">
        <f t="shared" si="1053"/>
        <v>59822</v>
      </c>
      <c r="B5471" s="1" t="s">
        <v>39</v>
      </c>
      <c r="C5471" s="1" t="s">
        <v>40</v>
      </c>
      <c r="D5471" s="1" t="str">
        <f t="shared" si="1054"/>
        <v>9801</v>
      </c>
      <c r="E5471" s="1" t="s">
        <v>25</v>
      </c>
      <c r="F5471" s="1" t="str">
        <f>"3606748307"</f>
        <v>3606748307</v>
      </c>
      <c r="G5471" s="1" t="s">
        <v>33</v>
      </c>
      <c r="H5471" s="1" t="str">
        <f t="shared" si="1055"/>
        <v>20220926</v>
      </c>
      <c r="I5471" s="1" t="str">
        <f>"125504"</f>
        <v>125504</v>
      </c>
      <c r="J5471" s="1" t="s">
        <v>28</v>
      </c>
      <c r="K5471" s="1" t="s">
        <v>28</v>
      </c>
      <c r="L5471" s="1" t="str">
        <f t="shared" si="1056"/>
        <v>20220926</v>
      </c>
      <c r="M5471" s="1" t="str">
        <f>"132001"</f>
        <v>132001</v>
      </c>
      <c r="N5471" s="1" t="s">
        <v>60</v>
      </c>
      <c r="O5471" s="1" t="s">
        <v>52</v>
      </c>
      <c r="P5471" s="1" t="s">
        <v>55</v>
      </c>
      <c r="Q5471" s="1">
        <v>25</v>
      </c>
      <c r="R5471" s="1">
        <v>25</v>
      </c>
      <c r="S5471" s="1">
        <v>0</v>
      </c>
      <c r="T5471" s="1">
        <v>0</v>
      </c>
      <c r="U5471" s="1">
        <v>0</v>
      </c>
      <c r="V5471" s="1" t="str">
        <f t="shared" si="1058"/>
        <v>里程返程</v>
      </c>
      <c r="W5471" s="1" t="str">
        <f>"2020"</f>
        <v>2020</v>
      </c>
      <c r="X5471" s="1" t="s">
        <v>35</v>
      </c>
    </row>
    <row r="5472" spans="1:24" x14ac:dyDescent="0.3">
      <c r="A5472" s="1" t="str">
        <f t="shared" si="1053"/>
        <v>59822</v>
      </c>
      <c r="B5472" s="1" t="s">
        <v>39</v>
      </c>
      <c r="C5472" s="1" t="s">
        <v>40</v>
      </c>
      <c r="D5472" s="1" t="str">
        <f t="shared" si="1054"/>
        <v>9801</v>
      </c>
      <c r="E5472" s="1" t="s">
        <v>25</v>
      </c>
      <c r="F5472" s="1" t="str">
        <f>"E220D10211880400C834002000000015"</f>
        <v>E220D10211880400C834002000000015</v>
      </c>
      <c r="G5472" s="1" t="s">
        <v>74</v>
      </c>
      <c r="H5472" s="1" t="str">
        <f t="shared" si="1055"/>
        <v>20220926</v>
      </c>
      <c r="I5472" s="1" t="str">
        <f>"131318"</f>
        <v>131318</v>
      </c>
      <c r="J5472" s="1" t="s">
        <v>97</v>
      </c>
      <c r="K5472" s="1" t="s">
        <v>52</v>
      </c>
      <c r="L5472" s="1" t="str">
        <f t="shared" si="1056"/>
        <v>20220926</v>
      </c>
      <c r="M5472" s="1" t="str">
        <f>"131544"</f>
        <v>131544</v>
      </c>
      <c r="N5472" s="1" t="s">
        <v>65</v>
      </c>
      <c r="O5472" s="1" t="s">
        <v>52</v>
      </c>
      <c r="P5472" s="1" t="s">
        <v>68</v>
      </c>
      <c r="Q5472" s="1">
        <v>13</v>
      </c>
      <c r="R5472" s="1">
        <v>0</v>
      </c>
      <c r="S5472" s="1">
        <v>0</v>
      </c>
      <c r="T5472" s="1">
        <v>13</v>
      </c>
      <c r="U5472" s="1">
        <v>0</v>
      </c>
      <c r="V5472" s="1" t="str">
        <f t="shared" si="1058"/>
        <v>里程返程</v>
      </c>
      <c r="W5472" s="1" t="str">
        <f>"0020"</f>
        <v>0020</v>
      </c>
      <c r="X5472" s="1" t="s">
        <v>29</v>
      </c>
    </row>
    <row r="5473" spans="1:24" x14ac:dyDescent="0.3">
      <c r="A5473" s="1" t="str">
        <f t="shared" si="1053"/>
        <v>59822</v>
      </c>
      <c r="B5473" s="1" t="s">
        <v>39</v>
      </c>
      <c r="C5473" s="1" t="s">
        <v>40</v>
      </c>
      <c r="D5473" s="1" t="str">
        <f t="shared" si="1054"/>
        <v>9801</v>
      </c>
      <c r="E5473" s="1" t="s">
        <v>25</v>
      </c>
      <c r="F5473" s="1" t="str">
        <f>"250709398"</f>
        <v>250709398</v>
      </c>
      <c r="G5473" s="1" t="s">
        <v>33</v>
      </c>
      <c r="H5473" s="1" t="str">
        <f t="shared" si="1055"/>
        <v>20220926</v>
      </c>
      <c r="I5473" s="1" t="str">
        <f>"143944"</f>
        <v>143944</v>
      </c>
      <c r="J5473" s="1" t="s">
        <v>56</v>
      </c>
      <c r="K5473" s="1" t="s">
        <v>45</v>
      </c>
      <c r="L5473" s="1" t="str">
        <f t="shared" si="1056"/>
        <v>20220926</v>
      </c>
      <c r="M5473" s="1" t="str">
        <f>"145110"</f>
        <v>145110</v>
      </c>
      <c r="N5473" s="1" t="s">
        <v>28</v>
      </c>
      <c r="O5473" s="1" t="s">
        <v>28</v>
      </c>
      <c r="P5473" s="1" t="s">
        <v>55</v>
      </c>
      <c r="Q5473" s="1">
        <v>25</v>
      </c>
      <c r="R5473" s="1">
        <v>25</v>
      </c>
      <c r="S5473" s="1">
        <v>0</v>
      </c>
      <c r="T5473" s="1">
        <v>0</v>
      </c>
      <c r="U5473" s="1">
        <v>0</v>
      </c>
      <c r="V5473" s="1" t="str">
        <f t="shared" si="1058"/>
        <v>里程返程</v>
      </c>
      <c r="W5473" s="1" t="str">
        <f>"0320"</f>
        <v>0320</v>
      </c>
      <c r="X5473" s="1" t="s">
        <v>35</v>
      </c>
    </row>
    <row r="5474" spans="1:24" x14ac:dyDescent="0.3">
      <c r="A5474" s="1" t="str">
        <f t="shared" si="1053"/>
        <v>59822</v>
      </c>
      <c r="B5474" s="1" t="s">
        <v>39</v>
      </c>
      <c r="C5474" s="1" t="s">
        <v>40</v>
      </c>
      <c r="D5474" s="1" t="str">
        <f t="shared" si="1054"/>
        <v>9801</v>
      </c>
      <c r="E5474" s="1" t="s">
        <v>25</v>
      </c>
      <c r="F5474" s="1" t="str">
        <f>"1413974212"</f>
        <v>1413974212</v>
      </c>
      <c r="G5474" s="1" t="s">
        <v>33</v>
      </c>
      <c r="H5474" s="1" t="str">
        <f t="shared" si="1055"/>
        <v>20220926</v>
      </c>
      <c r="I5474" s="1" t="str">
        <f>"145121"</f>
        <v>145121</v>
      </c>
      <c r="J5474" s="1" t="s">
        <v>28</v>
      </c>
      <c r="K5474" s="1" t="s">
        <v>28</v>
      </c>
      <c r="L5474" s="1" t="str">
        <f t="shared" si="1056"/>
        <v>20220926</v>
      </c>
      <c r="M5474" s="1" t="str">
        <f>"151144"</f>
        <v>151144</v>
      </c>
      <c r="N5474" s="1" t="s">
        <v>65</v>
      </c>
      <c r="O5474" s="1" t="s">
        <v>52</v>
      </c>
      <c r="P5474" s="1" t="s">
        <v>55</v>
      </c>
      <c r="Q5474" s="1">
        <v>25</v>
      </c>
      <c r="R5474" s="1">
        <v>0</v>
      </c>
      <c r="S5474" s="1">
        <v>25</v>
      </c>
      <c r="T5474" s="1">
        <v>0</v>
      </c>
      <c r="U5474" s="1">
        <v>0</v>
      </c>
      <c r="V5474" s="1" t="str">
        <f t="shared" si="1058"/>
        <v>里程返程</v>
      </c>
      <c r="W5474" s="1" t="str">
        <f>"0820"</f>
        <v>0820</v>
      </c>
      <c r="X5474" s="1" t="s">
        <v>35</v>
      </c>
    </row>
    <row r="5475" spans="1:24" x14ac:dyDescent="0.3">
      <c r="A5475" s="1" t="str">
        <f t="shared" si="1053"/>
        <v>59822</v>
      </c>
      <c r="B5475" s="1" t="s">
        <v>39</v>
      </c>
      <c r="C5475" s="1" t="s">
        <v>40</v>
      </c>
      <c r="D5475" s="1" t="str">
        <f t="shared" si="1054"/>
        <v>9801</v>
      </c>
      <c r="E5475" s="1" t="s">
        <v>25</v>
      </c>
      <c r="F5475" s="1" t="str">
        <f>"A2B41A030F880400C834002000000015"</f>
        <v>A2B41A030F880400C834002000000015</v>
      </c>
      <c r="G5475" s="1" t="s">
        <v>26</v>
      </c>
      <c r="H5475" s="1" t="str">
        <f t="shared" si="1055"/>
        <v>20220926</v>
      </c>
      <c r="I5475" s="1" t="str">
        <f>"151719"</f>
        <v>151719</v>
      </c>
      <c r="J5475" s="1" t="s">
        <v>60</v>
      </c>
      <c r="K5475" s="1" t="s">
        <v>52</v>
      </c>
      <c r="L5475" s="1" t="str">
        <f t="shared" si="1056"/>
        <v>20220926</v>
      </c>
      <c r="M5475" s="1" t="str">
        <f>"152047"</f>
        <v>152047</v>
      </c>
      <c r="N5475" s="1" t="s">
        <v>52</v>
      </c>
      <c r="O5475" s="1" t="s">
        <v>52</v>
      </c>
      <c r="P5475" s="1" t="s">
        <v>68</v>
      </c>
      <c r="Q5475" s="1">
        <v>13</v>
      </c>
      <c r="R5475" s="1">
        <v>0</v>
      </c>
      <c r="S5475" s="1">
        <v>0</v>
      </c>
      <c r="T5475" s="1">
        <v>13</v>
      </c>
      <c r="U5475" s="1">
        <v>0</v>
      </c>
      <c r="V5475" s="1" t="str">
        <f t="shared" si="1058"/>
        <v>里程返程</v>
      </c>
      <c r="W5475" s="1" t="str">
        <f>"0020"</f>
        <v>0020</v>
      </c>
      <c r="X5475" s="1" t="s">
        <v>29</v>
      </c>
    </row>
    <row r="5476" spans="1:24" x14ac:dyDescent="0.3">
      <c r="A5476" s="1" t="str">
        <f t="shared" si="1053"/>
        <v>59822</v>
      </c>
      <c r="B5476" s="1" t="s">
        <v>39</v>
      </c>
      <c r="C5476" s="1" t="s">
        <v>40</v>
      </c>
      <c r="D5476" s="1" t="str">
        <f t="shared" si="1054"/>
        <v>9801</v>
      </c>
      <c r="E5476" s="1" t="s">
        <v>25</v>
      </c>
      <c r="F5476" s="1" t="str">
        <f>"42AFE60209880400C834002000000015"</f>
        <v>42AFE60209880400C834002000000015</v>
      </c>
      <c r="G5476" s="1" t="s">
        <v>74</v>
      </c>
      <c r="H5476" s="1" t="str">
        <f t="shared" si="1055"/>
        <v>20220926</v>
      </c>
      <c r="I5476" s="1" t="str">
        <f>"161140"</f>
        <v>161140</v>
      </c>
      <c r="J5476" s="1" t="s">
        <v>80</v>
      </c>
      <c r="K5476" s="1" t="s">
        <v>52</v>
      </c>
      <c r="L5476" s="1" t="str">
        <f t="shared" si="1056"/>
        <v>20220926</v>
      </c>
      <c r="M5476" s="1" t="str">
        <f>"162532"</f>
        <v>162532</v>
      </c>
      <c r="N5476" s="1" t="s">
        <v>52</v>
      </c>
      <c r="O5476" s="1" t="s">
        <v>52</v>
      </c>
      <c r="P5476" s="1" t="s">
        <v>68</v>
      </c>
      <c r="Q5476" s="1">
        <v>13</v>
      </c>
      <c r="R5476" s="1">
        <v>0</v>
      </c>
      <c r="S5476" s="1">
        <v>0</v>
      </c>
      <c r="T5476" s="1">
        <v>13</v>
      </c>
      <c r="U5476" s="1">
        <v>0</v>
      </c>
      <c r="V5476" s="1" t="str">
        <f t="shared" si="1058"/>
        <v>里程返程</v>
      </c>
      <c r="W5476" s="1" t="str">
        <f>"0020"</f>
        <v>0020</v>
      </c>
      <c r="X5476" s="1" t="s">
        <v>29</v>
      </c>
    </row>
    <row r="5477" spans="1:24" x14ac:dyDescent="0.3">
      <c r="A5477" s="1" t="str">
        <f t="shared" si="1053"/>
        <v>59822</v>
      </c>
      <c r="B5477" s="1" t="s">
        <v>39</v>
      </c>
      <c r="C5477" s="1" t="s">
        <v>40</v>
      </c>
      <c r="D5477" s="1" t="str">
        <f t="shared" si="1054"/>
        <v>9801</v>
      </c>
      <c r="E5477" s="1" t="s">
        <v>25</v>
      </c>
      <c r="F5477" s="1" t="str">
        <f>"313215665"</f>
        <v>313215665</v>
      </c>
      <c r="G5477" s="1" t="s">
        <v>33</v>
      </c>
      <c r="H5477" s="1" t="str">
        <f t="shared" si="1055"/>
        <v>20220926</v>
      </c>
      <c r="I5477" s="1" t="str">
        <f>"170016"</f>
        <v>170016</v>
      </c>
      <c r="J5477" s="1" t="s">
        <v>84</v>
      </c>
      <c r="K5477" s="1" t="s">
        <v>28</v>
      </c>
      <c r="L5477" s="1" t="str">
        <f t="shared" si="1056"/>
        <v>20220926</v>
      </c>
      <c r="M5477" s="1" t="str">
        <f>"171414"</f>
        <v>171414</v>
      </c>
      <c r="N5477" s="1" t="s">
        <v>77</v>
      </c>
      <c r="O5477" s="1" t="s">
        <v>52</v>
      </c>
      <c r="P5477" s="1" t="s">
        <v>55</v>
      </c>
      <c r="Q5477" s="1">
        <v>25</v>
      </c>
      <c r="R5477" s="1">
        <v>0</v>
      </c>
      <c r="S5477" s="1">
        <v>25</v>
      </c>
      <c r="T5477" s="1">
        <v>0</v>
      </c>
      <c r="U5477" s="1">
        <v>0</v>
      </c>
      <c r="V5477" s="1" t="str">
        <f t="shared" si="1058"/>
        <v>里程返程</v>
      </c>
      <c r="W5477" s="1" t="str">
        <f>"2120"</f>
        <v>2120</v>
      </c>
      <c r="X5477" s="1" t="s">
        <v>35</v>
      </c>
    </row>
    <row r="5478" spans="1:24" x14ac:dyDescent="0.3">
      <c r="A5478" s="1" t="str">
        <f t="shared" si="1053"/>
        <v>59822</v>
      </c>
      <c r="B5478" s="1" t="s">
        <v>39</v>
      </c>
      <c r="C5478" s="1" t="s">
        <v>40</v>
      </c>
      <c r="D5478" s="1" t="str">
        <f t="shared" si="1054"/>
        <v>9801</v>
      </c>
      <c r="E5478" s="1" t="s">
        <v>25</v>
      </c>
      <c r="F5478" s="1" t="str">
        <f>"7227E702B0880400C834002000000015"</f>
        <v>7227E702B0880400C834002000000015</v>
      </c>
      <c r="G5478" s="1" t="s">
        <v>74</v>
      </c>
      <c r="H5478" s="1" t="str">
        <f t="shared" si="1055"/>
        <v>20220926</v>
      </c>
      <c r="I5478" s="1" t="str">
        <f>"171515"</f>
        <v>171515</v>
      </c>
      <c r="J5478" s="1" t="s">
        <v>80</v>
      </c>
      <c r="K5478" s="1" t="s">
        <v>52</v>
      </c>
      <c r="L5478" s="1" t="str">
        <f t="shared" si="1056"/>
        <v>20220926</v>
      </c>
      <c r="M5478" s="1" t="str">
        <f>"173016"</f>
        <v>173016</v>
      </c>
      <c r="N5478" s="1" t="s">
        <v>52</v>
      </c>
      <c r="O5478" s="1" t="s">
        <v>52</v>
      </c>
      <c r="P5478" s="1" t="s">
        <v>68</v>
      </c>
      <c r="Q5478" s="1">
        <v>13</v>
      </c>
      <c r="R5478" s="1">
        <v>0</v>
      </c>
      <c r="S5478" s="1">
        <v>0</v>
      </c>
      <c r="T5478" s="1">
        <v>13</v>
      </c>
      <c r="U5478" s="1">
        <v>0</v>
      </c>
      <c r="V5478" s="1" t="str">
        <f t="shared" si="1058"/>
        <v>里程返程</v>
      </c>
      <c r="W5478" s="1" t="str">
        <f>"0020"</f>
        <v>0020</v>
      </c>
      <c r="X5478" s="1" t="s">
        <v>29</v>
      </c>
    </row>
    <row r="5479" spans="1:24" x14ac:dyDescent="0.3">
      <c r="A5479" s="1" t="str">
        <f t="shared" ref="A5479:A5512" si="1059">"59823"</f>
        <v>59823</v>
      </c>
      <c r="B5479" s="1" t="s">
        <v>36</v>
      </c>
      <c r="C5479" s="1" t="s">
        <v>37</v>
      </c>
      <c r="D5479" s="1" t="str">
        <f>"9806"</f>
        <v>9806</v>
      </c>
      <c r="E5479" s="1" t="s">
        <v>49</v>
      </c>
      <c r="F5479" s="1" t="str">
        <f>"5294A50063880400C801002000000015"</f>
        <v>5294A50063880400C801002000000015</v>
      </c>
      <c r="G5479" s="1" t="s">
        <v>58</v>
      </c>
      <c r="H5479" s="1" t="str">
        <f t="shared" si="1055"/>
        <v>20220926</v>
      </c>
      <c r="I5479" s="1" t="str">
        <f>"065214"</f>
        <v>065214</v>
      </c>
      <c r="J5479" s="1" t="s">
        <v>28</v>
      </c>
      <c r="K5479" s="1" t="s">
        <v>28</v>
      </c>
      <c r="L5479" s="1" t="str">
        <f t="shared" si="1056"/>
        <v>20220926</v>
      </c>
      <c r="M5479" s="1" t="str">
        <f>"070857"</f>
        <v>070857</v>
      </c>
      <c r="N5479" s="1" t="s">
        <v>99</v>
      </c>
      <c r="O5479" s="1" t="s">
        <v>28</v>
      </c>
      <c r="P5479" s="1" t="s">
        <v>55</v>
      </c>
      <c r="Q5479" s="1">
        <v>25</v>
      </c>
      <c r="R5479" s="1">
        <v>0</v>
      </c>
      <c r="S5479" s="1">
        <v>25</v>
      </c>
      <c r="T5479" s="1">
        <v>0</v>
      </c>
      <c r="U5479" s="1">
        <v>0</v>
      </c>
      <c r="V5479" s="1" t="str">
        <f t="shared" si="1058"/>
        <v>里程返程</v>
      </c>
      <c r="W5479" s="1" t="str">
        <f>"0620"</f>
        <v>0620</v>
      </c>
      <c r="X5479" s="1" t="s">
        <v>29</v>
      </c>
    </row>
    <row r="5480" spans="1:24" x14ac:dyDescent="0.3">
      <c r="A5480" s="1" t="str">
        <f t="shared" si="1059"/>
        <v>59823</v>
      </c>
      <c r="B5480" s="1" t="s">
        <v>36</v>
      </c>
      <c r="C5480" s="1" t="s">
        <v>37</v>
      </c>
      <c r="D5480" s="1" t="str">
        <f>"9806"</f>
        <v>9806</v>
      </c>
      <c r="E5480" s="1" t="s">
        <v>49</v>
      </c>
      <c r="F5480" s="1" t="str">
        <f>"1695105317"</f>
        <v>1695105317</v>
      </c>
      <c r="G5480" s="1" t="s">
        <v>33</v>
      </c>
      <c r="H5480" s="1" t="str">
        <f t="shared" si="1055"/>
        <v>20220926</v>
      </c>
      <c r="I5480" s="1" t="str">
        <f>"065221"</f>
        <v>065221</v>
      </c>
      <c r="J5480" s="1" t="s">
        <v>28</v>
      </c>
      <c r="K5480" s="1" t="s">
        <v>28</v>
      </c>
      <c r="L5480" s="1" t="str">
        <f t="shared" si="1056"/>
        <v>20220926</v>
      </c>
      <c r="M5480" s="1" t="str">
        <f>"070859"</f>
        <v>070859</v>
      </c>
      <c r="N5480" s="1" t="s">
        <v>99</v>
      </c>
      <c r="O5480" s="1" t="s">
        <v>28</v>
      </c>
      <c r="P5480" s="1" t="s">
        <v>55</v>
      </c>
      <c r="Q5480" s="1">
        <v>25</v>
      </c>
      <c r="R5480" s="1">
        <v>0</v>
      </c>
      <c r="S5480" s="1">
        <v>25</v>
      </c>
      <c r="T5480" s="1">
        <v>0</v>
      </c>
      <c r="U5480" s="1">
        <v>0</v>
      </c>
      <c r="V5480" s="1" t="str">
        <f t="shared" si="1058"/>
        <v>里程返程</v>
      </c>
      <c r="W5480" s="1" t="str">
        <f>"0820"</f>
        <v>0820</v>
      </c>
      <c r="X5480" s="1" t="s">
        <v>35</v>
      </c>
    </row>
    <row r="5481" spans="1:24" x14ac:dyDescent="0.3">
      <c r="A5481" s="1" t="str">
        <f t="shared" si="1059"/>
        <v>59823</v>
      </c>
      <c r="B5481" s="1" t="s">
        <v>36</v>
      </c>
      <c r="C5481" s="1" t="s">
        <v>37</v>
      </c>
      <c r="D5481" s="1" t="str">
        <f>"9806"</f>
        <v>9806</v>
      </c>
      <c r="E5481" s="1" t="s">
        <v>49</v>
      </c>
      <c r="F5481" s="1" t="str">
        <f>"1202E702F5880400C834002000000015"</f>
        <v>1202E702F5880400C834002000000015</v>
      </c>
      <c r="G5481" s="1" t="s">
        <v>74</v>
      </c>
      <c r="H5481" s="1" t="str">
        <f t="shared" si="1055"/>
        <v>20220926</v>
      </c>
      <c r="I5481" s="1" t="str">
        <f>"065830"</f>
        <v>065830</v>
      </c>
      <c r="J5481" s="1" t="s">
        <v>101</v>
      </c>
      <c r="K5481" s="1" t="s">
        <v>28</v>
      </c>
      <c r="L5481" s="1" t="str">
        <f t="shared" si="1056"/>
        <v>20220926</v>
      </c>
      <c r="M5481" s="1" t="str">
        <f>"070904"</f>
        <v>070904</v>
      </c>
      <c r="N5481" s="1" t="s">
        <v>99</v>
      </c>
      <c r="O5481" s="1" t="s">
        <v>28</v>
      </c>
      <c r="P5481" s="1" t="s">
        <v>68</v>
      </c>
      <c r="Q5481" s="1">
        <v>13</v>
      </c>
      <c r="R5481" s="1">
        <v>0</v>
      </c>
      <c r="S5481" s="1">
        <v>0</v>
      </c>
      <c r="T5481" s="1">
        <v>13</v>
      </c>
      <c r="U5481" s="1">
        <v>0</v>
      </c>
      <c r="V5481" s="1" t="str">
        <f t="shared" si="1058"/>
        <v>里程返程</v>
      </c>
      <c r="W5481" s="1" t="str">
        <f>"0020"</f>
        <v>0020</v>
      </c>
      <c r="X5481" s="1" t="s">
        <v>29</v>
      </c>
    </row>
    <row r="5482" spans="1:24" x14ac:dyDescent="0.3">
      <c r="A5482" s="1" t="str">
        <f t="shared" si="1059"/>
        <v>59823</v>
      </c>
      <c r="B5482" s="1" t="s">
        <v>36</v>
      </c>
      <c r="C5482" s="1" t="s">
        <v>37</v>
      </c>
      <c r="D5482" s="1" t="str">
        <f t="shared" ref="D5482:D5513" si="1060">"9803"</f>
        <v>9803</v>
      </c>
      <c r="E5482" s="1" t="s">
        <v>32</v>
      </c>
      <c r="F5482" s="1" t="str">
        <f>"3959D5A4118804004325A573000A090F"</f>
        <v>3959D5A4118804004325A573000A090F</v>
      </c>
      <c r="G5482" s="1" t="s">
        <v>58</v>
      </c>
      <c r="H5482" s="1" t="str">
        <f t="shared" ref="H5482:H5513" si="1061">"20220926"</f>
        <v>20220926</v>
      </c>
      <c r="I5482" s="1" t="str">
        <f>"081228"</f>
        <v>081228</v>
      </c>
      <c r="J5482" s="1" t="s">
        <v>46</v>
      </c>
      <c r="K5482" s="1" t="s">
        <v>28</v>
      </c>
      <c r="L5482" s="1" t="str">
        <f t="shared" ref="L5482:L5513" si="1062">"20220926"</f>
        <v>20220926</v>
      </c>
      <c r="M5482" s="1" t="str">
        <f>"082903"</f>
        <v>082903</v>
      </c>
      <c r="N5482" s="1" t="s">
        <v>28</v>
      </c>
      <c r="O5482" s="1" t="s">
        <v>28</v>
      </c>
      <c r="P5482" s="1" t="s">
        <v>55</v>
      </c>
      <c r="Q5482" s="1">
        <v>25</v>
      </c>
      <c r="R5482" s="1">
        <v>25</v>
      </c>
      <c r="S5482" s="1">
        <v>0</v>
      </c>
      <c r="T5482" s="1">
        <v>0</v>
      </c>
      <c r="U5482" s="1">
        <v>0</v>
      </c>
      <c r="V5482" s="1" t="str">
        <f t="shared" si="1058"/>
        <v>里程返程</v>
      </c>
      <c r="W5482" s="1" t="str">
        <f>"0020"</f>
        <v>0020</v>
      </c>
      <c r="X5482" s="1" t="s">
        <v>29</v>
      </c>
    </row>
    <row r="5483" spans="1:24" x14ac:dyDescent="0.3">
      <c r="A5483" s="1" t="str">
        <f t="shared" si="1059"/>
        <v>59823</v>
      </c>
      <c r="B5483" s="1" t="s">
        <v>36</v>
      </c>
      <c r="C5483" s="1" t="s">
        <v>37</v>
      </c>
      <c r="D5483" s="1" t="str">
        <f t="shared" si="1060"/>
        <v>9803</v>
      </c>
      <c r="E5483" s="1" t="s">
        <v>32</v>
      </c>
      <c r="F5483" s="1" t="str">
        <f>"22B01A038B880400C834002000000015"</f>
        <v>22B01A038B880400C834002000000015</v>
      </c>
      <c r="G5483" s="1" t="s">
        <v>26</v>
      </c>
      <c r="H5483" s="1" t="str">
        <f t="shared" si="1061"/>
        <v>20220926</v>
      </c>
      <c r="I5483" s="1" t="str">
        <f>"082923"</f>
        <v>082923</v>
      </c>
      <c r="J5483" s="1" t="s">
        <v>28</v>
      </c>
      <c r="K5483" s="1" t="s">
        <v>28</v>
      </c>
      <c r="L5483" s="1" t="str">
        <f t="shared" si="1062"/>
        <v>20220926</v>
      </c>
      <c r="M5483" s="1" t="str">
        <f>"083739"</f>
        <v>083739</v>
      </c>
      <c r="N5483" s="1" t="s">
        <v>70</v>
      </c>
      <c r="O5483" s="1" t="s">
        <v>28</v>
      </c>
      <c r="P5483" s="1" t="s">
        <v>68</v>
      </c>
      <c r="Q5483" s="1">
        <v>13</v>
      </c>
      <c r="R5483" s="1">
        <v>0</v>
      </c>
      <c r="S5483" s="1">
        <v>0</v>
      </c>
      <c r="T5483" s="1">
        <v>13</v>
      </c>
      <c r="U5483" s="1">
        <v>0</v>
      </c>
      <c r="V5483" s="1" t="str">
        <f t="shared" ref="V5483:V5503" si="1063">"里程去程"</f>
        <v>里程去程</v>
      </c>
      <c r="W5483" s="1" t="str">
        <f>"0020"</f>
        <v>0020</v>
      </c>
      <c r="X5483" s="1" t="s">
        <v>29</v>
      </c>
    </row>
    <row r="5484" spans="1:24" x14ac:dyDescent="0.3">
      <c r="A5484" s="1" t="str">
        <f t="shared" si="1059"/>
        <v>59823</v>
      </c>
      <c r="B5484" s="1" t="s">
        <v>36</v>
      </c>
      <c r="C5484" s="1" t="s">
        <v>37</v>
      </c>
      <c r="D5484" s="1" t="str">
        <f t="shared" si="1060"/>
        <v>9803</v>
      </c>
      <c r="E5484" s="1" t="s">
        <v>32</v>
      </c>
      <c r="F5484" s="1" t="str">
        <f>"1123878305"</f>
        <v>1123878305</v>
      </c>
      <c r="G5484" s="1" t="s">
        <v>33</v>
      </c>
      <c r="H5484" s="1" t="str">
        <f t="shared" si="1061"/>
        <v>20220926</v>
      </c>
      <c r="I5484" s="1" t="str">
        <f>"082933"</f>
        <v>082933</v>
      </c>
      <c r="J5484" s="1" t="s">
        <v>28</v>
      </c>
      <c r="K5484" s="1" t="s">
        <v>28</v>
      </c>
      <c r="L5484" s="1" t="str">
        <f t="shared" si="1062"/>
        <v>20220926</v>
      </c>
      <c r="M5484" s="1" t="str">
        <f>"084930"</f>
        <v>084930</v>
      </c>
      <c r="N5484" s="1" t="s">
        <v>34</v>
      </c>
      <c r="O5484" s="1" t="s">
        <v>34</v>
      </c>
      <c r="P5484" s="1" t="s">
        <v>55</v>
      </c>
      <c r="Q5484" s="1">
        <v>25</v>
      </c>
      <c r="R5484" s="1">
        <v>25</v>
      </c>
      <c r="S5484" s="1">
        <v>0</v>
      </c>
      <c r="T5484" s="1">
        <v>0</v>
      </c>
      <c r="U5484" s="1">
        <v>0</v>
      </c>
      <c r="V5484" s="1" t="str">
        <f t="shared" si="1063"/>
        <v>里程去程</v>
      </c>
      <c r="W5484" s="1" t="str">
        <f>"1320"</f>
        <v>1320</v>
      </c>
      <c r="X5484" s="1" t="s">
        <v>35</v>
      </c>
    </row>
    <row r="5485" spans="1:24" x14ac:dyDescent="0.3">
      <c r="A5485" s="1" t="str">
        <f t="shared" si="1059"/>
        <v>59823</v>
      </c>
      <c r="B5485" s="1" t="s">
        <v>36</v>
      </c>
      <c r="C5485" s="1" t="s">
        <v>37</v>
      </c>
      <c r="D5485" s="1" t="str">
        <f t="shared" si="1060"/>
        <v>9803</v>
      </c>
      <c r="E5485" s="1" t="s">
        <v>32</v>
      </c>
      <c r="F5485" s="1" t="str">
        <f>"3492750311"</f>
        <v>3492750311</v>
      </c>
      <c r="G5485" s="1" t="s">
        <v>33</v>
      </c>
      <c r="H5485" s="1" t="str">
        <f t="shared" si="1061"/>
        <v>20220926</v>
      </c>
      <c r="I5485" s="1" t="str">
        <f>"082937"</f>
        <v>082937</v>
      </c>
      <c r="J5485" s="1" t="s">
        <v>28</v>
      </c>
      <c r="K5485" s="1" t="s">
        <v>28</v>
      </c>
      <c r="L5485" s="1" t="str">
        <f t="shared" si="1062"/>
        <v>20220926</v>
      </c>
      <c r="M5485" s="1" t="str">
        <f>"084926"</f>
        <v>084926</v>
      </c>
      <c r="N5485" s="1" t="s">
        <v>34</v>
      </c>
      <c r="O5485" s="1" t="s">
        <v>34</v>
      </c>
      <c r="P5485" s="1" t="s">
        <v>55</v>
      </c>
      <c r="Q5485" s="1">
        <v>25</v>
      </c>
      <c r="R5485" s="1">
        <v>25</v>
      </c>
      <c r="S5485" s="1">
        <v>0</v>
      </c>
      <c r="T5485" s="1">
        <v>0</v>
      </c>
      <c r="U5485" s="1">
        <v>0</v>
      </c>
      <c r="V5485" s="1" t="str">
        <f t="shared" si="1063"/>
        <v>里程去程</v>
      </c>
      <c r="W5485" s="1" t="str">
        <f>"0b20"</f>
        <v>0b20</v>
      </c>
      <c r="X5485" s="1" t="s">
        <v>35</v>
      </c>
    </row>
    <row r="5486" spans="1:24" x14ac:dyDescent="0.3">
      <c r="A5486" s="1" t="str">
        <f t="shared" si="1059"/>
        <v>59823</v>
      </c>
      <c r="B5486" s="1" t="s">
        <v>36</v>
      </c>
      <c r="C5486" s="1" t="s">
        <v>37</v>
      </c>
      <c r="D5486" s="1" t="str">
        <f t="shared" si="1060"/>
        <v>9803</v>
      </c>
      <c r="E5486" s="1" t="s">
        <v>32</v>
      </c>
      <c r="F5486" s="1" t="str">
        <f>"219601141"</f>
        <v>219601141</v>
      </c>
      <c r="G5486" s="1" t="s">
        <v>33</v>
      </c>
      <c r="H5486" s="1" t="str">
        <f t="shared" si="1061"/>
        <v>20220926</v>
      </c>
      <c r="I5486" s="1" t="str">
        <f>"082943"</f>
        <v>082943</v>
      </c>
      <c r="J5486" s="1" t="s">
        <v>28</v>
      </c>
      <c r="K5486" s="1" t="s">
        <v>28</v>
      </c>
      <c r="L5486" s="1" t="str">
        <f t="shared" si="1062"/>
        <v>20220926</v>
      </c>
      <c r="M5486" s="1" t="str">
        <f>"084922"</f>
        <v>084922</v>
      </c>
      <c r="N5486" s="1" t="s">
        <v>34</v>
      </c>
      <c r="O5486" s="1" t="s">
        <v>34</v>
      </c>
      <c r="P5486" s="1" t="s">
        <v>55</v>
      </c>
      <c r="Q5486" s="1">
        <v>25</v>
      </c>
      <c r="R5486" s="1">
        <v>25</v>
      </c>
      <c r="S5486" s="1">
        <v>0</v>
      </c>
      <c r="T5486" s="1">
        <v>0</v>
      </c>
      <c r="U5486" s="1">
        <v>0</v>
      </c>
      <c r="V5486" s="1" t="str">
        <f t="shared" si="1063"/>
        <v>里程去程</v>
      </c>
      <c r="W5486" s="1" t="str">
        <f>"0620"</f>
        <v>0620</v>
      </c>
      <c r="X5486" s="1" t="s">
        <v>35</v>
      </c>
    </row>
    <row r="5487" spans="1:24" x14ac:dyDescent="0.3">
      <c r="A5487" s="1" t="str">
        <f t="shared" si="1059"/>
        <v>59823</v>
      </c>
      <c r="B5487" s="1" t="s">
        <v>36</v>
      </c>
      <c r="C5487" s="1" t="s">
        <v>37</v>
      </c>
      <c r="D5487" s="1" t="str">
        <f t="shared" si="1060"/>
        <v>9803</v>
      </c>
      <c r="E5487" s="1" t="s">
        <v>32</v>
      </c>
      <c r="F5487" s="1" t="str">
        <f>"D722CE467D8804004324AD6B00160B0E"</f>
        <v>D722CE467D8804004324AD6B00160B0E</v>
      </c>
      <c r="G5487" s="1" t="s">
        <v>58</v>
      </c>
      <c r="H5487" s="1" t="str">
        <f t="shared" si="1061"/>
        <v>20220926</v>
      </c>
      <c r="I5487" s="1" t="str">
        <f>"102652"</f>
        <v>102652</v>
      </c>
      <c r="J5487" s="1" t="s">
        <v>28</v>
      </c>
      <c r="K5487" s="1" t="s">
        <v>28</v>
      </c>
      <c r="L5487" s="1" t="str">
        <f t="shared" si="1062"/>
        <v>20220926</v>
      </c>
      <c r="M5487" s="1" t="str">
        <f>"104717"</f>
        <v>104717</v>
      </c>
      <c r="N5487" s="1" t="s">
        <v>34</v>
      </c>
      <c r="O5487" s="1" t="s">
        <v>34</v>
      </c>
      <c r="P5487" s="1" t="s">
        <v>55</v>
      </c>
      <c r="Q5487" s="1">
        <v>25</v>
      </c>
      <c r="R5487" s="1">
        <v>0</v>
      </c>
      <c r="S5487" s="1">
        <v>25</v>
      </c>
      <c r="T5487" s="1">
        <v>0</v>
      </c>
      <c r="U5487" s="1">
        <v>0</v>
      </c>
      <c r="V5487" s="1" t="str">
        <f t="shared" si="1063"/>
        <v>里程去程</v>
      </c>
      <c r="W5487" s="1" t="str">
        <f>"0620"</f>
        <v>0620</v>
      </c>
      <c r="X5487" s="1" t="s">
        <v>29</v>
      </c>
    </row>
    <row r="5488" spans="1:24" x14ac:dyDescent="0.3">
      <c r="A5488" s="1" t="str">
        <f t="shared" si="1059"/>
        <v>59823</v>
      </c>
      <c r="B5488" s="1" t="s">
        <v>36</v>
      </c>
      <c r="C5488" s="1" t="s">
        <v>37</v>
      </c>
      <c r="D5488" s="1" t="str">
        <f t="shared" si="1060"/>
        <v>9803</v>
      </c>
      <c r="E5488" s="1" t="s">
        <v>32</v>
      </c>
      <c r="F5488" s="1" t="str">
        <f>"3593222275"</f>
        <v>3593222275</v>
      </c>
      <c r="G5488" s="1" t="s">
        <v>33</v>
      </c>
      <c r="H5488" s="1" t="str">
        <f t="shared" si="1061"/>
        <v>20220926</v>
      </c>
      <c r="I5488" s="1" t="str">
        <f>"102659"</f>
        <v>102659</v>
      </c>
      <c r="J5488" s="1" t="s">
        <v>28</v>
      </c>
      <c r="K5488" s="1" t="s">
        <v>28</v>
      </c>
      <c r="L5488" s="1" t="str">
        <f t="shared" si="1062"/>
        <v>20220926</v>
      </c>
      <c r="M5488" s="1" t="str">
        <f>"104725"</f>
        <v>104725</v>
      </c>
      <c r="N5488" s="1" t="s">
        <v>34</v>
      </c>
      <c r="O5488" s="1" t="s">
        <v>34</v>
      </c>
      <c r="P5488" s="1" t="s">
        <v>55</v>
      </c>
      <c r="Q5488" s="1">
        <v>25</v>
      </c>
      <c r="R5488" s="1">
        <v>25</v>
      </c>
      <c r="S5488" s="1">
        <v>0</v>
      </c>
      <c r="T5488" s="1">
        <v>0</v>
      </c>
      <c r="U5488" s="1">
        <v>0</v>
      </c>
      <c r="V5488" s="1" t="str">
        <f t="shared" si="1063"/>
        <v>里程去程</v>
      </c>
      <c r="W5488" s="1" t="str">
        <f>"0c20"</f>
        <v>0c20</v>
      </c>
      <c r="X5488" s="1" t="s">
        <v>35</v>
      </c>
    </row>
    <row r="5489" spans="1:24" x14ac:dyDescent="0.3">
      <c r="A5489" s="1" t="str">
        <f t="shared" si="1059"/>
        <v>59823</v>
      </c>
      <c r="B5489" s="1" t="s">
        <v>36</v>
      </c>
      <c r="C5489" s="1" t="s">
        <v>37</v>
      </c>
      <c r="D5489" s="1" t="str">
        <f t="shared" si="1060"/>
        <v>9803</v>
      </c>
      <c r="E5489" s="1" t="s">
        <v>32</v>
      </c>
      <c r="F5489" s="1" t="str">
        <f>"807260033"</f>
        <v>807260033</v>
      </c>
      <c r="G5489" s="1" t="s">
        <v>33</v>
      </c>
      <c r="H5489" s="1" t="str">
        <f t="shared" si="1061"/>
        <v>20220926</v>
      </c>
      <c r="I5489" s="1" t="str">
        <f>"102708"</f>
        <v>102708</v>
      </c>
      <c r="J5489" s="1" t="s">
        <v>28</v>
      </c>
      <c r="K5489" s="1" t="s">
        <v>28</v>
      </c>
      <c r="L5489" s="1" t="str">
        <f t="shared" si="1062"/>
        <v>20220926</v>
      </c>
      <c r="M5489" s="1" t="str">
        <f>"104721"</f>
        <v>104721</v>
      </c>
      <c r="N5489" s="1" t="s">
        <v>34</v>
      </c>
      <c r="O5489" s="1" t="s">
        <v>34</v>
      </c>
      <c r="P5489" s="1" t="s">
        <v>55</v>
      </c>
      <c r="Q5489" s="1">
        <v>25</v>
      </c>
      <c r="R5489" s="1">
        <v>25</v>
      </c>
      <c r="S5489" s="1">
        <v>0</v>
      </c>
      <c r="T5489" s="1">
        <v>0</v>
      </c>
      <c r="U5489" s="1">
        <v>0</v>
      </c>
      <c r="V5489" s="1" t="str">
        <f t="shared" si="1063"/>
        <v>里程去程</v>
      </c>
      <c r="W5489" s="1" t="str">
        <f>"0e20"</f>
        <v>0e20</v>
      </c>
      <c r="X5489" s="1" t="s">
        <v>35</v>
      </c>
    </row>
    <row r="5490" spans="1:24" x14ac:dyDescent="0.3">
      <c r="A5490" s="1" t="str">
        <f t="shared" si="1059"/>
        <v>59823</v>
      </c>
      <c r="B5490" s="1" t="s">
        <v>36</v>
      </c>
      <c r="C5490" s="1" t="s">
        <v>37</v>
      </c>
      <c r="D5490" s="1" t="str">
        <f t="shared" si="1060"/>
        <v>9803</v>
      </c>
      <c r="E5490" s="1" t="s">
        <v>32</v>
      </c>
      <c r="F5490" s="1" t="str">
        <f>"288567665"</f>
        <v>288567665</v>
      </c>
      <c r="G5490" s="1" t="s">
        <v>33</v>
      </c>
      <c r="H5490" s="1" t="str">
        <f t="shared" si="1061"/>
        <v>20220926</v>
      </c>
      <c r="I5490" s="1" t="str">
        <f>"114013"</f>
        <v>114013</v>
      </c>
      <c r="J5490" s="1" t="s">
        <v>46</v>
      </c>
      <c r="K5490" s="1" t="s">
        <v>28</v>
      </c>
      <c r="L5490" s="1" t="str">
        <f t="shared" si="1062"/>
        <v>20220926</v>
      </c>
      <c r="M5490" s="1" t="str">
        <f>"114021"</f>
        <v>114021</v>
      </c>
      <c r="N5490" s="1" t="s">
        <v>89</v>
      </c>
      <c r="O5490" s="1" t="s">
        <v>28</v>
      </c>
      <c r="P5490" s="1" t="s">
        <v>55</v>
      </c>
      <c r="Q5490" s="1">
        <v>25</v>
      </c>
      <c r="R5490" s="1">
        <v>0</v>
      </c>
      <c r="S5490" s="1">
        <v>25</v>
      </c>
      <c r="T5490" s="1">
        <v>0</v>
      </c>
      <c r="U5490" s="1">
        <v>0</v>
      </c>
      <c r="V5490" s="1" t="str">
        <f t="shared" si="1063"/>
        <v>里程去程</v>
      </c>
      <c r="W5490" s="1" t="str">
        <f>"2020"</f>
        <v>2020</v>
      </c>
      <c r="X5490" s="1" t="s">
        <v>35</v>
      </c>
    </row>
    <row r="5491" spans="1:24" x14ac:dyDescent="0.3">
      <c r="A5491" s="1" t="str">
        <f t="shared" si="1059"/>
        <v>59823</v>
      </c>
      <c r="B5491" s="1" t="s">
        <v>36</v>
      </c>
      <c r="C5491" s="1" t="s">
        <v>37</v>
      </c>
      <c r="D5491" s="1" t="str">
        <f t="shared" si="1060"/>
        <v>9803</v>
      </c>
      <c r="E5491" s="1" t="s">
        <v>32</v>
      </c>
      <c r="F5491" s="1" t="str">
        <f>"B1212C45F9280400F700000000000000"</f>
        <v>B1212C45F9280400F700000000000000</v>
      </c>
      <c r="G5491" s="1" t="s">
        <v>58</v>
      </c>
      <c r="H5491" s="1" t="str">
        <f t="shared" si="1061"/>
        <v>20220926</v>
      </c>
      <c r="I5491" s="1" t="str">
        <f>"122734"</f>
        <v>122734</v>
      </c>
      <c r="J5491" s="1" t="s">
        <v>28</v>
      </c>
      <c r="K5491" s="1" t="s">
        <v>28</v>
      </c>
      <c r="L5491" s="1" t="str">
        <f t="shared" si="1062"/>
        <v>20220926</v>
      </c>
      <c r="M5491" s="1" t="str">
        <f>"124823"</f>
        <v>124823</v>
      </c>
      <c r="N5491" s="1" t="s">
        <v>89</v>
      </c>
      <c r="O5491" s="1" t="s">
        <v>28</v>
      </c>
      <c r="P5491" s="1" t="s">
        <v>55</v>
      </c>
      <c r="Q5491" s="1">
        <v>25</v>
      </c>
      <c r="R5491" s="1">
        <v>25</v>
      </c>
      <c r="S5491" s="1">
        <v>0</v>
      </c>
      <c r="T5491" s="1">
        <v>0</v>
      </c>
      <c r="U5491" s="1">
        <v>0</v>
      </c>
      <c r="V5491" s="1" t="str">
        <f t="shared" si="1063"/>
        <v>里程去程</v>
      </c>
      <c r="W5491" s="1" t="str">
        <f>"0020"</f>
        <v>0020</v>
      </c>
      <c r="X5491" s="1" t="s">
        <v>29</v>
      </c>
    </row>
    <row r="5492" spans="1:24" x14ac:dyDescent="0.3">
      <c r="A5492" s="1" t="str">
        <f t="shared" si="1059"/>
        <v>59823</v>
      </c>
      <c r="B5492" s="1" t="s">
        <v>36</v>
      </c>
      <c r="C5492" s="1" t="s">
        <v>37</v>
      </c>
      <c r="D5492" s="1" t="str">
        <f t="shared" si="1060"/>
        <v>9803</v>
      </c>
      <c r="E5492" s="1" t="s">
        <v>32</v>
      </c>
      <c r="F5492" s="1" t="str">
        <f>"221A4F0077880400C837002000000014"</f>
        <v>221A4F0077880400C837002000000014</v>
      </c>
      <c r="G5492" s="1" t="s">
        <v>58</v>
      </c>
      <c r="H5492" s="1" t="str">
        <f t="shared" si="1061"/>
        <v>20220926</v>
      </c>
      <c r="I5492" s="1" t="str">
        <f>"122741"</f>
        <v>122741</v>
      </c>
      <c r="J5492" s="1" t="s">
        <v>28</v>
      </c>
      <c r="K5492" s="1" t="s">
        <v>28</v>
      </c>
      <c r="L5492" s="1" t="str">
        <f t="shared" si="1062"/>
        <v>20220926</v>
      </c>
      <c r="M5492" s="1" t="str">
        <f>"124938"</f>
        <v>124938</v>
      </c>
      <c r="N5492" s="1" t="s">
        <v>34</v>
      </c>
      <c r="O5492" s="1" t="s">
        <v>34</v>
      </c>
      <c r="P5492" s="1" t="s">
        <v>55</v>
      </c>
      <c r="Q5492" s="1">
        <v>25</v>
      </c>
      <c r="R5492" s="1">
        <v>25</v>
      </c>
      <c r="S5492" s="1">
        <v>0</v>
      </c>
      <c r="T5492" s="1">
        <v>0</v>
      </c>
      <c r="U5492" s="1">
        <v>0</v>
      </c>
      <c r="V5492" s="1" t="str">
        <f t="shared" si="1063"/>
        <v>里程去程</v>
      </c>
      <c r="W5492" s="1" t="str">
        <f>"0020"</f>
        <v>0020</v>
      </c>
      <c r="X5492" s="1" t="s">
        <v>29</v>
      </c>
    </row>
    <row r="5493" spans="1:24" x14ac:dyDescent="0.3">
      <c r="A5493" s="1" t="str">
        <f t="shared" si="1059"/>
        <v>59823</v>
      </c>
      <c r="B5493" s="1" t="s">
        <v>36</v>
      </c>
      <c r="C5493" s="1" t="s">
        <v>37</v>
      </c>
      <c r="D5493" s="1" t="str">
        <f t="shared" si="1060"/>
        <v>9803</v>
      </c>
      <c r="E5493" s="1" t="s">
        <v>32</v>
      </c>
      <c r="F5493" s="1" t="str">
        <f>"1046262421"</f>
        <v>1046262421</v>
      </c>
      <c r="G5493" s="1" t="s">
        <v>26</v>
      </c>
      <c r="H5493" s="1" t="str">
        <f t="shared" si="1061"/>
        <v>20220926</v>
      </c>
      <c r="I5493" s="1" t="str">
        <f>"122747"</f>
        <v>122747</v>
      </c>
      <c r="J5493" s="1" t="s">
        <v>28</v>
      </c>
      <c r="K5493" s="1" t="s">
        <v>28</v>
      </c>
      <c r="L5493" s="1" t="str">
        <f t="shared" si="1062"/>
        <v>20220926</v>
      </c>
      <c r="M5493" s="1" t="str">
        <f>"124907"</f>
        <v>124907</v>
      </c>
      <c r="N5493" s="1" t="s">
        <v>34</v>
      </c>
      <c r="O5493" s="1" t="s">
        <v>34</v>
      </c>
      <c r="P5493" s="1" t="s">
        <v>55</v>
      </c>
      <c r="Q5493" s="1">
        <v>13</v>
      </c>
      <c r="R5493" s="1">
        <v>13</v>
      </c>
      <c r="S5493" s="1">
        <v>0</v>
      </c>
      <c r="T5493" s="1">
        <v>0</v>
      </c>
      <c r="U5493" s="1">
        <v>0</v>
      </c>
      <c r="V5493" s="1" t="str">
        <f t="shared" si="1063"/>
        <v>里程去程</v>
      </c>
      <c r="W5493" s="1" t="str">
        <f>"2020"</f>
        <v>2020</v>
      </c>
      <c r="X5493" s="1" t="s">
        <v>35</v>
      </c>
    </row>
    <row r="5494" spans="1:24" x14ac:dyDescent="0.3">
      <c r="A5494" s="1" t="str">
        <f t="shared" si="1059"/>
        <v>59823</v>
      </c>
      <c r="B5494" s="1" t="s">
        <v>36</v>
      </c>
      <c r="C5494" s="1" t="s">
        <v>37</v>
      </c>
      <c r="D5494" s="1" t="str">
        <f t="shared" si="1060"/>
        <v>9803</v>
      </c>
      <c r="E5494" s="1" t="s">
        <v>32</v>
      </c>
      <c r="F5494" s="1" t="str">
        <f>"1011460369"</f>
        <v>1011460369</v>
      </c>
      <c r="G5494" s="1" t="s">
        <v>33</v>
      </c>
      <c r="H5494" s="1" t="str">
        <f t="shared" si="1061"/>
        <v>20220926</v>
      </c>
      <c r="I5494" s="1" t="str">
        <f>"122759"</f>
        <v>122759</v>
      </c>
      <c r="J5494" s="1" t="s">
        <v>28</v>
      </c>
      <c r="K5494" s="1" t="s">
        <v>28</v>
      </c>
      <c r="L5494" s="1" t="str">
        <f t="shared" si="1062"/>
        <v>20220926</v>
      </c>
      <c r="M5494" s="1" t="str">
        <f>"124933"</f>
        <v>124933</v>
      </c>
      <c r="N5494" s="1" t="s">
        <v>34</v>
      </c>
      <c r="O5494" s="1" t="s">
        <v>34</v>
      </c>
      <c r="P5494" s="1" t="s">
        <v>55</v>
      </c>
      <c r="Q5494" s="1">
        <v>25</v>
      </c>
      <c r="R5494" s="1">
        <v>25</v>
      </c>
      <c r="S5494" s="1">
        <v>0</v>
      </c>
      <c r="T5494" s="1">
        <v>0</v>
      </c>
      <c r="U5494" s="1">
        <v>0</v>
      </c>
      <c r="V5494" s="1" t="str">
        <f t="shared" si="1063"/>
        <v>里程去程</v>
      </c>
      <c r="W5494" s="1" t="str">
        <f>"0820"</f>
        <v>0820</v>
      </c>
      <c r="X5494" s="1" t="s">
        <v>35</v>
      </c>
    </row>
    <row r="5495" spans="1:24" x14ac:dyDescent="0.3">
      <c r="A5495" s="1" t="str">
        <f t="shared" si="1059"/>
        <v>59823</v>
      </c>
      <c r="B5495" s="1" t="s">
        <v>36</v>
      </c>
      <c r="C5495" s="1" t="s">
        <v>37</v>
      </c>
      <c r="D5495" s="1" t="str">
        <f t="shared" si="1060"/>
        <v>9803</v>
      </c>
      <c r="E5495" s="1" t="s">
        <v>32</v>
      </c>
      <c r="F5495" s="1" t="str">
        <f>"302182753"</f>
        <v>302182753</v>
      </c>
      <c r="G5495" s="1" t="s">
        <v>33</v>
      </c>
      <c r="H5495" s="1" t="str">
        <f t="shared" si="1061"/>
        <v>20220926</v>
      </c>
      <c r="I5495" s="1" t="str">
        <f>"122809"</f>
        <v>122809</v>
      </c>
      <c r="J5495" s="1" t="s">
        <v>28</v>
      </c>
      <c r="K5495" s="1" t="s">
        <v>28</v>
      </c>
      <c r="L5495" s="1" t="str">
        <f t="shared" si="1062"/>
        <v>20220926</v>
      </c>
      <c r="M5495" s="1" t="str">
        <f>"124946"</f>
        <v>124946</v>
      </c>
      <c r="N5495" s="1" t="s">
        <v>34</v>
      </c>
      <c r="O5495" s="1" t="s">
        <v>34</v>
      </c>
      <c r="P5495" s="1" t="s">
        <v>55</v>
      </c>
      <c r="Q5495" s="1">
        <v>25</v>
      </c>
      <c r="R5495" s="1">
        <v>25</v>
      </c>
      <c r="S5495" s="1">
        <v>0</v>
      </c>
      <c r="T5495" s="1">
        <v>0</v>
      </c>
      <c r="U5495" s="1">
        <v>0</v>
      </c>
      <c r="V5495" s="1" t="str">
        <f t="shared" si="1063"/>
        <v>里程去程</v>
      </c>
      <c r="W5495" s="1" t="str">
        <f>"0820"</f>
        <v>0820</v>
      </c>
      <c r="X5495" s="1" t="s">
        <v>35</v>
      </c>
    </row>
    <row r="5496" spans="1:24" x14ac:dyDescent="0.3">
      <c r="A5496" s="1" t="str">
        <f t="shared" si="1059"/>
        <v>59823</v>
      </c>
      <c r="B5496" s="1" t="s">
        <v>36</v>
      </c>
      <c r="C5496" s="1" t="s">
        <v>37</v>
      </c>
      <c r="D5496" s="1" t="str">
        <f t="shared" si="1060"/>
        <v>9803</v>
      </c>
      <c r="E5496" s="1" t="s">
        <v>32</v>
      </c>
      <c r="F5496" s="1" t="str">
        <f>"1552883425"</f>
        <v>1552883425</v>
      </c>
      <c r="G5496" s="1" t="s">
        <v>33</v>
      </c>
      <c r="H5496" s="1" t="str">
        <f t="shared" si="1061"/>
        <v>20220926</v>
      </c>
      <c r="I5496" s="1" t="str">
        <f>"122818"</f>
        <v>122818</v>
      </c>
      <c r="J5496" s="1" t="s">
        <v>28</v>
      </c>
      <c r="K5496" s="1" t="s">
        <v>28</v>
      </c>
      <c r="L5496" s="1" t="str">
        <f t="shared" si="1062"/>
        <v>20220926</v>
      </c>
      <c r="M5496" s="1" t="str">
        <f>"124901"</f>
        <v>124901</v>
      </c>
      <c r="N5496" s="1" t="s">
        <v>34</v>
      </c>
      <c r="O5496" s="1" t="s">
        <v>34</v>
      </c>
      <c r="P5496" s="1" t="s">
        <v>55</v>
      </c>
      <c r="Q5496" s="1">
        <v>25</v>
      </c>
      <c r="R5496" s="1">
        <v>25</v>
      </c>
      <c r="S5496" s="1">
        <v>0</v>
      </c>
      <c r="T5496" s="1">
        <v>0</v>
      </c>
      <c r="U5496" s="1">
        <v>0</v>
      </c>
      <c r="V5496" s="1" t="str">
        <f t="shared" si="1063"/>
        <v>里程去程</v>
      </c>
      <c r="W5496" s="1" t="str">
        <f>"0620"</f>
        <v>0620</v>
      </c>
      <c r="X5496" s="1" t="s">
        <v>35</v>
      </c>
    </row>
    <row r="5497" spans="1:24" x14ac:dyDescent="0.3">
      <c r="A5497" s="1" t="str">
        <f t="shared" si="1059"/>
        <v>59823</v>
      </c>
      <c r="B5497" s="1" t="s">
        <v>36</v>
      </c>
      <c r="C5497" s="1" t="s">
        <v>37</v>
      </c>
      <c r="D5497" s="1" t="str">
        <f t="shared" si="1060"/>
        <v>9803</v>
      </c>
      <c r="E5497" s="1" t="s">
        <v>32</v>
      </c>
      <c r="F5497" s="1" t="str">
        <f>"1051433589"</f>
        <v>1051433589</v>
      </c>
      <c r="G5497" s="1" t="s">
        <v>33</v>
      </c>
      <c r="H5497" s="1" t="str">
        <f t="shared" si="1061"/>
        <v>20220926</v>
      </c>
      <c r="I5497" s="1" t="str">
        <f>"122825"</f>
        <v>122825</v>
      </c>
      <c r="J5497" s="1" t="s">
        <v>28</v>
      </c>
      <c r="K5497" s="1" t="s">
        <v>28</v>
      </c>
      <c r="L5497" s="1" t="str">
        <f t="shared" si="1062"/>
        <v>20220926</v>
      </c>
      <c r="M5497" s="1" t="str">
        <f>"124835"</f>
        <v>124835</v>
      </c>
      <c r="N5497" s="1" t="s">
        <v>34</v>
      </c>
      <c r="O5497" s="1" t="s">
        <v>34</v>
      </c>
      <c r="P5497" s="1" t="s">
        <v>55</v>
      </c>
      <c r="Q5497" s="1">
        <v>25</v>
      </c>
      <c r="R5497" s="1">
        <v>0</v>
      </c>
      <c r="S5497" s="1">
        <v>25</v>
      </c>
      <c r="T5497" s="1">
        <v>0</v>
      </c>
      <c r="U5497" s="1">
        <v>0</v>
      </c>
      <c r="V5497" s="1" t="str">
        <f t="shared" si="1063"/>
        <v>里程去程</v>
      </c>
      <c r="W5497" s="1" t="str">
        <f>"0820"</f>
        <v>0820</v>
      </c>
      <c r="X5497" s="1" t="s">
        <v>35</v>
      </c>
    </row>
    <row r="5498" spans="1:24" x14ac:dyDescent="0.3">
      <c r="A5498" s="1" t="str">
        <f t="shared" si="1059"/>
        <v>59823</v>
      </c>
      <c r="B5498" s="1" t="s">
        <v>36</v>
      </c>
      <c r="C5498" s="1" t="s">
        <v>37</v>
      </c>
      <c r="D5498" s="1" t="str">
        <f t="shared" si="1060"/>
        <v>9803</v>
      </c>
      <c r="E5498" s="1" t="s">
        <v>32</v>
      </c>
      <c r="F5498" s="1" t="str">
        <f>"739691393"</f>
        <v>739691393</v>
      </c>
      <c r="G5498" s="1" t="s">
        <v>38</v>
      </c>
      <c r="H5498" s="1" t="str">
        <f t="shared" si="1061"/>
        <v>20220926</v>
      </c>
      <c r="I5498" s="1" t="str">
        <f>"122833"</f>
        <v>122833</v>
      </c>
      <c r="J5498" s="1" t="s">
        <v>28</v>
      </c>
      <c r="K5498" s="1" t="s">
        <v>28</v>
      </c>
      <c r="L5498" s="1" t="str">
        <f t="shared" si="1062"/>
        <v>20220926</v>
      </c>
      <c r="M5498" s="1" t="str">
        <f>"124826"</f>
        <v>124826</v>
      </c>
      <c r="N5498" s="1" t="s">
        <v>34</v>
      </c>
      <c r="O5498" s="1" t="s">
        <v>34</v>
      </c>
      <c r="P5498" s="1" t="s">
        <v>55</v>
      </c>
      <c r="Q5498" s="1">
        <v>25</v>
      </c>
      <c r="R5498" s="1">
        <v>0</v>
      </c>
      <c r="S5498" s="1">
        <v>25</v>
      </c>
      <c r="T5498" s="1">
        <v>0</v>
      </c>
      <c r="U5498" s="1">
        <v>0</v>
      </c>
      <c r="V5498" s="1" t="str">
        <f t="shared" si="1063"/>
        <v>里程去程</v>
      </c>
      <c r="W5498" s="1" t="str">
        <f>"0820"</f>
        <v>0820</v>
      </c>
      <c r="X5498" s="1" t="s">
        <v>35</v>
      </c>
    </row>
    <row r="5499" spans="1:24" x14ac:dyDescent="0.3">
      <c r="A5499" s="1" t="str">
        <f t="shared" si="1059"/>
        <v>59823</v>
      </c>
      <c r="B5499" s="1" t="s">
        <v>36</v>
      </c>
      <c r="C5499" s="1" t="s">
        <v>37</v>
      </c>
      <c r="D5499" s="1" t="str">
        <f t="shared" si="1060"/>
        <v>9803</v>
      </c>
      <c r="E5499" s="1" t="s">
        <v>32</v>
      </c>
      <c r="F5499" s="1" t="str">
        <f>"00C5D05742880400468F74D84D502311"</f>
        <v>00C5D05742880400468F74D84D502311</v>
      </c>
      <c r="G5499" s="1" t="s">
        <v>58</v>
      </c>
      <c r="H5499" s="1" t="str">
        <f t="shared" si="1061"/>
        <v>20220926</v>
      </c>
      <c r="I5499" s="1" t="str">
        <f>"122838"</f>
        <v>122838</v>
      </c>
      <c r="J5499" s="1" t="s">
        <v>28</v>
      </c>
      <c r="K5499" s="1" t="s">
        <v>28</v>
      </c>
      <c r="L5499" s="1" t="str">
        <f t="shared" si="1062"/>
        <v>20220926</v>
      </c>
      <c r="M5499" s="1" t="str">
        <f>"124916"</f>
        <v>124916</v>
      </c>
      <c r="N5499" s="1" t="s">
        <v>34</v>
      </c>
      <c r="O5499" s="1" t="s">
        <v>34</v>
      </c>
      <c r="P5499" s="1" t="s">
        <v>55</v>
      </c>
      <c r="Q5499" s="1">
        <v>25</v>
      </c>
      <c r="R5499" s="1">
        <v>0</v>
      </c>
      <c r="S5499" s="1">
        <v>25</v>
      </c>
      <c r="T5499" s="1">
        <v>0</v>
      </c>
      <c r="U5499" s="1">
        <v>0</v>
      </c>
      <c r="V5499" s="1" t="str">
        <f t="shared" si="1063"/>
        <v>里程去程</v>
      </c>
      <c r="W5499" s="1" t="str">
        <f>"0620"</f>
        <v>0620</v>
      </c>
      <c r="X5499" s="1" t="s">
        <v>29</v>
      </c>
    </row>
    <row r="5500" spans="1:24" x14ac:dyDescent="0.3">
      <c r="A5500" s="1" t="str">
        <f t="shared" si="1059"/>
        <v>59823</v>
      </c>
      <c r="B5500" s="1" t="s">
        <v>36</v>
      </c>
      <c r="C5500" s="1" t="s">
        <v>37</v>
      </c>
      <c r="D5500" s="1" t="str">
        <f t="shared" si="1060"/>
        <v>9803</v>
      </c>
      <c r="E5500" s="1" t="s">
        <v>32</v>
      </c>
      <c r="F5500" s="1" t="str">
        <f>"3621379539"</f>
        <v>3621379539</v>
      </c>
      <c r="G5500" s="1" t="s">
        <v>33</v>
      </c>
      <c r="H5500" s="1" t="str">
        <f t="shared" si="1061"/>
        <v>20220926</v>
      </c>
      <c r="I5500" s="1" t="str">
        <f>"122848"</f>
        <v>122848</v>
      </c>
      <c r="J5500" s="1" t="s">
        <v>28</v>
      </c>
      <c r="K5500" s="1" t="s">
        <v>28</v>
      </c>
      <c r="L5500" s="1" t="str">
        <f t="shared" si="1062"/>
        <v>20220926</v>
      </c>
      <c r="M5500" s="1" t="str">
        <f>"123854"</f>
        <v>123854</v>
      </c>
      <c r="N5500" s="1" t="s">
        <v>46</v>
      </c>
      <c r="O5500" s="1" t="s">
        <v>28</v>
      </c>
      <c r="P5500" s="1" t="s">
        <v>55</v>
      </c>
      <c r="Q5500" s="1">
        <v>25</v>
      </c>
      <c r="R5500" s="1">
        <v>0</v>
      </c>
      <c r="S5500" s="1">
        <v>25</v>
      </c>
      <c r="T5500" s="1">
        <v>0</v>
      </c>
      <c r="U5500" s="1">
        <v>0</v>
      </c>
      <c r="V5500" s="1" t="str">
        <f t="shared" si="1063"/>
        <v>里程去程</v>
      </c>
      <c r="W5500" s="1" t="str">
        <f>"0820"</f>
        <v>0820</v>
      </c>
      <c r="X5500" s="1" t="s">
        <v>35</v>
      </c>
    </row>
    <row r="5501" spans="1:24" x14ac:dyDescent="0.3">
      <c r="A5501" s="1" t="str">
        <f t="shared" si="1059"/>
        <v>59823</v>
      </c>
      <c r="B5501" s="1" t="s">
        <v>36</v>
      </c>
      <c r="C5501" s="1" t="s">
        <v>37</v>
      </c>
      <c r="D5501" s="1" t="str">
        <f t="shared" si="1060"/>
        <v>9803</v>
      </c>
      <c r="E5501" s="1" t="s">
        <v>32</v>
      </c>
      <c r="F5501" s="1" t="str">
        <f>"52CD6302FE880400C821002000000015"</f>
        <v>52CD6302FE880400C821002000000015</v>
      </c>
      <c r="G5501" s="1" t="s">
        <v>58</v>
      </c>
      <c r="H5501" s="1" t="str">
        <f t="shared" si="1061"/>
        <v>20220926</v>
      </c>
      <c r="I5501" s="1" t="str">
        <f>"122852"</f>
        <v>122852</v>
      </c>
      <c r="J5501" s="1" t="s">
        <v>28</v>
      </c>
      <c r="K5501" s="1" t="s">
        <v>28</v>
      </c>
      <c r="L5501" s="1" t="str">
        <f t="shared" si="1062"/>
        <v>20220926</v>
      </c>
      <c r="M5501" s="1" t="str">
        <f>"123941"</f>
        <v>123941</v>
      </c>
      <c r="N5501" s="1" t="s">
        <v>46</v>
      </c>
      <c r="O5501" s="1" t="s">
        <v>28</v>
      </c>
      <c r="P5501" s="1" t="s">
        <v>55</v>
      </c>
      <c r="Q5501" s="1">
        <v>25</v>
      </c>
      <c r="R5501" s="1">
        <v>0</v>
      </c>
      <c r="S5501" s="1">
        <v>25</v>
      </c>
      <c r="T5501" s="1">
        <v>0</v>
      </c>
      <c r="U5501" s="1">
        <v>0</v>
      </c>
      <c r="V5501" s="1" t="str">
        <f t="shared" si="1063"/>
        <v>里程去程</v>
      </c>
      <c r="W5501" s="1" t="str">
        <f>"0620"</f>
        <v>0620</v>
      </c>
      <c r="X5501" s="1" t="s">
        <v>29</v>
      </c>
    </row>
    <row r="5502" spans="1:24" x14ac:dyDescent="0.3">
      <c r="A5502" s="1" t="str">
        <f t="shared" si="1059"/>
        <v>59823</v>
      </c>
      <c r="B5502" s="1" t="s">
        <v>36</v>
      </c>
      <c r="C5502" s="1" t="s">
        <v>37</v>
      </c>
      <c r="D5502" s="1" t="str">
        <f t="shared" si="1060"/>
        <v>9803</v>
      </c>
      <c r="E5502" s="1" t="s">
        <v>32</v>
      </c>
      <c r="F5502" s="1" t="str">
        <f>"3586126515"</f>
        <v>3586126515</v>
      </c>
      <c r="G5502" s="1" t="s">
        <v>33</v>
      </c>
      <c r="H5502" s="1" t="str">
        <f t="shared" si="1061"/>
        <v>20220926</v>
      </c>
      <c r="I5502" s="1" t="str">
        <f>"122859"</f>
        <v>122859</v>
      </c>
      <c r="J5502" s="1" t="s">
        <v>28</v>
      </c>
      <c r="K5502" s="1" t="s">
        <v>28</v>
      </c>
      <c r="L5502" s="1" t="str">
        <f t="shared" si="1062"/>
        <v>20220926</v>
      </c>
      <c r="M5502" s="1" t="str">
        <f>"124924"</f>
        <v>124924</v>
      </c>
      <c r="N5502" s="1" t="s">
        <v>34</v>
      </c>
      <c r="O5502" s="1" t="s">
        <v>34</v>
      </c>
      <c r="P5502" s="1" t="s">
        <v>55</v>
      </c>
      <c r="Q5502" s="1">
        <v>25</v>
      </c>
      <c r="R5502" s="1">
        <v>0</v>
      </c>
      <c r="S5502" s="1">
        <v>25</v>
      </c>
      <c r="T5502" s="1">
        <v>0</v>
      </c>
      <c r="U5502" s="1">
        <v>0</v>
      </c>
      <c r="V5502" s="1" t="str">
        <f t="shared" si="1063"/>
        <v>里程去程</v>
      </c>
      <c r="W5502" s="1" t="str">
        <f>"0820"</f>
        <v>0820</v>
      </c>
      <c r="X5502" s="1" t="s">
        <v>35</v>
      </c>
    </row>
    <row r="5503" spans="1:24" x14ac:dyDescent="0.3">
      <c r="A5503" s="1" t="str">
        <f t="shared" si="1059"/>
        <v>59823</v>
      </c>
      <c r="B5503" s="1" t="s">
        <v>36</v>
      </c>
      <c r="C5503" s="1" t="s">
        <v>37</v>
      </c>
      <c r="D5503" s="1" t="str">
        <f t="shared" si="1060"/>
        <v>9803</v>
      </c>
      <c r="E5503" s="1" t="s">
        <v>32</v>
      </c>
      <c r="F5503" s="1" t="str">
        <f>"3133663211"</f>
        <v>3133663211</v>
      </c>
      <c r="G5503" s="1" t="s">
        <v>33</v>
      </c>
      <c r="H5503" s="1" t="str">
        <f t="shared" si="1061"/>
        <v>20220926</v>
      </c>
      <c r="I5503" s="1" t="str">
        <f>"122913"</f>
        <v>122913</v>
      </c>
      <c r="J5503" s="1" t="s">
        <v>28</v>
      </c>
      <c r="K5503" s="1" t="s">
        <v>28</v>
      </c>
      <c r="L5503" s="1" t="str">
        <f t="shared" si="1062"/>
        <v>20220926</v>
      </c>
      <c r="M5503" s="1" t="str">
        <f>"124941"</f>
        <v>124941</v>
      </c>
      <c r="N5503" s="1" t="s">
        <v>34</v>
      </c>
      <c r="O5503" s="1" t="s">
        <v>34</v>
      </c>
      <c r="P5503" s="1" t="s">
        <v>55</v>
      </c>
      <c r="Q5503" s="1">
        <v>25</v>
      </c>
      <c r="R5503" s="1">
        <v>25</v>
      </c>
      <c r="S5503" s="1">
        <v>0</v>
      </c>
      <c r="T5503" s="1">
        <v>0</v>
      </c>
      <c r="U5503" s="1">
        <v>0</v>
      </c>
      <c r="V5503" s="1" t="str">
        <f t="shared" si="1063"/>
        <v>里程去程</v>
      </c>
      <c r="W5503" s="1" t="str">
        <f>"1120"</f>
        <v>1120</v>
      </c>
      <c r="X5503" s="1" t="s">
        <v>35</v>
      </c>
    </row>
    <row r="5504" spans="1:24" x14ac:dyDescent="0.3">
      <c r="A5504" s="1" t="str">
        <f t="shared" si="1059"/>
        <v>59823</v>
      </c>
      <c r="B5504" s="1" t="s">
        <v>36</v>
      </c>
      <c r="C5504" s="1" t="s">
        <v>37</v>
      </c>
      <c r="D5504" s="1" t="str">
        <f t="shared" si="1060"/>
        <v>9803</v>
      </c>
      <c r="E5504" s="1" t="s">
        <v>32</v>
      </c>
      <c r="F5504" s="1" t="str">
        <f>"3758396599"</f>
        <v>3758396599</v>
      </c>
      <c r="G5504" s="1" t="s">
        <v>33</v>
      </c>
      <c r="H5504" s="1" t="str">
        <f t="shared" si="1061"/>
        <v>20220926</v>
      </c>
      <c r="I5504" s="1" t="str">
        <f>"130240"</f>
        <v>130240</v>
      </c>
      <c r="J5504" s="1" t="s">
        <v>34</v>
      </c>
      <c r="K5504" s="1" t="s">
        <v>34</v>
      </c>
      <c r="L5504" s="1" t="str">
        <f t="shared" si="1062"/>
        <v>20220926</v>
      </c>
      <c r="M5504" s="1" t="str">
        <f>"132823"</f>
        <v>132823</v>
      </c>
      <c r="N5504" s="1" t="s">
        <v>28</v>
      </c>
      <c r="O5504" s="1" t="s">
        <v>28</v>
      </c>
      <c r="P5504" s="1" t="s">
        <v>55</v>
      </c>
      <c r="Q5504" s="1">
        <v>25</v>
      </c>
      <c r="R5504" s="1">
        <v>25</v>
      </c>
      <c r="S5504" s="1">
        <v>0</v>
      </c>
      <c r="T5504" s="1">
        <v>0</v>
      </c>
      <c r="U5504" s="1">
        <v>0</v>
      </c>
      <c r="V5504" s="1" t="str">
        <f t="shared" ref="V5504:V5512" si="1064">"里程返程"</f>
        <v>里程返程</v>
      </c>
      <c r="W5504" s="1" t="str">
        <f>"0220"</f>
        <v>0220</v>
      </c>
      <c r="X5504" s="1" t="s">
        <v>35</v>
      </c>
    </row>
    <row r="5505" spans="1:24" x14ac:dyDescent="0.3">
      <c r="A5505" s="1" t="str">
        <f t="shared" si="1059"/>
        <v>59823</v>
      </c>
      <c r="B5505" s="1" t="s">
        <v>36</v>
      </c>
      <c r="C5505" s="1" t="s">
        <v>37</v>
      </c>
      <c r="D5505" s="1" t="str">
        <f t="shared" si="1060"/>
        <v>9803</v>
      </c>
      <c r="E5505" s="1" t="s">
        <v>32</v>
      </c>
      <c r="F5505" s="1" t="str">
        <f>"1546462159"</f>
        <v>1546462159</v>
      </c>
      <c r="G5505" s="1" t="s">
        <v>33</v>
      </c>
      <c r="H5505" s="1" t="str">
        <f t="shared" si="1061"/>
        <v>20220926</v>
      </c>
      <c r="I5505" s="1" t="str">
        <f>"130247"</f>
        <v>130247</v>
      </c>
      <c r="J5505" s="1" t="s">
        <v>34</v>
      </c>
      <c r="K5505" s="1" t="s">
        <v>34</v>
      </c>
      <c r="L5505" s="1" t="str">
        <f t="shared" si="1062"/>
        <v>20220926</v>
      </c>
      <c r="M5505" s="1" t="str">
        <f>"132817"</f>
        <v>132817</v>
      </c>
      <c r="N5505" s="1" t="s">
        <v>28</v>
      </c>
      <c r="O5505" s="1" t="s">
        <v>28</v>
      </c>
      <c r="P5505" s="1" t="s">
        <v>55</v>
      </c>
      <c r="Q5505" s="1">
        <v>25</v>
      </c>
      <c r="R5505" s="1">
        <v>25</v>
      </c>
      <c r="S5505" s="1">
        <v>0</v>
      </c>
      <c r="T5505" s="1">
        <v>0</v>
      </c>
      <c r="U5505" s="1">
        <v>0</v>
      </c>
      <c r="V5505" s="1" t="str">
        <f t="shared" si="1064"/>
        <v>里程返程</v>
      </c>
      <c r="W5505" s="1" t="str">
        <f>"0820"</f>
        <v>0820</v>
      </c>
      <c r="X5505" s="1" t="s">
        <v>35</v>
      </c>
    </row>
    <row r="5506" spans="1:24" x14ac:dyDescent="0.3">
      <c r="A5506" s="1" t="str">
        <f t="shared" si="1059"/>
        <v>59823</v>
      </c>
      <c r="B5506" s="1" t="s">
        <v>36</v>
      </c>
      <c r="C5506" s="1" t="s">
        <v>37</v>
      </c>
      <c r="D5506" s="1" t="str">
        <f t="shared" si="1060"/>
        <v>9803</v>
      </c>
      <c r="E5506" s="1" t="s">
        <v>32</v>
      </c>
      <c r="F5506" s="1" t="str">
        <f>"440774833"</f>
        <v>440774833</v>
      </c>
      <c r="G5506" s="1" t="s">
        <v>33</v>
      </c>
      <c r="H5506" s="1" t="str">
        <f t="shared" si="1061"/>
        <v>20220926</v>
      </c>
      <c r="I5506" s="1" t="str">
        <f>"161119"</f>
        <v>161119</v>
      </c>
      <c r="J5506" s="1" t="s">
        <v>34</v>
      </c>
      <c r="K5506" s="1" t="s">
        <v>34</v>
      </c>
      <c r="L5506" s="1" t="str">
        <f t="shared" si="1062"/>
        <v>20220926</v>
      </c>
      <c r="M5506" s="1" t="str">
        <f>"164003"</f>
        <v>164003</v>
      </c>
      <c r="N5506" s="1" t="s">
        <v>28</v>
      </c>
      <c r="O5506" s="1" t="s">
        <v>28</v>
      </c>
      <c r="P5506" s="1" t="s">
        <v>55</v>
      </c>
      <c r="Q5506" s="1">
        <v>25</v>
      </c>
      <c r="R5506" s="1">
        <v>25</v>
      </c>
      <c r="S5506" s="1">
        <v>0</v>
      </c>
      <c r="T5506" s="1">
        <v>0</v>
      </c>
      <c r="U5506" s="1">
        <v>0</v>
      </c>
      <c r="V5506" s="1" t="str">
        <f t="shared" si="1064"/>
        <v>里程返程</v>
      </c>
      <c r="W5506" s="1" t="str">
        <f>"0320"</f>
        <v>0320</v>
      </c>
      <c r="X5506" s="1" t="s">
        <v>35</v>
      </c>
    </row>
    <row r="5507" spans="1:24" x14ac:dyDescent="0.3">
      <c r="A5507" s="1" t="str">
        <f t="shared" si="1059"/>
        <v>59823</v>
      </c>
      <c r="B5507" s="1" t="s">
        <v>36</v>
      </c>
      <c r="C5507" s="1" t="s">
        <v>37</v>
      </c>
      <c r="D5507" s="1" t="str">
        <f t="shared" si="1060"/>
        <v>9803</v>
      </c>
      <c r="E5507" s="1" t="s">
        <v>32</v>
      </c>
      <c r="F5507" s="1" t="str">
        <f>"442019457"</f>
        <v>442019457</v>
      </c>
      <c r="G5507" s="1" t="s">
        <v>33</v>
      </c>
      <c r="H5507" s="1" t="str">
        <f t="shared" si="1061"/>
        <v>20220926</v>
      </c>
      <c r="I5507" s="1" t="str">
        <f>"161122"</f>
        <v>161122</v>
      </c>
      <c r="J5507" s="1" t="s">
        <v>34</v>
      </c>
      <c r="K5507" s="1" t="s">
        <v>34</v>
      </c>
      <c r="L5507" s="1" t="str">
        <f t="shared" si="1062"/>
        <v>20220926</v>
      </c>
      <c r="M5507" s="1" t="str">
        <f>"163953"</f>
        <v>163953</v>
      </c>
      <c r="N5507" s="1" t="s">
        <v>28</v>
      </c>
      <c r="O5507" s="1" t="s">
        <v>28</v>
      </c>
      <c r="P5507" s="1" t="s">
        <v>55</v>
      </c>
      <c r="Q5507" s="1">
        <v>25</v>
      </c>
      <c r="R5507" s="1">
        <v>25</v>
      </c>
      <c r="S5507" s="1">
        <v>0</v>
      </c>
      <c r="T5507" s="1">
        <v>0</v>
      </c>
      <c r="U5507" s="1">
        <v>0</v>
      </c>
      <c r="V5507" s="1" t="str">
        <f t="shared" si="1064"/>
        <v>里程返程</v>
      </c>
      <c r="W5507" s="1" t="str">
        <f>"0320"</f>
        <v>0320</v>
      </c>
      <c r="X5507" s="1" t="s">
        <v>35</v>
      </c>
    </row>
    <row r="5508" spans="1:24" x14ac:dyDescent="0.3">
      <c r="A5508" s="1" t="str">
        <f t="shared" si="1059"/>
        <v>59823</v>
      </c>
      <c r="B5508" s="1" t="s">
        <v>36</v>
      </c>
      <c r="C5508" s="1" t="s">
        <v>37</v>
      </c>
      <c r="D5508" s="1" t="str">
        <f t="shared" si="1060"/>
        <v>9803</v>
      </c>
      <c r="E5508" s="1" t="s">
        <v>32</v>
      </c>
      <c r="F5508" s="1" t="str">
        <f>"1840449553"</f>
        <v>1840449553</v>
      </c>
      <c r="G5508" s="1" t="s">
        <v>33</v>
      </c>
      <c r="H5508" s="1" t="str">
        <f t="shared" si="1061"/>
        <v>20220926</v>
      </c>
      <c r="I5508" s="1" t="str">
        <f>"161126"</f>
        <v>161126</v>
      </c>
      <c r="J5508" s="1" t="s">
        <v>34</v>
      </c>
      <c r="K5508" s="1" t="s">
        <v>34</v>
      </c>
      <c r="L5508" s="1" t="str">
        <f t="shared" si="1062"/>
        <v>20220926</v>
      </c>
      <c r="M5508" s="1" t="str">
        <f>"163939"</f>
        <v>163939</v>
      </c>
      <c r="N5508" s="1" t="s">
        <v>28</v>
      </c>
      <c r="O5508" s="1" t="s">
        <v>28</v>
      </c>
      <c r="P5508" s="1" t="s">
        <v>55</v>
      </c>
      <c r="Q5508" s="1">
        <v>25</v>
      </c>
      <c r="R5508" s="1">
        <v>25</v>
      </c>
      <c r="S5508" s="1">
        <v>0</v>
      </c>
      <c r="T5508" s="1">
        <v>0</v>
      </c>
      <c r="U5508" s="1">
        <v>0</v>
      </c>
      <c r="V5508" s="1" t="str">
        <f t="shared" si="1064"/>
        <v>里程返程</v>
      </c>
      <c r="W5508" s="1" t="str">
        <f>"2020"</f>
        <v>2020</v>
      </c>
      <c r="X5508" s="1" t="s">
        <v>35</v>
      </c>
    </row>
    <row r="5509" spans="1:24" x14ac:dyDescent="0.3">
      <c r="A5509" s="1" t="str">
        <f t="shared" si="1059"/>
        <v>59823</v>
      </c>
      <c r="B5509" s="1" t="s">
        <v>36</v>
      </c>
      <c r="C5509" s="1" t="s">
        <v>37</v>
      </c>
      <c r="D5509" s="1" t="str">
        <f t="shared" si="1060"/>
        <v>9803</v>
      </c>
      <c r="E5509" s="1" t="s">
        <v>32</v>
      </c>
      <c r="F5509" s="1" t="str">
        <f>"2876750458"</f>
        <v>2876750458</v>
      </c>
      <c r="G5509" s="1" t="s">
        <v>33</v>
      </c>
      <c r="H5509" s="1" t="str">
        <f t="shared" si="1061"/>
        <v>20220926</v>
      </c>
      <c r="I5509" s="1" t="str">
        <f>"161130"</f>
        <v>161130</v>
      </c>
      <c r="J5509" s="1" t="s">
        <v>34</v>
      </c>
      <c r="K5509" s="1" t="s">
        <v>34</v>
      </c>
      <c r="L5509" s="1" t="str">
        <f t="shared" si="1062"/>
        <v>20220926</v>
      </c>
      <c r="M5509" s="1" t="str">
        <f>"163932"</f>
        <v>163932</v>
      </c>
      <c r="N5509" s="1" t="s">
        <v>28</v>
      </c>
      <c r="O5509" s="1" t="s">
        <v>28</v>
      </c>
      <c r="P5509" s="1" t="s">
        <v>55</v>
      </c>
      <c r="Q5509" s="1">
        <v>25</v>
      </c>
      <c r="R5509" s="1">
        <v>25</v>
      </c>
      <c r="S5509" s="1">
        <v>0</v>
      </c>
      <c r="T5509" s="1">
        <v>0</v>
      </c>
      <c r="U5509" s="1">
        <v>0</v>
      </c>
      <c r="V5509" s="1" t="str">
        <f t="shared" si="1064"/>
        <v>里程返程</v>
      </c>
      <c r="W5509" s="1" t="str">
        <f>"2020"</f>
        <v>2020</v>
      </c>
      <c r="X5509" s="1" t="s">
        <v>35</v>
      </c>
    </row>
    <row r="5510" spans="1:24" x14ac:dyDescent="0.3">
      <c r="A5510" s="1" t="str">
        <f t="shared" si="1059"/>
        <v>59823</v>
      </c>
      <c r="B5510" s="1" t="s">
        <v>36</v>
      </c>
      <c r="C5510" s="1" t="s">
        <v>37</v>
      </c>
      <c r="D5510" s="1" t="str">
        <f t="shared" si="1060"/>
        <v>9803</v>
      </c>
      <c r="E5510" s="1" t="s">
        <v>32</v>
      </c>
      <c r="F5510" s="1" t="str">
        <f>"914A7C3E99280400F700000000000000"</f>
        <v>914A7C3E99280400F700000000000000</v>
      </c>
      <c r="G5510" s="1" t="s">
        <v>58</v>
      </c>
      <c r="H5510" s="1" t="str">
        <f t="shared" si="1061"/>
        <v>20220926</v>
      </c>
      <c r="I5510" s="1" t="str">
        <f>"161132"</f>
        <v>161132</v>
      </c>
      <c r="J5510" s="1" t="s">
        <v>34</v>
      </c>
      <c r="K5510" s="1" t="s">
        <v>34</v>
      </c>
      <c r="L5510" s="1" t="str">
        <f t="shared" si="1062"/>
        <v>20220926</v>
      </c>
      <c r="M5510" s="1" t="str">
        <f>"163937"</f>
        <v>163937</v>
      </c>
      <c r="N5510" s="1" t="s">
        <v>28</v>
      </c>
      <c r="O5510" s="1" t="s">
        <v>28</v>
      </c>
      <c r="P5510" s="1" t="s">
        <v>55</v>
      </c>
      <c r="Q5510" s="1">
        <v>25</v>
      </c>
      <c r="R5510" s="1">
        <v>25</v>
      </c>
      <c r="S5510" s="1">
        <v>0</v>
      </c>
      <c r="T5510" s="1">
        <v>0</v>
      </c>
      <c r="U5510" s="1">
        <v>0</v>
      </c>
      <c r="V5510" s="1" t="str">
        <f t="shared" si="1064"/>
        <v>里程返程</v>
      </c>
      <c r="W5510" s="1" t="str">
        <f>"0020"</f>
        <v>0020</v>
      </c>
      <c r="X5510" s="1" t="s">
        <v>29</v>
      </c>
    </row>
    <row r="5511" spans="1:24" x14ac:dyDescent="0.3">
      <c r="A5511" s="1" t="str">
        <f t="shared" si="1059"/>
        <v>59823</v>
      </c>
      <c r="B5511" s="1" t="s">
        <v>36</v>
      </c>
      <c r="C5511" s="1" t="s">
        <v>37</v>
      </c>
      <c r="D5511" s="1" t="str">
        <f t="shared" si="1060"/>
        <v>9803</v>
      </c>
      <c r="E5511" s="1" t="s">
        <v>32</v>
      </c>
      <c r="F5511" s="1" t="str">
        <f>"813890065"</f>
        <v>813890065</v>
      </c>
      <c r="G5511" s="1" t="s">
        <v>33</v>
      </c>
      <c r="H5511" s="1" t="str">
        <f t="shared" si="1061"/>
        <v>20220926</v>
      </c>
      <c r="I5511" s="1" t="str">
        <f>"161141"</f>
        <v>161141</v>
      </c>
      <c r="J5511" s="1" t="s">
        <v>34</v>
      </c>
      <c r="K5511" s="1" t="s">
        <v>34</v>
      </c>
      <c r="L5511" s="1" t="str">
        <f t="shared" si="1062"/>
        <v>20220926</v>
      </c>
      <c r="M5511" s="1" t="str">
        <f>"163959"</f>
        <v>163959</v>
      </c>
      <c r="N5511" s="1" t="s">
        <v>28</v>
      </c>
      <c r="O5511" s="1" t="s">
        <v>28</v>
      </c>
      <c r="P5511" s="1" t="s">
        <v>55</v>
      </c>
      <c r="Q5511" s="1">
        <v>25</v>
      </c>
      <c r="R5511" s="1">
        <v>25</v>
      </c>
      <c r="S5511" s="1">
        <v>0</v>
      </c>
      <c r="T5511" s="1">
        <v>0</v>
      </c>
      <c r="U5511" s="1">
        <v>0</v>
      </c>
      <c r="V5511" s="1" t="str">
        <f t="shared" si="1064"/>
        <v>里程返程</v>
      </c>
      <c r="W5511" s="1" t="str">
        <f>"2020"</f>
        <v>2020</v>
      </c>
      <c r="X5511" s="1" t="s">
        <v>35</v>
      </c>
    </row>
    <row r="5512" spans="1:24" x14ac:dyDescent="0.3">
      <c r="A5512" s="1" t="str">
        <f t="shared" si="1059"/>
        <v>59823</v>
      </c>
      <c r="B5512" s="1" t="s">
        <v>36</v>
      </c>
      <c r="C5512" s="1" t="s">
        <v>37</v>
      </c>
      <c r="D5512" s="1" t="str">
        <f t="shared" si="1060"/>
        <v>9803</v>
      </c>
      <c r="E5512" s="1" t="s">
        <v>32</v>
      </c>
      <c r="F5512" s="1" t="str">
        <f>"1359BCE91F88040048BA145049901210"</f>
        <v>1359BCE91F88040048BA145049901210</v>
      </c>
      <c r="G5512" s="1" t="s">
        <v>59</v>
      </c>
      <c r="H5512" s="1" t="str">
        <f t="shared" si="1061"/>
        <v>20220926</v>
      </c>
      <c r="I5512" s="1" t="str">
        <f>"161144"</f>
        <v>161144</v>
      </c>
      <c r="J5512" s="1" t="s">
        <v>34</v>
      </c>
      <c r="K5512" s="1" t="s">
        <v>34</v>
      </c>
      <c r="L5512" s="1" t="str">
        <f t="shared" si="1062"/>
        <v>20220926</v>
      </c>
      <c r="M5512" s="1" t="str">
        <f>"164008"</f>
        <v>164008</v>
      </c>
      <c r="N5512" s="1" t="s">
        <v>28</v>
      </c>
      <c r="O5512" s="1" t="s">
        <v>28</v>
      </c>
      <c r="P5512" s="1" t="s">
        <v>55</v>
      </c>
      <c r="Q5512" s="1">
        <v>25</v>
      </c>
      <c r="R5512" s="1">
        <v>25</v>
      </c>
      <c r="S5512" s="1">
        <v>0</v>
      </c>
      <c r="T5512" s="1">
        <v>0</v>
      </c>
      <c r="U5512" s="1">
        <v>0</v>
      </c>
      <c r="V5512" s="1" t="str">
        <f t="shared" si="1064"/>
        <v>里程返程</v>
      </c>
      <c r="W5512" s="1" t="str">
        <f>"0020"</f>
        <v>0020</v>
      </c>
      <c r="X5512" s="1" t="s">
        <v>29</v>
      </c>
    </row>
    <row r="5513" spans="1:24" x14ac:dyDescent="0.3">
      <c r="A5513" s="1" t="str">
        <f t="shared" ref="A5513:A5552" si="1065">"59828"</f>
        <v>59828</v>
      </c>
      <c r="B5513" s="1" t="s">
        <v>23</v>
      </c>
      <c r="C5513" s="1" t="s">
        <v>24</v>
      </c>
      <c r="D5513" s="1" t="str">
        <f t="shared" si="1060"/>
        <v>9803</v>
      </c>
      <c r="E5513" s="1" t="s">
        <v>32</v>
      </c>
      <c r="F5513" s="1" t="str">
        <f>"449456001"</f>
        <v>449456001</v>
      </c>
      <c r="G5513" s="1" t="s">
        <v>33</v>
      </c>
      <c r="H5513" s="1" t="str">
        <f t="shared" si="1061"/>
        <v>20220926</v>
      </c>
      <c r="I5513" s="1" t="str">
        <f>"062432"</f>
        <v>062432</v>
      </c>
      <c r="J5513" s="1" t="s">
        <v>28</v>
      </c>
      <c r="K5513" s="1" t="s">
        <v>28</v>
      </c>
      <c r="L5513" s="1" t="str">
        <f t="shared" si="1062"/>
        <v>20220926</v>
      </c>
      <c r="M5513" s="1" t="str">
        <f>"064042"</f>
        <v>064042</v>
      </c>
      <c r="N5513" s="1" t="s">
        <v>34</v>
      </c>
      <c r="O5513" s="1" t="s">
        <v>34</v>
      </c>
      <c r="P5513" s="1" t="s">
        <v>55</v>
      </c>
      <c r="Q5513" s="1">
        <v>25</v>
      </c>
      <c r="R5513" s="1">
        <v>25</v>
      </c>
      <c r="S5513" s="1">
        <v>0</v>
      </c>
      <c r="T5513" s="1">
        <v>0</v>
      </c>
      <c r="U5513" s="1">
        <v>0</v>
      </c>
      <c r="V5513" s="1" t="str">
        <f>"里程去程"</f>
        <v>里程去程</v>
      </c>
      <c r="W5513" s="1" t="str">
        <f>"0820"</f>
        <v>0820</v>
      </c>
      <c r="X5513" s="1" t="s">
        <v>35</v>
      </c>
    </row>
    <row r="5514" spans="1:24" x14ac:dyDescent="0.3">
      <c r="A5514" s="1" t="str">
        <f t="shared" si="1065"/>
        <v>59828</v>
      </c>
      <c r="B5514" s="1" t="s">
        <v>23</v>
      </c>
      <c r="C5514" s="1" t="s">
        <v>24</v>
      </c>
      <c r="D5514" s="1" t="str">
        <f t="shared" ref="D5514:D5526" si="1066">"9806"</f>
        <v>9806</v>
      </c>
      <c r="E5514" s="1" t="s">
        <v>49</v>
      </c>
      <c r="F5514" s="1" t="str">
        <f>"927551509"</f>
        <v>927551509</v>
      </c>
      <c r="G5514" s="1" t="s">
        <v>38</v>
      </c>
      <c r="H5514" s="1" t="str">
        <f t="shared" ref="H5514:H5545" si="1067">"20220926"</f>
        <v>20220926</v>
      </c>
      <c r="I5514" s="1" t="str">
        <f>"072820"</f>
        <v>072820</v>
      </c>
      <c r="J5514" s="1" t="s">
        <v>28</v>
      </c>
      <c r="K5514" s="1" t="s">
        <v>28</v>
      </c>
      <c r="L5514" s="1" t="str">
        <f t="shared" ref="L5514:L5545" si="1068">"20220926"</f>
        <v>20220926</v>
      </c>
      <c r="M5514" s="1" t="str">
        <f>"073805"</f>
        <v>073805</v>
      </c>
      <c r="N5514" s="1" t="s">
        <v>63</v>
      </c>
      <c r="O5514" s="1" t="s">
        <v>28</v>
      </c>
      <c r="P5514" s="1" t="s">
        <v>55</v>
      </c>
      <c r="Q5514" s="1">
        <v>25</v>
      </c>
      <c r="R5514" s="1">
        <v>0</v>
      </c>
      <c r="S5514" s="1">
        <v>25</v>
      </c>
      <c r="T5514" s="1">
        <v>0</v>
      </c>
      <c r="U5514" s="1">
        <v>0</v>
      </c>
      <c r="V5514" s="1" t="str">
        <f t="shared" ref="V5514:V5526" si="1069">"里程返程"</f>
        <v>里程返程</v>
      </c>
      <c r="W5514" s="1" t="str">
        <f>"0820"</f>
        <v>0820</v>
      </c>
      <c r="X5514" s="1" t="s">
        <v>35</v>
      </c>
    </row>
    <row r="5515" spans="1:24" x14ac:dyDescent="0.3">
      <c r="A5515" s="1" t="str">
        <f t="shared" si="1065"/>
        <v>59828</v>
      </c>
      <c r="B5515" s="1" t="s">
        <v>23</v>
      </c>
      <c r="C5515" s="1" t="s">
        <v>24</v>
      </c>
      <c r="D5515" s="1" t="str">
        <f t="shared" si="1066"/>
        <v>9806</v>
      </c>
      <c r="E5515" s="1" t="s">
        <v>49</v>
      </c>
      <c r="F5515" s="1" t="str">
        <f>"F238370AF7880400C810002000000016"</f>
        <v>F238370AF7880400C810002000000016</v>
      </c>
      <c r="G5515" s="1" t="s">
        <v>59</v>
      </c>
      <c r="H5515" s="1" t="str">
        <f t="shared" si="1067"/>
        <v>20220926</v>
      </c>
      <c r="I5515" s="1" t="str">
        <f>"072825"</f>
        <v>072825</v>
      </c>
      <c r="J5515" s="1" t="s">
        <v>28</v>
      </c>
      <c r="K5515" s="1" t="s">
        <v>28</v>
      </c>
      <c r="L5515" s="1" t="str">
        <f t="shared" si="1068"/>
        <v>20220926</v>
      </c>
      <c r="M5515" s="1" t="str">
        <f>"073809"</f>
        <v>073809</v>
      </c>
      <c r="N5515" s="1" t="s">
        <v>63</v>
      </c>
      <c r="O5515" s="1" t="s">
        <v>28</v>
      </c>
      <c r="P5515" s="1" t="s">
        <v>55</v>
      </c>
      <c r="Q5515" s="1">
        <v>25</v>
      </c>
      <c r="R5515" s="1">
        <v>0</v>
      </c>
      <c r="S5515" s="1">
        <v>25</v>
      </c>
      <c r="T5515" s="1">
        <v>0</v>
      </c>
      <c r="U5515" s="1">
        <v>0</v>
      </c>
      <c r="V5515" s="1" t="str">
        <f t="shared" si="1069"/>
        <v>里程返程</v>
      </c>
      <c r="W5515" s="1" t="str">
        <f>"0620"</f>
        <v>0620</v>
      </c>
      <c r="X5515" s="1" t="s">
        <v>29</v>
      </c>
    </row>
    <row r="5516" spans="1:24" x14ac:dyDescent="0.3">
      <c r="A5516" s="1" t="str">
        <f t="shared" si="1065"/>
        <v>59828</v>
      </c>
      <c r="B5516" s="1" t="s">
        <v>23</v>
      </c>
      <c r="C5516" s="1" t="s">
        <v>24</v>
      </c>
      <c r="D5516" s="1" t="str">
        <f t="shared" si="1066"/>
        <v>9806</v>
      </c>
      <c r="E5516" s="1" t="s">
        <v>49</v>
      </c>
      <c r="F5516" s="1" t="str">
        <f>"1055537829"</f>
        <v>1055537829</v>
      </c>
      <c r="G5516" s="1" t="s">
        <v>33</v>
      </c>
      <c r="H5516" s="1" t="str">
        <f t="shared" si="1067"/>
        <v>20220926</v>
      </c>
      <c r="I5516" s="1" t="str">
        <f>"072827"</f>
        <v>072827</v>
      </c>
      <c r="J5516" s="1" t="s">
        <v>28</v>
      </c>
      <c r="K5516" s="1" t="s">
        <v>28</v>
      </c>
      <c r="L5516" s="1" t="str">
        <f t="shared" si="1068"/>
        <v>20220926</v>
      </c>
      <c r="M5516" s="1" t="str">
        <f>"073814"</f>
        <v>073814</v>
      </c>
      <c r="N5516" s="1" t="s">
        <v>63</v>
      </c>
      <c r="O5516" s="1" t="s">
        <v>28</v>
      </c>
      <c r="P5516" s="1" t="s">
        <v>55</v>
      </c>
      <c r="Q5516" s="1">
        <v>25</v>
      </c>
      <c r="R5516" s="1">
        <v>0</v>
      </c>
      <c r="S5516" s="1">
        <v>25</v>
      </c>
      <c r="T5516" s="1">
        <v>0</v>
      </c>
      <c r="U5516" s="1">
        <v>0</v>
      </c>
      <c r="V5516" s="1" t="str">
        <f t="shared" si="1069"/>
        <v>里程返程</v>
      </c>
      <c r="W5516" s="1" t="str">
        <f>"0820"</f>
        <v>0820</v>
      </c>
      <c r="X5516" s="1" t="s">
        <v>35</v>
      </c>
    </row>
    <row r="5517" spans="1:24" x14ac:dyDescent="0.3">
      <c r="A5517" s="1" t="str">
        <f t="shared" si="1065"/>
        <v>59828</v>
      </c>
      <c r="B5517" s="1" t="s">
        <v>23</v>
      </c>
      <c r="C5517" s="1" t="s">
        <v>24</v>
      </c>
      <c r="D5517" s="1" t="str">
        <f t="shared" si="1066"/>
        <v>9806</v>
      </c>
      <c r="E5517" s="1" t="s">
        <v>49</v>
      </c>
      <c r="F5517" s="1" t="str">
        <f>"1845872357"</f>
        <v>1845872357</v>
      </c>
      <c r="G5517" s="1" t="s">
        <v>33</v>
      </c>
      <c r="H5517" s="1" t="str">
        <f t="shared" si="1067"/>
        <v>20220926</v>
      </c>
      <c r="I5517" s="1" t="str">
        <f>"072830"</f>
        <v>072830</v>
      </c>
      <c r="J5517" s="1" t="s">
        <v>28</v>
      </c>
      <c r="K5517" s="1" t="s">
        <v>28</v>
      </c>
      <c r="L5517" s="1" t="str">
        <f t="shared" si="1068"/>
        <v>20220926</v>
      </c>
      <c r="M5517" s="1" t="str">
        <f>"073807"</f>
        <v>073807</v>
      </c>
      <c r="N5517" s="1" t="s">
        <v>63</v>
      </c>
      <c r="O5517" s="1" t="s">
        <v>28</v>
      </c>
      <c r="P5517" s="1" t="s">
        <v>55</v>
      </c>
      <c r="Q5517" s="1">
        <v>25</v>
      </c>
      <c r="R5517" s="1">
        <v>0</v>
      </c>
      <c r="S5517" s="1">
        <v>25</v>
      </c>
      <c r="T5517" s="1">
        <v>0</v>
      </c>
      <c r="U5517" s="1">
        <v>0</v>
      </c>
      <c r="V5517" s="1" t="str">
        <f t="shared" si="1069"/>
        <v>里程返程</v>
      </c>
      <c r="W5517" s="1" t="str">
        <f>"0820"</f>
        <v>0820</v>
      </c>
      <c r="X5517" s="1" t="s">
        <v>35</v>
      </c>
    </row>
    <row r="5518" spans="1:24" x14ac:dyDescent="0.3">
      <c r="A5518" s="1" t="str">
        <f t="shared" si="1065"/>
        <v>59828</v>
      </c>
      <c r="B5518" s="1" t="s">
        <v>23</v>
      </c>
      <c r="C5518" s="1" t="s">
        <v>24</v>
      </c>
      <c r="D5518" s="1" t="str">
        <f t="shared" si="1066"/>
        <v>9806</v>
      </c>
      <c r="E5518" s="1" t="s">
        <v>49</v>
      </c>
      <c r="F5518" s="1" t="str">
        <f>"52083B1879880400C819002000000019"</f>
        <v>52083B1879880400C819002000000019</v>
      </c>
      <c r="G5518" s="1" t="s">
        <v>59</v>
      </c>
      <c r="H5518" s="1" t="str">
        <f t="shared" si="1067"/>
        <v>20220926</v>
      </c>
      <c r="I5518" s="1" t="str">
        <f>"072835"</f>
        <v>072835</v>
      </c>
      <c r="J5518" s="1" t="s">
        <v>28</v>
      </c>
      <c r="K5518" s="1" t="s">
        <v>28</v>
      </c>
      <c r="L5518" s="1" t="str">
        <f t="shared" si="1068"/>
        <v>20220926</v>
      </c>
      <c r="M5518" s="1" t="str">
        <f>"073803"</f>
        <v>073803</v>
      </c>
      <c r="N5518" s="1" t="s">
        <v>63</v>
      </c>
      <c r="O5518" s="1" t="s">
        <v>28</v>
      </c>
      <c r="P5518" s="1" t="s">
        <v>55</v>
      </c>
      <c r="Q5518" s="1">
        <v>25</v>
      </c>
      <c r="R5518" s="1">
        <v>25</v>
      </c>
      <c r="S5518" s="1">
        <v>0</v>
      </c>
      <c r="T5518" s="1">
        <v>0</v>
      </c>
      <c r="U5518" s="1">
        <v>0</v>
      </c>
      <c r="V5518" s="1" t="str">
        <f t="shared" si="1069"/>
        <v>里程返程</v>
      </c>
      <c r="W5518" s="1" t="str">
        <f>"0020"</f>
        <v>0020</v>
      </c>
      <c r="X5518" s="1" t="s">
        <v>29</v>
      </c>
    </row>
    <row r="5519" spans="1:24" x14ac:dyDescent="0.3">
      <c r="A5519" s="1" t="str">
        <f t="shared" si="1065"/>
        <v>59828</v>
      </c>
      <c r="B5519" s="1" t="s">
        <v>23</v>
      </c>
      <c r="C5519" s="1" t="s">
        <v>24</v>
      </c>
      <c r="D5519" s="1" t="str">
        <f t="shared" si="1066"/>
        <v>9806</v>
      </c>
      <c r="E5519" s="1" t="s">
        <v>49</v>
      </c>
      <c r="F5519" s="1" t="str">
        <f>"62C93D1680880400C814002000000019"</f>
        <v>62C93D1680880400C814002000000019</v>
      </c>
      <c r="G5519" s="1" t="s">
        <v>59</v>
      </c>
      <c r="H5519" s="1" t="str">
        <f t="shared" si="1067"/>
        <v>20220926</v>
      </c>
      <c r="I5519" s="1" t="str">
        <f>"072837"</f>
        <v>072837</v>
      </c>
      <c r="J5519" s="1" t="s">
        <v>28</v>
      </c>
      <c r="K5519" s="1" t="s">
        <v>28</v>
      </c>
      <c r="L5519" s="1" t="str">
        <f t="shared" si="1068"/>
        <v>20220926</v>
      </c>
      <c r="M5519" s="1" t="str">
        <f>"073800"</f>
        <v>073800</v>
      </c>
      <c r="N5519" s="1" t="s">
        <v>63</v>
      </c>
      <c r="O5519" s="1" t="s">
        <v>28</v>
      </c>
      <c r="P5519" s="1" t="s">
        <v>55</v>
      </c>
      <c r="Q5519" s="1">
        <v>25</v>
      </c>
      <c r="R5519" s="1">
        <v>0</v>
      </c>
      <c r="S5519" s="1">
        <v>25</v>
      </c>
      <c r="T5519" s="1">
        <v>0</v>
      </c>
      <c r="U5519" s="1">
        <v>0</v>
      </c>
      <c r="V5519" s="1" t="str">
        <f t="shared" si="1069"/>
        <v>里程返程</v>
      </c>
      <c r="W5519" s="1" t="str">
        <f>"0620"</f>
        <v>0620</v>
      </c>
      <c r="X5519" s="1" t="s">
        <v>29</v>
      </c>
    </row>
    <row r="5520" spans="1:24" x14ac:dyDescent="0.3">
      <c r="A5520" s="1" t="str">
        <f t="shared" si="1065"/>
        <v>59828</v>
      </c>
      <c r="B5520" s="1" t="s">
        <v>23</v>
      </c>
      <c r="C5520" s="1" t="s">
        <v>24</v>
      </c>
      <c r="D5520" s="1" t="str">
        <f t="shared" si="1066"/>
        <v>9806</v>
      </c>
      <c r="E5520" s="1" t="s">
        <v>49</v>
      </c>
      <c r="F5520" s="1" t="str">
        <f>"538267473"</f>
        <v>538267473</v>
      </c>
      <c r="G5520" s="1" t="s">
        <v>33</v>
      </c>
      <c r="H5520" s="1" t="str">
        <f t="shared" si="1067"/>
        <v>20220926</v>
      </c>
      <c r="I5520" s="1" t="str">
        <f>"072842"</f>
        <v>072842</v>
      </c>
      <c r="J5520" s="1" t="s">
        <v>28</v>
      </c>
      <c r="K5520" s="1" t="s">
        <v>28</v>
      </c>
      <c r="L5520" s="1" t="str">
        <f t="shared" si="1068"/>
        <v>20220926</v>
      </c>
      <c r="M5520" s="1" t="str">
        <f>"074548"</f>
        <v>074548</v>
      </c>
      <c r="N5520" s="1" t="s">
        <v>99</v>
      </c>
      <c r="O5520" s="1" t="s">
        <v>28</v>
      </c>
      <c r="P5520" s="1" t="s">
        <v>55</v>
      </c>
      <c r="Q5520" s="1">
        <v>25</v>
      </c>
      <c r="R5520" s="1">
        <v>0</v>
      </c>
      <c r="S5520" s="1">
        <v>25</v>
      </c>
      <c r="T5520" s="1">
        <v>0</v>
      </c>
      <c r="U5520" s="1">
        <v>0</v>
      </c>
      <c r="V5520" s="1" t="str">
        <f t="shared" si="1069"/>
        <v>里程返程</v>
      </c>
      <c r="W5520" s="1" t="str">
        <f>"0820"</f>
        <v>0820</v>
      </c>
      <c r="X5520" s="1" t="s">
        <v>35</v>
      </c>
    </row>
    <row r="5521" spans="1:24" x14ac:dyDescent="0.3">
      <c r="A5521" s="1" t="str">
        <f t="shared" si="1065"/>
        <v>59828</v>
      </c>
      <c r="B5521" s="1" t="s">
        <v>23</v>
      </c>
      <c r="C5521" s="1" t="s">
        <v>24</v>
      </c>
      <c r="D5521" s="1" t="str">
        <f t="shared" si="1066"/>
        <v>9806</v>
      </c>
      <c r="E5521" s="1" t="s">
        <v>49</v>
      </c>
      <c r="F5521" s="1" t="str">
        <f>"72993516C8880400C814002000000019"</f>
        <v>72993516C8880400C814002000000019</v>
      </c>
      <c r="G5521" s="1" t="s">
        <v>59</v>
      </c>
      <c r="H5521" s="1" t="str">
        <f t="shared" si="1067"/>
        <v>20220926</v>
      </c>
      <c r="I5521" s="1" t="str">
        <f>"072844"</f>
        <v>072844</v>
      </c>
      <c r="J5521" s="1" t="s">
        <v>28</v>
      </c>
      <c r="K5521" s="1" t="s">
        <v>28</v>
      </c>
      <c r="L5521" s="1" t="str">
        <f t="shared" si="1068"/>
        <v>20220926</v>
      </c>
      <c r="M5521" s="1" t="str">
        <f>"073757"</f>
        <v>073757</v>
      </c>
      <c r="N5521" s="1" t="s">
        <v>63</v>
      </c>
      <c r="O5521" s="1" t="s">
        <v>28</v>
      </c>
      <c r="P5521" s="1" t="s">
        <v>55</v>
      </c>
      <c r="Q5521" s="1">
        <v>25</v>
      </c>
      <c r="R5521" s="1">
        <v>0</v>
      </c>
      <c r="S5521" s="1">
        <v>25</v>
      </c>
      <c r="T5521" s="1">
        <v>0</v>
      </c>
      <c r="U5521" s="1">
        <v>0</v>
      </c>
      <c r="V5521" s="1" t="str">
        <f t="shared" si="1069"/>
        <v>里程返程</v>
      </c>
      <c r="W5521" s="1" t="str">
        <f>"0620"</f>
        <v>0620</v>
      </c>
      <c r="X5521" s="1" t="s">
        <v>29</v>
      </c>
    </row>
    <row r="5522" spans="1:24" x14ac:dyDescent="0.3">
      <c r="A5522" s="1" t="str">
        <f t="shared" si="1065"/>
        <v>59828</v>
      </c>
      <c r="B5522" s="1" t="s">
        <v>23</v>
      </c>
      <c r="C5522" s="1" t="s">
        <v>24</v>
      </c>
      <c r="D5522" s="1" t="str">
        <f t="shared" si="1066"/>
        <v>9806</v>
      </c>
      <c r="E5522" s="1" t="s">
        <v>49</v>
      </c>
      <c r="F5522" s="1" t="str">
        <f>"22C03B16CF880400C814002000000019"</f>
        <v>22C03B16CF880400C814002000000019</v>
      </c>
      <c r="G5522" s="1" t="s">
        <v>59</v>
      </c>
      <c r="H5522" s="1" t="str">
        <f t="shared" si="1067"/>
        <v>20220926</v>
      </c>
      <c r="I5522" s="1" t="str">
        <f>"072847"</f>
        <v>072847</v>
      </c>
      <c r="J5522" s="1" t="s">
        <v>28</v>
      </c>
      <c r="K5522" s="1" t="s">
        <v>28</v>
      </c>
      <c r="L5522" s="1" t="str">
        <f t="shared" si="1068"/>
        <v>20220926</v>
      </c>
      <c r="M5522" s="1" t="str">
        <f>"073811"</f>
        <v>073811</v>
      </c>
      <c r="N5522" s="1" t="s">
        <v>63</v>
      </c>
      <c r="O5522" s="1" t="s">
        <v>28</v>
      </c>
      <c r="P5522" s="1" t="s">
        <v>55</v>
      </c>
      <c r="Q5522" s="1">
        <v>25</v>
      </c>
      <c r="R5522" s="1">
        <v>25</v>
      </c>
      <c r="S5522" s="1">
        <v>0</v>
      </c>
      <c r="T5522" s="1">
        <v>0</v>
      </c>
      <c r="U5522" s="1">
        <v>0</v>
      </c>
      <c r="V5522" s="1" t="str">
        <f t="shared" si="1069"/>
        <v>里程返程</v>
      </c>
      <c r="W5522" s="1" t="str">
        <f>"0020"</f>
        <v>0020</v>
      </c>
      <c r="X5522" s="1" t="s">
        <v>29</v>
      </c>
    </row>
    <row r="5523" spans="1:24" x14ac:dyDescent="0.3">
      <c r="A5523" s="1" t="str">
        <f t="shared" si="1065"/>
        <v>59828</v>
      </c>
      <c r="B5523" s="1" t="s">
        <v>23</v>
      </c>
      <c r="C5523" s="1" t="s">
        <v>24</v>
      </c>
      <c r="D5523" s="1" t="str">
        <f t="shared" si="1066"/>
        <v>9806</v>
      </c>
      <c r="E5523" s="1" t="s">
        <v>49</v>
      </c>
      <c r="F5523" s="1" t="str">
        <f>"1697487813"</f>
        <v>1697487813</v>
      </c>
      <c r="G5523" s="1" t="s">
        <v>33</v>
      </c>
      <c r="H5523" s="1" t="str">
        <f t="shared" si="1067"/>
        <v>20220926</v>
      </c>
      <c r="I5523" s="1" t="str">
        <f>"072850"</f>
        <v>072850</v>
      </c>
      <c r="J5523" s="1" t="s">
        <v>28</v>
      </c>
      <c r="K5523" s="1" t="s">
        <v>28</v>
      </c>
      <c r="L5523" s="1" t="str">
        <f t="shared" si="1068"/>
        <v>20220926</v>
      </c>
      <c r="M5523" s="1" t="str">
        <f>"074541"</f>
        <v>074541</v>
      </c>
      <c r="N5523" s="1" t="s">
        <v>99</v>
      </c>
      <c r="O5523" s="1" t="s">
        <v>28</v>
      </c>
      <c r="P5523" s="1" t="s">
        <v>55</v>
      </c>
      <c r="Q5523" s="1">
        <v>25</v>
      </c>
      <c r="R5523" s="1">
        <v>0</v>
      </c>
      <c r="S5523" s="1">
        <v>25</v>
      </c>
      <c r="T5523" s="1">
        <v>0</v>
      </c>
      <c r="U5523" s="1">
        <v>0</v>
      </c>
      <c r="V5523" s="1" t="str">
        <f t="shared" si="1069"/>
        <v>里程返程</v>
      </c>
      <c r="W5523" s="1" t="str">
        <f>"0820"</f>
        <v>0820</v>
      </c>
      <c r="X5523" s="1" t="s">
        <v>35</v>
      </c>
    </row>
    <row r="5524" spans="1:24" x14ac:dyDescent="0.3">
      <c r="A5524" s="1" t="str">
        <f t="shared" si="1065"/>
        <v>59828</v>
      </c>
      <c r="B5524" s="1" t="s">
        <v>23</v>
      </c>
      <c r="C5524" s="1" t="s">
        <v>24</v>
      </c>
      <c r="D5524" s="1" t="str">
        <f t="shared" si="1066"/>
        <v>9806</v>
      </c>
      <c r="E5524" s="1" t="s">
        <v>49</v>
      </c>
      <c r="F5524" s="1" t="str">
        <f>"7511161863006423"</f>
        <v>7511161863006423</v>
      </c>
      <c r="G5524" s="1" t="s">
        <v>33</v>
      </c>
      <c r="H5524" s="1" t="str">
        <f t="shared" si="1067"/>
        <v>20220926</v>
      </c>
      <c r="I5524" s="1" t="str">
        <f>"072852"</f>
        <v>072852</v>
      </c>
      <c r="J5524" s="1" t="s">
        <v>28</v>
      </c>
      <c r="K5524" s="1" t="s">
        <v>28</v>
      </c>
      <c r="L5524" s="1" t="str">
        <f t="shared" si="1068"/>
        <v>20220926</v>
      </c>
      <c r="M5524" s="1" t="str">
        <f>"074536"</f>
        <v>074536</v>
      </c>
      <c r="N5524" s="1" t="s">
        <v>99</v>
      </c>
      <c r="O5524" s="1" t="s">
        <v>28</v>
      </c>
      <c r="P5524" s="1" t="s">
        <v>55</v>
      </c>
      <c r="Q5524" s="1">
        <v>25</v>
      </c>
      <c r="R5524" s="1">
        <v>0</v>
      </c>
      <c r="S5524" s="1">
        <v>25</v>
      </c>
      <c r="T5524" s="1">
        <v>0</v>
      </c>
      <c r="U5524" s="1">
        <v>0</v>
      </c>
      <c r="V5524" s="1" t="str">
        <f t="shared" si="1069"/>
        <v>里程返程</v>
      </c>
      <c r="W5524" s="1" t="str">
        <f>"083B"</f>
        <v>083B</v>
      </c>
      <c r="X5524" s="1" t="s">
        <v>109</v>
      </c>
    </row>
    <row r="5525" spans="1:24" x14ac:dyDescent="0.3">
      <c r="A5525" s="1" t="str">
        <f t="shared" si="1065"/>
        <v>59828</v>
      </c>
      <c r="B5525" s="1" t="s">
        <v>23</v>
      </c>
      <c r="C5525" s="1" t="s">
        <v>24</v>
      </c>
      <c r="D5525" s="1" t="str">
        <f t="shared" si="1066"/>
        <v>9806</v>
      </c>
      <c r="E5525" s="1" t="s">
        <v>49</v>
      </c>
      <c r="F5525" s="1" t="str">
        <f>"7111220514006728"</f>
        <v>7111220514006728</v>
      </c>
      <c r="G5525" s="1" t="s">
        <v>33</v>
      </c>
      <c r="H5525" s="1" t="str">
        <f t="shared" si="1067"/>
        <v>20220926</v>
      </c>
      <c r="I5525" s="1" t="str">
        <f>"072855"</f>
        <v>072855</v>
      </c>
      <c r="J5525" s="1" t="s">
        <v>28</v>
      </c>
      <c r="K5525" s="1" t="s">
        <v>28</v>
      </c>
      <c r="L5525" s="1" t="str">
        <f t="shared" si="1068"/>
        <v>20220926</v>
      </c>
      <c r="M5525" s="1" t="str">
        <f>"074533"</f>
        <v>074533</v>
      </c>
      <c r="N5525" s="1" t="s">
        <v>99</v>
      </c>
      <c r="O5525" s="1" t="s">
        <v>28</v>
      </c>
      <c r="P5525" s="1" t="s">
        <v>55</v>
      </c>
      <c r="Q5525" s="1">
        <v>25</v>
      </c>
      <c r="R5525" s="1">
        <v>25</v>
      </c>
      <c r="S5525" s="1">
        <v>0</v>
      </c>
      <c r="T5525" s="1">
        <v>0</v>
      </c>
      <c r="U5525" s="1">
        <v>0</v>
      </c>
      <c r="V5525" s="1" t="str">
        <f t="shared" si="1069"/>
        <v>里程返程</v>
      </c>
      <c r="W5525" s="1" t="str">
        <f>"088B"</f>
        <v>088B</v>
      </c>
      <c r="X5525" s="1" t="s">
        <v>109</v>
      </c>
    </row>
    <row r="5526" spans="1:24" x14ac:dyDescent="0.3">
      <c r="A5526" s="1" t="str">
        <f t="shared" si="1065"/>
        <v>59828</v>
      </c>
      <c r="B5526" s="1" t="s">
        <v>23</v>
      </c>
      <c r="C5526" s="1" t="s">
        <v>24</v>
      </c>
      <c r="D5526" s="1" t="str">
        <f t="shared" si="1066"/>
        <v>9806</v>
      </c>
      <c r="E5526" s="1" t="s">
        <v>49</v>
      </c>
      <c r="F5526" s="1" t="str">
        <f>"B211E70246880400C834002000000015"</f>
        <v>B211E70246880400C834002000000015</v>
      </c>
      <c r="G5526" s="1" t="s">
        <v>74</v>
      </c>
      <c r="H5526" s="1" t="str">
        <f t="shared" si="1067"/>
        <v>20220926</v>
      </c>
      <c r="I5526" s="1" t="str">
        <f>"073322"</f>
        <v>073322</v>
      </c>
      <c r="J5526" s="1" t="s">
        <v>101</v>
      </c>
      <c r="K5526" s="1" t="s">
        <v>28</v>
      </c>
      <c r="L5526" s="1" t="str">
        <f t="shared" si="1068"/>
        <v>20220926</v>
      </c>
      <c r="M5526" s="1" t="str">
        <f>"074539"</f>
        <v>074539</v>
      </c>
      <c r="N5526" s="1" t="s">
        <v>99</v>
      </c>
      <c r="O5526" s="1" t="s">
        <v>28</v>
      </c>
      <c r="P5526" s="1" t="s">
        <v>68</v>
      </c>
      <c r="Q5526" s="1">
        <v>13</v>
      </c>
      <c r="R5526" s="1">
        <v>0</v>
      </c>
      <c r="S5526" s="1">
        <v>0</v>
      </c>
      <c r="T5526" s="1">
        <v>13</v>
      </c>
      <c r="U5526" s="1">
        <v>0</v>
      </c>
      <c r="V5526" s="1" t="str">
        <f t="shared" si="1069"/>
        <v>里程返程</v>
      </c>
      <c r="W5526" s="1" t="str">
        <f>"0020"</f>
        <v>0020</v>
      </c>
      <c r="X5526" s="1" t="s">
        <v>29</v>
      </c>
    </row>
    <row r="5527" spans="1:24" x14ac:dyDescent="0.3">
      <c r="A5527" s="1" t="str">
        <f t="shared" si="1065"/>
        <v>59828</v>
      </c>
      <c r="B5527" s="1" t="s">
        <v>23</v>
      </c>
      <c r="C5527" s="1" t="s">
        <v>24</v>
      </c>
      <c r="D5527" s="1" t="str">
        <f t="shared" ref="D5527:D5541" si="1070">"9803"</f>
        <v>9803</v>
      </c>
      <c r="E5527" s="1" t="s">
        <v>32</v>
      </c>
      <c r="F5527" s="1" t="str">
        <f>"1509625967"</f>
        <v>1509625967</v>
      </c>
      <c r="G5527" s="1" t="s">
        <v>33</v>
      </c>
      <c r="H5527" s="1" t="str">
        <f t="shared" si="1067"/>
        <v>20220926</v>
      </c>
      <c r="I5527" s="1" t="str">
        <f>"080652"</f>
        <v>080652</v>
      </c>
      <c r="J5527" s="1" t="s">
        <v>28</v>
      </c>
      <c r="K5527" s="1" t="s">
        <v>28</v>
      </c>
      <c r="L5527" s="1" t="str">
        <f t="shared" si="1068"/>
        <v>20220926</v>
      </c>
      <c r="M5527" s="1" t="str">
        <f>"082951"</f>
        <v>082951</v>
      </c>
      <c r="N5527" s="1" t="s">
        <v>34</v>
      </c>
      <c r="O5527" s="1" t="s">
        <v>34</v>
      </c>
      <c r="P5527" s="1" t="s">
        <v>55</v>
      </c>
      <c r="Q5527" s="1">
        <v>25</v>
      </c>
      <c r="R5527" s="1">
        <v>0</v>
      </c>
      <c r="S5527" s="1">
        <v>25</v>
      </c>
      <c r="T5527" s="1">
        <v>0</v>
      </c>
      <c r="U5527" s="1">
        <v>0</v>
      </c>
      <c r="V5527" s="1" t="str">
        <f t="shared" ref="V5527:V5545" si="1071">"里程去程"</f>
        <v>里程去程</v>
      </c>
      <c r="W5527" s="1" t="str">
        <f>"0820"</f>
        <v>0820</v>
      </c>
      <c r="X5527" s="1" t="s">
        <v>35</v>
      </c>
    </row>
    <row r="5528" spans="1:24" x14ac:dyDescent="0.3">
      <c r="A5528" s="1" t="str">
        <f t="shared" si="1065"/>
        <v>59828</v>
      </c>
      <c r="B5528" s="1" t="s">
        <v>23</v>
      </c>
      <c r="C5528" s="1" t="s">
        <v>24</v>
      </c>
      <c r="D5528" s="1" t="str">
        <f t="shared" si="1070"/>
        <v>9803</v>
      </c>
      <c r="E5528" s="1" t="s">
        <v>32</v>
      </c>
      <c r="F5528" s="1" t="str">
        <f>"161717441"</f>
        <v>161717441</v>
      </c>
      <c r="G5528" s="1" t="s">
        <v>33</v>
      </c>
      <c r="H5528" s="1" t="str">
        <f t="shared" si="1067"/>
        <v>20220926</v>
      </c>
      <c r="I5528" s="1" t="str">
        <f>"080706"</f>
        <v>080706</v>
      </c>
      <c r="J5528" s="1" t="s">
        <v>28</v>
      </c>
      <c r="K5528" s="1" t="s">
        <v>28</v>
      </c>
      <c r="L5528" s="1" t="str">
        <f t="shared" si="1068"/>
        <v>20220926</v>
      </c>
      <c r="M5528" s="1" t="str">
        <f>"083037"</f>
        <v>083037</v>
      </c>
      <c r="N5528" s="1" t="s">
        <v>34</v>
      </c>
      <c r="O5528" s="1" t="s">
        <v>34</v>
      </c>
      <c r="P5528" s="1" t="s">
        <v>55</v>
      </c>
      <c r="Q5528" s="1">
        <v>25</v>
      </c>
      <c r="R5528" s="1">
        <v>0</v>
      </c>
      <c r="S5528" s="1">
        <v>25</v>
      </c>
      <c r="T5528" s="1">
        <v>0</v>
      </c>
      <c r="U5528" s="1">
        <v>0</v>
      </c>
      <c r="V5528" s="1" t="str">
        <f t="shared" si="1071"/>
        <v>里程去程</v>
      </c>
      <c r="W5528" s="1" t="str">
        <f>"0820"</f>
        <v>0820</v>
      </c>
      <c r="X5528" s="1" t="s">
        <v>35</v>
      </c>
    </row>
    <row r="5529" spans="1:24" x14ac:dyDescent="0.3">
      <c r="A5529" s="1" t="str">
        <f t="shared" si="1065"/>
        <v>59828</v>
      </c>
      <c r="B5529" s="1" t="s">
        <v>23</v>
      </c>
      <c r="C5529" s="1" t="s">
        <v>24</v>
      </c>
      <c r="D5529" s="1" t="str">
        <f t="shared" si="1070"/>
        <v>9803</v>
      </c>
      <c r="E5529" s="1" t="s">
        <v>32</v>
      </c>
      <c r="F5529" s="1" t="str">
        <f>"1464046545"</f>
        <v>1464046545</v>
      </c>
      <c r="G5529" s="1" t="s">
        <v>33</v>
      </c>
      <c r="H5529" s="1" t="str">
        <f t="shared" si="1067"/>
        <v>20220926</v>
      </c>
      <c r="I5529" s="1" t="str">
        <f>"080713"</f>
        <v>080713</v>
      </c>
      <c r="J5529" s="1" t="s">
        <v>28</v>
      </c>
      <c r="K5529" s="1" t="s">
        <v>28</v>
      </c>
      <c r="L5529" s="1" t="str">
        <f t="shared" si="1068"/>
        <v>20220926</v>
      </c>
      <c r="M5529" s="1" t="str">
        <f>"083022"</f>
        <v>083022</v>
      </c>
      <c r="N5529" s="1" t="s">
        <v>34</v>
      </c>
      <c r="O5529" s="1" t="s">
        <v>34</v>
      </c>
      <c r="P5529" s="1" t="s">
        <v>55</v>
      </c>
      <c r="Q5529" s="1">
        <v>25</v>
      </c>
      <c r="R5529" s="1">
        <v>25</v>
      </c>
      <c r="S5529" s="1">
        <v>0</v>
      </c>
      <c r="T5529" s="1">
        <v>0</v>
      </c>
      <c r="U5529" s="1">
        <v>0</v>
      </c>
      <c r="V5529" s="1" t="str">
        <f t="shared" si="1071"/>
        <v>里程去程</v>
      </c>
      <c r="W5529" s="1" t="str">
        <f>"0820"</f>
        <v>0820</v>
      </c>
      <c r="X5529" s="1" t="s">
        <v>35</v>
      </c>
    </row>
    <row r="5530" spans="1:24" x14ac:dyDescent="0.3">
      <c r="A5530" s="1" t="str">
        <f t="shared" si="1065"/>
        <v>59828</v>
      </c>
      <c r="B5530" s="1" t="s">
        <v>23</v>
      </c>
      <c r="C5530" s="1" t="s">
        <v>24</v>
      </c>
      <c r="D5530" s="1" t="str">
        <f t="shared" si="1070"/>
        <v>9803</v>
      </c>
      <c r="E5530" s="1" t="s">
        <v>32</v>
      </c>
      <c r="F5530" s="1" t="str">
        <f>"2028507424"</f>
        <v>2028507424</v>
      </c>
      <c r="G5530" s="1" t="s">
        <v>33</v>
      </c>
      <c r="H5530" s="1" t="str">
        <f t="shared" si="1067"/>
        <v>20220926</v>
      </c>
      <c r="I5530" s="1" t="str">
        <f>"080722"</f>
        <v>080722</v>
      </c>
      <c r="J5530" s="1" t="s">
        <v>28</v>
      </c>
      <c r="K5530" s="1" t="s">
        <v>28</v>
      </c>
      <c r="L5530" s="1" t="str">
        <f t="shared" si="1068"/>
        <v>20220926</v>
      </c>
      <c r="M5530" s="1" t="str">
        <f>"083014"</f>
        <v>083014</v>
      </c>
      <c r="N5530" s="1" t="s">
        <v>34</v>
      </c>
      <c r="O5530" s="1" t="s">
        <v>34</v>
      </c>
      <c r="P5530" s="1" t="s">
        <v>55</v>
      </c>
      <c r="Q5530" s="1">
        <v>25</v>
      </c>
      <c r="R5530" s="1">
        <v>25</v>
      </c>
      <c r="S5530" s="1">
        <v>0</v>
      </c>
      <c r="T5530" s="1">
        <v>0</v>
      </c>
      <c r="U5530" s="1">
        <v>0</v>
      </c>
      <c r="V5530" s="1" t="str">
        <f t="shared" si="1071"/>
        <v>里程去程</v>
      </c>
      <c r="W5530" s="1" t="str">
        <f>"0820"</f>
        <v>0820</v>
      </c>
      <c r="X5530" s="1" t="s">
        <v>35</v>
      </c>
    </row>
    <row r="5531" spans="1:24" x14ac:dyDescent="0.3">
      <c r="A5531" s="1" t="str">
        <f t="shared" si="1065"/>
        <v>59828</v>
      </c>
      <c r="B5531" s="1" t="s">
        <v>23</v>
      </c>
      <c r="C5531" s="1" t="s">
        <v>24</v>
      </c>
      <c r="D5531" s="1" t="str">
        <f t="shared" si="1070"/>
        <v>9803</v>
      </c>
      <c r="E5531" s="1" t="s">
        <v>32</v>
      </c>
      <c r="F5531" s="1" t="str">
        <f>"2738411311"</f>
        <v>2738411311</v>
      </c>
      <c r="G5531" s="1" t="s">
        <v>33</v>
      </c>
      <c r="H5531" s="1" t="str">
        <f t="shared" si="1067"/>
        <v>20220926</v>
      </c>
      <c r="I5531" s="1" t="str">
        <f>"080729"</f>
        <v>080729</v>
      </c>
      <c r="J5531" s="1" t="s">
        <v>28</v>
      </c>
      <c r="K5531" s="1" t="s">
        <v>28</v>
      </c>
      <c r="L5531" s="1" t="str">
        <f t="shared" si="1068"/>
        <v>20220926</v>
      </c>
      <c r="M5531" s="1" t="str">
        <f>"083027"</f>
        <v>083027</v>
      </c>
      <c r="N5531" s="1" t="s">
        <v>34</v>
      </c>
      <c r="O5531" s="1" t="s">
        <v>34</v>
      </c>
      <c r="P5531" s="1" t="s">
        <v>55</v>
      </c>
      <c r="Q5531" s="1">
        <v>25</v>
      </c>
      <c r="R5531" s="1">
        <v>25</v>
      </c>
      <c r="S5531" s="1">
        <v>0</v>
      </c>
      <c r="T5531" s="1">
        <v>0</v>
      </c>
      <c r="U5531" s="1">
        <v>0</v>
      </c>
      <c r="V5531" s="1" t="str">
        <f t="shared" si="1071"/>
        <v>里程去程</v>
      </c>
      <c r="W5531" s="1" t="str">
        <f>"0320"</f>
        <v>0320</v>
      </c>
      <c r="X5531" s="1" t="s">
        <v>35</v>
      </c>
    </row>
    <row r="5532" spans="1:24" x14ac:dyDescent="0.3">
      <c r="A5532" s="1" t="str">
        <f t="shared" si="1065"/>
        <v>59828</v>
      </c>
      <c r="B5532" s="1" t="s">
        <v>23</v>
      </c>
      <c r="C5532" s="1" t="s">
        <v>24</v>
      </c>
      <c r="D5532" s="1" t="str">
        <f t="shared" si="1070"/>
        <v>9803</v>
      </c>
      <c r="E5532" s="1" t="s">
        <v>32</v>
      </c>
      <c r="F5532" s="1" t="str">
        <f>"1503414721"</f>
        <v>1503414721</v>
      </c>
      <c r="G5532" s="1" t="s">
        <v>33</v>
      </c>
      <c r="H5532" s="1" t="str">
        <f t="shared" si="1067"/>
        <v>20220926</v>
      </c>
      <c r="I5532" s="1" t="str">
        <f>"080736"</f>
        <v>080736</v>
      </c>
      <c r="J5532" s="1" t="s">
        <v>28</v>
      </c>
      <c r="K5532" s="1" t="s">
        <v>28</v>
      </c>
      <c r="L5532" s="1" t="str">
        <f t="shared" si="1068"/>
        <v>20220926</v>
      </c>
      <c r="M5532" s="1" t="str">
        <f>"083009"</f>
        <v>083009</v>
      </c>
      <c r="N5532" s="1" t="s">
        <v>34</v>
      </c>
      <c r="O5532" s="1" t="s">
        <v>34</v>
      </c>
      <c r="P5532" s="1" t="s">
        <v>55</v>
      </c>
      <c r="Q5532" s="1">
        <v>25</v>
      </c>
      <c r="R5532" s="1">
        <v>0</v>
      </c>
      <c r="S5532" s="1">
        <v>25</v>
      </c>
      <c r="T5532" s="1">
        <v>0</v>
      </c>
      <c r="U5532" s="1">
        <v>0</v>
      </c>
      <c r="V5532" s="1" t="str">
        <f t="shared" si="1071"/>
        <v>里程去程</v>
      </c>
      <c r="W5532" s="1" t="str">
        <f>"0820"</f>
        <v>0820</v>
      </c>
      <c r="X5532" s="1" t="s">
        <v>35</v>
      </c>
    </row>
    <row r="5533" spans="1:24" x14ac:dyDescent="0.3">
      <c r="A5533" s="1" t="str">
        <f t="shared" si="1065"/>
        <v>59828</v>
      </c>
      <c r="B5533" s="1" t="s">
        <v>23</v>
      </c>
      <c r="C5533" s="1" t="s">
        <v>24</v>
      </c>
      <c r="D5533" s="1" t="str">
        <f t="shared" si="1070"/>
        <v>9803</v>
      </c>
      <c r="E5533" s="1" t="s">
        <v>32</v>
      </c>
      <c r="F5533" s="1" t="str">
        <f>"3493266087"</f>
        <v>3493266087</v>
      </c>
      <c r="G5533" s="1" t="s">
        <v>33</v>
      </c>
      <c r="H5533" s="1" t="str">
        <f t="shared" si="1067"/>
        <v>20220926</v>
      </c>
      <c r="I5533" s="1" t="str">
        <f>"080743"</f>
        <v>080743</v>
      </c>
      <c r="J5533" s="1" t="s">
        <v>28</v>
      </c>
      <c r="K5533" s="1" t="s">
        <v>28</v>
      </c>
      <c r="L5533" s="1" t="str">
        <f t="shared" si="1068"/>
        <v>20220926</v>
      </c>
      <c r="M5533" s="1" t="str">
        <f>"083005"</f>
        <v>083005</v>
      </c>
      <c r="N5533" s="1" t="s">
        <v>34</v>
      </c>
      <c r="O5533" s="1" t="s">
        <v>34</v>
      </c>
      <c r="P5533" s="1" t="s">
        <v>55</v>
      </c>
      <c r="Q5533" s="1">
        <v>25</v>
      </c>
      <c r="R5533" s="1">
        <v>25</v>
      </c>
      <c r="S5533" s="1">
        <v>0</v>
      </c>
      <c r="T5533" s="1">
        <v>0</v>
      </c>
      <c r="U5533" s="1">
        <v>0</v>
      </c>
      <c r="V5533" s="1" t="str">
        <f t="shared" si="1071"/>
        <v>里程去程</v>
      </c>
      <c r="W5533" s="1" t="str">
        <f>"1c20"</f>
        <v>1c20</v>
      </c>
      <c r="X5533" s="1" t="s">
        <v>35</v>
      </c>
    </row>
    <row r="5534" spans="1:24" x14ac:dyDescent="0.3">
      <c r="A5534" s="1" t="str">
        <f t="shared" si="1065"/>
        <v>59828</v>
      </c>
      <c r="B5534" s="1" t="s">
        <v>23</v>
      </c>
      <c r="C5534" s="1" t="s">
        <v>24</v>
      </c>
      <c r="D5534" s="1" t="str">
        <f t="shared" si="1070"/>
        <v>9803</v>
      </c>
      <c r="E5534" s="1" t="s">
        <v>32</v>
      </c>
      <c r="F5534" s="1" t="str">
        <f>"1067769797"</f>
        <v>1067769797</v>
      </c>
      <c r="G5534" s="1" t="s">
        <v>33</v>
      </c>
      <c r="H5534" s="1" t="str">
        <f t="shared" si="1067"/>
        <v>20220926</v>
      </c>
      <c r="I5534" s="1" t="str">
        <f>"082012"</f>
        <v>082012</v>
      </c>
      <c r="J5534" s="1" t="s">
        <v>46</v>
      </c>
      <c r="K5534" s="1" t="s">
        <v>28</v>
      </c>
      <c r="L5534" s="1" t="str">
        <f t="shared" si="1068"/>
        <v>20220926</v>
      </c>
      <c r="M5534" s="1" t="str">
        <f>"082954"</f>
        <v>082954</v>
      </c>
      <c r="N5534" s="1" t="s">
        <v>34</v>
      </c>
      <c r="O5534" s="1" t="s">
        <v>34</v>
      </c>
      <c r="P5534" s="1" t="s">
        <v>55</v>
      </c>
      <c r="Q5534" s="1">
        <v>25</v>
      </c>
      <c r="R5534" s="1">
        <v>25</v>
      </c>
      <c r="S5534" s="1">
        <v>0</v>
      </c>
      <c r="T5534" s="1">
        <v>0</v>
      </c>
      <c r="U5534" s="1">
        <v>0</v>
      </c>
      <c r="V5534" s="1" t="str">
        <f t="shared" si="1071"/>
        <v>里程去程</v>
      </c>
      <c r="W5534" s="1" t="str">
        <f>"2020"</f>
        <v>2020</v>
      </c>
      <c r="X5534" s="1" t="s">
        <v>35</v>
      </c>
    </row>
    <row r="5535" spans="1:24" x14ac:dyDescent="0.3">
      <c r="A5535" s="1" t="str">
        <f t="shared" si="1065"/>
        <v>59828</v>
      </c>
      <c r="B5535" s="1" t="s">
        <v>23</v>
      </c>
      <c r="C5535" s="1" t="s">
        <v>24</v>
      </c>
      <c r="D5535" s="1" t="str">
        <f t="shared" si="1070"/>
        <v>9803</v>
      </c>
      <c r="E5535" s="1" t="s">
        <v>32</v>
      </c>
      <c r="F5535" s="1" t="str">
        <f>"3C13BA72E7880400C08E1E5149601713"</f>
        <v>3C13BA72E7880400C08E1E5149601713</v>
      </c>
      <c r="G5535" s="1" t="s">
        <v>58</v>
      </c>
      <c r="H5535" s="1" t="str">
        <f t="shared" si="1067"/>
        <v>20220926</v>
      </c>
      <c r="I5535" s="1" t="str">
        <f>"094753"</f>
        <v>094753</v>
      </c>
      <c r="J5535" s="1" t="s">
        <v>28</v>
      </c>
      <c r="K5535" s="1" t="s">
        <v>28</v>
      </c>
      <c r="L5535" s="1" t="str">
        <f t="shared" si="1068"/>
        <v>20220926</v>
      </c>
      <c r="M5535" s="1" t="str">
        <f>"100954"</f>
        <v>100954</v>
      </c>
      <c r="N5535" s="1" t="s">
        <v>34</v>
      </c>
      <c r="O5535" s="1" t="s">
        <v>34</v>
      </c>
      <c r="P5535" s="1" t="s">
        <v>55</v>
      </c>
      <c r="Q5535" s="1">
        <v>25</v>
      </c>
      <c r="R5535" s="1">
        <v>0</v>
      </c>
      <c r="S5535" s="1">
        <v>25</v>
      </c>
      <c r="T5535" s="1">
        <v>0</v>
      </c>
      <c r="U5535" s="1">
        <v>0</v>
      </c>
      <c r="V5535" s="1" t="str">
        <f t="shared" si="1071"/>
        <v>里程去程</v>
      </c>
      <c r="W5535" s="1" t="str">
        <f>"0620"</f>
        <v>0620</v>
      </c>
      <c r="X5535" s="1" t="s">
        <v>29</v>
      </c>
    </row>
    <row r="5536" spans="1:24" x14ac:dyDescent="0.3">
      <c r="A5536" s="1" t="str">
        <f t="shared" si="1065"/>
        <v>59828</v>
      </c>
      <c r="B5536" s="1" t="s">
        <v>23</v>
      </c>
      <c r="C5536" s="1" t="s">
        <v>24</v>
      </c>
      <c r="D5536" s="1" t="str">
        <f t="shared" si="1070"/>
        <v>9803</v>
      </c>
      <c r="E5536" s="1" t="s">
        <v>32</v>
      </c>
      <c r="F5536" s="1" t="str">
        <f>"1884007729"</f>
        <v>1884007729</v>
      </c>
      <c r="G5536" s="1" t="s">
        <v>33</v>
      </c>
      <c r="H5536" s="1" t="str">
        <f t="shared" si="1067"/>
        <v>20220926</v>
      </c>
      <c r="I5536" s="1" t="str">
        <f>"094802"</f>
        <v>094802</v>
      </c>
      <c r="J5536" s="1" t="s">
        <v>28</v>
      </c>
      <c r="K5536" s="1" t="s">
        <v>28</v>
      </c>
      <c r="L5536" s="1" t="str">
        <f t="shared" si="1068"/>
        <v>20220926</v>
      </c>
      <c r="M5536" s="1" t="str">
        <f>"100949"</f>
        <v>100949</v>
      </c>
      <c r="N5536" s="1" t="s">
        <v>34</v>
      </c>
      <c r="O5536" s="1" t="s">
        <v>34</v>
      </c>
      <c r="P5536" s="1" t="s">
        <v>55</v>
      </c>
      <c r="Q5536" s="1">
        <v>25</v>
      </c>
      <c r="R5536" s="1">
        <v>25</v>
      </c>
      <c r="S5536" s="1">
        <v>0</v>
      </c>
      <c r="T5536" s="1">
        <v>0</v>
      </c>
      <c r="U5536" s="1">
        <v>0</v>
      </c>
      <c r="V5536" s="1" t="str">
        <f t="shared" si="1071"/>
        <v>里程去程</v>
      </c>
      <c r="W5536" s="1" t="str">
        <f>"0620"</f>
        <v>0620</v>
      </c>
      <c r="X5536" s="1" t="s">
        <v>35</v>
      </c>
    </row>
    <row r="5537" spans="1:24" x14ac:dyDescent="0.3">
      <c r="A5537" s="1" t="str">
        <f t="shared" si="1065"/>
        <v>59828</v>
      </c>
      <c r="B5537" s="1" t="s">
        <v>23</v>
      </c>
      <c r="C5537" s="1" t="s">
        <v>24</v>
      </c>
      <c r="D5537" s="1" t="str">
        <f t="shared" si="1070"/>
        <v>9803</v>
      </c>
      <c r="E5537" s="1" t="s">
        <v>32</v>
      </c>
      <c r="F5537" s="1" t="str">
        <f>"1708069909"</f>
        <v>1708069909</v>
      </c>
      <c r="G5537" s="1" t="s">
        <v>33</v>
      </c>
      <c r="H5537" s="1" t="str">
        <f t="shared" si="1067"/>
        <v>20220926</v>
      </c>
      <c r="I5537" s="1" t="str">
        <f>"094808"</f>
        <v>094808</v>
      </c>
      <c r="J5537" s="1" t="s">
        <v>28</v>
      </c>
      <c r="K5537" s="1" t="s">
        <v>28</v>
      </c>
      <c r="L5537" s="1" t="str">
        <f t="shared" si="1068"/>
        <v>20220926</v>
      </c>
      <c r="M5537" s="1" t="str">
        <f>"100957"</f>
        <v>100957</v>
      </c>
      <c r="N5537" s="1" t="s">
        <v>34</v>
      </c>
      <c r="O5537" s="1" t="s">
        <v>34</v>
      </c>
      <c r="P5537" s="1" t="s">
        <v>55</v>
      </c>
      <c r="Q5537" s="1">
        <v>25</v>
      </c>
      <c r="R5537" s="1">
        <v>25</v>
      </c>
      <c r="S5537" s="1">
        <v>0</v>
      </c>
      <c r="T5537" s="1">
        <v>0</v>
      </c>
      <c r="U5537" s="1">
        <v>0</v>
      </c>
      <c r="V5537" s="1" t="str">
        <f t="shared" si="1071"/>
        <v>里程去程</v>
      </c>
      <c r="W5537" s="1" t="str">
        <f>"1320"</f>
        <v>1320</v>
      </c>
      <c r="X5537" s="1" t="s">
        <v>35</v>
      </c>
    </row>
    <row r="5538" spans="1:24" x14ac:dyDescent="0.3">
      <c r="A5538" s="1" t="str">
        <f t="shared" si="1065"/>
        <v>59828</v>
      </c>
      <c r="B5538" s="1" t="s">
        <v>23</v>
      </c>
      <c r="C5538" s="1" t="s">
        <v>24</v>
      </c>
      <c r="D5538" s="1" t="str">
        <f t="shared" si="1070"/>
        <v>9803</v>
      </c>
      <c r="E5538" s="1" t="s">
        <v>32</v>
      </c>
      <c r="F5538" s="1" t="str">
        <f>"E736DD464A8804004324AD6B00180B0E"</f>
        <v>E736DD464A8804004324AD6B00180B0E</v>
      </c>
      <c r="G5538" s="1" t="s">
        <v>58</v>
      </c>
      <c r="H5538" s="1" t="str">
        <f t="shared" si="1067"/>
        <v>20220926</v>
      </c>
      <c r="I5538" s="1" t="str">
        <f>"094823"</f>
        <v>094823</v>
      </c>
      <c r="J5538" s="1" t="s">
        <v>28</v>
      </c>
      <c r="K5538" s="1" t="s">
        <v>28</v>
      </c>
      <c r="L5538" s="1" t="str">
        <f t="shared" si="1068"/>
        <v>20220926</v>
      </c>
      <c r="M5538" s="1" t="str">
        <f>"100854"</f>
        <v>100854</v>
      </c>
      <c r="N5538" s="1" t="s">
        <v>34</v>
      </c>
      <c r="O5538" s="1" t="s">
        <v>34</v>
      </c>
      <c r="P5538" s="1" t="s">
        <v>55</v>
      </c>
      <c r="Q5538" s="1">
        <v>25</v>
      </c>
      <c r="R5538" s="1">
        <v>25</v>
      </c>
      <c r="S5538" s="1">
        <v>0</v>
      </c>
      <c r="T5538" s="1">
        <v>0</v>
      </c>
      <c r="U5538" s="1">
        <v>0</v>
      </c>
      <c r="V5538" s="1" t="str">
        <f t="shared" si="1071"/>
        <v>里程去程</v>
      </c>
      <c r="W5538" s="1" t="str">
        <f>"0020"</f>
        <v>0020</v>
      </c>
      <c r="X5538" s="1" t="s">
        <v>29</v>
      </c>
    </row>
    <row r="5539" spans="1:24" x14ac:dyDescent="0.3">
      <c r="A5539" s="1" t="str">
        <f t="shared" si="1065"/>
        <v>59828</v>
      </c>
      <c r="B5539" s="1" t="s">
        <v>23</v>
      </c>
      <c r="C5539" s="1" t="s">
        <v>24</v>
      </c>
      <c r="D5539" s="1" t="str">
        <f t="shared" si="1070"/>
        <v>9803</v>
      </c>
      <c r="E5539" s="1" t="s">
        <v>32</v>
      </c>
      <c r="F5539" s="1" t="str">
        <f>"9562F5DEDC880400432484EA0018080E"</f>
        <v>9562F5DEDC880400432484EA0018080E</v>
      </c>
      <c r="G5539" s="1" t="s">
        <v>58</v>
      </c>
      <c r="H5539" s="1" t="str">
        <f t="shared" si="1067"/>
        <v>20220926</v>
      </c>
      <c r="I5539" s="1" t="str">
        <f>"094831"</f>
        <v>094831</v>
      </c>
      <c r="J5539" s="1" t="s">
        <v>28</v>
      </c>
      <c r="K5539" s="1" t="s">
        <v>28</v>
      </c>
      <c r="L5539" s="1" t="str">
        <f t="shared" si="1068"/>
        <v>20220926</v>
      </c>
      <c r="M5539" s="1" t="str">
        <f>"100941"</f>
        <v>100941</v>
      </c>
      <c r="N5539" s="1" t="s">
        <v>34</v>
      </c>
      <c r="O5539" s="1" t="s">
        <v>34</v>
      </c>
      <c r="P5539" s="1" t="s">
        <v>55</v>
      </c>
      <c r="Q5539" s="1">
        <v>25</v>
      </c>
      <c r="R5539" s="1">
        <v>25</v>
      </c>
      <c r="S5539" s="1">
        <v>0</v>
      </c>
      <c r="T5539" s="1">
        <v>0</v>
      </c>
      <c r="U5539" s="1">
        <v>0</v>
      </c>
      <c r="V5539" s="1" t="str">
        <f t="shared" si="1071"/>
        <v>里程去程</v>
      </c>
      <c r="W5539" s="1" t="str">
        <f>"0020"</f>
        <v>0020</v>
      </c>
      <c r="X5539" s="1" t="s">
        <v>29</v>
      </c>
    </row>
    <row r="5540" spans="1:24" x14ac:dyDescent="0.3">
      <c r="A5540" s="1" t="str">
        <f t="shared" si="1065"/>
        <v>59828</v>
      </c>
      <c r="B5540" s="1" t="s">
        <v>23</v>
      </c>
      <c r="C5540" s="1" t="s">
        <v>24</v>
      </c>
      <c r="D5540" s="1" t="str">
        <f t="shared" si="1070"/>
        <v>9803</v>
      </c>
      <c r="E5540" s="1" t="s">
        <v>32</v>
      </c>
      <c r="F5540" s="1" t="str">
        <f>"3585745267"</f>
        <v>3585745267</v>
      </c>
      <c r="G5540" s="1" t="s">
        <v>33</v>
      </c>
      <c r="H5540" s="1" t="str">
        <f t="shared" si="1067"/>
        <v>20220926</v>
      </c>
      <c r="I5540" s="1" t="str">
        <f>"094838"</f>
        <v>094838</v>
      </c>
      <c r="J5540" s="1" t="s">
        <v>28</v>
      </c>
      <c r="K5540" s="1" t="s">
        <v>28</v>
      </c>
      <c r="L5540" s="1" t="str">
        <f t="shared" si="1068"/>
        <v>20220926</v>
      </c>
      <c r="M5540" s="1" t="str">
        <f>"100945"</f>
        <v>100945</v>
      </c>
      <c r="N5540" s="1" t="s">
        <v>34</v>
      </c>
      <c r="O5540" s="1" t="s">
        <v>34</v>
      </c>
      <c r="P5540" s="1" t="s">
        <v>55</v>
      </c>
      <c r="Q5540" s="1">
        <v>25</v>
      </c>
      <c r="R5540" s="1">
        <v>25</v>
      </c>
      <c r="S5540" s="1">
        <v>0</v>
      </c>
      <c r="T5540" s="1">
        <v>0</v>
      </c>
      <c r="U5540" s="1">
        <v>0</v>
      </c>
      <c r="V5540" s="1" t="str">
        <f t="shared" si="1071"/>
        <v>里程去程</v>
      </c>
      <c r="W5540" s="1" t="str">
        <f>"0820"</f>
        <v>0820</v>
      </c>
      <c r="X5540" s="1" t="s">
        <v>35</v>
      </c>
    </row>
    <row r="5541" spans="1:24" x14ac:dyDescent="0.3">
      <c r="A5541" s="1" t="str">
        <f t="shared" si="1065"/>
        <v>59828</v>
      </c>
      <c r="B5541" s="1" t="s">
        <v>23</v>
      </c>
      <c r="C5541" s="1" t="s">
        <v>24</v>
      </c>
      <c r="D5541" s="1" t="str">
        <f t="shared" si="1070"/>
        <v>9803</v>
      </c>
      <c r="E5541" s="1" t="s">
        <v>32</v>
      </c>
      <c r="F5541" s="1" t="str">
        <f>"183197829"</f>
        <v>183197829</v>
      </c>
      <c r="G5541" s="1" t="s">
        <v>33</v>
      </c>
      <c r="H5541" s="1" t="str">
        <f t="shared" si="1067"/>
        <v>20220926</v>
      </c>
      <c r="I5541" s="1" t="str">
        <f>"094843"</f>
        <v>094843</v>
      </c>
      <c r="J5541" s="1" t="s">
        <v>28</v>
      </c>
      <c r="K5541" s="1" t="s">
        <v>28</v>
      </c>
      <c r="L5541" s="1" t="str">
        <f t="shared" si="1068"/>
        <v>20220926</v>
      </c>
      <c r="M5541" s="1" t="str">
        <f>"101002"</f>
        <v>101002</v>
      </c>
      <c r="N5541" s="1" t="s">
        <v>34</v>
      </c>
      <c r="O5541" s="1" t="s">
        <v>34</v>
      </c>
      <c r="P5541" s="1" t="s">
        <v>55</v>
      </c>
      <c r="Q5541" s="1">
        <v>25</v>
      </c>
      <c r="R5541" s="1">
        <v>25</v>
      </c>
      <c r="S5541" s="1">
        <v>0</v>
      </c>
      <c r="T5541" s="1">
        <v>0</v>
      </c>
      <c r="U5541" s="1">
        <v>0</v>
      </c>
      <c r="V5541" s="1" t="str">
        <f t="shared" si="1071"/>
        <v>里程去程</v>
      </c>
      <c r="W5541" s="1" t="str">
        <f>"0320"</f>
        <v>0320</v>
      </c>
      <c r="X5541" s="1" t="s">
        <v>35</v>
      </c>
    </row>
    <row r="5542" spans="1:24" x14ac:dyDescent="0.3">
      <c r="A5542" s="1" t="str">
        <f t="shared" si="1065"/>
        <v>59828</v>
      </c>
      <c r="B5542" s="1" t="s">
        <v>23</v>
      </c>
      <c r="C5542" s="1" t="s">
        <v>24</v>
      </c>
      <c r="D5542" s="1" t="str">
        <f>"9805"</f>
        <v>9805</v>
      </c>
      <c r="E5542" s="1" t="s">
        <v>57</v>
      </c>
      <c r="F5542" s="1" t="str">
        <f>"81B0042F1A88040043288DA200010912"</f>
        <v>81B0042F1A88040043288DA200010912</v>
      </c>
      <c r="G5542" s="1" t="s">
        <v>64</v>
      </c>
      <c r="H5542" s="1" t="str">
        <f t="shared" si="1067"/>
        <v>20220926</v>
      </c>
      <c r="I5542" s="1" t="str">
        <f>"120905"</f>
        <v>120905</v>
      </c>
      <c r="J5542" s="1" t="s">
        <v>28</v>
      </c>
      <c r="K5542" s="1" t="s">
        <v>28</v>
      </c>
      <c r="L5542" s="1" t="str">
        <f t="shared" si="1068"/>
        <v>20220926</v>
      </c>
      <c r="M5542" s="1" t="str">
        <f>"121705"</f>
        <v>121705</v>
      </c>
      <c r="N5542" s="1" t="s">
        <v>79</v>
      </c>
      <c r="O5542" s="1" t="s">
        <v>28</v>
      </c>
      <c r="P5542" s="1" t="s">
        <v>55</v>
      </c>
      <c r="Q5542" s="1">
        <v>13</v>
      </c>
      <c r="R5542" s="1">
        <v>13</v>
      </c>
      <c r="S5542" s="1">
        <v>0</v>
      </c>
      <c r="T5542" s="1">
        <v>0</v>
      </c>
      <c r="U5542" s="1">
        <v>0</v>
      </c>
      <c r="V5542" s="1" t="str">
        <f t="shared" si="1071"/>
        <v>里程去程</v>
      </c>
      <c r="W5542" s="1" t="str">
        <f>"0020"</f>
        <v>0020</v>
      </c>
      <c r="X5542" s="1" t="s">
        <v>29</v>
      </c>
    </row>
    <row r="5543" spans="1:24" x14ac:dyDescent="0.3">
      <c r="A5543" s="1" t="str">
        <f t="shared" si="1065"/>
        <v>59828</v>
      </c>
      <c r="B5543" s="1" t="s">
        <v>23</v>
      </c>
      <c r="C5543" s="1" t="s">
        <v>24</v>
      </c>
      <c r="D5543" s="1" t="str">
        <f>"9805"</f>
        <v>9805</v>
      </c>
      <c r="E5543" s="1" t="s">
        <v>57</v>
      </c>
      <c r="F5543" s="1" t="str">
        <f>"C26487153428040080CEDB5165514018"</f>
        <v>C26487153428040080CEDB5165514018</v>
      </c>
      <c r="G5543" s="1" t="s">
        <v>59</v>
      </c>
      <c r="H5543" s="1" t="str">
        <f t="shared" si="1067"/>
        <v>20220926</v>
      </c>
      <c r="I5543" s="1" t="str">
        <f>"120914"</f>
        <v>120914</v>
      </c>
      <c r="J5543" s="1" t="s">
        <v>28</v>
      </c>
      <c r="K5543" s="1" t="s">
        <v>28</v>
      </c>
      <c r="L5543" s="1" t="str">
        <f t="shared" si="1068"/>
        <v>20220926</v>
      </c>
      <c r="M5543" s="1" t="str">
        <f>"121708"</f>
        <v>121708</v>
      </c>
      <c r="N5543" s="1" t="s">
        <v>79</v>
      </c>
      <c r="O5543" s="1" t="s">
        <v>28</v>
      </c>
      <c r="P5543" s="1" t="s">
        <v>55</v>
      </c>
      <c r="Q5543" s="1">
        <v>25</v>
      </c>
      <c r="R5543" s="1">
        <v>25</v>
      </c>
      <c r="S5543" s="1">
        <v>0</v>
      </c>
      <c r="T5543" s="1">
        <v>0</v>
      </c>
      <c r="U5543" s="1">
        <v>0</v>
      </c>
      <c r="V5543" s="1" t="str">
        <f t="shared" si="1071"/>
        <v>里程去程</v>
      </c>
      <c r="W5543" s="1" t="str">
        <f>"0020"</f>
        <v>0020</v>
      </c>
      <c r="X5543" s="1" t="s">
        <v>29</v>
      </c>
    </row>
    <row r="5544" spans="1:24" x14ac:dyDescent="0.3">
      <c r="A5544" s="1" t="str">
        <f t="shared" si="1065"/>
        <v>59828</v>
      </c>
      <c r="B5544" s="1" t="s">
        <v>23</v>
      </c>
      <c r="C5544" s="1" t="s">
        <v>24</v>
      </c>
      <c r="D5544" s="1" t="str">
        <f>"9805"</f>
        <v>9805</v>
      </c>
      <c r="E5544" s="1" t="s">
        <v>57</v>
      </c>
      <c r="F5544" s="1" t="str">
        <f>"A04FDB6D59880400468F751861502711"</f>
        <v>A04FDB6D59880400468F751861502711</v>
      </c>
      <c r="G5544" s="1" t="s">
        <v>64</v>
      </c>
      <c r="H5544" s="1" t="str">
        <f t="shared" si="1067"/>
        <v>20220926</v>
      </c>
      <c r="I5544" s="1" t="str">
        <f>"120930"</f>
        <v>120930</v>
      </c>
      <c r="J5544" s="1" t="s">
        <v>28</v>
      </c>
      <c r="K5544" s="1" t="s">
        <v>28</v>
      </c>
      <c r="L5544" s="1" t="str">
        <f t="shared" si="1068"/>
        <v>20220926</v>
      </c>
      <c r="M5544" s="1" t="str">
        <f>"121702"</f>
        <v>121702</v>
      </c>
      <c r="N5544" s="1" t="s">
        <v>79</v>
      </c>
      <c r="O5544" s="1" t="s">
        <v>28</v>
      </c>
      <c r="P5544" s="1" t="s">
        <v>55</v>
      </c>
      <c r="Q5544" s="1">
        <v>13</v>
      </c>
      <c r="R5544" s="1">
        <v>13</v>
      </c>
      <c r="S5544" s="1">
        <v>0</v>
      </c>
      <c r="T5544" s="1">
        <v>0</v>
      </c>
      <c r="U5544" s="1">
        <v>0</v>
      </c>
      <c r="V5544" s="1" t="str">
        <f t="shared" si="1071"/>
        <v>里程去程</v>
      </c>
      <c r="W5544" s="1" t="str">
        <f>"0020"</f>
        <v>0020</v>
      </c>
      <c r="X5544" s="1" t="s">
        <v>29</v>
      </c>
    </row>
    <row r="5545" spans="1:24" x14ac:dyDescent="0.3">
      <c r="A5545" s="1" t="str">
        <f t="shared" si="1065"/>
        <v>59828</v>
      </c>
      <c r="B5545" s="1" t="s">
        <v>23</v>
      </c>
      <c r="C5545" s="1" t="s">
        <v>24</v>
      </c>
      <c r="D5545" s="1" t="str">
        <f>"9803"</f>
        <v>9803</v>
      </c>
      <c r="E5545" s="1" t="s">
        <v>32</v>
      </c>
      <c r="F5545" s="1" t="str">
        <f>"940435877"</f>
        <v>940435877</v>
      </c>
      <c r="G5545" s="1" t="s">
        <v>33</v>
      </c>
      <c r="H5545" s="1" t="str">
        <f t="shared" si="1067"/>
        <v>20220926</v>
      </c>
      <c r="I5545" s="1" t="str">
        <f>"132858"</f>
        <v>132858</v>
      </c>
      <c r="J5545" s="1" t="s">
        <v>28</v>
      </c>
      <c r="K5545" s="1" t="s">
        <v>28</v>
      </c>
      <c r="L5545" s="1" t="str">
        <f t="shared" si="1068"/>
        <v>20220926</v>
      </c>
      <c r="M5545" s="1" t="str">
        <f>"134915"</f>
        <v>134915</v>
      </c>
      <c r="N5545" s="1" t="s">
        <v>34</v>
      </c>
      <c r="O5545" s="1" t="s">
        <v>34</v>
      </c>
      <c r="P5545" s="1" t="s">
        <v>55</v>
      </c>
      <c r="Q5545" s="1">
        <v>25</v>
      </c>
      <c r="R5545" s="1">
        <v>25</v>
      </c>
      <c r="S5545" s="1">
        <v>0</v>
      </c>
      <c r="T5545" s="1">
        <v>0</v>
      </c>
      <c r="U5545" s="1">
        <v>0</v>
      </c>
      <c r="V5545" s="1" t="str">
        <f t="shared" si="1071"/>
        <v>里程去程</v>
      </c>
      <c r="W5545" s="1" t="str">
        <f>"0120"</f>
        <v>0120</v>
      </c>
      <c r="X5545" s="1" t="s">
        <v>35</v>
      </c>
    </row>
    <row r="5546" spans="1:24" x14ac:dyDescent="0.3">
      <c r="A5546" s="1" t="str">
        <f t="shared" si="1065"/>
        <v>59828</v>
      </c>
      <c r="B5546" s="1" t="s">
        <v>23</v>
      </c>
      <c r="C5546" s="1" t="s">
        <v>24</v>
      </c>
      <c r="D5546" s="1" t="str">
        <f>"9803"</f>
        <v>9803</v>
      </c>
      <c r="E5546" s="1" t="s">
        <v>32</v>
      </c>
      <c r="F5546" s="1" t="str">
        <f>"51DE0D5AD82804001C00000000000000"</f>
        <v>51DE0D5AD82804001C00000000000000</v>
      </c>
      <c r="G5546" s="1" t="s">
        <v>58</v>
      </c>
      <c r="H5546" s="1" t="str">
        <f t="shared" ref="H5546:H5572" si="1072">"20220926"</f>
        <v>20220926</v>
      </c>
      <c r="I5546" s="1" t="str">
        <f>"135648"</f>
        <v>135648</v>
      </c>
      <c r="J5546" s="1" t="s">
        <v>34</v>
      </c>
      <c r="K5546" s="1" t="s">
        <v>34</v>
      </c>
      <c r="L5546" s="1" t="str">
        <f t="shared" ref="L5546:L5556" si="1073">"20220926"</f>
        <v>20220926</v>
      </c>
      <c r="M5546" s="1" t="str">
        <f>"142909"</f>
        <v>142909</v>
      </c>
      <c r="N5546" s="1" t="s">
        <v>28</v>
      </c>
      <c r="O5546" s="1" t="s">
        <v>28</v>
      </c>
      <c r="P5546" s="1" t="s">
        <v>55</v>
      </c>
      <c r="Q5546" s="1">
        <v>25</v>
      </c>
      <c r="R5546" s="1">
        <v>25</v>
      </c>
      <c r="S5546" s="1">
        <v>0</v>
      </c>
      <c r="T5546" s="1">
        <v>0</v>
      </c>
      <c r="U5546" s="1">
        <v>0</v>
      </c>
      <c r="V5546" s="1" t="str">
        <f>"里程返程"</f>
        <v>里程返程</v>
      </c>
      <c r="W5546" s="1" t="str">
        <f>"0020"</f>
        <v>0020</v>
      </c>
      <c r="X5546" s="1" t="s">
        <v>29</v>
      </c>
    </row>
    <row r="5547" spans="1:24" x14ac:dyDescent="0.3">
      <c r="A5547" s="1" t="str">
        <f t="shared" si="1065"/>
        <v>59828</v>
      </c>
      <c r="B5547" s="1" t="s">
        <v>23</v>
      </c>
      <c r="C5547" s="1" t="s">
        <v>24</v>
      </c>
      <c r="D5547" s="1" t="str">
        <f>"9803"</f>
        <v>9803</v>
      </c>
      <c r="E5547" s="1" t="s">
        <v>32</v>
      </c>
      <c r="F5547" s="1" t="str">
        <f>"1715887749"</f>
        <v>1715887749</v>
      </c>
      <c r="G5547" s="1" t="s">
        <v>33</v>
      </c>
      <c r="H5547" s="1" t="str">
        <f t="shared" si="1072"/>
        <v>20220926</v>
      </c>
      <c r="I5547" s="1" t="str">
        <f>"135653"</f>
        <v>135653</v>
      </c>
      <c r="J5547" s="1" t="s">
        <v>34</v>
      </c>
      <c r="K5547" s="1" t="s">
        <v>34</v>
      </c>
      <c r="L5547" s="1" t="str">
        <f t="shared" si="1073"/>
        <v>20220926</v>
      </c>
      <c r="M5547" s="1" t="str">
        <f>"142904"</f>
        <v>142904</v>
      </c>
      <c r="N5547" s="1" t="s">
        <v>28</v>
      </c>
      <c r="O5547" s="1" t="s">
        <v>28</v>
      </c>
      <c r="P5547" s="1" t="s">
        <v>55</v>
      </c>
      <c r="Q5547" s="1">
        <v>25</v>
      </c>
      <c r="R5547" s="1">
        <v>25</v>
      </c>
      <c r="S5547" s="1">
        <v>0</v>
      </c>
      <c r="T5547" s="1">
        <v>0</v>
      </c>
      <c r="U5547" s="1">
        <v>0</v>
      </c>
      <c r="V5547" s="1" t="str">
        <f>"里程返程"</f>
        <v>里程返程</v>
      </c>
      <c r="W5547" s="1" t="str">
        <f>"0820"</f>
        <v>0820</v>
      </c>
      <c r="X5547" s="1" t="s">
        <v>35</v>
      </c>
    </row>
    <row r="5548" spans="1:24" x14ac:dyDescent="0.3">
      <c r="A5548" s="1" t="str">
        <f t="shared" si="1065"/>
        <v>59828</v>
      </c>
      <c r="B5548" s="1" t="s">
        <v>23</v>
      </c>
      <c r="C5548" s="1" t="s">
        <v>24</v>
      </c>
      <c r="D5548" s="1" t="str">
        <f>"9803"</f>
        <v>9803</v>
      </c>
      <c r="E5548" s="1" t="s">
        <v>32</v>
      </c>
      <c r="F5548" s="1" t="str">
        <f>"3761973367"</f>
        <v>3761973367</v>
      </c>
      <c r="G5548" s="1" t="s">
        <v>33</v>
      </c>
      <c r="H5548" s="1" t="str">
        <f t="shared" si="1072"/>
        <v>20220926</v>
      </c>
      <c r="I5548" s="1" t="str">
        <f>"135718"</f>
        <v>135718</v>
      </c>
      <c r="J5548" s="1" t="s">
        <v>34</v>
      </c>
      <c r="K5548" s="1" t="s">
        <v>34</v>
      </c>
      <c r="L5548" s="1" t="str">
        <f t="shared" si="1073"/>
        <v>20220926</v>
      </c>
      <c r="M5548" s="1" t="str">
        <f>"142920"</f>
        <v>142920</v>
      </c>
      <c r="N5548" s="1" t="s">
        <v>28</v>
      </c>
      <c r="O5548" s="1" t="s">
        <v>28</v>
      </c>
      <c r="P5548" s="1" t="s">
        <v>55</v>
      </c>
      <c r="Q5548" s="1">
        <v>25</v>
      </c>
      <c r="R5548" s="1">
        <v>25</v>
      </c>
      <c r="S5548" s="1">
        <v>0</v>
      </c>
      <c r="T5548" s="1">
        <v>0</v>
      </c>
      <c r="U5548" s="1">
        <v>0</v>
      </c>
      <c r="V5548" s="1" t="str">
        <f>"里程返程"</f>
        <v>里程返程</v>
      </c>
      <c r="W5548" s="1" t="str">
        <f>"0820"</f>
        <v>0820</v>
      </c>
      <c r="X5548" s="1" t="s">
        <v>35</v>
      </c>
    </row>
    <row r="5549" spans="1:24" x14ac:dyDescent="0.3">
      <c r="A5549" s="1" t="str">
        <f t="shared" si="1065"/>
        <v>59828</v>
      </c>
      <c r="B5549" s="1" t="s">
        <v>23</v>
      </c>
      <c r="C5549" s="1" t="s">
        <v>24</v>
      </c>
      <c r="D5549" s="1" t="str">
        <f>"9803"</f>
        <v>9803</v>
      </c>
      <c r="E5549" s="1" t="s">
        <v>32</v>
      </c>
      <c r="F5549" s="1" t="str">
        <f>"750641249"</f>
        <v>750641249</v>
      </c>
      <c r="G5549" s="1" t="s">
        <v>33</v>
      </c>
      <c r="H5549" s="1" t="str">
        <f t="shared" si="1072"/>
        <v>20220926</v>
      </c>
      <c r="I5549" s="1" t="str">
        <f>"135724"</f>
        <v>135724</v>
      </c>
      <c r="J5549" s="1" t="s">
        <v>34</v>
      </c>
      <c r="K5549" s="1" t="s">
        <v>34</v>
      </c>
      <c r="L5549" s="1" t="str">
        <f t="shared" si="1073"/>
        <v>20220926</v>
      </c>
      <c r="M5549" s="1" t="str">
        <f>"142929"</f>
        <v>142929</v>
      </c>
      <c r="N5549" s="1" t="s">
        <v>28</v>
      </c>
      <c r="O5549" s="1" t="s">
        <v>28</v>
      </c>
      <c r="P5549" s="1" t="s">
        <v>55</v>
      </c>
      <c r="Q5549" s="1">
        <v>25</v>
      </c>
      <c r="R5549" s="1">
        <v>25</v>
      </c>
      <c r="S5549" s="1">
        <v>0</v>
      </c>
      <c r="T5549" s="1">
        <v>0</v>
      </c>
      <c r="U5549" s="1">
        <v>0</v>
      </c>
      <c r="V5549" s="1" t="str">
        <f>"里程返程"</f>
        <v>里程返程</v>
      </c>
      <c r="W5549" s="1" t="str">
        <f>"2320"</f>
        <v>2320</v>
      </c>
      <c r="X5549" s="1" t="s">
        <v>35</v>
      </c>
    </row>
    <row r="5550" spans="1:24" x14ac:dyDescent="0.3">
      <c r="A5550" s="1" t="str">
        <f t="shared" si="1065"/>
        <v>59828</v>
      </c>
      <c r="B5550" s="1" t="s">
        <v>23</v>
      </c>
      <c r="C5550" s="1" t="s">
        <v>24</v>
      </c>
      <c r="D5550" s="1" t="str">
        <f>"9805"</f>
        <v>9805</v>
      </c>
      <c r="E5550" s="1" t="s">
        <v>57</v>
      </c>
      <c r="F5550" s="1" t="str">
        <f>"1815871781"</f>
        <v>1815871781</v>
      </c>
      <c r="G5550" s="1" t="s">
        <v>38</v>
      </c>
      <c r="H5550" s="1" t="str">
        <f t="shared" si="1072"/>
        <v>20220926</v>
      </c>
      <c r="I5550" s="1" t="str">
        <f>"151616"</f>
        <v>151616</v>
      </c>
      <c r="J5550" s="1" t="s">
        <v>28</v>
      </c>
      <c r="K5550" s="1" t="s">
        <v>28</v>
      </c>
      <c r="L5550" s="1" t="str">
        <f t="shared" si="1073"/>
        <v>20220926</v>
      </c>
      <c r="M5550" s="1" t="str">
        <f>"153235"</f>
        <v>153235</v>
      </c>
      <c r="N5550" s="1" t="s">
        <v>61</v>
      </c>
      <c r="O5550" s="1" t="s">
        <v>28</v>
      </c>
      <c r="P5550" s="1" t="s">
        <v>55</v>
      </c>
      <c r="Q5550" s="1">
        <v>25</v>
      </c>
      <c r="R5550" s="1">
        <v>0</v>
      </c>
      <c r="S5550" s="1">
        <v>25</v>
      </c>
      <c r="T5550" s="1">
        <v>0</v>
      </c>
      <c r="U5550" s="1">
        <v>0</v>
      </c>
      <c r="V5550" s="1" t="str">
        <f>"里程去程"</f>
        <v>里程去程</v>
      </c>
      <c r="W5550" s="1" t="str">
        <f>"0820"</f>
        <v>0820</v>
      </c>
      <c r="X5550" s="1" t="s">
        <v>35</v>
      </c>
    </row>
    <row r="5551" spans="1:24" x14ac:dyDescent="0.3">
      <c r="A5551" s="1" t="str">
        <f t="shared" si="1065"/>
        <v>59828</v>
      </c>
      <c r="B5551" s="1" t="s">
        <v>23</v>
      </c>
      <c r="C5551" s="1" t="s">
        <v>24</v>
      </c>
      <c r="D5551" s="1" t="str">
        <f>"9805"</f>
        <v>9805</v>
      </c>
      <c r="E5551" s="1" t="s">
        <v>57</v>
      </c>
      <c r="F5551" s="1" t="str">
        <f>"72E7481BC6880400C822002000000021"</f>
        <v>72E7481BC6880400C822002000000021</v>
      </c>
      <c r="G5551" s="1" t="s">
        <v>82</v>
      </c>
      <c r="H5551" s="1" t="str">
        <f t="shared" si="1072"/>
        <v>20220926</v>
      </c>
      <c r="I5551" s="1" t="str">
        <f>"151727"</f>
        <v>151727</v>
      </c>
      <c r="J5551" s="1" t="s">
        <v>28</v>
      </c>
      <c r="K5551" s="1" t="s">
        <v>28</v>
      </c>
      <c r="L5551" s="1" t="str">
        <f t="shared" si="1073"/>
        <v>20220926</v>
      </c>
      <c r="M5551" s="1" t="str">
        <f>"153249"</f>
        <v>153249</v>
      </c>
      <c r="N5551" s="1" t="s">
        <v>56</v>
      </c>
      <c r="O5551" s="1" t="s">
        <v>28</v>
      </c>
      <c r="P5551" s="1" t="s">
        <v>55</v>
      </c>
      <c r="Q5551" s="1">
        <v>13</v>
      </c>
      <c r="R5551" s="1">
        <v>13</v>
      </c>
      <c r="S5551" s="1">
        <v>0</v>
      </c>
      <c r="T5551" s="1">
        <v>0</v>
      </c>
      <c r="U5551" s="1">
        <v>0</v>
      </c>
      <c r="V5551" s="1" t="str">
        <f>"里程去程"</f>
        <v>里程去程</v>
      </c>
      <c r="W5551" s="1" t="str">
        <f>"0020"</f>
        <v>0020</v>
      </c>
      <c r="X5551" s="1" t="s">
        <v>29</v>
      </c>
    </row>
    <row r="5552" spans="1:24" x14ac:dyDescent="0.3">
      <c r="A5552" s="1" t="str">
        <f t="shared" si="1065"/>
        <v>59828</v>
      </c>
      <c r="B5552" s="1" t="s">
        <v>23</v>
      </c>
      <c r="C5552" s="1" t="s">
        <v>24</v>
      </c>
      <c r="D5552" s="1" t="str">
        <f>"9803"</f>
        <v>9803</v>
      </c>
      <c r="E5552" s="1" t="s">
        <v>32</v>
      </c>
      <c r="F5552" s="1" t="str">
        <f>"1007844693"</f>
        <v>1007844693</v>
      </c>
      <c r="G5552" s="1" t="s">
        <v>33</v>
      </c>
      <c r="H5552" s="1" t="str">
        <f t="shared" si="1072"/>
        <v>20220926</v>
      </c>
      <c r="I5552" s="1" t="str">
        <f>"180632"</f>
        <v>180632</v>
      </c>
      <c r="J5552" s="1" t="s">
        <v>34</v>
      </c>
      <c r="K5552" s="1" t="s">
        <v>34</v>
      </c>
      <c r="L5552" s="1" t="str">
        <f t="shared" si="1073"/>
        <v>20220926</v>
      </c>
      <c r="M5552" s="1" t="str">
        <f>"183644"</f>
        <v>183644</v>
      </c>
      <c r="N5552" s="1" t="s">
        <v>28</v>
      </c>
      <c r="O5552" s="1" t="s">
        <v>28</v>
      </c>
      <c r="P5552" s="1" t="s">
        <v>55</v>
      </c>
      <c r="Q5552" s="1">
        <v>25</v>
      </c>
      <c r="R5552" s="1">
        <v>25</v>
      </c>
      <c r="S5552" s="1">
        <v>0</v>
      </c>
      <c r="T5552" s="1">
        <v>0</v>
      </c>
      <c r="U5552" s="1">
        <v>0</v>
      </c>
      <c r="V5552" s="1" t="str">
        <f>"里程返程"</f>
        <v>里程返程</v>
      </c>
      <c r="W5552" s="1" t="str">
        <f>"2020"</f>
        <v>2020</v>
      </c>
      <c r="X5552" s="1" t="s">
        <v>35</v>
      </c>
    </row>
    <row r="5553" spans="1:24" x14ac:dyDescent="0.3">
      <c r="A5553" s="1" t="str">
        <f t="shared" ref="A5553:A5572" si="1074">"59829"</f>
        <v>59829</v>
      </c>
      <c r="B5553" s="1" t="s">
        <v>47</v>
      </c>
      <c r="C5553" s="1" t="s">
        <v>31</v>
      </c>
      <c r="D5553" s="1" t="str">
        <f t="shared" ref="D5553:D5572" si="1075">"9801"</f>
        <v>9801</v>
      </c>
      <c r="E5553" s="1" t="s">
        <v>25</v>
      </c>
      <c r="F5553" s="1" t="str">
        <f>"42AFE60209880400C834002000000015"</f>
        <v>42AFE60209880400C834002000000015</v>
      </c>
      <c r="G5553" s="1" t="s">
        <v>74</v>
      </c>
      <c r="H5553" s="1" t="str">
        <f t="shared" si="1072"/>
        <v>20220926</v>
      </c>
      <c r="I5553" s="1" t="str">
        <f>"110049"</f>
        <v>110049</v>
      </c>
      <c r="J5553" s="1" t="s">
        <v>52</v>
      </c>
      <c r="K5553" s="1" t="s">
        <v>52</v>
      </c>
      <c r="L5553" s="1" t="str">
        <f t="shared" si="1073"/>
        <v>20220926</v>
      </c>
      <c r="M5553" s="1" t="str">
        <f>"111714"</f>
        <v>111714</v>
      </c>
      <c r="N5553" s="1" t="s">
        <v>80</v>
      </c>
      <c r="O5553" s="1" t="s">
        <v>52</v>
      </c>
      <c r="P5553" s="1" t="s">
        <v>68</v>
      </c>
      <c r="Q5553" s="1">
        <v>13</v>
      </c>
      <c r="R5553" s="1">
        <v>0</v>
      </c>
      <c r="S5553" s="1">
        <v>0</v>
      </c>
      <c r="T5553" s="1">
        <v>13</v>
      </c>
      <c r="U5553" s="1">
        <v>0</v>
      </c>
      <c r="V5553" s="1" t="str">
        <f t="shared" ref="V5553:V5566" si="1076">"里程去程"</f>
        <v>里程去程</v>
      </c>
      <c r="W5553" s="1" t="str">
        <f>"0020"</f>
        <v>0020</v>
      </c>
      <c r="X5553" s="1" t="s">
        <v>29</v>
      </c>
    </row>
    <row r="5554" spans="1:24" x14ac:dyDescent="0.3">
      <c r="A5554" s="1" t="str">
        <f t="shared" si="1074"/>
        <v>59829</v>
      </c>
      <c r="B5554" s="1" t="s">
        <v>47</v>
      </c>
      <c r="C5554" s="1" t="s">
        <v>31</v>
      </c>
      <c r="D5554" s="1" t="str">
        <f t="shared" si="1075"/>
        <v>9801</v>
      </c>
      <c r="E5554" s="1" t="s">
        <v>25</v>
      </c>
      <c r="F5554" s="1" t="str">
        <f>"C2C0BD02BD880400C834002000000015"</f>
        <v>C2C0BD02BD880400C834002000000015</v>
      </c>
      <c r="G5554" s="1" t="s">
        <v>74</v>
      </c>
      <c r="H5554" s="1" t="str">
        <f t="shared" si="1072"/>
        <v>20220926</v>
      </c>
      <c r="I5554" s="1" t="str">
        <f>"111723"</f>
        <v>111723</v>
      </c>
      <c r="J5554" s="1" t="s">
        <v>80</v>
      </c>
      <c r="K5554" s="1" t="s">
        <v>52</v>
      </c>
      <c r="L5554" s="1" t="str">
        <f t="shared" si="1073"/>
        <v>20220926</v>
      </c>
      <c r="M5554" s="1" t="str">
        <f>"112444"</f>
        <v>112444</v>
      </c>
      <c r="N5554" s="1" t="s">
        <v>67</v>
      </c>
      <c r="O5554" s="1" t="s">
        <v>52</v>
      </c>
      <c r="P5554" s="1" t="s">
        <v>68</v>
      </c>
      <c r="Q5554" s="1">
        <v>13</v>
      </c>
      <c r="R5554" s="1">
        <v>0</v>
      </c>
      <c r="S5554" s="1">
        <v>0</v>
      </c>
      <c r="T5554" s="1">
        <v>13</v>
      </c>
      <c r="U5554" s="1">
        <v>0</v>
      </c>
      <c r="V5554" s="1" t="str">
        <f t="shared" si="1076"/>
        <v>里程去程</v>
      </c>
      <c r="W5554" s="1" t="str">
        <f>"0020"</f>
        <v>0020</v>
      </c>
      <c r="X5554" s="1" t="s">
        <v>29</v>
      </c>
    </row>
    <row r="5555" spans="1:24" x14ac:dyDescent="0.3">
      <c r="A5555" s="1" t="str">
        <f t="shared" si="1074"/>
        <v>59829</v>
      </c>
      <c r="B5555" s="1" t="s">
        <v>47</v>
      </c>
      <c r="C5555" s="1" t="s">
        <v>31</v>
      </c>
      <c r="D5555" s="1" t="str">
        <f t="shared" si="1075"/>
        <v>9801</v>
      </c>
      <c r="E5555" s="1" t="s">
        <v>25</v>
      </c>
      <c r="F5555" s="1" t="str">
        <f>"11E6225B8E2804001C00000000000000"</f>
        <v>11E6225B8E2804001C00000000000000</v>
      </c>
      <c r="G5555" s="1" t="s">
        <v>58</v>
      </c>
      <c r="H5555" s="1" t="str">
        <f t="shared" si="1072"/>
        <v>20220926</v>
      </c>
      <c r="I5555" s="1" t="str">
        <f>"113838"</f>
        <v>113838</v>
      </c>
      <c r="J5555" s="1" t="s">
        <v>27</v>
      </c>
      <c r="K5555" s="1" t="s">
        <v>28</v>
      </c>
      <c r="L5555" s="1" t="str">
        <f t="shared" si="1073"/>
        <v>20220926</v>
      </c>
      <c r="M5555" s="1" t="str">
        <f>"114838"</f>
        <v>114838</v>
      </c>
      <c r="N5555" s="1" t="s">
        <v>45</v>
      </c>
      <c r="O5555" s="1" t="s">
        <v>45</v>
      </c>
      <c r="P5555" s="1" t="s">
        <v>55</v>
      </c>
      <c r="Q5555" s="1">
        <v>25</v>
      </c>
      <c r="R5555" s="1">
        <v>0</v>
      </c>
      <c r="S5555" s="1">
        <v>25</v>
      </c>
      <c r="T5555" s="1">
        <v>0</v>
      </c>
      <c r="U5555" s="1">
        <v>0</v>
      </c>
      <c r="V5555" s="1" t="str">
        <f t="shared" si="1076"/>
        <v>里程去程</v>
      </c>
      <c r="W5555" s="1" t="str">
        <f>"0620"</f>
        <v>0620</v>
      </c>
      <c r="X5555" s="1" t="s">
        <v>29</v>
      </c>
    </row>
    <row r="5556" spans="1:24" x14ac:dyDescent="0.3">
      <c r="A5556" s="1" t="str">
        <f t="shared" si="1074"/>
        <v>59829</v>
      </c>
      <c r="B5556" s="1" t="s">
        <v>47</v>
      </c>
      <c r="C5556" s="1" t="s">
        <v>31</v>
      </c>
      <c r="D5556" s="1" t="str">
        <f t="shared" si="1075"/>
        <v>9801</v>
      </c>
      <c r="E5556" s="1" t="s">
        <v>25</v>
      </c>
      <c r="F5556" s="1" t="str">
        <f>"8227D00277880400C834002000000015"</f>
        <v>8227D00277880400C834002000000015</v>
      </c>
      <c r="G5556" s="1" t="s">
        <v>26</v>
      </c>
      <c r="H5556" s="1" t="str">
        <f t="shared" si="1072"/>
        <v>20220926</v>
      </c>
      <c r="I5556" s="1" t="str">
        <f>"122910"</f>
        <v>122910</v>
      </c>
      <c r="J5556" s="1" t="s">
        <v>83</v>
      </c>
      <c r="K5556" s="1" t="s">
        <v>52</v>
      </c>
      <c r="L5556" s="1" t="str">
        <f t="shared" si="1073"/>
        <v>20220926</v>
      </c>
      <c r="M5556" s="1" t="str">
        <f>"123524"</f>
        <v>123524</v>
      </c>
      <c r="N5556" s="1" t="s">
        <v>70</v>
      </c>
      <c r="O5556" s="1" t="s">
        <v>28</v>
      </c>
      <c r="P5556" s="1" t="s">
        <v>68</v>
      </c>
      <c r="Q5556" s="1">
        <v>13</v>
      </c>
      <c r="R5556" s="1">
        <v>0</v>
      </c>
      <c r="S5556" s="1">
        <v>0</v>
      </c>
      <c r="T5556" s="1">
        <v>13</v>
      </c>
      <c r="U5556" s="1">
        <v>0</v>
      </c>
      <c r="V5556" s="1" t="str">
        <f t="shared" si="1076"/>
        <v>里程去程</v>
      </c>
      <c r="W5556" s="1" t="str">
        <f>"0020"</f>
        <v>0020</v>
      </c>
      <c r="X5556" s="1" t="s">
        <v>29</v>
      </c>
    </row>
    <row r="5557" spans="1:24" x14ac:dyDescent="0.3">
      <c r="A5557" s="1" t="str">
        <f t="shared" si="1074"/>
        <v>59829</v>
      </c>
      <c r="B5557" s="1" t="s">
        <v>47</v>
      </c>
      <c r="C5557" s="1" t="s">
        <v>31</v>
      </c>
      <c r="D5557" s="1" t="str">
        <f t="shared" si="1075"/>
        <v>9801</v>
      </c>
      <c r="E5557" s="1" t="s">
        <v>25</v>
      </c>
      <c r="F5557" s="1" t="str">
        <f>"3606748307"</f>
        <v>3606748307</v>
      </c>
      <c r="G5557" s="1" t="s">
        <v>33</v>
      </c>
      <c r="H5557" s="1" t="str">
        <f t="shared" si="1072"/>
        <v>20220926</v>
      </c>
      <c r="I5557" s="1" t="str">
        <f>"123558"</f>
        <v>123558</v>
      </c>
      <c r="J5557" s="1" t="s">
        <v>27</v>
      </c>
      <c r="K5557" s="1" t="s">
        <v>28</v>
      </c>
      <c r="L5557" s="1" t="str">
        <f>""</f>
        <v/>
      </c>
      <c r="M5557" s="1" t="str">
        <f>""</f>
        <v/>
      </c>
      <c r="P5557" s="1" t="s">
        <v>88</v>
      </c>
      <c r="Q5557" s="1">
        <v>25</v>
      </c>
      <c r="R5557" s="1">
        <v>25</v>
      </c>
      <c r="S5557" s="1">
        <v>0</v>
      </c>
      <c r="T5557" s="1">
        <v>0</v>
      </c>
      <c r="U5557" s="1">
        <v>0</v>
      </c>
      <c r="V5557" s="1" t="str">
        <f t="shared" si="1076"/>
        <v>里程去程</v>
      </c>
      <c r="W5557" s="1" t="str">
        <f>"0320"</f>
        <v>0320</v>
      </c>
      <c r="X5557" s="1" t="s">
        <v>35</v>
      </c>
    </row>
    <row r="5558" spans="1:24" x14ac:dyDescent="0.3">
      <c r="A5558" s="1" t="str">
        <f t="shared" si="1074"/>
        <v>59829</v>
      </c>
      <c r="B5558" s="1" t="s">
        <v>47</v>
      </c>
      <c r="C5558" s="1" t="s">
        <v>31</v>
      </c>
      <c r="D5558" s="1" t="str">
        <f t="shared" si="1075"/>
        <v>9801</v>
      </c>
      <c r="E5558" s="1" t="s">
        <v>25</v>
      </c>
      <c r="F5558" s="1" t="str">
        <f>"32780D0344880400C834002000000015"</f>
        <v>32780D0344880400C834002000000015</v>
      </c>
      <c r="G5558" s="1" t="s">
        <v>26</v>
      </c>
      <c r="H5558" s="1" t="str">
        <f t="shared" si="1072"/>
        <v>20220926</v>
      </c>
      <c r="I5558" s="1" t="str">
        <f>"123801"</f>
        <v>123801</v>
      </c>
      <c r="J5558" s="1" t="s">
        <v>95</v>
      </c>
      <c r="K5558" s="1" t="s">
        <v>28</v>
      </c>
      <c r="L5558" s="1" t="str">
        <f t="shared" ref="L5558:L5572" si="1077">"20220926"</f>
        <v>20220926</v>
      </c>
      <c r="M5558" s="1" t="str">
        <f>"124846"</f>
        <v>124846</v>
      </c>
      <c r="N5558" s="1" t="s">
        <v>56</v>
      </c>
      <c r="O5558" s="1" t="s">
        <v>45</v>
      </c>
      <c r="P5558" s="1" t="s">
        <v>68</v>
      </c>
      <c r="Q5558" s="1">
        <v>13</v>
      </c>
      <c r="R5558" s="1">
        <v>0</v>
      </c>
      <c r="S5558" s="1">
        <v>0</v>
      </c>
      <c r="T5558" s="1">
        <v>13</v>
      </c>
      <c r="U5558" s="1">
        <v>0</v>
      </c>
      <c r="V5558" s="1" t="str">
        <f t="shared" si="1076"/>
        <v>里程去程</v>
      </c>
      <c r="W5558" s="1" t="str">
        <f>"0020"</f>
        <v>0020</v>
      </c>
      <c r="X5558" s="1" t="s">
        <v>29</v>
      </c>
    </row>
    <row r="5559" spans="1:24" x14ac:dyDescent="0.3">
      <c r="A5559" s="1" t="str">
        <f t="shared" si="1074"/>
        <v>59829</v>
      </c>
      <c r="B5559" s="1" t="s">
        <v>47</v>
      </c>
      <c r="C5559" s="1" t="s">
        <v>31</v>
      </c>
      <c r="D5559" s="1" t="str">
        <f t="shared" si="1075"/>
        <v>9801</v>
      </c>
      <c r="E5559" s="1" t="s">
        <v>25</v>
      </c>
      <c r="F5559" s="1" t="str">
        <f>"F25B1B03B1880400C834002000000015"</f>
        <v>F25B1B03B1880400C834002000000015</v>
      </c>
      <c r="G5559" s="1" t="s">
        <v>26</v>
      </c>
      <c r="H5559" s="1" t="str">
        <f t="shared" si="1072"/>
        <v>20220926</v>
      </c>
      <c r="I5559" s="1" t="str">
        <f>"130549"</f>
        <v>130549</v>
      </c>
      <c r="J5559" s="1" t="s">
        <v>60</v>
      </c>
      <c r="K5559" s="1" t="s">
        <v>52</v>
      </c>
      <c r="L5559" s="1" t="str">
        <f t="shared" si="1077"/>
        <v>20220926</v>
      </c>
      <c r="M5559" s="1" t="str">
        <f>"133145"</f>
        <v>133145</v>
      </c>
      <c r="N5559" s="1" t="s">
        <v>70</v>
      </c>
      <c r="O5559" s="1" t="s">
        <v>28</v>
      </c>
      <c r="P5559" s="1" t="s">
        <v>68</v>
      </c>
      <c r="Q5559" s="1">
        <v>13</v>
      </c>
      <c r="R5559" s="1">
        <v>0</v>
      </c>
      <c r="S5559" s="1">
        <v>0</v>
      </c>
      <c r="T5559" s="1">
        <v>13</v>
      </c>
      <c r="U5559" s="1">
        <v>0</v>
      </c>
      <c r="V5559" s="1" t="str">
        <f t="shared" si="1076"/>
        <v>里程去程</v>
      </c>
      <c r="W5559" s="1" t="str">
        <f>"0020"</f>
        <v>0020</v>
      </c>
      <c r="X5559" s="1" t="s">
        <v>29</v>
      </c>
    </row>
    <row r="5560" spans="1:24" x14ac:dyDescent="0.3">
      <c r="A5560" s="1" t="str">
        <f t="shared" si="1074"/>
        <v>59829</v>
      </c>
      <c r="B5560" s="1" t="s">
        <v>47</v>
      </c>
      <c r="C5560" s="1" t="s">
        <v>31</v>
      </c>
      <c r="D5560" s="1" t="str">
        <f t="shared" si="1075"/>
        <v>9801</v>
      </c>
      <c r="E5560" s="1" t="s">
        <v>25</v>
      </c>
      <c r="F5560" s="1" t="str">
        <f>"72CEE3124D28040080CEBCD765212818"</f>
        <v>72CEE3124D28040080CEBCD765212818</v>
      </c>
      <c r="G5560" s="1" t="s">
        <v>58</v>
      </c>
      <c r="H5560" s="1" t="str">
        <f t="shared" si="1072"/>
        <v>20220926</v>
      </c>
      <c r="I5560" s="1" t="str">
        <f>"131543"</f>
        <v>131543</v>
      </c>
      <c r="J5560" s="1" t="s">
        <v>80</v>
      </c>
      <c r="K5560" s="1" t="s">
        <v>52</v>
      </c>
      <c r="L5560" s="1" t="str">
        <f t="shared" si="1077"/>
        <v>20220926</v>
      </c>
      <c r="M5560" s="1" t="str">
        <f>"133149"</f>
        <v>133149</v>
      </c>
      <c r="N5560" s="1" t="s">
        <v>70</v>
      </c>
      <c r="O5560" s="1" t="s">
        <v>28</v>
      </c>
      <c r="P5560" s="1" t="s">
        <v>55</v>
      </c>
      <c r="Q5560" s="1">
        <v>25</v>
      </c>
      <c r="R5560" s="1">
        <v>25</v>
      </c>
      <c r="S5560" s="1">
        <v>0</v>
      </c>
      <c r="T5560" s="1">
        <v>0</v>
      </c>
      <c r="U5560" s="1">
        <v>0</v>
      </c>
      <c r="V5560" s="1" t="str">
        <f t="shared" si="1076"/>
        <v>里程去程</v>
      </c>
      <c r="W5560" s="1" t="str">
        <f>"0020"</f>
        <v>0020</v>
      </c>
      <c r="X5560" s="1" t="s">
        <v>29</v>
      </c>
    </row>
    <row r="5561" spans="1:24" x14ac:dyDescent="0.3">
      <c r="A5561" s="1" t="str">
        <f t="shared" si="1074"/>
        <v>59829</v>
      </c>
      <c r="B5561" s="1" t="s">
        <v>47</v>
      </c>
      <c r="C5561" s="1" t="s">
        <v>31</v>
      </c>
      <c r="D5561" s="1" t="str">
        <f t="shared" si="1075"/>
        <v>9801</v>
      </c>
      <c r="E5561" s="1" t="s">
        <v>25</v>
      </c>
      <c r="F5561" s="1" t="str">
        <f>"9277981568880400C810002000000019"</f>
        <v>9277981568880400C810002000000019</v>
      </c>
      <c r="G5561" s="1" t="s">
        <v>58</v>
      </c>
      <c r="H5561" s="1" t="str">
        <f t="shared" si="1072"/>
        <v>20220926</v>
      </c>
      <c r="I5561" s="1" t="str">
        <f>"145238"</f>
        <v>145238</v>
      </c>
      <c r="J5561" s="1" t="s">
        <v>52</v>
      </c>
      <c r="K5561" s="1" t="s">
        <v>52</v>
      </c>
      <c r="L5561" s="1" t="str">
        <f t="shared" si="1077"/>
        <v>20220926</v>
      </c>
      <c r="M5561" s="1" t="str">
        <f>"145731"</f>
        <v>145731</v>
      </c>
      <c r="N5561" s="1" t="s">
        <v>52</v>
      </c>
      <c r="O5561" s="1" t="s">
        <v>52</v>
      </c>
      <c r="P5561" s="1" t="s">
        <v>55</v>
      </c>
      <c r="Q5561" s="1">
        <v>25</v>
      </c>
      <c r="R5561" s="1">
        <v>0</v>
      </c>
      <c r="S5561" s="1">
        <v>25</v>
      </c>
      <c r="T5561" s="1">
        <v>0</v>
      </c>
      <c r="U5561" s="1">
        <v>0</v>
      </c>
      <c r="V5561" s="1" t="str">
        <f t="shared" si="1076"/>
        <v>里程去程</v>
      </c>
      <c r="W5561" s="1" t="str">
        <f>"1120"</f>
        <v>1120</v>
      </c>
      <c r="X5561" s="1" t="s">
        <v>29</v>
      </c>
    </row>
    <row r="5562" spans="1:24" x14ac:dyDescent="0.3">
      <c r="A5562" s="1" t="str">
        <f t="shared" si="1074"/>
        <v>59829</v>
      </c>
      <c r="B5562" s="1" t="s">
        <v>47</v>
      </c>
      <c r="C5562" s="1" t="s">
        <v>31</v>
      </c>
      <c r="D5562" s="1" t="str">
        <f t="shared" si="1075"/>
        <v>9801</v>
      </c>
      <c r="E5562" s="1" t="s">
        <v>25</v>
      </c>
      <c r="F5562" s="1" t="str">
        <f>"F27CE6026A880400C834002000000015"</f>
        <v>F27CE6026A880400C834002000000015</v>
      </c>
      <c r="G5562" s="1" t="s">
        <v>74</v>
      </c>
      <c r="H5562" s="1" t="str">
        <f t="shared" si="1072"/>
        <v>20220926</v>
      </c>
      <c r="I5562" s="1" t="str">
        <f>"145316"</f>
        <v>145316</v>
      </c>
      <c r="J5562" s="1" t="s">
        <v>52</v>
      </c>
      <c r="K5562" s="1" t="s">
        <v>52</v>
      </c>
      <c r="L5562" s="1" t="str">
        <f t="shared" si="1077"/>
        <v>20220926</v>
      </c>
      <c r="M5562" s="1" t="str">
        <f>"150547"</f>
        <v>150547</v>
      </c>
      <c r="N5562" s="1" t="s">
        <v>60</v>
      </c>
      <c r="O5562" s="1" t="s">
        <v>52</v>
      </c>
      <c r="P5562" s="1" t="s">
        <v>68</v>
      </c>
      <c r="Q5562" s="1">
        <v>13</v>
      </c>
      <c r="R5562" s="1">
        <v>0</v>
      </c>
      <c r="S5562" s="1">
        <v>0</v>
      </c>
      <c r="T5562" s="1">
        <v>13</v>
      </c>
      <c r="U5562" s="1">
        <v>0</v>
      </c>
      <c r="V5562" s="1" t="str">
        <f t="shared" si="1076"/>
        <v>里程去程</v>
      </c>
      <c r="W5562" s="1" t="str">
        <f>"0020"</f>
        <v>0020</v>
      </c>
      <c r="X5562" s="1" t="s">
        <v>29</v>
      </c>
    </row>
    <row r="5563" spans="1:24" x14ac:dyDescent="0.3">
      <c r="A5563" s="1" t="str">
        <f t="shared" si="1074"/>
        <v>59829</v>
      </c>
      <c r="B5563" s="1" t="s">
        <v>47</v>
      </c>
      <c r="C5563" s="1" t="s">
        <v>31</v>
      </c>
      <c r="D5563" s="1" t="str">
        <f t="shared" si="1075"/>
        <v>9801</v>
      </c>
      <c r="E5563" s="1" t="s">
        <v>25</v>
      </c>
      <c r="F5563" s="1" t="str">
        <f>"1666792849"</f>
        <v>1666792849</v>
      </c>
      <c r="G5563" s="1" t="s">
        <v>33</v>
      </c>
      <c r="H5563" s="1" t="str">
        <f t="shared" si="1072"/>
        <v>20220926</v>
      </c>
      <c r="I5563" s="1" t="str">
        <f>"145613"</f>
        <v>145613</v>
      </c>
      <c r="J5563" s="1" t="s">
        <v>52</v>
      </c>
      <c r="K5563" s="1" t="s">
        <v>52</v>
      </c>
      <c r="L5563" s="1" t="str">
        <f t="shared" si="1077"/>
        <v>20220926</v>
      </c>
      <c r="M5563" s="1" t="str">
        <f>"152947"</f>
        <v>152947</v>
      </c>
      <c r="N5563" s="1" t="s">
        <v>70</v>
      </c>
      <c r="O5563" s="1" t="s">
        <v>28</v>
      </c>
      <c r="P5563" s="1" t="s">
        <v>55</v>
      </c>
      <c r="Q5563" s="1">
        <v>25</v>
      </c>
      <c r="R5563" s="1">
        <v>25</v>
      </c>
      <c r="S5563" s="1">
        <v>0</v>
      </c>
      <c r="T5563" s="1">
        <v>0</v>
      </c>
      <c r="U5563" s="1">
        <v>0</v>
      </c>
      <c r="V5563" s="1" t="str">
        <f t="shared" si="1076"/>
        <v>里程去程</v>
      </c>
      <c r="W5563" s="1" t="str">
        <f>"0820"</f>
        <v>0820</v>
      </c>
      <c r="X5563" s="1" t="s">
        <v>35</v>
      </c>
    </row>
    <row r="5564" spans="1:24" x14ac:dyDescent="0.3">
      <c r="A5564" s="1" t="str">
        <f t="shared" si="1074"/>
        <v>59829</v>
      </c>
      <c r="B5564" s="1" t="s">
        <v>47</v>
      </c>
      <c r="C5564" s="1" t="s">
        <v>31</v>
      </c>
      <c r="D5564" s="1" t="str">
        <f t="shared" si="1075"/>
        <v>9801</v>
      </c>
      <c r="E5564" s="1" t="s">
        <v>25</v>
      </c>
      <c r="F5564" s="1" t="str">
        <f>"9277981568880400C810002000000019"</f>
        <v>9277981568880400C810002000000019</v>
      </c>
      <c r="G5564" s="1" t="s">
        <v>58</v>
      </c>
      <c r="H5564" s="1" t="str">
        <f t="shared" si="1072"/>
        <v>20220926</v>
      </c>
      <c r="I5564" s="1" t="str">
        <f>"145900"</f>
        <v>145900</v>
      </c>
      <c r="J5564" s="1" t="s">
        <v>52</v>
      </c>
      <c r="K5564" s="1" t="s">
        <v>52</v>
      </c>
      <c r="L5564" s="1" t="str">
        <f t="shared" si="1077"/>
        <v>20220926</v>
      </c>
      <c r="M5564" s="1" t="str">
        <f>"152952"</f>
        <v>152952</v>
      </c>
      <c r="N5564" s="1" t="s">
        <v>70</v>
      </c>
      <c r="O5564" s="1" t="s">
        <v>28</v>
      </c>
      <c r="P5564" s="1" t="s">
        <v>55</v>
      </c>
      <c r="Q5564" s="1">
        <v>25</v>
      </c>
      <c r="R5564" s="1">
        <v>25</v>
      </c>
      <c r="S5564" s="1">
        <v>0</v>
      </c>
      <c r="T5564" s="1">
        <v>0</v>
      </c>
      <c r="U5564" s="1">
        <v>0</v>
      </c>
      <c r="V5564" s="1" t="str">
        <f t="shared" si="1076"/>
        <v>里程去程</v>
      </c>
      <c r="W5564" s="1" t="str">
        <f t="shared" ref="W5564:W5571" si="1078">"0020"</f>
        <v>0020</v>
      </c>
      <c r="X5564" s="1" t="s">
        <v>29</v>
      </c>
    </row>
    <row r="5565" spans="1:24" x14ac:dyDescent="0.3">
      <c r="A5565" s="1" t="str">
        <f t="shared" si="1074"/>
        <v>59829</v>
      </c>
      <c r="B5565" s="1" t="s">
        <v>47</v>
      </c>
      <c r="C5565" s="1" t="s">
        <v>31</v>
      </c>
      <c r="D5565" s="1" t="str">
        <f t="shared" si="1075"/>
        <v>9801</v>
      </c>
      <c r="E5565" s="1" t="s">
        <v>25</v>
      </c>
      <c r="F5565" s="1" t="str">
        <f>"C2F219032A880400C834002000000015"</f>
        <v>C2F219032A880400C834002000000015</v>
      </c>
      <c r="G5565" s="1" t="s">
        <v>26</v>
      </c>
      <c r="H5565" s="1" t="str">
        <f t="shared" si="1072"/>
        <v>20220926</v>
      </c>
      <c r="I5565" s="1" t="str">
        <f>"150441"</f>
        <v>150441</v>
      </c>
      <c r="J5565" s="1" t="s">
        <v>86</v>
      </c>
      <c r="K5565" s="1" t="s">
        <v>52</v>
      </c>
      <c r="L5565" s="1" t="str">
        <f t="shared" si="1077"/>
        <v>20220926</v>
      </c>
      <c r="M5565" s="1" t="str">
        <f>"150746"</f>
        <v>150746</v>
      </c>
      <c r="N5565" s="1" t="s">
        <v>51</v>
      </c>
      <c r="O5565" s="1" t="s">
        <v>52</v>
      </c>
      <c r="P5565" s="1" t="s">
        <v>68</v>
      </c>
      <c r="Q5565" s="1">
        <v>13</v>
      </c>
      <c r="R5565" s="1">
        <v>0</v>
      </c>
      <c r="S5565" s="1">
        <v>0</v>
      </c>
      <c r="T5565" s="1">
        <v>13</v>
      </c>
      <c r="U5565" s="1">
        <v>0</v>
      </c>
      <c r="V5565" s="1" t="str">
        <f t="shared" si="1076"/>
        <v>里程去程</v>
      </c>
      <c r="W5565" s="1" t="str">
        <f t="shared" si="1078"/>
        <v>0020</v>
      </c>
      <c r="X5565" s="1" t="s">
        <v>29</v>
      </c>
    </row>
    <row r="5566" spans="1:24" x14ac:dyDescent="0.3">
      <c r="A5566" s="1" t="str">
        <f t="shared" si="1074"/>
        <v>59829</v>
      </c>
      <c r="B5566" s="1" t="s">
        <v>47</v>
      </c>
      <c r="C5566" s="1" t="s">
        <v>31</v>
      </c>
      <c r="D5566" s="1" t="str">
        <f t="shared" si="1075"/>
        <v>9801</v>
      </c>
      <c r="E5566" s="1" t="s">
        <v>25</v>
      </c>
      <c r="F5566" s="1" t="str">
        <f>"E218F51718880400C814002000000019"</f>
        <v>E218F51718880400C814002000000019</v>
      </c>
      <c r="G5566" s="1" t="s">
        <v>59</v>
      </c>
      <c r="H5566" s="1" t="str">
        <f t="shared" si="1072"/>
        <v>20220926</v>
      </c>
      <c r="I5566" s="1" t="str">
        <f>"153011"</f>
        <v>153011</v>
      </c>
      <c r="J5566" s="1" t="s">
        <v>27</v>
      </c>
      <c r="K5566" s="1" t="s">
        <v>28</v>
      </c>
      <c r="L5566" s="1" t="str">
        <f t="shared" si="1077"/>
        <v>20220926</v>
      </c>
      <c r="M5566" s="1" t="str">
        <f>"155404"</f>
        <v>155404</v>
      </c>
      <c r="N5566" s="1" t="s">
        <v>100</v>
      </c>
      <c r="O5566" s="1" t="s">
        <v>45</v>
      </c>
      <c r="P5566" s="1" t="s">
        <v>55</v>
      </c>
      <c r="Q5566" s="1">
        <v>25</v>
      </c>
      <c r="R5566" s="1">
        <v>25</v>
      </c>
      <c r="S5566" s="1">
        <v>0</v>
      </c>
      <c r="T5566" s="1">
        <v>0</v>
      </c>
      <c r="U5566" s="1">
        <v>0</v>
      </c>
      <c r="V5566" s="1" t="str">
        <f t="shared" si="1076"/>
        <v>里程去程</v>
      </c>
      <c r="W5566" s="1" t="str">
        <f t="shared" si="1078"/>
        <v>0020</v>
      </c>
      <c r="X5566" s="1" t="s">
        <v>29</v>
      </c>
    </row>
    <row r="5567" spans="1:24" x14ac:dyDescent="0.3">
      <c r="A5567" s="1" t="str">
        <f t="shared" si="1074"/>
        <v>59829</v>
      </c>
      <c r="B5567" s="1" t="s">
        <v>47</v>
      </c>
      <c r="C5567" s="1" t="s">
        <v>31</v>
      </c>
      <c r="D5567" s="1" t="str">
        <f t="shared" si="1075"/>
        <v>9801</v>
      </c>
      <c r="E5567" s="1" t="s">
        <v>25</v>
      </c>
      <c r="F5567" s="1" t="str">
        <f>"026A101860880400C814002000000019"</f>
        <v>026A101860880400C814002000000019</v>
      </c>
      <c r="G5567" s="1" t="s">
        <v>59</v>
      </c>
      <c r="H5567" s="1" t="str">
        <f t="shared" si="1072"/>
        <v>20220926</v>
      </c>
      <c r="I5567" s="1" t="str">
        <f>"172731"</f>
        <v>172731</v>
      </c>
      <c r="J5567" s="1" t="s">
        <v>44</v>
      </c>
      <c r="K5567" s="1" t="s">
        <v>45</v>
      </c>
      <c r="L5567" s="1" t="str">
        <f t="shared" si="1077"/>
        <v>20220926</v>
      </c>
      <c r="M5567" s="1" t="str">
        <f>"175416"</f>
        <v>175416</v>
      </c>
      <c r="N5567" s="1" t="s">
        <v>28</v>
      </c>
      <c r="O5567" s="1" t="s">
        <v>28</v>
      </c>
      <c r="P5567" s="1" t="s">
        <v>55</v>
      </c>
      <c r="Q5567" s="1">
        <v>25</v>
      </c>
      <c r="R5567" s="1">
        <v>25</v>
      </c>
      <c r="S5567" s="1">
        <v>0</v>
      </c>
      <c r="T5567" s="1">
        <v>0</v>
      </c>
      <c r="U5567" s="1">
        <v>0</v>
      </c>
      <c r="V5567" s="1" t="str">
        <f>"里程返程"</f>
        <v>里程返程</v>
      </c>
      <c r="W5567" s="1" t="str">
        <f t="shared" si="1078"/>
        <v>0020</v>
      </c>
      <c r="X5567" s="1" t="s">
        <v>29</v>
      </c>
    </row>
    <row r="5568" spans="1:24" x14ac:dyDescent="0.3">
      <c r="A5568" s="1" t="str">
        <f t="shared" si="1074"/>
        <v>59829</v>
      </c>
      <c r="B5568" s="1" t="s">
        <v>47</v>
      </c>
      <c r="C5568" s="1" t="s">
        <v>31</v>
      </c>
      <c r="D5568" s="1" t="str">
        <f t="shared" si="1075"/>
        <v>9801</v>
      </c>
      <c r="E5568" s="1" t="s">
        <v>25</v>
      </c>
      <c r="F5568" s="1" t="str">
        <f>"E2191918FA880400C819002000000019"</f>
        <v>E2191918FA880400C819002000000019</v>
      </c>
      <c r="G5568" s="1" t="s">
        <v>59</v>
      </c>
      <c r="H5568" s="1" t="str">
        <f t="shared" si="1072"/>
        <v>20220926</v>
      </c>
      <c r="I5568" s="1" t="str">
        <f>"172734"</f>
        <v>172734</v>
      </c>
      <c r="J5568" s="1" t="s">
        <v>44</v>
      </c>
      <c r="K5568" s="1" t="s">
        <v>45</v>
      </c>
      <c r="L5568" s="1" t="str">
        <f t="shared" si="1077"/>
        <v>20220926</v>
      </c>
      <c r="M5568" s="1" t="str">
        <f>"175413"</f>
        <v>175413</v>
      </c>
      <c r="N5568" s="1" t="s">
        <v>28</v>
      </c>
      <c r="O5568" s="1" t="s">
        <v>28</v>
      </c>
      <c r="P5568" s="1" t="s">
        <v>55</v>
      </c>
      <c r="Q5568" s="1">
        <v>25</v>
      </c>
      <c r="R5568" s="1">
        <v>25</v>
      </c>
      <c r="S5568" s="1">
        <v>0</v>
      </c>
      <c r="T5568" s="1">
        <v>0</v>
      </c>
      <c r="U5568" s="1">
        <v>0</v>
      </c>
      <c r="V5568" s="1" t="str">
        <f>"里程返程"</f>
        <v>里程返程</v>
      </c>
      <c r="W5568" s="1" t="str">
        <f t="shared" si="1078"/>
        <v>0020</v>
      </c>
      <c r="X5568" s="1" t="s">
        <v>29</v>
      </c>
    </row>
    <row r="5569" spans="1:24" x14ac:dyDescent="0.3">
      <c r="A5569" s="1" t="str">
        <f t="shared" si="1074"/>
        <v>59829</v>
      </c>
      <c r="B5569" s="1" t="s">
        <v>47</v>
      </c>
      <c r="C5569" s="1" t="s">
        <v>31</v>
      </c>
      <c r="D5569" s="1" t="str">
        <f t="shared" si="1075"/>
        <v>9801</v>
      </c>
      <c r="E5569" s="1" t="s">
        <v>25</v>
      </c>
      <c r="F5569" s="1" t="str">
        <f>"422AE7028D880400C834002000000015"</f>
        <v>422AE7028D880400C834002000000015</v>
      </c>
      <c r="G5569" s="1" t="s">
        <v>74</v>
      </c>
      <c r="H5569" s="1" t="str">
        <f t="shared" si="1072"/>
        <v>20220926</v>
      </c>
      <c r="I5569" s="1" t="str">
        <f>"172749"</f>
        <v>172749</v>
      </c>
      <c r="J5569" s="1" t="s">
        <v>44</v>
      </c>
      <c r="K5569" s="1" t="s">
        <v>45</v>
      </c>
      <c r="L5569" s="1" t="str">
        <f t="shared" si="1077"/>
        <v>20220926</v>
      </c>
      <c r="M5569" s="1" t="str">
        <f>"175411"</f>
        <v>175411</v>
      </c>
      <c r="N5569" s="1" t="s">
        <v>28</v>
      </c>
      <c r="O5569" s="1" t="s">
        <v>28</v>
      </c>
      <c r="P5569" s="1" t="s">
        <v>68</v>
      </c>
      <c r="Q5569" s="1">
        <v>13</v>
      </c>
      <c r="R5569" s="1">
        <v>0</v>
      </c>
      <c r="S5569" s="1">
        <v>0</v>
      </c>
      <c r="T5569" s="1">
        <v>13</v>
      </c>
      <c r="U5569" s="1">
        <v>0</v>
      </c>
      <c r="V5569" s="1" t="str">
        <f>"里程返程"</f>
        <v>里程返程</v>
      </c>
      <c r="W5569" s="1" t="str">
        <f t="shared" si="1078"/>
        <v>0020</v>
      </c>
      <c r="X5569" s="1" t="s">
        <v>29</v>
      </c>
    </row>
    <row r="5570" spans="1:24" x14ac:dyDescent="0.3">
      <c r="A5570" s="1" t="str">
        <f t="shared" si="1074"/>
        <v>59829</v>
      </c>
      <c r="B5570" s="1" t="s">
        <v>47</v>
      </c>
      <c r="C5570" s="1" t="s">
        <v>31</v>
      </c>
      <c r="D5570" s="1" t="str">
        <f t="shared" si="1075"/>
        <v>9801</v>
      </c>
      <c r="E5570" s="1" t="s">
        <v>25</v>
      </c>
      <c r="F5570" s="1" t="str">
        <f>"7227E702B0880400C834002000000015"</f>
        <v>7227E702B0880400C834002000000015</v>
      </c>
      <c r="G5570" s="1" t="s">
        <v>74</v>
      </c>
      <c r="H5570" s="1" t="str">
        <f t="shared" si="1072"/>
        <v>20220926</v>
      </c>
      <c r="I5570" s="1" t="str">
        <f>"173030"</f>
        <v>173030</v>
      </c>
      <c r="J5570" s="1" t="s">
        <v>44</v>
      </c>
      <c r="K5570" s="1" t="s">
        <v>45</v>
      </c>
      <c r="L5570" s="1" t="str">
        <f t="shared" si="1077"/>
        <v>20220926</v>
      </c>
      <c r="M5570" s="1" t="str">
        <f>"173932"</f>
        <v>173932</v>
      </c>
      <c r="N5570" s="1" t="s">
        <v>75</v>
      </c>
      <c r="O5570" s="1" t="s">
        <v>45</v>
      </c>
      <c r="P5570" s="1" t="s">
        <v>68</v>
      </c>
      <c r="Q5570" s="1">
        <v>13</v>
      </c>
      <c r="R5570" s="1">
        <v>0</v>
      </c>
      <c r="S5570" s="1">
        <v>0</v>
      </c>
      <c r="T5570" s="1">
        <v>13</v>
      </c>
      <c r="U5570" s="1">
        <v>0</v>
      </c>
      <c r="V5570" s="1" t="str">
        <f>"里程返程"</f>
        <v>里程返程</v>
      </c>
      <c r="W5570" s="1" t="str">
        <f t="shared" si="1078"/>
        <v>0020</v>
      </c>
      <c r="X5570" s="1" t="s">
        <v>29</v>
      </c>
    </row>
    <row r="5571" spans="1:24" x14ac:dyDescent="0.3">
      <c r="A5571" s="1" t="str">
        <f t="shared" si="1074"/>
        <v>59829</v>
      </c>
      <c r="B5571" s="1" t="s">
        <v>47</v>
      </c>
      <c r="C5571" s="1" t="s">
        <v>31</v>
      </c>
      <c r="D5571" s="1" t="str">
        <f t="shared" si="1075"/>
        <v>9801</v>
      </c>
      <c r="E5571" s="1" t="s">
        <v>25</v>
      </c>
      <c r="F5571" s="1" t="str">
        <f>"D207D10206880400C834002000000015"</f>
        <v>D207D10206880400C834002000000015</v>
      </c>
      <c r="G5571" s="1" t="s">
        <v>74</v>
      </c>
      <c r="H5571" s="1" t="str">
        <f t="shared" si="1072"/>
        <v>20220926</v>
      </c>
      <c r="I5571" s="1" t="str">
        <f>"185531"</f>
        <v>185531</v>
      </c>
      <c r="J5571" s="1" t="s">
        <v>28</v>
      </c>
      <c r="K5571" s="1" t="s">
        <v>28</v>
      </c>
      <c r="L5571" s="1" t="str">
        <f t="shared" si="1077"/>
        <v>20220926</v>
      </c>
      <c r="M5571" s="1" t="str">
        <f>"191627"</f>
        <v>191627</v>
      </c>
      <c r="N5571" s="1" t="s">
        <v>51</v>
      </c>
      <c r="O5571" s="1" t="s">
        <v>52</v>
      </c>
      <c r="P5571" s="1" t="s">
        <v>68</v>
      </c>
      <c r="Q5571" s="1">
        <v>13</v>
      </c>
      <c r="R5571" s="1">
        <v>0</v>
      </c>
      <c r="S5571" s="1">
        <v>0</v>
      </c>
      <c r="T5571" s="1">
        <v>13</v>
      </c>
      <c r="U5571" s="1">
        <v>0</v>
      </c>
      <c r="V5571" s="1" t="str">
        <f>"里程返程"</f>
        <v>里程返程</v>
      </c>
      <c r="W5571" s="1" t="str">
        <f t="shared" si="1078"/>
        <v>0020</v>
      </c>
      <c r="X5571" s="1" t="s">
        <v>29</v>
      </c>
    </row>
    <row r="5572" spans="1:24" x14ac:dyDescent="0.3">
      <c r="A5572" s="1" t="str">
        <f t="shared" si="1074"/>
        <v>59829</v>
      </c>
      <c r="B5572" s="1" t="s">
        <v>47</v>
      </c>
      <c r="C5572" s="1" t="s">
        <v>31</v>
      </c>
      <c r="D5572" s="1" t="str">
        <f t="shared" si="1075"/>
        <v>9801</v>
      </c>
      <c r="E5572" s="1" t="s">
        <v>25</v>
      </c>
      <c r="F5572" s="1" t="str">
        <f>"1113090661"</f>
        <v>1113090661</v>
      </c>
      <c r="G5572" s="1" t="s">
        <v>38</v>
      </c>
      <c r="H5572" s="1" t="str">
        <f t="shared" si="1072"/>
        <v>20220926</v>
      </c>
      <c r="I5572" s="1" t="str">
        <f>"203241"</f>
        <v>203241</v>
      </c>
      <c r="J5572" s="1" t="s">
        <v>27</v>
      </c>
      <c r="K5572" s="1" t="s">
        <v>28</v>
      </c>
      <c r="L5572" s="1" t="str">
        <f t="shared" si="1077"/>
        <v>20220926</v>
      </c>
      <c r="M5572" s="1" t="str">
        <f>"205051"</f>
        <v>205051</v>
      </c>
      <c r="N5572" s="1" t="s">
        <v>100</v>
      </c>
      <c r="O5572" s="1" t="s">
        <v>45</v>
      </c>
      <c r="P5572" s="1" t="s">
        <v>55</v>
      </c>
      <c r="Q5572" s="1">
        <v>25</v>
      </c>
      <c r="R5572" s="1">
        <v>25</v>
      </c>
      <c r="S5572" s="1">
        <v>0</v>
      </c>
      <c r="T5572" s="1">
        <v>0</v>
      </c>
      <c r="U5572" s="1">
        <v>0</v>
      </c>
      <c r="V5572" s="1" t="str">
        <f>"里程去程"</f>
        <v>里程去程</v>
      </c>
      <c r="W5572" s="1" t="str">
        <f>"2120"</f>
        <v>2120</v>
      </c>
      <c r="X5572" s="1" t="s">
        <v>35</v>
      </c>
    </row>
    <row r="5573" spans="1:24" x14ac:dyDescent="0.3">
      <c r="A5573" s="1" t="str">
        <f t="shared" ref="A5573:A5616" si="1079">"59809"</f>
        <v>59809</v>
      </c>
      <c r="B5573" s="1" t="s">
        <v>42</v>
      </c>
      <c r="C5573" s="1" t="s">
        <v>43</v>
      </c>
      <c r="D5573" s="1" t="str">
        <f>"9803"</f>
        <v>9803</v>
      </c>
      <c r="E5573" s="1" t="s">
        <v>32</v>
      </c>
      <c r="F5573" s="1" t="str">
        <f>"598915048"</f>
        <v>598915048</v>
      </c>
      <c r="G5573" s="1" t="s">
        <v>26</v>
      </c>
      <c r="H5573" s="1" t="str">
        <f t="shared" ref="H5573:H5604" si="1080">"20220927"</f>
        <v>20220927</v>
      </c>
      <c r="I5573" s="1" t="str">
        <f>"061114"</f>
        <v>061114</v>
      </c>
      <c r="J5573" s="1" t="s">
        <v>28</v>
      </c>
      <c r="K5573" s="1" t="s">
        <v>28</v>
      </c>
      <c r="L5573" s="1" t="str">
        <f t="shared" ref="L5573:L5578" si="1081">"20220927"</f>
        <v>20220927</v>
      </c>
      <c r="M5573" s="1" t="str">
        <f>"063747"</f>
        <v>063747</v>
      </c>
      <c r="N5573" s="1" t="s">
        <v>34</v>
      </c>
      <c r="O5573" s="1" t="s">
        <v>34</v>
      </c>
      <c r="P5573" s="1" t="s">
        <v>55</v>
      </c>
      <c r="Q5573" s="1">
        <v>13</v>
      </c>
      <c r="R5573" s="1">
        <v>13</v>
      </c>
      <c r="S5573" s="1">
        <v>0</v>
      </c>
      <c r="T5573" s="1">
        <v>0</v>
      </c>
      <c r="U5573" s="1">
        <v>0</v>
      </c>
      <c r="V5573" s="1" t="str">
        <f>"里程去程"</f>
        <v>里程去程</v>
      </c>
      <c r="W5573" s="1" t="str">
        <f>"2120"</f>
        <v>2120</v>
      </c>
      <c r="X5573" s="1" t="s">
        <v>35</v>
      </c>
    </row>
    <row r="5574" spans="1:24" x14ac:dyDescent="0.3">
      <c r="A5574" s="1" t="str">
        <f t="shared" si="1079"/>
        <v>59809</v>
      </c>
      <c r="B5574" s="1" t="s">
        <v>42</v>
      </c>
      <c r="C5574" s="1" t="s">
        <v>43</v>
      </c>
      <c r="D5574" s="1" t="str">
        <f>"9803"</f>
        <v>9803</v>
      </c>
      <c r="E5574" s="1" t="s">
        <v>32</v>
      </c>
      <c r="F5574" s="1" t="str">
        <f>"1072679217"</f>
        <v>1072679217</v>
      </c>
      <c r="G5574" s="1" t="s">
        <v>33</v>
      </c>
      <c r="H5574" s="1" t="str">
        <f t="shared" si="1080"/>
        <v>20220927</v>
      </c>
      <c r="I5574" s="1" t="str">
        <f>"062941"</f>
        <v>062941</v>
      </c>
      <c r="J5574" s="1" t="s">
        <v>46</v>
      </c>
      <c r="K5574" s="1" t="s">
        <v>28</v>
      </c>
      <c r="L5574" s="1" t="str">
        <f t="shared" si="1081"/>
        <v>20220927</v>
      </c>
      <c r="M5574" s="1" t="str">
        <f>"063733"</f>
        <v>063733</v>
      </c>
      <c r="N5574" s="1" t="s">
        <v>34</v>
      </c>
      <c r="O5574" s="1" t="s">
        <v>34</v>
      </c>
      <c r="P5574" s="1" t="s">
        <v>55</v>
      </c>
      <c r="Q5574" s="1">
        <v>25</v>
      </c>
      <c r="R5574" s="1">
        <v>25</v>
      </c>
      <c r="S5574" s="1">
        <v>0</v>
      </c>
      <c r="T5574" s="1">
        <v>0</v>
      </c>
      <c r="U5574" s="1">
        <v>0</v>
      </c>
      <c r="V5574" s="1" t="str">
        <f>"里程去程"</f>
        <v>里程去程</v>
      </c>
      <c r="W5574" s="1" t="str">
        <f>"0820"</f>
        <v>0820</v>
      </c>
      <c r="X5574" s="1" t="s">
        <v>35</v>
      </c>
    </row>
    <row r="5575" spans="1:24" x14ac:dyDescent="0.3">
      <c r="A5575" s="1" t="str">
        <f t="shared" si="1079"/>
        <v>59809</v>
      </c>
      <c r="B5575" s="1" t="s">
        <v>42</v>
      </c>
      <c r="C5575" s="1" t="s">
        <v>43</v>
      </c>
      <c r="D5575" s="1" t="str">
        <f t="shared" ref="D5575:D5587" si="1082">"9806"</f>
        <v>9806</v>
      </c>
      <c r="E5575" s="1" t="s">
        <v>49</v>
      </c>
      <c r="F5575" s="1" t="str">
        <f>"927551509"</f>
        <v>927551509</v>
      </c>
      <c r="G5575" s="1" t="s">
        <v>38</v>
      </c>
      <c r="H5575" s="1" t="str">
        <f t="shared" si="1080"/>
        <v>20220927</v>
      </c>
      <c r="I5575" s="1" t="str">
        <f>"072807"</f>
        <v>072807</v>
      </c>
      <c r="J5575" s="1" t="s">
        <v>95</v>
      </c>
      <c r="K5575" s="1" t="s">
        <v>28</v>
      </c>
      <c r="L5575" s="1" t="str">
        <f t="shared" si="1081"/>
        <v>20220927</v>
      </c>
      <c r="M5575" s="1" t="str">
        <f>"073546"</f>
        <v>073546</v>
      </c>
      <c r="N5575" s="1" t="s">
        <v>63</v>
      </c>
      <c r="O5575" s="1" t="s">
        <v>28</v>
      </c>
      <c r="P5575" s="1" t="s">
        <v>55</v>
      </c>
      <c r="Q5575" s="1">
        <v>25</v>
      </c>
      <c r="R5575" s="1">
        <v>0</v>
      </c>
      <c r="S5575" s="1">
        <v>25</v>
      </c>
      <c r="T5575" s="1">
        <v>0</v>
      </c>
      <c r="U5575" s="1">
        <v>0</v>
      </c>
      <c r="V5575" s="1" t="str">
        <f t="shared" ref="V5575:V5587" si="1083">"里程返程"</f>
        <v>里程返程</v>
      </c>
      <c r="W5575" s="1" t="str">
        <f>"0820"</f>
        <v>0820</v>
      </c>
      <c r="X5575" s="1" t="s">
        <v>35</v>
      </c>
    </row>
    <row r="5576" spans="1:24" x14ac:dyDescent="0.3">
      <c r="A5576" s="1" t="str">
        <f t="shared" si="1079"/>
        <v>59809</v>
      </c>
      <c r="B5576" s="1" t="s">
        <v>42</v>
      </c>
      <c r="C5576" s="1" t="s">
        <v>43</v>
      </c>
      <c r="D5576" s="1" t="str">
        <f t="shared" si="1082"/>
        <v>9806</v>
      </c>
      <c r="E5576" s="1" t="s">
        <v>49</v>
      </c>
      <c r="F5576" s="1" t="str">
        <f>"538267473"</f>
        <v>538267473</v>
      </c>
      <c r="G5576" s="1" t="s">
        <v>33</v>
      </c>
      <c r="H5576" s="1" t="str">
        <f t="shared" si="1080"/>
        <v>20220927</v>
      </c>
      <c r="I5576" s="1" t="str">
        <f>"072816"</f>
        <v>072816</v>
      </c>
      <c r="J5576" s="1" t="s">
        <v>95</v>
      </c>
      <c r="K5576" s="1" t="s">
        <v>28</v>
      </c>
      <c r="L5576" s="1" t="str">
        <f t="shared" si="1081"/>
        <v>20220927</v>
      </c>
      <c r="M5576" s="1" t="str">
        <f>"074151"</f>
        <v>074151</v>
      </c>
      <c r="N5576" s="1" t="s">
        <v>99</v>
      </c>
      <c r="O5576" s="1" t="s">
        <v>28</v>
      </c>
      <c r="P5576" s="1" t="s">
        <v>55</v>
      </c>
      <c r="Q5576" s="1">
        <v>25</v>
      </c>
      <c r="R5576" s="1">
        <v>0</v>
      </c>
      <c r="S5576" s="1">
        <v>25</v>
      </c>
      <c r="T5576" s="1">
        <v>0</v>
      </c>
      <c r="U5576" s="1">
        <v>0</v>
      </c>
      <c r="V5576" s="1" t="str">
        <f t="shared" si="1083"/>
        <v>里程返程</v>
      </c>
      <c r="W5576" s="1" t="str">
        <f>"0820"</f>
        <v>0820</v>
      </c>
      <c r="X5576" s="1" t="s">
        <v>35</v>
      </c>
    </row>
    <row r="5577" spans="1:24" x14ac:dyDescent="0.3">
      <c r="A5577" s="1" t="str">
        <f t="shared" si="1079"/>
        <v>59809</v>
      </c>
      <c r="B5577" s="1" t="s">
        <v>42</v>
      </c>
      <c r="C5577" s="1" t="s">
        <v>43</v>
      </c>
      <c r="D5577" s="1" t="str">
        <f t="shared" si="1082"/>
        <v>9806</v>
      </c>
      <c r="E5577" s="1" t="s">
        <v>49</v>
      </c>
      <c r="F5577" s="1" t="str">
        <f>"62C93D1680880400C814002000000019"</f>
        <v>62C93D1680880400C814002000000019</v>
      </c>
      <c r="G5577" s="1" t="s">
        <v>59</v>
      </c>
      <c r="H5577" s="1" t="str">
        <f t="shared" si="1080"/>
        <v>20220927</v>
      </c>
      <c r="I5577" s="1" t="str">
        <f>"072822"</f>
        <v>072822</v>
      </c>
      <c r="J5577" s="1" t="s">
        <v>95</v>
      </c>
      <c r="K5577" s="1" t="s">
        <v>28</v>
      </c>
      <c r="L5577" s="1" t="str">
        <f t="shared" si="1081"/>
        <v>20220927</v>
      </c>
      <c r="M5577" s="1" t="str">
        <f>"073549"</f>
        <v>073549</v>
      </c>
      <c r="N5577" s="1" t="s">
        <v>63</v>
      </c>
      <c r="O5577" s="1" t="s">
        <v>28</v>
      </c>
      <c r="P5577" s="1" t="s">
        <v>55</v>
      </c>
      <c r="Q5577" s="1">
        <v>25</v>
      </c>
      <c r="R5577" s="1">
        <v>0</v>
      </c>
      <c r="S5577" s="1">
        <v>25</v>
      </c>
      <c r="T5577" s="1">
        <v>0</v>
      </c>
      <c r="U5577" s="1">
        <v>0</v>
      </c>
      <c r="V5577" s="1" t="str">
        <f t="shared" si="1083"/>
        <v>里程返程</v>
      </c>
      <c r="W5577" s="1" t="str">
        <f>"0620"</f>
        <v>0620</v>
      </c>
      <c r="X5577" s="1" t="s">
        <v>29</v>
      </c>
    </row>
    <row r="5578" spans="1:24" x14ac:dyDescent="0.3">
      <c r="A5578" s="1" t="str">
        <f t="shared" si="1079"/>
        <v>59809</v>
      </c>
      <c r="B5578" s="1" t="s">
        <v>42</v>
      </c>
      <c r="C5578" s="1" t="s">
        <v>43</v>
      </c>
      <c r="D5578" s="1" t="str">
        <f t="shared" si="1082"/>
        <v>9806</v>
      </c>
      <c r="E5578" s="1" t="s">
        <v>49</v>
      </c>
      <c r="F5578" s="1" t="str">
        <f>"72993516C8880400C814002000000019"</f>
        <v>72993516C8880400C814002000000019</v>
      </c>
      <c r="G5578" s="1" t="s">
        <v>59</v>
      </c>
      <c r="H5578" s="1" t="str">
        <f t="shared" si="1080"/>
        <v>20220927</v>
      </c>
      <c r="I5578" s="1" t="str">
        <f>"072825"</f>
        <v>072825</v>
      </c>
      <c r="J5578" s="1" t="s">
        <v>95</v>
      </c>
      <c r="K5578" s="1" t="s">
        <v>28</v>
      </c>
      <c r="L5578" s="1" t="str">
        <f t="shared" si="1081"/>
        <v>20220927</v>
      </c>
      <c r="M5578" s="1" t="str">
        <f>"073604"</f>
        <v>073604</v>
      </c>
      <c r="N5578" s="1" t="s">
        <v>63</v>
      </c>
      <c r="O5578" s="1" t="s">
        <v>28</v>
      </c>
      <c r="P5578" s="1" t="s">
        <v>55</v>
      </c>
      <c r="Q5578" s="1">
        <v>25</v>
      </c>
      <c r="R5578" s="1">
        <v>0</v>
      </c>
      <c r="S5578" s="1">
        <v>25</v>
      </c>
      <c r="T5578" s="1">
        <v>0</v>
      </c>
      <c r="U5578" s="1">
        <v>0</v>
      </c>
      <c r="V5578" s="1" t="str">
        <f t="shared" si="1083"/>
        <v>里程返程</v>
      </c>
      <c r="W5578" s="1" t="str">
        <f>"0620"</f>
        <v>0620</v>
      </c>
      <c r="X5578" s="1" t="s">
        <v>29</v>
      </c>
    </row>
    <row r="5579" spans="1:24" x14ac:dyDescent="0.3">
      <c r="A5579" s="1" t="str">
        <f t="shared" si="1079"/>
        <v>59809</v>
      </c>
      <c r="B5579" s="1" t="s">
        <v>42</v>
      </c>
      <c r="C5579" s="1" t="s">
        <v>43</v>
      </c>
      <c r="D5579" s="1" t="str">
        <f t="shared" si="1082"/>
        <v>9806</v>
      </c>
      <c r="E5579" s="1" t="s">
        <v>49</v>
      </c>
      <c r="F5579" s="1" t="str">
        <f>"1810423056"</f>
        <v>1810423056</v>
      </c>
      <c r="G5579" s="1" t="s">
        <v>33</v>
      </c>
      <c r="H5579" s="1" t="str">
        <f t="shared" si="1080"/>
        <v>20220927</v>
      </c>
      <c r="I5579" s="1" t="str">
        <f>"072827"</f>
        <v>072827</v>
      </c>
      <c r="J5579" s="1" t="s">
        <v>95</v>
      </c>
      <c r="K5579" s="1" t="s">
        <v>28</v>
      </c>
      <c r="L5579" s="1" t="str">
        <f>""</f>
        <v/>
      </c>
      <c r="M5579" s="1" t="str">
        <f>""</f>
        <v/>
      </c>
      <c r="P5579" s="1" t="s">
        <v>88</v>
      </c>
      <c r="Q5579" s="1">
        <v>25</v>
      </c>
      <c r="R5579" s="1">
        <v>25</v>
      </c>
      <c r="S5579" s="1">
        <v>0</v>
      </c>
      <c r="T5579" s="1">
        <v>0</v>
      </c>
      <c r="U5579" s="1">
        <v>0</v>
      </c>
      <c r="V5579" s="1" t="str">
        <f t="shared" si="1083"/>
        <v>里程返程</v>
      </c>
      <c r="W5579" s="1" t="str">
        <f>"2020"</f>
        <v>2020</v>
      </c>
      <c r="X5579" s="1" t="s">
        <v>35</v>
      </c>
    </row>
    <row r="5580" spans="1:24" x14ac:dyDescent="0.3">
      <c r="A5580" s="1" t="str">
        <f t="shared" si="1079"/>
        <v>59809</v>
      </c>
      <c r="B5580" s="1" t="s">
        <v>42</v>
      </c>
      <c r="C5580" s="1" t="s">
        <v>43</v>
      </c>
      <c r="D5580" s="1" t="str">
        <f t="shared" si="1082"/>
        <v>9806</v>
      </c>
      <c r="E5580" s="1" t="s">
        <v>49</v>
      </c>
      <c r="F5580" s="1" t="str">
        <f>"1055537829"</f>
        <v>1055537829</v>
      </c>
      <c r="G5580" s="1" t="s">
        <v>33</v>
      </c>
      <c r="H5580" s="1" t="str">
        <f t="shared" si="1080"/>
        <v>20220927</v>
      </c>
      <c r="I5580" s="1" t="str">
        <f>"072828"</f>
        <v>072828</v>
      </c>
      <c r="J5580" s="1" t="s">
        <v>95</v>
      </c>
      <c r="K5580" s="1" t="s">
        <v>28</v>
      </c>
      <c r="L5580" s="1" t="str">
        <f t="shared" ref="L5580:L5611" si="1084">"20220927"</f>
        <v>20220927</v>
      </c>
      <c r="M5580" s="1" t="str">
        <f>"073602"</f>
        <v>073602</v>
      </c>
      <c r="N5580" s="1" t="s">
        <v>63</v>
      </c>
      <c r="O5580" s="1" t="s">
        <v>28</v>
      </c>
      <c r="P5580" s="1" t="s">
        <v>55</v>
      </c>
      <c r="Q5580" s="1">
        <v>25</v>
      </c>
      <c r="R5580" s="1">
        <v>0</v>
      </c>
      <c r="S5580" s="1">
        <v>25</v>
      </c>
      <c r="T5580" s="1">
        <v>0</v>
      </c>
      <c r="U5580" s="1">
        <v>0</v>
      </c>
      <c r="V5580" s="1" t="str">
        <f t="shared" si="1083"/>
        <v>里程返程</v>
      </c>
      <c r="W5580" s="1" t="str">
        <f>"0820"</f>
        <v>0820</v>
      </c>
      <c r="X5580" s="1" t="s">
        <v>35</v>
      </c>
    </row>
    <row r="5581" spans="1:24" x14ac:dyDescent="0.3">
      <c r="A5581" s="1" t="str">
        <f t="shared" si="1079"/>
        <v>59809</v>
      </c>
      <c r="B5581" s="1" t="s">
        <v>42</v>
      </c>
      <c r="C5581" s="1" t="s">
        <v>43</v>
      </c>
      <c r="D5581" s="1" t="str">
        <f t="shared" si="1082"/>
        <v>9806</v>
      </c>
      <c r="E5581" s="1" t="s">
        <v>49</v>
      </c>
      <c r="F5581" s="1" t="str">
        <f>"F238370AF7880400C810002000000016"</f>
        <v>F238370AF7880400C810002000000016</v>
      </c>
      <c r="G5581" s="1" t="s">
        <v>59</v>
      </c>
      <c r="H5581" s="1" t="str">
        <f t="shared" si="1080"/>
        <v>20220927</v>
      </c>
      <c r="I5581" s="1" t="str">
        <f>"072831"</f>
        <v>072831</v>
      </c>
      <c r="J5581" s="1" t="s">
        <v>95</v>
      </c>
      <c r="K5581" s="1" t="s">
        <v>28</v>
      </c>
      <c r="L5581" s="1" t="str">
        <f t="shared" si="1084"/>
        <v>20220927</v>
      </c>
      <c r="M5581" s="1" t="str">
        <f>"073555"</f>
        <v>073555</v>
      </c>
      <c r="N5581" s="1" t="s">
        <v>63</v>
      </c>
      <c r="O5581" s="1" t="s">
        <v>28</v>
      </c>
      <c r="P5581" s="1" t="s">
        <v>55</v>
      </c>
      <c r="Q5581" s="1">
        <v>25</v>
      </c>
      <c r="R5581" s="1">
        <v>0</v>
      </c>
      <c r="S5581" s="1">
        <v>25</v>
      </c>
      <c r="T5581" s="1">
        <v>0</v>
      </c>
      <c r="U5581" s="1">
        <v>0</v>
      </c>
      <c r="V5581" s="1" t="str">
        <f t="shared" si="1083"/>
        <v>里程返程</v>
      </c>
      <c r="W5581" s="1" t="str">
        <f>"0620"</f>
        <v>0620</v>
      </c>
      <c r="X5581" s="1" t="s">
        <v>29</v>
      </c>
    </row>
    <row r="5582" spans="1:24" x14ac:dyDescent="0.3">
      <c r="A5582" s="1" t="str">
        <f t="shared" si="1079"/>
        <v>59809</v>
      </c>
      <c r="B5582" s="1" t="s">
        <v>42</v>
      </c>
      <c r="C5582" s="1" t="s">
        <v>43</v>
      </c>
      <c r="D5582" s="1" t="str">
        <f t="shared" si="1082"/>
        <v>9806</v>
      </c>
      <c r="E5582" s="1" t="s">
        <v>49</v>
      </c>
      <c r="F5582" s="1" t="str">
        <f>"1845872357"</f>
        <v>1845872357</v>
      </c>
      <c r="G5582" s="1" t="s">
        <v>33</v>
      </c>
      <c r="H5582" s="1" t="str">
        <f t="shared" si="1080"/>
        <v>20220927</v>
      </c>
      <c r="I5582" s="1" t="str">
        <f>"072834"</f>
        <v>072834</v>
      </c>
      <c r="J5582" s="1" t="s">
        <v>95</v>
      </c>
      <c r="K5582" s="1" t="s">
        <v>28</v>
      </c>
      <c r="L5582" s="1" t="str">
        <f t="shared" si="1084"/>
        <v>20220927</v>
      </c>
      <c r="M5582" s="1" t="str">
        <f>"073559"</f>
        <v>073559</v>
      </c>
      <c r="N5582" s="1" t="s">
        <v>63</v>
      </c>
      <c r="O5582" s="1" t="s">
        <v>28</v>
      </c>
      <c r="P5582" s="1" t="s">
        <v>55</v>
      </c>
      <c r="Q5582" s="1">
        <v>25</v>
      </c>
      <c r="R5582" s="1">
        <v>0</v>
      </c>
      <c r="S5582" s="1">
        <v>25</v>
      </c>
      <c r="T5582" s="1">
        <v>0</v>
      </c>
      <c r="U5582" s="1">
        <v>0</v>
      </c>
      <c r="V5582" s="1" t="str">
        <f t="shared" si="1083"/>
        <v>里程返程</v>
      </c>
      <c r="W5582" s="1" t="str">
        <f>"0820"</f>
        <v>0820</v>
      </c>
      <c r="X5582" s="1" t="s">
        <v>35</v>
      </c>
    </row>
    <row r="5583" spans="1:24" x14ac:dyDescent="0.3">
      <c r="A5583" s="1" t="str">
        <f t="shared" si="1079"/>
        <v>59809</v>
      </c>
      <c r="B5583" s="1" t="s">
        <v>42</v>
      </c>
      <c r="C5583" s="1" t="s">
        <v>43</v>
      </c>
      <c r="D5583" s="1" t="str">
        <f t="shared" si="1082"/>
        <v>9806</v>
      </c>
      <c r="E5583" s="1" t="s">
        <v>49</v>
      </c>
      <c r="F5583" s="1" t="str">
        <f>"22C03B16CF880400C814002000000019"</f>
        <v>22C03B16CF880400C814002000000019</v>
      </c>
      <c r="G5583" s="1" t="s">
        <v>59</v>
      </c>
      <c r="H5583" s="1" t="str">
        <f t="shared" si="1080"/>
        <v>20220927</v>
      </c>
      <c r="I5583" s="1" t="str">
        <f>"072835"</f>
        <v>072835</v>
      </c>
      <c r="J5583" s="1" t="s">
        <v>95</v>
      </c>
      <c r="K5583" s="1" t="s">
        <v>28</v>
      </c>
      <c r="L5583" s="1" t="str">
        <f t="shared" si="1084"/>
        <v>20220927</v>
      </c>
      <c r="M5583" s="1" t="str">
        <f>"073551"</f>
        <v>073551</v>
      </c>
      <c r="N5583" s="1" t="s">
        <v>63</v>
      </c>
      <c r="O5583" s="1" t="s">
        <v>28</v>
      </c>
      <c r="P5583" s="1" t="s">
        <v>55</v>
      </c>
      <c r="Q5583" s="1">
        <v>25</v>
      </c>
      <c r="R5583" s="1">
        <v>0</v>
      </c>
      <c r="S5583" s="1">
        <v>25</v>
      </c>
      <c r="T5583" s="1">
        <v>0</v>
      </c>
      <c r="U5583" s="1">
        <v>0</v>
      </c>
      <c r="V5583" s="1" t="str">
        <f t="shared" si="1083"/>
        <v>里程返程</v>
      </c>
      <c r="W5583" s="1" t="str">
        <f>"0620"</f>
        <v>0620</v>
      </c>
      <c r="X5583" s="1" t="s">
        <v>29</v>
      </c>
    </row>
    <row r="5584" spans="1:24" x14ac:dyDescent="0.3">
      <c r="A5584" s="1" t="str">
        <f t="shared" si="1079"/>
        <v>59809</v>
      </c>
      <c r="B5584" s="1" t="s">
        <v>42</v>
      </c>
      <c r="C5584" s="1" t="s">
        <v>43</v>
      </c>
      <c r="D5584" s="1" t="str">
        <f t="shared" si="1082"/>
        <v>9806</v>
      </c>
      <c r="E5584" s="1" t="s">
        <v>49</v>
      </c>
      <c r="F5584" s="1" t="str">
        <f>"1697487813"</f>
        <v>1697487813</v>
      </c>
      <c r="G5584" s="1" t="s">
        <v>33</v>
      </c>
      <c r="H5584" s="1" t="str">
        <f t="shared" si="1080"/>
        <v>20220927</v>
      </c>
      <c r="I5584" s="1" t="str">
        <f>"072838"</f>
        <v>072838</v>
      </c>
      <c r="J5584" s="1" t="s">
        <v>95</v>
      </c>
      <c r="K5584" s="1" t="s">
        <v>28</v>
      </c>
      <c r="L5584" s="1" t="str">
        <f t="shared" si="1084"/>
        <v>20220927</v>
      </c>
      <c r="M5584" s="1" t="str">
        <f>"074158"</f>
        <v>074158</v>
      </c>
      <c r="N5584" s="1" t="s">
        <v>99</v>
      </c>
      <c r="O5584" s="1" t="s">
        <v>28</v>
      </c>
      <c r="P5584" s="1" t="s">
        <v>55</v>
      </c>
      <c r="Q5584" s="1">
        <v>25</v>
      </c>
      <c r="R5584" s="1">
        <v>0</v>
      </c>
      <c r="S5584" s="1">
        <v>25</v>
      </c>
      <c r="T5584" s="1">
        <v>0</v>
      </c>
      <c r="U5584" s="1">
        <v>0</v>
      </c>
      <c r="V5584" s="1" t="str">
        <f t="shared" si="1083"/>
        <v>里程返程</v>
      </c>
      <c r="W5584" s="1" t="str">
        <f>"0820"</f>
        <v>0820</v>
      </c>
      <c r="X5584" s="1" t="s">
        <v>35</v>
      </c>
    </row>
    <row r="5585" spans="1:24" x14ac:dyDescent="0.3">
      <c r="A5585" s="1" t="str">
        <f t="shared" si="1079"/>
        <v>59809</v>
      </c>
      <c r="B5585" s="1" t="s">
        <v>42</v>
      </c>
      <c r="C5585" s="1" t="s">
        <v>111</v>
      </c>
      <c r="D5585" s="1" t="str">
        <f t="shared" si="1082"/>
        <v>9806</v>
      </c>
      <c r="E5585" s="1" t="s">
        <v>49</v>
      </c>
      <c r="F5585" s="1" t="str">
        <f>"7511161863006423"</f>
        <v>7511161863006423</v>
      </c>
      <c r="G5585" s="1" t="s">
        <v>33</v>
      </c>
      <c r="H5585" s="1" t="str">
        <f t="shared" si="1080"/>
        <v>20220927</v>
      </c>
      <c r="I5585" s="1" t="str">
        <f>"072840"</f>
        <v>072840</v>
      </c>
      <c r="J5585" s="1" t="s">
        <v>95</v>
      </c>
      <c r="K5585" s="1" t="s">
        <v>28</v>
      </c>
      <c r="L5585" s="1" t="str">
        <f t="shared" si="1084"/>
        <v>20220927</v>
      </c>
      <c r="M5585" s="1" t="str">
        <f>"074155"</f>
        <v>074155</v>
      </c>
      <c r="N5585" s="1" t="s">
        <v>99</v>
      </c>
      <c r="O5585" s="1" t="s">
        <v>28</v>
      </c>
      <c r="P5585" s="1" t="s">
        <v>55</v>
      </c>
      <c r="Q5585" s="1">
        <v>25</v>
      </c>
      <c r="R5585" s="1">
        <v>25</v>
      </c>
      <c r="S5585" s="1">
        <v>0</v>
      </c>
      <c r="T5585" s="1">
        <v>0</v>
      </c>
      <c r="U5585" s="1">
        <v>0</v>
      </c>
      <c r="V5585" s="1" t="str">
        <f t="shared" si="1083"/>
        <v>里程返程</v>
      </c>
      <c r="W5585" s="1" t="str">
        <f>"088B"</f>
        <v>088B</v>
      </c>
      <c r="X5585" s="1" t="s">
        <v>109</v>
      </c>
    </row>
    <row r="5586" spans="1:24" x14ac:dyDescent="0.3">
      <c r="A5586" s="1" t="str">
        <f t="shared" si="1079"/>
        <v>59809</v>
      </c>
      <c r="B5586" s="1" t="s">
        <v>42</v>
      </c>
      <c r="C5586" s="1" t="s">
        <v>111</v>
      </c>
      <c r="D5586" s="1" t="str">
        <f t="shared" si="1082"/>
        <v>9806</v>
      </c>
      <c r="E5586" s="1" t="s">
        <v>49</v>
      </c>
      <c r="F5586" s="1" t="str">
        <f>"7111220514006728"</f>
        <v>7111220514006728</v>
      </c>
      <c r="G5586" s="1" t="s">
        <v>33</v>
      </c>
      <c r="H5586" s="1" t="str">
        <f t="shared" si="1080"/>
        <v>20220927</v>
      </c>
      <c r="I5586" s="1" t="str">
        <f>"072842"</f>
        <v>072842</v>
      </c>
      <c r="J5586" s="1" t="s">
        <v>95</v>
      </c>
      <c r="K5586" s="1" t="s">
        <v>28</v>
      </c>
      <c r="L5586" s="1" t="str">
        <f t="shared" si="1084"/>
        <v>20220927</v>
      </c>
      <c r="M5586" s="1" t="str">
        <f>"074200"</f>
        <v>074200</v>
      </c>
      <c r="N5586" s="1" t="s">
        <v>99</v>
      </c>
      <c r="O5586" s="1" t="s">
        <v>28</v>
      </c>
      <c r="P5586" s="1" t="s">
        <v>55</v>
      </c>
      <c r="Q5586" s="1">
        <v>25</v>
      </c>
      <c r="R5586" s="1">
        <v>25</v>
      </c>
      <c r="S5586" s="1">
        <v>0</v>
      </c>
      <c r="T5586" s="1">
        <v>0</v>
      </c>
      <c r="U5586" s="1">
        <v>0</v>
      </c>
      <c r="V5586" s="1" t="str">
        <f t="shared" si="1083"/>
        <v>里程返程</v>
      </c>
      <c r="W5586" s="1" t="str">
        <f>"088B"</f>
        <v>088B</v>
      </c>
      <c r="X5586" s="1" t="s">
        <v>109</v>
      </c>
    </row>
    <row r="5587" spans="1:24" x14ac:dyDescent="0.3">
      <c r="A5587" s="1" t="str">
        <f t="shared" si="1079"/>
        <v>59809</v>
      </c>
      <c r="B5587" s="1" t="s">
        <v>42</v>
      </c>
      <c r="C5587" s="1" t="s">
        <v>43</v>
      </c>
      <c r="D5587" s="1" t="str">
        <f t="shared" si="1082"/>
        <v>9806</v>
      </c>
      <c r="E5587" s="1" t="s">
        <v>49</v>
      </c>
      <c r="F5587" s="1" t="str">
        <f>"5294A50063880400C801002000000015"</f>
        <v>5294A50063880400C801002000000015</v>
      </c>
      <c r="G5587" s="1" t="s">
        <v>58</v>
      </c>
      <c r="H5587" s="1" t="str">
        <f t="shared" si="1080"/>
        <v>20220927</v>
      </c>
      <c r="I5587" s="1" t="str">
        <f>"072845"</f>
        <v>072845</v>
      </c>
      <c r="J5587" s="1" t="s">
        <v>95</v>
      </c>
      <c r="K5587" s="1" t="s">
        <v>28</v>
      </c>
      <c r="L5587" s="1" t="str">
        <f t="shared" si="1084"/>
        <v>20220927</v>
      </c>
      <c r="M5587" s="1" t="str">
        <f>"074202"</f>
        <v>074202</v>
      </c>
      <c r="N5587" s="1" t="s">
        <v>99</v>
      </c>
      <c r="O5587" s="1" t="s">
        <v>28</v>
      </c>
      <c r="P5587" s="1" t="s">
        <v>55</v>
      </c>
      <c r="Q5587" s="1">
        <v>25</v>
      </c>
      <c r="R5587" s="1">
        <v>0</v>
      </c>
      <c r="S5587" s="1">
        <v>25</v>
      </c>
      <c r="T5587" s="1">
        <v>0</v>
      </c>
      <c r="U5587" s="1">
        <v>0</v>
      </c>
      <c r="V5587" s="1" t="str">
        <f t="shared" si="1083"/>
        <v>里程返程</v>
      </c>
      <c r="W5587" s="1" t="str">
        <f>"0620"</f>
        <v>0620</v>
      </c>
      <c r="X5587" s="1" t="s">
        <v>29</v>
      </c>
    </row>
    <row r="5588" spans="1:24" x14ac:dyDescent="0.3">
      <c r="A5588" s="1" t="str">
        <f t="shared" si="1079"/>
        <v>59809</v>
      </c>
      <c r="B5588" s="1" t="s">
        <v>42</v>
      </c>
      <c r="C5588" s="1" t="s">
        <v>43</v>
      </c>
      <c r="D5588" s="1" t="str">
        <f t="shared" ref="D5588:D5600" si="1085">"9803"</f>
        <v>9803</v>
      </c>
      <c r="E5588" s="1" t="s">
        <v>32</v>
      </c>
      <c r="F5588" s="1" t="str">
        <f>"1772423665"</f>
        <v>1772423665</v>
      </c>
      <c r="G5588" s="1" t="s">
        <v>33</v>
      </c>
      <c r="H5588" s="1" t="str">
        <f t="shared" si="1080"/>
        <v>20220927</v>
      </c>
      <c r="I5588" s="1" t="str">
        <f>"080835"</f>
        <v>080835</v>
      </c>
      <c r="J5588" s="1" t="s">
        <v>28</v>
      </c>
      <c r="K5588" s="1" t="s">
        <v>28</v>
      </c>
      <c r="L5588" s="1" t="str">
        <f t="shared" si="1084"/>
        <v>20220927</v>
      </c>
      <c r="M5588" s="1" t="str">
        <f>"082811"</f>
        <v>082811</v>
      </c>
      <c r="N5588" s="1" t="s">
        <v>34</v>
      </c>
      <c r="O5588" s="1" t="s">
        <v>34</v>
      </c>
      <c r="P5588" s="1" t="s">
        <v>55</v>
      </c>
      <c r="Q5588" s="1">
        <v>25</v>
      </c>
      <c r="R5588" s="1">
        <v>25</v>
      </c>
      <c r="S5588" s="1">
        <v>0</v>
      </c>
      <c r="T5588" s="1">
        <v>0</v>
      </c>
      <c r="U5588" s="1">
        <v>0</v>
      </c>
      <c r="V5588" s="1" t="str">
        <f t="shared" ref="V5588:V5598" si="1086">"里程去程"</f>
        <v>里程去程</v>
      </c>
      <c r="W5588" s="1" t="str">
        <f>"0820"</f>
        <v>0820</v>
      </c>
      <c r="X5588" s="1" t="s">
        <v>35</v>
      </c>
    </row>
    <row r="5589" spans="1:24" x14ac:dyDescent="0.3">
      <c r="A5589" s="1" t="str">
        <f t="shared" si="1079"/>
        <v>59809</v>
      </c>
      <c r="B5589" s="1" t="s">
        <v>42</v>
      </c>
      <c r="C5589" s="1" t="s">
        <v>43</v>
      </c>
      <c r="D5589" s="1" t="str">
        <f t="shared" si="1085"/>
        <v>9803</v>
      </c>
      <c r="E5589" s="1" t="s">
        <v>32</v>
      </c>
      <c r="F5589" s="1" t="str">
        <f>"1777198517"</f>
        <v>1777198517</v>
      </c>
      <c r="G5589" s="1" t="s">
        <v>33</v>
      </c>
      <c r="H5589" s="1" t="str">
        <f t="shared" si="1080"/>
        <v>20220927</v>
      </c>
      <c r="I5589" s="1" t="str">
        <f>"080848"</f>
        <v>080848</v>
      </c>
      <c r="J5589" s="1" t="s">
        <v>28</v>
      </c>
      <c r="K5589" s="1" t="s">
        <v>28</v>
      </c>
      <c r="L5589" s="1" t="str">
        <f t="shared" si="1084"/>
        <v>20220927</v>
      </c>
      <c r="M5589" s="1" t="str">
        <f>"082808"</f>
        <v>082808</v>
      </c>
      <c r="N5589" s="1" t="s">
        <v>34</v>
      </c>
      <c r="O5589" s="1" t="s">
        <v>34</v>
      </c>
      <c r="P5589" s="1" t="s">
        <v>55</v>
      </c>
      <c r="Q5589" s="1">
        <v>25</v>
      </c>
      <c r="R5589" s="1">
        <v>0</v>
      </c>
      <c r="S5589" s="1">
        <v>25</v>
      </c>
      <c r="T5589" s="1">
        <v>0</v>
      </c>
      <c r="U5589" s="1">
        <v>0</v>
      </c>
      <c r="V5589" s="1" t="str">
        <f t="shared" si="1086"/>
        <v>里程去程</v>
      </c>
      <c r="W5589" s="1" t="str">
        <f>"0820"</f>
        <v>0820</v>
      </c>
      <c r="X5589" s="1" t="s">
        <v>35</v>
      </c>
    </row>
    <row r="5590" spans="1:24" x14ac:dyDescent="0.3">
      <c r="A5590" s="1" t="str">
        <f t="shared" si="1079"/>
        <v>59809</v>
      </c>
      <c r="B5590" s="1" t="s">
        <v>42</v>
      </c>
      <c r="C5590" s="1" t="s">
        <v>43</v>
      </c>
      <c r="D5590" s="1" t="str">
        <f t="shared" si="1085"/>
        <v>9803</v>
      </c>
      <c r="E5590" s="1" t="s">
        <v>32</v>
      </c>
      <c r="F5590" s="1" t="str">
        <f>"8E8EB3CE7D88040047C13639CA002010"</f>
        <v>8E8EB3CE7D88040047C13639CA002010</v>
      </c>
      <c r="G5590" s="1" t="s">
        <v>59</v>
      </c>
      <c r="H5590" s="1" t="str">
        <f t="shared" si="1080"/>
        <v>20220927</v>
      </c>
      <c r="I5590" s="1" t="str">
        <f>"080856"</f>
        <v>080856</v>
      </c>
      <c r="J5590" s="1" t="s">
        <v>28</v>
      </c>
      <c r="K5590" s="1" t="s">
        <v>28</v>
      </c>
      <c r="L5590" s="1" t="str">
        <f t="shared" si="1084"/>
        <v>20220927</v>
      </c>
      <c r="M5590" s="1" t="str">
        <f>"082818"</f>
        <v>082818</v>
      </c>
      <c r="N5590" s="1" t="s">
        <v>34</v>
      </c>
      <c r="O5590" s="1" t="s">
        <v>34</v>
      </c>
      <c r="P5590" s="1" t="s">
        <v>55</v>
      </c>
      <c r="Q5590" s="1">
        <v>25</v>
      </c>
      <c r="R5590" s="1">
        <v>0</v>
      </c>
      <c r="S5590" s="1">
        <v>25</v>
      </c>
      <c r="T5590" s="1">
        <v>0</v>
      </c>
      <c r="U5590" s="1">
        <v>0</v>
      </c>
      <c r="V5590" s="1" t="str">
        <f t="shared" si="1086"/>
        <v>里程去程</v>
      </c>
      <c r="W5590" s="1" t="str">
        <f>"0620"</f>
        <v>0620</v>
      </c>
      <c r="X5590" s="1" t="s">
        <v>29</v>
      </c>
    </row>
    <row r="5591" spans="1:24" x14ac:dyDescent="0.3">
      <c r="A5591" s="1" t="str">
        <f t="shared" si="1079"/>
        <v>59809</v>
      </c>
      <c r="B5591" s="1" t="s">
        <v>42</v>
      </c>
      <c r="C5591" s="1" t="s">
        <v>43</v>
      </c>
      <c r="D5591" s="1" t="str">
        <f t="shared" si="1085"/>
        <v>9803</v>
      </c>
      <c r="E5591" s="1" t="s">
        <v>32</v>
      </c>
      <c r="F5591" s="1" t="str">
        <f>"813409793"</f>
        <v>813409793</v>
      </c>
      <c r="G5591" s="1" t="s">
        <v>38</v>
      </c>
      <c r="H5591" s="1" t="str">
        <f t="shared" si="1080"/>
        <v>20220927</v>
      </c>
      <c r="I5591" s="1" t="str">
        <f>"080902"</f>
        <v>080902</v>
      </c>
      <c r="J5591" s="1" t="s">
        <v>28</v>
      </c>
      <c r="K5591" s="1" t="s">
        <v>28</v>
      </c>
      <c r="L5591" s="1" t="str">
        <f t="shared" si="1084"/>
        <v>20220927</v>
      </c>
      <c r="M5591" s="1" t="str">
        <f>"082805"</f>
        <v>082805</v>
      </c>
      <c r="N5591" s="1" t="s">
        <v>34</v>
      </c>
      <c r="O5591" s="1" t="s">
        <v>34</v>
      </c>
      <c r="P5591" s="1" t="s">
        <v>55</v>
      </c>
      <c r="Q5591" s="1">
        <v>25</v>
      </c>
      <c r="R5591" s="1">
        <v>25</v>
      </c>
      <c r="S5591" s="1">
        <v>0</v>
      </c>
      <c r="T5591" s="1">
        <v>0</v>
      </c>
      <c r="U5591" s="1">
        <v>0</v>
      </c>
      <c r="V5591" s="1" t="str">
        <f t="shared" si="1086"/>
        <v>里程去程</v>
      </c>
      <c r="W5591" s="1" t="str">
        <f>"0920"</f>
        <v>0920</v>
      </c>
      <c r="X5591" s="1" t="s">
        <v>35</v>
      </c>
    </row>
    <row r="5592" spans="1:24" x14ac:dyDescent="0.3">
      <c r="A5592" s="1" t="str">
        <f t="shared" si="1079"/>
        <v>59809</v>
      </c>
      <c r="B5592" s="1" t="s">
        <v>42</v>
      </c>
      <c r="C5592" s="1" t="s">
        <v>43</v>
      </c>
      <c r="D5592" s="1" t="str">
        <f t="shared" si="1085"/>
        <v>9803</v>
      </c>
      <c r="E5592" s="1" t="s">
        <v>32</v>
      </c>
      <c r="F5592" s="1" t="str">
        <f>"1077327217"</f>
        <v>1077327217</v>
      </c>
      <c r="G5592" s="1" t="s">
        <v>33</v>
      </c>
      <c r="H5592" s="1" t="str">
        <f t="shared" si="1080"/>
        <v>20220927</v>
      </c>
      <c r="I5592" s="1" t="str">
        <f>"080920"</f>
        <v>080920</v>
      </c>
      <c r="J5592" s="1" t="s">
        <v>28</v>
      </c>
      <c r="K5592" s="1" t="s">
        <v>28</v>
      </c>
      <c r="L5592" s="1" t="str">
        <f t="shared" si="1084"/>
        <v>20220927</v>
      </c>
      <c r="M5592" s="1" t="str">
        <f>"082757"</f>
        <v>082757</v>
      </c>
      <c r="N5592" s="1" t="s">
        <v>34</v>
      </c>
      <c r="O5592" s="1" t="s">
        <v>34</v>
      </c>
      <c r="P5592" s="1" t="s">
        <v>55</v>
      </c>
      <c r="Q5592" s="1">
        <v>25</v>
      </c>
      <c r="R5592" s="1">
        <v>25</v>
      </c>
      <c r="S5592" s="1">
        <v>0</v>
      </c>
      <c r="T5592" s="1">
        <v>0</v>
      </c>
      <c r="U5592" s="1">
        <v>0</v>
      </c>
      <c r="V5592" s="1" t="str">
        <f t="shared" si="1086"/>
        <v>里程去程</v>
      </c>
      <c r="W5592" s="1" t="str">
        <f>"1620"</f>
        <v>1620</v>
      </c>
      <c r="X5592" s="1" t="s">
        <v>35</v>
      </c>
    </row>
    <row r="5593" spans="1:24" x14ac:dyDescent="0.3">
      <c r="A5593" s="1" t="str">
        <f t="shared" si="1079"/>
        <v>59809</v>
      </c>
      <c r="B5593" s="1" t="s">
        <v>42</v>
      </c>
      <c r="C5593" s="1" t="s">
        <v>43</v>
      </c>
      <c r="D5593" s="1" t="str">
        <f t="shared" si="1085"/>
        <v>9803</v>
      </c>
      <c r="E5593" s="1" t="s">
        <v>32</v>
      </c>
      <c r="F5593" s="1" t="str">
        <f>"946134949"</f>
        <v>946134949</v>
      </c>
      <c r="G5593" s="1" t="s">
        <v>33</v>
      </c>
      <c r="H5593" s="1" t="str">
        <f t="shared" si="1080"/>
        <v>20220927</v>
      </c>
      <c r="I5593" s="1" t="str">
        <f>"095136"</f>
        <v>095136</v>
      </c>
      <c r="J5593" s="1" t="s">
        <v>28</v>
      </c>
      <c r="K5593" s="1" t="s">
        <v>28</v>
      </c>
      <c r="L5593" s="1" t="str">
        <f t="shared" si="1084"/>
        <v>20220927</v>
      </c>
      <c r="M5593" s="1" t="str">
        <f>"101046"</f>
        <v>101046</v>
      </c>
      <c r="N5593" s="1" t="s">
        <v>34</v>
      </c>
      <c r="O5593" s="1" t="s">
        <v>34</v>
      </c>
      <c r="P5593" s="1" t="s">
        <v>55</v>
      </c>
      <c r="Q5593" s="1">
        <v>25</v>
      </c>
      <c r="R5593" s="1">
        <v>25</v>
      </c>
      <c r="S5593" s="1">
        <v>0</v>
      </c>
      <c r="T5593" s="1">
        <v>0</v>
      </c>
      <c r="U5593" s="1">
        <v>0</v>
      </c>
      <c r="V5593" s="1" t="str">
        <f t="shared" si="1086"/>
        <v>里程去程</v>
      </c>
      <c r="W5593" s="1" t="str">
        <f>"0620"</f>
        <v>0620</v>
      </c>
      <c r="X5593" s="1" t="s">
        <v>35</v>
      </c>
    </row>
    <row r="5594" spans="1:24" x14ac:dyDescent="0.3">
      <c r="A5594" s="1" t="str">
        <f t="shared" si="1079"/>
        <v>59809</v>
      </c>
      <c r="B5594" s="1" t="s">
        <v>42</v>
      </c>
      <c r="C5594" s="1" t="s">
        <v>43</v>
      </c>
      <c r="D5594" s="1" t="str">
        <f t="shared" si="1085"/>
        <v>9803</v>
      </c>
      <c r="E5594" s="1" t="s">
        <v>32</v>
      </c>
      <c r="F5594" s="1" t="str">
        <f>"1879887440"</f>
        <v>1879887440</v>
      </c>
      <c r="G5594" s="1" t="s">
        <v>33</v>
      </c>
      <c r="H5594" s="1" t="str">
        <f t="shared" si="1080"/>
        <v>20220927</v>
      </c>
      <c r="I5594" s="1" t="str">
        <f>"095151"</f>
        <v>095151</v>
      </c>
      <c r="J5594" s="1" t="s">
        <v>28</v>
      </c>
      <c r="K5594" s="1" t="s">
        <v>28</v>
      </c>
      <c r="L5594" s="1" t="str">
        <f t="shared" si="1084"/>
        <v>20220927</v>
      </c>
      <c r="M5594" s="1" t="str">
        <f>"101049"</f>
        <v>101049</v>
      </c>
      <c r="N5594" s="1" t="s">
        <v>34</v>
      </c>
      <c r="O5594" s="1" t="s">
        <v>34</v>
      </c>
      <c r="P5594" s="1" t="s">
        <v>55</v>
      </c>
      <c r="Q5594" s="1">
        <v>25</v>
      </c>
      <c r="R5594" s="1">
        <v>25</v>
      </c>
      <c r="S5594" s="1">
        <v>0</v>
      </c>
      <c r="T5594" s="1">
        <v>0</v>
      </c>
      <c r="U5594" s="1">
        <v>0</v>
      </c>
      <c r="V5594" s="1" t="str">
        <f t="shared" si="1086"/>
        <v>里程去程</v>
      </c>
      <c r="W5594" s="1" t="str">
        <f>"0120"</f>
        <v>0120</v>
      </c>
      <c r="X5594" s="1" t="s">
        <v>35</v>
      </c>
    </row>
    <row r="5595" spans="1:24" x14ac:dyDescent="0.3">
      <c r="A5595" s="1" t="str">
        <f t="shared" si="1079"/>
        <v>59809</v>
      </c>
      <c r="B5595" s="1" t="s">
        <v>42</v>
      </c>
      <c r="C5595" s="1" t="s">
        <v>43</v>
      </c>
      <c r="D5595" s="1" t="str">
        <f t="shared" si="1085"/>
        <v>9803</v>
      </c>
      <c r="E5595" s="1" t="s">
        <v>32</v>
      </c>
      <c r="F5595" s="1" t="str">
        <f>"9167EB607D2804001C00000000000000"</f>
        <v>9167EB607D2804001C00000000000000</v>
      </c>
      <c r="G5595" s="1" t="s">
        <v>58</v>
      </c>
      <c r="H5595" s="1" t="str">
        <f t="shared" si="1080"/>
        <v>20220927</v>
      </c>
      <c r="I5595" s="1" t="str">
        <f>"095155"</f>
        <v>095155</v>
      </c>
      <c r="J5595" s="1" t="s">
        <v>28</v>
      </c>
      <c r="K5595" s="1" t="s">
        <v>28</v>
      </c>
      <c r="L5595" s="1" t="str">
        <f t="shared" si="1084"/>
        <v>20220927</v>
      </c>
      <c r="M5595" s="1" t="str">
        <f>"101101"</f>
        <v>101101</v>
      </c>
      <c r="N5595" s="1" t="s">
        <v>34</v>
      </c>
      <c r="O5595" s="1" t="s">
        <v>34</v>
      </c>
      <c r="P5595" s="1" t="s">
        <v>55</v>
      </c>
      <c r="Q5595" s="1">
        <v>25</v>
      </c>
      <c r="R5595" s="1">
        <v>0</v>
      </c>
      <c r="S5595" s="1">
        <v>25</v>
      </c>
      <c r="T5595" s="1">
        <v>0</v>
      </c>
      <c r="U5595" s="1">
        <v>0</v>
      </c>
      <c r="V5595" s="1" t="str">
        <f t="shared" si="1086"/>
        <v>里程去程</v>
      </c>
      <c r="W5595" s="1" t="str">
        <f>"0620"</f>
        <v>0620</v>
      </c>
      <c r="X5595" s="1" t="s">
        <v>29</v>
      </c>
    </row>
    <row r="5596" spans="1:24" x14ac:dyDescent="0.3">
      <c r="A5596" s="1" t="str">
        <f t="shared" si="1079"/>
        <v>59809</v>
      </c>
      <c r="B5596" s="1" t="s">
        <v>42</v>
      </c>
      <c r="C5596" s="1" t="s">
        <v>43</v>
      </c>
      <c r="D5596" s="1" t="str">
        <f t="shared" si="1085"/>
        <v>9803</v>
      </c>
      <c r="E5596" s="1" t="s">
        <v>32</v>
      </c>
      <c r="F5596" s="1" t="str">
        <f>"1718860085"</f>
        <v>1718860085</v>
      </c>
      <c r="G5596" s="1" t="s">
        <v>33</v>
      </c>
      <c r="H5596" s="1" t="str">
        <f t="shared" si="1080"/>
        <v>20220927</v>
      </c>
      <c r="I5596" s="1" t="str">
        <f>"095205"</f>
        <v>095205</v>
      </c>
      <c r="J5596" s="1" t="s">
        <v>28</v>
      </c>
      <c r="K5596" s="1" t="s">
        <v>28</v>
      </c>
      <c r="L5596" s="1" t="str">
        <f t="shared" si="1084"/>
        <v>20220927</v>
      </c>
      <c r="M5596" s="1" t="str">
        <f>"101053"</f>
        <v>101053</v>
      </c>
      <c r="N5596" s="1" t="s">
        <v>34</v>
      </c>
      <c r="O5596" s="1" t="s">
        <v>34</v>
      </c>
      <c r="P5596" s="1" t="s">
        <v>55</v>
      </c>
      <c r="Q5596" s="1">
        <v>25</v>
      </c>
      <c r="R5596" s="1">
        <v>25</v>
      </c>
      <c r="S5596" s="1">
        <v>0</v>
      </c>
      <c r="T5596" s="1">
        <v>0</v>
      </c>
      <c r="U5596" s="1">
        <v>0</v>
      </c>
      <c r="V5596" s="1" t="str">
        <f t="shared" si="1086"/>
        <v>里程去程</v>
      </c>
      <c r="W5596" s="1" t="str">
        <f>"0120"</f>
        <v>0120</v>
      </c>
      <c r="X5596" s="1" t="s">
        <v>35</v>
      </c>
    </row>
    <row r="5597" spans="1:24" x14ac:dyDescent="0.3">
      <c r="A5597" s="1" t="str">
        <f t="shared" si="1079"/>
        <v>59809</v>
      </c>
      <c r="B5597" s="1" t="s">
        <v>42</v>
      </c>
      <c r="C5597" s="1" t="s">
        <v>43</v>
      </c>
      <c r="D5597" s="1" t="str">
        <f t="shared" si="1085"/>
        <v>9803</v>
      </c>
      <c r="E5597" s="1" t="s">
        <v>32</v>
      </c>
      <c r="F5597" s="1" t="str">
        <f>"683260421"</f>
        <v>683260421</v>
      </c>
      <c r="G5597" s="1" t="s">
        <v>33</v>
      </c>
      <c r="H5597" s="1" t="str">
        <f t="shared" si="1080"/>
        <v>20220927</v>
      </c>
      <c r="I5597" s="1" t="str">
        <f>"095210"</f>
        <v>095210</v>
      </c>
      <c r="J5597" s="1" t="s">
        <v>28</v>
      </c>
      <c r="K5597" s="1" t="s">
        <v>28</v>
      </c>
      <c r="L5597" s="1" t="str">
        <f t="shared" si="1084"/>
        <v>20220927</v>
      </c>
      <c r="M5597" s="1" t="str">
        <f>"101055"</f>
        <v>101055</v>
      </c>
      <c r="N5597" s="1" t="s">
        <v>34</v>
      </c>
      <c r="O5597" s="1" t="s">
        <v>34</v>
      </c>
      <c r="P5597" s="1" t="s">
        <v>55</v>
      </c>
      <c r="Q5597" s="1">
        <v>25</v>
      </c>
      <c r="R5597" s="1">
        <v>25</v>
      </c>
      <c r="S5597" s="1">
        <v>0</v>
      </c>
      <c r="T5597" s="1">
        <v>0</v>
      </c>
      <c r="U5597" s="1">
        <v>0</v>
      </c>
      <c r="V5597" s="1" t="str">
        <f t="shared" si="1086"/>
        <v>里程去程</v>
      </c>
      <c r="W5597" s="1" t="str">
        <f>"1120"</f>
        <v>1120</v>
      </c>
      <c r="X5597" s="1" t="s">
        <v>35</v>
      </c>
    </row>
    <row r="5598" spans="1:24" x14ac:dyDescent="0.3">
      <c r="A5598" s="1" t="str">
        <f t="shared" si="1079"/>
        <v>59809</v>
      </c>
      <c r="B5598" s="1" t="s">
        <v>42</v>
      </c>
      <c r="C5598" s="1" t="s">
        <v>43</v>
      </c>
      <c r="D5598" s="1" t="str">
        <f t="shared" si="1085"/>
        <v>9803</v>
      </c>
      <c r="E5598" s="1" t="s">
        <v>32</v>
      </c>
      <c r="F5598" s="1" t="str">
        <f>"645616737"</f>
        <v>645616737</v>
      </c>
      <c r="G5598" s="1" t="s">
        <v>33</v>
      </c>
      <c r="H5598" s="1" t="str">
        <f t="shared" si="1080"/>
        <v>20220927</v>
      </c>
      <c r="I5598" s="1" t="str">
        <f>"100115"</f>
        <v>100115</v>
      </c>
      <c r="J5598" s="1" t="s">
        <v>46</v>
      </c>
      <c r="K5598" s="1" t="s">
        <v>28</v>
      </c>
      <c r="L5598" s="1" t="str">
        <f t="shared" si="1084"/>
        <v>20220927</v>
      </c>
      <c r="M5598" s="1" t="str">
        <f>"101109"</f>
        <v>101109</v>
      </c>
      <c r="N5598" s="1" t="s">
        <v>34</v>
      </c>
      <c r="O5598" s="1" t="s">
        <v>34</v>
      </c>
      <c r="P5598" s="1" t="s">
        <v>55</v>
      </c>
      <c r="Q5598" s="1">
        <v>25</v>
      </c>
      <c r="R5598" s="1">
        <v>25</v>
      </c>
      <c r="S5598" s="1">
        <v>0</v>
      </c>
      <c r="T5598" s="1">
        <v>0</v>
      </c>
      <c r="U5598" s="1">
        <v>0</v>
      </c>
      <c r="V5598" s="1" t="str">
        <f t="shared" si="1086"/>
        <v>里程去程</v>
      </c>
      <c r="W5598" s="1" t="str">
        <f>"2120"</f>
        <v>2120</v>
      </c>
      <c r="X5598" s="1" t="s">
        <v>35</v>
      </c>
    </row>
    <row r="5599" spans="1:24" x14ac:dyDescent="0.3">
      <c r="A5599" s="1" t="str">
        <f t="shared" si="1079"/>
        <v>59809</v>
      </c>
      <c r="B5599" s="1" t="s">
        <v>42</v>
      </c>
      <c r="C5599" s="1" t="s">
        <v>43</v>
      </c>
      <c r="D5599" s="1" t="str">
        <f t="shared" si="1085"/>
        <v>9803</v>
      </c>
      <c r="E5599" s="1" t="s">
        <v>32</v>
      </c>
      <c r="F5599" s="1" t="str">
        <f>"994316549"</f>
        <v>994316549</v>
      </c>
      <c r="G5599" s="1" t="s">
        <v>26</v>
      </c>
      <c r="H5599" s="1" t="str">
        <f t="shared" si="1080"/>
        <v>20220927</v>
      </c>
      <c r="I5599" s="1" t="str">
        <f>"105348"</f>
        <v>105348</v>
      </c>
      <c r="J5599" s="1" t="s">
        <v>46</v>
      </c>
      <c r="K5599" s="1" t="s">
        <v>28</v>
      </c>
      <c r="L5599" s="1" t="str">
        <f t="shared" si="1084"/>
        <v>20220927</v>
      </c>
      <c r="M5599" s="1" t="str">
        <f>"110603"</f>
        <v>110603</v>
      </c>
      <c r="N5599" s="1" t="s">
        <v>28</v>
      </c>
      <c r="O5599" s="1" t="s">
        <v>28</v>
      </c>
      <c r="P5599" s="1" t="s">
        <v>55</v>
      </c>
      <c r="Q5599" s="1">
        <v>13</v>
      </c>
      <c r="R5599" s="1">
        <v>0</v>
      </c>
      <c r="S5599" s="1">
        <v>13</v>
      </c>
      <c r="T5599" s="1">
        <v>0</v>
      </c>
      <c r="U5599" s="1">
        <v>0</v>
      </c>
      <c r="V5599" s="1" t="str">
        <f>"里程返程"</f>
        <v>里程返程</v>
      </c>
      <c r="W5599" s="1" t="str">
        <f>"2020"</f>
        <v>2020</v>
      </c>
      <c r="X5599" s="1" t="s">
        <v>35</v>
      </c>
    </row>
    <row r="5600" spans="1:24" x14ac:dyDescent="0.3">
      <c r="A5600" s="1" t="str">
        <f t="shared" si="1079"/>
        <v>59809</v>
      </c>
      <c r="B5600" s="1" t="s">
        <v>42</v>
      </c>
      <c r="C5600" s="1" t="s">
        <v>43</v>
      </c>
      <c r="D5600" s="1" t="str">
        <f t="shared" si="1085"/>
        <v>9803</v>
      </c>
      <c r="E5600" s="1" t="s">
        <v>32</v>
      </c>
      <c r="F5600" s="1" t="str">
        <f>"1241063925"</f>
        <v>1241063925</v>
      </c>
      <c r="G5600" s="1" t="s">
        <v>26</v>
      </c>
      <c r="H5600" s="1" t="str">
        <f t="shared" si="1080"/>
        <v>20220927</v>
      </c>
      <c r="I5600" s="1" t="str">
        <f>"105402"</f>
        <v>105402</v>
      </c>
      <c r="J5600" s="1" t="s">
        <v>46</v>
      </c>
      <c r="K5600" s="1" t="s">
        <v>28</v>
      </c>
      <c r="L5600" s="1" t="str">
        <f t="shared" si="1084"/>
        <v>20220927</v>
      </c>
      <c r="M5600" s="1" t="str">
        <f>"110608"</f>
        <v>110608</v>
      </c>
      <c r="N5600" s="1" t="s">
        <v>28</v>
      </c>
      <c r="O5600" s="1" t="s">
        <v>28</v>
      </c>
      <c r="P5600" s="1" t="s">
        <v>55</v>
      </c>
      <c r="Q5600" s="1">
        <v>13</v>
      </c>
      <c r="R5600" s="1">
        <v>0</v>
      </c>
      <c r="S5600" s="1">
        <v>13</v>
      </c>
      <c r="T5600" s="1">
        <v>0</v>
      </c>
      <c r="U5600" s="1">
        <v>0</v>
      </c>
      <c r="V5600" s="1" t="str">
        <f>"里程返程"</f>
        <v>里程返程</v>
      </c>
      <c r="W5600" s="1" t="str">
        <f>"2020"</f>
        <v>2020</v>
      </c>
      <c r="X5600" s="1" t="s">
        <v>35</v>
      </c>
    </row>
    <row r="5601" spans="1:24" x14ac:dyDescent="0.3">
      <c r="A5601" s="1" t="str">
        <f t="shared" si="1079"/>
        <v>59809</v>
      </c>
      <c r="B5601" s="1" t="s">
        <v>42</v>
      </c>
      <c r="C5601" s="1" t="s">
        <v>43</v>
      </c>
      <c r="D5601" s="1" t="str">
        <f>"9805"</f>
        <v>9805</v>
      </c>
      <c r="E5601" s="1" t="s">
        <v>57</v>
      </c>
      <c r="F5601" s="1" t="str">
        <f>"3894929668"</f>
        <v>3894929668</v>
      </c>
      <c r="G5601" s="1" t="s">
        <v>33</v>
      </c>
      <c r="H5601" s="1" t="str">
        <f t="shared" si="1080"/>
        <v>20220927</v>
      </c>
      <c r="I5601" s="1" t="str">
        <f>"120849"</f>
        <v>120849</v>
      </c>
      <c r="J5601" s="1" t="s">
        <v>28</v>
      </c>
      <c r="K5601" s="1" t="s">
        <v>28</v>
      </c>
      <c r="L5601" s="1" t="str">
        <f t="shared" si="1084"/>
        <v>20220927</v>
      </c>
      <c r="M5601" s="1" t="str">
        <f>"122142"</f>
        <v>122142</v>
      </c>
      <c r="N5601" s="1" t="s">
        <v>62</v>
      </c>
      <c r="O5601" s="1" t="s">
        <v>28</v>
      </c>
      <c r="P5601" s="1" t="s">
        <v>55</v>
      </c>
      <c r="Q5601" s="1">
        <v>25</v>
      </c>
      <c r="R5601" s="1">
        <v>25</v>
      </c>
      <c r="S5601" s="1">
        <v>0</v>
      </c>
      <c r="T5601" s="1">
        <v>0</v>
      </c>
      <c r="U5601" s="1">
        <v>0</v>
      </c>
      <c r="V5601" s="1" t="str">
        <f>"里程去程"</f>
        <v>里程去程</v>
      </c>
      <c r="W5601" s="1" t="str">
        <f>"0620"</f>
        <v>0620</v>
      </c>
      <c r="X5601" s="1" t="s">
        <v>35</v>
      </c>
    </row>
    <row r="5602" spans="1:24" x14ac:dyDescent="0.3">
      <c r="A5602" s="1" t="str">
        <f t="shared" si="1079"/>
        <v>59809</v>
      </c>
      <c r="B5602" s="1" t="s">
        <v>42</v>
      </c>
      <c r="C5602" s="1" t="s">
        <v>43</v>
      </c>
      <c r="D5602" s="1" t="str">
        <f>"9805"</f>
        <v>9805</v>
      </c>
      <c r="E5602" s="1" t="s">
        <v>57</v>
      </c>
      <c r="F5602" s="1" t="str">
        <f>"1106315477"</f>
        <v>1106315477</v>
      </c>
      <c r="G5602" s="1" t="s">
        <v>38</v>
      </c>
      <c r="H5602" s="1" t="str">
        <f t="shared" si="1080"/>
        <v>20220927</v>
      </c>
      <c r="I5602" s="1" t="str">
        <f>"121659"</f>
        <v>121659</v>
      </c>
      <c r="J5602" s="1" t="s">
        <v>79</v>
      </c>
      <c r="K5602" s="1" t="s">
        <v>28</v>
      </c>
      <c r="L5602" s="1" t="str">
        <f t="shared" si="1084"/>
        <v>20220927</v>
      </c>
      <c r="M5602" s="1" t="str">
        <f>"122451"</f>
        <v>122451</v>
      </c>
      <c r="N5602" s="1" t="s">
        <v>52</v>
      </c>
      <c r="O5602" s="1" t="s">
        <v>52</v>
      </c>
      <c r="P5602" s="1" t="s">
        <v>55</v>
      </c>
      <c r="Q5602" s="1">
        <v>25</v>
      </c>
      <c r="R5602" s="1">
        <v>0</v>
      </c>
      <c r="S5602" s="1">
        <v>25</v>
      </c>
      <c r="T5602" s="1">
        <v>0</v>
      </c>
      <c r="U5602" s="1">
        <v>0</v>
      </c>
      <c r="V5602" s="1" t="str">
        <f>"里程去程"</f>
        <v>里程去程</v>
      </c>
      <c r="W5602" s="1" t="str">
        <f>"2120"</f>
        <v>2120</v>
      </c>
      <c r="X5602" s="1" t="s">
        <v>35</v>
      </c>
    </row>
    <row r="5603" spans="1:24" x14ac:dyDescent="0.3">
      <c r="A5603" s="1" t="str">
        <f t="shared" si="1079"/>
        <v>59809</v>
      </c>
      <c r="B5603" s="1" t="s">
        <v>42</v>
      </c>
      <c r="C5603" s="1" t="s">
        <v>43</v>
      </c>
      <c r="D5603" s="1" t="str">
        <f>"9805"</f>
        <v>9805</v>
      </c>
      <c r="E5603" s="1" t="s">
        <v>57</v>
      </c>
      <c r="F5603" s="1" t="str">
        <f>"1261935685"</f>
        <v>1261935685</v>
      </c>
      <c r="G5603" s="1" t="s">
        <v>33</v>
      </c>
      <c r="H5603" s="1" t="str">
        <f t="shared" si="1080"/>
        <v>20220927</v>
      </c>
      <c r="I5603" s="1" t="str">
        <f>"131400"</f>
        <v>131400</v>
      </c>
      <c r="J5603" s="1" t="s">
        <v>62</v>
      </c>
      <c r="K5603" s="1" t="s">
        <v>28</v>
      </c>
      <c r="L5603" s="1" t="str">
        <f t="shared" si="1084"/>
        <v>20220927</v>
      </c>
      <c r="M5603" s="1" t="str">
        <f>"132547"</f>
        <v>132547</v>
      </c>
      <c r="N5603" s="1" t="s">
        <v>28</v>
      </c>
      <c r="O5603" s="1" t="s">
        <v>28</v>
      </c>
      <c r="P5603" s="1" t="s">
        <v>55</v>
      </c>
      <c r="Q5603" s="1">
        <v>25</v>
      </c>
      <c r="R5603" s="1">
        <v>25</v>
      </c>
      <c r="S5603" s="1">
        <v>0</v>
      </c>
      <c r="T5603" s="1">
        <v>0</v>
      </c>
      <c r="U5603" s="1">
        <v>0</v>
      </c>
      <c r="V5603" s="1" t="str">
        <f t="shared" ref="V5603:V5610" si="1087">"里程返程"</f>
        <v>里程返程</v>
      </c>
      <c r="W5603" s="1" t="str">
        <f>"0320"</f>
        <v>0320</v>
      </c>
      <c r="X5603" s="1" t="s">
        <v>35</v>
      </c>
    </row>
    <row r="5604" spans="1:24" x14ac:dyDescent="0.3">
      <c r="A5604" s="1" t="str">
        <f t="shared" si="1079"/>
        <v>59809</v>
      </c>
      <c r="B5604" s="1" t="s">
        <v>42</v>
      </c>
      <c r="C5604" s="1" t="s">
        <v>111</v>
      </c>
      <c r="D5604" s="1" t="str">
        <f t="shared" ref="D5604:D5610" si="1088">"9803"</f>
        <v>9803</v>
      </c>
      <c r="E5604" s="1" t="s">
        <v>32</v>
      </c>
      <c r="F5604" s="1" t="str">
        <f>"9517171007189311"</f>
        <v>9517171007189311</v>
      </c>
      <c r="G5604" s="1" t="s">
        <v>33</v>
      </c>
      <c r="H5604" s="1" t="str">
        <f t="shared" si="1080"/>
        <v>20220927</v>
      </c>
      <c r="I5604" s="1" t="str">
        <f>"135623"</f>
        <v>135623</v>
      </c>
      <c r="J5604" s="1" t="s">
        <v>34</v>
      </c>
      <c r="K5604" s="1" t="s">
        <v>34</v>
      </c>
      <c r="L5604" s="1" t="str">
        <f t="shared" si="1084"/>
        <v>20220927</v>
      </c>
      <c r="M5604" s="1" t="str">
        <f>"142631"</f>
        <v>142631</v>
      </c>
      <c r="N5604" s="1" t="s">
        <v>28</v>
      </c>
      <c r="O5604" s="1" t="s">
        <v>28</v>
      </c>
      <c r="P5604" s="1" t="s">
        <v>55</v>
      </c>
      <c r="Q5604" s="1">
        <v>25</v>
      </c>
      <c r="R5604" s="1">
        <v>25</v>
      </c>
      <c r="S5604" s="1">
        <v>0</v>
      </c>
      <c r="T5604" s="1">
        <v>0</v>
      </c>
      <c r="U5604" s="1">
        <v>0</v>
      </c>
      <c r="V5604" s="1" t="str">
        <f t="shared" si="1087"/>
        <v>里程返程</v>
      </c>
      <c r="W5604" s="1" t="str">
        <f>"3B8B"</f>
        <v>3B8B</v>
      </c>
      <c r="X5604" s="1" t="s">
        <v>109</v>
      </c>
    </row>
    <row r="5605" spans="1:24" x14ac:dyDescent="0.3">
      <c r="A5605" s="1" t="str">
        <f t="shared" si="1079"/>
        <v>59809</v>
      </c>
      <c r="B5605" s="1" t="s">
        <v>42</v>
      </c>
      <c r="C5605" s="1" t="s">
        <v>43</v>
      </c>
      <c r="D5605" s="1" t="str">
        <f t="shared" si="1088"/>
        <v>9803</v>
      </c>
      <c r="E5605" s="1" t="s">
        <v>32</v>
      </c>
      <c r="F5605" s="1" t="str">
        <f>"3492750311"</f>
        <v>3492750311</v>
      </c>
      <c r="G5605" s="1" t="s">
        <v>33</v>
      </c>
      <c r="H5605" s="1" t="str">
        <f t="shared" ref="H5605:H5636" si="1089">"20220927"</f>
        <v>20220927</v>
      </c>
      <c r="I5605" s="1" t="str">
        <f>"135629"</f>
        <v>135629</v>
      </c>
      <c r="J5605" s="1" t="s">
        <v>34</v>
      </c>
      <c r="K5605" s="1" t="s">
        <v>34</v>
      </c>
      <c r="L5605" s="1" t="str">
        <f t="shared" si="1084"/>
        <v>20220927</v>
      </c>
      <c r="M5605" s="1" t="str">
        <f>"142640"</f>
        <v>142640</v>
      </c>
      <c r="N5605" s="1" t="s">
        <v>28</v>
      </c>
      <c r="O5605" s="1" t="s">
        <v>28</v>
      </c>
      <c r="P5605" s="1" t="s">
        <v>55</v>
      </c>
      <c r="Q5605" s="1">
        <v>25</v>
      </c>
      <c r="R5605" s="1">
        <v>25</v>
      </c>
      <c r="S5605" s="1">
        <v>0</v>
      </c>
      <c r="T5605" s="1">
        <v>0</v>
      </c>
      <c r="U5605" s="1">
        <v>0</v>
      </c>
      <c r="V5605" s="1" t="str">
        <f t="shared" si="1087"/>
        <v>里程返程</v>
      </c>
      <c r="W5605" s="1" t="str">
        <f>"2020"</f>
        <v>2020</v>
      </c>
      <c r="X5605" s="1" t="s">
        <v>35</v>
      </c>
    </row>
    <row r="5606" spans="1:24" x14ac:dyDescent="0.3">
      <c r="A5606" s="1" t="str">
        <f t="shared" si="1079"/>
        <v>59809</v>
      </c>
      <c r="B5606" s="1" t="s">
        <v>42</v>
      </c>
      <c r="C5606" s="1" t="s">
        <v>43</v>
      </c>
      <c r="D5606" s="1" t="str">
        <f t="shared" si="1088"/>
        <v>9803</v>
      </c>
      <c r="E5606" s="1" t="s">
        <v>32</v>
      </c>
      <c r="F5606" s="1" t="str">
        <f>"219601141"</f>
        <v>219601141</v>
      </c>
      <c r="G5606" s="1" t="s">
        <v>33</v>
      </c>
      <c r="H5606" s="1" t="str">
        <f t="shared" si="1089"/>
        <v>20220927</v>
      </c>
      <c r="I5606" s="1" t="str">
        <f>"135632"</f>
        <v>135632</v>
      </c>
      <c r="J5606" s="1" t="s">
        <v>34</v>
      </c>
      <c r="K5606" s="1" t="s">
        <v>34</v>
      </c>
      <c r="L5606" s="1" t="str">
        <f t="shared" si="1084"/>
        <v>20220927</v>
      </c>
      <c r="M5606" s="1" t="str">
        <f>"142636"</f>
        <v>142636</v>
      </c>
      <c r="N5606" s="1" t="s">
        <v>28</v>
      </c>
      <c r="O5606" s="1" t="s">
        <v>28</v>
      </c>
      <c r="P5606" s="1" t="s">
        <v>55</v>
      </c>
      <c r="Q5606" s="1">
        <v>25</v>
      </c>
      <c r="R5606" s="1">
        <v>25</v>
      </c>
      <c r="S5606" s="1">
        <v>0</v>
      </c>
      <c r="T5606" s="1">
        <v>0</v>
      </c>
      <c r="U5606" s="1">
        <v>0</v>
      </c>
      <c r="V5606" s="1" t="str">
        <f t="shared" si="1087"/>
        <v>里程返程</v>
      </c>
      <c r="W5606" s="1" t="str">
        <f>"2020"</f>
        <v>2020</v>
      </c>
      <c r="X5606" s="1" t="s">
        <v>35</v>
      </c>
    </row>
    <row r="5607" spans="1:24" x14ac:dyDescent="0.3">
      <c r="A5607" s="1" t="str">
        <f t="shared" si="1079"/>
        <v>59809</v>
      </c>
      <c r="B5607" s="1" t="s">
        <v>42</v>
      </c>
      <c r="C5607" s="1" t="s">
        <v>43</v>
      </c>
      <c r="D5607" s="1" t="str">
        <f t="shared" si="1088"/>
        <v>9803</v>
      </c>
      <c r="E5607" s="1" t="s">
        <v>32</v>
      </c>
      <c r="F5607" s="1" t="str">
        <f>"406662017"</f>
        <v>406662017</v>
      </c>
      <c r="G5607" s="1" t="s">
        <v>33</v>
      </c>
      <c r="H5607" s="1" t="str">
        <f t="shared" si="1089"/>
        <v>20220927</v>
      </c>
      <c r="I5607" s="1" t="str">
        <f>"135637"</f>
        <v>135637</v>
      </c>
      <c r="J5607" s="1" t="s">
        <v>34</v>
      </c>
      <c r="K5607" s="1" t="s">
        <v>34</v>
      </c>
      <c r="L5607" s="1" t="str">
        <f t="shared" si="1084"/>
        <v>20220927</v>
      </c>
      <c r="M5607" s="1" t="str">
        <f>"142622"</f>
        <v>142622</v>
      </c>
      <c r="N5607" s="1" t="s">
        <v>28</v>
      </c>
      <c r="O5607" s="1" t="s">
        <v>28</v>
      </c>
      <c r="P5607" s="1" t="s">
        <v>55</v>
      </c>
      <c r="Q5607" s="1">
        <v>25</v>
      </c>
      <c r="R5607" s="1">
        <v>25</v>
      </c>
      <c r="S5607" s="1">
        <v>0</v>
      </c>
      <c r="T5607" s="1">
        <v>0</v>
      </c>
      <c r="U5607" s="1">
        <v>0</v>
      </c>
      <c r="V5607" s="1" t="str">
        <f t="shared" si="1087"/>
        <v>里程返程</v>
      </c>
      <c r="W5607" s="1" t="str">
        <f>"2020"</f>
        <v>2020</v>
      </c>
      <c r="X5607" s="1" t="s">
        <v>35</v>
      </c>
    </row>
    <row r="5608" spans="1:24" x14ac:dyDescent="0.3">
      <c r="A5608" s="1" t="str">
        <f t="shared" si="1079"/>
        <v>59809</v>
      </c>
      <c r="B5608" s="1" t="s">
        <v>42</v>
      </c>
      <c r="C5608" s="1" t="s">
        <v>43</v>
      </c>
      <c r="D5608" s="1" t="str">
        <f t="shared" si="1088"/>
        <v>9803</v>
      </c>
      <c r="E5608" s="1" t="s">
        <v>32</v>
      </c>
      <c r="F5608" s="1" t="str">
        <f>"226629793"</f>
        <v>226629793</v>
      </c>
      <c r="G5608" s="1" t="s">
        <v>33</v>
      </c>
      <c r="H5608" s="1" t="str">
        <f t="shared" si="1089"/>
        <v>20220927</v>
      </c>
      <c r="I5608" s="1" t="str">
        <f>"135643"</f>
        <v>135643</v>
      </c>
      <c r="J5608" s="1" t="s">
        <v>34</v>
      </c>
      <c r="K5608" s="1" t="s">
        <v>34</v>
      </c>
      <c r="L5608" s="1" t="str">
        <f t="shared" si="1084"/>
        <v>20220927</v>
      </c>
      <c r="M5608" s="1" t="str">
        <f>"142617"</f>
        <v>142617</v>
      </c>
      <c r="N5608" s="1" t="s">
        <v>28</v>
      </c>
      <c r="O5608" s="1" t="s">
        <v>28</v>
      </c>
      <c r="P5608" s="1" t="s">
        <v>55</v>
      </c>
      <c r="Q5608" s="1">
        <v>25</v>
      </c>
      <c r="R5608" s="1">
        <v>25</v>
      </c>
      <c r="S5608" s="1">
        <v>0</v>
      </c>
      <c r="T5608" s="1">
        <v>0</v>
      </c>
      <c r="U5608" s="1">
        <v>0</v>
      </c>
      <c r="V5608" s="1" t="str">
        <f t="shared" si="1087"/>
        <v>里程返程</v>
      </c>
      <c r="W5608" s="1" t="str">
        <f>"2020"</f>
        <v>2020</v>
      </c>
      <c r="X5608" s="1" t="s">
        <v>35</v>
      </c>
    </row>
    <row r="5609" spans="1:24" x14ac:dyDescent="0.3">
      <c r="A5609" s="1" t="str">
        <f t="shared" si="1079"/>
        <v>59809</v>
      </c>
      <c r="B5609" s="1" t="s">
        <v>42</v>
      </c>
      <c r="C5609" s="1" t="s">
        <v>43</v>
      </c>
      <c r="D5609" s="1" t="str">
        <f t="shared" si="1088"/>
        <v>9803</v>
      </c>
      <c r="E5609" s="1" t="s">
        <v>32</v>
      </c>
      <c r="F5609" s="1" t="str">
        <f>"31281B696B2804001C00000000000000"</f>
        <v>31281B696B2804001C00000000000000</v>
      </c>
      <c r="G5609" s="1" t="s">
        <v>58</v>
      </c>
      <c r="H5609" s="1" t="str">
        <f t="shared" si="1089"/>
        <v>20220927</v>
      </c>
      <c r="I5609" s="1" t="str">
        <f>"135646"</f>
        <v>135646</v>
      </c>
      <c r="J5609" s="1" t="s">
        <v>34</v>
      </c>
      <c r="K5609" s="1" t="s">
        <v>34</v>
      </c>
      <c r="L5609" s="1" t="str">
        <f t="shared" si="1084"/>
        <v>20220927</v>
      </c>
      <c r="M5609" s="1" t="str">
        <f>"142627"</f>
        <v>142627</v>
      </c>
      <c r="N5609" s="1" t="s">
        <v>28</v>
      </c>
      <c r="O5609" s="1" t="s">
        <v>28</v>
      </c>
      <c r="P5609" s="1" t="s">
        <v>55</v>
      </c>
      <c r="Q5609" s="1">
        <v>25</v>
      </c>
      <c r="R5609" s="1">
        <v>25</v>
      </c>
      <c r="S5609" s="1">
        <v>0</v>
      </c>
      <c r="T5609" s="1">
        <v>0</v>
      </c>
      <c r="U5609" s="1">
        <v>0</v>
      </c>
      <c r="V5609" s="1" t="str">
        <f t="shared" si="1087"/>
        <v>里程返程</v>
      </c>
      <c r="W5609" s="1" t="str">
        <f>"0020"</f>
        <v>0020</v>
      </c>
      <c r="X5609" s="1" t="s">
        <v>29</v>
      </c>
    </row>
    <row r="5610" spans="1:24" x14ac:dyDescent="0.3">
      <c r="A5610" s="1" t="str">
        <f t="shared" si="1079"/>
        <v>59809</v>
      </c>
      <c r="B5610" s="1" t="s">
        <v>42</v>
      </c>
      <c r="C5610" s="1" t="s">
        <v>43</v>
      </c>
      <c r="D5610" s="1" t="str">
        <f t="shared" si="1088"/>
        <v>9803</v>
      </c>
      <c r="E5610" s="1" t="s">
        <v>32</v>
      </c>
      <c r="F5610" s="1" t="str">
        <f>"1074180257"</f>
        <v>1074180257</v>
      </c>
      <c r="G5610" s="1" t="s">
        <v>33</v>
      </c>
      <c r="H5610" s="1" t="str">
        <f t="shared" si="1089"/>
        <v>20220927</v>
      </c>
      <c r="I5610" s="1" t="str">
        <f>"135651"</f>
        <v>135651</v>
      </c>
      <c r="J5610" s="1" t="s">
        <v>34</v>
      </c>
      <c r="K5610" s="1" t="s">
        <v>34</v>
      </c>
      <c r="L5610" s="1" t="str">
        <f t="shared" si="1084"/>
        <v>20220927</v>
      </c>
      <c r="M5610" s="1" t="str">
        <f>"142609"</f>
        <v>142609</v>
      </c>
      <c r="N5610" s="1" t="s">
        <v>28</v>
      </c>
      <c r="O5610" s="1" t="s">
        <v>28</v>
      </c>
      <c r="P5610" s="1" t="s">
        <v>55</v>
      </c>
      <c r="Q5610" s="1">
        <v>25</v>
      </c>
      <c r="R5610" s="1">
        <v>25</v>
      </c>
      <c r="S5610" s="1">
        <v>0</v>
      </c>
      <c r="T5610" s="1">
        <v>0</v>
      </c>
      <c r="U5610" s="1">
        <v>0</v>
      </c>
      <c r="V5610" s="1" t="str">
        <f t="shared" si="1087"/>
        <v>里程返程</v>
      </c>
      <c r="W5610" s="1" t="str">
        <f>"0820"</f>
        <v>0820</v>
      </c>
      <c r="X5610" s="1" t="s">
        <v>35</v>
      </c>
    </row>
    <row r="5611" spans="1:24" x14ac:dyDescent="0.3">
      <c r="A5611" s="1" t="str">
        <f t="shared" si="1079"/>
        <v>59809</v>
      </c>
      <c r="B5611" s="1" t="s">
        <v>42</v>
      </c>
      <c r="C5611" s="1" t="s">
        <v>43</v>
      </c>
      <c r="D5611" s="1" t="str">
        <f>"9805"</f>
        <v>9805</v>
      </c>
      <c r="E5611" s="1" t="s">
        <v>57</v>
      </c>
      <c r="F5611" s="1" t="str">
        <f>"459398481"</f>
        <v>459398481</v>
      </c>
      <c r="G5611" s="1" t="s">
        <v>26</v>
      </c>
      <c r="H5611" s="1" t="str">
        <f t="shared" si="1089"/>
        <v>20220927</v>
      </c>
      <c r="I5611" s="1" t="str">
        <f>"151514"</f>
        <v>151514</v>
      </c>
      <c r="J5611" s="1" t="s">
        <v>28</v>
      </c>
      <c r="K5611" s="1" t="s">
        <v>28</v>
      </c>
      <c r="L5611" s="1" t="str">
        <f t="shared" si="1084"/>
        <v>20220927</v>
      </c>
      <c r="M5611" s="1" t="str">
        <f>"153007"</f>
        <v>153007</v>
      </c>
      <c r="N5611" s="1" t="s">
        <v>62</v>
      </c>
      <c r="O5611" s="1" t="s">
        <v>28</v>
      </c>
      <c r="P5611" s="1" t="s">
        <v>55</v>
      </c>
      <c r="Q5611" s="1">
        <v>13</v>
      </c>
      <c r="R5611" s="1">
        <v>13</v>
      </c>
      <c r="S5611" s="1">
        <v>0</v>
      </c>
      <c r="T5611" s="1">
        <v>0</v>
      </c>
      <c r="U5611" s="1">
        <v>0</v>
      </c>
      <c r="V5611" s="1" t="str">
        <f>"里程去程"</f>
        <v>里程去程</v>
      </c>
      <c r="W5611" s="1" t="str">
        <f>"0120"</f>
        <v>0120</v>
      </c>
      <c r="X5611" s="1" t="s">
        <v>35</v>
      </c>
    </row>
    <row r="5612" spans="1:24" x14ac:dyDescent="0.3">
      <c r="A5612" s="1" t="str">
        <f t="shared" si="1079"/>
        <v>59809</v>
      </c>
      <c r="B5612" s="1" t="s">
        <v>42</v>
      </c>
      <c r="C5612" s="1" t="s">
        <v>43</v>
      </c>
      <c r="D5612" s="1" t="str">
        <f>"9805"</f>
        <v>9805</v>
      </c>
      <c r="E5612" s="1" t="s">
        <v>57</v>
      </c>
      <c r="F5612" s="1" t="str">
        <f>"D25FB2152A880400C810002000000019"</f>
        <v>D25FB2152A880400C810002000000019</v>
      </c>
      <c r="G5612" s="1" t="s">
        <v>74</v>
      </c>
      <c r="H5612" s="1" t="str">
        <f t="shared" si="1089"/>
        <v>20220927</v>
      </c>
      <c r="I5612" s="1" t="str">
        <f>"151542"</f>
        <v>151542</v>
      </c>
      <c r="J5612" s="1" t="s">
        <v>28</v>
      </c>
      <c r="K5612" s="1" t="s">
        <v>28</v>
      </c>
      <c r="L5612" s="1" t="str">
        <f t="shared" ref="L5612:L5643" si="1090">"20220927"</f>
        <v>20220927</v>
      </c>
      <c r="M5612" s="1" t="str">
        <f>"153229"</f>
        <v>153229</v>
      </c>
      <c r="N5612" s="1" t="s">
        <v>52</v>
      </c>
      <c r="O5612" s="1" t="s">
        <v>52</v>
      </c>
      <c r="P5612" s="1" t="s">
        <v>55</v>
      </c>
      <c r="Q5612" s="1">
        <v>13</v>
      </c>
      <c r="R5612" s="1">
        <v>0</v>
      </c>
      <c r="S5612" s="1">
        <v>13</v>
      </c>
      <c r="T5612" s="1">
        <v>0</v>
      </c>
      <c r="U5612" s="1">
        <v>0</v>
      </c>
      <c r="V5612" s="1" t="str">
        <f>"里程去程"</f>
        <v>里程去程</v>
      </c>
      <c r="W5612" s="1" t="str">
        <f>"0620"</f>
        <v>0620</v>
      </c>
      <c r="X5612" s="1" t="s">
        <v>29</v>
      </c>
    </row>
    <row r="5613" spans="1:24" x14ac:dyDescent="0.3">
      <c r="A5613" s="1" t="str">
        <f t="shared" si="1079"/>
        <v>59809</v>
      </c>
      <c r="B5613" s="1" t="s">
        <v>42</v>
      </c>
      <c r="C5613" s="1" t="s">
        <v>43</v>
      </c>
      <c r="D5613" s="1" t="str">
        <f>"9805"</f>
        <v>9805</v>
      </c>
      <c r="E5613" s="1" t="s">
        <v>57</v>
      </c>
      <c r="F5613" s="1" t="str">
        <f>"3761486359"</f>
        <v>3761486359</v>
      </c>
      <c r="G5613" s="1" t="s">
        <v>33</v>
      </c>
      <c r="H5613" s="1" t="str">
        <f t="shared" si="1089"/>
        <v>20220927</v>
      </c>
      <c r="I5613" s="1" t="str">
        <f>"151552"</f>
        <v>151552</v>
      </c>
      <c r="J5613" s="1" t="s">
        <v>28</v>
      </c>
      <c r="K5613" s="1" t="s">
        <v>28</v>
      </c>
      <c r="L5613" s="1" t="str">
        <f t="shared" si="1090"/>
        <v>20220927</v>
      </c>
      <c r="M5613" s="1" t="str">
        <f>"153236"</f>
        <v>153236</v>
      </c>
      <c r="N5613" s="1" t="s">
        <v>52</v>
      </c>
      <c r="O5613" s="1" t="s">
        <v>52</v>
      </c>
      <c r="P5613" s="1" t="s">
        <v>55</v>
      </c>
      <c r="Q5613" s="1">
        <v>25</v>
      </c>
      <c r="R5613" s="1">
        <v>25</v>
      </c>
      <c r="S5613" s="1">
        <v>0</v>
      </c>
      <c r="T5613" s="1">
        <v>0</v>
      </c>
      <c r="U5613" s="1">
        <v>0</v>
      </c>
      <c r="V5613" s="1" t="str">
        <f>"里程去程"</f>
        <v>里程去程</v>
      </c>
      <c r="W5613" s="1" t="str">
        <f>"0620"</f>
        <v>0620</v>
      </c>
      <c r="X5613" s="1" t="s">
        <v>35</v>
      </c>
    </row>
    <row r="5614" spans="1:24" x14ac:dyDescent="0.3">
      <c r="A5614" s="1" t="str">
        <f t="shared" si="1079"/>
        <v>59809</v>
      </c>
      <c r="B5614" s="1" t="s">
        <v>42</v>
      </c>
      <c r="C5614" s="1" t="s">
        <v>43</v>
      </c>
      <c r="D5614" s="1" t="str">
        <f>"9803"</f>
        <v>9803</v>
      </c>
      <c r="E5614" s="1" t="s">
        <v>32</v>
      </c>
      <c r="F5614" s="1" t="str">
        <f>"1779300725"</f>
        <v>1779300725</v>
      </c>
      <c r="G5614" s="1" t="s">
        <v>33</v>
      </c>
      <c r="H5614" s="1" t="str">
        <f t="shared" si="1089"/>
        <v>20220927</v>
      </c>
      <c r="I5614" s="1" t="str">
        <f>"180150"</f>
        <v>180150</v>
      </c>
      <c r="J5614" s="1" t="s">
        <v>34</v>
      </c>
      <c r="K5614" s="1" t="s">
        <v>34</v>
      </c>
      <c r="L5614" s="1" t="str">
        <f t="shared" si="1090"/>
        <v>20220927</v>
      </c>
      <c r="M5614" s="1" t="str">
        <f>"183646"</f>
        <v>183646</v>
      </c>
      <c r="N5614" s="1" t="s">
        <v>28</v>
      </c>
      <c r="O5614" s="1" t="s">
        <v>28</v>
      </c>
      <c r="P5614" s="1" t="s">
        <v>55</v>
      </c>
      <c r="Q5614" s="1">
        <v>25</v>
      </c>
      <c r="R5614" s="1">
        <v>25</v>
      </c>
      <c r="S5614" s="1">
        <v>0</v>
      </c>
      <c r="T5614" s="1">
        <v>0</v>
      </c>
      <c r="U5614" s="1">
        <v>0</v>
      </c>
      <c r="V5614" s="1" t="str">
        <f t="shared" ref="V5614:V5629" si="1091">"里程返程"</f>
        <v>里程返程</v>
      </c>
      <c r="W5614" s="1" t="str">
        <f>"2020"</f>
        <v>2020</v>
      </c>
      <c r="X5614" s="1" t="s">
        <v>35</v>
      </c>
    </row>
    <row r="5615" spans="1:24" x14ac:dyDescent="0.3">
      <c r="A5615" s="1" t="str">
        <f t="shared" si="1079"/>
        <v>59809</v>
      </c>
      <c r="B5615" s="1" t="s">
        <v>42</v>
      </c>
      <c r="C5615" s="1" t="s">
        <v>43</v>
      </c>
      <c r="D5615" s="1" t="str">
        <f>"9803"</f>
        <v>9803</v>
      </c>
      <c r="E5615" s="1" t="s">
        <v>32</v>
      </c>
      <c r="F5615" s="1" t="str">
        <f>"1771046181"</f>
        <v>1771046181</v>
      </c>
      <c r="G5615" s="1" t="s">
        <v>33</v>
      </c>
      <c r="H5615" s="1" t="str">
        <f t="shared" si="1089"/>
        <v>20220927</v>
      </c>
      <c r="I5615" s="1" t="str">
        <f>"180349"</f>
        <v>180349</v>
      </c>
      <c r="J5615" s="1" t="s">
        <v>34</v>
      </c>
      <c r="K5615" s="1" t="s">
        <v>34</v>
      </c>
      <c r="L5615" s="1" t="str">
        <f t="shared" si="1090"/>
        <v>20220927</v>
      </c>
      <c r="M5615" s="1" t="str">
        <f>"183704"</f>
        <v>183704</v>
      </c>
      <c r="N5615" s="1" t="s">
        <v>28</v>
      </c>
      <c r="O5615" s="1" t="s">
        <v>28</v>
      </c>
      <c r="P5615" s="1" t="s">
        <v>55</v>
      </c>
      <c r="Q5615" s="1">
        <v>25</v>
      </c>
      <c r="R5615" s="1">
        <v>25</v>
      </c>
      <c r="S5615" s="1">
        <v>0</v>
      </c>
      <c r="T5615" s="1">
        <v>0</v>
      </c>
      <c r="U5615" s="1">
        <v>0</v>
      </c>
      <c r="V5615" s="1" t="str">
        <f t="shared" si="1091"/>
        <v>里程返程</v>
      </c>
      <c r="W5615" s="1" t="str">
        <f>"2020"</f>
        <v>2020</v>
      </c>
      <c r="X5615" s="1" t="s">
        <v>35</v>
      </c>
    </row>
    <row r="5616" spans="1:24" x14ac:dyDescent="0.3">
      <c r="A5616" s="1" t="str">
        <f t="shared" si="1079"/>
        <v>59809</v>
      </c>
      <c r="B5616" s="1" t="s">
        <v>42</v>
      </c>
      <c r="C5616" s="1" t="s">
        <v>43</v>
      </c>
      <c r="D5616" s="1" t="str">
        <f>"9803"</f>
        <v>9803</v>
      </c>
      <c r="E5616" s="1" t="s">
        <v>32</v>
      </c>
      <c r="F5616" s="1" t="str">
        <f>"176709973"</f>
        <v>176709973</v>
      </c>
      <c r="G5616" s="1" t="s">
        <v>33</v>
      </c>
      <c r="H5616" s="1" t="str">
        <f t="shared" si="1089"/>
        <v>20220927</v>
      </c>
      <c r="I5616" s="1" t="str">
        <f>"180359"</f>
        <v>180359</v>
      </c>
      <c r="J5616" s="1" t="s">
        <v>34</v>
      </c>
      <c r="K5616" s="1" t="s">
        <v>34</v>
      </c>
      <c r="L5616" s="1" t="str">
        <f t="shared" si="1090"/>
        <v>20220927</v>
      </c>
      <c r="M5616" s="1" t="str">
        <f>"183709"</f>
        <v>183709</v>
      </c>
      <c r="N5616" s="1" t="s">
        <v>28</v>
      </c>
      <c r="O5616" s="1" t="s">
        <v>28</v>
      </c>
      <c r="P5616" s="1" t="s">
        <v>55</v>
      </c>
      <c r="Q5616" s="1">
        <v>25</v>
      </c>
      <c r="R5616" s="1">
        <v>25</v>
      </c>
      <c r="S5616" s="1">
        <v>0</v>
      </c>
      <c r="T5616" s="1">
        <v>0</v>
      </c>
      <c r="U5616" s="1">
        <v>0</v>
      </c>
      <c r="V5616" s="1" t="str">
        <f t="shared" si="1091"/>
        <v>里程返程</v>
      </c>
      <c r="W5616" s="1" t="str">
        <f>"2020"</f>
        <v>2020</v>
      </c>
      <c r="X5616" s="1" t="s">
        <v>35</v>
      </c>
    </row>
    <row r="5617" spans="1:24" x14ac:dyDescent="0.3">
      <c r="A5617" s="1" t="str">
        <f t="shared" ref="A5617:A5646" si="1092">"59822"</f>
        <v>59822</v>
      </c>
      <c r="B5617" s="1" t="s">
        <v>39</v>
      </c>
      <c r="C5617" s="1" t="s">
        <v>40</v>
      </c>
      <c r="D5617" s="1" t="str">
        <f t="shared" ref="D5617:D5646" si="1093">"9801"</f>
        <v>9801</v>
      </c>
      <c r="E5617" s="1" t="s">
        <v>25</v>
      </c>
      <c r="F5617" s="1" t="str">
        <f>"3592043907"</f>
        <v>3592043907</v>
      </c>
      <c r="G5617" s="1" t="s">
        <v>33</v>
      </c>
      <c r="H5617" s="1" t="str">
        <f t="shared" si="1089"/>
        <v>20220927</v>
      </c>
      <c r="I5617" s="1" t="str">
        <f>"060118"</f>
        <v>060118</v>
      </c>
      <c r="J5617" s="1" t="s">
        <v>44</v>
      </c>
      <c r="K5617" s="1" t="s">
        <v>45</v>
      </c>
      <c r="L5617" s="1" t="str">
        <f t="shared" si="1090"/>
        <v>20220927</v>
      </c>
      <c r="M5617" s="1" t="str">
        <f>"062055"</f>
        <v>062055</v>
      </c>
      <c r="N5617" s="1" t="s">
        <v>28</v>
      </c>
      <c r="O5617" s="1" t="s">
        <v>28</v>
      </c>
      <c r="P5617" s="1" t="s">
        <v>55</v>
      </c>
      <c r="Q5617" s="1">
        <v>25</v>
      </c>
      <c r="R5617" s="1">
        <v>25</v>
      </c>
      <c r="S5617" s="1">
        <v>0</v>
      </c>
      <c r="T5617" s="1">
        <v>0</v>
      </c>
      <c r="U5617" s="1">
        <v>0</v>
      </c>
      <c r="V5617" s="1" t="str">
        <f t="shared" si="1091"/>
        <v>里程返程</v>
      </c>
      <c r="W5617" s="1" t="str">
        <f>"2120"</f>
        <v>2120</v>
      </c>
      <c r="X5617" s="1" t="s">
        <v>35</v>
      </c>
    </row>
    <row r="5618" spans="1:24" x14ac:dyDescent="0.3">
      <c r="A5618" s="1" t="str">
        <f t="shared" si="1092"/>
        <v>59822</v>
      </c>
      <c r="B5618" s="1" t="s">
        <v>39</v>
      </c>
      <c r="C5618" s="1" t="s">
        <v>40</v>
      </c>
      <c r="D5618" s="1" t="str">
        <f t="shared" si="1093"/>
        <v>9801</v>
      </c>
      <c r="E5618" s="1" t="s">
        <v>25</v>
      </c>
      <c r="F5618" s="1" t="str">
        <f>"D2EDC500FA880400C801002000000015"</f>
        <v>D2EDC500FA880400C801002000000015</v>
      </c>
      <c r="G5618" s="1" t="s">
        <v>58</v>
      </c>
      <c r="H5618" s="1" t="str">
        <f t="shared" si="1089"/>
        <v>20220927</v>
      </c>
      <c r="I5618" s="1" t="str">
        <f>"062319"</f>
        <v>062319</v>
      </c>
      <c r="J5618" s="1" t="s">
        <v>28</v>
      </c>
      <c r="K5618" s="1" t="s">
        <v>28</v>
      </c>
      <c r="L5618" s="1" t="str">
        <f t="shared" si="1090"/>
        <v>20220927</v>
      </c>
      <c r="M5618" s="1" t="str">
        <f>"070137"</f>
        <v>070137</v>
      </c>
      <c r="N5618" s="1" t="s">
        <v>52</v>
      </c>
      <c r="O5618" s="1" t="s">
        <v>52</v>
      </c>
      <c r="P5618" s="1" t="s">
        <v>55</v>
      </c>
      <c r="Q5618" s="1">
        <v>25</v>
      </c>
      <c r="R5618" s="1">
        <v>25</v>
      </c>
      <c r="S5618" s="1">
        <v>0</v>
      </c>
      <c r="T5618" s="1">
        <v>0</v>
      </c>
      <c r="U5618" s="1">
        <v>0</v>
      </c>
      <c r="V5618" s="1" t="str">
        <f t="shared" si="1091"/>
        <v>里程返程</v>
      </c>
      <c r="W5618" s="1" t="str">
        <f>"0020"</f>
        <v>0020</v>
      </c>
      <c r="X5618" s="1" t="s">
        <v>29</v>
      </c>
    </row>
    <row r="5619" spans="1:24" x14ac:dyDescent="0.3">
      <c r="A5619" s="1" t="str">
        <f t="shared" si="1092"/>
        <v>59822</v>
      </c>
      <c r="B5619" s="1" t="s">
        <v>39</v>
      </c>
      <c r="C5619" s="1" t="s">
        <v>40</v>
      </c>
      <c r="D5619" s="1" t="str">
        <f t="shared" si="1093"/>
        <v>9801</v>
      </c>
      <c r="E5619" s="1" t="s">
        <v>25</v>
      </c>
      <c r="F5619" s="1" t="str">
        <f>"619F1761882804001C00000000000000"</f>
        <v>619F1761882804001C00000000000000</v>
      </c>
      <c r="G5619" s="1" t="s">
        <v>58</v>
      </c>
      <c r="H5619" s="1" t="str">
        <f t="shared" si="1089"/>
        <v>20220927</v>
      </c>
      <c r="I5619" s="1" t="str">
        <f>"062954"</f>
        <v>062954</v>
      </c>
      <c r="J5619" s="1" t="s">
        <v>28</v>
      </c>
      <c r="K5619" s="1" t="s">
        <v>28</v>
      </c>
      <c r="L5619" s="1" t="str">
        <f t="shared" si="1090"/>
        <v>20220927</v>
      </c>
      <c r="M5619" s="1" t="str">
        <f>"065355"</f>
        <v>065355</v>
      </c>
      <c r="N5619" s="1" t="s">
        <v>72</v>
      </c>
      <c r="O5619" s="1" t="s">
        <v>52</v>
      </c>
      <c r="P5619" s="1" t="s">
        <v>55</v>
      </c>
      <c r="Q5619" s="1">
        <v>25</v>
      </c>
      <c r="R5619" s="1">
        <v>0</v>
      </c>
      <c r="S5619" s="1">
        <v>25</v>
      </c>
      <c r="T5619" s="1">
        <v>0</v>
      </c>
      <c r="U5619" s="1">
        <v>0</v>
      </c>
      <c r="V5619" s="1" t="str">
        <f t="shared" si="1091"/>
        <v>里程返程</v>
      </c>
      <c r="W5619" s="1" t="str">
        <f t="shared" ref="W5619:W5626" si="1094">"0620"</f>
        <v>0620</v>
      </c>
      <c r="X5619" s="1" t="s">
        <v>29</v>
      </c>
    </row>
    <row r="5620" spans="1:24" x14ac:dyDescent="0.3">
      <c r="A5620" s="1" t="str">
        <f t="shared" si="1092"/>
        <v>59822</v>
      </c>
      <c r="B5620" s="1" t="s">
        <v>39</v>
      </c>
      <c r="C5620" s="1" t="s">
        <v>40</v>
      </c>
      <c r="D5620" s="1" t="str">
        <f t="shared" si="1093"/>
        <v>9801</v>
      </c>
      <c r="E5620" s="1" t="s">
        <v>25</v>
      </c>
      <c r="F5620" s="1" t="str">
        <f>"D2203818D2880400C819002000000019"</f>
        <v>D2203818D2880400C819002000000019</v>
      </c>
      <c r="G5620" s="1" t="s">
        <v>64</v>
      </c>
      <c r="H5620" s="1" t="str">
        <f t="shared" si="1089"/>
        <v>20220927</v>
      </c>
      <c r="I5620" s="1" t="str">
        <f>"063023"</f>
        <v>063023</v>
      </c>
      <c r="J5620" s="1" t="s">
        <v>28</v>
      </c>
      <c r="K5620" s="1" t="s">
        <v>28</v>
      </c>
      <c r="L5620" s="1" t="str">
        <f t="shared" si="1090"/>
        <v>20220927</v>
      </c>
      <c r="M5620" s="1" t="str">
        <f>"065517"</f>
        <v>065517</v>
      </c>
      <c r="N5620" s="1" t="s">
        <v>51</v>
      </c>
      <c r="O5620" s="1" t="s">
        <v>52</v>
      </c>
      <c r="P5620" s="1" t="s">
        <v>55</v>
      </c>
      <c r="Q5620" s="1">
        <v>13</v>
      </c>
      <c r="R5620" s="1">
        <v>0</v>
      </c>
      <c r="S5620" s="1">
        <v>13</v>
      </c>
      <c r="T5620" s="1">
        <v>0</v>
      </c>
      <c r="U5620" s="1">
        <v>0</v>
      </c>
      <c r="V5620" s="1" t="str">
        <f t="shared" si="1091"/>
        <v>里程返程</v>
      </c>
      <c r="W5620" s="1" t="str">
        <f t="shared" si="1094"/>
        <v>0620</v>
      </c>
      <c r="X5620" s="1" t="s">
        <v>29</v>
      </c>
    </row>
    <row r="5621" spans="1:24" x14ac:dyDescent="0.3">
      <c r="A5621" s="1" t="str">
        <f t="shared" si="1092"/>
        <v>59822</v>
      </c>
      <c r="B5621" s="1" t="s">
        <v>39</v>
      </c>
      <c r="C5621" s="1" t="s">
        <v>40</v>
      </c>
      <c r="D5621" s="1" t="str">
        <f t="shared" si="1093"/>
        <v>9801</v>
      </c>
      <c r="E5621" s="1" t="s">
        <v>25</v>
      </c>
      <c r="F5621" s="1" t="str">
        <f>"026A101860880400C814002000000019"</f>
        <v>026A101860880400C814002000000019</v>
      </c>
      <c r="G5621" s="1" t="s">
        <v>59</v>
      </c>
      <c r="H5621" s="1" t="str">
        <f t="shared" si="1089"/>
        <v>20220927</v>
      </c>
      <c r="I5621" s="1" t="str">
        <f>"063321"</f>
        <v>063321</v>
      </c>
      <c r="J5621" s="1" t="s">
        <v>28</v>
      </c>
      <c r="K5621" s="1" t="s">
        <v>28</v>
      </c>
      <c r="L5621" s="1" t="str">
        <f t="shared" si="1090"/>
        <v>20220927</v>
      </c>
      <c r="M5621" s="1" t="str">
        <f>"065407"</f>
        <v>065407</v>
      </c>
      <c r="N5621" s="1" t="s">
        <v>72</v>
      </c>
      <c r="O5621" s="1" t="s">
        <v>52</v>
      </c>
      <c r="P5621" s="1" t="s">
        <v>55</v>
      </c>
      <c r="Q5621" s="1">
        <v>25</v>
      </c>
      <c r="R5621" s="1">
        <v>0</v>
      </c>
      <c r="S5621" s="1">
        <v>25</v>
      </c>
      <c r="T5621" s="1">
        <v>0</v>
      </c>
      <c r="U5621" s="1">
        <v>0</v>
      </c>
      <c r="V5621" s="1" t="str">
        <f t="shared" si="1091"/>
        <v>里程返程</v>
      </c>
      <c r="W5621" s="1" t="str">
        <f t="shared" si="1094"/>
        <v>0620</v>
      </c>
      <c r="X5621" s="1" t="s">
        <v>29</v>
      </c>
    </row>
    <row r="5622" spans="1:24" x14ac:dyDescent="0.3">
      <c r="A5622" s="1" t="str">
        <f t="shared" si="1092"/>
        <v>59822</v>
      </c>
      <c r="B5622" s="1" t="s">
        <v>39</v>
      </c>
      <c r="C5622" s="1" t="s">
        <v>40</v>
      </c>
      <c r="D5622" s="1" t="str">
        <f t="shared" si="1093"/>
        <v>9801</v>
      </c>
      <c r="E5622" s="1" t="s">
        <v>25</v>
      </c>
      <c r="F5622" s="1" t="str">
        <f>"E2191918FA880400C819002000000019"</f>
        <v>E2191918FA880400C819002000000019</v>
      </c>
      <c r="G5622" s="1" t="s">
        <v>59</v>
      </c>
      <c r="H5622" s="1" t="str">
        <f t="shared" si="1089"/>
        <v>20220927</v>
      </c>
      <c r="I5622" s="1" t="str">
        <f>"063324"</f>
        <v>063324</v>
      </c>
      <c r="J5622" s="1" t="s">
        <v>28</v>
      </c>
      <c r="K5622" s="1" t="s">
        <v>28</v>
      </c>
      <c r="L5622" s="1" t="str">
        <f t="shared" si="1090"/>
        <v>20220927</v>
      </c>
      <c r="M5622" s="1" t="str">
        <f>"065405"</f>
        <v>065405</v>
      </c>
      <c r="N5622" s="1" t="s">
        <v>72</v>
      </c>
      <c r="O5622" s="1" t="s">
        <v>52</v>
      </c>
      <c r="P5622" s="1" t="s">
        <v>55</v>
      </c>
      <c r="Q5622" s="1">
        <v>25</v>
      </c>
      <c r="R5622" s="1">
        <v>0</v>
      </c>
      <c r="S5622" s="1">
        <v>25</v>
      </c>
      <c r="T5622" s="1">
        <v>0</v>
      </c>
      <c r="U5622" s="1">
        <v>0</v>
      </c>
      <c r="V5622" s="1" t="str">
        <f t="shared" si="1091"/>
        <v>里程返程</v>
      </c>
      <c r="W5622" s="1" t="str">
        <f t="shared" si="1094"/>
        <v>0620</v>
      </c>
      <c r="X5622" s="1" t="s">
        <v>29</v>
      </c>
    </row>
    <row r="5623" spans="1:24" x14ac:dyDescent="0.3">
      <c r="A5623" s="1" t="str">
        <f t="shared" si="1092"/>
        <v>59822</v>
      </c>
      <c r="B5623" s="1" t="s">
        <v>39</v>
      </c>
      <c r="C5623" s="1" t="s">
        <v>40</v>
      </c>
      <c r="D5623" s="1" t="str">
        <f t="shared" si="1093"/>
        <v>9801</v>
      </c>
      <c r="E5623" s="1" t="s">
        <v>25</v>
      </c>
      <c r="F5623" s="1" t="str">
        <f>"62F00B1881880400C814002000000019"</f>
        <v>62F00B1881880400C814002000000019</v>
      </c>
      <c r="G5623" s="1" t="s">
        <v>59</v>
      </c>
      <c r="H5623" s="1" t="str">
        <f t="shared" si="1089"/>
        <v>20220927</v>
      </c>
      <c r="I5623" s="1" t="str">
        <f>"072146"</f>
        <v>072146</v>
      </c>
      <c r="J5623" s="1" t="s">
        <v>28</v>
      </c>
      <c r="K5623" s="1" t="s">
        <v>28</v>
      </c>
      <c r="L5623" s="1" t="str">
        <f t="shared" si="1090"/>
        <v>20220927</v>
      </c>
      <c r="M5623" s="1" t="str">
        <f>"074458"</f>
        <v>074458</v>
      </c>
      <c r="N5623" s="1" t="s">
        <v>72</v>
      </c>
      <c r="O5623" s="1" t="s">
        <v>52</v>
      </c>
      <c r="P5623" s="1" t="s">
        <v>55</v>
      </c>
      <c r="Q5623" s="1">
        <v>25</v>
      </c>
      <c r="R5623" s="1">
        <v>0</v>
      </c>
      <c r="S5623" s="1">
        <v>25</v>
      </c>
      <c r="T5623" s="1">
        <v>0</v>
      </c>
      <c r="U5623" s="1">
        <v>0</v>
      </c>
      <c r="V5623" s="1" t="str">
        <f t="shared" si="1091"/>
        <v>里程返程</v>
      </c>
      <c r="W5623" s="1" t="str">
        <f t="shared" si="1094"/>
        <v>0620</v>
      </c>
      <c r="X5623" s="1" t="s">
        <v>29</v>
      </c>
    </row>
    <row r="5624" spans="1:24" x14ac:dyDescent="0.3">
      <c r="A5624" s="1" t="str">
        <f t="shared" si="1092"/>
        <v>59822</v>
      </c>
      <c r="B5624" s="1" t="s">
        <v>39</v>
      </c>
      <c r="C5624" s="1" t="s">
        <v>40</v>
      </c>
      <c r="D5624" s="1" t="str">
        <f t="shared" si="1093"/>
        <v>9801</v>
      </c>
      <c r="E5624" s="1" t="s">
        <v>25</v>
      </c>
      <c r="F5624" s="1" t="str">
        <f>"82730F18E6880400C814002000000019"</f>
        <v>82730F18E6880400C814002000000019</v>
      </c>
      <c r="G5624" s="1" t="s">
        <v>59</v>
      </c>
      <c r="H5624" s="1" t="str">
        <f t="shared" si="1089"/>
        <v>20220927</v>
      </c>
      <c r="I5624" s="1" t="str">
        <f>"072149"</f>
        <v>072149</v>
      </c>
      <c r="J5624" s="1" t="s">
        <v>28</v>
      </c>
      <c r="K5624" s="1" t="s">
        <v>28</v>
      </c>
      <c r="L5624" s="1" t="str">
        <f t="shared" si="1090"/>
        <v>20220927</v>
      </c>
      <c r="M5624" s="1" t="str">
        <f>"074456"</f>
        <v>074456</v>
      </c>
      <c r="N5624" s="1" t="s">
        <v>72</v>
      </c>
      <c r="O5624" s="1" t="s">
        <v>52</v>
      </c>
      <c r="P5624" s="1" t="s">
        <v>55</v>
      </c>
      <c r="Q5624" s="1">
        <v>25</v>
      </c>
      <c r="R5624" s="1">
        <v>0</v>
      </c>
      <c r="S5624" s="1">
        <v>25</v>
      </c>
      <c r="T5624" s="1">
        <v>0</v>
      </c>
      <c r="U5624" s="1">
        <v>0</v>
      </c>
      <c r="V5624" s="1" t="str">
        <f t="shared" si="1091"/>
        <v>里程返程</v>
      </c>
      <c r="W5624" s="1" t="str">
        <f t="shared" si="1094"/>
        <v>0620</v>
      </c>
      <c r="X5624" s="1" t="s">
        <v>29</v>
      </c>
    </row>
    <row r="5625" spans="1:24" x14ac:dyDescent="0.3">
      <c r="A5625" s="1" t="str">
        <f t="shared" si="1092"/>
        <v>59822</v>
      </c>
      <c r="B5625" s="1" t="s">
        <v>39</v>
      </c>
      <c r="C5625" s="1" t="s">
        <v>40</v>
      </c>
      <c r="D5625" s="1" t="str">
        <f t="shared" si="1093"/>
        <v>9801</v>
      </c>
      <c r="E5625" s="1" t="s">
        <v>25</v>
      </c>
      <c r="F5625" s="1" t="str">
        <f>"825D0C18CB880400C814002000000019"</f>
        <v>825D0C18CB880400C814002000000019</v>
      </c>
      <c r="G5625" s="1" t="s">
        <v>59</v>
      </c>
      <c r="H5625" s="1" t="str">
        <f t="shared" si="1089"/>
        <v>20220927</v>
      </c>
      <c r="I5625" s="1" t="str">
        <f>"072152"</f>
        <v>072152</v>
      </c>
      <c r="J5625" s="1" t="s">
        <v>28</v>
      </c>
      <c r="K5625" s="1" t="s">
        <v>28</v>
      </c>
      <c r="L5625" s="1" t="str">
        <f t="shared" si="1090"/>
        <v>20220927</v>
      </c>
      <c r="M5625" s="1" t="str">
        <f>"075443"</f>
        <v>075443</v>
      </c>
      <c r="N5625" s="1" t="s">
        <v>52</v>
      </c>
      <c r="O5625" s="1" t="s">
        <v>52</v>
      </c>
      <c r="P5625" s="1" t="s">
        <v>55</v>
      </c>
      <c r="Q5625" s="1">
        <v>25</v>
      </c>
      <c r="R5625" s="1">
        <v>0</v>
      </c>
      <c r="S5625" s="1">
        <v>25</v>
      </c>
      <c r="T5625" s="1">
        <v>0</v>
      </c>
      <c r="U5625" s="1">
        <v>0</v>
      </c>
      <c r="V5625" s="1" t="str">
        <f t="shared" si="1091"/>
        <v>里程返程</v>
      </c>
      <c r="W5625" s="1" t="str">
        <f t="shared" si="1094"/>
        <v>0620</v>
      </c>
      <c r="X5625" s="1" t="s">
        <v>29</v>
      </c>
    </row>
    <row r="5626" spans="1:24" x14ac:dyDescent="0.3">
      <c r="A5626" s="1" t="str">
        <f t="shared" si="1092"/>
        <v>59822</v>
      </c>
      <c r="B5626" s="1" t="s">
        <v>39</v>
      </c>
      <c r="C5626" s="1" t="s">
        <v>40</v>
      </c>
      <c r="D5626" s="1" t="str">
        <f t="shared" si="1093"/>
        <v>9801</v>
      </c>
      <c r="E5626" s="1" t="s">
        <v>25</v>
      </c>
      <c r="F5626" s="1" t="str">
        <f>"1204061808880400C814002000000019"</f>
        <v>1204061808880400C814002000000019</v>
      </c>
      <c r="G5626" s="1" t="s">
        <v>59</v>
      </c>
      <c r="H5626" s="1" t="str">
        <f t="shared" si="1089"/>
        <v>20220927</v>
      </c>
      <c r="I5626" s="1" t="str">
        <f>"072237"</f>
        <v>072237</v>
      </c>
      <c r="J5626" s="1" t="s">
        <v>28</v>
      </c>
      <c r="K5626" s="1" t="s">
        <v>28</v>
      </c>
      <c r="L5626" s="1" t="str">
        <f t="shared" si="1090"/>
        <v>20220927</v>
      </c>
      <c r="M5626" s="1" t="str">
        <f>"074502"</f>
        <v>074502</v>
      </c>
      <c r="N5626" s="1" t="s">
        <v>72</v>
      </c>
      <c r="O5626" s="1" t="s">
        <v>52</v>
      </c>
      <c r="P5626" s="1" t="s">
        <v>55</v>
      </c>
      <c r="Q5626" s="1">
        <v>25</v>
      </c>
      <c r="R5626" s="1">
        <v>0</v>
      </c>
      <c r="S5626" s="1">
        <v>25</v>
      </c>
      <c r="T5626" s="1">
        <v>0</v>
      </c>
      <c r="U5626" s="1">
        <v>0</v>
      </c>
      <c r="V5626" s="1" t="str">
        <f t="shared" si="1091"/>
        <v>里程返程</v>
      </c>
      <c r="W5626" s="1" t="str">
        <f t="shared" si="1094"/>
        <v>0620</v>
      </c>
      <c r="X5626" s="1" t="s">
        <v>29</v>
      </c>
    </row>
    <row r="5627" spans="1:24" x14ac:dyDescent="0.3">
      <c r="A5627" s="1" t="str">
        <f t="shared" si="1092"/>
        <v>59822</v>
      </c>
      <c r="B5627" s="1" t="s">
        <v>39</v>
      </c>
      <c r="C5627" s="1" t="s">
        <v>40</v>
      </c>
      <c r="D5627" s="1" t="str">
        <f t="shared" si="1093"/>
        <v>9801</v>
      </c>
      <c r="E5627" s="1" t="s">
        <v>25</v>
      </c>
      <c r="F5627" s="1" t="str">
        <f>"1759959808"</f>
        <v>1759959808</v>
      </c>
      <c r="G5627" s="1" t="s">
        <v>33</v>
      </c>
      <c r="H5627" s="1" t="str">
        <f t="shared" si="1089"/>
        <v>20220927</v>
      </c>
      <c r="I5627" s="1" t="str">
        <f>"074043"</f>
        <v>074043</v>
      </c>
      <c r="J5627" s="1" t="s">
        <v>80</v>
      </c>
      <c r="K5627" s="1" t="s">
        <v>52</v>
      </c>
      <c r="L5627" s="1" t="str">
        <f t="shared" si="1090"/>
        <v>20220927</v>
      </c>
      <c r="M5627" s="1" t="str">
        <f>"075037"</f>
        <v>075037</v>
      </c>
      <c r="N5627" s="1" t="s">
        <v>60</v>
      </c>
      <c r="O5627" s="1" t="s">
        <v>52</v>
      </c>
      <c r="P5627" s="1" t="s">
        <v>55</v>
      </c>
      <c r="Q5627" s="1">
        <v>25</v>
      </c>
      <c r="R5627" s="1">
        <v>25</v>
      </c>
      <c r="S5627" s="1">
        <v>0</v>
      </c>
      <c r="T5627" s="1">
        <v>0</v>
      </c>
      <c r="U5627" s="1">
        <v>0</v>
      </c>
      <c r="V5627" s="1" t="str">
        <f t="shared" si="1091"/>
        <v>里程返程</v>
      </c>
      <c r="W5627" s="1" t="str">
        <f>"2020"</f>
        <v>2020</v>
      </c>
      <c r="X5627" s="1" t="s">
        <v>35</v>
      </c>
    </row>
    <row r="5628" spans="1:24" x14ac:dyDescent="0.3">
      <c r="A5628" s="1" t="str">
        <f t="shared" si="1092"/>
        <v>59822</v>
      </c>
      <c r="B5628" s="1" t="s">
        <v>39</v>
      </c>
      <c r="C5628" s="1" t="s">
        <v>40</v>
      </c>
      <c r="D5628" s="1" t="str">
        <f t="shared" si="1093"/>
        <v>9801</v>
      </c>
      <c r="E5628" s="1" t="s">
        <v>25</v>
      </c>
      <c r="F5628" s="1" t="str">
        <f>"82D5FB02AE880400C834002000000015"</f>
        <v>82D5FB02AE880400C834002000000015</v>
      </c>
      <c r="G5628" s="1" t="s">
        <v>26</v>
      </c>
      <c r="H5628" s="1" t="str">
        <f t="shared" si="1089"/>
        <v>20220927</v>
      </c>
      <c r="I5628" s="1" t="str">
        <f>"074839"</f>
        <v>074839</v>
      </c>
      <c r="J5628" s="1" t="s">
        <v>51</v>
      </c>
      <c r="K5628" s="1" t="s">
        <v>52</v>
      </c>
      <c r="L5628" s="1" t="str">
        <f t="shared" si="1090"/>
        <v>20220927</v>
      </c>
      <c r="M5628" s="1" t="str">
        <f>"075240"</f>
        <v>075240</v>
      </c>
      <c r="N5628" s="1" t="s">
        <v>86</v>
      </c>
      <c r="O5628" s="1" t="s">
        <v>52</v>
      </c>
      <c r="P5628" s="1" t="s">
        <v>68</v>
      </c>
      <c r="Q5628" s="1">
        <v>13</v>
      </c>
      <c r="R5628" s="1">
        <v>0</v>
      </c>
      <c r="S5628" s="1">
        <v>0</v>
      </c>
      <c r="T5628" s="1">
        <v>13</v>
      </c>
      <c r="U5628" s="1">
        <v>0</v>
      </c>
      <c r="V5628" s="1" t="str">
        <f t="shared" si="1091"/>
        <v>里程返程</v>
      </c>
      <c r="W5628" s="1" t="str">
        <f>"0020"</f>
        <v>0020</v>
      </c>
      <c r="X5628" s="1" t="s">
        <v>29</v>
      </c>
    </row>
    <row r="5629" spans="1:24" x14ac:dyDescent="0.3">
      <c r="A5629" s="1" t="str">
        <f t="shared" si="1092"/>
        <v>59822</v>
      </c>
      <c r="B5629" s="1" t="s">
        <v>39</v>
      </c>
      <c r="C5629" s="1" t="s">
        <v>40</v>
      </c>
      <c r="D5629" s="1" t="str">
        <f t="shared" si="1093"/>
        <v>9801</v>
      </c>
      <c r="E5629" s="1" t="s">
        <v>25</v>
      </c>
      <c r="F5629" s="1" t="str">
        <f>"D2203818D2880400C819002000000019"</f>
        <v>D2203818D2880400C819002000000019</v>
      </c>
      <c r="G5629" s="1" t="s">
        <v>64</v>
      </c>
      <c r="H5629" s="1" t="str">
        <f t="shared" si="1089"/>
        <v>20220927</v>
      </c>
      <c r="I5629" s="1" t="str">
        <f>"074909"</f>
        <v>074909</v>
      </c>
      <c r="J5629" s="1" t="s">
        <v>51</v>
      </c>
      <c r="K5629" s="1" t="s">
        <v>52</v>
      </c>
      <c r="L5629" s="1" t="str">
        <f t="shared" si="1090"/>
        <v>20220927</v>
      </c>
      <c r="M5629" s="1" t="str">
        <f>"075358"</f>
        <v>075358</v>
      </c>
      <c r="N5629" s="1" t="s">
        <v>52</v>
      </c>
      <c r="O5629" s="1" t="s">
        <v>52</v>
      </c>
      <c r="P5629" s="1" t="s">
        <v>55</v>
      </c>
      <c r="Q5629" s="1">
        <v>13</v>
      </c>
      <c r="R5629" s="1">
        <v>13</v>
      </c>
      <c r="S5629" s="1">
        <v>0</v>
      </c>
      <c r="T5629" s="1">
        <v>0</v>
      </c>
      <c r="U5629" s="1">
        <v>0</v>
      </c>
      <c r="V5629" s="1" t="str">
        <f t="shared" si="1091"/>
        <v>里程返程</v>
      </c>
      <c r="W5629" s="1" t="str">
        <f>"0020"</f>
        <v>0020</v>
      </c>
      <c r="X5629" s="1" t="s">
        <v>29</v>
      </c>
    </row>
    <row r="5630" spans="1:24" x14ac:dyDescent="0.3">
      <c r="A5630" s="1" t="str">
        <f t="shared" si="1092"/>
        <v>59822</v>
      </c>
      <c r="B5630" s="1" t="s">
        <v>39</v>
      </c>
      <c r="C5630" s="1" t="s">
        <v>40</v>
      </c>
      <c r="D5630" s="1" t="str">
        <f t="shared" si="1093"/>
        <v>9801</v>
      </c>
      <c r="E5630" s="1" t="s">
        <v>25</v>
      </c>
      <c r="F5630" s="1" t="str">
        <f>"82D5FB02AE880400C834002000000015"</f>
        <v>82D5FB02AE880400C834002000000015</v>
      </c>
      <c r="G5630" s="1" t="s">
        <v>26</v>
      </c>
      <c r="H5630" s="1" t="str">
        <f t="shared" si="1089"/>
        <v>20220927</v>
      </c>
      <c r="I5630" s="1" t="str">
        <f>"080541"</f>
        <v>080541</v>
      </c>
      <c r="J5630" s="1" t="s">
        <v>86</v>
      </c>
      <c r="K5630" s="1" t="s">
        <v>52</v>
      </c>
      <c r="L5630" s="1" t="str">
        <f t="shared" si="1090"/>
        <v>20220927</v>
      </c>
      <c r="M5630" s="1" t="str">
        <f>"080740"</f>
        <v>080740</v>
      </c>
      <c r="N5630" s="1" t="s">
        <v>60</v>
      </c>
      <c r="O5630" s="1" t="s">
        <v>52</v>
      </c>
      <c r="P5630" s="1" t="s">
        <v>68</v>
      </c>
      <c r="Q5630" s="1">
        <v>13</v>
      </c>
      <c r="R5630" s="1">
        <v>0</v>
      </c>
      <c r="S5630" s="1">
        <v>0</v>
      </c>
      <c r="T5630" s="1">
        <v>13</v>
      </c>
      <c r="U5630" s="1">
        <v>0</v>
      </c>
      <c r="V5630" s="1" t="str">
        <f>"里程去程"</f>
        <v>里程去程</v>
      </c>
      <c r="W5630" s="1" t="str">
        <f>"0020"</f>
        <v>0020</v>
      </c>
      <c r="X5630" s="1" t="s">
        <v>29</v>
      </c>
    </row>
    <row r="5631" spans="1:24" x14ac:dyDescent="0.3">
      <c r="A5631" s="1" t="str">
        <f t="shared" si="1092"/>
        <v>59822</v>
      </c>
      <c r="B5631" s="1" t="s">
        <v>39</v>
      </c>
      <c r="C5631" s="1" t="s">
        <v>40</v>
      </c>
      <c r="D5631" s="1" t="str">
        <f t="shared" si="1093"/>
        <v>9801</v>
      </c>
      <c r="E5631" s="1" t="s">
        <v>25</v>
      </c>
      <c r="F5631" s="1" t="str">
        <f>"C2E1D306F6880400C838002000000015"</f>
        <v>C2E1D306F6880400C838002000000015</v>
      </c>
      <c r="G5631" s="1" t="s">
        <v>26</v>
      </c>
      <c r="H5631" s="1" t="str">
        <f t="shared" si="1089"/>
        <v>20220927</v>
      </c>
      <c r="I5631" s="1" t="str">
        <f>"080749"</f>
        <v>080749</v>
      </c>
      <c r="J5631" s="1" t="s">
        <v>60</v>
      </c>
      <c r="K5631" s="1" t="s">
        <v>52</v>
      </c>
      <c r="L5631" s="1" t="str">
        <f t="shared" si="1090"/>
        <v>20220927</v>
      </c>
      <c r="M5631" s="1" t="str">
        <f>"081349"</f>
        <v>081349</v>
      </c>
      <c r="N5631" s="1" t="s">
        <v>65</v>
      </c>
      <c r="O5631" s="1" t="s">
        <v>52</v>
      </c>
      <c r="P5631" s="1" t="s">
        <v>68</v>
      </c>
      <c r="Q5631" s="1">
        <v>13</v>
      </c>
      <c r="R5631" s="1">
        <v>0</v>
      </c>
      <c r="S5631" s="1">
        <v>0</v>
      </c>
      <c r="T5631" s="1">
        <v>13</v>
      </c>
      <c r="U5631" s="1">
        <v>0</v>
      </c>
      <c r="V5631" s="1" t="str">
        <f>"里程去程"</f>
        <v>里程去程</v>
      </c>
      <c r="W5631" s="1" t="str">
        <f>"0020"</f>
        <v>0020</v>
      </c>
      <c r="X5631" s="1" t="s">
        <v>29</v>
      </c>
    </row>
    <row r="5632" spans="1:24" x14ac:dyDescent="0.3">
      <c r="A5632" s="1" t="str">
        <f t="shared" si="1092"/>
        <v>59822</v>
      </c>
      <c r="B5632" s="1" t="s">
        <v>39</v>
      </c>
      <c r="C5632" s="1" t="s">
        <v>40</v>
      </c>
      <c r="D5632" s="1" t="str">
        <f t="shared" si="1093"/>
        <v>9801</v>
      </c>
      <c r="E5632" s="1" t="s">
        <v>25</v>
      </c>
      <c r="F5632" s="1" t="str">
        <f>"E213BD024E880400C834002000000015"</f>
        <v>E213BD024E880400C834002000000015</v>
      </c>
      <c r="G5632" s="1" t="s">
        <v>74</v>
      </c>
      <c r="H5632" s="1" t="str">
        <f t="shared" si="1089"/>
        <v>20220927</v>
      </c>
      <c r="I5632" s="1" t="str">
        <f>"083150"</f>
        <v>083150</v>
      </c>
      <c r="J5632" s="1" t="s">
        <v>27</v>
      </c>
      <c r="K5632" s="1" t="s">
        <v>28</v>
      </c>
      <c r="L5632" s="1" t="str">
        <f t="shared" si="1090"/>
        <v>20220927</v>
      </c>
      <c r="M5632" s="1" t="str">
        <f>"084804"</f>
        <v>084804</v>
      </c>
      <c r="N5632" s="1" t="s">
        <v>61</v>
      </c>
      <c r="O5632" s="1" t="s">
        <v>45</v>
      </c>
      <c r="P5632" s="1" t="s">
        <v>68</v>
      </c>
      <c r="Q5632" s="1">
        <v>13</v>
      </c>
      <c r="R5632" s="1">
        <v>0</v>
      </c>
      <c r="S5632" s="1">
        <v>0</v>
      </c>
      <c r="T5632" s="1">
        <v>13</v>
      </c>
      <c r="U5632" s="1">
        <v>0</v>
      </c>
      <c r="V5632" s="1" t="str">
        <f>"里程去程"</f>
        <v>里程去程</v>
      </c>
      <c r="W5632" s="1" t="str">
        <f>"0020"</f>
        <v>0020</v>
      </c>
      <c r="X5632" s="1" t="s">
        <v>29</v>
      </c>
    </row>
    <row r="5633" spans="1:24" x14ac:dyDescent="0.3">
      <c r="A5633" s="1" t="str">
        <f t="shared" si="1092"/>
        <v>59822</v>
      </c>
      <c r="B5633" s="1" t="s">
        <v>39</v>
      </c>
      <c r="C5633" s="1" t="s">
        <v>40</v>
      </c>
      <c r="D5633" s="1" t="str">
        <f t="shared" si="1093"/>
        <v>9801</v>
      </c>
      <c r="E5633" s="1" t="s">
        <v>25</v>
      </c>
      <c r="F5633" s="1" t="str">
        <f>"52083B1879880400C819002000000019"</f>
        <v>52083B1879880400C819002000000019</v>
      </c>
      <c r="G5633" s="1" t="s">
        <v>59</v>
      </c>
      <c r="H5633" s="1" t="str">
        <f t="shared" si="1089"/>
        <v>20220927</v>
      </c>
      <c r="I5633" s="1" t="str">
        <f>"083206"</f>
        <v>083206</v>
      </c>
      <c r="J5633" s="1" t="s">
        <v>27</v>
      </c>
      <c r="K5633" s="1" t="s">
        <v>28</v>
      </c>
      <c r="L5633" s="1" t="str">
        <f t="shared" si="1090"/>
        <v>20220927</v>
      </c>
      <c r="M5633" s="1" t="str">
        <f>"083251"</f>
        <v>083251</v>
      </c>
      <c r="N5633" s="1" t="s">
        <v>79</v>
      </c>
      <c r="O5633" s="1" t="s">
        <v>45</v>
      </c>
      <c r="P5633" s="1" t="s">
        <v>55</v>
      </c>
      <c r="Q5633" s="1">
        <v>25</v>
      </c>
      <c r="R5633" s="1">
        <v>0</v>
      </c>
      <c r="S5633" s="1">
        <v>25</v>
      </c>
      <c r="T5633" s="1">
        <v>0</v>
      </c>
      <c r="U5633" s="1">
        <v>0</v>
      </c>
      <c r="V5633" s="1" t="str">
        <f>"里程去程"</f>
        <v>里程去程</v>
      </c>
      <c r="W5633" s="1" t="str">
        <f>"0620"</f>
        <v>0620</v>
      </c>
      <c r="X5633" s="1" t="s">
        <v>29</v>
      </c>
    </row>
    <row r="5634" spans="1:24" x14ac:dyDescent="0.3">
      <c r="A5634" s="1" t="str">
        <f t="shared" si="1092"/>
        <v>59822</v>
      </c>
      <c r="B5634" s="1" t="s">
        <v>39</v>
      </c>
      <c r="C5634" s="1" t="s">
        <v>40</v>
      </c>
      <c r="D5634" s="1" t="str">
        <f t="shared" si="1093"/>
        <v>9801</v>
      </c>
      <c r="E5634" s="1" t="s">
        <v>25</v>
      </c>
      <c r="F5634" s="1" t="str">
        <f>"894153189"</f>
        <v>894153189</v>
      </c>
      <c r="G5634" s="1" t="s">
        <v>33</v>
      </c>
      <c r="H5634" s="1" t="str">
        <f t="shared" si="1089"/>
        <v>20220927</v>
      </c>
      <c r="I5634" s="1" t="str">
        <f>"093241"</f>
        <v>093241</v>
      </c>
      <c r="J5634" s="1" t="s">
        <v>27</v>
      </c>
      <c r="K5634" s="1" t="s">
        <v>28</v>
      </c>
      <c r="L5634" s="1" t="str">
        <f t="shared" si="1090"/>
        <v>20220927</v>
      </c>
      <c r="M5634" s="1" t="str">
        <f>"094940"</f>
        <v>094940</v>
      </c>
      <c r="N5634" s="1" t="s">
        <v>75</v>
      </c>
      <c r="O5634" s="1" t="s">
        <v>45</v>
      </c>
      <c r="P5634" s="1" t="s">
        <v>55</v>
      </c>
      <c r="Q5634" s="1">
        <v>25</v>
      </c>
      <c r="R5634" s="1">
        <v>0</v>
      </c>
      <c r="S5634" s="1">
        <v>25</v>
      </c>
      <c r="T5634" s="1">
        <v>0</v>
      </c>
      <c r="U5634" s="1">
        <v>0</v>
      </c>
      <c r="V5634" s="1" t="str">
        <f>"里程去程"</f>
        <v>里程去程</v>
      </c>
      <c r="W5634" s="1" t="str">
        <f>"0820"</f>
        <v>0820</v>
      </c>
      <c r="X5634" s="1" t="s">
        <v>35</v>
      </c>
    </row>
    <row r="5635" spans="1:24" x14ac:dyDescent="0.3">
      <c r="A5635" s="1" t="str">
        <f t="shared" si="1092"/>
        <v>59822</v>
      </c>
      <c r="B5635" s="1" t="s">
        <v>39</v>
      </c>
      <c r="C5635" s="1" t="s">
        <v>40</v>
      </c>
      <c r="D5635" s="1" t="str">
        <f t="shared" si="1093"/>
        <v>9801</v>
      </c>
      <c r="E5635" s="1" t="s">
        <v>25</v>
      </c>
      <c r="F5635" s="1" t="str">
        <f>"55D2A79CBC88040043265ABE00170710"</f>
        <v>55D2A79CBC88040043265ABE00170710</v>
      </c>
      <c r="G5635" s="1" t="s">
        <v>64</v>
      </c>
      <c r="H5635" s="1" t="str">
        <f t="shared" si="1089"/>
        <v>20220927</v>
      </c>
      <c r="I5635" s="1" t="str">
        <f>"130624"</f>
        <v>130624</v>
      </c>
      <c r="J5635" s="1" t="s">
        <v>67</v>
      </c>
      <c r="K5635" s="1" t="s">
        <v>52</v>
      </c>
      <c r="L5635" s="1" t="str">
        <f t="shared" si="1090"/>
        <v>20220927</v>
      </c>
      <c r="M5635" s="1" t="str">
        <f>"132107"</f>
        <v>132107</v>
      </c>
      <c r="N5635" s="1" t="s">
        <v>86</v>
      </c>
      <c r="O5635" s="1" t="s">
        <v>52</v>
      </c>
      <c r="P5635" s="1" t="s">
        <v>55</v>
      </c>
      <c r="Q5635" s="1">
        <v>13</v>
      </c>
      <c r="R5635" s="1">
        <v>13</v>
      </c>
      <c r="S5635" s="1">
        <v>0</v>
      </c>
      <c r="T5635" s="1">
        <v>0</v>
      </c>
      <c r="U5635" s="1">
        <v>0</v>
      </c>
      <c r="V5635" s="1" t="str">
        <f t="shared" ref="V5635:V5649" si="1095">"里程返程"</f>
        <v>里程返程</v>
      </c>
      <c r="W5635" s="1" t="str">
        <f>"0020"</f>
        <v>0020</v>
      </c>
      <c r="X5635" s="1" t="s">
        <v>29</v>
      </c>
    </row>
    <row r="5636" spans="1:24" x14ac:dyDescent="0.3">
      <c r="A5636" s="1" t="str">
        <f t="shared" si="1092"/>
        <v>59822</v>
      </c>
      <c r="B5636" s="1" t="s">
        <v>39</v>
      </c>
      <c r="C5636" s="1" t="s">
        <v>40</v>
      </c>
      <c r="D5636" s="1" t="str">
        <f t="shared" si="1093"/>
        <v>9801</v>
      </c>
      <c r="E5636" s="1" t="s">
        <v>25</v>
      </c>
      <c r="F5636" s="1" t="str">
        <f>"E220D10211880400C834002000000015"</f>
        <v>E220D10211880400C834002000000015</v>
      </c>
      <c r="G5636" s="1" t="s">
        <v>74</v>
      </c>
      <c r="H5636" s="1" t="str">
        <f t="shared" si="1089"/>
        <v>20220927</v>
      </c>
      <c r="I5636" s="1" t="str">
        <f>"131314"</f>
        <v>131314</v>
      </c>
      <c r="J5636" s="1" t="s">
        <v>97</v>
      </c>
      <c r="K5636" s="1" t="s">
        <v>52</v>
      </c>
      <c r="L5636" s="1" t="str">
        <f t="shared" si="1090"/>
        <v>20220927</v>
      </c>
      <c r="M5636" s="1" t="str">
        <f>"131519"</f>
        <v>131519</v>
      </c>
      <c r="N5636" s="1" t="s">
        <v>65</v>
      </c>
      <c r="O5636" s="1" t="s">
        <v>52</v>
      </c>
      <c r="P5636" s="1" t="s">
        <v>68</v>
      </c>
      <c r="Q5636" s="1">
        <v>13</v>
      </c>
      <c r="R5636" s="1">
        <v>0</v>
      </c>
      <c r="S5636" s="1">
        <v>0</v>
      </c>
      <c r="T5636" s="1">
        <v>13</v>
      </c>
      <c r="U5636" s="1">
        <v>0</v>
      </c>
      <c r="V5636" s="1" t="str">
        <f t="shared" si="1095"/>
        <v>里程返程</v>
      </c>
      <c r="W5636" s="1" t="str">
        <f>"0020"</f>
        <v>0020</v>
      </c>
      <c r="X5636" s="1" t="s">
        <v>29</v>
      </c>
    </row>
    <row r="5637" spans="1:24" x14ac:dyDescent="0.3">
      <c r="A5637" s="1" t="str">
        <f t="shared" si="1092"/>
        <v>59822</v>
      </c>
      <c r="B5637" s="1" t="s">
        <v>39</v>
      </c>
      <c r="C5637" s="1" t="s">
        <v>40</v>
      </c>
      <c r="D5637" s="1" t="str">
        <f t="shared" si="1093"/>
        <v>9801</v>
      </c>
      <c r="E5637" s="1" t="s">
        <v>25</v>
      </c>
      <c r="F5637" s="1" t="str">
        <f>"3907804618"</f>
        <v>3907804618</v>
      </c>
      <c r="G5637" s="1" t="s">
        <v>33</v>
      </c>
      <c r="H5637" s="1" t="str">
        <f t="shared" ref="H5637:H5668" si="1096">"20220927"</f>
        <v>20220927</v>
      </c>
      <c r="I5637" s="1" t="str">
        <f>"145210"</f>
        <v>145210</v>
      </c>
      <c r="J5637" s="1" t="s">
        <v>41</v>
      </c>
      <c r="K5637" s="1" t="s">
        <v>28</v>
      </c>
      <c r="L5637" s="1" t="str">
        <f t="shared" si="1090"/>
        <v>20220927</v>
      </c>
      <c r="M5637" s="1" t="str">
        <f>"151752"</f>
        <v>151752</v>
      </c>
      <c r="N5637" s="1" t="s">
        <v>60</v>
      </c>
      <c r="O5637" s="1" t="s">
        <v>52</v>
      </c>
      <c r="P5637" s="1" t="s">
        <v>55</v>
      </c>
      <c r="Q5637" s="1">
        <v>25</v>
      </c>
      <c r="R5637" s="1">
        <v>25</v>
      </c>
      <c r="S5637" s="1">
        <v>0</v>
      </c>
      <c r="T5637" s="1">
        <v>0</v>
      </c>
      <c r="U5637" s="1">
        <v>0</v>
      </c>
      <c r="V5637" s="1" t="str">
        <f t="shared" si="1095"/>
        <v>里程返程</v>
      </c>
      <c r="W5637" s="1" t="str">
        <f>"2020"</f>
        <v>2020</v>
      </c>
      <c r="X5637" s="1" t="s">
        <v>35</v>
      </c>
    </row>
    <row r="5638" spans="1:24" x14ac:dyDescent="0.3">
      <c r="A5638" s="1" t="str">
        <f t="shared" si="1092"/>
        <v>59822</v>
      </c>
      <c r="B5638" s="1" t="s">
        <v>39</v>
      </c>
      <c r="C5638" s="1" t="s">
        <v>40</v>
      </c>
      <c r="D5638" s="1" t="str">
        <f t="shared" si="1093"/>
        <v>9801</v>
      </c>
      <c r="E5638" s="1" t="s">
        <v>25</v>
      </c>
      <c r="F5638" s="1" t="str">
        <f>"A4122553C0280400D200000100000000"</f>
        <v>A4122553C0280400D200000100000000</v>
      </c>
      <c r="G5638" s="1" t="s">
        <v>58</v>
      </c>
      <c r="H5638" s="1" t="str">
        <f t="shared" si="1096"/>
        <v>20220927</v>
      </c>
      <c r="I5638" s="1" t="str">
        <f>"155241"</f>
        <v>155241</v>
      </c>
      <c r="J5638" s="1" t="s">
        <v>28</v>
      </c>
      <c r="K5638" s="1" t="s">
        <v>28</v>
      </c>
      <c r="L5638" s="1" t="str">
        <f t="shared" si="1090"/>
        <v>20220927</v>
      </c>
      <c r="M5638" s="1" t="str">
        <f>"161626"</f>
        <v>161626</v>
      </c>
      <c r="N5638" s="1" t="s">
        <v>65</v>
      </c>
      <c r="O5638" s="1" t="s">
        <v>52</v>
      </c>
      <c r="P5638" s="1" t="s">
        <v>55</v>
      </c>
      <c r="Q5638" s="1">
        <v>25</v>
      </c>
      <c r="R5638" s="1">
        <v>0</v>
      </c>
      <c r="S5638" s="1">
        <v>25</v>
      </c>
      <c r="T5638" s="1">
        <v>0</v>
      </c>
      <c r="U5638" s="1">
        <v>0</v>
      </c>
      <c r="V5638" s="1" t="str">
        <f t="shared" si="1095"/>
        <v>里程返程</v>
      </c>
      <c r="W5638" s="1" t="str">
        <f>"0620"</f>
        <v>0620</v>
      </c>
      <c r="X5638" s="1" t="s">
        <v>29</v>
      </c>
    </row>
    <row r="5639" spans="1:24" x14ac:dyDescent="0.3">
      <c r="A5639" s="1" t="str">
        <f t="shared" si="1092"/>
        <v>59822</v>
      </c>
      <c r="B5639" s="1" t="s">
        <v>39</v>
      </c>
      <c r="C5639" s="1" t="s">
        <v>40</v>
      </c>
      <c r="D5639" s="1" t="str">
        <f t="shared" si="1093"/>
        <v>9801</v>
      </c>
      <c r="E5639" s="1" t="s">
        <v>25</v>
      </c>
      <c r="F5639" s="1" t="str">
        <f>"F215D20237880400C834002000000015"</f>
        <v>F215D20237880400C834002000000015</v>
      </c>
      <c r="G5639" s="1" t="s">
        <v>26</v>
      </c>
      <c r="H5639" s="1" t="str">
        <f t="shared" si="1096"/>
        <v>20220927</v>
      </c>
      <c r="I5639" s="1" t="str">
        <f>"155245"</f>
        <v>155245</v>
      </c>
      <c r="J5639" s="1" t="s">
        <v>28</v>
      </c>
      <c r="K5639" s="1" t="s">
        <v>28</v>
      </c>
      <c r="L5639" s="1" t="str">
        <f t="shared" si="1090"/>
        <v>20220927</v>
      </c>
      <c r="M5639" s="1" t="str">
        <f>"162248"</f>
        <v>162248</v>
      </c>
      <c r="N5639" s="1" t="s">
        <v>51</v>
      </c>
      <c r="O5639" s="1" t="s">
        <v>52</v>
      </c>
      <c r="P5639" s="1" t="s">
        <v>68</v>
      </c>
      <c r="Q5639" s="1">
        <v>13</v>
      </c>
      <c r="R5639" s="1">
        <v>0</v>
      </c>
      <c r="S5639" s="1">
        <v>0</v>
      </c>
      <c r="T5639" s="1">
        <v>13</v>
      </c>
      <c r="U5639" s="1">
        <v>0</v>
      </c>
      <c r="V5639" s="1" t="str">
        <f t="shared" si="1095"/>
        <v>里程返程</v>
      </c>
      <c r="W5639" s="1" t="str">
        <f>"0020"</f>
        <v>0020</v>
      </c>
      <c r="X5639" s="1" t="s">
        <v>29</v>
      </c>
    </row>
    <row r="5640" spans="1:24" x14ac:dyDescent="0.3">
      <c r="A5640" s="1" t="str">
        <f t="shared" si="1092"/>
        <v>59822</v>
      </c>
      <c r="B5640" s="1" t="s">
        <v>39</v>
      </c>
      <c r="C5640" s="1" t="s">
        <v>40</v>
      </c>
      <c r="D5640" s="1" t="str">
        <f t="shared" si="1093"/>
        <v>9801</v>
      </c>
      <c r="E5640" s="1" t="s">
        <v>25</v>
      </c>
      <c r="F5640" s="1" t="str">
        <f>"1079982709"</f>
        <v>1079982709</v>
      </c>
      <c r="G5640" s="1" t="s">
        <v>33</v>
      </c>
      <c r="H5640" s="1" t="str">
        <f t="shared" si="1096"/>
        <v>20220927</v>
      </c>
      <c r="I5640" s="1" t="str">
        <f>"155412"</f>
        <v>155412</v>
      </c>
      <c r="J5640" s="1" t="s">
        <v>28</v>
      </c>
      <c r="K5640" s="1" t="s">
        <v>28</v>
      </c>
      <c r="L5640" s="1" t="str">
        <f t="shared" si="1090"/>
        <v>20220927</v>
      </c>
      <c r="M5640" s="1" t="str">
        <f>"161633"</f>
        <v>161633</v>
      </c>
      <c r="N5640" s="1" t="s">
        <v>65</v>
      </c>
      <c r="O5640" s="1" t="s">
        <v>52</v>
      </c>
      <c r="P5640" s="1" t="s">
        <v>55</v>
      </c>
      <c r="Q5640" s="1">
        <v>25</v>
      </c>
      <c r="R5640" s="1">
        <v>0</v>
      </c>
      <c r="S5640" s="1">
        <v>25</v>
      </c>
      <c r="T5640" s="1">
        <v>0</v>
      </c>
      <c r="U5640" s="1">
        <v>0</v>
      </c>
      <c r="V5640" s="1" t="str">
        <f t="shared" si="1095"/>
        <v>里程返程</v>
      </c>
      <c r="W5640" s="1" t="str">
        <f>"0820"</f>
        <v>0820</v>
      </c>
      <c r="X5640" s="1" t="s">
        <v>35</v>
      </c>
    </row>
    <row r="5641" spans="1:24" x14ac:dyDescent="0.3">
      <c r="A5641" s="1" t="str">
        <f t="shared" si="1092"/>
        <v>59822</v>
      </c>
      <c r="B5641" s="1" t="s">
        <v>39</v>
      </c>
      <c r="C5641" s="1" t="s">
        <v>40</v>
      </c>
      <c r="D5641" s="1" t="str">
        <f t="shared" si="1093"/>
        <v>9801</v>
      </c>
      <c r="E5641" s="1" t="s">
        <v>25</v>
      </c>
      <c r="F5641" s="1" t="str">
        <f>"990368069"</f>
        <v>990368069</v>
      </c>
      <c r="G5641" s="1" t="s">
        <v>26</v>
      </c>
      <c r="H5641" s="1" t="str">
        <f t="shared" si="1096"/>
        <v>20220927</v>
      </c>
      <c r="I5641" s="1" t="str">
        <f>"155415"</f>
        <v>155415</v>
      </c>
      <c r="J5641" s="1" t="s">
        <v>28</v>
      </c>
      <c r="K5641" s="1" t="s">
        <v>28</v>
      </c>
      <c r="L5641" s="1" t="str">
        <f t="shared" si="1090"/>
        <v>20220927</v>
      </c>
      <c r="M5641" s="1" t="str">
        <f>"161630"</f>
        <v>161630</v>
      </c>
      <c r="N5641" s="1" t="s">
        <v>65</v>
      </c>
      <c r="O5641" s="1" t="s">
        <v>52</v>
      </c>
      <c r="P5641" s="1" t="s">
        <v>55</v>
      </c>
      <c r="Q5641" s="1">
        <v>13</v>
      </c>
      <c r="R5641" s="1">
        <v>0</v>
      </c>
      <c r="S5641" s="1">
        <v>13</v>
      </c>
      <c r="T5641" s="1">
        <v>0</v>
      </c>
      <c r="U5641" s="1">
        <v>0</v>
      </c>
      <c r="V5641" s="1" t="str">
        <f t="shared" si="1095"/>
        <v>里程返程</v>
      </c>
      <c r="W5641" s="1" t="str">
        <f>"0820"</f>
        <v>0820</v>
      </c>
      <c r="X5641" s="1" t="s">
        <v>35</v>
      </c>
    </row>
    <row r="5642" spans="1:24" x14ac:dyDescent="0.3">
      <c r="A5642" s="1" t="str">
        <f t="shared" si="1092"/>
        <v>59822</v>
      </c>
      <c r="B5642" s="1" t="s">
        <v>39</v>
      </c>
      <c r="C5642" s="1" t="s">
        <v>40</v>
      </c>
      <c r="D5642" s="1" t="str">
        <f t="shared" si="1093"/>
        <v>9801</v>
      </c>
      <c r="E5642" s="1" t="s">
        <v>25</v>
      </c>
      <c r="F5642" s="1" t="str">
        <f>"894153189"</f>
        <v>894153189</v>
      </c>
      <c r="G5642" s="1" t="s">
        <v>33</v>
      </c>
      <c r="H5642" s="1" t="str">
        <f t="shared" si="1096"/>
        <v>20220927</v>
      </c>
      <c r="I5642" s="1" t="str">
        <f>"164004"</f>
        <v>164004</v>
      </c>
      <c r="J5642" s="1" t="s">
        <v>56</v>
      </c>
      <c r="K5642" s="1" t="s">
        <v>45</v>
      </c>
      <c r="L5642" s="1" t="str">
        <f t="shared" si="1090"/>
        <v>20220927</v>
      </c>
      <c r="M5642" s="1" t="str">
        <f>"164948"</f>
        <v>164948</v>
      </c>
      <c r="N5642" s="1" t="s">
        <v>28</v>
      </c>
      <c r="O5642" s="1" t="s">
        <v>28</v>
      </c>
      <c r="P5642" s="1" t="s">
        <v>55</v>
      </c>
      <c r="Q5642" s="1">
        <v>25</v>
      </c>
      <c r="R5642" s="1">
        <v>25</v>
      </c>
      <c r="S5642" s="1">
        <v>0</v>
      </c>
      <c r="T5642" s="1">
        <v>0</v>
      </c>
      <c r="U5642" s="1">
        <v>0</v>
      </c>
      <c r="V5642" s="1" t="str">
        <f t="shared" si="1095"/>
        <v>里程返程</v>
      </c>
      <c r="W5642" s="1" t="str">
        <f>"2020"</f>
        <v>2020</v>
      </c>
      <c r="X5642" s="1" t="s">
        <v>35</v>
      </c>
    </row>
    <row r="5643" spans="1:24" x14ac:dyDescent="0.3">
      <c r="A5643" s="1" t="str">
        <f t="shared" si="1092"/>
        <v>59822</v>
      </c>
      <c r="B5643" s="1" t="s">
        <v>39</v>
      </c>
      <c r="C5643" s="1" t="s">
        <v>40</v>
      </c>
      <c r="D5643" s="1" t="str">
        <f t="shared" si="1093"/>
        <v>9801</v>
      </c>
      <c r="E5643" s="1" t="s">
        <v>25</v>
      </c>
      <c r="F5643" s="1" t="str">
        <f>"42FC4602FA880400C821002000000015"</f>
        <v>42FC4602FA880400C821002000000015</v>
      </c>
      <c r="G5643" s="1" t="s">
        <v>26</v>
      </c>
      <c r="H5643" s="1" t="str">
        <f t="shared" si="1096"/>
        <v>20220927</v>
      </c>
      <c r="I5643" s="1" t="str">
        <f>"164018"</f>
        <v>164018</v>
      </c>
      <c r="J5643" s="1" t="s">
        <v>56</v>
      </c>
      <c r="K5643" s="1" t="s">
        <v>45</v>
      </c>
      <c r="L5643" s="1" t="str">
        <f t="shared" si="1090"/>
        <v>20220927</v>
      </c>
      <c r="M5643" s="1" t="str">
        <f>"164958"</f>
        <v>164958</v>
      </c>
      <c r="N5643" s="1" t="s">
        <v>28</v>
      </c>
      <c r="O5643" s="1" t="s">
        <v>28</v>
      </c>
      <c r="P5643" s="1" t="s">
        <v>68</v>
      </c>
      <c r="Q5643" s="1">
        <v>13</v>
      </c>
      <c r="R5643" s="1">
        <v>0</v>
      </c>
      <c r="S5643" s="1">
        <v>0</v>
      </c>
      <c r="T5643" s="1">
        <v>13</v>
      </c>
      <c r="U5643" s="1">
        <v>0</v>
      </c>
      <c r="V5643" s="1" t="str">
        <f t="shared" si="1095"/>
        <v>里程返程</v>
      </c>
      <c r="W5643" s="1" t="str">
        <f>"0020"</f>
        <v>0020</v>
      </c>
      <c r="X5643" s="1" t="s">
        <v>29</v>
      </c>
    </row>
    <row r="5644" spans="1:24" x14ac:dyDescent="0.3">
      <c r="A5644" s="1" t="str">
        <f t="shared" si="1092"/>
        <v>59822</v>
      </c>
      <c r="B5644" s="1" t="s">
        <v>39</v>
      </c>
      <c r="C5644" s="1" t="s">
        <v>40</v>
      </c>
      <c r="D5644" s="1" t="str">
        <f t="shared" si="1093"/>
        <v>9801</v>
      </c>
      <c r="E5644" s="1" t="s">
        <v>25</v>
      </c>
      <c r="F5644" s="1" t="str">
        <f>"E293E60295880400C834002000000015"</f>
        <v>E293E60295880400C834002000000015</v>
      </c>
      <c r="G5644" s="1" t="s">
        <v>74</v>
      </c>
      <c r="H5644" s="1" t="str">
        <f t="shared" si="1096"/>
        <v>20220927</v>
      </c>
      <c r="I5644" s="1" t="str">
        <f>"171222"</f>
        <v>171222</v>
      </c>
      <c r="J5644" s="1" t="s">
        <v>80</v>
      </c>
      <c r="K5644" s="1" t="s">
        <v>52</v>
      </c>
      <c r="L5644" s="1" t="str">
        <f t="shared" ref="L5644:L5675" si="1097">"20220927"</f>
        <v>20220927</v>
      </c>
      <c r="M5644" s="1" t="str">
        <f>"171449"</f>
        <v>171449</v>
      </c>
      <c r="N5644" s="1" t="s">
        <v>65</v>
      </c>
      <c r="O5644" s="1" t="s">
        <v>52</v>
      </c>
      <c r="P5644" s="1" t="s">
        <v>68</v>
      </c>
      <c r="Q5644" s="1">
        <v>13</v>
      </c>
      <c r="R5644" s="1">
        <v>0</v>
      </c>
      <c r="S5644" s="1">
        <v>0</v>
      </c>
      <c r="T5644" s="1">
        <v>13</v>
      </c>
      <c r="U5644" s="1">
        <v>0</v>
      </c>
      <c r="V5644" s="1" t="str">
        <f t="shared" si="1095"/>
        <v>里程返程</v>
      </c>
      <c r="W5644" s="1" t="str">
        <f>"0020"</f>
        <v>0020</v>
      </c>
      <c r="X5644" s="1" t="s">
        <v>29</v>
      </c>
    </row>
    <row r="5645" spans="1:24" x14ac:dyDescent="0.3">
      <c r="A5645" s="1" t="str">
        <f t="shared" si="1092"/>
        <v>59822</v>
      </c>
      <c r="B5645" s="1" t="s">
        <v>39</v>
      </c>
      <c r="C5645" s="1" t="s">
        <v>40</v>
      </c>
      <c r="D5645" s="1" t="str">
        <f t="shared" si="1093"/>
        <v>9801</v>
      </c>
      <c r="E5645" s="1" t="s">
        <v>25</v>
      </c>
      <c r="F5645" s="1" t="str">
        <f>"C2C219031A880400C834002000000015"</f>
        <v>C2C219031A880400C834002000000015</v>
      </c>
      <c r="G5645" s="1" t="s">
        <v>74</v>
      </c>
      <c r="H5645" s="1" t="str">
        <f t="shared" si="1096"/>
        <v>20220927</v>
      </c>
      <c r="I5645" s="1" t="str">
        <f>"171226"</f>
        <v>171226</v>
      </c>
      <c r="J5645" s="1" t="s">
        <v>80</v>
      </c>
      <c r="K5645" s="1" t="s">
        <v>52</v>
      </c>
      <c r="L5645" s="1" t="str">
        <f t="shared" si="1097"/>
        <v>20220927</v>
      </c>
      <c r="M5645" s="1" t="str">
        <f>"171447"</f>
        <v>171447</v>
      </c>
      <c r="N5645" s="1" t="s">
        <v>65</v>
      </c>
      <c r="O5645" s="1" t="s">
        <v>52</v>
      </c>
      <c r="P5645" s="1" t="s">
        <v>68</v>
      </c>
      <c r="Q5645" s="1">
        <v>13</v>
      </c>
      <c r="R5645" s="1">
        <v>0</v>
      </c>
      <c r="S5645" s="1">
        <v>0</v>
      </c>
      <c r="T5645" s="1">
        <v>13</v>
      </c>
      <c r="U5645" s="1">
        <v>0</v>
      </c>
      <c r="V5645" s="1" t="str">
        <f t="shared" si="1095"/>
        <v>里程返程</v>
      </c>
      <c r="W5645" s="1" t="str">
        <f>"0020"</f>
        <v>0020</v>
      </c>
      <c r="X5645" s="1" t="s">
        <v>29</v>
      </c>
    </row>
    <row r="5646" spans="1:24" x14ac:dyDescent="0.3">
      <c r="A5646" s="1" t="str">
        <f t="shared" si="1092"/>
        <v>59822</v>
      </c>
      <c r="B5646" s="1" t="s">
        <v>39</v>
      </c>
      <c r="C5646" s="1" t="s">
        <v>40</v>
      </c>
      <c r="D5646" s="1" t="str">
        <f t="shared" si="1093"/>
        <v>9801</v>
      </c>
      <c r="E5646" s="1" t="s">
        <v>25</v>
      </c>
      <c r="F5646" s="1" t="str">
        <f>"278534608"</f>
        <v>278534608</v>
      </c>
      <c r="G5646" s="1" t="s">
        <v>33</v>
      </c>
      <c r="H5646" s="1" t="str">
        <f t="shared" si="1096"/>
        <v>20220927</v>
      </c>
      <c r="I5646" s="1" t="str">
        <f>"172310"</f>
        <v>172310</v>
      </c>
      <c r="J5646" s="1" t="s">
        <v>60</v>
      </c>
      <c r="K5646" s="1" t="s">
        <v>52</v>
      </c>
      <c r="L5646" s="1" t="str">
        <f t="shared" si="1097"/>
        <v>20220927</v>
      </c>
      <c r="M5646" s="1" t="str">
        <f>"172633"</f>
        <v>172633</v>
      </c>
      <c r="N5646" s="1" t="s">
        <v>52</v>
      </c>
      <c r="O5646" s="1" t="s">
        <v>52</v>
      </c>
      <c r="P5646" s="1" t="s">
        <v>55</v>
      </c>
      <c r="Q5646" s="1">
        <v>25</v>
      </c>
      <c r="R5646" s="1">
        <v>25</v>
      </c>
      <c r="S5646" s="1">
        <v>0</v>
      </c>
      <c r="T5646" s="1">
        <v>0</v>
      </c>
      <c r="U5646" s="1">
        <v>0</v>
      </c>
      <c r="V5646" s="1" t="str">
        <f t="shared" si="1095"/>
        <v>里程返程</v>
      </c>
      <c r="W5646" s="1" t="str">
        <f>"0620"</f>
        <v>0620</v>
      </c>
      <c r="X5646" s="1" t="s">
        <v>35</v>
      </c>
    </row>
    <row r="5647" spans="1:24" x14ac:dyDescent="0.3">
      <c r="A5647" s="1" t="str">
        <f t="shared" ref="A5647:A5671" si="1098">"59823"</f>
        <v>59823</v>
      </c>
      <c r="B5647" s="1" t="s">
        <v>36</v>
      </c>
      <c r="C5647" s="1" t="s">
        <v>37</v>
      </c>
      <c r="D5647" s="1" t="str">
        <f>"9806"</f>
        <v>9806</v>
      </c>
      <c r="E5647" s="1" t="s">
        <v>49</v>
      </c>
      <c r="F5647" s="1" t="str">
        <f>"1695105317"</f>
        <v>1695105317</v>
      </c>
      <c r="G5647" s="1" t="s">
        <v>33</v>
      </c>
      <c r="H5647" s="1" t="str">
        <f t="shared" si="1096"/>
        <v>20220927</v>
      </c>
      <c r="I5647" s="1" t="str">
        <f>"064926"</f>
        <v>064926</v>
      </c>
      <c r="J5647" s="1" t="s">
        <v>28</v>
      </c>
      <c r="K5647" s="1" t="s">
        <v>28</v>
      </c>
      <c r="L5647" s="1" t="str">
        <f t="shared" si="1097"/>
        <v>20220927</v>
      </c>
      <c r="M5647" s="1" t="str">
        <f>"070842"</f>
        <v>070842</v>
      </c>
      <c r="N5647" s="1" t="s">
        <v>99</v>
      </c>
      <c r="O5647" s="1" t="s">
        <v>28</v>
      </c>
      <c r="P5647" s="1" t="s">
        <v>55</v>
      </c>
      <c r="Q5647" s="1">
        <v>25</v>
      </c>
      <c r="R5647" s="1">
        <v>0</v>
      </c>
      <c r="S5647" s="1">
        <v>25</v>
      </c>
      <c r="T5647" s="1">
        <v>0</v>
      </c>
      <c r="U5647" s="1">
        <v>0</v>
      </c>
      <c r="V5647" s="1" t="str">
        <f t="shared" si="1095"/>
        <v>里程返程</v>
      </c>
      <c r="W5647" s="1" t="str">
        <f>"0820"</f>
        <v>0820</v>
      </c>
      <c r="X5647" s="1" t="s">
        <v>35</v>
      </c>
    </row>
    <row r="5648" spans="1:24" x14ac:dyDescent="0.3">
      <c r="A5648" s="1" t="str">
        <f t="shared" si="1098"/>
        <v>59823</v>
      </c>
      <c r="B5648" s="1" t="s">
        <v>36</v>
      </c>
      <c r="C5648" s="1" t="s">
        <v>37</v>
      </c>
      <c r="D5648" s="1" t="str">
        <f>"9806"</f>
        <v>9806</v>
      </c>
      <c r="E5648" s="1" t="s">
        <v>49</v>
      </c>
      <c r="F5648" s="1" t="str">
        <f>"1202E702F5880400C834002000000015"</f>
        <v>1202E702F5880400C834002000000015</v>
      </c>
      <c r="G5648" s="1" t="s">
        <v>74</v>
      </c>
      <c r="H5648" s="1" t="str">
        <f t="shared" si="1096"/>
        <v>20220927</v>
      </c>
      <c r="I5648" s="1" t="str">
        <f>"065726"</f>
        <v>065726</v>
      </c>
      <c r="J5648" s="1" t="s">
        <v>101</v>
      </c>
      <c r="K5648" s="1" t="s">
        <v>28</v>
      </c>
      <c r="L5648" s="1" t="str">
        <f t="shared" si="1097"/>
        <v>20220927</v>
      </c>
      <c r="M5648" s="1" t="str">
        <f>"070849"</f>
        <v>070849</v>
      </c>
      <c r="N5648" s="1" t="s">
        <v>99</v>
      </c>
      <c r="O5648" s="1" t="s">
        <v>28</v>
      </c>
      <c r="P5648" s="1" t="s">
        <v>68</v>
      </c>
      <c r="Q5648" s="1">
        <v>13</v>
      </c>
      <c r="R5648" s="1">
        <v>0</v>
      </c>
      <c r="S5648" s="1">
        <v>0</v>
      </c>
      <c r="T5648" s="1">
        <v>13</v>
      </c>
      <c r="U5648" s="1">
        <v>0</v>
      </c>
      <c r="V5648" s="1" t="str">
        <f t="shared" si="1095"/>
        <v>里程返程</v>
      </c>
      <c r="W5648" s="1" t="str">
        <f>"0020"</f>
        <v>0020</v>
      </c>
      <c r="X5648" s="1" t="s">
        <v>29</v>
      </c>
    </row>
    <row r="5649" spans="1:24" x14ac:dyDescent="0.3">
      <c r="A5649" s="1" t="str">
        <f t="shared" si="1098"/>
        <v>59823</v>
      </c>
      <c r="B5649" s="1" t="s">
        <v>36</v>
      </c>
      <c r="C5649" s="1" t="s">
        <v>37</v>
      </c>
      <c r="D5649" s="1" t="str">
        <f>"9806"</f>
        <v>9806</v>
      </c>
      <c r="E5649" s="1" t="s">
        <v>49</v>
      </c>
      <c r="F5649" s="1" t="str">
        <f>"B211E70246880400C834002000000015"</f>
        <v>B211E70246880400C834002000000015</v>
      </c>
      <c r="G5649" s="1" t="s">
        <v>74</v>
      </c>
      <c r="H5649" s="1" t="str">
        <f t="shared" si="1096"/>
        <v>20220927</v>
      </c>
      <c r="I5649" s="1" t="str">
        <f>"065730"</f>
        <v>065730</v>
      </c>
      <c r="J5649" s="1" t="s">
        <v>101</v>
      </c>
      <c r="K5649" s="1" t="s">
        <v>28</v>
      </c>
      <c r="L5649" s="1" t="str">
        <f t="shared" si="1097"/>
        <v>20220927</v>
      </c>
      <c r="M5649" s="1" t="str">
        <f>"070838"</f>
        <v>070838</v>
      </c>
      <c r="N5649" s="1" t="s">
        <v>99</v>
      </c>
      <c r="O5649" s="1" t="s">
        <v>28</v>
      </c>
      <c r="P5649" s="1" t="s">
        <v>68</v>
      </c>
      <c r="Q5649" s="1">
        <v>13</v>
      </c>
      <c r="R5649" s="1">
        <v>0</v>
      </c>
      <c r="S5649" s="1">
        <v>0</v>
      </c>
      <c r="T5649" s="1">
        <v>13</v>
      </c>
      <c r="U5649" s="1">
        <v>0</v>
      </c>
      <c r="V5649" s="1" t="str">
        <f t="shared" si="1095"/>
        <v>里程返程</v>
      </c>
      <c r="W5649" s="1" t="str">
        <f>"0020"</f>
        <v>0020</v>
      </c>
      <c r="X5649" s="1" t="s">
        <v>29</v>
      </c>
    </row>
    <row r="5650" spans="1:24" x14ac:dyDescent="0.3">
      <c r="A5650" s="1" t="str">
        <f t="shared" si="1098"/>
        <v>59823</v>
      </c>
      <c r="B5650" s="1" t="s">
        <v>36</v>
      </c>
      <c r="C5650" s="1" t="s">
        <v>37</v>
      </c>
      <c r="D5650" s="1" t="str">
        <f t="shared" ref="D5650:D5671" si="1099">"9803"</f>
        <v>9803</v>
      </c>
      <c r="E5650" s="1" t="s">
        <v>32</v>
      </c>
      <c r="F5650" s="1" t="str">
        <f>"1031377445"</f>
        <v>1031377445</v>
      </c>
      <c r="G5650" s="1" t="s">
        <v>33</v>
      </c>
      <c r="H5650" s="1" t="str">
        <f t="shared" si="1096"/>
        <v>20220927</v>
      </c>
      <c r="I5650" s="1" t="str">
        <f>"072945"</f>
        <v>072945</v>
      </c>
      <c r="J5650" s="1" t="s">
        <v>28</v>
      </c>
      <c r="K5650" s="1" t="s">
        <v>28</v>
      </c>
      <c r="L5650" s="1" t="str">
        <f t="shared" si="1097"/>
        <v>20220927</v>
      </c>
      <c r="M5650" s="1" t="str">
        <f>"074819"</f>
        <v>074819</v>
      </c>
      <c r="N5650" s="1" t="s">
        <v>34</v>
      </c>
      <c r="O5650" s="1" t="s">
        <v>34</v>
      </c>
      <c r="P5650" s="1" t="s">
        <v>55</v>
      </c>
      <c r="Q5650" s="1">
        <v>25</v>
      </c>
      <c r="R5650" s="1">
        <v>25</v>
      </c>
      <c r="S5650" s="1">
        <v>0</v>
      </c>
      <c r="T5650" s="1">
        <v>0</v>
      </c>
      <c r="U5650" s="1">
        <v>0</v>
      </c>
      <c r="V5650" s="1" t="str">
        <f t="shared" ref="V5650:V5659" si="1100">"里程去程"</f>
        <v>里程去程</v>
      </c>
      <c r="W5650" s="1" t="str">
        <f>"1320"</f>
        <v>1320</v>
      </c>
      <c r="X5650" s="1" t="s">
        <v>35</v>
      </c>
    </row>
    <row r="5651" spans="1:24" x14ac:dyDescent="0.3">
      <c r="A5651" s="1" t="str">
        <f t="shared" si="1098"/>
        <v>59823</v>
      </c>
      <c r="B5651" s="1" t="s">
        <v>36</v>
      </c>
      <c r="C5651" s="1" t="s">
        <v>37</v>
      </c>
      <c r="D5651" s="1" t="str">
        <f t="shared" si="1099"/>
        <v>9803</v>
      </c>
      <c r="E5651" s="1" t="s">
        <v>32</v>
      </c>
      <c r="F5651" s="1" t="str">
        <f>"305151745"</f>
        <v>305151745</v>
      </c>
      <c r="G5651" s="1" t="s">
        <v>33</v>
      </c>
      <c r="H5651" s="1" t="str">
        <f t="shared" si="1096"/>
        <v>20220927</v>
      </c>
      <c r="I5651" s="1" t="str">
        <f>"073926"</f>
        <v>073926</v>
      </c>
      <c r="J5651" s="1" t="s">
        <v>46</v>
      </c>
      <c r="K5651" s="1" t="s">
        <v>28</v>
      </c>
      <c r="L5651" s="1" t="str">
        <f t="shared" si="1097"/>
        <v>20220927</v>
      </c>
      <c r="M5651" s="1" t="str">
        <f>"074514"</f>
        <v>074514</v>
      </c>
      <c r="N5651" s="1" t="s">
        <v>93</v>
      </c>
      <c r="O5651" s="1" t="s">
        <v>28</v>
      </c>
      <c r="P5651" s="1" t="s">
        <v>55</v>
      </c>
      <c r="Q5651" s="1">
        <v>25</v>
      </c>
      <c r="R5651" s="1">
        <v>25</v>
      </c>
      <c r="S5651" s="1">
        <v>0</v>
      </c>
      <c r="T5651" s="1">
        <v>0</v>
      </c>
      <c r="U5651" s="1">
        <v>0</v>
      </c>
      <c r="V5651" s="1" t="str">
        <f t="shared" si="1100"/>
        <v>里程去程</v>
      </c>
      <c r="W5651" s="1" t="str">
        <f>"2120"</f>
        <v>2120</v>
      </c>
      <c r="X5651" s="1" t="s">
        <v>35</v>
      </c>
    </row>
    <row r="5652" spans="1:24" x14ac:dyDescent="0.3">
      <c r="A5652" s="1" t="str">
        <f t="shared" si="1098"/>
        <v>59823</v>
      </c>
      <c r="B5652" s="1" t="s">
        <v>36</v>
      </c>
      <c r="C5652" s="1" t="s">
        <v>37</v>
      </c>
      <c r="D5652" s="1" t="str">
        <f t="shared" si="1099"/>
        <v>9803</v>
      </c>
      <c r="E5652" s="1" t="s">
        <v>32</v>
      </c>
      <c r="F5652" s="1" t="str">
        <f>"1241063925"</f>
        <v>1241063925</v>
      </c>
      <c r="G5652" s="1" t="s">
        <v>26</v>
      </c>
      <c r="H5652" s="1" t="str">
        <f t="shared" si="1096"/>
        <v>20220927</v>
      </c>
      <c r="I5652" s="1" t="str">
        <f>"083037"</f>
        <v>083037</v>
      </c>
      <c r="J5652" s="1" t="s">
        <v>28</v>
      </c>
      <c r="K5652" s="1" t="s">
        <v>28</v>
      </c>
      <c r="L5652" s="1" t="str">
        <f t="shared" si="1097"/>
        <v>20220927</v>
      </c>
      <c r="M5652" s="1" t="str">
        <f>"084012"</f>
        <v>084012</v>
      </c>
      <c r="N5652" s="1" t="s">
        <v>46</v>
      </c>
      <c r="O5652" s="1" t="s">
        <v>28</v>
      </c>
      <c r="P5652" s="1" t="s">
        <v>55</v>
      </c>
      <c r="Q5652" s="1">
        <v>13</v>
      </c>
      <c r="R5652" s="1">
        <v>13</v>
      </c>
      <c r="S5652" s="1">
        <v>0</v>
      </c>
      <c r="T5652" s="1">
        <v>0</v>
      </c>
      <c r="U5652" s="1">
        <v>0</v>
      </c>
      <c r="V5652" s="1" t="str">
        <f t="shared" si="1100"/>
        <v>里程去程</v>
      </c>
      <c r="W5652" s="1" t="str">
        <f>"2020"</f>
        <v>2020</v>
      </c>
      <c r="X5652" s="1" t="s">
        <v>35</v>
      </c>
    </row>
    <row r="5653" spans="1:24" x14ac:dyDescent="0.3">
      <c r="A5653" s="1" t="str">
        <f t="shared" si="1098"/>
        <v>59823</v>
      </c>
      <c r="B5653" s="1" t="s">
        <v>36</v>
      </c>
      <c r="C5653" s="1" t="s">
        <v>37</v>
      </c>
      <c r="D5653" s="1" t="str">
        <f t="shared" si="1099"/>
        <v>9803</v>
      </c>
      <c r="E5653" s="1" t="s">
        <v>32</v>
      </c>
      <c r="F5653" s="1" t="str">
        <f>"994316549"</f>
        <v>994316549</v>
      </c>
      <c r="G5653" s="1" t="s">
        <v>26</v>
      </c>
      <c r="H5653" s="1" t="str">
        <f t="shared" si="1096"/>
        <v>20220927</v>
      </c>
      <c r="I5653" s="1" t="str">
        <f>"083039"</f>
        <v>083039</v>
      </c>
      <c r="J5653" s="1" t="s">
        <v>28</v>
      </c>
      <c r="K5653" s="1" t="s">
        <v>28</v>
      </c>
      <c r="L5653" s="1" t="str">
        <f t="shared" si="1097"/>
        <v>20220927</v>
      </c>
      <c r="M5653" s="1" t="str">
        <f>"084009"</f>
        <v>084009</v>
      </c>
      <c r="N5653" s="1" t="s">
        <v>46</v>
      </c>
      <c r="O5653" s="1" t="s">
        <v>28</v>
      </c>
      <c r="P5653" s="1" t="s">
        <v>55</v>
      </c>
      <c r="Q5653" s="1">
        <v>13</v>
      </c>
      <c r="R5653" s="1">
        <v>13</v>
      </c>
      <c r="S5653" s="1">
        <v>0</v>
      </c>
      <c r="T5653" s="1">
        <v>0</v>
      </c>
      <c r="U5653" s="1">
        <v>0</v>
      </c>
      <c r="V5653" s="1" t="str">
        <f t="shared" si="1100"/>
        <v>里程去程</v>
      </c>
      <c r="W5653" s="1" t="str">
        <f>"2020"</f>
        <v>2020</v>
      </c>
      <c r="X5653" s="1" t="s">
        <v>35</v>
      </c>
    </row>
    <row r="5654" spans="1:24" x14ac:dyDescent="0.3">
      <c r="A5654" s="1" t="str">
        <f t="shared" si="1098"/>
        <v>59823</v>
      </c>
      <c r="B5654" s="1" t="s">
        <v>36</v>
      </c>
      <c r="C5654" s="1" t="s">
        <v>37</v>
      </c>
      <c r="D5654" s="1" t="str">
        <f t="shared" si="1099"/>
        <v>9803</v>
      </c>
      <c r="E5654" s="1" t="s">
        <v>32</v>
      </c>
      <c r="F5654" s="1" t="str">
        <f>"277364080"</f>
        <v>277364080</v>
      </c>
      <c r="G5654" s="1" t="s">
        <v>33</v>
      </c>
      <c r="H5654" s="1" t="str">
        <f t="shared" si="1096"/>
        <v>20220927</v>
      </c>
      <c r="I5654" s="1" t="str">
        <f>"102619"</f>
        <v>102619</v>
      </c>
      <c r="J5654" s="1" t="s">
        <v>28</v>
      </c>
      <c r="K5654" s="1" t="s">
        <v>28</v>
      </c>
      <c r="L5654" s="1" t="str">
        <f t="shared" si="1097"/>
        <v>20220927</v>
      </c>
      <c r="M5654" s="1" t="str">
        <f>"104716"</f>
        <v>104716</v>
      </c>
      <c r="N5654" s="1" t="s">
        <v>34</v>
      </c>
      <c r="O5654" s="1" t="s">
        <v>34</v>
      </c>
      <c r="P5654" s="1" t="s">
        <v>55</v>
      </c>
      <c r="Q5654" s="1">
        <v>25</v>
      </c>
      <c r="R5654" s="1">
        <v>25</v>
      </c>
      <c r="S5654" s="1">
        <v>0</v>
      </c>
      <c r="T5654" s="1">
        <v>0</v>
      </c>
      <c r="U5654" s="1">
        <v>0</v>
      </c>
      <c r="V5654" s="1" t="str">
        <f t="shared" si="1100"/>
        <v>里程去程</v>
      </c>
      <c r="W5654" s="1" t="str">
        <f>"0120"</f>
        <v>0120</v>
      </c>
      <c r="X5654" s="1" t="s">
        <v>35</v>
      </c>
    </row>
    <row r="5655" spans="1:24" x14ac:dyDescent="0.3">
      <c r="A5655" s="1" t="str">
        <f t="shared" si="1098"/>
        <v>59823</v>
      </c>
      <c r="B5655" s="1" t="s">
        <v>36</v>
      </c>
      <c r="C5655" s="1" t="s">
        <v>37</v>
      </c>
      <c r="D5655" s="1" t="str">
        <f t="shared" si="1099"/>
        <v>9803</v>
      </c>
      <c r="E5655" s="1" t="s">
        <v>32</v>
      </c>
      <c r="F5655" s="1" t="str">
        <f>"1714363637"</f>
        <v>1714363637</v>
      </c>
      <c r="G5655" s="1" t="s">
        <v>33</v>
      </c>
      <c r="H5655" s="1" t="str">
        <f t="shared" si="1096"/>
        <v>20220927</v>
      </c>
      <c r="I5655" s="1" t="str">
        <f>"102635"</f>
        <v>102635</v>
      </c>
      <c r="J5655" s="1" t="s">
        <v>28</v>
      </c>
      <c r="K5655" s="1" t="s">
        <v>28</v>
      </c>
      <c r="L5655" s="1" t="str">
        <f t="shared" si="1097"/>
        <v>20220927</v>
      </c>
      <c r="M5655" s="1" t="str">
        <f>"104714"</f>
        <v>104714</v>
      </c>
      <c r="N5655" s="1" t="s">
        <v>34</v>
      </c>
      <c r="O5655" s="1" t="s">
        <v>34</v>
      </c>
      <c r="P5655" s="1" t="s">
        <v>55</v>
      </c>
      <c r="Q5655" s="1">
        <v>25</v>
      </c>
      <c r="R5655" s="1">
        <v>25</v>
      </c>
      <c r="S5655" s="1">
        <v>0</v>
      </c>
      <c r="T5655" s="1">
        <v>0</v>
      </c>
      <c r="U5655" s="1">
        <v>0</v>
      </c>
      <c r="V5655" s="1" t="str">
        <f t="shared" si="1100"/>
        <v>里程去程</v>
      </c>
      <c r="W5655" s="1" t="str">
        <f>"2120"</f>
        <v>2120</v>
      </c>
      <c r="X5655" s="1" t="s">
        <v>35</v>
      </c>
    </row>
    <row r="5656" spans="1:24" x14ac:dyDescent="0.3">
      <c r="A5656" s="1" t="str">
        <f t="shared" si="1098"/>
        <v>59823</v>
      </c>
      <c r="B5656" s="1" t="s">
        <v>36</v>
      </c>
      <c r="C5656" s="1" t="s">
        <v>37</v>
      </c>
      <c r="D5656" s="1" t="str">
        <f t="shared" si="1099"/>
        <v>9803</v>
      </c>
      <c r="E5656" s="1" t="s">
        <v>32</v>
      </c>
      <c r="F5656" s="1" t="str">
        <f>"F557900A38180200D200000C22400417"</f>
        <v>F557900A38180200D200000C22400417</v>
      </c>
      <c r="G5656" s="1" t="s">
        <v>58</v>
      </c>
      <c r="H5656" s="1" t="str">
        <f t="shared" si="1096"/>
        <v>20220927</v>
      </c>
      <c r="I5656" s="1" t="str">
        <f>"102702"</f>
        <v>102702</v>
      </c>
      <c r="J5656" s="1" t="s">
        <v>28</v>
      </c>
      <c r="K5656" s="1" t="s">
        <v>28</v>
      </c>
      <c r="L5656" s="1" t="str">
        <f t="shared" si="1097"/>
        <v>20220927</v>
      </c>
      <c r="M5656" s="1" t="str">
        <f>"104752"</f>
        <v>104752</v>
      </c>
      <c r="N5656" s="1" t="s">
        <v>34</v>
      </c>
      <c r="O5656" s="1" t="s">
        <v>34</v>
      </c>
      <c r="P5656" s="1" t="s">
        <v>55</v>
      </c>
      <c r="Q5656" s="1">
        <v>25</v>
      </c>
      <c r="R5656" s="1">
        <v>25</v>
      </c>
      <c r="S5656" s="1">
        <v>0</v>
      </c>
      <c r="T5656" s="1">
        <v>0</v>
      </c>
      <c r="U5656" s="1">
        <v>0</v>
      </c>
      <c r="V5656" s="1" t="str">
        <f t="shared" si="1100"/>
        <v>里程去程</v>
      </c>
      <c r="W5656" s="1" t="str">
        <f>"0020"</f>
        <v>0020</v>
      </c>
      <c r="X5656" s="1" t="s">
        <v>29</v>
      </c>
    </row>
    <row r="5657" spans="1:24" x14ac:dyDescent="0.3">
      <c r="A5657" s="1" t="str">
        <f t="shared" si="1098"/>
        <v>59823</v>
      </c>
      <c r="B5657" s="1" t="s">
        <v>36</v>
      </c>
      <c r="C5657" s="1" t="s">
        <v>37</v>
      </c>
      <c r="D5657" s="1" t="str">
        <f t="shared" si="1099"/>
        <v>9803</v>
      </c>
      <c r="E5657" s="1" t="s">
        <v>32</v>
      </c>
      <c r="F5657" s="1" t="str">
        <f>"975580257"</f>
        <v>975580257</v>
      </c>
      <c r="G5657" s="1" t="s">
        <v>33</v>
      </c>
      <c r="H5657" s="1" t="str">
        <f t="shared" si="1096"/>
        <v>20220927</v>
      </c>
      <c r="I5657" s="1" t="str">
        <f>"112954"</f>
        <v>112954</v>
      </c>
      <c r="J5657" s="1" t="s">
        <v>28</v>
      </c>
      <c r="K5657" s="1" t="s">
        <v>28</v>
      </c>
      <c r="L5657" s="1" t="str">
        <f t="shared" si="1097"/>
        <v>20220927</v>
      </c>
      <c r="M5657" s="1" t="str">
        <f>"114852"</f>
        <v>114852</v>
      </c>
      <c r="N5657" s="1" t="s">
        <v>34</v>
      </c>
      <c r="O5657" s="1" t="s">
        <v>34</v>
      </c>
      <c r="P5657" s="1" t="s">
        <v>55</v>
      </c>
      <c r="Q5657" s="1">
        <v>25</v>
      </c>
      <c r="R5657" s="1">
        <v>25</v>
      </c>
      <c r="S5657" s="1">
        <v>0</v>
      </c>
      <c r="T5657" s="1">
        <v>0</v>
      </c>
      <c r="U5657" s="1">
        <v>0</v>
      </c>
      <c r="V5657" s="1" t="str">
        <f t="shared" si="1100"/>
        <v>里程去程</v>
      </c>
      <c r="W5657" s="1" t="str">
        <f>"0120"</f>
        <v>0120</v>
      </c>
      <c r="X5657" s="1" t="s">
        <v>35</v>
      </c>
    </row>
    <row r="5658" spans="1:24" x14ac:dyDescent="0.3">
      <c r="A5658" s="1" t="str">
        <f t="shared" si="1098"/>
        <v>59823</v>
      </c>
      <c r="B5658" s="1" t="s">
        <v>36</v>
      </c>
      <c r="C5658" s="1" t="s">
        <v>37</v>
      </c>
      <c r="D5658" s="1" t="str">
        <f t="shared" si="1099"/>
        <v>9803</v>
      </c>
      <c r="E5658" s="1" t="s">
        <v>32</v>
      </c>
      <c r="F5658" s="1" t="str">
        <f>"1834142592"</f>
        <v>1834142592</v>
      </c>
      <c r="G5658" s="1" t="s">
        <v>33</v>
      </c>
      <c r="H5658" s="1" t="str">
        <f t="shared" si="1096"/>
        <v>20220927</v>
      </c>
      <c r="I5658" s="1" t="str">
        <f>"113006"</f>
        <v>113006</v>
      </c>
      <c r="J5658" s="1" t="s">
        <v>28</v>
      </c>
      <c r="K5658" s="1" t="s">
        <v>28</v>
      </c>
      <c r="L5658" s="1" t="str">
        <f t="shared" si="1097"/>
        <v>20220927</v>
      </c>
      <c r="M5658" s="1" t="str">
        <f>"114857"</f>
        <v>114857</v>
      </c>
      <c r="N5658" s="1" t="s">
        <v>34</v>
      </c>
      <c r="O5658" s="1" t="s">
        <v>34</v>
      </c>
      <c r="P5658" s="1" t="s">
        <v>55</v>
      </c>
      <c r="Q5658" s="1">
        <v>25</v>
      </c>
      <c r="R5658" s="1">
        <v>25</v>
      </c>
      <c r="S5658" s="1">
        <v>0</v>
      </c>
      <c r="T5658" s="1">
        <v>0</v>
      </c>
      <c r="U5658" s="1">
        <v>0</v>
      </c>
      <c r="V5658" s="1" t="str">
        <f t="shared" si="1100"/>
        <v>里程去程</v>
      </c>
      <c r="W5658" s="1" t="str">
        <f>"0b20"</f>
        <v>0b20</v>
      </c>
      <c r="X5658" s="1" t="s">
        <v>35</v>
      </c>
    </row>
    <row r="5659" spans="1:24" x14ac:dyDescent="0.3">
      <c r="A5659" s="1" t="str">
        <f t="shared" si="1098"/>
        <v>59823</v>
      </c>
      <c r="B5659" s="1" t="s">
        <v>36</v>
      </c>
      <c r="C5659" s="1" t="s">
        <v>37</v>
      </c>
      <c r="D5659" s="1" t="str">
        <f t="shared" si="1099"/>
        <v>9803</v>
      </c>
      <c r="E5659" s="1" t="s">
        <v>32</v>
      </c>
      <c r="F5659" s="1" t="str">
        <f>"243210950"</f>
        <v>243210950</v>
      </c>
      <c r="G5659" s="1" t="s">
        <v>33</v>
      </c>
      <c r="H5659" s="1" t="str">
        <f t="shared" si="1096"/>
        <v>20220927</v>
      </c>
      <c r="I5659" s="1" t="str">
        <f>"113029"</f>
        <v>113029</v>
      </c>
      <c r="J5659" s="1" t="s">
        <v>28</v>
      </c>
      <c r="K5659" s="1" t="s">
        <v>28</v>
      </c>
      <c r="L5659" s="1" t="str">
        <f t="shared" si="1097"/>
        <v>20220927</v>
      </c>
      <c r="M5659" s="1" t="str">
        <f>"114906"</f>
        <v>114906</v>
      </c>
      <c r="N5659" s="1" t="s">
        <v>34</v>
      </c>
      <c r="O5659" s="1" t="s">
        <v>34</v>
      </c>
      <c r="P5659" s="1" t="s">
        <v>55</v>
      </c>
      <c r="Q5659" s="1">
        <v>25</v>
      </c>
      <c r="R5659" s="1">
        <v>25</v>
      </c>
      <c r="S5659" s="1">
        <v>0</v>
      </c>
      <c r="T5659" s="1">
        <v>0</v>
      </c>
      <c r="U5659" s="1">
        <v>0</v>
      </c>
      <c r="V5659" s="1" t="str">
        <f t="shared" si="1100"/>
        <v>里程去程</v>
      </c>
      <c r="W5659" s="1" t="str">
        <f>"2220"</f>
        <v>2220</v>
      </c>
      <c r="X5659" s="1" t="s">
        <v>35</v>
      </c>
    </row>
    <row r="5660" spans="1:24" x14ac:dyDescent="0.3">
      <c r="A5660" s="1" t="str">
        <f t="shared" si="1098"/>
        <v>59823</v>
      </c>
      <c r="B5660" s="1" t="s">
        <v>36</v>
      </c>
      <c r="C5660" s="1" t="s">
        <v>37</v>
      </c>
      <c r="D5660" s="1" t="str">
        <f t="shared" si="1099"/>
        <v>9803</v>
      </c>
      <c r="E5660" s="1" t="s">
        <v>32</v>
      </c>
      <c r="F5660" s="1" t="str">
        <f>"1607599585"</f>
        <v>1607599585</v>
      </c>
      <c r="G5660" s="1" t="s">
        <v>33</v>
      </c>
      <c r="H5660" s="1" t="str">
        <f t="shared" si="1096"/>
        <v>20220927</v>
      </c>
      <c r="I5660" s="1" t="str">
        <f>"120129"</f>
        <v>120129</v>
      </c>
      <c r="J5660" s="1" t="s">
        <v>34</v>
      </c>
      <c r="K5660" s="1" t="s">
        <v>34</v>
      </c>
      <c r="L5660" s="1" t="str">
        <f t="shared" si="1097"/>
        <v>20220927</v>
      </c>
      <c r="M5660" s="1" t="str">
        <f>"122920"</f>
        <v>122920</v>
      </c>
      <c r="N5660" s="1" t="s">
        <v>28</v>
      </c>
      <c r="O5660" s="1" t="s">
        <v>28</v>
      </c>
      <c r="P5660" s="1" t="s">
        <v>55</v>
      </c>
      <c r="Q5660" s="1">
        <v>25</v>
      </c>
      <c r="R5660" s="1">
        <v>25</v>
      </c>
      <c r="S5660" s="1">
        <v>0</v>
      </c>
      <c r="T5660" s="1">
        <v>0</v>
      </c>
      <c r="U5660" s="1">
        <v>0</v>
      </c>
      <c r="V5660" s="1" t="str">
        <f t="shared" ref="V5660:V5665" si="1101">"里程返程"</f>
        <v>里程返程</v>
      </c>
      <c r="W5660" s="1" t="str">
        <f>"2220"</f>
        <v>2220</v>
      </c>
      <c r="X5660" s="1" t="s">
        <v>35</v>
      </c>
    </row>
    <row r="5661" spans="1:24" x14ac:dyDescent="0.3">
      <c r="A5661" s="1" t="str">
        <f t="shared" si="1098"/>
        <v>59823</v>
      </c>
      <c r="B5661" s="1" t="s">
        <v>36</v>
      </c>
      <c r="C5661" s="1" t="s">
        <v>37</v>
      </c>
      <c r="D5661" s="1" t="str">
        <f t="shared" si="1099"/>
        <v>9803</v>
      </c>
      <c r="E5661" s="1" t="s">
        <v>32</v>
      </c>
      <c r="F5661" s="1" t="str">
        <f>"401797825"</f>
        <v>401797825</v>
      </c>
      <c r="G5661" s="1" t="s">
        <v>33</v>
      </c>
      <c r="H5661" s="1" t="str">
        <f t="shared" si="1096"/>
        <v>20220927</v>
      </c>
      <c r="I5661" s="1" t="str">
        <f>"120134"</f>
        <v>120134</v>
      </c>
      <c r="J5661" s="1" t="s">
        <v>34</v>
      </c>
      <c r="K5661" s="1" t="s">
        <v>34</v>
      </c>
      <c r="L5661" s="1" t="str">
        <f t="shared" si="1097"/>
        <v>20220927</v>
      </c>
      <c r="M5661" s="1" t="str">
        <f>"122954"</f>
        <v>122954</v>
      </c>
      <c r="N5661" s="1" t="s">
        <v>28</v>
      </c>
      <c r="O5661" s="1" t="s">
        <v>28</v>
      </c>
      <c r="P5661" s="1" t="s">
        <v>55</v>
      </c>
      <c r="Q5661" s="1">
        <v>25</v>
      </c>
      <c r="R5661" s="1">
        <v>25</v>
      </c>
      <c r="S5661" s="1">
        <v>0</v>
      </c>
      <c r="T5661" s="1">
        <v>0</v>
      </c>
      <c r="U5661" s="1">
        <v>0</v>
      </c>
      <c r="V5661" s="1" t="str">
        <f t="shared" si="1101"/>
        <v>里程返程</v>
      </c>
      <c r="W5661" s="1" t="str">
        <f>"0320"</f>
        <v>0320</v>
      </c>
      <c r="X5661" s="1" t="s">
        <v>35</v>
      </c>
    </row>
    <row r="5662" spans="1:24" x14ac:dyDescent="0.3">
      <c r="A5662" s="1" t="str">
        <f t="shared" si="1098"/>
        <v>59823</v>
      </c>
      <c r="B5662" s="1" t="s">
        <v>36</v>
      </c>
      <c r="C5662" s="1" t="s">
        <v>37</v>
      </c>
      <c r="D5662" s="1" t="str">
        <f t="shared" si="1099"/>
        <v>9803</v>
      </c>
      <c r="E5662" s="1" t="s">
        <v>32</v>
      </c>
      <c r="F5662" s="1" t="str">
        <f>"1252613393"</f>
        <v>1252613393</v>
      </c>
      <c r="G5662" s="1" t="s">
        <v>33</v>
      </c>
      <c r="H5662" s="1" t="str">
        <f t="shared" si="1096"/>
        <v>20220927</v>
      </c>
      <c r="I5662" s="1" t="str">
        <f>"120145"</f>
        <v>120145</v>
      </c>
      <c r="J5662" s="1" t="s">
        <v>34</v>
      </c>
      <c r="K5662" s="1" t="s">
        <v>34</v>
      </c>
      <c r="L5662" s="1" t="str">
        <f t="shared" si="1097"/>
        <v>20220927</v>
      </c>
      <c r="M5662" s="1" t="str">
        <f>"122936"</f>
        <v>122936</v>
      </c>
      <c r="N5662" s="1" t="s">
        <v>28</v>
      </c>
      <c r="O5662" s="1" t="s">
        <v>28</v>
      </c>
      <c r="P5662" s="1" t="s">
        <v>55</v>
      </c>
      <c r="Q5662" s="1">
        <v>25</v>
      </c>
      <c r="R5662" s="1">
        <v>25</v>
      </c>
      <c r="S5662" s="1">
        <v>0</v>
      </c>
      <c r="T5662" s="1">
        <v>0</v>
      </c>
      <c r="U5662" s="1">
        <v>0</v>
      </c>
      <c r="V5662" s="1" t="str">
        <f t="shared" si="1101"/>
        <v>里程返程</v>
      </c>
      <c r="W5662" s="1" t="str">
        <f>"0120"</f>
        <v>0120</v>
      </c>
      <c r="X5662" s="1" t="s">
        <v>35</v>
      </c>
    </row>
    <row r="5663" spans="1:24" x14ac:dyDescent="0.3">
      <c r="A5663" s="1" t="str">
        <f t="shared" si="1098"/>
        <v>59823</v>
      </c>
      <c r="B5663" s="1" t="s">
        <v>36</v>
      </c>
      <c r="C5663" s="1" t="s">
        <v>37</v>
      </c>
      <c r="D5663" s="1" t="str">
        <f t="shared" si="1099"/>
        <v>9803</v>
      </c>
      <c r="E5663" s="1" t="s">
        <v>32</v>
      </c>
      <c r="F5663" s="1" t="str">
        <f>"1485466913"</f>
        <v>1485466913</v>
      </c>
      <c r="G5663" s="1" t="s">
        <v>33</v>
      </c>
      <c r="H5663" s="1" t="str">
        <f t="shared" si="1096"/>
        <v>20220927</v>
      </c>
      <c r="I5663" s="1" t="str">
        <f>"120152"</f>
        <v>120152</v>
      </c>
      <c r="J5663" s="1" t="s">
        <v>34</v>
      </c>
      <c r="K5663" s="1" t="s">
        <v>34</v>
      </c>
      <c r="L5663" s="1" t="str">
        <f t="shared" si="1097"/>
        <v>20220927</v>
      </c>
      <c r="M5663" s="1" t="str">
        <f>"122947"</f>
        <v>122947</v>
      </c>
      <c r="N5663" s="1" t="s">
        <v>28</v>
      </c>
      <c r="O5663" s="1" t="s">
        <v>28</v>
      </c>
      <c r="P5663" s="1" t="s">
        <v>55</v>
      </c>
      <c r="Q5663" s="1">
        <v>25</v>
      </c>
      <c r="R5663" s="1">
        <v>25</v>
      </c>
      <c r="S5663" s="1">
        <v>0</v>
      </c>
      <c r="T5663" s="1">
        <v>0</v>
      </c>
      <c r="U5663" s="1">
        <v>0</v>
      </c>
      <c r="V5663" s="1" t="str">
        <f t="shared" si="1101"/>
        <v>里程返程</v>
      </c>
      <c r="W5663" s="1" t="str">
        <f>"2020"</f>
        <v>2020</v>
      </c>
      <c r="X5663" s="1" t="s">
        <v>35</v>
      </c>
    </row>
    <row r="5664" spans="1:24" x14ac:dyDescent="0.3">
      <c r="A5664" s="1" t="str">
        <f t="shared" si="1098"/>
        <v>59823</v>
      </c>
      <c r="B5664" s="1" t="s">
        <v>36</v>
      </c>
      <c r="C5664" s="1" t="s">
        <v>37</v>
      </c>
      <c r="D5664" s="1" t="str">
        <f t="shared" si="1099"/>
        <v>9803</v>
      </c>
      <c r="E5664" s="1" t="s">
        <v>32</v>
      </c>
      <c r="F5664" s="1" t="str">
        <f>"1685724325"</f>
        <v>1685724325</v>
      </c>
      <c r="G5664" s="1" t="s">
        <v>33</v>
      </c>
      <c r="H5664" s="1" t="str">
        <f t="shared" si="1096"/>
        <v>20220927</v>
      </c>
      <c r="I5664" s="1" t="str">
        <f>"120158"</f>
        <v>120158</v>
      </c>
      <c r="J5664" s="1" t="s">
        <v>34</v>
      </c>
      <c r="K5664" s="1" t="s">
        <v>34</v>
      </c>
      <c r="L5664" s="1" t="str">
        <f t="shared" si="1097"/>
        <v>20220927</v>
      </c>
      <c r="M5664" s="1" t="str">
        <f>"122925"</f>
        <v>122925</v>
      </c>
      <c r="N5664" s="1" t="s">
        <v>28</v>
      </c>
      <c r="O5664" s="1" t="s">
        <v>28</v>
      </c>
      <c r="P5664" s="1" t="s">
        <v>55</v>
      </c>
      <c r="Q5664" s="1">
        <v>25</v>
      </c>
      <c r="R5664" s="1">
        <v>25</v>
      </c>
      <c r="S5664" s="1">
        <v>0</v>
      </c>
      <c r="T5664" s="1">
        <v>0</v>
      </c>
      <c r="U5664" s="1">
        <v>0</v>
      </c>
      <c r="V5664" s="1" t="str">
        <f t="shared" si="1101"/>
        <v>里程返程</v>
      </c>
      <c r="W5664" s="1" t="str">
        <f>"2020"</f>
        <v>2020</v>
      </c>
      <c r="X5664" s="1" t="s">
        <v>35</v>
      </c>
    </row>
    <row r="5665" spans="1:24" x14ac:dyDescent="0.3">
      <c r="A5665" s="1" t="str">
        <f t="shared" si="1098"/>
        <v>59823</v>
      </c>
      <c r="B5665" s="1" t="s">
        <v>36</v>
      </c>
      <c r="C5665" s="1" t="s">
        <v>37</v>
      </c>
      <c r="D5665" s="1" t="str">
        <f t="shared" si="1099"/>
        <v>9803</v>
      </c>
      <c r="E5665" s="1" t="s">
        <v>32</v>
      </c>
      <c r="F5665" s="1" t="str">
        <f>"F1CFF23FF3280400F700000000000000"</f>
        <v>F1CFF23FF3280400F700000000000000</v>
      </c>
      <c r="G5665" s="1" t="s">
        <v>58</v>
      </c>
      <c r="H5665" s="1" t="str">
        <f t="shared" si="1096"/>
        <v>20220927</v>
      </c>
      <c r="I5665" s="1" t="str">
        <f>"120202"</f>
        <v>120202</v>
      </c>
      <c r="J5665" s="1" t="s">
        <v>34</v>
      </c>
      <c r="K5665" s="1" t="s">
        <v>34</v>
      </c>
      <c r="L5665" s="1" t="str">
        <f t="shared" si="1097"/>
        <v>20220927</v>
      </c>
      <c r="M5665" s="1" t="str">
        <f>"122932"</f>
        <v>122932</v>
      </c>
      <c r="N5665" s="1" t="s">
        <v>28</v>
      </c>
      <c r="O5665" s="1" t="s">
        <v>28</v>
      </c>
      <c r="P5665" s="1" t="s">
        <v>55</v>
      </c>
      <c r="Q5665" s="1">
        <v>25</v>
      </c>
      <c r="R5665" s="1">
        <v>25</v>
      </c>
      <c r="S5665" s="1">
        <v>0</v>
      </c>
      <c r="T5665" s="1">
        <v>0</v>
      </c>
      <c r="U5665" s="1">
        <v>0</v>
      </c>
      <c r="V5665" s="1" t="str">
        <f t="shared" si="1101"/>
        <v>里程返程</v>
      </c>
      <c r="W5665" s="1" t="str">
        <f>"0020"</f>
        <v>0020</v>
      </c>
      <c r="X5665" s="1" t="s">
        <v>29</v>
      </c>
    </row>
    <row r="5666" spans="1:24" x14ac:dyDescent="0.3">
      <c r="A5666" s="1" t="str">
        <f t="shared" si="1098"/>
        <v>59823</v>
      </c>
      <c r="B5666" s="1" t="s">
        <v>36</v>
      </c>
      <c r="C5666" s="1" t="s">
        <v>37</v>
      </c>
      <c r="D5666" s="1" t="str">
        <f t="shared" si="1099"/>
        <v>9803</v>
      </c>
      <c r="E5666" s="1" t="s">
        <v>32</v>
      </c>
      <c r="F5666" s="1" t="str">
        <f>"1055043013"</f>
        <v>1055043013</v>
      </c>
      <c r="G5666" s="1" t="s">
        <v>33</v>
      </c>
      <c r="H5666" s="1" t="str">
        <f t="shared" si="1096"/>
        <v>20220927</v>
      </c>
      <c r="I5666" s="1" t="str">
        <f>"123039"</f>
        <v>123039</v>
      </c>
      <c r="J5666" s="1" t="s">
        <v>28</v>
      </c>
      <c r="K5666" s="1" t="s">
        <v>28</v>
      </c>
      <c r="L5666" s="1" t="str">
        <f t="shared" si="1097"/>
        <v>20220927</v>
      </c>
      <c r="M5666" s="1" t="str">
        <f>"124911"</f>
        <v>124911</v>
      </c>
      <c r="N5666" s="1" t="s">
        <v>34</v>
      </c>
      <c r="O5666" s="1" t="s">
        <v>34</v>
      </c>
      <c r="P5666" s="1" t="s">
        <v>55</v>
      </c>
      <c r="Q5666" s="1">
        <v>25</v>
      </c>
      <c r="R5666" s="1">
        <v>25</v>
      </c>
      <c r="S5666" s="1">
        <v>0</v>
      </c>
      <c r="T5666" s="1">
        <v>0</v>
      </c>
      <c r="U5666" s="1">
        <v>0</v>
      </c>
      <c r="V5666" s="1" t="str">
        <f>"里程去程"</f>
        <v>里程去程</v>
      </c>
      <c r="W5666" s="1" t="str">
        <f>"1320"</f>
        <v>1320</v>
      </c>
      <c r="X5666" s="1" t="s">
        <v>35</v>
      </c>
    </row>
    <row r="5667" spans="1:24" x14ac:dyDescent="0.3">
      <c r="A5667" s="1" t="str">
        <f t="shared" si="1098"/>
        <v>59823</v>
      </c>
      <c r="B5667" s="1" t="s">
        <v>36</v>
      </c>
      <c r="C5667" s="1" t="s">
        <v>37</v>
      </c>
      <c r="D5667" s="1" t="str">
        <f t="shared" si="1099"/>
        <v>9803</v>
      </c>
      <c r="E5667" s="1" t="s">
        <v>32</v>
      </c>
      <c r="F5667" s="1" t="str">
        <f>"896307329"</f>
        <v>896307329</v>
      </c>
      <c r="G5667" s="1" t="s">
        <v>33</v>
      </c>
      <c r="H5667" s="1" t="str">
        <f t="shared" si="1096"/>
        <v>20220927</v>
      </c>
      <c r="I5667" s="1" t="str">
        <f>"123044"</f>
        <v>123044</v>
      </c>
      <c r="J5667" s="1" t="s">
        <v>28</v>
      </c>
      <c r="K5667" s="1" t="s">
        <v>28</v>
      </c>
      <c r="L5667" s="1" t="str">
        <f t="shared" si="1097"/>
        <v>20220927</v>
      </c>
      <c r="M5667" s="1" t="str">
        <f>"124928"</f>
        <v>124928</v>
      </c>
      <c r="N5667" s="1" t="s">
        <v>34</v>
      </c>
      <c r="O5667" s="1" t="s">
        <v>34</v>
      </c>
      <c r="P5667" s="1" t="s">
        <v>55</v>
      </c>
      <c r="Q5667" s="1">
        <v>25</v>
      </c>
      <c r="R5667" s="1">
        <v>25</v>
      </c>
      <c r="S5667" s="1">
        <v>0</v>
      </c>
      <c r="T5667" s="1">
        <v>0</v>
      </c>
      <c r="U5667" s="1">
        <v>0</v>
      </c>
      <c r="V5667" s="1" t="str">
        <f>"里程去程"</f>
        <v>里程去程</v>
      </c>
      <c r="W5667" s="1" t="str">
        <f>"0920"</f>
        <v>0920</v>
      </c>
      <c r="X5667" s="1" t="s">
        <v>35</v>
      </c>
    </row>
    <row r="5668" spans="1:24" x14ac:dyDescent="0.3">
      <c r="A5668" s="1" t="str">
        <f t="shared" si="1098"/>
        <v>59823</v>
      </c>
      <c r="B5668" s="1" t="s">
        <v>36</v>
      </c>
      <c r="C5668" s="1" t="s">
        <v>37</v>
      </c>
      <c r="D5668" s="1" t="str">
        <f t="shared" si="1099"/>
        <v>9803</v>
      </c>
      <c r="E5668" s="1" t="s">
        <v>32</v>
      </c>
      <c r="F5668" s="1" t="str">
        <f>"6AC54632DB880400C08E1E9145504012"</f>
        <v>6AC54632DB880400C08E1E9145504012</v>
      </c>
      <c r="G5668" s="1" t="s">
        <v>58</v>
      </c>
      <c r="H5668" s="1" t="str">
        <f t="shared" si="1096"/>
        <v>20220927</v>
      </c>
      <c r="I5668" s="1" t="str">
        <f>"123109"</f>
        <v>123109</v>
      </c>
      <c r="J5668" s="1" t="s">
        <v>28</v>
      </c>
      <c r="K5668" s="1" t="s">
        <v>28</v>
      </c>
      <c r="L5668" s="1" t="str">
        <f t="shared" si="1097"/>
        <v>20220927</v>
      </c>
      <c r="M5668" s="1" t="str">
        <f>"124924"</f>
        <v>124924</v>
      </c>
      <c r="N5668" s="1" t="s">
        <v>34</v>
      </c>
      <c r="O5668" s="1" t="s">
        <v>34</v>
      </c>
      <c r="P5668" s="1" t="s">
        <v>55</v>
      </c>
      <c r="Q5668" s="1">
        <v>25</v>
      </c>
      <c r="R5668" s="1">
        <v>25</v>
      </c>
      <c r="S5668" s="1">
        <v>0</v>
      </c>
      <c r="T5668" s="1">
        <v>0</v>
      </c>
      <c r="U5668" s="1">
        <v>0</v>
      </c>
      <c r="V5668" s="1" t="str">
        <f>"里程去程"</f>
        <v>里程去程</v>
      </c>
      <c r="W5668" s="1" t="str">
        <f>"0020"</f>
        <v>0020</v>
      </c>
      <c r="X5668" s="1" t="s">
        <v>29</v>
      </c>
    </row>
    <row r="5669" spans="1:24" x14ac:dyDescent="0.3">
      <c r="A5669" s="1" t="str">
        <f t="shared" si="1098"/>
        <v>59823</v>
      </c>
      <c r="B5669" s="1" t="s">
        <v>36</v>
      </c>
      <c r="C5669" s="1" t="s">
        <v>37</v>
      </c>
      <c r="D5669" s="1" t="str">
        <f t="shared" si="1099"/>
        <v>9803</v>
      </c>
      <c r="E5669" s="1" t="s">
        <v>32</v>
      </c>
      <c r="F5669" s="1" t="str">
        <f>"240040341"</f>
        <v>240040341</v>
      </c>
      <c r="G5669" s="1" t="s">
        <v>33</v>
      </c>
      <c r="H5669" s="1" t="str">
        <f t="shared" ref="H5669:H5700" si="1102">"20220927"</f>
        <v>20220927</v>
      </c>
      <c r="I5669" s="1" t="str">
        <f>"123117"</f>
        <v>123117</v>
      </c>
      <c r="J5669" s="1" t="s">
        <v>28</v>
      </c>
      <c r="K5669" s="1" t="s">
        <v>28</v>
      </c>
      <c r="L5669" s="1" t="str">
        <f t="shared" si="1097"/>
        <v>20220927</v>
      </c>
      <c r="M5669" s="1" t="str">
        <f>"124918"</f>
        <v>124918</v>
      </c>
      <c r="N5669" s="1" t="s">
        <v>34</v>
      </c>
      <c r="O5669" s="1" t="s">
        <v>34</v>
      </c>
      <c r="P5669" s="1" t="s">
        <v>55</v>
      </c>
      <c r="Q5669" s="1">
        <v>25</v>
      </c>
      <c r="R5669" s="1">
        <v>25</v>
      </c>
      <c r="S5669" s="1">
        <v>0</v>
      </c>
      <c r="T5669" s="1">
        <v>0</v>
      </c>
      <c r="U5669" s="1">
        <v>0</v>
      </c>
      <c r="V5669" s="1" t="str">
        <f>"里程去程"</f>
        <v>里程去程</v>
      </c>
      <c r="W5669" s="1" t="str">
        <f>"0820"</f>
        <v>0820</v>
      </c>
      <c r="X5669" s="1" t="s">
        <v>35</v>
      </c>
    </row>
    <row r="5670" spans="1:24" x14ac:dyDescent="0.3">
      <c r="A5670" s="1" t="str">
        <f t="shared" si="1098"/>
        <v>59823</v>
      </c>
      <c r="B5670" s="1" t="s">
        <v>36</v>
      </c>
      <c r="C5670" s="1" t="s">
        <v>37</v>
      </c>
      <c r="D5670" s="1" t="str">
        <f t="shared" si="1099"/>
        <v>9803</v>
      </c>
      <c r="E5670" s="1" t="s">
        <v>32</v>
      </c>
      <c r="F5670" s="1" t="str">
        <f>"1823741057"</f>
        <v>1823741057</v>
      </c>
      <c r="G5670" s="1" t="s">
        <v>33</v>
      </c>
      <c r="H5670" s="1" t="str">
        <f t="shared" si="1102"/>
        <v>20220927</v>
      </c>
      <c r="I5670" s="1" t="str">
        <f>"123209"</f>
        <v>123209</v>
      </c>
      <c r="J5670" s="1" t="s">
        <v>28</v>
      </c>
      <c r="K5670" s="1" t="s">
        <v>28</v>
      </c>
      <c r="L5670" s="1" t="str">
        <f t="shared" si="1097"/>
        <v>20220927</v>
      </c>
      <c r="M5670" s="1" t="str">
        <f>"124852"</f>
        <v>124852</v>
      </c>
      <c r="N5670" s="1" t="s">
        <v>34</v>
      </c>
      <c r="O5670" s="1" t="s">
        <v>34</v>
      </c>
      <c r="P5670" s="1" t="s">
        <v>55</v>
      </c>
      <c r="Q5670" s="1">
        <v>25</v>
      </c>
      <c r="R5670" s="1">
        <v>25</v>
      </c>
      <c r="S5670" s="1">
        <v>0</v>
      </c>
      <c r="T5670" s="1">
        <v>0</v>
      </c>
      <c r="U5670" s="1">
        <v>0</v>
      </c>
      <c r="V5670" s="1" t="str">
        <f>"里程去程"</f>
        <v>里程去程</v>
      </c>
      <c r="W5670" s="1" t="str">
        <f>"1420"</f>
        <v>1420</v>
      </c>
      <c r="X5670" s="1" t="s">
        <v>35</v>
      </c>
    </row>
    <row r="5671" spans="1:24" x14ac:dyDescent="0.3">
      <c r="A5671" s="1" t="str">
        <f t="shared" si="1098"/>
        <v>59823</v>
      </c>
      <c r="B5671" s="1" t="s">
        <v>36</v>
      </c>
      <c r="C5671" s="1" t="s">
        <v>37</v>
      </c>
      <c r="D5671" s="1" t="str">
        <f t="shared" si="1099"/>
        <v>9803</v>
      </c>
      <c r="E5671" s="1" t="s">
        <v>32</v>
      </c>
      <c r="F5671" s="1" t="str">
        <f>"598915048"</f>
        <v>598915048</v>
      </c>
      <c r="G5671" s="1" t="s">
        <v>26</v>
      </c>
      <c r="H5671" s="1" t="str">
        <f t="shared" si="1102"/>
        <v>20220927</v>
      </c>
      <c r="I5671" s="1" t="str">
        <f>"130051"</f>
        <v>130051</v>
      </c>
      <c r="J5671" s="1" t="s">
        <v>34</v>
      </c>
      <c r="K5671" s="1" t="s">
        <v>34</v>
      </c>
      <c r="L5671" s="1" t="str">
        <f t="shared" si="1097"/>
        <v>20220927</v>
      </c>
      <c r="M5671" s="1" t="str">
        <f>"132548"</f>
        <v>132548</v>
      </c>
      <c r="N5671" s="1" t="s">
        <v>28</v>
      </c>
      <c r="O5671" s="1" t="s">
        <v>28</v>
      </c>
      <c r="P5671" s="1" t="s">
        <v>55</v>
      </c>
      <c r="Q5671" s="1">
        <v>13</v>
      </c>
      <c r="R5671" s="1">
        <v>13</v>
      </c>
      <c r="S5671" s="1">
        <v>0</v>
      </c>
      <c r="T5671" s="1">
        <v>0</v>
      </c>
      <c r="U5671" s="1">
        <v>0</v>
      </c>
      <c r="V5671" s="1" t="str">
        <f t="shared" ref="V5671:V5682" si="1103">"里程返程"</f>
        <v>里程返程</v>
      </c>
      <c r="W5671" s="1" t="str">
        <f>"2020"</f>
        <v>2020</v>
      </c>
      <c r="X5671" s="1" t="s">
        <v>35</v>
      </c>
    </row>
    <row r="5672" spans="1:24" x14ac:dyDescent="0.3">
      <c r="A5672" s="1" t="str">
        <f t="shared" ref="A5672:A5695" si="1104">"59825"</f>
        <v>59825</v>
      </c>
      <c r="B5672" s="1" t="s">
        <v>30</v>
      </c>
      <c r="C5672" s="1" t="s">
        <v>31</v>
      </c>
      <c r="D5672" s="1" t="str">
        <f t="shared" ref="D5672:D5682" si="1105">"9801"</f>
        <v>9801</v>
      </c>
      <c r="E5672" s="1" t="s">
        <v>25</v>
      </c>
      <c r="F5672" s="1" t="str">
        <f>"F29BD102BA880400C834002000000015"</f>
        <v>F29BD102BA880400C834002000000015</v>
      </c>
      <c r="G5672" s="1" t="s">
        <v>26</v>
      </c>
      <c r="H5672" s="1" t="str">
        <f t="shared" si="1102"/>
        <v>20220927</v>
      </c>
      <c r="I5672" s="1" t="str">
        <f>"083215"</f>
        <v>083215</v>
      </c>
      <c r="J5672" s="1" t="s">
        <v>44</v>
      </c>
      <c r="K5672" s="1" t="s">
        <v>45</v>
      </c>
      <c r="L5672" s="1" t="str">
        <f t="shared" si="1097"/>
        <v>20220927</v>
      </c>
      <c r="M5672" s="1" t="str">
        <f>"085405"</f>
        <v>085405</v>
      </c>
      <c r="N5672" s="1" t="s">
        <v>28</v>
      </c>
      <c r="O5672" s="1" t="s">
        <v>28</v>
      </c>
      <c r="P5672" s="1" t="s">
        <v>68</v>
      </c>
      <c r="Q5672" s="1">
        <v>13</v>
      </c>
      <c r="R5672" s="1">
        <v>0</v>
      </c>
      <c r="S5672" s="1">
        <v>0</v>
      </c>
      <c r="T5672" s="1">
        <v>13</v>
      </c>
      <c r="U5672" s="1">
        <v>0</v>
      </c>
      <c r="V5672" s="1" t="str">
        <f t="shared" si="1103"/>
        <v>里程返程</v>
      </c>
      <c r="W5672" s="1" t="str">
        <f>"0020"</f>
        <v>0020</v>
      </c>
      <c r="X5672" s="1" t="s">
        <v>29</v>
      </c>
    </row>
    <row r="5673" spans="1:24" x14ac:dyDescent="0.3">
      <c r="A5673" s="1" t="str">
        <f t="shared" si="1104"/>
        <v>59825</v>
      </c>
      <c r="B5673" s="1" t="s">
        <v>30</v>
      </c>
      <c r="C5673" s="1" t="s">
        <v>31</v>
      </c>
      <c r="D5673" s="1" t="str">
        <f t="shared" si="1105"/>
        <v>9801</v>
      </c>
      <c r="E5673" s="1" t="s">
        <v>25</v>
      </c>
      <c r="F5673" s="1" t="str">
        <f>"03A6A9454988040048B994D749703809"</f>
        <v>03A6A9454988040048B994D749703809</v>
      </c>
      <c r="G5673" s="1" t="s">
        <v>64</v>
      </c>
      <c r="H5673" s="1" t="str">
        <f t="shared" si="1102"/>
        <v>20220927</v>
      </c>
      <c r="I5673" s="1" t="str">
        <f>"085435"</f>
        <v>085435</v>
      </c>
      <c r="J5673" s="1" t="s">
        <v>28</v>
      </c>
      <c r="K5673" s="1" t="s">
        <v>28</v>
      </c>
      <c r="L5673" s="1" t="str">
        <f t="shared" si="1097"/>
        <v>20220927</v>
      </c>
      <c r="M5673" s="1" t="str">
        <f>"090625"</f>
        <v>090625</v>
      </c>
      <c r="N5673" s="1" t="s">
        <v>78</v>
      </c>
      <c r="O5673" s="1" t="s">
        <v>52</v>
      </c>
      <c r="P5673" s="1" t="s">
        <v>55</v>
      </c>
      <c r="Q5673" s="1">
        <v>13</v>
      </c>
      <c r="R5673" s="1">
        <v>13</v>
      </c>
      <c r="S5673" s="1">
        <v>0</v>
      </c>
      <c r="T5673" s="1">
        <v>0</v>
      </c>
      <c r="U5673" s="1">
        <v>0</v>
      </c>
      <c r="V5673" s="1" t="str">
        <f t="shared" si="1103"/>
        <v>里程返程</v>
      </c>
      <c r="W5673" s="1" t="str">
        <f>"0020"</f>
        <v>0020</v>
      </c>
      <c r="X5673" s="1" t="s">
        <v>29</v>
      </c>
    </row>
    <row r="5674" spans="1:24" x14ac:dyDescent="0.3">
      <c r="A5674" s="1" t="str">
        <f t="shared" si="1104"/>
        <v>59825</v>
      </c>
      <c r="B5674" s="1" t="s">
        <v>30</v>
      </c>
      <c r="C5674" s="1" t="s">
        <v>31</v>
      </c>
      <c r="D5674" s="1" t="str">
        <f t="shared" si="1105"/>
        <v>9801</v>
      </c>
      <c r="E5674" s="1" t="s">
        <v>25</v>
      </c>
      <c r="F5674" s="1" t="str">
        <f>"F2C64D0E77880400C806002000000018"</f>
        <v>F2C64D0E77880400C806002000000018</v>
      </c>
      <c r="G5674" s="1" t="s">
        <v>58</v>
      </c>
      <c r="H5674" s="1" t="str">
        <f t="shared" si="1102"/>
        <v>20220927</v>
      </c>
      <c r="I5674" s="1" t="str">
        <f>"095319"</f>
        <v>095319</v>
      </c>
      <c r="J5674" s="1" t="s">
        <v>28</v>
      </c>
      <c r="K5674" s="1" t="s">
        <v>28</v>
      </c>
      <c r="L5674" s="1" t="str">
        <f t="shared" si="1097"/>
        <v>20220927</v>
      </c>
      <c r="M5674" s="1" t="str">
        <f>"101103"</f>
        <v>101103</v>
      </c>
      <c r="N5674" s="1" t="s">
        <v>80</v>
      </c>
      <c r="O5674" s="1" t="s">
        <v>52</v>
      </c>
      <c r="P5674" s="1" t="s">
        <v>55</v>
      </c>
      <c r="Q5674" s="1">
        <v>25</v>
      </c>
      <c r="R5674" s="1">
        <v>25</v>
      </c>
      <c r="S5674" s="1">
        <v>0</v>
      </c>
      <c r="T5674" s="1">
        <v>0</v>
      </c>
      <c r="U5674" s="1">
        <v>0</v>
      </c>
      <c r="V5674" s="1" t="str">
        <f t="shared" si="1103"/>
        <v>里程返程</v>
      </c>
      <c r="W5674" s="1" t="str">
        <f>"0020"</f>
        <v>0020</v>
      </c>
      <c r="X5674" s="1" t="s">
        <v>29</v>
      </c>
    </row>
    <row r="5675" spans="1:24" x14ac:dyDescent="0.3">
      <c r="A5675" s="1" t="str">
        <f t="shared" si="1104"/>
        <v>59825</v>
      </c>
      <c r="B5675" s="1" t="s">
        <v>30</v>
      </c>
      <c r="C5675" s="1" t="s">
        <v>31</v>
      </c>
      <c r="D5675" s="1" t="str">
        <f t="shared" si="1105"/>
        <v>9801</v>
      </c>
      <c r="E5675" s="1" t="s">
        <v>25</v>
      </c>
      <c r="F5675" s="1" t="str">
        <f>"1664180097"</f>
        <v>1664180097</v>
      </c>
      <c r="G5675" s="1" t="s">
        <v>33</v>
      </c>
      <c r="H5675" s="1" t="str">
        <f t="shared" si="1102"/>
        <v>20220927</v>
      </c>
      <c r="I5675" s="1" t="str">
        <f>"095344"</f>
        <v>095344</v>
      </c>
      <c r="J5675" s="1" t="s">
        <v>28</v>
      </c>
      <c r="K5675" s="1" t="s">
        <v>28</v>
      </c>
      <c r="L5675" s="1" t="str">
        <f t="shared" si="1097"/>
        <v>20220927</v>
      </c>
      <c r="M5675" s="1" t="str">
        <f>"101222"</f>
        <v>101222</v>
      </c>
      <c r="N5675" s="1" t="s">
        <v>97</v>
      </c>
      <c r="O5675" s="1" t="s">
        <v>52</v>
      </c>
      <c r="P5675" s="1" t="s">
        <v>55</v>
      </c>
      <c r="Q5675" s="1">
        <v>25</v>
      </c>
      <c r="R5675" s="1">
        <v>25</v>
      </c>
      <c r="S5675" s="1">
        <v>0</v>
      </c>
      <c r="T5675" s="1">
        <v>0</v>
      </c>
      <c r="U5675" s="1">
        <v>0</v>
      </c>
      <c r="V5675" s="1" t="str">
        <f t="shared" si="1103"/>
        <v>里程返程</v>
      </c>
      <c r="W5675" s="1" t="str">
        <f>"1420"</f>
        <v>1420</v>
      </c>
      <c r="X5675" s="1" t="s">
        <v>35</v>
      </c>
    </row>
    <row r="5676" spans="1:24" x14ac:dyDescent="0.3">
      <c r="A5676" s="1" t="str">
        <f t="shared" si="1104"/>
        <v>59825</v>
      </c>
      <c r="B5676" s="1" t="s">
        <v>30</v>
      </c>
      <c r="C5676" s="1" t="s">
        <v>31</v>
      </c>
      <c r="D5676" s="1" t="str">
        <f t="shared" si="1105"/>
        <v>9801</v>
      </c>
      <c r="E5676" s="1" t="s">
        <v>25</v>
      </c>
      <c r="F5676" s="1" t="str">
        <f>"3590070259"</f>
        <v>3590070259</v>
      </c>
      <c r="G5676" s="1" t="s">
        <v>33</v>
      </c>
      <c r="H5676" s="1" t="str">
        <f t="shared" si="1102"/>
        <v>20220927</v>
      </c>
      <c r="I5676" s="1" t="str">
        <f>"095419"</f>
        <v>095419</v>
      </c>
      <c r="J5676" s="1" t="s">
        <v>28</v>
      </c>
      <c r="K5676" s="1" t="s">
        <v>28</v>
      </c>
      <c r="L5676" s="1" t="str">
        <f t="shared" ref="L5676:L5707" si="1106">"20220927"</f>
        <v>20220927</v>
      </c>
      <c r="M5676" s="1" t="str">
        <f>"102409"</f>
        <v>102409</v>
      </c>
      <c r="N5676" s="1" t="s">
        <v>52</v>
      </c>
      <c r="O5676" s="1" t="s">
        <v>52</v>
      </c>
      <c r="P5676" s="1" t="s">
        <v>55</v>
      </c>
      <c r="Q5676" s="1">
        <v>25</v>
      </c>
      <c r="R5676" s="1">
        <v>25</v>
      </c>
      <c r="S5676" s="1">
        <v>0</v>
      </c>
      <c r="T5676" s="1">
        <v>0</v>
      </c>
      <c r="U5676" s="1">
        <v>0</v>
      </c>
      <c r="V5676" s="1" t="str">
        <f t="shared" si="1103"/>
        <v>里程返程</v>
      </c>
      <c r="W5676" s="1" t="str">
        <f>"0820"</f>
        <v>0820</v>
      </c>
      <c r="X5676" s="1" t="s">
        <v>35</v>
      </c>
    </row>
    <row r="5677" spans="1:24" x14ac:dyDescent="0.3">
      <c r="A5677" s="1" t="str">
        <f t="shared" si="1104"/>
        <v>59825</v>
      </c>
      <c r="B5677" s="1" t="s">
        <v>30</v>
      </c>
      <c r="C5677" s="1" t="s">
        <v>31</v>
      </c>
      <c r="D5677" s="1" t="str">
        <f t="shared" si="1105"/>
        <v>9801</v>
      </c>
      <c r="E5677" s="1" t="s">
        <v>25</v>
      </c>
      <c r="F5677" s="1" t="str">
        <f>"310498817"</f>
        <v>310498817</v>
      </c>
      <c r="G5677" s="1" t="s">
        <v>74</v>
      </c>
      <c r="H5677" s="1" t="str">
        <f t="shared" si="1102"/>
        <v>20220927</v>
      </c>
      <c r="I5677" s="1" t="str">
        <f>"102009"</f>
        <v>102009</v>
      </c>
      <c r="J5677" s="1" t="s">
        <v>60</v>
      </c>
      <c r="K5677" s="1" t="s">
        <v>52</v>
      </c>
      <c r="L5677" s="1" t="str">
        <f t="shared" si="1106"/>
        <v>20220927</v>
      </c>
      <c r="M5677" s="1" t="str">
        <f>"102403"</f>
        <v>102403</v>
      </c>
      <c r="N5677" s="1" t="s">
        <v>52</v>
      </c>
      <c r="O5677" s="1" t="s">
        <v>52</v>
      </c>
      <c r="P5677" s="1" t="s">
        <v>55</v>
      </c>
      <c r="Q5677" s="1">
        <v>13</v>
      </c>
      <c r="R5677" s="1">
        <v>13</v>
      </c>
      <c r="S5677" s="1">
        <v>0</v>
      </c>
      <c r="T5677" s="1">
        <v>0</v>
      </c>
      <c r="U5677" s="1">
        <v>0</v>
      </c>
      <c r="V5677" s="1" t="str">
        <f t="shared" si="1103"/>
        <v>里程返程</v>
      </c>
      <c r="W5677" s="1" t="str">
        <f>"2120"</f>
        <v>2120</v>
      </c>
      <c r="X5677" s="1" t="s">
        <v>35</v>
      </c>
    </row>
    <row r="5678" spans="1:24" x14ac:dyDescent="0.3">
      <c r="A5678" s="1" t="str">
        <f t="shared" si="1104"/>
        <v>59825</v>
      </c>
      <c r="B5678" s="1" t="s">
        <v>30</v>
      </c>
      <c r="C5678" s="1" t="s">
        <v>31</v>
      </c>
      <c r="D5678" s="1" t="str">
        <f t="shared" si="1105"/>
        <v>9801</v>
      </c>
      <c r="E5678" s="1" t="s">
        <v>25</v>
      </c>
      <c r="F5678" s="1" t="str">
        <f>"F25B1B03B1880400C834002000000015"</f>
        <v>F25B1B03B1880400C834002000000015</v>
      </c>
      <c r="G5678" s="1" t="s">
        <v>26</v>
      </c>
      <c r="H5678" s="1" t="str">
        <f t="shared" si="1102"/>
        <v>20220927</v>
      </c>
      <c r="I5678" s="1" t="str">
        <f>"105539"</f>
        <v>105539</v>
      </c>
      <c r="J5678" s="1" t="s">
        <v>28</v>
      </c>
      <c r="K5678" s="1" t="s">
        <v>28</v>
      </c>
      <c r="L5678" s="1" t="str">
        <f t="shared" si="1106"/>
        <v>20220927</v>
      </c>
      <c r="M5678" s="1" t="str">
        <f>"111953"</f>
        <v>111953</v>
      </c>
      <c r="N5678" s="1" t="s">
        <v>60</v>
      </c>
      <c r="O5678" s="1" t="s">
        <v>52</v>
      </c>
      <c r="P5678" s="1" t="s">
        <v>68</v>
      </c>
      <c r="Q5678" s="1">
        <v>13</v>
      </c>
      <c r="R5678" s="1">
        <v>0</v>
      </c>
      <c r="S5678" s="1">
        <v>0</v>
      </c>
      <c r="T5678" s="1">
        <v>13</v>
      </c>
      <c r="U5678" s="1">
        <v>0</v>
      </c>
      <c r="V5678" s="1" t="str">
        <f t="shared" si="1103"/>
        <v>里程返程</v>
      </c>
      <c r="W5678" s="1" t="str">
        <f>"0020"</f>
        <v>0020</v>
      </c>
      <c r="X5678" s="1" t="s">
        <v>29</v>
      </c>
    </row>
    <row r="5679" spans="1:24" x14ac:dyDescent="0.3">
      <c r="A5679" s="1" t="str">
        <f t="shared" si="1104"/>
        <v>59825</v>
      </c>
      <c r="B5679" s="1" t="s">
        <v>30</v>
      </c>
      <c r="C5679" s="1" t="s">
        <v>31</v>
      </c>
      <c r="D5679" s="1" t="str">
        <f t="shared" si="1105"/>
        <v>9801</v>
      </c>
      <c r="E5679" s="1" t="s">
        <v>25</v>
      </c>
      <c r="F5679" s="1" t="str">
        <f>"22F5470292880400C821002000000015"</f>
        <v>22F5470292880400C821002000000015</v>
      </c>
      <c r="G5679" s="1" t="s">
        <v>26</v>
      </c>
      <c r="H5679" s="1" t="str">
        <f t="shared" si="1102"/>
        <v>20220927</v>
      </c>
      <c r="I5679" s="1" t="str">
        <f>"115346"</f>
        <v>115346</v>
      </c>
      <c r="J5679" s="1" t="s">
        <v>28</v>
      </c>
      <c r="K5679" s="1" t="s">
        <v>28</v>
      </c>
      <c r="L5679" s="1" t="str">
        <f t="shared" si="1106"/>
        <v>20220927</v>
      </c>
      <c r="M5679" s="1" t="str">
        <f>"120806"</f>
        <v>120806</v>
      </c>
      <c r="N5679" s="1" t="s">
        <v>77</v>
      </c>
      <c r="O5679" s="1" t="s">
        <v>52</v>
      </c>
      <c r="P5679" s="1" t="s">
        <v>68</v>
      </c>
      <c r="Q5679" s="1">
        <v>13</v>
      </c>
      <c r="R5679" s="1">
        <v>0</v>
      </c>
      <c r="S5679" s="1">
        <v>0</v>
      </c>
      <c r="T5679" s="1">
        <v>13</v>
      </c>
      <c r="U5679" s="1">
        <v>0</v>
      </c>
      <c r="V5679" s="1" t="str">
        <f t="shared" si="1103"/>
        <v>里程返程</v>
      </c>
      <c r="W5679" s="1" t="str">
        <f>"0020"</f>
        <v>0020</v>
      </c>
      <c r="X5679" s="1" t="s">
        <v>29</v>
      </c>
    </row>
    <row r="5680" spans="1:24" x14ac:dyDescent="0.3">
      <c r="A5680" s="1" t="str">
        <f t="shared" si="1104"/>
        <v>59825</v>
      </c>
      <c r="B5680" s="1" t="s">
        <v>30</v>
      </c>
      <c r="C5680" s="1" t="s">
        <v>31</v>
      </c>
      <c r="D5680" s="1" t="str">
        <f t="shared" si="1105"/>
        <v>9801</v>
      </c>
      <c r="E5680" s="1" t="s">
        <v>25</v>
      </c>
      <c r="F5680" s="1" t="str">
        <f>"62BADF1B1C880400C822002000000021"</f>
        <v>62BADF1B1C880400C822002000000021</v>
      </c>
      <c r="G5680" s="1" t="s">
        <v>58</v>
      </c>
      <c r="H5680" s="1" t="str">
        <f t="shared" si="1102"/>
        <v>20220927</v>
      </c>
      <c r="I5680" s="1" t="str">
        <f>"115353"</f>
        <v>115353</v>
      </c>
      <c r="J5680" s="1" t="s">
        <v>28</v>
      </c>
      <c r="K5680" s="1" t="s">
        <v>28</v>
      </c>
      <c r="L5680" s="1" t="str">
        <f t="shared" si="1106"/>
        <v>20220927</v>
      </c>
      <c r="M5680" s="1" t="str">
        <f>"122105"</f>
        <v>122105</v>
      </c>
      <c r="N5680" s="1" t="s">
        <v>52</v>
      </c>
      <c r="O5680" s="1" t="s">
        <v>52</v>
      </c>
      <c r="P5680" s="1" t="s">
        <v>55</v>
      </c>
      <c r="Q5680" s="1">
        <v>25</v>
      </c>
      <c r="R5680" s="1">
        <v>25</v>
      </c>
      <c r="S5680" s="1">
        <v>0</v>
      </c>
      <c r="T5680" s="1">
        <v>0</v>
      </c>
      <c r="U5680" s="1">
        <v>0</v>
      </c>
      <c r="V5680" s="1" t="str">
        <f t="shared" si="1103"/>
        <v>里程返程</v>
      </c>
      <c r="W5680" s="1" t="str">
        <f>"0020"</f>
        <v>0020</v>
      </c>
      <c r="X5680" s="1" t="s">
        <v>29</v>
      </c>
    </row>
    <row r="5681" spans="1:24" x14ac:dyDescent="0.3">
      <c r="A5681" s="1" t="str">
        <f t="shared" si="1104"/>
        <v>59825</v>
      </c>
      <c r="B5681" s="1" t="s">
        <v>30</v>
      </c>
      <c r="C5681" s="1" t="s">
        <v>31</v>
      </c>
      <c r="D5681" s="1" t="str">
        <f t="shared" si="1105"/>
        <v>9801</v>
      </c>
      <c r="E5681" s="1" t="s">
        <v>25</v>
      </c>
      <c r="F5681" s="1" t="str">
        <f>"F2C64D0E77880400C806002000000018"</f>
        <v>F2C64D0E77880400C806002000000018</v>
      </c>
      <c r="G5681" s="1" t="s">
        <v>58</v>
      </c>
      <c r="H5681" s="1" t="str">
        <f t="shared" si="1102"/>
        <v>20220927</v>
      </c>
      <c r="I5681" s="1" t="str">
        <f>"120930"</f>
        <v>120930</v>
      </c>
      <c r="J5681" s="1" t="s">
        <v>80</v>
      </c>
      <c r="K5681" s="1" t="s">
        <v>52</v>
      </c>
      <c r="L5681" s="1" t="str">
        <f t="shared" si="1106"/>
        <v>20220927</v>
      </c>
      <c r="M5681" s="1" t="str">
        <f>"121628"</f>
        <v>121628</v>
      </c>
      <c r="N5681" s="1" t="s">
        <v>60</v>
      </c>
      <c r="O5681" s="1" t="s">
        <v>52</v>
      </c>
      <c r="P5681" s="1" t="s">
        <v>55</v>
      </c>
      <c r="Q5681" s="1">
        <v>25</v>
      </c>
      <c r="R5681" s="1">
        <v>25</v>
      </c>
      <c r="S5681" s="1">
        <v>0</v>
      </c>
      <c r="T5681" s="1">
        <v>0</v>
      </c>
      <c r="U5681" s="1">
        <v>0</v>
      </c>
      <c r="V5681" s="1" t="str">
        <f t="shared" si="1103"/>
        <v>里程返程</v>
      </c>
      <c r="W5681" s="1" t="str">
        <f>"0020"</f>
        <v>0020</v>
      </c>
      <c r="X5681" s="1" t="s">
        <v>29</v>
      </c>
    </row>
    <row r="5682" spans="1:24" x14ac:dyDescent="0.3">
      <c r="A5682" s="1" t="str">
        <f t="shared" si="1104"/>
        <v>59825</v>
      </c>
      <c r="B5682" s="1" t="s">
        <v>30</v>
      </c>
      <c r="C5682" s="1" t="s">
        <v>31</v>
      </c>
      <c r="D5682" s="1" t="str">
        <f t="shared" si="1105"/>
        <v>9801</v>
      </c>
      <c r="E5682" s="1" t="s">
        <v>25</v>
      </c>
      <c r="F5682" s="1" t="str">
        <f>"A2F71B034D880400C834002000000015"</f>
        <v>A2F71B034D880400C834002000000015</v>
      </c>
      <c r="G5682" s="1" t="s">
        <v>26</v>
      </c>
      <c r="H5682" s="1" t="str">
        <f t="shared" si="1102"/>
        <v>20220927</v>
      </c>
      <c r="I5682" s="1" t="str">
        <f>"121643"</f>
        <v>121643</v>
      </c>
      <c r="J5682" s="1" t="s">
        <v>60</v>
      </c>
      <c r="K5682" s="1" t="s">
        <v>52</v>
      </c>
      <c r="L5682" s="1" t="str">
        <f t="shared" si="1106"/>
        <v>20220927</v>
      </c>
      <c r="M5682" s="1" t="str">
        <f>"122102"</f>
        <v>122102</v>
      </c>
      <c r="N5682" s="1" t="s">
        <v>52</v>
      </c>
      <c r="O5682" s="1" t="s">
        <v>52</v>
      </c>
      <c r="P5682" s="1" t="s">
        <v>68</v>
      </c>
      <c r="Q5682" s="1">
        <v>13</v>
      </c>
      <c r="R5682" s="1">
        <v>0</v>
      </c>
      <c r="S5682" s="1">
        <v>0</v>
      </c>
      <c r="T5682" s="1">
        <v>13</v>
      </c>
      <c r="U5682" s="1">
        <v>0</v>
      </c>
      <c r="V5682" s="1" t="str">
        <f t="shared" si="1103"/>
        <v>里程返程</v>
      </c>
      <c r="W5682" s="1" t="str">
        <f>"0020"</f>
        <v>0020</v>
      </c>
      <c r="X5682" s="1" t="s">
        <v>29</v>
      </c>
    </row>
    <row r="5683" spans="1:24" x14ac:dyDescent="0.3">
      <c r="A5683" s="1" t="str">
        <f t="shared" si="1104"/>
        <v>59825</v>
      </c>
      <c r="B5683" s="1" t="s">
        <v>30</v>
      </c>
      <c r="C5683" s="1" t="s">
        <v>31</v>
      </c>
      <c r="D5683" s="1" t="str">
        <f>"9805"</f>
        <v>9805</v>
      </c>
      <c r="E5683" s="1" t="s">
        <v>57</v>
      </c>
      <c r="F5683" s="1" t="str">
        <f>"B147BA004C880400432494C60004080E"</f>
        <v>B147BA004C880400432494C60004080E</v>
      </c>
      <c r="G5683" s="1" t="s">
        <v>59</v>
      </c>
      <c r="H5683" s="1" t="str">
        <f t="shared" si="1102"/>
        <v>20220927</v>
      </c>
      <c r="I5683" s="1" t="str">
        <f>"142834"</f>
        <v>142834</v>
      </c>
      <c r="J5683" s="1" t="s">
        <v>28</v>
      </c>
      <c r="K5683" s="1" t="s">
        <v>28</v>
      </c>
      <c r="L5683" s="1" t="str">
        <f t="shared" si="1106"/>
        <v>20220927</v>
      </c>
      <c r="M5683" s="1" t="str">
        <f>"144327"</f>
        <v>144327</v>
      </c>
      <c r="N5683" s="1" t="s">
        <v>62</v>
      </c>
      <c r="O5683" s="1" t="s">
        <v>28</v>
      </c>
      <c r="P5683" s="1" t="s">
        <v>55</v>
      </c>
      <c r="Q5683" s="1">
        <v>25</v>
      </c>
      <c r="R5683" s="1">
        <v>0</v>
      </c>
      <c r="S5683" s="1">
        <v>25</v>
      </c>
      <c r="T5683" s="1">
        <v>0</v>
      </c>
      <c r="U5683" s="1">
        <v>0</v>
      </c>
      <c r="V5683" s="1" t="str">
        <f>"里程去程"</f>
        <v>里程去程</v>
      </c>
      <c r="W5683" s="1" t="str">
        <f>"0620"</f>
        <v>0620</v>
      </c>
      <c r="X5683" s="1" t="s">
        <v>29</v>
      </c>
    </row>
    <row r="5684" spans="1:24" x14ac:dyDescent="0.3">
      <c r="A5684" s="1" t="str">
        <f t="shared" si="1104"/>
        <v>59825</v>
      </c>
      <c r="B5684" s="1" t="s">
        <v>30</v>
      </c>
      <c r="C5684" s="1" t="s">
        <v>31</v>
      </c>
      <c r="D5684" s="1" t="str">
        <f>"9805"</f>
        <v>9805</v>
      </c>
      <c r="E5684" s="1" t="s">
        <v>57</v>
      </c>
      <c r="F5684" s="1" t="str">
        <f>"886964309"</f>
        <v>886964309</v>
      </c>
      <c r="G5684" s="1" t="s">
        <v>33</v>
      </c>
      <c r="H5684" s="1" t="str">
        <f t="shared" si="1102"/>
        <v>20220927</v>
      </c>
      <c r="I5684" s="1" t="str">
        <f>"142843"</f>
        <v>142843</v>
      </c>
      <c r="J5684" s="1" t="s">
        <v>28</v>
      </c>
      <c r="K5684" s="1" t="s">
        <v>28</v>
      </c>
      <c r="L5684" s="1" t="str">
        <f t="shared" si="1106"/>
        <v>20220927</v>
      </c>
      <c r="M5684" s="1" t="str">
        <f>"144335"</f>
        <v>144335</v>
      </c>
      <c r="N5684" s="1" t="s">
        <v>62</v>
      </c>
      <c r="O5684" s="1" t="s">
        <v>28</v>
      </c>
      <c r="P5684" s="1" t="s">
        <v>55</v>
      </c>
      <c r="Q5684" s="1">
        <v>25</v>
      </c>
      <c r="R5684" s="1">
        <v>25</v>
      </c>
      <c r="S5684" s="1">
        <v>0</v>
      </c>
      <c r="T5684" s="1">
        <v>0</v>
      </c>
      <c r="U5684" s="1">
        <v>0</v>
      </c>
      <c r="V5684" s="1" t="str">
        <f>"里程去程"</f>
        <v>里程去程</v>
      </c>
      <c r="W5684" s="1" t="str">
        <f>"2120"</f>
        <v>2120</v>
      </c>
      <c r="X5684" s="1" t="s">
        <v>35</v>
      </c>
    </row>
    <row r="5685" spans="1:24" x14ac:dyDescent="0.3">
      <c r="A5685" s="1" t="str">
        <f t="shared" si="1104"/>
        <v>59825</v>
      </c>
      <c r="B5685" s="1" t="s">
        <v>30</v>
      </c>
      <c r="C5685" s="1" t="s">
        <v>31</v>
      </c>
      <c r="D5685" s="1" t="str">
        <f>"9805"</f>
        <v>9805</v>
      </c>
      <c r="E5685" s="1" t="s">
        <v>57</v>
      </c>
      <c r="F5685" s="1" t="str">
        <f>"62C2F51742880400C814002000000019"</f>
        <v>62C2F51742880400C814002000000019</v>
      </c>
      <c r="G5685" s="1" t="s">
        <v>59</v>
      </c>
      <c r="H5685" s="1" t="str">
        <f t="shared" si="1102"/>
        <v>20220927</v>
      </c>
      <c r="I5685" s="1" t="str">
        <f>"144746"</f>
        <v>144746</v>
      </c>
      <c r="J5685" s="1" t="s">
        <v>52</v>
      </c>
      <c r="K5685" s="1" t="s">
        <v>52</v>
      </c>
      <c r="L5685" s="1" t="str">
        <f t="shared" si="1106"/>
        <v>20220927</v>
      </c>
      <c r="M5685" s="1" t="str">
        <f>"151055"</f>
        <v>151055</v>
      </c>
      <c r="N5685" s="1" t="s">
        <v>28</v>
      </c>
      <c r="O5685" s="1" t="s">
        <v>28</v>
      </c>
      <c r="P5685" s="1" t="s">
        <v>55</v>
      </c>
      <c r="Q5685" s="1">
        <v>25</v>
      </c>
      <c r="R5685" s="1">
        <v>25</v>
      </c>
      <c r="S5685" s="1">
        <v>0</v>
      </c>
      <c r="T5685" s="1">
        <v>0</v>
      </c>
      <c r="U5685" s="1">
        <v>0</v>
      </c>
      <c r="V5685" s="1" t="str">
        <f>"里程返程"</f>
        <v>里程返程</v>
      </c>
      <c r="W5685" s="1" t="str">
        <f>"0020"</f>
        <v>0020</v>
      </c>
      <c r="X5685" s="1" t="s">
        <v>29</v>
      </c>
    </row>
    <row r="5686" spans="1:24" x14ac:dyDescent="0.3">
      <c r="A5686" s="1" t="str">
        <f t="shared" si="1104"/>
        <v>59825</v>
      </c>
      <c r="B5686" s="1" t="s">
        <v>30</v>
      </c>
      <c r="C5686" s="1" t="s">
        <v>31</v>
      </c>
      <c r="D5686" s="1" t="str">
        <f>"9803"</f>
        <v>9803</v>
      </c>
      <c r="E5686" s="1" t="s">
        <v>32</v>
      </c>
      <c r="F5686" s="1" t="str">
        <f>"4173259661"</f>
        <v>4173259661</v>
      </c>
      <c r="G5686" s="1" t="s">
        <v>33</v>
      </c>
      <c r="H5686" s="1" t="str">
        <f t="shared" si="1102"/>
        <v>20220927</v>
      </c>
      <c r="I5686" s="1" t="str">
        <f>"153808"</f>
        <v>153808</v>
      </c>
      <c r="J5686" s="1" t="s">
        <v>34</v>
      </c>
      <c r="K5686" s="1" t="s">
        <v>34</v>
      </c>
      <c r="L5686" s="1" t="str">
        <f t="shared" si="1106"/>
        <v>20220927</v>
      </c>
      <c r="M5686" s="1" t="str">
        <f>"160908"</f>
        <v>160908</v>
      </c>
      <c r="N5686" s="1" t="s">
        <v>28</v>
      </c>
      <c r="O5686" s="1" t="s">
        <v>28</v>
      </c>
      <c r="P5686" s="1" t="s">
        <v>55</v>
      </c>
      <c r="Q5686" s="1">
        <v>25</v>
      </c>
      <c r="R5686" s="1">
        <v>25</v>
      </c>
      <c r="S5686" s="1">
        <v>0</v>
      </c>
      <c r="T5686" s="1">
        <v>0</v>
      </c>
      <c r="U5686" s="1">
        <v>0</v>
      </c>
      <c r="V5686" s="1" t="str">
        <f>"里程返程"</f>
        <v>里程返程</v>
      </c>
      <c r="W5686" s="1" t="str">
        <f>"2020"</f>
        <v>2020</v>
      </c>
      <c r="X5686" s="1" t="s">
        <v>35</v>
      </c>
    </row>
    <row r="5687" spans="1:24" x14ac:dyDescent="0.3">
      <c r="A5687" s="1" t="str">
        <f t="shared" si="1104"/>
        <v>59825</v>
      </c>
      <c r="B5687" s="1" t="s">
        <v>30</v>
      </c>
      <c r="C5687" s="1" t="s">
        <v>31</v>
      </c>
      <c r="D5687" s="1" t="str">
        <f>"9803"</f>
        <v>9803</v>
      </c>
      <c r="E5687" s="1" t="s">
        <v>32</v>
      </c>
      <c r="F5687" s="1" t="str">
        <f>"233291857"</f>
        <v>233291857</v>
      </c>
      <c r="G5687" s="1" t="s">
        <v>33</v>
      </c>
      <c r="H5687" s="1" t="str">
        <f t="shared" si="1102"/>
        <v>20220927</v>
      </c>
      <c r="I5687" s="1" t="str">
        <f>"153821"</f>
        <v>153821</v>
      </c>
      <c r="J5687" s="1" t="s">
        <v>34</v>
      </c>
      <c r="K5687" s="1" t="s">
        <v>34</v>
      </c>
      <c r="L5687" s="1" t="str">
        <f t="shared" si="1106"/>
        <v>20220927</v>
      </c>
      <c r="M5687" s="1" t="str">
        <f>"160851"</f>
        <v>160851</v>
      </c>
      <c r="N5687" s="1" t="s">
        <v>28</v>
      </c>
      <c r="O5687" s="1" t="s">
        <v>28</v>
      </c>
      <c r="P5687" s="1" t="s">
        <v>55</v>
      </c>
      <c r="Q5687" s="1">
        <v>25</v>
      </c>
      <c r="R5687" s="1">
        <v>25</v>
      </c>
      <c r="S5687" s="1">
        <v>0</v>
      </c>
      <c r="T5687" s="1">
        <v>0</v>
      </c>
      <c r="U5687" s="1">
        <v>0</v>
      </c>
      <c r="V5687" s="1" t="str">
        <f>"里程返程"</f>
        <v>里程返程</v>
      </c>
      <c r="W5687" s="1" t="str">
        <f>"2020"</f>
        <v>2020</v>
      </c>
      <c r="X5687" s="1" t="s">
        <v>35</v>
      </c>
    </row>
    <row r="5688" spans="1:24" x14ac:dyDescent="0.3">
      <c r="A5688" s="1" t="str">
        <f t="shared" si="1104"/>
        <v>59825</v>
      </c>
      <c r="B5688" s="1" t="s">
        <v>30</v>
      </c>
      <c r="C5688" s="1" t="s">
        <v>31</v>
      </c>
      <c r="D5688" s="1" t="str">
        <f>"9803"</f>
        <v>9803</v>
      </c>
      <c r="E5688" s="1" t="s">
        <v>32</v>
      </c>
      <c r="F5688" s="1" t="str">
        <f>"1772411969"</f>
        <v>1772411969</v>
      </c>
      <c r="G5688" s="1" t="s">
        <v>33</v>
      </c>
      <c r="H5688" s="1" t="str">
        <f t="shared" si="1102"/>
        <v>20220927</v>
      </c>
      <c r="I5688" s="1" t="str">
        <f>"154151"</f>
        <v>154151</v>
      </c>
      <c r="J5688" s="1" t="s">
        <v>34</v>
      </c>
      <c r="K5688" s="1" t="s">
        <v>34</v>
      </c>
      <c r="L5688" s="1" t="str">
        <f t="shared" si="1106"/>
        <v>20220927</v>
      </c>
      <c r="M5688" s="1" t="str">
        <f>"160858"</f>
        <v>160858</v>
      </c>
      <c r="N5688" s="1" t="s">
        <v>28</v>
      </c>
      <c r="O5688" s="1" t="s">
        <v>28</v>
      </c>
      <c r="P5688" s="1" t="s">
        <v>55</v>
      </c>
      <c r="Q5688" s="1">
        <v>25</v>
      </c>
      <c r="R5688" s="1">
        <v>25</v>
      </c>
      <c r="S5688" s="1">
        <v>0</v>
      </c>
      <c r="T5688" s="1">
        <v>0</v>
      </c>
      <c r="U5688" s="1">
        <v>0</v>
      </c>
      <c r="V5688" s="1" t="str">
        <f>"里程返程"</f>
        <v>里程返程</v>
      </c>
      <c r="W5688" s="1" t="str">
        <f>"0120"</f>
        <v>0120</v>
      </c>
      <c r="X5688" s="1" t="s">
        <v>35</v>
      </c>
    </row>
    <row r="5689" spans="1:24" x14ac:dyDescent="0.3">
      <c r="A5689" s="1" t="str">
        <f t="shared" si="1104"/>
        <v>59825</v>
      </c>
      <c r="B5689" s="1" t="s">
        <v>30</v>
      </c>
      <c r="C5689" s="1" t="s">
        <v>31</v>
      </c>
      <c r="D5689" s="1" t="str">
        <f>"9803"</f>
        <v>9803</v>
      </c>
      <c r="E5689" s="1" t="s">
        <v>32</v>
      </c>
      <c r="F5689" s="1" t="str">
        <f>"F199C6248A280400F700000000000000"</f>
        <v>F199C6248A280400F700000000000000</v>
      </c>
      <c r="G5689" s="1" t="s">
        <v>58</v>
      </c>
      <c r="H5689" s="1" t="str">
        <f t="shared" si="1102"/>
        <v>20220927</v>
      </c>
      <c r="I5689" s="1" t="str">
        <f>"154153"</f>
        <v>154153</v>
      </c>
      <c r="J5689" s="1" t="s">
        <v>34</v>
      </c>
      <c r="K5689" s="1" t="s">
        <v>34</v>
      </c>
      <c r="L5689" s="1" t="str">
        <f t="shared" si="1106"/>
        <v>20220927</v>
      </c>
      <c r="M5689" s="1" t="str">
        <f>"160856"</f>
        <v>160856</v>
      </c>
      <c r="N5689" s="1" t="s">
        <v>28</v>
      </c>
      <c r="O5689" s="1" t="s">
        <v>28</v>
      </c>
      <c r="P5689" s="1" t="s">
        <v>55</v>
      </c>
      <c r="Q5689" s="1">
        <v>25</v>
      </c>
      <c r="R5689" s="1">
        <v>25</v>
      </c>
      <c r="S5689" s="1">
        <v>0</v>
      </c>
      <c r="T5689" s="1">
        <v>0</v>
      </c>
      <c r="U5689" s="1">
        <v>0</v>
      </c>
      <c r="V5689" s="1" t="str">
        <f>"里程返程"</f>
        <v>里程返程</v>
      </c>
      <c r="W5689" s="1" t="str">
        <f>"0020"</f>
        <v>0020</v>
      </c>
      <c r="X5689" s="1" t="s">
        <v>29</v>
      </c>
    </row>
    <row r="5690" spans="1:24" x14ac:dyDescent="0.3">
      <c r="A5690" s="1" t="str">
        <f t="shared" si="1104"/>
        <v>59825</v>
      </c>
      <c r="B5690" s="1" t="s">
        <v>30</v>
      </c>
      <c r="C5690" s="1" t="s">
        <v>31</v>
      </c>
      <c r="D5690" s="1" t="str">
        <f>"9806"</f>
        <v>9806</v>
      </c>
      <c r="E5690" s="1" t="s">
        <v>49</v>
      </c>
      <c r="F5690" s="1" t="str">
        <f>"1202E702F5880400C834002000000015"</f>
        <v>1202E702F5880400C834002000000015</v>
      </c>
      <c r="G5690" s="1" t="s">
        <v>74</v>
      </c>
      <c r="H5690" s="1" t="str">
        <f t="shared" si="1102"/>
        <v>20220927</v>
      </c>
      <c r="I5690" s="1" t="str">
        <f>"163738"</f>
        <v>163738</v>
      </c>
      <c r="J5690" s="1" t="s">
        <v>76</v>
      </c>
      <c r="K5690" s="1" t="s">
        <v>28</v>
      </c>
      <c r="L5690" s="1" t="str">
        <f t="shared" si="1106"/>
        <v>20220927</v>
      </c>
      <c r="M5690" s="1" t="str">
        <f>"164848"</f>
        <v>164848</v>
      </c>
      <c r="N5690" s="1" t="s">
        <v>84</v>
      </c>
      <c r="O5690" s="1" t="s">
        <v>28</v>
      </c>
      <c r="P5690" s="1" t="s">
        <v>68</v>
      </c>
      <c r="Q5690" s="1">
        <v>13</v>
      </c>
      <c r="R5690" s="1">
        <v>0</v>
      </c>
      <c r="S5690" s="1">
        <v>0</v>
      </c>
      <c r="T5690" s="1">
        <v>13</v>
      </c>
      <c r="U5690" s="1">
        <v>0</v>
      </c>
      <c r="V5690" s="1" t="str">
        <f>"里程去程"</f>
        <v>里程去程</v>
      </c>
      <c r="W5690" s="1" t="str">
        <f>"0020"</f>
        <v>0020</v>
      </c>
      <c r="X5690" s="1" t="s">
        <v>29</v>
      </c>
    </row>
    <row r="5691" spans="1:24" x14ac:dyDescent="0.3">
      <c r="A5691" s="1" t="str">
        <f t="shared" si="1104"/>
        <v>59825</v>
      </c>
      <c r="B5691" s="1" t="s">
        <v>30</v>
      </c>
      <c r="C5691" s="1" t="s">
        <v>31</v>
      </c>
      <c r="D5691" s="1" t="str">
        <f>"9806"</f>
        <v>9806</v>
      </c>
      <c r="E5691" s="1" t="s">
        <v>49</v>
      </c>
      <c r="F5691" s="1" t="str">
        <f>"B211E70246880400C834002000000015"</f>
        <v>B211E70246880400C834002000000015</v>
      </c>
      <c r="G5691" s="1" t="s">
        <v>74</v>
      </c>
      <c r="H5691" s="1" t="str">
        <f t="shared" si="1102"/>
        <v>20220927</v>
      </c>
      <c r="I5691" s="1" t="str">
        <f>"163746"</f>
        <v>163746</v>
      </c>
      <c r="J5691" s="1" t="s">
        <v>76</v>
      </c>
      <c r="K5691" s="1" t="s">
        <v>28</v>
      </c>
      <c r="L5691" s="1" t="str">
        <f t="shared" si="1106"/>
        <v>20220927</v>
      </c>
      <c r="M5691" s="1" t="str">
        <f>"164843"</f>
        <v>164843</v>
      </c>
      <c r="N5691" s="1" t="s">
        <v>84</v>
      </c>
      <c r="O5691" s="1" t="s">
        <v>28</v>
      </c>
      <c r="P5691" s="1" t="s">
        <v>68</v>
      </c>
      <c r="Q5691" s="1">
        <v>13</v>
      </c>
      <c r="R5691" s="1">
        <v>0</v>
      </c>
      <c r="S5691" s="1">
        <v>0</v>
      </c>
      <c r="T5691" s="1">
        <v>13</v>
      </c>
      <c r="U5691" s="1">
        <v>0</v>
      </c>
      <c r="V5691" s="1" t="str">
        <f>"里程去程"</f>
        <v>里程去程</v>
      </c>
      <c r="W5691" s="1" t="str">
        <f>"0020"</f>
        <v>0020</v>
      </c>
      <c r="X5691" s="1" t="s">
        <v>29</v>
      </c>
    </row>
    <row r="5692" spans="1:24" x14ac:dyDescent="0.3">
      <c r="A5692" s="1" t="str">
        <f t="shared" si="1104"/>
        <v>59825</v>
      </c>
      <c r="B5692" s="1" t="s">
        <v>30</v>
      </c>
      <c r="C5692" s="1" t="s">
        <v>31</v>
      </c>
      <c r="D5692" s="1" t="str">
        <f>"9806"</f>
        <v>9806</v>
      </c>
      <c r="E5692" s="1" t="s">
        <v>49</v>
      </c>
      <c r="F5692" s="1" t="str">
        <f>"1695105317"</f>
        <v>1695105317</v>
      </c>
      <c r="G5692" s="1" t="s">
        <v>33</v>
      </c>
      <c r="H5692" s="1" t="str">
        <f t="shared" si="1102"/>
        <v>20220927</v>
      </c>
      <c r="I5692" s="1" t="str">
        <f>"163753"</f>
        <v>163753</v>
      </c>
      <c r="J5692" s="1" t="s">
        <v>76</v>
      </c>
      <c r="K5692" s="1" t="s">
        <v>28</v>
      </c>
      <c r="L5692" s="1" t="str">
        <f t="shared" si="1106"/>
        <v>20220927</v>
      </c>
      <c r="M5692" s="1" t="str">
        <f>"165139"</f>
        <v>165139</v>
      </c>
      <c r="N5692" s="1" t="s">
        <v>28</v>
      </c>
      <c r="O5692" s="1" t="s">
        <v>28</v>
      </c>
      <c r="P5692" s="1" t="s">
        <v>55</v>
      </c>
      <c r="Q5692" s="1">
        <v>25</v>
      </c>
      <c r="R5692" s="1">
        <v>25</v>
      </c>
      <c r="S5692" s="1">
        <v>0</v>
      </c>
      <c r="T5692" s="1">
        <v>0</v>
      </c>
      <c r="U5692" s="1">
        <v>0</v>
      </c>
      <c r="V5692" s="1" t="str">
        <f>"里程去程"</f>
        <v>里程去程</v>
      </c>
      <c r="W5692" s="1" t="str">
        <f>"2020"</f>
        <v>2020</v>
      </c>
      <c r="X5692" s="1" t="s">
        <v>35</v>
      </c>
    </row>
    <row r="5693" spans="1:24" x14ac:dyDescent="0.3">
      <c r="A5693" s="1" t="str">
        <f t="shared" si="1104"/>
        <v>59825</v>
      </c>
      <c r="B5693" s="1" t="s">
        <v>30</v>
      </c>
      <c r="C5693" s="1" t="s">
        <v>31</v>
      </c>
      <c r="D5693" s="1" t="str">
        <f>"9806"</f>
        <v>9806</v>
      </c>
      <c r="E5693" s="1" t="s">
        <v>49</v>
      </c>
      <c r="F5693" s="1" t="str">
        <f>"F238370AF7880400C810002000000016"</f>
        <v>F238370AF7880400C810002000000016</v>
      </c>
      <c r="G5693" s="1" t="s">
        <v>59</v>
      </c>
      <c r="H5693" s="1" t="str">
        <f t="shared" si="1102"/>
        <v>20220927</v>
      </c>
      <c r="I5693" s="1" t="str">
        <f>"164453"</f>
        <v>164453</v>
      </c>
      <c r="J5693" s="1" t="s">
        <v>98</v>
      </c>
      <c r="K5693" s="1" t="s">
        <v>28</v>
      </c>
      <c r="L5693" s="1" t="str">
        <f t="shared" si="1106"/>
        <v>20220927</v>
      </c>
      <c r="M5693" s="1" t="str">
        <f>"165143"</f>
        <v>165143</v>
      </c>
      <c r="N5693" s="1" t="s">
        <v>28</v>
      </c>
      <c r="O5693" s="1" t="s">
        <v>28</v>
      </c>
      <c r="P5693" s="1" t="s">
        <v>55</v>
      </c>
      <c r="Q5693" s="1">
        <v>25</v>
      </c>
      <c r="R5693" s="1">
        <v>25</v>
      </c>
      <c r="S5693" s="1">
        <v>0</v>
      </c>
      <c r="T5693" s="1">
        <v>0</v>
      </c>
      <c r="U5693" s="1">
        <v>0</v>
      </c>
      <c r="V5693" s="1" t="str">
        <f>"里程去程"</f>
        <v>里程去程</v>
      </c>
      <c r="W5693" s="1" t="str">
        <f>"0020"</f>
        <v>0020</v>
      </c>
      <c r="X5693" s="1" t="s">
        <v>29</v>
      </c>
    </row>
    <row r="5694" spans="1:24" x14ac:dyDescent="0.3">
      <c r="A5694" s="1" t="str">
        <f t="shared" si="1104"/>
        <v>59825</v>
      </c>
      <c r="B5694" s="1" t="s">
        <v>30</v>
      </c>
      <c r="C5694" s="1" t="s">
        <v>31</v>
      </c>
      <c r="D5694" s="1" t="str">
        <f>"9801"</f>
        <v>9801</v>
      </c>
      <c r="E5694" s="1" t="s">
        <v>25</v>
      </c>
      <c r="F5694" s="1" t="str">
        <f>"2823854504"</f>
        <v>2823854504</v>
      </c>
      <c r="G5694" s="1" t="s">
        <v>33</v>
      </c>
      <c r="H5694" s="1" t="str">
        <f t="shared" si="1102"/>
        <v>20220927</v>
      </c>
      <c r="I5694" s="1" t="str">
        <f>"190243"</f>
        <v>190243</v>
      </c>
      <c r="J5694" s="1" t="s">
        <v>44</v>
      </c>
      <c r="K5694" s="1" t="s">
        <v>45</v>
      </c>
      <c r="L5694" s="1" t="str">
        <f t="shared" si="1106"/>
        <v>20220927</v>
      </c>
      <c r="M5694" s="1" t="str">
        <f>"192141"</f>
        <v>192141</v>
      </c>
      <c r="N5694" s="1" t="s">
        <v>28</v>
      </c>
      <c r="O5694" s="1" t="s">
        <v>28</v>
      </c>
      <c r="P5694" s="1" t="s">
        <v>55</v>
      </c>
      <c r="Q5694" s="1">
        <v>25</v>
      </c>
      <c r="R5694" s="1">
        <v>0</v>
      </c>
      <c r="S5694" s="1">
        <v>25</v>
      </c>
      <c r="T5694" s="1">
        <v>0</v>
      </c>
      <c r="U5694" s="1">
        <v>0</v>
      </c>
      <c r="V5694" s="1" t="str">
        <f>"里程返程"</f>
        <v>里程返程</v>
      </c>
      <c r="W5694" s="1" t="str">
        <f>"2120"</f>
        <v>2120</v>
      </c>
      <c r="X5694" s="1" t="s">
        <v>35</v>
      </c>
    </row>
    <row r="5695" spans="1:24" x14ac:dyDescent="0.3">
      <c r="A5695" s="1" t="str">
        <f t="shared" si="1104"/>
        <v>59825</v>
      </c>
      <c r="B5695" s="1" t="s">
        <v>30</v>
      </c>
      <c r="C5695" s="1" t="s">
        <v>31</v>
      </c>
      <c r="D5695" s="1" t="str">
        <f>"9805"</f>
        <v>9805</v>
      </c>
      <c r="E5695" s="1" t="s">
        <v>57</v>
      </c>
      <c r="F5695" s="1" t="str">
        <f>"825D0C18CB880400C814002000000019"</f>
        <v>825D0C18CB880400C814002000000019</v>
      </c>
      <c r="G5695" s="1" t="s">
        <v>59</v>
      </c>
      <c r="H5695" s="1" t="str">
        <f t="shared" si="1102"/>
        <v>20220927</v>
      </c>
      <c r="I5695" s="1" t="str">
        <f>"195649"</f>
        <v>195649</v>
      </c>
      <c r="J5695" s="1" t="s">
        <v>52</v>
      </c>
      <c r="K5695" s="1" t="s">
        <v>52</v>
      </c>
      <c r="L5695" s="1" t="str">
        <f t="shared" si="1106"/>
        <v>20220927</v>
      </c>
      <c r="M5695" s="1" t="str">
        <f>"202031"</f>
        <v>202031</v>
      </c>
      <c r="N5695" s="1" t="s">
        <v>28</v>
      </c>
      <c r="O5695" s="1" t="s">
        <v>28</v>
      </c>
      <c r="P5695" s="1" t="s">
        <v>55</v>
      </c>
      <c r="Q5695" s="1">
        <v>25</v>
      </c>
      <c r="R5695" s="1">
        <v>25</v>
      </c>
      <c r="S5695" s="1">
        <v>0</v>
      </c>
      <c r="T5695" s="1">
        <v>0</v>
      </c>
      <c r="U5695" s="1">
        <v>0</v>
      </c>
      <c r="V5695" s="1" t="str">
        <f>"里程返程"</f>
        <v>里程返程</v>
      </c>
      <c r="W5695" s="1" t="str">
        <f>"0020"</f>
        <v>0020</v>
      </c>
      <c r="X5695" s="1" t="s">
        <v>29</v>
      </c>
    </row>
    <row r="5696" spans="1:24" x14ac:dyDescent="0.3">
      <c r="A5696" s="1" t="str">
        <f t="shared" ref="A5696:A5721" si="1107">"59829"</f>
        <v>59829</v>
      </c>
      <c r="B5696" s="1" t="s">
        <v>47</v>
      </c>
      <c r="C5696" s="1" t="s">
        <v>48</v>
      </c>
      <c r="D5696" s="1" t="str">
        <f t="shared" ref="D5696:D5718" si="1108">"9801"</f>
        <v>9801</v>
      </c>
      <c r="E5696" s="1" t="s">
        <v>25</v>
      </c>
      <c r="F5696" s="1" t="str">
        <f>"1892873755"</f>
        <v>1892873755</v>
      </c>
      <c r="G5696" s="1" t="s">
        <v>33</v>
      </c>
      <c r="H5696" s="1" t="str">
        <f t="shared" si="1102"/>
        <v>20220927</v>
      </c>
      <c r="I5696" s="1" t="str">
        <f>"110926"</f>
        <v>110926</v>
      </c>
      <c r="J5696" s="1" t="s">
        <v>60</v>
      </c>
      <c r="K5696" s="1" t="s">
        <v>52</v>
      </c>
      <c r="L5696" s="1" t="str">
        <f t="shared" si="1106"/>
        <v>20220927</v>
      </c>
      <c r="M5696" s="1" t="str">
        <f>"113532"</f>
        <v>113532</v>
      </c>
      <c r="N5696" s="1" t="s">
        <v>70</v>
      </c>
      <c r="O5696" s="1" t="s">
        <v>28</v>
      </c>
      <c r="P5696" s="1" t="s">
        <v>55</v>
      </c>
      <c r="Q5696" s="1">
        <v>25</v>
      </c>
      <c r="R5696" s="1">
        <v>25</v>
      </c>
      <c r="S5696" s="1">
        <v>0</v>
      </c>
      <c r="T5696" s="1">
        <v>0</v>
      </c>
      <c r="U5696" s="1">
        <v>0</v>
      </c>
      <c r="V5696" s="1" t="str">
        <f t="shared" ref="V5696:V5710" si="1109">"里程去程"</f>
        <v>里程去程</v>
      </c>
      <c r="W5696" s="1" t="str">
        <f>"2120"</f>
        <v>2120</v>
      </c>
      <c r="X5696" s="1" t="s">
        <v>35</v>
      </c>
    </row>
    <row r="5697" spans="1:24" x14ac:dyDescent="0.3">
      <c r="A5697" s="1" t="str">
        <f t="shared" si="1107"/>
        <v>59829</v>
      </c>
      <c r="B5697" s="1" t="s">
        <v>47</v>
      </c>
      <c r="C5697" s="1" t="s">
        <v>48</v>
      </c>
      <c r="D5697" s="1" t="str">
        <f t="shared" si="1108"/>
        <v>9801</v>
      </c>
      <c r="E5697" s="1" t="s">
        <v>25</v>
      </c>
      <c r="F5697" s="1" t="str">
        <f>"1279584657"</f>
        <v>1279584657</v>
      </c>
      <c r="G5697" s="1" t="s">
        <v>33</v>
      </c>
      <c r="H5697" s="1" t="str">
        <f t="shared" si="1102"/>
        <v>20220927</v>
      </c>
      <c r="I5697" s="1" t="str">
        <f>"112021"</f>
        <v>112021</v>
      </c>
      <c r="J5697" s="1" t="s">
        <v>80</v>
      </c>
      <c r="K5697" s="1" t="s">
        <v>52</v>
      </c>
      <c r="L5697" s="1" t="str">
        <f t="shared" si="1106"/>
        <v>20220927</v>
      </c>
      <c r="M5697" s="1" t="str">
        <f>"113529"</f>
        <v>113529</v>
      </c>
      <c r="N5697" s="1" t="s">
        <v>70</v>
      </c>
      <c r="O5697" s="1" t="s">
        <v>28</v>
      </c>
      <c r="P5697" s="1" t="s">
        <v>55</v>
      </c>
      <c r="Q5697" s="1">
        <v>25</v>
      </c>
      <c r="R5697" s="1">
        <v>0</v>
      </c>
      <c r="S5697" s="1">
        <v>25</v>
      </c>
      <c r="T5697" s="1">
        <v>0</v>
      </c>
      <c r="U5697" s="1">
        <v>0</v>
      </c>
      <c r="V5697" s="1" t="str">
        <f t="shared" si="1109"/>
        <v>里程去程</v>
      </c>
      <c r="W5697" s="1" t="str">
        <f>"2120"</f>
        <v>2120</v>
      </c>
      <c r="X5697" s="1" t="s">
        <v>35</v>
      </c>
    </row>
    <row r="5698" spans="1:24" x14ac:dyDescent="0.3">
      <c r="A5698" s="1" t="str">
        <f t="shared" si="1107"/>
        <v>59829</v>
      </c>
      <c r="B5698" s="1" t="s">
        <v>47</v>
      </c>
      <c r="C5698" s="1" t="s">
        <v>48</v>
      </c>
      <c r="D5698" s="1" t="str">
        <f t="shared" si="1108"/>
        <v>9801</v>
      </c>
      <c r="E5698" s="1" t="s">
        <v>25</v>
      </c>
      <c r="F5698" s="1" t="str">
        <f>"3614668534"</f>
        <v>3614668534</v>
      </c>
      <c r="G5698" s="1" t="s">
        <v>33</v>
      </c>
      <c r="H5698" s="1" t="str">
        <f t="shared" si="1102"/>
        <v>20220927</v>
      </c>
      <c r="I5698" s="1" t="str">
        <f>"120009"</f>
        <v>120009</v>
      </c>
      <c r="J5698" s="1" t="s">
        <v>52</v>
      </c>
      <c r="K5698" s="1" t="s">
        <v>52</v>
      </c>
      <c r="L5698" s="1" t="str">
        <f t="shared" si="1106"/>
        <v>20220927</v>
      </c>
      <c r="M5698" s="1" t="str">
        <f>"122924"</f>
        <v>122924</v>
      </c>
      <c r="N5698" s="1" t="s">
        <v>70</v>
      </c>
      <c r="O5698" s="1" t="s">
        <v>28</v>
      </c>
      <c r="P5698" s="1" t="s">
        <v>55</v>
      </c>
      <c r="Q5698" s="1">
        <v>25</v>
      </c>
      <c r="R5698" s="1">
        <v>25</v>
      </c>
      <c r="S5698" s="1">
        <v>0</v>
      </c>
      <c r="T5698" s="1">
        <v>0</v>
      </c>
      <c r="U5698" s="1">
        <v>0</v>
      </c>
      <c r="V5698" s="1" t="str">
        <f t="shared" si="1109"/>
        <v>里程去程</v>
      </c>
      <c r="W5698" s="1" t="str">
        <f>"1420"</f>
        <v>1420</v>
      </c>
      <c r="X5698" s="1" t="s">
        <v>35</v>
      </c>
    </row>
    <row r="5699" spans="1:24" x14ac:dyDescent="0.3">
      <c r="A5699" s="1" t="str">
        <f t="shared" si="1107"/>
        <v>59829</v>
      </c>
      <c r="B5699" s="1" t="s">
        <v>47</v>
      </c>
      <c r="C5699" s="1" t="s">
        <v>48</v>
      </c>
      <c r="D5699" s="1" t="str">
        <f t="shared" si="1108"/>
        <v>9801</v>
      </c>
      <c r="E5699" s="1" t="s">
        <v>25</v>
      </c>
      <c r="F5699" s="1" t="str">
        <f>"92EFBC12D328040080CEBCD765212818"</f>
        <v>92EFBC12D328040080CEBCD765212818</v>
      </c>
      <c r="G5699" s="1" t="s">
        <v>58</v>
      </c>
      <c r="H5699" s="1" t="str">
        <f t="shared" si="1102"/>
        <v>20220927</v>
      </c>
      <c r="I5699" s="1" t="str">
        <f>"123016"</f>
        <v>123016</v>
      </c>
      <c r="J5699" s="1" t="s">
        <v>28</v>
      </c>
      <c r="K5699" s="1" t="s">
        <v>28</v>
      </c>
      <c r="L5699" s="1" t="str">
        <f t="shared" si="1106"/>
        <v>20220927</v>
      </c>
      <c r="M5699" s="1" t="str">
        <f>"125740"</f>
        <v>125740</v>
      </c>
      <c r="N5699" s="1" t="s">
        <v>44</v>
      </c>
      <c r="O5699" s="1" t="s">
        <v>45</v>
      </c>
      <c r="P5699" s="1" t="s">
        <v>55</v>
      </c>
      <c r="Q5699" s="1">
        <v>25</v>
      </c>
      <c r="R5699" s="1">
        <v>0</v>
      </c>
      <c r="S5699" s="1">
        <v>25</v>
      </c>
      <c r="T5699" s="1">
        <v>0</v>
      </c>
      <c r="U5699" s="1">
        <v>0</v>
      </c>
      <c r="V5699" s="1" t="str">
        <f t="shared" si="1109"/>
        <v>里程去程</v>
      </c>
      <c r="W5699" s="1" t="str">
        <f>"0620"</f>
        <v>0620</v>
      </c>
      <c r="X5699" s="1" t="s">
        <v>29</v>
      </c>
    </row>
    <row r="5700" spans="1:24" x14ac:dyDescent="0.3">
      <c r="A5700" s="1" t="str">
        <f t="shared" si="1107"/>
        <v>59829</v>
      </c>
      <c r="B5700" s="1" t="s">
        <v>47</v>
      </c>
      <c r="C5700" s="1" t="s">
        <v>48</v>
      </c>
      <c r="D5700" s="1" t="str">
        <f t="shared" si="1108"/>
        <v>9801</v>
      </c>
      <c r="E5700" s="1" t="s">
        <v>25</v>
      </c>
      <c r="F5700" s="1" t="str">
        <f>"4291A7196D880400C824002000000020"</f>
        <v>4291A7196D880400C824002000000020</v>
      </c>
      <c r="G5700" s="1" t="s">
        <v>64</v>
      </c>
      <c r="H5700" s="1" t="str">
        <f t="shared" si="1102"/>
        <v>20220927</v>
      </c>
      <c r="I5700" s="1" t="str">
        <f>"123019"</f>
        <v>123019</v>
      </c>
      <c r="J5700" s="1" t="s">
        <v>28</v>
      </c>
      <c r="K5700" s="1" t="s">
        <v>28</v>
      </c>
      <c r="L5700" s="1" t="str">
        <f t="shared" si="1106"/>
        <v>20220927</v>
      </c>
      <c r="M5700" s="1" t="str">
        <f>"125746"</f>
        <v>125746</v>
      </c>
      <c r="N5700" s="1" t="s">
        <v>44</v>
      </c>
      <c r="O5700" s="1" t="s">
        <v>45</v>
      </c>
      <c r="P5700" s="1" t="s">
        <v>55</v>
      </c>
      <c r="Q5700" s="1">
        <v>13</v>
      </c>
      <c r="R5700" s="1">
        <v>0</v>
      </c>
      <c r="S5700" s="1">
        <v>13</v>
      </c>
      <c r="T5700" s="1">
        <v>0</v>
      </c>
      <c r="U5700" s="1">
        <v>0</v>
      </c>
      <c r="V5700" s="1" t="str">
        <f t="shared" si="1109"/>
        <v>里程去程</v>
      </c>
      <c r="W5700" s="1" t="str">
        <f>"0620"</f>
        <v>0620</v>
      </c>
      <c r="X5700" s="1" t="s">
        <v>29</v>
      </c>
    </row>
    <row r="5701" spans="1:24" x14ac:dyDescent="0.3">
      <c r="A5701" s="1" t="str">
        <f t="shared" si="1107"/>
        <v>59829</v>
      </c>
      <c r="B5701" s="1" t="s">
        <v>47</v>
      </c>
      <c r="C5701" s="1" t="s">
        <v>48</v>
      </c>
      <c r="D5701" s="1" t="str">
        <f t="shared" si="1108"/>
        <v>9801</v>
      </c>
      <c r="E5701" s="1" t="s">
        <v>25</v>
      </c>
      <c r="F5701" s="1" t="str">
        <f>"1739455893"</f>
        <v>1739455893</v>
      </c>
      <c r="G5701" s="1" t="s">
        <v>33</v>
      </c>
      <c r="H5701" s="1" t="str">
        <f t="shared" ref="H5701:H5721" si="1110">"20220927"</f>
        <v>20220927</v>
      </c>
      <c r="I5701" s="1" t="str">
        <f>"123121"</f>
        <v>123121</v>
      </c>
      <c r="J5701" s="1" t="s">
        <v>28</v>
      </c>
      <c r="K5701" s="1" t="s">
        <v>28</v>
      </c>
      <c r="L5701" s="1" t="str">
        <f t="shared" si="1106"/>
        <v>20220927</v>
      </c>
      <c r="M5701" s="1" t="str">
        <f>"125735"</f>
        <v>125735</v>
      </c>
      <c r="N5701" s="1" t="s">
        <v>44</v>
      </c>
      <c r="O5701" s="1" t="s">
        <v>45</v>
      </c>
      <c r="P5701" s="1" t="s">
        <v>55</v>
      </c>
      <c r="Q5701" s="1">
        <v>25</v>
      </c>
      <c r="R5701" s="1">
        <v>25</v>
      </c>
      <c r="S5701" s="1">
        <v>0</v>
      </c>
      <c r="T5701" s="1">
        <v>0</v>
      </c>
      <c r="U5701" s="1">
        <v>0</v>
      </c>
      <c r="V5701" s="1" t="str">
        <f t="shared" si="1109"/>
        <v>里程去程</v>
      </c>
      <c r="W5701" s="1" t="str">
        <f>"1d20"</f>
        <v>1d20</v>
      </c>
      <c r="X5701" s="1" t="s">
        <v>35</v>
      </c>
    </row>
    <row r="5702" spans="1:24" x14ac:dyDescent="0.3">
      <c r="A5702" s="1" t="str">
        <f t="shared" si="1107"/>
        <v>59829</v>
      </c>
      <c r="B5702" s="1" t="s">
        <v>47</v>
      </c>
      <c r="C5702" s="1" t="s">
        <v>48</v>
      </c>
      <c r="D5702" s="1" t="str">
        <f t="shared" si="1108"/>
        <v>9801</v>
      </c>
      <c r="E5702" s="1" t="s">
        <v>25</v>
      </c>
      <c r="F5702" s="1" t="str">
        <f>"D14AA66C512804001C00000000000000"</f>
        <v>D14AA66C512804001C00000000000000</v>
      </c>
      <c r="G5702" s="1" t="s">
        <v>58</v>
      </c>
      <c r="H5702" s="1" t="str">
        <f t="shared" si="1110"/>
        <v>20220927</v>
      </c>
      <c r="I5702" s="1" t="str">
        <f>"123317"</f>
        <v>123317</v>
      </c>
      <c r="J5702" s="1" t="s">
        <v>28</v>
      </c>
      <c r="K5702" s="1" t="s">
        <v>28</v>
      </c>
      <c r="L5702" s="1" t="str">
        <f t="shared" si="1106"/>
        <v>20220927</v>
      </c>
      <c r="M5702" s="1" t="str">
        <f>"124226"</f>
        <v>124226</v>
      </c>
      <c r="N5702" s="1" t="s">
        <v>79</v>
      </c>
      <c r="O5702" s="1" t="s">
        <v>45</v>
      </c>
      <c r="P5702" s="1" t="s">
        <v>55</v>
      </c>
      <c r="Q5702" s="1">
        <v>25</v>
      </c>
      <c r="R5702" s="1">
        <v>0</v>
      </c>
      <c r="S5702" s="1">
        <v>25</v>
      </c>
      <c r="T5702" s="1">
        <v>0</v>
      </c>
      <c r="U5702" s="1">
        <v>0</v>
      </c>
      <c r="V5702" s="1" t="str">
        <f t="shared" si="1109"/>
        <v>里程去程</v>
      </c>
      <c r="W5702" s="1" t="str">
        <f>"0620"</f>
        <v>0620</v>
      </c>
      <c r="X5702" s="1" t="s">
        <v>29</v>
      </c>
    </row>
    <row r="5703" spans="1:24" x14ac:dyDescent="0.3">
      <c r="A5703" s="1" t="str">
        <f t="shared" si="1107"/>
        <v>59829</v>
      </c>
      <c r="B5703" s="1" t="s">
        <v>47</v>
      </c>
      <c r="C5703" s="1" t="s">
        <v>48</v>
      </c>
      <c r="D5703" s="1" t="str">
        <f t="shared" si="1108"/>
        <v>9801</v>
      </c>
      <c r="E5703" s="1" t="s">
        <v>25</v>
      </c>
      <c r="F5703" s="1" t="str">
        <f>"F25B1B03B1880400C834002000000015"</f>
        <v>F25B1B03B1880400C834002000000015</v>
      </c>
      <c r="G5703" s="1" t="s">
        <v>26</v>
      </c>
      <c r="H5703" s="1" t="str">
        <f t="shared" si="1110"/>
        <v>20220927</v>
      </c>
      <c r="I5703" s="1" t="str">
        <f>"130739"</f>
        <v>130739</v>
      </c>
      <c r="J5703" s="1" t="s">
        <v>60</v>
      </c>
      <c r="K5703" s="1" t="s">
        <v>52</v>
      </c>
      <c r="L5703" s="1" t="str">
        <f t="shared" si="1106"/>
        <v>20220927</v>
      </c>
      <c r="M5703" s="1" t="str">
        <f>"133144"</f>
        <v>133144</v>
      </c>
      <c r="N5703" s="1" t="s">
        <v>70</v>
      </c>
      <c r="O5703" s="1" t="s">
        <v>28</v>
      </c>
      <c r="P5703" s="1" t="s">
        <v>68</v>
      </c>
      <c r="Q5703" s="1">
        <v>13</v>
      </c>
      <c r="R5703" s="1">
        <v>0</v>
      </c>
      <c r="S5703" s="1">
        <v>0</v>
      </c>
      <c r="T5703" s="1">
        <v>13</v>
      </c>
      <c r="U5703" s="1">
        <v>0</v>
      </c>
      <c r="V5703" s="1" t="str">
        <f t="shared" si="1109"/>
        <v>里程去程</v>
      </c>
      <c r="W5703" s="1" t="str">
        <f t="shared" ref="W5703:W5709" si="1111">"0020"</f>
        <v>0020</v>
      </c>
      <c r="X5703" s="1" t="s">
        <v>29</v>
      </c>
    </row>
    <row r="5704" spans="1:24" x14ac:dyDescent="0.3">
      <c r="A5704" s="1" t="str">
        <f t="shared" si="1107"/>
        <v>59829</v>
      </c>
      <c r="B5704" s="1" t="s">
        <v>47</v>
      </c>
      <c r="C5704" s="1" t="s">
        <v>48</v>
      </c>
      <c r="D5704" s="1" t="str">
        <f t="shared" si="1108"/>
        <v>9801</v>
      </c>
      <c r="E5704" s="1" t="s">
        <v>25</v>
      </c>
      <c r="F5704" s="1" t="str">
        <f>"22E11A03DA880400C834002000000015"</f>
        <v>22E11A03DA880400C834002000000015</v>
      </c>
      <c r="G5704" s="1" t="s">
        <v>26</v>
      </c>
      <c r="H5704" s="1" t="str">
        <f t="shared" si="1110"/>
        <v>20220927</v>
      </c>
      <c r="I5704" s="1" t="str">
        <f>"135320"</f>
        <v>135320</v>
      </c>
      <c r="J5704" s="1" t="s">
        <v>100</v>
      </c>
      <c r="K5704" s="1" t="s">
        <v>45</v>
      </c>
      <c r="L5704" s="1" t="str">
        <f t="shared" si="1106"/>
        <v>20220927</v>
      </c>
      <c r="M5704" s="1" t="str">
        <f>"135555"</f>
        <v>135555</v>
      </c>
      <c r="N5704" s="1" t="s">
        <v>44</v>
      </c>
      <c r="O5704" s="1" t="s">
        <v>45</v>
      </c>
      <c r="P5704" s="1" t="s">
        <v>68</v>
      </c>
      <c r="Q5704" s="1">
        <v>13</v>
      </c>
      <c r="R5704" s="1">
        <v>0</v>
      </c>
      <c r="S5704" s="1">
        <v>0</v>
      </c>
      <c r="T5704" s="1">
        <v>13</v>
      </c>
      <c r="U5704" s="1">
        <v>0</v>
      </c>
      <c r="V5704" s="1" t="str">
        <f t="shared" si="1109"/>
        <v>里程去程</v>
      </c>
      <c r="W5704" s="1" t="str">
        <f t="shared" si="1111"/>
        <v>0020</v>
      </c>
      <c r="X5704" s="1" t="s">
        <v>29</v>
      </c>
    </row>
    <row r="5705" spans="1:24" x14ac:dyDescent="0.3">
      <c r="A5705" s="1" t="str">
        <f t="shared" si="1107"/>
        <v>59829</v>
      </c>
      <c r="B5705" s="1" t="s">
        <v>47</v>
      </c>
      <c r="C5705" s="1" t="s">
        <v>48</v>
      </c>
      <c r="D5705" s="1" t="str">
        <f t="shared" si="1108"/>
        <v>9801</v>
      </c>
      <c r="E5705" s="1" t="s">
        <v>25</v>
      </c>
      <c r="F5705" s="1" t="str">
        <f>"F27CE6026A880400C834002000000015"</f>
        <v>F27CE6026A880400C834002000000015</v>
      </c>
      <c r="G5705" s="1" t="s">
        <v>74</v>
      </c>
      <c r="H5705" s="1" t="str">
        <f t="shared" si="1110"/>
        <v>20220927</v>
      </c>
      <c r="I5705" s="1" t="str">
        <f>"145350"</f>
        <v>145350</v>
      </c>
      <c r="J5705" s="1" t="s">
        <v>52</v>
      </c>
      <c r="K5705" s="1" t="s">
        <v>52</v>
      </c>
      <c r="L5705" s="1" t="str">
        <f t="shared" si="1106"/>
        <v>20220927</v>
      </c>
      <c r="M5705" s="1" t="str">
        <f>"150535"</f>
        <v>150535</v>
      </c>
      <c r="N5705" s="1" t="s">
        <v>60</v>
      </c>
      <c r="O5705" s="1" t="s">
        <v>52</v>
      </c>
      <c r="P5705" s="1" t="s">
        <v>68</v>
      </c>
      <c r="Q5705" s="1">
        <v>13</v>
      </c>
      <c r="R5705" s="1">
        <v>0</v>
      </c>
      <c r="S5705" s="1">
        <v>0</v>
      </c>
      <c r="T5705" s="1">
        <v>13</v>
      </c>
      <c r="U5705" s="1">
        <v>0</v>
      </c>
      <c r="V5705" s="1" t="str">
        <f t="shared" si="1109"/>
        <v>里程去程</v>
      </c>
      <c r="W5705" s="1" t="str">
        <f t="shared" si="1111"/>
        <v>0020</v>
      </c>
      <c r="X5705" s="1" t="s">
        <v>29</v>
      </c>
    </row>
    <row r="5706" spans="1:24" x14ac:dyDescent="0.3">
      <c r="A5706" s="1" t="str">
        <f t="shared" si="1107"/>
        <v>59829</v>
      </c>
      <c r="B5706" s="1" t="s">
        <v>47</v>
      </c>
      <c r="C5706" s="1" t="s">
        <v>48</v>
      </c>
      <c r="D5706" s="1" t="str">
        <f t="shared" si="1108"/>
        <v>9801</v>
      </c>
      <c r="E5706" s="1" t="s">
        <v>25</v>
      </c>
      <c r="F5706" s="1" t="str">
        <f>"C2F219032A880400C834002000000015"</f>
        <v>C2F219032A880400C834002000000015</v>
      </c>
      <c r="G5706" s="1" t="s">
        <v>26</v>
      </c>
      <c r="H5706" s="1" t="str">
        <f t="shared" si="1110"/>
        <v>20220927</v>
      </c>
      <c r="I5706" s="1" t="str">
        <f>"150432"</f>
        <v>150432</v>
      </c>
      <c r="J5706" s="1" t="s">
        <v>86</v>
      </c>
      <c r="K5706" s="1" t="s">
        <v>52</v>
      </c>
      <c r="L5706" s="1" t="str">
        <f t="shared" si="1106"/>
        <v>20220927</v>
      </c>
      <c r="M5706" s="1" t="str">
        <f>"150729"</f>
        <v>150729</v>
      </c>
      <c r="N5706" s="1" t="s">
        <v>51</v>
      </c>
      <c r="O5706" s="1" t="s">
        <v>52</v>
      </c>
      <c r="P5706" s="1" t="s">
        <v>68</v>
      </c>
      <c r="Q5706" s="1">
        <v>13</v>
      </c>
      <c r="R5706" s="1">
        <v>0</v>
      </c>
      <c r="S5706" s="1">
        <v>0</v>
      </c>
      <c r="T5706" s="1">
        <v>13</v>
      </c>
      <c r="U5706" s="1">
        <v>0</v>
      </c>
      <c r="V5706" s="1" t="str">
        <f t="shared" si="1109"/>
        <v>里程去程</v>
      </c>
      <c r="W5706" s="1" t="str">
        <f t="shared" si="1111"/>
        <v>0020</v>
      </c>
      <c r="X5706" s="1" t="s">
        <v>29</v>
      </c>
    </row>
    <row r="5707" spans="1:24" x14ac:dyDescent="0.3">
      <c r="A5707" s="1" t="str">
        <f t="shared" si="1107"/>
        <v>59829</v>
      </c>
      <c r="B5707" s="1" t="s">
        <v>47</v>
      </c>
      <c r="C5707" s="1" t="s">
        <v>48</v>
      </c>
      <c r="D5707" s="1" t="str">
        <f t="shared" si="1108"/>
        <v>9801</v>
      </c>
      <c r="E5707" s="1" t="s">
        <v>25</v>
      </c>
      <c r="F5707" s="1" t="str">
        <f>"F215D20237880400C834002000000015"</f>
        <v>F215D20237880400C834002000000015</v>
      </c>
      <c r="G5707" s="1" t="s">
        <v>26</v>
      </c>
      <c r="H5707" s="1" t="str">
        <f t="shared" si="1110"/>
        <v>20220927</v>
      </c>
      <c r="I5707" s="1" t="str">
        <f>"150739"</f>
        <v>150739</v>
      </c>
      <c r="J5707" s="1" t="s">
        <v>51</v>
      </c>
      <c r="K5707" s="1" t="s">
        <v>52</v>
      </c>
      <c r="L5707" s="1" t="str">
        <f t="shared" si="1106"/>
        <v>20220927</v>
      </c>
      <c r="M5707" s="1" t="str">
        <f>"153131"</f>
        <v>153131</v>
      </c>
      <c r="N5707" s="1" t="s">
        <v>70</v>
      </c>
      <c r="O5707" s="1" t="s">
        <v>28</v>
      </c>
      <c r="P5707" s="1" t="s">
        <v>68</v>
      </c>
      <c r="Q5707" s="1">
        <v>13</v>
      </c>
      <c r="R5707" s="1">
        <v>0</v>
      </c>
      <c r="S5707" s="1">
        <v>0</v>
      </c>
      <c r="T5707" s="1">
        <v>13</v>
      </c>
      <c r="U5707" s="1">
        <v>0</v>
      </c>
      <c r="V5707" s="1" t="str">
        <f t="shared" si="1109"/>
        <v>里程去程</v>
      </c>
      <c r="W5707" s="1" t="str">
        <f t="shared" si="1111"/>
        <v>0020</v>
      </c>
      <c r="X5707" s="1" t="s">
        <v>29</v>
      </c>
    </row>
    <row r="5708" spans="1:24" x14ac:dyDescent="0.3">
      <c r="A5708" s="1" t="str">
        <f t="shared" si="1107"/>
        <v>59829</v>
      </c>
      <c r="B5708" s="1" t="s">
        <v>47</v>
      </c>
      <c r="C5708" s="1" t="s">
        <v>48</v>
      </c>
      <c r="D5708" s="1" t="str">
        <f t="shared" si="1108"/>
        <v>9801</v>
      </c>
      <c r="E5708" s="1" t="s">
        <v>25</v>
      </c>
      <c r="F5708" s="1" t="str">
        <f>"D27CFD1645880400C814002000000019"</f>
        <v>D27CFD1645880400C814002000000019</v>
      </c>
      <c r="G5708" s="1" t="s">
        <v>59</v>
      </c>
      <c r="H5708" s="1" t="str">
        <f t="shared" si="1110"/>
        <v>20220927</v>
      </c>
      <c r="I5708" s="1" t="str">
        <f>"153142"</f>
        <v>153142</v>
      </c>
      <c r="J5708" s="1" t="s">
        <v>28</v>
      </c>
      <c r="K5708" s="1" t="s">
        <v>28</v>
      </c>
      <c r="L5708" s="1" t="str">
        <f t="shared" ref="L5708:L5721" si="1112">"20220927"</f>
        <v>20220927</v>
      </c>
      <c r="M5708" s="1" t="str">
        <f>"155614"</f>
        <v>155614</v>
      </c>
      <c r="N5708" s="1" t="s">
        <v>100</v>
      </c>
      <c r="O5708" s="1" t="s">
        <v>45</v>
      </c>
      <c r="P5708" s="1" t="s">
        <v>55</v>
      </c>
      <c r="Q5708" s="1">
        <v>25</v>
      </c>
      <c r="R5708" s="1">
        <v>25</v>
      </c>
      <c r="S5708" s="1">
        <v>0</v>
      </c>
      <c r="T5708" s="1">
        <v>0</v>
      </c>
      <c r="U5708" s="1">
        <v>0</v>
      </c>
      <c r="V5708" s="1" t="str">
        <f t="shared" si="1109"/>
        <v>里程去程</v>
      </c>
      <c r="W5708" s="1" t="str">
        <f t="shared" si="1111"/>
        <v>0020</v>
      </c>
      <c r="X5708" s="1" t="s">
        <v>29</v>
      </c>
    </row>
    <row r="5709" spans="1:24" x14ac:dyDescent="0.3">
      <c r="A5709" s="1" t="str">
        <f t="shared" si="1107"/>
        <v>59829</v>
      </c>
      <c r="B5709" s="1" t="s">
        <v>47</v>
      </c>
      <c r="C5709" s="1" t="s">
        <v>48</v>
      </c>
      <c r="D5709" s="1" t="str">
        <f t="shared" si="1108"/>
        <v>9801</v>
      </c>
      <c r="E5709" s="1" t="s">
        <v>25</v>
      </c>
      <c r="F5709" s="1" t="str">
        <f>"C2C219031A880400C834002000000015"</f>
        <v>C2C219031A880400C834002000000015</v>
      </c>
      <c r="G5709" s="1" t="s">
        <v>74</v>
      </c>
      <c r="H5709" s="1" t="str">
        <f t="shared" si="1110"/>
        <v>20220927</v>
      </c>
      <c r="I5709" s="1" t="str">
        <f>"160641"</f>
        <v>160641</v>
      </c>
      <c r="J5709" s="1" t="s">
        <v>60</v>
      </c>
      <c r="K5709" s="1" t="s">
        <v>52</v>
      </c>
      <c r="L5709" s="1" t="str">
        <f t="shared" si="1112"/>
        <v>20220927</v>
      </c>
      <c r="M5709" s="1" t="str">
        <f>"161733"</f>
        <v>161733</v>
      </c>
      <c r="N5709" s="1" t="s">
        <v>80</v>
      </c>
      <c r="O5709" s="1" t="s">
        <v>52</v>
      </c>
      <c r="P5709" s="1" t="s">
        <v>68</v>
      </c>
      <c r="Q5709" s="1">
        <v>13</v>
      </c>
      <c r="R5709" s="1">
        <v>0</v>
      </c>
      <c r="S5709" s="1">
        <v>0</v>
      </c>
      <c r="T5709" s="1">
        <v>13</v>
      </c>
      <c r="U5709" s="1">
        <v>0</v>
      </c>
      <c r="V5709" s="1" t="str">
        <f t="shared" si="1109"/>
        <v>里程去程</v>
      </c>
      <c r="W5709" s="1" t="str">
        <f t="shared" si="1111"/>
        <v>0020</v>
      </c>
      <c r="X5709" s="1" t="s">
        <v>29</v>
      </c>
    </row>
    <row r="5710" spans="1:24" x14ac:dyDescent="0.3">
      <c r="A5710" s="1" t="str">
        <f t="shared" si="1107"/>
        <v>59829</v>
      </c>
      <c r="B5710" s="1" t="s">
        <v>47</v>
      </c>
      <c r="C5710" s="1" t="s">
        <v>48</v>
      </c>
      <c r="D5710" s="1" t="str">
        <f t="shared" si="1108"/>
        <v>9801</v>
      </c>
      <c r="E5710" s="1" t="s">
        <v>25</v>
      </c>
      <c r="F5710" s="1" t="str">
        <f>"1602195157"</f>
        <v>1602195157</v>
      </c>
      <c r="G5710" s="1" t="s">
        <v>33</v>
      </c>
      <c r="H5710" s="1" t="str">
        <f t="shared" si="1110"/>
        <v>20220927</v>
      </c>
      <c r="I5710" s="1" t="str">
        <f>"163345"</f>
        <v>163345</v>
      </c>
      <c r="J5710" s="1" t="s">
        <v>27</v>
      </c>
      <c r="K5710" s="1" t="s">
        <v>28</v>
      </c>
      <c r="L5710" s="1" t="str">
        <f t="shared" si="1112"/>
        <v>20220927</v>
      </c>
      <c r="M5710" s="1" t="str">
        <f>"164530"</f>
        <v>164530</v>
      </c>
      <c r="N5710" s="1" t="s">
        <v>45</v>
      </c>
      <c r="O5710" s="1" t="s">
        <v>45</v>
      </c>
      <c r="P5710" s="1" t="s">
        <v>55</v>
      </c>
      <c r="Q5710" s="1">
        <v>25</v>
      </c>
      <c r="R5710" s="1">
        <v>25</v>
      </c>
      <c r="S5710" s="1">
        <v>0</v>
      </c>
      <c r="T5710" s="1">
        <v>0</v>
      </c>
      <c r="U5710" s="1">
        <v>0</v>
      </c>
      <c r="V5710" s="1" t="str">
        <f t="shared" si="1109"/>
        <v>里程去程</v>
      </c>
      <c r="W5710" s="1" t="str">
        <f>"0c20"</f>
        <v>0c20</v>
      </c>
      <c r="X5710" s="1" t="s">
        <v>35</v>
      </c>
    </row>
    <row r="5711" spans="1:24" x14ac:dyDescent="0.3">
      <c r="A5711" s="1" t="str">
        <f t="shared" si="1107"/>
        <v>59829</v>
      </c>
      <c r="B5711" s="1" t="s">
        <v>47</v>
      </c>
      <c r="C5711" s="1" t="s">
        <v>48</v>
      </c>
      <c r="D5711" s="1" t="str">
        <f t="shared" si="1108"/>
        <v>9801</v>
      </c>
      <c r="E5711" s="1" t="s">
        <v>25</v>
      </c>
      <c r="F5711" s="1" t="str">
        <f>"E2191918FA880400C819002000000019"</f>
        <v>E2191918FA880400C819002000000019</v>
      </c>
      <c r="G5711" s="1" t="s">
        <v>59</v>
      </c>
      <c r="H5711" s="1" t="str">
        <f t="shared" si="1110"/>
        <v>20220927</v>
      </c>
      <c r="I5711" s="1" t="str">
        <f>"173009"</f>
        <v>173009</v>
      </c>
      <c r="J5711" s="1" t="s">
        <v>44</v>
      </c>
      <c r="K5711" s="1" t="s">
        <v>45</v>
      </c>
      <c r="L5711" s="1" t="str">
        <f t="shared" si="1112"/>
        <v>20220927</v>
      </c>
      <c r="M5711" s="1" t="str">
        <f>"175220"</f>
        <v>175220</v>
      </c>
      <c r="N5711" s="1" t="s">
        <v>28</v>
      </c>
      <c r="O5711" s="1" t="s">
        <v>28</v>
      </c>
      <c r="P5711" s="1" t="s">
        <v>55</v>
      </c>
      <c r="Q5711" s="1">
        <v>25</v>
      </c>
      <c r="R5711" s="1">
        <v>25</v>
      </c>
      <c r="S5711" s="1">
        <v>0</v>
      </c>
      <c r="T5711" s="1">
        <v>0</v>
      </c>
      <c r="U5711" s="1">
        <v>0</v>
      </c>
      <c r="V5711" s="1" t="str">
        <f t="shared" ref="V5711:V5716" si="1113">"里程返程"</f>
        <v>里程返程</v>
      </c>
      <c r="W5711" s="1" t="str">
        <f>"0020"</f>
        <v>0020</v>
      </c>
      <c r="X5711" s="1" t="s">
        <v>29</v>
      </c>
    </row>
    <row r="5712" spans="1:24" x14ac:dyDescent="0.3">
      <c r="A5712" s="1" t="str">
        <f t="shared" si="1107"/>
        <v>59829</v>
      </c>
      <c r="B5712" s="1" t="s">
        <v>47</v>
      </c>
      <c r="C5712" s="1" t="s">
        <v>48</v>
      </c>
      <c r="D5712" s="1" t="str">
        <f t="shared" si="1108"/>
        <v>9801</v>
      </c>
      <c r="E5712" s="1" t="s">
        <v>25</v>
      </c>
      <c r="F5712" s="1" t="str">
        <f>"5270B90A91880400C810002000000016"</f>
        <v>5270B90A91880400C810002000000016</v>
      </c>
      <c r="G5712" s="1" t="s">
        <v>59</v>
      </c>
      <c r="H5712" s="1" t="str">
        <f t="shared" si="1110"/>
        <v>20220927</v>
      </c>
      <c r="I5712" s="1" t="str">
        <f>"173012"</f>
        <v>173012</v>
      </c>
      <c r="J5712" s="1" t="s">
        <v>44</v>
      </c>
      <c r="K5712" s="1" t="s">
        <v>45</v>
      </c>
      <c r="L5712" s="1" t="str">
        <f t="shared" si="1112"/>
        <v>20220927</v>
      </c>
      <c r="M5712" s="1" t="str">
        <f>"175223"</f>
        <v>175223</v>
      </c>
      <c r="N5712" s="1" t="s">
        <v>28</v>
      </c>
      <c r="O5712" s="1" t="s">
        <v>28</v>
      </c>
      <c r="P5712" s="1" t="s">
        <v>55</v>
      </c>
      <c r="Q5712" s="1">
        <v>25</v>
      </c>
      <c r="R5712" s="1">
        <v>25</v>
      </c>
      <c r="S5712" s="1">
        <v>0</v>
      </c>
      <c r="T5712" s="1">
        <v>0</v>
      </c>
      <c r="U5712" s="1">
        <v>0</v>
      </c>
      <c r="V5712" s="1" t="str">
        <f t="shared" si="1113"/>
        <v>里程返程</v>
      </c>
      <c r="W5712" s="1" t="str">
        <f>"0020"</f>
        <v>0020</v>
      </c>
      <c r="X5712" s="1" t="s">
        <v>29</v>
      </c>
    </row>
    <row r="5713" spans="1:24" x14ac:dyDescent="0.3">
      <c r="A5713" s="1" t="str">
        <f t="shared" si="1107"/>
        <v>59829</v>
      </c>
      <c r="B5713" s="1" t="s">
        <v>47</v>
      </c>
      <c r="C5713" s="1" t="s">
        <v>48</v>
      </c>
      <c r="D5713" s="1" t="str">
        <f t="shared" si="1108"/>
        <v>9801</v>
      </c>
      <c r="E5713" s="1" t="s">
        <v>25</v>
      </c>
      <c r="F5713" s="1" t="str">
        <f>"1225599509"</f>
        <v>1225599509</v>
      </c>
      <c r="G5713" s="1" t="s">
        <v>33</v>
      </c>
      <c r="H5713" s="1" t="str">
        <f t="shared" si="1110"/>
        <v>20220927</v>
      </c>
      <c r="I5713" s="1" t="str">
        <f>"173015"</f>
        <v>173015</v>
      </c>
      <c r="J5713" s="1" t="s">
        <v>44</v>
      </c>
      <c r="K5713" s="1" t="s">
        <v>45</v>
      </c>
      <c r="L5713" s="1" t="str">
        <f t="shared" si="1112"/>
        <v>20220927</v>
      </c>
      <c r="M5713" s="1" t="str">
        <f>"175226"</f>
        <v>175226</v>
      </c>
      <c r="N5713" s="1" t="s">
        <v>28</v>
      </c>
      <c r="O5713" s="1" t="s">
        <v>28</v>
      </c>
      <c r="P5713" s="1" t="s">
        <v>55</v>
      </c>
      <c r="Q5713" s="1">
        <v>25</v>
      </c>
      <c r="R5713" s="1">
        <v>25</v>
      </c>
      <c r="S5713" s="1">
        <v>0</v>
      </c>
      <c r="T5713" s="1">
        <v>0</v>
      </c>
      <c r="U5713" s="1">
        <v>0</v>
      </c>
      <c r="V5713" s="1" t="str">
        <f t="shared" si="1113"/>
        <v>里程返程</v>
      </c>
      <c r="W5713" s="1" t="str">
        <f>"2120"</f>
        <v>2120</v>
      </c>
      <c r="X5713" s="1" t="s">
        <v>35</v>
      </c>
    </row>
    <row r="5714" spans="1:24" x14ac:dyDescent="0.3">
      <c r="A5714" s="1" t="str">
        <f t="shared" si="1107"/>
        <v>59829</v>
      </c>
      <c r="B5714" s="1" t="s">
        <v>47</v>
      </c>
      <c r="C5714" s="1" t="s">
        <v>48</v>
      </c>
      <c r="D5714" s="1" t="str">
        <f t="shared" si="1108"/>
        <v>9801</v>
      </c>
      <c r="E5714" s="1" t="s">
        <v>25</v>
      </c>
      <c r="F5714" s="1" t="str">
        <f>"026A101860880400C814002000000019"</f>
        <v>026A101860880400C814002000000019</v>
      </c>
      <c r="G5714" s="1" t="s">
        <v>59</v>
      </c>
      <c r="H5714" s="1" t="str">
        <f t="shared" si="1110"/>
        <v>20220927</v>
      </c>
      <c r="I5714" s="1" t="str">
        <f>"173018"</f>
        <v>173018</v>
      </c>
      <c r="J5714" s="1" t="s">
        <v>44</v>
      </c>
      <c r="K5714" s="1" t="s">
        <v>45</v>
      </c>
      <c r="L5714" s="1" t="str">
        <f t="shared" si="1112"/>
        <v>20220927</v>
      </c>
      <c r="M5714" s="1" t="str">
        <f>"175229"</f>
        <v>175229</v>
      </c>
      <c r="N5714" s="1" t="s">
        <v>28</v>
      </c>
      <c r="O5714" s="1" t="s">
        <v>28</v>
      </c>
      <c r="P5714" s="1" t="s">
        <v>55</v>
      </c>
      <c r="Q5714" s="1">
        <v>25</v>
      </c>
      <c r="R5714" s="1">
        <v>25</v>
      </c>
      <c r="S5714" s="1">
        <v>0</v>
      </c>
      <c r="T5714" s="1">
        <v>0</v>
      </c>
      <c r="U5714" s="1">
        <v>0</v>
      </c>
      <c r="V5714" s="1" t="str">
        <f t="shared" si="1113"/>
        <v>里程返程</v>
      </c>
      <c r="W5714" s="1" t="str">
        <f>"0020"</f>
        <v>0020</v>
      </c>
      <c r="X5714" s="1" t="s">
        <v>29</v>
      </c>
    </row>
    <row r="5715" spans="1:24" x14ac:dyDescent="0.3">
      <c r="A5715" s="1" t="str">
        <f t="shared" si="1107"/>
        <v>59829</v>
      </c>
      <c r="B5715" s="1" t="s">
        <v>47</v>
      </c>
      <c r="C5715" s="1" t="s">
        <v>48</v>
      </c>
      <c r="D5715" s="1" t="str">
        <f t="shared" si="1108"/>
        <v>9801</v>
      </c>
      <c r="E5715" s="1" t="s">
        <v>25</v>
      </c>
      <c r="F5715" s="1" t="str">
        <f>"422AE7028D880400C834002000000015"</f>
        <v>422AE7028D880400C834002000000015</v>
      </c>
      <c r="G5715" s="1" t="s">
        <v>74</v>
      </c>
      <c r="H5715" s="1" t="str">
        <f t="shared" si="1110"/>
        <v>20220927</v>
      </c>
      <c r="I5715" s="1" t="str">
        <f>"173022"</f>
        <v>173022</v>
      </c>
      <c r="J5715" s="1" t="s">
        <v>44</v>
      </c>
      <c r="K5715" s="1" t="s">
        <v>45</v>
      </c>
      <c r="L5715" s="1" t="str">
        <f t="shared" si="1112"/>
        <v>20220927</v>
      </c>
      <c r="M5715" s="1" t="str">
        <f>"175235"</f>
        <v>175235</v>
      </c>
      <c r="N5715" s="1" t="s">
        <v>28</v>
      </c>
      <c r="O5715" s="1" t="s">
        <v>28</v>
      </c>
      <c r="P5715" s="1" t="s">
        <v>68</v>
      </c>
      <c r="Q5715" s="1">
        <v>13</v>
      </c>
      <c r="R5715" s="1">
        <v>0</v>
      </c>
      <c r="S5715" s="1">
        <v>0</v>
      </c>
      <c r="T5715" s="1">
        <v>13</v>
      </c>
      <c r="U5715" s="1">
        <v>0</v>
      </c>
      <c r="V5715" s="1" t="str">
        <f t="shared" si="1113"/>
        <v>里程返程</v>
      </c>
      <c r="W5715" s="1" t="str">
        <f>"0020"</f>
        <v>0020</v>
      </c>
      <c r="X5715" s="1" t="s">
        <v>29</v>
      </c>
    </row>
    <row r="5716" spans="1:24" x14ac:dyDescent="0.3">
      <c r="A5716" s="1" t="str">
        <f t="shared" si="1107"/>
        <v>59829</v>
      </c>
      <c r="B5716" s="1" t="s">
        <v>47</v>
      </c>
      <c r="C5716" s="1" t="s">
        <v>48</v>
      </c>
      <c r="D5716" s="1" t="str">
        <f t="shared" si="1108"/>
        <v>9801</v>
      </c>
      <c r="E5716" s="1" t="s">
        <v>25</v>
      </c>
      <c r="F5716" s="1" t="str">
        <f>"5AA00F31C4880400C08E1E565D904012"</f>
        <v>5AA00F31C4880400C08E1E565D904012</v>
      </c>
      <c r="G5716" s="1" t="s">
        <v>58</v>
      </c>
      <c r="H5716" s="1" t="str">
        <f t="shared" si="1110"/>
        <v>20220927</v>
      </c>
      <c r="I5716" s="1" t="str">
        <f>"185041"</f>
        <v>185041</v>
      </c>
      <c r="J5716" s="1" t="s">
        <v>28</v>
      </c>
      <c r="K5716" s="1" t="s">
        <v>28</v>
      </c>
      <c r="L5716" s="1" t="str">
        <f t="shared" si="1112"/>
        <v>20220927</v>
      </c>
      <c r="M5716" s="1" t="str">
        <f>"191803"</f>
        <v>191803</v>
      </c>
      <c r="N5716" s="1" t="s">
        <v>60</v>
      </c>
      <c r="O5716" s="1" t="s">
        <v>52</v>
      </c>
      <c r="P5716" s="1" t="s">
        <v>55</v>
      </c>
      <c r="Q5716" s="1">
        <v>25</v>
      </c>
      <c r="R5716" s="1">
        <v>25</v>
      </c>
      <c r="S5716" s="1">
        <v>0</v>
      </c>
      <c r="T5716" s="1">
        <v>0</v>
      </c>
      <c r="U5716" s="1">
        <v>0</v>
      </c>
      <c r="V5716" s="1" t="str">
        <f t="shared" si="1113"/>
        <v>里程返程</v>
      </c>
      <c r="W5716" s="1" t="str">
        <f>"0020"</f>
        <v>0020</v>
      </c>
      <c r="X5716" s="1" t="s">
        <v>29</v>
      </c>
    </row>
    <row r="5717" spans="1:24" x14ac:dyDescent="0.3">
      <c r="A5717" s="1" t="str">
        <f t="shared" si="1107"/>
        <v>59829</v>
      </c>
      <c r="B5717" s="1" t="s">
        <v>47</v>
      </c>
      <c r="C5717" s="1" t="s">
        <v>48</v>
      </c>
      <c r="D5717" s="1" t="str">
        <f t="shared" si="1108"/>
        <v>9801</v>
      </c>
      <c r="E5717" s="1" t="s">
        <v>25</v>
      </c>
      <c r="F5717" s="1" t="str">
        <f>"E293E60295880400C834002000000015"</f>
        <v>E293E60295880400C834002000000015</v>
      </c>
      <c r="G5717" s="1" t="s">
        <v>74</v>
      </c>
      <c r="H5717" s="1" t="str">
        <f t="shared" si="1110"/>
        <v>20220927</v>
      </c>
      <c r="I5717" s="1" t="str">
        <f>"201159"</f>
        <v>201159</v>
      </c>
      <c r="J5717" s="1" t="s">
        <v>65</v>
      </c>
      <c r="K5717" s="1" t="s">
        <v>52</v>
      </c>
      <c r="L5717" s="1" t="str">
        <f t="shared" si="1112"/>
        <v>20220927</v>
      </c>
      <c r="M5717" s="1" t="str">
        <f>"201528"</f>
        <v>201528</v>
      </c>
      <c r="N5717" s="1" t="s">
        <v>80</v>
      </c>
      <c r="O5717" s="1" t="s">
        <v>52</v>
      </c>
      <c r="P5717" s="1" t="s">
        <v>68</v>
      </c>
      <c r="Q5717" s="1">
        <v>13</v>
      </c>
      <c r="R5717" s="1">
        <v>0</v>
      </c>
      <c r="S5717" s="1">
        <v>0</v>
      </c>
      <c r="T5717" s="1">
        <v>13</v>
      </c>
      <c r="U5717" s="1">
        <v>0</v>
      </c>
      <c r="V5717" s="1" t="str">
        <f>"里程去程"</f>
        <v>里程去程</v>
      </c>
      <c r="W5717" s="1" t="str">
        <f>"0020"</f>
        <v>0020</v>
      </c>
      <c r="X5717" s="1" t="s">
        <v>29</v>
      </c>
    </row>
    <row r="5718" spans="1:24" x14ac:dyDescent="0.3">
      <c r="A5718" s="1" t="str">
        <f t="shared" si="1107"/>
        <v>59829</v>
      </c>
      <c r="B5718" s="1" t="s">
        <v>47</v>
      </c>
      <c r="C5718" s="1" t="s">
        <v>48</v>
      </c>
      <c r="D5718" s="1" t="str">
        <f t="shared" si="1108"/>
        <v>9801</v>
      </c>
      <c r="E5718" s="1" t="s">
        <v>25</v>
      </c>
      <c r="F5718" s="1" t="str">
        <f>"C2C219031A880400C834002000000015"</f>
        <v>C2C219031A880400C834002000000015</v>
      </c>
      <c r="G5718" s="1" t="s">
        <v>74</v>
      </c>
      <c r="H5718" s="1" t="str">
        <f t="shared" si="1110"/>
        <v>20220927</v>
      </c>
      <c r="I5718" s="1" t="str">
        <f>"201204"</f>
        <v>201204</v>
      </c>
      <c r="J5718" s="1" t="s">
        <v>65</v>
      </c>
      <c r="K5718" s="1" t="s">
        <v>52</v>
      </c>
      <c r="L5718" s="1" t="str">
        <f t="shared" si="1112"/>
        <v>20220927</v>
      </c>
      <c r="M5718" s="1" t="str">
        <f>"201448"</f>
        <v>201448</v>
      </c>
      <c r="N5718" s="1" t="s">
        <v>97</v>
      </c>
      <c r="O5718" s="1" t="s">
        <v>52</v>
      </c>
      <c r="P5718" s="1" t="s">
        <v>68</v>
      </c>
      <c r="Q5718" s="1">
        <v>13</v>
      </c>
      <c r="R5718" s="1">
        <v>0</v>
      </c>
      <c r="S5718" s="1">
        <v>0</v>
      </c>
      <c r="T5718" s="1">
        <v>13</v>
      </c>
      <c r="U5718" s="1">
        <v>0</v>
      </c>
      <c r="V5718" s="1" t="str">
        <f>"里程去程"</f>
        <v>里程去程</v>
      </c>
      <c r="W5718" s="1" t="str">
        <f>"0020"</f>
        <v>0020</v>
      </c>
      <c r="X5718" s="1" t="s">
        <v>29</v>
      </c>
    </row>
    <row r="5719" spans="1:24" x14ac:dyDescent="0.3">
      <c r="A5719" s="1" t="str">
        <f t="shared" si="1107"/>
        <v>59829</v>
      </c>
      <c r="B5719" s="1" t="s">
        <v>47</v>
      </c>
      <c r="C5719" s="1" t="s">
        <v>48</v>
      </c>
      <c r="D5719" s="1" t="str">
        <f>"9805"</f>
        <v>9805</v>
      </c>
      <c r="E5719" s="1" t="s">
        <v>57</v>
      </c>
      <c r="F5719" s="1" t="str">
        <f>"1761312773"</f>
        <v>1761312773</v>
      </c>
      <c r="G5719" s="1" t="s">
        <v>33</v>
      </c>
      <c r="H5719" s="1" t="str">
        <f t="shared" si="1110"/>
        <v>20220927</v>
      </c>
      <c r="I5719" s="1" t="str">
        <f>"210338"</f>
        <v>210338</v>
      </c>
      <c r="J5719" s="1" t="s">
        <v>62</v>
      </c>
      <c r="K5719" s="1" t="s">
        <v>28</v>
      </c>
      <c r="L5719" s="1" t="str">
        <f t="shared" si="1112"/>
        <v>20220927</v>
      </c>
      <c r="M5719" s="1" t="str">
        <f>"211710"</f>
        <v>211710</v>
      </c>
      <c r="N5719" s="1" t="s">
        <v>28</v>
      </c>
      <c r="O5719" s="1" t="s">
        <v>28</v>
      </c>
      <c r="P5719" s="1" t="s">
        <v>55</v>
      </c>
      <c r="Q5719" s="1">
        <v>25</v>
      </c>
      <c r="R5719" s="1">
        <v>0</v>
      </c>
      <c r="S5719" s="1">
        <v>25</v>
      </c>
      <c r="T5719" s="1">
        <v>0</v>
      </c>
      <c r="U5719" s="1">
        <v>0</v>
      </c>
      <c r="V5719" s="1" t="str">
        <f>"里程返程"</f>
        <v>里程返程</v>
      </c>
      <c r="W5719" s="1" t="str">
        <f>"2120"</f>
        <v>2120</v>
      </c>
      <c r="X5719" s="1" t="s">
        <v>35</v>
      </c>
    </row>
    <row r="5720" spans="1:24" x14ac:dyDescent="0.3">
      <c r="A5720" s="1" t="str">
        <f t="shared" si="1107"/>
        <v>59829</v>
      </c>
      <c r="B5720" s="1" t="s">
        <v>47</v>
      </c>
      <c r="C5720" s="1" t="s">
        <v>48</v>
      </c>
      <c r="D5720" s="1" t="str">
        <f>"9805"</f>
        <v>9805</v>
      </c>
      <c r="E5720" s="1" t="s">
        <v>57</v>
      </c>
      <c r="F5720" s="1" t="str">
        <f>"6717161018209605"</f>
        <v>6717161018209605</v>
      </c>
      <c r="G5720" s="1" t="s">
        <v>33</v>
      </c>
      <c r="H5720" s="1" t="str">
        <f t="shared" si="1110"/>
        <v>20220927</v>
      </c>
      <c r="I5720" s="1" t="str">
        <f>"210347"</f>
        <v>210347</v>
      </c>
      <c r="J5720" s="1" t="s">
        <v>62</v>
      </c>
      <c r="K5720" s="1" t="s">
        <v>28</v>
      </c>
      <c r="L5720" s="1" t="str">
        <f t="shared" si="1112"/>
        <v>20220927</v>
      </c>
      <c r="M5720" s="1" t="str">
        <f>"211659"</f>
        <v>211659</v>
      </c>
      <c r="N5720" s="1" t="s">
        <v>28</v>
      </c>
      <c r="O5720" s="1" t="s">
        <v>28</v>
      </c>
      <c r="P5720" s="1" t="s">
        <v>55</v>
      </c>
      <c r="Q5720" s="1">
        <v>25</v>
      </c>
      <c r="R5720" s="1">
        <v>0</v>
      </c>
      <c r="S5720" s="1">
        <v>25</v>
      </c>
      <c r="T5720" s="1">
        <v>0</v>
      </c>
      <c r="U5720" s="1">
        <v>0</v>
      </c>
      <c r="V5720" s="1" t="str">
        <f>"里程返程"</f>
        <v>里程返程</v>
      </c>
      <c r="W5720" s="1" t="str">
        <f>"3A3B"</f>
        <v>3A3B</v>
      </c>
      <c r="X5720" s="1" t="s">
        <v>109</v>
      </c>
    </row>
    <row r="5721" spans="1:24" x14ac:dyDescent="0.3">
      <c r="A5721" s="1" t="str">
        <f t="shared" si="1107"/>
        <v>59829</v>
      </c>
      <c r="B5721" s="1" t="s">
        <v>47</v>
      </c>
      <c r="C5721" s="1" t="s">
        <v>48</v>
      </c>
      <c r="D5721" s="1" t="str">
        <f>"9805"</f>
        <v>9805</v>
      </c>
      <c r="E5721" s="1" t="s">
        <v>57</v>
      </c>
      <c r="F5721" s="1" t="str">
        <f>"1107493349"</f>
        <v>1107493349</v>
      </c>
      <c r="G5721" s="1" t="s">
        <v>38</v>
      </c>
      <c r="H5721" s="1" t="str">
        <f t="shared" si="1110"/>
        <v>20220927</v>
      </c>
      <c r="I5721" s="1" t="str">
        <f>"211804"</f>
        <v>211804</v>
      </c>
      <c r="J5721" s="1" t="s">
        <v>28</v>
      </c>
      <c r="K5721" s="1" t="s">
        <v>28</v>
      </c>
      <c r="L5721" s="1" t="str">
        <f t="shared" si="1112"/>
        <v>20220927</v>
      </c>
      <c r="M5721" s="1" t="str">
        <f>"212848"</f>
        <v>212848</v>
      </c>
      <c r="N5721" s="1" t="s">
        <v>79</v>
      </c>
      <c r="O5721" s="1" t="s">
        <v>28</v>
      </c>
      <c r="P5721" s="1" t="s">
        <v>55</v>
      </c>
      <c r="Q5721" s="1">
        <v>25</v>
      </c>
      <c r="R5721" s="1">
        <v>25</v>
      </c>
      <c r="S5721" s="1">
        <v>0</v>
      </c>
      <c r="T5721" s="1">
        <v>0</v>
      </c>
      <c r="U5721" s="1">
        <v>0</v>
      </c>
      <c r="V5721" s="1" t="str">
        <f>"里程去程"</f>
        <v>里程去程</v>
      </c>
      <c r="W5721" s="1" t="str">
        <f>"2020"</f>
        <v>2020</v>
      </c>
      <c r="X5721" s="1" t="s">
        <v>35</v>
      </c>
    </row>
    <row r="5722" spans="1:24" x14ac:dyDescent="0.3">
      <c r="A5722" s="1" t="str">
        <f t="shared" ref="A5722:A5758" si="1114">"59809"</f>
        <v>59809</v>
      </c>
      <c r="B5722" s="1" t="s">
        <v>42</v>
      </c>
      <c r="C5722" s="1" t="s">
        <v>43</v>
      </c>
      <c r="D5722" s="1" t="str">
        <f>"9803"</f>
        <v>9803</v>
      </c>
      <c r="E5722" s="1" t="s">
        <v>32</v>
      </c>
      <c r="F5722" s="1" t="str">
        <f>"93C7C7E97A88040047BA141551301010"</f>
        <v>93C7C7E97A88040047BA141551301010</v>
      </c>
      <c r="G5722" s="1" t="s">
        <v>58</v>
      </c>
      <c r="H5722" s="1" t="str">
        <f t="shared" ref="H5722:H5753" si="1115">"20220928"</f>
        <v>20220928</v>
      </c>
      <c r="I5722" s="1" t="str">
        <f>"072025"</f>
        <v>072025</v>
      </c>
      <c r="J5722" s="1" t="s">
        <v>46</v>
      </c>
      <c r="K5722" s="1" t="s">
        <v>28</v>
      </c>
      <c r="L5722" s="1" t="str">
        <f t="shared" ref="L5722:L5739" si="1116">"20220928"</f>
        <v>20220928</v>
      </c>
      <c r="M5722" s="1" t="str">
        <f>"072742"</f>
        <v>072742</v>
      </c>
      <c r="N5722" s="1" t="s">
        <v>28</v>
      </c>
      <c r="O5722" s="1" t="s">
        <v>28</v>
      </c>
      <c r="P5722" s="1" t="s">
        <v>55</v>
      </c>
      <c r="Q5722" s="1">
        <v>25</v>
      </c>
      <c r="R5722" s="1">
        <v>25</v>
      </c>
      <c r="S5722" s="1">
        <v>0</v>
      </c>
      <c r="T5722" s="1">
        <v>0</v>
      </c>
      <c r="U5722" s="1">
        <v>0</v>
      </c>
      <c r="V5722" s="1" t="str">
        <f t="shared" ref="V5722:V5738" si="1117">"里程返程"</f>
        <v>里程返程</v>
      </c>
      <c r="W5722" s="1" t="str">
        <f>"0020"</f>
        <v>0020</v>
      </c>
      <c r="X5722" s="1" t="s">
        <v>29</v>
      </c>
    </row>
    <row r="5723" spans="1:24" x14ac:dyDescent="0.3">
      <c r="A5723" s="1" t="str">
        <f t="shared" si="1114"/>
        <v>59809</v>
      </c>
      <c r="B5723" s="1" t="s">
        <v>42</v>
      </c>
      <c r="C5723" s="1" t="s">
        <v>43</v>
      </c>
      <c r="D5723" s="1" t="str">
        <f t="shared" ref="D5723:D5738" si="1118">"9806"</f>
        <v>9806</v>
      </c>
      <c r="E5723" s="1" t="s">
        <v>49</v>
      </c>
      <c r="F5723" s="1" t="str">
        <f>"927551509"</f>
        <v>927551509</v>
      </c>
      <c r="G5723" s="1" t="s">
        <v>38</v>
      </c>
      <c r="H5723" s="1" t="str">
        <f t="shared" si="1115"/>
        <v>20220928</v>
      </c>
      <c r="I5723" s="1" t="str">
        <f>"072810"</f>
        <v>072810</v>
      </c>
      <c r="J5723" s="1" t="s">
        <v>28</v>
      </c>
      <c r="K5723" s="1" t="s">
        <v>28</v>
      </c>
      <c r="L5723" s="1" t="str">
        <f t="shared" si="1116"/>
        <v>20220928</v>
      </c>
      <c r="M5723" s="1" t="str">
        <f>"073804"</f>
        <v>073804</v>
      </c>
      <c r="N5723" s="1" t="s">
        <v>63</v>
      </c>
      <c r="O5723" s="1" t="s">
        <v>28</v>
      </c>
      <c r="P5723" s="1" t="s">
        <v>55</v>
      </c>
      <c r="Q5723" s="1">
        <v>25</v>
      </c>
      <c r="R5723" s="1">
        <v>0</v>
      </c>
      <c r="S5723" s="1">
        <v>25</v>
      </c>
      <c r="T5723" s="1">
        <v>0</v>
      </c>
      <c r="U5723" s="1">
        <v>0</v>
      </c>
      <c r="V5723" s="1" t="str">
        <f t="shared" si="1117"/>
        <v>里程返程</v>
      </c>
      <c r="W5723" s="1" t="str">
        <f>"0820"</f>
        <v>0820</v>
      </c>
      <c r="X5723" s="1" t="s">
        <v>35</v>
      </c>
    </row>
    <row r="5724" spans="1:24" x14ac:dyDescent="0.3">
      <c r="A5724" s="1" t="str">
        <f t="shared" si="1114"/>
        <v>59809</v>
      </c>
      <c r="B5724" s="1" t="s">
        <v>42</v>
      </c>
      <c r="C5724" s="1" t="s">
        <v>43</v>
      </c>
      <c r="D5724" s="1" t="str">
        <f t="shared" si="1118"/>
        <v>9806</v>
      </c>
      <c r="E5724" s="1" t="s">
        <v>49</v>
      </c>
      <c r="F5724" s="1" t="str">
        <f>"538267473"</f>
        <v>538267473</v>
      </c>
      <c r="G5724" s="1" t="s">
        <v>33</v>
      </c>
      <c r="H5724" s="1" t="str">
        <f t="shared" si="1115"/>
        <v>20220928</v>
      </c>
      <c r="I5724" s="1" t="str">
        <f>"072819"</f>
        <v>072819</v>
      </c>
      <c r="J5724" s="1" t="s">
        <v>28</v>
      </c>
      <c r="K5724" s="1" t="s">
        <v>28</v>
      </c>
      <c r="L5724" s="1" t="str">
        <f t="shared" si="1116"/>
        <v>20220928</v>
      </c>
      <c r="M5724" s="1" t="str">
        <f>"074552"</f>
        <v>074552</v>
      </c>
      <c r="N5724" s="1" t="s">
        <v>99</v>
      </c>
      <c r="O5724" s="1" t="s">
        <v>28</v>
      </c>
      <c r="P5724" s="1" t="s">
        <v>55</v>
      </c>
      <c r="Q5724" s="1">
        <v>25</v>
      </c>
      <c r="R5724" s="1">
        <v>0</v>
      </c>
      <c r="S5724" s="1">
        <v>25</v>
      </c>
      <c r="T5724" s="1">
        <v>0</v>
      </c>
      <c r="U5724" s="1">
        <v>0</v>
      </c>
      <c r="V5724" s="1" t="str">
        <f t="shared" si="1117"/>
        <v>里程返程</v>
      </c>
      <c r="W5724" s="1" t="str">
        <f>"0820"</f>
        <v>0820</v>
      </c>
      <c r="X5724" s="1" t="s">
        <v>35</v>
      </c>
    </row>
    <row r="5725" spans="1:24" x14ac:dyDescent="0.3">
      <c r="A5725" s="1" t="str">
        <f t="shared" si="1114"/>
        <v>59809</v>
      </c>
      <c r="B5725" s="1" t="s">
        <v>42</v>
      </c>
      <c r="C5725" s="1" t="s">
        <v>43</v>
      </c>
      <c r="D5725" s="1" t="str">
        <f t="shared" si="1118"/>
        <v>9806</v>
      </c>
      <c r="E5725" s="1" t="s">
        <v>49</v>
      </c>
      <c r="F5725" s="1" t="str">
        <f>"1107493349"</f>
        <v>1107493349</v>
      </c>
      <c r="G5725" s="1" t="s">
        <v>38</v>
      </c>
      <c r="H5725" s="1" t="str">
        <f t="shared" si="1115"/>
        <v>20220928</v>
      </c>
      <c r="I5725" s="1" t="str">
        <f>"072821"</f>
        <v>072821</v>
      </c>
      <c r="J5725" s="1" t="s">
        <v>28</v>
      </c>
      <c r="K5725" s="1" t="s">
        <v>28</v>
      </c>
      <c r="L5725" s="1" t="str">
        <f t="shared" si="1116"/>
        <v>20220928</v>
      </c>
      <c r="M5725" s="1" t="str">
        <f>"075114"</f>
        <v>075114</v>
      </c>
      <c r="N5725" s="1" t="s">
        <v>50</v>
      </c>
      <c r="O5725" s="1" t="s">
        <v>50</v>
      </c>
      <c r="P5725" s="1" t="s">
        <v>55</v>
      </c>
      <c r="Q5725" s="1">
        <v>25</v>
      </c>
      <c r="R5725" s="1">
        <v>0</v>
      </c>
      <c r="S5725" s="1">
        <v>25</v>
      </c>
      <c r="T5725" s="1">
        <v>0</v>
      </c>
      <c r="U5725" s="1">
        <v>0</v>
      </c>
      <c r="V5725" s="1" t="str">
        <f t="shared" si="1117"/>
        <v>里程返程</v>
      </c>
      <c r="W5725" s="1" t="str">
        <f>"2020"</f>
        <v>2020</v>
      </c>
      <c r="X5725" s="1" t="s">
        <v>35</v>
      </c>
    </row>
    <row r="5726" spans="1:24" x14ac:dyDescent="0.3">
      <c r="A5726" s="1" t="str">
        <f t="shared" si="1114"/>
        <v>59809</v>
      </c>
      <c r="B5726" s="1" t="s">
        <v>42</v>
      </c>
      <c r="C5726" s="1" t="s">
        <v>43</v>
      </c>
      <c r="D5726" s="1" t="str">
        <f t="shared" si="1118"/>
        <v>9806</v>
      </c>
      <c r="E5726" s="1" t="s">
        <v>49</v>
      </c>
      <c r="F5726" s="1" t="str">
        <f>"72993516C8880400C814002000000019"</f>
        <v>72993516C8880400C814002000000019</v>
      </c>
      <c r="G5726" s="1" t="s">
        <v>59</v>
      </c>
      <c r="H5726" s="1" t="str">
        <f t="shared" si="1115"/>
        <v>20220928</v>
      </c>
      <c r="I5726" s="1" t="str">
        <f>"072824"</f>
        <v>072824</v>
      </c>
      <c r="J5726" s="1" t="s">
        <v>28</v>
      </c>
      <c r="K5726" s="1" t="s">
        <v>28</v>
      </c>
      <c r="L5726" s="1" t="str">
        <f t="shared" si="1116"/>
        <v>20220928</v>
      </c>
      <c r="M5726" s="1" t="str">
        <f>"073817"</f>
        <v>073817</v>
      </c>
      <c r="N5726" s="1" t="s">
        <v>63</v>
      </c>
      <c r="O5726" s="1" t="s">
        <v>28</v>
      </c>
      <c r="P5726" s="1" t="s">
        <v>55</v>
      </c>
      <c r="Q5726" s="1">
        <v>25</v>
      </c>
      <c r="R5726" s="1">
        <v>0</v>
      </c>
      <c r="S5726" s="1">
        <v>25</v>
      </c>
      <c r="T5726" s="1">
        <v>0</v>
      </c>
      <c r="U5726" s="1">
        <v>0</v>
      </c>
      <c r="V5726" s="1" t="str">
        <f t="shared" si="1117"/>
        <v>里程返程</v>
      </c>
      <c r="W5726" s="1" t="str">
        <f>"0620"</f>
        <v>0620</v>
      </c>
      <c r="X5726" s="1" t="s">
        <v>29</v>
      </c>
    </row>
    <row r="5727" spans="1:24" x14ac:dyDescent="0.3">
      <c r="A5727" s="1" t="str">
        <f t="shared" si="1114"/>
        <v>59809</v>
      </c>
      <c r="B5727" s="1" t="s">
        <v>42</v>
      </c>
      <c r="C5727" s="1" t="s">
        <v>43</v>
      </c>
      <c r="D5727" s="1" t="str">
        <f t="shared" si="1118"/>
        <v>9806</v>
      </c>
      <c r="E5727" s="1" t="s">
        <v>49</v>
      </c>
      <c r="F5727" s="1" t="str">
        <f>"52083B1879880400C819002000000019"</f>
        <v>52083B1879880400C819002000000019</v>
      </c>
      <c r="G5727" s="1" t="s">
        <v>59</v>
      </c>
      <c r="H5727" s="1" t="str">
        <f t="shared" si="1115"/>
        <v>20220928</v>
      </c>
      <c r="I5727" s="1" t="str">
        <f>"072827"</f>
        <v>072827</v>
      </c>
      <c r="J5727" s="1" t="s">
        <v>28</v>
      </c>
      <c r="K5727" s="1" t="s">
        <v>28</v>
      </c>
      <c r="L5727" s="1" t="str">
        <f t="shared" si="1116"/>
        <v>20220928</v>
      </c>
      <c r="M5727" s="1" t="str">
        <f>"073805"</f>
        <v>073805</v>
      </c>
      <c r="N5727" s="1" t="s">
        <v>63</v>
      </c>
      <c r="O5727" s="1" t="s">
        <v>28</v>
      </c>
      <c r="P5727" s="1" t="s">
        <v>55</v>
      </c>
      <c r="Q5727" s="1">
        <v>25</v>
      </c>
      <c r="R5727" s="1">
        <v>0</v>
      </c>
      <c r="S5727" s="1">
        <v>25</v>
      </c>
      <c r="T5727" s="1">
        <v>0</v>
      </c>
      <c r="U5727" s="1">
        <v>0</v>
      </c>
      <c r="V5727" s="1" t="str">
        <f t="shared" si="1117"/>
        <v>里程返程</v>
      </c>
      <c r="W5727" s="1" t="str">
        <f>"0620"</f>
        <v>0620</v>
      </c>
      <c r="X5727" s="1" t="s">
        <v>29</v>
      </c>
    </row>
    <row r="5728" spans="1:24" x14ac:dyDescent="0.3">
      <c r="A5728" s="1" t="str">
        <f t="shared" si="1114"/>
        <v>59809</v>
      </c>
      <c r="B5728" s="1" t="s">
        <v>42</v>
      </c>
      <c r="C5728" s="1" t="s">
        <v>43</v>
      </c>
      <c r="D5728" s="1" t="str">
        <f t="shared" si="1118"/>
        <v>9806</v>
      </c>
      <c r="E5728" s="1" t="s">
        <v>49</v>
      </c>
      <c r="F5728" s="1" t="str">
        <f>"62C93D1680880400C814002000000019"</f>
        <v>62C93D1680880400C814002000000019</v>
      </c>
      <c r="G5728" s="1" t="s">
        <v>59</v>
      </c>
      <c r="H5728" s="1" t="str">
        <f t="shared" si="1115"/>
        <v>20220928</v>
      </c>
      <c r="I5728" s="1" t="str">
        <f>"072829"</f>
        <v>072829</v>
      </c>
      <c r="J5728" s="1" t="s">
        <v>28</v>
      </c>
      <c r="K5728" s="1" t="s">
        <v>28</v>
      </c>
      <c r="L5728" s="1" t="str">
        <f t="shared" si="1116"/>
        <v>20220928</v>
      </c>
      <c r="M5728" s="1" t="str">
        <f>"073809"</f>
        <v>073809</v>
      </c>
      <c r="N5728" s="1" t="s">
        <v>63</v>
      </c>
      <c r="O5728" s="1" t="s">
        <v>28</v>
      </c>
      <c r="P5728" s="1" t="s">
        <v>55</v>
      </c>
      <c r="Q5728" s="1">
        <v>25</v>
      </c>
      <c r="R5728" s="1">
        <v>0</v>
      </c>
      <c r="S5728" s="1">
        <v>25</v>
      </c>
      <c r="T5728" s="1">
        <v>0</v>
      </c>
      <c r="U5728" s="1">
        <v>0</v>
      </c>
      <c r="V5728" s="1" t="str">
        <f t="shared" si="1117"/>
        <v>里程返程</v>
      </c>
      <c r="W5728" s="1" t="str">
        <f>"0620"</f>
        <v>0620</v>
      </c>
      <c r="X5728" s="1" t="s">
        <v>29</v>
      </c>
    </row>
    <row r="5729" spans="1:24" x14ac:dyDescent="0.3">
      <c r="A5729" s="1" t="str">
        <f t="shared" si="1114"/>
        <v>59809</v>
      </c>
      <c r="B5729" s="1" t="s">
        <v>42</v>
      </c>
      <c r="C5729" s="1" t="s">
        <v>43</v>
      </c>
      <c r="D5729" s="1" t="str">
        <f t="shared" si="1118"/>
        <v>9806</v>
      </c>
      <c r="E5729" s="1" t="s">
        <v>49</v>
      </c>
      <c r="F5729" s="1" t="str">
        <f>"22C03B16CF880400C814002000000019"</f>
        <v>22C03B16CF880400C814002000000019</v>
      </c>
      <c r="G5729" s="1" t="s">
        <v>59</v>
      </c>
      <c r="H5729" s="1" t="str">
        <f t="shared" si="1115"/>
        <v>20220928</v>
      </c>
      <c r="I5729" s="1" t="str">
        <f>"072831"</f>
        <v>072831</v>
      </c>
      <c r="J5729" s="1" t="s">
        <v>28</v>
      </c>
      <c r="K5729" s="1" t="s">
        <v>28</v>
      </c>
      <c r="L5729" s="1" t="str">
        <f t="shared" si="1116"/>
        <v>20220928</v>
      </c>
      <c r="M5729" s="1" t="str">
        <f>"073814"</f>
        <v>073814</v>
      </c>
      <c r="N5729" s="1" t="s">
        <v>63</v>
      </c>
      <c r="O5729" s="1" t="s">
        <v>28</v>
      </c>
      <c r="P5729" s="1" t="s">
        <v>55</v>
      </c>
      <c r="Q5729" s="1">
        <v>25</v>
      </c>
      <c r="R5729" s="1">
        <v>0</v>
      </c>
      <c r="S5729" s="1">
        <v>25</v>
      </c>
      <c r="T5729" s="1">
        <v>0</v>
      </c>
      <c r="U5729" s="1">
        <v>0</v>
      </c>
      <c r="V5729" s="1" t="str">
        <f t="shared" si="1117"/>
        <v>里程返程</v>
      </c>
      <c r="W5729" s="1" t="str">
        <f>"0620"</f>
        <v>0620</v>
      </c>
      <c r="X5729" s="1" t="s">
        <v>29</v>
      </c>
    </row>
    <row r="5730" spans="1:24" x14ac:dyDescent="0.3">
      <c r="A5730" s="1" t="str">
        <f t="shared" si="1114"/>
        <v>59809</v>
      </c>
      <c r="B5730" s="1" t="s">
        <v>42</v>
      </c>
      <c r="C5730" s="1" t="s">
        <v>43</v>
      </c>
      <c r="D5730" s="1" t="str">
        <f t="shared" si="1118"/>
        <v>9806</v>
      </c>
      <c r="E5730" s="1" t="s">
        <v>49</v>
      </c>
      <c r="F5730" s="1" t="str">
        <f>"1697487813"</f>
        <v>1697487813</v>
      </c>
      <c r="G5730" s="1" t="s">
        <v>33</v>
      </c>
      <c r="H5730" s="1" t="str">
        <f t="shared" si="1115"/>
        <v>20220928</v>
      </c>
      <c r="I5730" s="1" t="str">
        <f>"072834"</f>
        <v>072834</v>
      </c>
      <c r="J5730" s="1" t="s">
        <v>28</v>
      </c>
      <c r="K5730" s="1" t="s">
        <v>28</v>
      </c>
      <c r="L5730" s="1" t="str">
        <f t="shared" si="1116"/>
        <v>20220928</v>
      </c>
      <c r="M5730" s="1" t="str">
        <f>"074550"</f>
        <v>074550</v>
      </c>
      <c r="N5730" s="1" t="s">
        <v>99</v>
      </c>
      <c r="O5730" s="1" t="s">
        <v>28</v>
      </c>
      <c r="P5730" s="1" t="s">
        <v>55</v>
      </c>
      <c r="Q5730" s="1">
        <v>25</v>
      </c>
      <c r="R5730" s="1">
        <v>0</v>
      </c>
      <c r="S5730" s="1">
        <v>25</v>
      </c>
      <c r="T5730" s="1">
        <v>0</v>
      </c>
      <c r="U5730" s="1">
        <v>0</v>
      </c>
      <c r="V5730" s="1" t="str">
        <f t="shared" si="1117"/>
        <v>里程返程</v>
      </c>
      <c r="W5730" s="1" t="str">
        <f>"0820"</f>
        <v>0820</v>
      </c>
      <c r="X5730" s="1" t="s">
        <v>35</v>
      </c>
    </row>
    <row r="5731" spans="1:24" x14ac:dyDescent="0.3">
      <c r="A5731" s="1" t="str">
        <f t="shared" si="1114"/>
        <v>59809</v>
      </c>
      <c r="B5731" s="1" t="s">
        <v>42</v>
      </c>
      <c r="C5731" s="1" t="s">
        <v>111</v>
      </c>
      <c r="D5731" s="1" t="str">
        <f t="shared" si="1118"/>
        <v>9806</v>
      </c>
      <c r="E5731" s="1" t="s">
        <v>49</v>
      </c>
      <c r="F5731" s="1" t="str">
        <f>"7511161863006423"</f>
        <v>7511161863006423</v>
      </c>
      <c r="G5731" s="1" t="s">
        <v>33</v>
      </c>
      <c r="H5731" s="1" t="str">
        <f t="shared" si="1115"/>
        <v>20220928</v>
      </c>
      <c r="I5731" s="1" t="str">
        <f>"072836"</f>
        <v>072836</v>
      </c>
      <c r="J5731" s="1" t="s">
        <v>28</v>
      </c>
      <c r="K5731" s="1" t="s">
        <v>28</v>
      </c>
      <c r="L5731" s="1" t="str">
        <f t="shared" si="1116"/>
        <v>20220928</v>
      </c>
      <c r="M5731" s="1" t="str">
        <f>"074547"</f>
        <v>074547</v>
      </c>
      <c r="N5731" s="1" t="s">
        <v>99</v>
      </c>
      <c r="O5731" s="1" t="s">
        <v>28</v>
      </c>
      <c r="P5731" s="1" t="s">
        <v>55</v>
      </c>
      <c r="Q5731" s="1">
        <v>25</v>
      </c>
      <c r="R5731" s="1">
        <v>0</v>
      </c>
      <c r="S5731" s="1">
        <v>25</v>
      </c>
      <c r="T5731" s="1">
        <v>0</v>
      </c>
      <c r="U5731" s="1">
        <v>0</v>
      </c>
      <c r="V5731" s="1" t="str">
        <f t="shared" si="1117"/>
        <v>里程返程</v>
      </c>
      <c r="W5731" s="1" t="str">
        <f>"083B"</f>
        <v>083B</v>
      </c>
      <c r="X5731" s="1" t="s">
        <v>109</v>
      </c>
    </row>
    <row r="5732" spans="1:24" x14ac:dyDescent="0.3">
      <c r="A5732" s="1" t="str">
        <f t="shared" si="1114"/>
        <v>59809</v>
      </c>
      <c r="B5732" s="1" t="s">
        <v>42</v>
      </c>
      <c r="C5732" s="1" t="s">
        <v>111</v>
      </c>
      <c r="D5732" s="1" t="str">
        <f t="shared" si="1118"/>
        <v>9806</v>
      </c>
      <c r="E5732" s="1" t="s">
        <v>49</v>
      </c>
      <c r="F5732" s="1" t="str">
        <f>"7111220514006728"</f>
        <v>7111220514006728</v>
      </c>
      <c r="G5732" s="1" t="s">
        <v>33</v>
      </c>
      <c r="H5732" s="1" t="str">
        <f t="shared" si="1115"/>
        <v>20220928</v>
      </c>
      <c r="I5732" s="1" t="str">
        <f>"072839"</f>
        <v>072839</v>
      </c>
      <c r="J5732" s="1" t="s">
        <v>28</v>
      </c>
      <c r="K5732" s="1" t="s">
        <v>28</v>
      </c>
      <c r="L5732" s="1" t="str">
        <f t="shared" si="1116"/>
        <v>20220928</v>
      </c>
      <c r="M5732" s="1" t="str">
        <f>"074605"</f>
        <v>074605</v>
      </c>
      <c r="N5732" s="1" t="s">
        <v>99</v>
      </c>
      <c r="O5732" s="1" t="s">
        <v>28</v>
      </c>
      <c r="P5732" s="1" t="s">
        <v>55</v>
      </c>
      <c r="Q5732" s="1">
        <v>25</v>
      </c>
      <c r="R5732" s="1">
        <v>25</v>
      </c>
      <c r="S5732" s="1">
        <v>0</v>
      </c>
      <c r="T5732" s="1">
        <v>0</v>
      </c>
      <c r="U5732" s="1">
        <v>0</v>
      </c>
      <c r="V5732" s="1" t="str">
        <f t="shared" si="1117"/>
        <v>里程返程</v>
      </c>
      <c r="W5732" s="1" t="str">
        <f>"088B"</f>
        <v>088B</v>
      </c>
      <c r="X5732" s="1" t="s">
        <v>109</v>
      </c>
    </row>
    <row r="5733" spans="1:24" x14ac:dyDescent="0.3">
      <c r="A5733" s="1" t="str">
        <f t="shared" si="1114"/>
        <v>59809</v>
      </c>
      <c r="B5733" s="1" t="s">
        <v>42</v>
      </c>
      <c r="C5733" s="1" t="s">
        <v>43</v>
      </c>
      <c r="D5733" s="1" t="str">
        <f t="shared" si="1118"/>
        <v>9806</v>
      </c>
      <c r="E5733" s="1" t="s">
        <v>49</v>
      </c>
      <c r="F5733" s="1" t="str">
        <f>"5294A50063880400C801002000000015"</f>
        <v>5294A50063880400C801002000000015</v>
      </c>
      <c r="G5733" s="1" t="s">
        <v>58</v>
      </c>
      <c r="H5733" s="1" t="str">
        <f t="shared" si="1115"/>
        <v>20220928</v>
      </c>
      <c r="I5733" s="1" t="str">
        <f>"072842"</f>
        <v>072842</v>
      </c>
      <c r="J5733" s="1" t="s">
        <v>28</v>
      </c>
      <c r="K5733" s="1" t="s">
        <v>28</v>
      </c>
      <c r="L5733" s="1" t="str">
        <f t="shared" si="1116"/>
        <v>20220928</v>
      </c>
      <c r="M5733" s="1" t="str">
        <f>"074555"</f>
        <v>074555</v>
      </c>
      <c r="N5733" s="1" t="s">
        <v>99</v>
      </c>
      <c r="O5733" s="1" t="s">
        <v>28</v>
      </c>
      <c r="P5733" s="1" t="s">
        <v>55</v>
      </c>
      <c r="Q5733" s="1">
        <v>25</v>
      </c>
      <c r="R5733" s="1">
        <v>0</v>
      </c>
      <c r="S5733" s="1">
        <v>25</v>
      </c>
      <c r="T5733" s="1">
        <v>0</v>
      </c>
      <c r="U5733" s="1">
        <v>0</v>
      </c>
      <c r="V5733" s="1" t="str">
        <f t="shared" si="1117"/>
        <v>里程返程</v>
      </c>
      <c r="W5733" s="1" t="str">
        <f>"0620"</f>
        <v>0620</v>
      </c>
      <c r="X5733" s="1" t="s">
        <v>29</v>
      </c>
    </row>
    <row r="5734" spans="1:24" x14ac:dyDescent="0.3">
      <c r="A5734" s="1" t="str">
        <f t="shared" si="1114"/>
        <v>59809</v>
      </c>
      <c r="B5734" s="1" t="s">
        <v>42</v>
      </c>
      <c r="C5734" s="1" t="s">
        <v>43</v>
      </c>
      <c r="D5734" s="1" t="str">
        <f t="shared" si="1118"/>
        <v>9806</v>
      </c>
      <c r="E5734" s="1" t="s">
        <v>49</v>
      </c>
      <c r="F5734" s="1" t="str">
        <f>"F238370AF7880400C810002000000016"</f>
        <v>F238370AF7880400C810002000000016</v>
      </c>
      <c r="G5734" s="1" t="s">
        <v>59</v>
      </c>
      <c r="H5734" s="1" t="str">
        <f t="shared" si="1115"/>
        <v>20220928</v>
      </c>
      <c r="I5734" s="1" t="str">
        <f>"072847"</f>
        <v>072847</v>
      </c>
      <c r="J5734" s="1" t="s">
        <v>28</v>
      </c>
      <c r="K5734" s="1" t="s">
        <v>28</v>
      </c>
      <c r="L5734" s="1" t="str">
        <f t="shared" si="1116"/>
        <v>20220928</v>
      </c>
      <c r="M5734" s="1" t="str">
        <f>"073824"</f>
        <v>073824</v>
      </c>
      <c r="N5734" s="1" t="s">
        <v>63</v>
      </c>
      <c r="O5734" s="1" t="s">
        <v>28</v>
      </c>
      <c r="P5734" s="1" t="s">
        <v>55</v>
      </c>
      <c r="Q5734" s="1">
        <v>25</v>
      </c>
      <c r="R5734" s="1">
        <v>0</v>
      </c>
      <c r="S5734" s="1">
        <v>25</v>
      </c>
      <c r="T5734" s="1">
        <v>0</v>
      </c>
      <c r="U5734" s="1">
        <v>0</v>
      </c>
      <c r="V5734" s="1" t="str">
        <f t="shared" si="1117"/>
        <v>里程返程</v>
      </c>
      <c r="W5734" s="1" t="str">
        <f>"0620"</f>
        <v>0620</v>
      </c>
      <c r="X5734" s="1" t="s">
        <v>29</v>
      </c>
    </row>
    <row r="5735" spans="1:24" x14ac:dyDescent="0.3">
      <c r="A5735" s="1" t="str">
        <f t="shared" si="1114"/>
        <v>59809</v>
      </c>
      <c r="B5735" s="1" t="s">
        <v>42</v>
      </c>
      <c r="C5735" s="1" t="s">
        <v>43</v>
      </c>
      <c r="D5735" s="1" t="str">
        <f t="shared" si="1118"/>
        <v>9806</v>
      </c>
      <c r="E5735" s="1" t="s">
        <v>49</v>
      </c>
      <c r="F5735" s="1" t="str">
        <f>"1845872357"</f>
        <v>1845872357</v>
      </c>
      <c r="G5735" s="1" t="s">
        <v>33</v>
      </c>
      <c r="H5735" s="1" t="str">
        <f t="shared" si="1115"/>
        <v>20220928</v>
      </c>
      <c r="I5735" s="1" t="str">
        <f>"072849"</f>
        <v>072849</v>
      </c>
      <c r="J5735" s="1" t="s">
        <v>28</v>
      </c>
      <c r="K5735" s="1" t="s">
        <v>28</v>
      </c>
      <c r="L5735" s="1" t="str">
        <f t="shared" si="1116"/>
        <v>20220928</v>
      </c>
      <c r="M5735" s="1" t="str">
        <f>"073820"</f>
        <v>073820</v>
      </c>
      <c r="N5735" s="1" t="s">
        <v>63</v>
      </c>
      <c r="O5735" s="1" t="s">
        <v>28</v>
      </c>
      <c r="P5735" s="1" t="s">
        <v>55</v>
      </c>
      <c r="Q5735" s="1">
        <v>25</v>
      </c>
      <c r="R5735" s="1">
        <v>0</v>
      </c>
      <c r="S5735" s="1">
        <v>25</v>
      </c>
      <c r="T5735" s="1">
        <v>0</v>
      </c>
      <c r="U5735" s="1">
        <v>0</v>
      </c>
      <c r="V5735" s="1" t="str">
        <f t="shared" si="1117"/>
        <v>里程返程</v>
      </c>
      <c r="W5735" s="1" t="str">
        <f>"0820"</f>
        <v>0820</v>
      </c>
      <c r="X5735" s="1" t="s">
        <v>35</v>
      </c>
    </row>
    <row r="5736" spans="1:24" x14ac:dyDescent="0.3">
      <c r="A5736" s="1" t="str">
        <f t="shared" si="1114"/>
        <v>59809</v>
      </c>
      <c r="B5736" s="1" t="s">
        <v>42</v>
      </c>
      <c r="C5736" s="1" t="s">
        <v>43</v>
      </c>
      <c r="D5736" s="1" t="str">
        <f t="shared" si="1118"/>
        <v>9806</v>
      </c>
      <c r="E5736" s="1" t="s">
        <v>49</v>
      </c>
      <c r="F5736" s="1" t="str">
        <f>"814037621"</f>
        <v>814037621</v>
      </c>
      <c r="G5736" s="1" t="s">
        <v>33</v>
      </c>
      <c r="H5736" s="1" t="str">
        <f t="shared" si="1115"/>
        <v>20220928</v>
      </c>
      <c r="I5736" s="1" t="str">
        <f>"072857"</f>
        <v>072857</v>
      </c>
      <c r="J5736" s="1" t="s">
        <v>28</v>
      </c>
      <c r="K5736" s="1" t="s">
        <v>28</v>
      </c>
      <c r="L5736" s="1" t="str">
        <f t="shared" si="1116"/>
        <v>20220928</v>
      </c>
      <c r="M5736" s="1" t="str">
        <f>"073812"</f>
        <v>073812</v>
      </c>
      <c r="N5736" s="1" t="s">
        <v>63</v>
      </c>
      <c r="O5736" s="1" t="s">
        <v>28</v>
      </c>
      <c r="P5736" s="1" t="s">
        <v>55</v>
      </c>
      <c r="Q5736" s="1">
        <v>25</v>
      </c>
      <c r="R5736" s="1">
        <v>0</v>
      </c>
      <c r="S5736" s="1">
        <v>25</v>
      </c>
      <c r="T5736" s="1">
        <v>0</v>
      </c>
      <c r="U5736" s="1">
        <v>0</v>
      </c>
      <c r="V5736" s="1" t="str">
        <f t="shared" si="1117"/>
        <v>里程返程</v>
      </c>
      <c r="W5736" s="1" t="str">
        <f>"0820"</f>
        <v>0820</v>
      </c>
      <c r="X5736" s="1" t="s">
        <v>35</v>
      </c>
    </row>
    <row r="5737" spans="1:24" x14ac:dyDescent="0.3">
      <c r="A5737" s="1" t="str">
        <f t="shared" si="1114"/>
        <v>59809</v>
      </c>
      <c r="B5737" s="1" t="s">
        <v>42</v>
      </c>
      <c r="C5737" s="1" t="s">
        <v>43</v>
      </c>
      <c r="D5737" s="1" t="str">
        <f t="shared" si="1118"/>
        <v>9806</v>
      </c>
      <c r="E5737" s="1" t="s">
        <v>49</v>
      </c>
      <c r="F5737" s="1" t="str">
        <f>"1202E702F5880400C834002000000015"</f>
        <v>1202E702F5880400C834002000000015</v>
      </c>
      <c r="G5737" s="1" t="s">
        <v>74</v>
      </c>
      <c r="H5737" s="1" t="str">
        <f t="shared" si="1115"/>
        <v>20220928</v>
      </c>
      <c r="I5737" s="1" t="str">
        <f>"073326"</f>
        <v>073326</v>
      </c>
      <c r="J5737" s="1" t="s">
        <v>101</v>
      </c>
      <c r="K5737" s="1" t="s">
        <v>28</v>
      </c>
      <c r="L5737" s="1" t="str">
        <f t="shared" si="1116"/>
        <v>20220928</v>
      </c>
      <c r="M5737" s="1" t="str">
        <f>"074559"</f>
        <v>074559</v>
      </c>
      <c r="N5737" s="1" t="s">
        <v>99</v>
      </c>
      <c r="O5737" s="1" t="s">
        <v>28</v>
      </c>
      <c r="P5737" s="1" t="s">
        <v>68</v>
      </c>
      <c r="Q5737" s="1">
        <v>13</v>
      </c>
      <c r="R5737" s="1">
        <v>0</v>
      </c>
      <c r="S5737" s="1">
        <v>0</v>
      </c>
      <c r="T5737" s="1">
        <v>13</v>
      </c>
      <c r="U5737" s="1">
        <v>0</v>
      </c>
      <c r="V5737" s="1" t="str">
        <f t="shared" si="1117"/>
        <v>里程返程</v>
      </c>
      <c r="W5737" s="1" t="str">
        <f>"0020"</f>
        <v>0020</v>
      </c>
      <c r="X5737" s="1" t="s">
        <v>29</v>
      </c>
    </row>
    <row r="5738" spans="1:24" x14ac:dyDescent="0.3">
      <c r="A5738" s="1" t="str">
        <f t="shared" si="1114"/>
        <v>59809</v>
      </c>
      <c r="B5738" s="1" t="s">
        <v>42</v>
      </c>
      <c r="C5738" s="1" t="s">
        <v>43</v>
      </c>
      <c r="D5738" s="1" t="str">
        <f t="shared" si="1118"/>
        <v>9806</v>
      </c>
      <c r="E5738" s="1" t="s">
        <v>49</v>
      </c>
      <c r="F5738" s="1" t="str">
        <f>"B211E70246880400C834002000000015"</f>
        <v>B211E70246880400C834002000000015</v>
      </c>
      <c r="G5738" s="1" t="s">
        <v>74</v>
      </c>
      <c r="H5738" s="1" t="str">
        <f t="shared" si="1115"/>
        <v>20220928</v>
      </c>
      <c r="I5738" s="1" t="str">
        <f>"073330"</f>
        <v>073330</v>
      </c>
      <c r="J5738" s="1" t="s">
        <v>101</v>
      </c>
      <c r="K5738" s="1" t="s">
        <v>28</v>
      </c>
      <c r="L5738" s="1" t="str">
        <f t="shared" si="1116"/>
        <v>20220928</v>
      </c>
      <c r="M5738" s="1" t="str">
        <f>"074556"</f>
        <v>074556</v>
      </c>
      <c r="N5738" s="1" t="s">
        <v>99</v>
      </c>
      <c r="O5738" s="1" t="s">
        <v>28</v>
      </c>
      <c r="P5738" s="1" t="s">
        <v>68</v>
      </c>
      <c r="Q5738" s="1">
        <v>13</v>
      </c>
      <c r="R5738" s="1">
        <v>0</v>
      </c>
      <c r="S5738" s="1">
        <v>0</v>
      </c>
      <c r="T5738" s="1">
        <v>13</v>
      </c>
      <c r="U5738" s="1">
        <v>0</v>
      </c>
      <c r="V5738" s="1" t="str">
        <f t="shared" si="1117"/>
        <v>里程返程</v>
      </c>
      <c r="W5738" s="1" t="str">
        <f>"0020"</f>
        <v>0020</v>
      </c>
      <c r="X5738" s="1" t="s">
        <v>29</v>
      </c>
    </row>
    <row r="5739" spans="1:24" x14ac:dyDescent="0.3">
      <c r="A5739" s="1" t="str">
        <f t="shared" si="1114"/>
        <v>59809</v>
      </c>
      <c r="B5739" s="1" t="s">
        <v>42</v>
      </c>
      <c r="C5739" s="1" t="s">
        <v>43</v>
      </c>
      <c r="D5739" s="1" t="str">
        <f>"9803"</f>
        <v>9803</v>
      </c>
      <c r="E5739" s="1" t="s">
        <v>32</v>
      </c>
      <c r="F5739" s="1" t="str">
        <f>"314969361"</f>
        <v>314969361</v>
      </c>
      <c r="G5739" s="1" t="s">
        <v>33</v>
      </c>
      <c r="H5739" s="1" t="str">
        <f t="shared" si="1115"/>
        <v>20220928</v>
      </c>
      <c r="I5739" s="1" t="str">
        <f>"080900"</f>
        <v>080900</v>
      </c>
      <c r="J5739" s="1" t="s">
        <v>28</v>
      </c>
      <c r="K5739" s="1" t="s">
        <v>28</v>
      </c>
      <c r="L5739" s="1" t="str">
        <f t="shared" si="1116"/>
        <v>20220928</v>
      </c>
      <c r="M5739" s="1" t="str">
        <f>"082750"</f>
        <v>082750</v>
      </c>
      <c r="N5739" s="1" t="s">
        <v>34</v>
      </c>
      <c r="O5739" s="1" t="s">
        <v>34</v>
      </c>
      <c r="P5739" s="1" t="s">
        <v>55</v>
      </c>
      <c r="Q5739" s="1">
        <v>25</v>
      </c>
      <c r="R5739" s="1">
        <v>25</v>
      </c>
      <c r="S5739" s="1">
        <v>0</v>
      </c>
      <c r="T5739" s="1">
        <v>0</v>
      </c>
      <c r="U5739" s="1">
        <v>0</v>
      </c>
      <c r="V5739" s="1" t="str">
        <f t="shared" ref="V5739:V5749" si="1119">"里程去程"</f>
        <v>里程去程</v>
      </c>
      <c r="W5739" s="1" t="str">
        <f>"1c20"</f>
        <v>1c20</v>
      </c>
      <c r="X5739" s="1" t="s">
        <v>35</v>
      </c>
    </row>
    <row r="5740" spans="1:24" x14ac:dyDescent="0.3">
      <c r="A5740" s="1" t="str">
        <f t="shared" si="1114"/>
        <v>59809</v>
      </c>
      <c r="B5740" s="1" t="s">
        <v>42</v>
      </c>
      <c r="C5740" s="1" t="s">
        <v>43</v>
      </c>
      <c r="D5740" s="1" t="str">
        <f>"9803"</f>
        <v>9803</v>
      </c>
      <c r="E5740" s="1" t="s">
        <v>32</v>
      </c>
      <c r="F5740" s="1" t="str">
        <f>"1116104613"</f>
        <v>1116104613</v>
      </c>
      <c r="G5740" s="1" t="s">
        <v>74</v>
      </c>
      <c r="H5740" s="1" t="str">
        <f t="shared" si="1115"/>
        <v>20220928</v>
      </c>
      <c r="I5740" s="1" t="str">
        <f>"080906"</f>
        <v>080906</v>
      </c>
      <c r="J5740" s="1" t="s">
        <v>28</v>
      </c>
      <c r="K5740" s="1" t="s">
        <v>28</v>
      </c>
      <c r="L5740" s="1" t="str">
        <f>""</f>
        <v/>
      </c>
      <c r="M5740" s="1" t="str">
        <f>""</f>
        <v/>
      </c>
      <c r="P5740" s="1" t="s">
        <v>88</v>
      </c>
      <c r="Q5740" s="1">
        <v>13</v>
      </c>
      <c r="R5740" s="1">
        <v>13</v>
      </c>
      <c r="S5740" s="1">
        <v>0</v>
      </c>
      <c r="T5740" s="1">
        <v>0</v>
      </c>
      <c r="U5740" s="1">
        <v>0</v>
      </c>
      <c r="V5740" s="1" t="str">
        <f t="shared" si="1119"/>
        <v>里程去程</v>
      </c>
      <c r="W5740" s="1" t="str">
        <f>"0120"</f>
        <v>0120</v>
      </c>
      <c r="X5740" s="1" t="s">
        <v>35</v>
      </c>
    </row>
    <row r="5741" spans="1:24" x14ac:dyDescent="0.3">
      <c r="A5741" s="1" t="str">
        <f t="shared" si="1114"/>
        <v>59809</v>
      </c>
      <c r="B5741" s="1" t="s">
        <v>42</v>
      </c>
      <c r="C5741" s="1" t="s">
        <v>43</v>
      </c>
      <c r="D5741" s="1" t="str">
        <f>"9803"</f>
        <v>9803</v>
      </c>
      <c r="E5741" s="1" t="s">
        <v>32</v>
      </c>
      <c r="F5741" s="1" t="str">
        <f>"1764421349"</f>
        <v>1764421349</v>
      </c>
      <c r="G5741" s="1" t="s">
        <v>33</v>
      </c>
      <c r="H5741" s="1" t="str">
        <f t="shared" si="1115"/>
        <v>20220928</v>
      </c>
      <c r="I5741" s="1" t="str">
        <f>"094900"</f>
        <v>094900</v>
      </c>
      <c r="J5741" s="1" t="s">
        <v>28</v>
      </c>
      <c r="K5741" s="1" t="s">
        <v>28</v>
      </c>
      <c r="L5741" s="1" t="str">
        <f t="shared" ref="L5741:L5772" si="1120">"20220928"</f>
        <v>20220928</v>
      </c>
      <c r="M5741" s="1" t="str">
        <f>"100609"</f>
        <v>100609</v>
      </c>
      <c r="N5741" s="1" t="s">
        <v>34</v>
      </c>
      <c r="O5741" s="1" t="s">
        <v>34</v>
      </c>
      <c r="P5741" s="1" t="s">
        <v>55</v>
      </c>
      <c r="Q5741" s="1">
        <v>25</v>
      </c>
      <c r="R5741" s="1">
        <v>25</v>
      </c>
      <c r="S5741" s="1">
        <v>0</v>
      </c>
      <c r="T5741" s="1">
        <v>0</v>
      </c>
      <c r="U5741" s="1">
        <v>0</v>
      </c>
      <c r="V5741" s="1" t="str">
        <f t="shared" si="1119"/>
        <v>里程去程</v>
      </c>
      <c r="W5741" s="1" t="str">
        <f>"0120"</f>
        <v>0120</v>
      </c>
      <c r="X5741" s="1" t="s">
        <v>35</v>
      </c>
    </row>
    <row r="5742" spans="1:24" x14ac:dyDescent="0.3">
      <c r="A5742" s="1" t="str">
        <f t="shared" si="1114"/>
        <v>59809</v>
      </c>
      <c r="B5742" s="1" t="s">
        <v>42</v>
      </c>
      <c r="C5742" s="1" t="s">
        <v>43</v>
      </c>
      <c r="D5742" s="1" t="str">
        <f>"9803"</f>
        <v>9803</v>
      </c>
      <c r="E5742" s="1" t="s">
        <v>32</v>
      </c>
      <c r="F5742" s="1" t="str">
        <f>"01C54828A4280400F700000000000000"</f>
        <v>01C54828A4280400F700000000000000</v>
      </c>
      <c r="G5742" s="1" t="s">
        <v>58</v>
      </c>
      <c r="H5742" s="1" t="str">
        <f t="shared" si="1115"/>
        <v>20220928</v>
      </c>
      <c r="I5742" s="1" t="str">
        <f>"095005"</f>
        <v>095005</v>
      </c>
      <c r="J5742" s="1" t="s">
        <v>28</v>
      </c>
      <c r="K5742" s="1" t="s">
        <v>28</v>
      </c>
      <c r="L5742" s="1" t="str">
        <f t="shared" si="1120"/>
        <v>20220928</v>
      </c>
      <c r="M5742" s="1" t="str">
        <f>"100604"</f>
        <v>100604</v>
      </c>
      <c r="N5742" s="1" t="s">
        <v>34</v>
      </c>
      <c r="O5742" s="1" t="s">
        <v>34</v>
      </c>
      <c r="P5742" s="1" t="s">
        <v>55</v>
      </c>
      <c r="Q5742" s="1">
        <v>25</v>
      </c>
      <c r="R5742" s="1">
        <v>25</v>
      </c>
      <c r="S5742" s="1">
        <v>0</v>
      </c>
      <c r="T5742" s="1">
        <v>0</v>
      </c>
      <c r="U5742" s="1">
        <v>0</v>
      </c>
      <c r="V5742" s="1" t="str">
        <f t="shared" si="1119"/>
        <v>里程去程</v>
      </c>
      <c r="W5742" s="1" t="str">
        <f>"0020"</f>
        <v>0020</v>
      </c>
      <c r="X5742" s="1" t="s">
        <v>29</v>
      </c>
    </row>
    <row r="5743" spans="1:24" x14ac:dyDescent="0.3">
      <c r="A5743" s="1" t="str">
        <f t="shared" si="1114"/>
        <v>59809</v>
      </c>
      <c r="B5743" s="1" t="s">
        <v>42</v>
      </c>
      <c r="C5743" s="1" t="s">
        <v>43</v>
      </c>
      <c r="D5743" s="1" t="str">
        <f t="shared" ref="D5743:D5749" si="1121">"9805"</f>
        <v>9805</v>
      </c>
      <c r="E5743" s="1" t="s">
        <v>57</v>
      </c>
      <c r="F5743" s="1" t="str">
        <f>"1894224283"</f>
        <v>1894224283</v>
      </c>
      <c r="G5743" s="1" t="s">
        <v>33</v>
      </c>
      <c r="H5743" s="1" t="str">
        <f t="shared" si="1115"/>
        <v>20220928</v>
      </c>
      <c r="I5743" s="1" t="str">
        <f>"121037"</f>
        <v>121037</v>
      </c>
      <c r="J5743" s="1" t="s">
        <v>28</v>
      </c>
      <c r="K5743" s="1" t="s">
        <v>28</v>
      </c>
      <c r="L5743" s="1" t="str">
        <f t="shared" si="1120"/>
        <v>20220928</v>
      </c>
      <c r="M5743" s="1" t="str">
        <f>"122451"</f>
        <v>122451</v>
      </c>
      <c r="N5743" s="1" t="s">
        <v>62</v>
      </c>
      <c r="O5743" s="1" t="s">
        <v>28</v>
      </c>
      <c r="P5743" s="1" t="s">
        <v>55</v>
      </c>
      <c r="Q5743" s="1">
        <v>25</v>
      </c>
      <c r="R5743" s="1">
        <v>0</v>
      </c>
      <c r="S5743" s="1">
        <v>25</v>
      </c>
      <c r="T5743" s="1">
        <v>0</v>
      </c>
      <c r="U5743" s="1">
        <v>0</v>
      </c>
      <c r="V5743" s="1" t="str">
        <f t="shared" si="1119"/>
        <v>里程去程</v>
      </c>
      <c r="W5743" s="1" t="str">
        <f>"0820"</f>
        <v>0820</v>
      </c>
      <c r="X5743" s="1" t="s">
        <v>35</v>
      </c>
    </row>
    <row r="5744" spans="1:24" x14ac:dyDescent="0.3">
      <c r="A5744" s="1" t="str">
        <f t="shared" si="1114"/>
        <v>59809</v>
      </c>
      <c r="B5744" s="1" t="s">
        <v>42</v>
      </c>
      <c r="C5744" s="1" t="s">
        <v>43</v>
      </c>
      <c r="D5744" s="1" t="str">
        <f t="shared" si="1121"/>
        <v>9805</v>
      </c>
      <c r="E5744" s="1" t="s">
        <v>57</v>
      </c>
      <c r="F5744" s="1" t="str">
        <f>"72BAFC182C880400C821002000000019"</f>
        <v>72BAFC182C880400C821002000000019</v>
      </c>
      <c r="G5744" s="1" t="s">
        <v>64</v>
      </c>
      <c r="H5744" s="1" t="str">
        <f t="shared" si="1115"/>
        <v>20220928</v>
      </c>
      <c r="I5744" s="1" t="str">
        <f>"122139"</f>
        <v>122139</v>
      </c>
      <c r="J5744" s="1" t="s">
        <v>46</v>
      </c>
      <c r="K5744" s="1" t="s">
        <v>28</v>
      </c>
      <c r="L5744" s="1" t="str">
        <f t="shared" si="1120"/>
        <v>20220928</v>
      </c>
      <c r="M5744" s="1" t="str">
        <f>"122812"</f>
        <v>122812</v>
      </c>
      <c r="N5744" s="1" t="s">
        <v>52</v>
      </c>
      <c r="O5744" s="1" t="s">
        <v>52</v>
      </c>
      <c r="P5744" s="1" t="s">
        <v>55</v>
      </c>
      <c r="Q5744" s="1">
        <v>13</v>
      </c>
      <c r="R5744" s="1">
        <v>0</v>
      </c>
      <c r="S5744" s="1">
        <v>13</v>
      </c>
      <c r="T5744" s="1">
        <v>0</v>
      </c>
      <c r="U5744" s="1">
        <v>0</v>
      </c>
      <c r="V5744" s="1" t="str">
        <f t="shared" si="1119"/>
        <v>里程去程</v>
      </c>
      <c r="W5744" s="1" t="str">
        <f t="shared" ref="W5744:W5750" si="1122">"2020"</f>
        <v>2020</v>
      </c>
      <c r="X5744" s="1" t="s">
        <v>29</v>
      </c>
    </row>
    <row r="5745" spans="1:24" x14ac:dyDescent="0.3">
      <c r="A5745" s="1" t="str">
        <f t="shared" si="1114"/>
        <v>59809</v>
      </c>
      <c r="B5745" s="1" t="s">
        <v>42</v>
      </c>
      <c r="C5745" s="1" t="s">
        <v>43</v>
      </c>
      <c r="D5745" s="1" t="str">
        <f t="shared" si="1121"/>
        <v>9805</v>
      </c>
      <c r="E5745" s="1" t="s">
        <v>57</v>
      </c>
      <c r="F5745" s="1" t="str">
        <f>"F1FF345D678804004325C3F9000B0C0F"</f>
        <v>F1FF345D678804004325C3F9000B0C0F</v>
      </c>
      <c r="G5745" s="1" t="s">
        <v>64</v>
      </c>
      <c r="H5745" s="1" t="str">
        <f t="shared" si="1115"/>
        <v>20220928</v>
      </c>
      <c r="I5745" s="1" t="str">
        <f>"122144"</f>
        <v>122144</v>
      </c>
      <c r="J5745" s="1" t="s">
        <v>46</v>
      </c>
      <c r="K5745" s="1" t="s">
        <v>28</v>
      </c>
      <c r="L5745" s="1" t="str">
        <f t="shared" si="1120"/>
        <v>20220928</v>
      </c>
      <c r="M5745" s="1" t="str">
        <f>"122816"</f>
        <v>122816</v>
      </c>
      <c r="N5745" s="1" t="s">
        <v>52</v>
      </c>
      <c r="O5745" s="1" t="s">
        <v>52</v>
      </c>
      <c r="P5745" s="1" t="s">
        <v>55</v>
      </c>
      <c r="Q5745" s="1">
        <v>13</v>
      </c>
      <c r="R5745" s="1">
        <v>0</v>
      </c>
      <c r="S5745" s="1">
        <v>13</v>
      </c>
      <c r="T5745" s="1">
        <v>0</v>
      </c>
      <c r="U5745" s="1">
        <v>0</v>
      </c>
      <c r="V5745" s="1" t="str">
        <f t="shared" si="1119"/>
        <v>里程去程</v>
      </c>
      <c r="W5745" s="1" t="str">
        <f t="shared" si="1122"/>
        <v>2020</v>
      </c>
      <c r="X5745" s="1" t="s">
        <v>29</v>
      </c>
    </row>
    <row r="5746" spans="1:24" x14ac:dyDescent="0.3">
      <c r="A5746" s="1" t="str">
        <f t="shared" si="1114"/>
        <v>59809</v>
      </c>
      <c r="B5746" s="1" t="s">
        <v>42</v>
      </c>
      <c r="C5746" s="1" t="s">
        <v>43</v>
      </c>
      <c r="D5746" s="1" t="str">
        <f t="shared" si="1121"/>
        <v>9805</v>
      </c>
      <c r="E5746" s="1" t="s">
        <v>57</v>
      </c>
      <c r="F5746" s="1" t="str">
        <f>"A28DCF14F4880400C840002000000018"</f>
        <v>A28DCF14F4880400C840002000000018</v>
      </c>
      <c r="G5746" s="1" t="s">
        <v>64</v>
      </c>
      <c r="H5746" s="1" t="str">
        <f t="shared" si="1115"/>
        <v>20220928</v>
      </c>
      <c r="I5746" s="1" t="str">
        <f>"122149"</f>
        <v>122149</v>
      </c>
      <c r="J5746" s="1" t="s">
        <v>46</v>
      </c>
      <c r="K5746" s="1" t="s">
        <v>28</v>
      </c>
      <c r="L5746" s="1" t="str">
        <f t="shared" si="1120"/>
        <v>20220928</v>
      </c>
      <c r="M5746" s="1" t="str">
        <f>"122804"</f>
        <v>122804</v>
      </c>
      <c r="N5746" s="1" t="s">
        <v>52</v>
      </c>
      <c r="O5746" s="1" t="s">
        <v>52</v>
      </c>
      <c r="P5746" s="1" t="s">
        <v>55</v>
      </c>
      <c r="Q5746" s="1">
        <v>13</v>
      </c>
      <c r="R5746" s="1">
        <v>0</v>
      </c>
      <c r="S5746" s="1">
        <v>13</v>
      </c>
      <c r="T5746" s="1">
        <v>0</v>
      </c>
      <c r="U5746" s="1">
        <v>0</v>
      </c>
      <c r="V5746" s="1" t="str">
        <f t="shared" si="1119"/>
        <v>里程去程</v>
      </c>
      <c r="W5746" s="1" t="str">
        <f t="shared" si="1122"/>
        <v>2020</v>
      </c>
      <c r="X5746" s="1" t="s">
        <v>29</v>
      </c>
    </row>
    <row r="5747" spans="1:24" x14ac:dyDescent="0.3">
      <c r="A5747" s="1" t="str">
        <f t="shared" si="1114"/>
        <v>59809</v>
      </c>
      <c r="B5747" s="1" t="s">
        <v>42</v>
      </c>
      <c r="C5747" s="1" t="s">
        <v>43</v>
      </c>
      <c r="D5747" s="1" t="str">
        <f t="shared" si="1121"/>
        <v>9805</v>
      </c>
      <c r="E5747" s="1" t="s">
        <v>57</v>
      </c>
      <c r="F5747" s="1" t="str">
        <f>"B1F4AB25CB8804004328091300050212"</f>
        <v>B1F4AB25CB8804004328091300050212</v>
      </c>
      <c r="G5747" s="1" t="s">
        <v>26</v>
      </c>
      <c r="H5747" s="1" t="str">
        <f t="shared" si="1115"/>
        <v>20220928</v>
      </c>
      <c r="I5747" s="1" t="str">
        <f>"122152"</f>
        <v>122152</v>
      </c>
      <c r="J5747" s="1" t="s">
        <v>46</v>
      </c>
      <c r="K5747" s="1" t="s">
        <v>28</v>
      </c>
      <c r="L5747" s="1" t="str">
        <f t="shared" si="1120"/>
        <v>20220928</v>
      </c>
      <c r="M5747" s="1" t="str">
        <f>"122752"</f>
        <v>122752</v>
      </c>
      <c r="N5747" s="1" t="s">
        <v>52</v>
      </c>
      <c r="O5747" s="1" t="s">
        <v>52</v>
      </c>
      <c r="P5747" s="1" t="s">
        <v>55</v>
      </c>
      <c r="Q5747" s="1">
        <v>13</v>
      </c>
      <c r="R5747" s="1">
        <v>0</v>
      </c>
      <c r="S5747" s="1">
        <v>13</v>
      </c>
      <c r="T5747" s="1">
        <v>0</v>
      </c>
      <c r="U5747" s="1">
        <v>0</v>
      </c>
      <c r="V5747" s="1" t="str">
        <f t="shared" si="1119"/>
        <v>里程去程</v>
      </c>
      <c r="W5747" s="1" t="str">
        <f t="shared" si="1122"/>
        <v>2020</v>
      </c>
      <c r="X5747" s="1" t="s">
        <v>29</v>
      </c>
    </row>
    <row r="5748" spans="1:24" x14ac:dyDescent="0.3">
      <c r="A5748" s="1" t="str">
        <f t="shared" si="1114"/>
        <v>59809</v>
      </c>
      <c r="B5748" s="1" t="s">
        <v>42</v>
      </c>
      <c r="C5748" s="1" t="s">
        <v>43</v>
      </c>
      <c r="D5748" s="1" t="str">
        <f t="shared" si="1121"/>
        <v>9805</v>
      </c>
      <c r="E5748" s="1" t="s">
        <v>57</v>
      </c>
      <c r="F5748" s="1" t="str">
        <f>"F5B7459C9B88040043265ABE00070710"</f>
        <v>F5B7459C9B88040043265ABE00070710</v>
      </c>
      <c r="G5748" s="1" t="s">
        <v>64</v>
      </c>
      <c r="H5748" s="1" t="str">
        <f t="shared" si="1115"/>
        <v>20220928</v>
      </c>
      <c r="I5748" s="1" t="str">
        <f>"122157"</f>
        <v>122157</v>
      </c>
      <c r="J5748" s="1" t="s">
        <v>46</v>
      </c>
      <c r="K5748" s="1" t="s">
        <v>28</v>
      </c>
      <c r="L5748" s="1" t="str">
        <f t="shared" si="1120"/>
        <v>20220928</v>
      </c>
      <c r="M5748" s="1" t="str">
        <f>"122808"</f>
        <v>122808</v>
      </c>
      <c r="N5748" s="1" t="s">
        <v>52</v>
      </c>
      <c r="O5748" s="1" t="s">
        <v>52</v>
      </c>
      <c r="P5748" s="1" t="s">
        <v>55</v>
      </c>
      <c r="Q5748" s="1">
        <v>13</v>
      </c>
      <c r="R5748" s="1">
        <v>0</v>
      </c>
      <c r="S5748" s="1">
        <v>13</v>
      </c>
      <c r="T5748" s="1">
        <v>0</v>
      </c>
      <c r="U5748" s="1">
        <v>0</v>
      </c>
      <c r="V5748" s="1" t="str">
        <f t="shared" si="1119"/>
        <v>里程去程</v>
      </c>
      <c r="W5748" s="1" t="str">
        <f t="shared" si="1122"/>
        <v>2020</v>
      </c>
      <c r="X5748" s="1" t="s">
        <v>29</v>
      </c>
    </row>
    <row r="5749" spans="1:24" x14ac:dyDescent="0.3">
      <c r="A5749" s="1" t="str">
        <f t="shared" si="1114"/>
        <v>59809</v>
      </c>
      <c r="B5749" s="1" t="s">
        <v>42</v>
      </c>
      <c r="C5749" s="1" t="s">
        <v>43</v>
      </c>
      <c r="D5749" s="1" t="str">
        <f t="shared" si="1121"/>
        <v>9805</v>
      </c>
      <c r="E5749" s="1" t="s">
        <v>57</v>
      </c>
      <c r="F5749" s="1" t="str">
        <f>"43C52369CC88040046B9951049404009"</f>
        <v>43C52369CC88040046B9951049404009</v>
      </c>
      <c r="G5749" s="1" t="s">
        <v>64</v>
      </c>
      <c r="H5749" s="1" t="str">
        <f t="shared" si="1115"/>
        <v>20220928</v>
      </c>
      <c r="I5749" s="1" t="str">
        <f>"122200"</f>
        <v>122200</v>
      </c>
      <c r="J5749" s="1" t="s">
        <v>46</v>
      </c>
      <c r="K5749" s="1" t="s">
        <v>28</v>
      </c>
      <c r="L5749" s="1" t="str">
        <f t="shared" si="1120"/>
        <v>20220928</v>
      </c>
      <c r="M5749" s="1" t="str">
        <f>"122819"</f>
        <v>122819</v>
      </c>
      <c r="N5749" s="1" t="s">
        <v>52</v>
      </c>
      <c r="O5749" s="1" t="s">
        <v>52</v>
      </c>
      <c r="P5749" s="1" t="s">
        <v>55</v>
      </c>
      <c r="Q5749" s="1">
        <v>13</v>
      </c>
      <c r="R5749" s="1">
        <v>0</v>
      </c>
      <c r="S5749" s="1">
        <v>13</v>
      </c>
      <c r="T5749" s="1">
        <v>0</v>
      </c>
      <c r="U5749" s="1">
        <v>0</v>
      </c>
      <c r="V5749" s="1" t="str">
        <f t="shared" si="1119"/>
        <v>里程去程</v>
      </c>
      <c r="W5749" s="1" t="str">
        <f t="shared" si="1122"/>
        <v>2020</v>
      </c>
      <c r="X5749" s="1" t="s">
        <v>29</v>
      </c>
    </row>
    <row r="5750" spans="1:24" x14ac:dyDescent="0.3">
      <c r="A5750" s="1" t="str">
        <f t="shared" si="1114"/>
        <v>59809</v>
      </c>
      <c r="B5750" s="1" t="s">
        <v>42</v>
      </c>
      <c r="C5750" s="1" t="s">
        <v>43</v>
      </c>
      <c r="D5750" s="1" t="str">
        <f>"9803"</f>
        <v>9803</v>
      </c>
      <c r="E5750" s="1" t="s">
        <v>32</v>
      </c>
      <c r="F5750" s="1" t="str">
        <f>"1067769797"</f>
        <v>1067769797</v>
      </c>
      <c r="G5750" s="1" t="s">
        <v>33</v>
      </c>
      <c r="H5750" s="1" t="str">
        <f t="shared" si="1115"/>
        <v>20220928</v>
      </c>
      <c r="I5750" s="1" t="str">
        <f>"135651"</f>
        <v>135651</v>
      </c>
      <c r="J5750" s="1" t="s">
        <v>34</v>
      </c>
      <c r="K5750" s="1" t="s">
        <v>34</v>
      </c>
      <c r="L5750" s="1" t="str">
        <f t="shared" si="1120"/>
        <v>20220928</v>
      </c>
      <c r="M5750" s="1" t="str">
        <f>"142610"</f>
        <v>142610</v>
      </c>
      <c r="N5750" s="1" t="s">
        <v>28</v>
      </c>
      <c r="O5750" s="1" t="s">
        <v>28</v>
      </c>
      <c r="P5750" s="1" t="s">
        <v>55</v>
      </c>
      <c r="Q5750" s="1">
        <v>25</v>
      </c>
      <c r="R5750" s="1">
        <v>25</v>
      </c>
      <c r="S5750" s="1">
        <v>0</v>
      </c>
      <c r="T5750" s="1">
        <v>0</v>
      </c>
      <c r="U5750" s="1">
        <v>0</v>
      </c>
      <c r="V5750" s="1" t="str">
        <f>"里程返程"</f>
        <v>里程返程</v>
      </c>
      <c r="W5750" s="1" t="str">
        <f t="shared" si="1122"/>
        <v>2020</v>
      </c>
      <c r="X5750" s="1" t="s">
        <v>35</v>
      </c>
    </row>
    <row r="5751" spans="1:24" x14ac:dyDescent="0.3">
      <c r="A5751" s="1" t="str">
        <f t="shared" si="1114"/>
        <v>59809</v>
      </c>
      <c r="B5751" s="1" t="s">
        <v>42</v>
      </c>
      <c r="C5751" s="1" t="s">
        <v>43</v>
      </c>
      <c r="D5751" s="1" t="str">
        <f>"9805"</f>
        <v>9805</v>
      </c>
      <c r="E5751" s="1" t="s">
        <v>57</v>
      </c>
      <c r="F5751" s="1" t="str">
        <f>"522BF3058F880400C838002000000015"</f>
        <v>522BF3058F880400C838002000000015</v>
      </c>
      <c r="G5751" s="1" t="s">
        <v>26</v>
      </c>
      <c r="H5751" s="1" t="str">
        <f t="shared" si="1115"/>
        <v>20220928</v>
      </c>
      <c r="I5751" s="1" t="str">
        <f>"151817"</f>
        <v>151817</v>
      </c>
      <c r="J5751" s="1" t="s">
        <v>28</v>
      </c>
      <c r="K5751" s="1" t="s">
        <v>28</v>
      </c>
      <c r="L5751" s="1" t="str">
        <f t="shared" si="1120"/>
        <v>20220928</v>
      </c>
      <c r="M5751" s="1" t="str">
        <f>"153357"</f>
        <v>153357</v>
      </c>
      <c r="N5751" s="1" t="s">
        <v>52</v>
      </c>
      <c r="O5751" s="1" t="s">
        <v>52</v>
      </c>
      <c r="P5751" s="1" t="s">
        <v>68</v>
      </c>
      <c r="Q5751" s="1">
        <v>13</v>
      </c>
      <c r="R5751" s="1">
        <v>0</v>
      </c>
      <c r="S5751" s="1">
        <v>0</v>
      </c>
      <c r="T5751" s="1">
        <v>13</v>
      </c>
      <c r="U5751" s="1">
        <v>0</v>
      </c>
      <c r="V5751" s="1" t="str">
        <f>"里程去程"</f>
        <v>里程去程</v>
      </c>
      <c r="W5751" s="1" t="str">
        <f>"0020"</f>
        <v>0020</v>
      </c>
      <c r="X5751" s="1" t="s">
        <v>29</v>
      </c>
    </row>
    <row r="5752" spans="1:24" x14ac:dyDescent="0.3">
      <c r="A5752" s="1" t="str">
        <f t="shared" si="1114"/>
        <v>59809</v>
      </c>
      <c r="B5752" s="1" t="s">
        <v>42</v>
      </c>
      <c r="C5752" s="1" t="s">
        <v>43</v>
      </c>
      <c r="D5752" s="1" t="str">
        <f>"9805"</f>
        <v>9805</v>
      </c>
      <c r="E5752" s="1" t="s">
        <v>57</v>
      </c>
      <c r="F5752" s="1" t="str">
        <f>"1750007845"</f>
        <v>1750007845</v>
      </c>
      <c r="G5752" s="1" t="s">
        <v>26</v>
      </c>
      <c r="H5752" s="1" t="str">
        <f t="shared" si="1115"/>
        <v>20220928</v>
      </c>
      <c r="I5752" s="1" t="str">
        <f>"152116"</f>
        <v>152116</v>
      </c>
      <c r="J5752" s="1" t="s">
        <v>28</v>
      </c>
      <c r="K5752" s="1" t="s">
        <v>28</v>
      </c>
      <c r="L5752" s="1" t="str">
        <f t="shared" si="1120"/>
        <v>20220928</v>
      </c>
      <c r="M5752" s="1" t="str">
        <f>"152703"</f>
        <v>152703</v>
      </c>
      <c r="N5752" s="1" t="s">
        <v>46</v>
      </c>
      <c r="O5752" s="1" t="s">
        <v>28</v>
      </c>
      <c r="P5752" s="1" t="s">
        <v>55</v>
      </c>
      <c r="Q5752" s="1">
        <v>13</v>
      </c>
      <c r="R5752" s="1">
        <v>13</v>
      </c>
      <c r="S5752" s="1">
        <v>0</v>
      </c>
      <c r="T5752" s="1">
        <v>0</v>
      </c>
      <c r="U5752" s="1">
        <v>0</v>
      </c>
      <c r="V5752" s="1" t="str">
        <f>"里程去程"</f>
        <v>里程去程</v>
      </c>
      <c r="W5752" s="1" t="str">
        <f>"0120"</f>
        <v>0120</v>
      </c>
      <c r="X5752" s="1" t="s">
        <v>35</v>
      </c>
    </row>
    <row r="5753" spans="1:24" x14ac:dyDescent="0.3">
      <c r="A5753" s="1" t="str">
        <f t="shared" si="1114"/>
        <v>59809</v>
      </c>
      <c r="B5753" s="1" t="s">
        <v>42</v>
      </c>
      <c r="C5753" s="1" t="s">
        <v>43</v>
      </c>
      <c r="D5753" s="1" t="str">
        <f>"9805"</f>
        <v>9805</v>
      </c>
      <c r="E5753" s="1" t="s">
        <v>57</v>
      </c>
      <c r="F5753" s="1" t="str">
        <f>"1189801733"</f>
        <v>1189801733</v>
      </c>
      <c r="G5753" s="1" t="s">
        <v>26</v>
      </c>
      <c r="H5753" s="1" t="str">
        <f t="shared" si="1115"/>
        <v>20220928</v>
      </c>
      <c r="I5753" s="1" t="str">
        <f>"152119"</f>
        <v>152119</v>
      </c>
      <c r="J5753" s="1" t="s">
        <v>28</v>
      </c>
      <c r="K5753" s="1" t="s">
        <v>28</v>
      </c>
      <c r="L5753" s="1" t="str">
        <f t="shared" si="1120"/>
        <v>20220928</v>
      </c>
      <c r="M5753" s="1" t="str">
        <f>"152657"</f>
        <v>152657</v>
      </c>
      <c r="N5753" s="1" t="s">
        <v>46</v>
      </c>
      <c r="O5753" s="1" t="s">
        <v>28</v>
      </c>
      <c r="P5753" s="1" t="s">
        <v>55</v>
      </c>
      <c r="Q5753" s="1">
        <v>13</v>
      </c>
      <c r="R5753" s="1">
        <v>13</v>
      </c>
      <c r="S5753" s="1">
        <v>0</v>
      </c>
      <c r="T5753" s="1">
        <v>0</v>
      </c>
      <c r="U5753" s="1">
        <v>0</v>
      </c>
      <c r="V5753" s="1" t="str">
        <f>"里程去程"</f>
        <v>里程去程</v>
      </c>
      <c r="W5753" s="1" t="str">
        <f>"0120"</f>
        <v>0120</v>
      </c>
      <c r="X5753" s="1" t="s">
        <v>35</v>
      </c>
    </row>
    <row r="5754" spans="1:24" x14ac:dyDescent="0.3">
      <c r="A5754" s="1" t="str">
        <f t="shared" si="1114"/>
        <v>59809</v>
      </c>
      <c r="B5754" s="1" t="s">
        <v>42</v>
      </c>
      <c r="C5754" s="1" t="s">
        <v>43</v>
      </c>
      <c r="D5754" s="1" t="str">
        <f>"9806"</f>
        <v>9806</v>
      </c>
      <c r="E5754" s="1" t="s">
        <v>49</v>
      </c>
      <c r="F5754" s="1" t="str">
        <f>"6208BA02D2880400C834002000000015"</f>
        <v>6208BA02D2880400C834002000000015</v>
      </c>
      <c r="G5754" s="1" t="s">
        <v>74</v>
      </c>
      <c r="H5754" s="1" t="str">
        <f t="shared" ref="H5754:H5785" si="1123">"20220928"</f>
        <v>20220928</v>
      </c>
      <c r="I5754" s="1" t="str">
        <f>"172051"</f>
        <v>172051</v>
      </c>
      <c r="J5754" s="1" t="s">
        <v>50</v>
      </c>
      <c r="K5754" s="1" t="s">
        <v>50</v>
      </c>
      <c r="L5754" s="1" t="str">
        <f t="shared" si="1120"/>
        <v>20220928</v>
      </c>
      <c r="M5754" s="1" t="str">
        <f>"174044"</f>
        <v>174044</v>
      </c>
      <c r="N5754" s="1" t="s">
        <v>28</v>
      </c>
      <c r="O5754" s="1" t="s">
        <v>28</v>
      </c>
      <c r="P5754" s="1" t="s">
        <v>68</v>
      </c>
      <c r="Q5754" s="1">
        <v>13</v>
      </c>
      <c r="R5754" s="1">
        <v>0</v>
      </c>
      <c r="S5754" s="1">
        <v>0</v>
      </c>
      <c r="T5754" s="1">
        <v>13</v>
      </c>
      <c r="U5754" s="1">
        <v>0</v>
      </c>
      <c r="V5754" s="1" t="str">
        <f>"里程去程"</f>
        <v>里程去程</v>
      </c>
      <c r="W5754" s="1" t="str">
        <f>"0020"</f>
        <v>0020</v>
      </c>
      <c r="X5754" s="1" t="s">
        <v>29</v>
      </c>
    </row>
    <row r="5755" spans="1:24" x14ac:dyDescent="0.3">
      <c r="A5755" s="1" t="str">
        <f t="shared" si="1114"/>
        <v>59809</v>
      </c>
      <c r="B5755" s="1" t="s">
        <v>42</v>
      </c>
      <c r="C5755" s="1" t="s">
        <v>43</v>
      </c>
      <c r="D5755" s="1" t="str">
        <f>"9803"</f>
        <v>9803</v>
      </c>
      <c r="E5755" s="1" t="s">
        <v>32</v>
      </c>
      <c r="F5755" s="1" t="str">
        <f>"6208BA02D2880400C834002000000015"</f>
        <v>6208BA02D2880400C834002000000015</v>
      </c>
      <c r="G5755" s="1" t="s">
        <v>74</v>
      </c>
      <c r="H5755" s="1" t="str">
        <f t="shared" si="1123"/>
        <v>20220928</v>
      </c>
      <c r="I5755" s="1" t="str">
        <f>"174107"</f>
        <v>174107</v>
      </c>
      <c r="J5755" s="1" t="s">
        <v>28</v>
      </c>
      <c r="K5755" s="1" t="s">
        <v>28</v>
      </c>
      <c r="L5755" s="1" t="str">
        <f t="shared" si="1120"/>
        <v>20220928</v>
      </c>
      <c r="M5755" s="1" t="str">
        <f>"175005"</f>
        <v>175005</v>
      </c>
      <c r="N5755" s="1" t="s">
        <v>46</v>
      </c>
      <c r="O5755" s="1" t="s">
        <v>28</v>
      </c>
      <c r="P5755" s="1" t="s">
        <v>68</v>
      </c>
      <c r="Q5755" s="1">
        <v>13</v>
      </c>
      <c r="R5755" s="1">
        <v>0</v>
      </c>
      <c r="S5755" s="1">
        <v>0</v>
      </c>
      <c r="T5755" s="1">
        <v>13</v>
      </c>
      <c r="U5755" s="1">
        <v>0</v>
      </c>
      <c r="V5755" s="1" t="str">
        <f>"里程去程"</f>
        <v>里程去程</v>
      </c>
      <c r="W5755" s="1" t="str">
        <f>"0020"</f>
        <v>0020</v>
      </c>
      <c r="X5755" s="1" t="s">
        <v>29</v>
      </c>
    </row>
    <row r="5756" spans="1:24" x14ac:dyDescent="0.3">
      <c r="A5756" s="1" t="str">
        <f t="shared" si="1114"/>
        <v>59809</v>
      </c>
      <c r="B5756" s="1" t="s">
        <v>42</v>
      </c>
      <c r="C5756" s="1" t="s">
        <v>43</v>
      </c>
      <c r="D5756" s="1" t="str">
        <f>"9803"</f>
        <v>9803</v>
      </c>
      <c r="E5756" s="1" t="s">
        <v>32</v>
      </c>
      <c r="F5756" s="1" t="str">
        <f>"1221561397"</f>
        <v>1221561397</v>
      </c>
      <c r="G5756" s="1" t="s">
        <v>33</v>
      </c>
      <c r="H5756" s="1" t="str">
        <f t="shared" si="1123"/>
        <v>20220928</v>
      </c>
      <c r="I5756" s="1" t="str">
        <f>"175908"</f>
        <v>175908</v>
      </c>
      <c r="J5756" s="1" t="s">
        <v>34</v>
      </c>
      <c r="K5756" s="1" t="s">
        <v>34</v>
      </c>
      <c r="L5756" s="1" t="str">
        <f t="shared" si="1120"/>
        <v>20220928</v>
      </c>
      <c r="M5756" s="1" t="str">
        <f>"183645"</f>
        <v>183645</v>
      </c>
      <c r="N5756" s="1" t="s">
        <v>28</v>
      </c>
      <c r="O5756" s="1" t="s">
        <v>28</v>
      </c>
      <c r="P5756" s="1" t="s">
        <v>55</v>
      </c>
      <c r="Q5756" s="1">
        <v>25</v>
      </c>
      <c r="R5756" s="1">
        <v>25</v>
      </c>
      <c r="S5756" s="1">
        <v>0</v>
      </c>
      <c r="T5756" s="1">
        <v>0</v>
      </c>
      <c r="U5756" s="1">
        <v>0</v>
      </c>
      <c r="V5756" s="1" t="str">
        <f>"里程返程"</f>
        <v>里程返程</v>
      </c>
      <c r="W5756" s="1" t="str">
        <f>"2020"</f>
        <v>2020</v>
      </c>
      <c r="X5756" s="1" t="s">
        <v>35</v>
      </c>
    </row>
    <row r="5757" spans="1:24" x14ac:dyDescent="0.3">
      <c r="A5757" s="1" t="str">
        <f t="shared" si="1114"/>
        <v>59809</v>
      </c>
      <c r="B5757" s="1" t="s">
        <v>42</v>
      </c>
      <c r="C5757" s="1" t="s">
        <v>43</v>
      </c>
      <c r="D5757" s="1" t="str">
        <f>"9803"</f>
        <v>9803</v>
      </c>
      <c r="E5757" s="1" t="s">
        <v>32</v>
      </c>
      <c r="F5757" s="1" t="str">
        <f>"1708069909"</f>
        <v>1708069909</v>
      </c>
      <c r="G5757" s="1" t="s">
        <v>33</v>
      </c>
      <c r="H5757" s="1" t="str">
        <f t="shared" si="1123"/>
        <v>20220928</v>
      </c>
      <c r="I5757" s="1" t="str">
        <f>"181132"</f>
        <v>181132</v>
      </c>
      <c r="J5757" s="1" t="s">
        <v>34</v>
      </c>
      <c r="K5757" s="1" t="s">
        <v>34</v>
      </c>
      <c r="L5757" s="1" t="str">
        <f t="shared" si="1120"/>
        <v>20220928</v>
      </c>
      <c r="M5757" s="1" t="str">
        <f>"183640"</f>
        <v>183640</v>
      </c>
      <c r="N5757" s="1" t="s">
        <v>28</v>
      </c>
      <c r="O5757" s="1" t="s">
        <v>28</v>
      </c>
      <c r="P5757" s="1" t="s">
        <v>55</v>
      </c>
      <c r="Q5757" s="1">
        <v>25</v>
      </c>
      <c r="R5757" s="1">
        <v>25</v>
      </c>
      <c r="S5757" s="1">
        <v>0</v>
      </c>
      <c r="T5757" s="1">
        <v>0</v>
      </c>
      <c r="U5757" s="1">
        <v>0</v>
      </c>
      <c r="V5757" s="1" t="str">
        <f>"里程返程"</f>
        <v>里程返程</v>
      </c>
      <c r="W5757" s="1" t="str">
        <f>"2020"</f>
        <v>2020</v>
      </c>
      <c r="X5757" s="1" t="s">
        <v>35</v>
      </c>
    </row>
    <row r="5758" spans="1:24" x14ac:dyDescent="0.3">
      <c r="A5758" s="1" t="str">
        <f t="shared" si="1114"/>
        <v>59809</v>
      </c>
      <c r="B5758" s="1" t="s">
        <v>42</v>
      </c>
      <c r="C5758" s="1" t="s">
        <v>43</v>
      </c>
      <c r="D5758" s="1" t="str">
        <f>"9803"</f>
        <v>9803</v>
      </c>
      <c r="E5758" s="1" t="s">
        <v>32</v>
      </c>
      <c r="F5758" s="1" t="str">
        <f>"1212600565"</f>
        <v>1212600565</v>
      </c>
      <c r="G5758" s="1" t="s">
        <v>33</v>
      </c>
      <c r="H5758" s="1" t="str">
        <f t="shared" si="1123"/>
        <v>20220928</v>
      </c>
      <c r="I5758" s="1" t="str">
        <f>"181238"</f>
        <v>181238</v>
      </c>
      <c r="J5758" s="1" t="s">
        <v>34</v>
      </c>
      <c r="K5758" s="1" t="s">
        <v>34</v>
      </c>
      <c r="L5758" s="1" t="str">
        <f t="shared" si="1120"/>
        <v>20220928</v>
      </c>
      <c r="M5758" s="1" t="str">
        <f>"183647"</f>
        <v>183647</v>
      </c>
      <c r="N5758" s="1" t="s">
        <v>28</v>
      </c>
      <c r="O5758" s="1" t="s">
        <v>28</v>
      </c>
      <c r="P5758" s="1" t="s">
        <v>55</v>
      </c>
      <c r="Q5758" s="1">
        <v>25</v>
      </c>
      <c r="R5758" s="1">
        <v>25</v>
      </c>
      <c r="S5758" s="1">
        <v>0</v>
      </c>
      <c r="T5758" s="1">
        <v>0</v>
      </c>
      <c r="U5758" s="1">
        <v>0</v>
      </c>
      <c r="V5758" s="1" t="str">
        <f>"里程返程"</f>
        <v>里程返程</v>
      </c>
      <c r="W5758" s="1" t="str">
        <f>"0820"</f>
        <v>0820</v>
      </c>
      <c r="X5758" s="1" t="s">
        <v>35</v>
      </c>
    </row>
    <row r="5759" spans="1:24" x14ac:dyDescent="0.3">
      <c r="A5759" s="1" t="str">
        <f t="shared" ref="A5759:A5776" si="1124">"59823"</f>
        <v>59823</v>
      </c>
      <c r="B5759" s="1" t="s">
        <v>36</v>
      </c>
      <c r="C5759" s="1" t="s">
        <v>37</v>
      </c>
      <c r="D5759" s="1" t="str">
        <f>"9806"</f>
        <v>9806</v>
      </c>
      <c r="E5759" s="1" t="s">
        <v>49</v>
      </c>
      <c r="F5759" s="1" t="str">
        <f>"5270B90A91880400C810002000000016"</f>
        <v>5270B90A91880400C810002000000016</v>
      </c>
      <c r="G5759" s="1" t="s">
        <v>59</v>
      </c>
      <c r="H5759" s="1" t="str">
        <f t="shared" si="1123"/>
        <v>20220928</v>
      </c>
      <c r="I5759" s="1" t="str">
        <f>"064842"</f>
        <v>064842</v>
      </c>
      <c r="J5759" s="1" t="s">
        <v>28</v>
      </c>
      <c r="K5759" s="1" t="s">
        <v>28</v>
      </c>
      <c r="L5759" s="1" t="str">
        <f t="shared" si="1120"/>
        <v>20220928</v>
      </c>
      <c r="M5759" s="1" t="str">
        <f>"065729"</f>
        <v>065729</v>
      </c>
      <c r="N5759" s="1" t="s">
        <v>63</v>
      </c>
      <c r="O5759" s="1" t="s">
        <v>28</v>
      </c>
      <c r="P5759" s="1" t="s">
        <v>55</v>
      </c>
      <c r="Q5759" s="1">
        <v>25</v>
      </c>
      <c r="R5759" s="1">
        <v>0</v>
      </c>
      <c r="S5759" s="1">
        <v>25</v>
      </c>
      <c r="T5759" s="1">
        <v>0</v>
      </c>
      <c r="U5759" s="1">
        <v>0</v>
      </c>
      <c r="V5759" s="1" t="str">
        <f>"里程返程"</f>
        <v>里程返程</v>
      </c>
      <c r="W5759" s="1" t="str">
        <f>"0620"</f>
        <v>0620</v>
      </c>
      <c r="X5759" s="1" t="s">
        <v>29</v>
      </c>
    </row>
    <row r="5760" spans="1:24" x14ac:dyDescent="0.3">
      <c r="A5760" s="1" t="str">
        <f t="shared" si="1124"/>
        <v>59823</v>
      </c>
      <c r="B5760" s="1" t="s">
        <v>36</v>
      </c>
      <c r="C5760" s="1" t="s">
        <v>37</v>
      </c>
      <c r="D5760" s="1" t="str">
        <f>"9806"</f>
        <v>9806</v>
      </c>
      <c r="E5760" s="1" t="s">
        <v>49</v>
      </c>
      <c r="F5760" s="1" t="str">
        <f>"1695105317"</f>
        <v>1695105317</v>
      </c>
      <c r="G5760" s="1" t="s">
        <v>33</v>
      </c>
      <c r="H5760" s="1" t="str">
        <f t="shared" si="1123"/>
        <v>20220928</v>
      </c>
      <c r="I5760" s="1" t="str">
        <f>"064857"</f>
        <v>064857</v>
      </c>
      <c r="J5760" s="1" t="s">
        <v>28</v>
      </c>
      <c r="K5760" s="1" t="s">
        <v>28</v>
      </c>
      <c r="L5760" s="1" t="str">
        <f t="shared" si="1120"/>
        <v>20220928</v>
      </c>
      <c r="M5760" s="1" t="str">
        <f>"070343"</f>
        <v>070343</v>
      </c>
      <c r="N5760" s="1" t="s">
        <v>99</v>
      </c>
      <c r="O5760" s="1" t="s">
        <v>28</v>
      </c>
      <c r="P5760" s="1" t="s">
        <v>55</v>
      </c>
      <c r="Q5760" s="1">
        <v>25</v>
      </c>
      <c r="R5760" s="1">
        <v>0</v>
      </c>
      <c r="S5760" s="1">
        <v>25</v>
      </c>
      <c r="T5760" s="1">
        <v>0</v>
      </c>
      <c r="U5760" s="1">
        <v>0</v>
      </c>
      <c r="V5760" s="1" t="str">
        <f>"里程返程"</f>
        <v>里程返程</v>
      </c>
      <c r="W5760" s="1" t="str">
        <f>"0820"</f>
        <v>0820</v>
      </c>
      <c r="X5760" s="1" t="s">
        <v>35</v>
      </c>
    </row>
    <row r="5761" spans="1:24" x14ac:dyDescent="0.3">
      <c r="A5761" s="1" t="str">
        <f t="shared" si="1124"/>
        <v>59823</v>
      </c>
      <c r="B5761" s="1" t="s">
        <v>36</v>
      </c>
      <c r="C5761" s="1" t="s">
        <v>37</v>
      </c>
      <c r="D5761" s="1" t="str">
        <f>"9806"</f>
        <v>9806</v>
      </c>
      <c r="E5761" s="1" t="s">
        <v>49</v>
      </c>
      <c r="F5761" s="1" t="str">
        <f>"E23388174E880400C814002000000019"</f>
        <v>E23388174E880400C814002000000019</v>
      </c>
      <c r="G5761" s="1" t="s">
        <v>59</v>
      </c>
      <c r="H5761" s="1" t="str">
        <f t="shared" si="1123"/>
        <v>20220928</v>
      </c>
      <c r="I5761" s="1" t="str">
        <f>"071126"</f>
        <v>071126</v>
      </c>
      <c r="J5761" s="1" t="s">
        <v>107</v>
      </c>
      <c r="K5761" s="1" t="s">
        <v>50</v>
      </c>
      <c r="L5761" s="1" t="str">
        <f t="shared" si="1120"/>
        <v>20220928</v>
      </c>
      <c r="M5761" s="1" t="str">
        <f>"072211"</f>
        <v>072211</v>
      </c>
      <c r="N5761" s="1" t="s">
        <v>98</v>
      </c>
      <c r="O5761" s="1" t="s">
        <v>28</v>
      </c>
      <c r="P5761" s="1" t="s">
        <v>55</v>
      </c>
      <c r="Q5761" s="1">
        <v>25</v>
      </c>
      <c r="R5761" s="1">
        <v>25</v>
      </c>
      <c r="S5761" s="1">
        <v>0</v>
      </c>
      <c r="T5761" s="1">
        <v>0</v>
      </c>
      <c r="U5761" s="1">
        <v>0</v>
      </c>
      <c r="V5761" s="1" t="str">
        <f>"里程去程"</f>
        <v>里程去程</v>
      </c>
      <c r="W5761" s="1" t="str">
        <f>"0020"</f>
        <v>0020</v>
      </c>
      <c r="X5761" s="1" t="s">
        <v>29</v>
      </c>
    </row>
    <row r="5762" spans="1:24" x14ac:dyDescent="0.3">
      <c r="A5762" s="1" t="str">
        <f t="shared" si="1124"/>
        <v>59823</v>
      </c>
      <c r="B5762" s="1" t="s">
        <v>36</v>
      </c>
      <c r="C5762" s="1" t="s">
        <v>37</v>
      </c>
      <c r="D5762" s="1" t="str">
        <f t="shared" ref="D5762:D5775" si="1125">"9803"</f>
        <v>9803</v>
      </c>
      <c r="E5762" s="1" t="s">
        <v>32</v>
      </c>
      <c r="F5762" s="1" t="str">
        <f>"1038419301"</f>
        <v>1038419301</v>
      </c>
      <c r="G5762" s="1" t="s">
        <v>33</v>
      </c>
      <c r="H5762" s="1" t="str">
        <f t="shared" si="1123"/>
        <v>20220928</v>
      </c>
      <c r="I5762" s="1" t="str">
        <f>"083028"</f>
        <v>083028</v>
      </c>
      <c r="J5762" s="1" t="s">
        <v>28</v>
      </c>
      <c r="K5762" s="1" t="s">
        <v>28</v>
      </c>
      <c r="L5762" s="1" t="str">
        <f t="shared" si="1120"/>
        <v>20220928</v>
      </c>
      <c r="M5762" s="1" t="str">
        <f>"084855"</f>
        <v>084855</v>
      </c>
      <c r="N5762" s="1" t="s">
        <v>34</v>
      </c>
      <c r="O5762" s="1" t="s">
        <v>34</v>
      </c>
      <c r="P5762" s="1" t="s">
        <v>55</v>
      </c>
      <c r="Q5762" s="1">
        <v>25</v>
      </c>
      <c r="R5762" s="1">
        <v>25</v>
      </c>
      <c r="S5762" s="1">
        <v>0</v>
      </c>
      <c r="T5762" s="1">
        <v>0</v>
      </c>
      <c r="U5762" s="1">
        <v>0</v>
      </c>
      <c r="V5762" s="1" t="str">
        <f>"里程去程"</f>
        <v>里程去程</v>
      </c>
      <c r="W5762" s="1" t="str">
        <f>"0120"</f>
        <v>0120</v>
      </c>
      <c r="X5762" s="1" t="s">
        <v>35</v>
      </c>
    </row>
    <row r="5763" spans="1:24" x14ac:dyDescent="0.3">
      <c r="A5763" s="1" t="str">
        <f t="shared" si="1124"/>
        <v>59823</v>
      </c>
      <c r="B5763" s="1" t="s">
        <v>36</v>
      </c>
      <c r="C5763" s="1" t="s">
        <v>37</v>
      </c>
      <c r="D5763" s="1" t="str">
        <f t="shared" si="1125"/>
        <v>9803</v>
      </c>
      <c r="E5763" s="1" t="s">
        <v>32</v>
      </c>
      <c r="F5763" s="1" t="str">
        <f>"1649126464"</f>
        <v>1649126464</v>
      </c>
      <c r="G5763" s="1" t="s">
        <v>33</v>
      </c>
      <c r="H5763" s="1" t="str">
        <f t="shared" si="1123"/>
        <v>20220928</v>
      </c>
      <c r="I5763" s="1" t="str">
        <f>"120046"</f>
        <v>120046</v>
      </c>
      <c r="J5763" s="1" t="s">
        <v>34</v>
      </c>
      <c r="K5763" s="1" t="s">
        <v>34</v>
      </c>
      <c r="L5763" s="1" t="str">
        <f t="shared" si="1120"/>
        <v>20220928</v>
      </c>
      <c r="M5763" s="1" t="str">
        <f>"122927"</f>
        <v>122927</v>
      </c>
      <c r="N5763" s="1" t="s">
        <v>28</v>
      </c>
      <c r="O5763" s="1" t="s">
        <v>28</v>
      </c>
      <c r="P5763" s="1" t="s">
        <v>55</v>
      </c>
      <c r="Q5763" s="1">
        <v>25</v>
      </c>
      <c r="R5763" s="1">
        <v>25</v>
      </c>
      <c r="S5763" s="1">
        <v>0</v>
      </c>
      <c r="T5763" s="1">
        <v>0</v>
      </c>
      <c r="U5763" s="1">
        <v>0</v>
      </c>
      <c r="V5763" s="1" t="str">
        <f>"里程返程"</f>
        <v>里程返程</v>
      </c>
      <c r="W5763" s="1" t="str">
        <f>"2320"</f>
        <v>2320</v>
      </c>
      <c r="X5763" s="1" t="s">
        <v>35</v>
      </c>
    </row>
    <row r="5764" spans="1:24" x14ac:dyDescent="0.3">
      <c r="A5764" s="1" t="str">
        <f t="shared" si="1124"/>
        <v>59823</v>
      </c>
      <c r="B5764" s="1" t="s">
        <v>36</v>
      </c>
      <c r="C5764" s="1" t="s">
        <v>37</v>
      </c>
      <c r="D5764" s="1" t="str">
        <f t="shared" si="1125"/>
        <v>9803</v>
      </c>
      <c r="E5764" s="1" t="s">
        <v>32</v>
      </c>
      <c r="F5764" s="1" t="str">
        <f>"5723DA45EB8804004328380000100208"</f>
        <v>5723DA45EB8804004328380000100208</v>
      </c>
      <c r="G5764" s="1" t="s">
        <v>58</v>
      </c>
      <c r="H5764" s="1" t="str">
        <f t="shared" si="1123"/>
        <v>20220928</v>
      </c>
      <c r="I5764" s="1" t="str">
        <f>"120049"</f>
        <v>120049</v>
      </c>
      <c r="J5764" s="1" t="s">
        <v>34</v>
      </c>
      <c r="K5764" s="1" t="s">
        <v>34</v>
      </c>
      <c r="L5764" s="1" t="str">
        <f t="shared" si="1120"/>
        <v>20220928</v>
      </c>
      <c r="M5764" s="1" t="str">
        <f>"122159"</f>
        <v>122159</v>
      </c>
      <c r="N5764" s="1" t="s">
        <v>92</v>
      </c>
      <c r="O5764" s="1" t="s">
        <v>28</v>
      </c>
      <c r="P5764" s="1" t="s">
        <v>55</v>
      </c>
      <c r="Q5764" s="1">
        <v>25</v>
      </c>
      <c r="R5764" s="1">
        <v>25</v>
      </c>
      <c r="S5764" s="1">
        <v>0</v>
      </c>
      <c r="T5764" s="1">
        <v>0</v>
      </c>
      <c r="U5764" s="1">
        <v>0</v>
      </c>
      <c r="V5764" s="1" t="str">
        <f>"里程返程"</f>
        <v>里程返程</v>
      </c>
      <c r="W5764" s="1" t="str">
        <f>"0020"</f>
        <v>0020</v>
      </c>
      <c r="X5764" s="1" t="s">
        <v>29</v>
      </c>
    </row>
    <row r="5765" spans="1:24" x14ac:dyDescent="0.3">
      <c r="A5765" s="1" t="str">
        <f t="shared" si="1124"/>
        <v>59823</v>
      </c>
      <c r="B5765" s="1" t="s">
        <v>36</v>
      </c>
      <c r="C5765" s="1" t="s">
        <v>37</v>
      </c>
      <c r="D5765" s="1" t="str">
        <f t="shared" si="1125"/>
        <v>9803</v>
      </c>
      <c r="E5765" s="1" t="s">
        <v>32</v>
      </c>
      <c r="F5765" s="1" t="str">
        <f>"1113043489"</f>
        <v>1113043489</v>
      </c>
      <c r="G5765" s="1" t="s">
        <v>33</v>
      </c>
      <c r="H5765" s="1" t="str">
        <f t="shared" si="1123"/>
        <v>20220928</v>
      </c>
      <c r="I5765" s="1" t="str">
        <f>"122949"</f>
        <v>122949</v>
      </c>
      <c r="J5765" s="1" t="s">
        <v>28</v>
      </c>
      <c r="K5765" s="1" t="s">
        <v>28</v>
      </c>
      <c r="L5765" s="1" t="str">
        <f t="shared" si="1120"/>
        <v>20220928</v>
      </c>
      <c r="M5765" s="1" t="str">
        <f>"125004"</f>
        <v>125004</v>
      </c>
      <c r="N5765" s="1" t="s">
        <v>34</v>
      </c>
      <c r="O5765" s="1" t="s">
        <v>34</v>
      </c>
      <c r="P5765" s="1" t="s">
        <v>55</v>
      </c>
      <c r="Q5765" s="1">
        <v>25</v>
      </c>
      <c r="R5765" s="1">
        <v>25</v>
      </c>
      <c r="S5765" s="1">
        <v>0</v>
      </c>
      <c r="T5765" s="1">
        <v>0</v>
      </c>
      <c r="U5765" s="1">
        <v>0</v>
      </c>
      <c r="V5765" s="1" t="str">
        <f t="shared" ref="V5765:V5773" si="1126">"里程去程"</f>
        <v>里程去程</v>
      </c>
      <c r="W5765" s="1" t="str">
        <f>"1420"</f>
        <v>1420</v>
      </c>
      <c r="X5765" s="1" t="s">
        <v>35</v>
      </c>
    </row>
    <row r="5766" spans="1:24" x14ac:dyDescent="0.3">
      <c r="A5766" s="1" t="str">
        <f t="shared" si="1124"/>
        <v>59823</v>
      </c>
      <c r="B5766" s="1" t="s">
        <v>36</v>
      </c>
      <c r="C5766" s="1" t="s">
        <v>37</v>
      </c>
      <c r="D5766" s="1" t="str">
        <f t="shared" si="1125"/>
        <v>9803</v>
      </c>
      <c r="E5766" s="1" t="s">
        <v>32</v>
      </c>
      <c r="F5766" s="1" t="str">
        <f>"1098537957"</f>
        <v>1098537957</v>
      </c>
      <c r="G5766" s="1" t="s">
        <v>38</v>
      </c>
      <c r="H5766" s="1" t="str">
        <f t="shared" si="1123"/>
        <v>20220928</v>
      </c>
      <c r="I5766" s="1" t="str">
        <f>"122952"</f>
        <v>122952</v>
      </c>
      <c r="J5766" s="1" t="s">
        <v>28</v>
      </c>
      <c r="K5766" s="1" t="s">
        <v>28</v>
      </c>
      <c r="L5766" s="1" t="str">
        <f t="shared" si="1120"/>
        <v>20220928</v>
      </c>
      <c r="M5766" s="1" t="str">
        <f>"124958"</f>
        <v>124958</v>
      </c>
      <c r="N5766" s="1" t="s">
        <v>34</v>
      </c>
      <c r="O5766" s="1" t="s">
        <v>34</v>
      </c>
      <c r="P5766" s="1" t="s">
        <v>55</v>
      </c>
      <c r="Q5766" s="1">
        <v>25</v>
      </c>
      <c r="R5766" s="1">
        <v>25</v>
      </c>
      <c r="S5766" s="1">
        <v>0</v>
      </c>
      <c r="T5766" s="1">
        <v>0</v>
      </c>
      <c r="U5766" s="1">
        <v>0</v>
      </c>
      <c r="V5766" s="1" t="str">
        <f t="shared" si="1126"/>
        <v>里程去程</v>
      </c>
      <c r="W5766" s="1" t="str">
        <f>"0c20"</f>
        <v>0c20</v>
      </c>
      <c r="X5766" s="1" t="s">
        <v>35</v>
      </c>
    </row>
    <row r="5767" spans="1:24" x14ac:dyDescent="0.3">
      <c r="A5767" s="1" t="str">
        <f t="shared" si="1124"/>
        <v>59823</v>
      </c>
      <c r="B5767" s="1" t="s">
        <v>36</v>
      </c>
      <c r="C5767" s="1" t="s">
        <v>37</v>
      </c>
      <c r="D5767" s="1" t="str">
        <f t="shared" si="1125"/>
        <v>9803</v>
      </c>
      <c r="E5767" s="1" t="s">
        <v>32</v>
      </c>
      <c r="F5767" s="1" t="str">
        <f>"847291653"</f>
        <v>847291653</v>
      </c>
      <c r="G5767" s="1" t="s">
        <v>33</v>
      </c>
      <c r="H5767" s="1" t="str">
        <f t="shared" si="1123"/>
        <v>20220928</v>
      </c>
      <c r="I5767" s="1" t="str">
        <f>"122955"</f>
        <v>122955</v>
      </c>
      <c r="J5767" s="1" t="s">
        <v>28</v>
      </c>
      <c r="K5767" s="1" t="s">
        <v>28</v>
      </c>
      <c r="L5767" s="1" t="str">
        <f t="shared" si="1120"/>
        <v>20220928</v>
      </c>
      <c r="M5767" s="1" t="str">
        <f>"125001"</f>
        <v>125001</v>
      </c>
      <c r="N5767" s="1" t="s">
        <v>34</v>
      </c>
      <c r="O5767" s="1" t="s">
        <v>34</v>
      </c>
      <c r="P5767" s="1" t="s">
        <v>55</v>
      </c>
      <c r="Q5767" s="1">
        <v>25</v>
      </c>
      <c r="R5767" s="1">
        <v>25</v>
      </c>
      <c r="S5767" s="1">
        <v>0</v>
      </c>
      <c r="T5767" s="1">
        <v>0</v>
      </c>
      <c r="U5767" s="1">
        <v>0</v>
      </c>
      <c r="V5767" s="1" t="str">
        <f t="shared" si="1126"/>
        <v>里程去程</v>
      </c>
      <c r="W5767" s="1" t="str">
        <f>"0120"</f>
        <v>0120</v>
      </c>
      <c r="X5767" s="1" t="s">
        <v>35</v>
      </c>
    </row>
    <row r="5768" spans="1:24" x14ac:dyDescent="0.3">
      <c r="A5768" s="1" t="str">
        <f t="shared" si="1124"/>
        <v>59823</v>
      </c>
      <c r="B5768" s="1" t="s">
        <v>36</v>
      </c>
      <c r="C5768" s="1" t="s">
        <v>37</v>
      </c>
      <c r="D5768" s="1" t="str">
        <f t="shared" si="1125"/>
        <v>9803</v>
      </c>
      <c r="E5768" s="1" t="s">
        <v>32</v>
      </c>
      <c r="F5768" s="1" t="str">
        <f>"1295880657"</f>
        <v>1295880657</v>
      </c>
      <c r="G5768" s="1" t="s">
        <v>33</v>
      </c>
      <c r="H5768" s="1" t="str">
        <f t="shared" si="1123"/>
        <v>20220928</v>
      </c>
      <c r="I5768" s="1" t="str">
        <f>"122958"</f>
        <v>122958</v>
      </c>
      <c r="J5768" s="1" t="s">
        <v>28</v>
      </c>
      <c r="K5768" s="1" t="s">
        <v>28</v>
      </c>
      <c r="L5768" s="1" t="str">
        <f t="shared" si="1120"/>
        <v>20220928</v>
      </c>
      <c r="M5768" s="1" t="str">
        <f>"124953"</f>
        <v>124953</v>
      </c>
      <c r="N5768" s="1" t="s">
        <v>34</v>
      </c>
      <c r="O5768" s="1" t="s">
        <v>34</v>
      </c>
      <c r="P5768" s="1" t="s">
        <v>55</v>
      </c>
      <c r="Q5768" s="1">
        <v>25</v>
      </c>
      <c r="R5768" s="1">
        <v>0</v>
      </c>
      <c r="S5768" s="1">
        <v>25</v>
      </c>
      <c r="T5768" s="1">
        <v>0</v>
      </c>
      <c r="U5768" s="1">
        <v>0</v>
      </c>
      <c r="V5768" s="1" t="str">
        <f t="shared" si="1126"/>
        <v>里程去程</v>
      </c>
      <c r="W5768" s="1" t="str">
        <f>"0820"</f>
        <v>0820</v>
      </c>
      <c r="X5768" s="1" t="s">
        <v>35</v>
      </c>
    </row>
    <row r="5769" spans="1:24" x14ac:dyDescent="0.3">
      <c r="A5769" s="1" t="str">
        <f t="shared" si="1124"/>
        <v>59823</v>
      </c>
      <c r="B5769" s="1" t="s">
        <v>36</v>
      </c>
      <c r="C5769" s="1" t="s">
        <v>37</v>
      </c>
      <c r="D5769" s="1" t="str">
        <f t="shared" si="1125"/>
        <v>9803</v>
      </c>
      <c r="E5769" s="1" t="s">
        <v>32</v>
      </c>
      <c r="F5769" s="1" t="str">
        <f>"D71260F3568804004326A03B000D0211"</f>
        <v>D71260F3568804004326A03B000D0211</v>
      </c>
      <c r="G5769" s="1" t="s">
        <v>58</v>
      </c>
      <c r="H5769" s="1" t="str">
        <f t="shared" si="1123"/>
        <v>20220928</v>
      </c>
      <c r="I5769" s="1" t="str">
        <f>"123001"</f>
        <v>123001</v>
      </c>
      <c r="J5769" s="1" t="s">
        <v>28</v>
      </c>
      <c r="K5769" s="1" t="s">
        <v>28</v>
      </c>
      <c r="L5769" s="1" t="str">
        <f t="shared" si="1120"/>
        <v>20220928</v>
      </c>
      <c r="M5769" s="1" t="str">
        <f>"124956"</f>
        <v>124956</v>
      </c>
      <c r="N5769" s="1" t="s">
        <v>34</v>
      </c>
      <c r="O5769" s="1" t="s">
        <v>34</v>
      </c>
      <c r="P5769" s="1" t="s">
        <v>55</v>
      </c>
      <c r="Q5769" s="1">
        <v>25</v>
      </c>
      <c r="R5769" s="1">
        <v>25</v>
      </c>
      <c r="S5769" s="1">
        <v>0</v>
      </c>
      <c r="T5769" s="1">
        <v>0</v>
      </c>
      <c r="U5769" s="1">
        <v>0</v>
      </c>
      <c r="V5769" s="1" t="str">
        <f t="shared" si="1126"/>
        <v>里程去程</v>
      </c>
      <c r="W5769" s="1" t="str">
        <f>"0020"</f>
        <v>0020</v>
      </c>
      <c r="X5769" s="1" t="s">
        <v>29</v>
      </c>
    </row>
    <row r="5770" spans="1:24" x14ac:dyDescent="0.3">
      <c r="A5770" s="1" t="str">
        <f t="shared" si="1124"/>
        <v>59823</v>
      </c>
      <c r="B5770" s="1" t="s">
        <v>36</v>
      </c>
      <c r="C5770" s="1" t="s">
        <v>37</v>
      </c>
      <c r="D5770" s="1" t="str">
        <f t="shared" si="1125"/>
        <v>9803</v>
      </c>
      <c r="E5770" s="1" t="s">
        <v>32</v>
      </c>
      <c r="F5770" s="1" t="str">
        <f>"100225489"</f>
        <v>100225489</v>
      </c>
      <c r="G5770" s="1" t="s">
        <v>33</v>
      </c>
      <c r="H5770" s="1" t="str">
        <f t="shared" si="1123"/>
        <v>20220928</v>
      </c>
      <c r="I5770" s="1" t="str">
        <f>"123006"</f>
        <v>123006</v>
      </c>
      <c r="J5770" s="1" t="s">
        <v>28</v>
      </c>
      <c r="K5770" s="1" t="s">
        <v>28</v>
      </c>
      <c r="L5770" s="1" t="str">
        <f t="shared" si="1120"/>
        <v>20220928</v>
      </c>
      <c r="M5770" s="1" t="str">
        <f>"124946"</f>
        <v>124946</v>
      </c>
      <c r="N5770" s="1" t="s">
        <v>34</v>
      </c>
      <c r="O5770" s="1" t="s">
        <v>34</v>
      </c>
      <c r="P5770" s="1" t="s">
        <v>55</v>
      </c>
      <c r="Q5770" s="1">
        <v>25</v>
      </c>
      <c r="R5770" s="1">
        <v>25</v>
      </c>
      <c r="S5770" s="1">
        <v>0</v>
      </c>
      <c r="T5770" s="1">
        <v>0</v>
      </c>
      <c r="U5770" s="1">
        <v>0</v>
      </c>
      <c r="V5770" s="1" t="str">
        <f t="shared" si="1126"/>
        <v>里程去程</v>
      </c>
      <c r="W5770" s="1" t="str">
        <f>"0820"</f>
        <v>0820</v>
      </c>
      <c r="X5770" s="1" t="s">
        <v>35</v>
      </c>
    </row>
    <row r="5771" spans="1:24" x14ac:dyDescent="0.3">
      <c r="A5771" s="1" t="str">
        <f t="shared" si="1124"/>
        <v>59823</v>
      </c>
      <c r="B5771" s="1" t="s">
        <v>36</v>
      </c>
      <c r="C5771" s="1" t="s">
        <v>37</v>
      </c>
      <c r="D5771" s="1" t="str">
        <f t="shared" si="1125"/>
        <v>9803</v>
      </c>
      <c r="E5771" s="1" t="s">
        <v>32</v>
      </c>
      <c r="F5771" s="1" t="str">
        <f>"5317162034222749"</f>
        <v>5317162034222749</v>
      </c>
      <c r="G5771" s="1" t="s">
        <v>33</v>
      </c>
      <c r="H5771" s="1" t="str">
        <f t="shared" si="1123"/>
        <v>20220928</v>
      </c>
      <c r="I5771" s="1" t="str">
        <f>"123011"</f>
        <v>123011</v>
      </c>
      <c r="J5771" s="1" t="s">
        <v>28</v>
      </c>
      <c r="K5771" s="1" t="s">
        <v>28</v>
      </c>
      <c r="L5771" s="1" t="str">
        <f t="shared" si="1120"/>
        <v>20220928</v>
      </c>
      <c r="M5771" s="1" t="str">
        <f>"124949"</f>
        <v>124949</v>
      </c>
      <c r="N5771" s="1" t="s">
        <v>34</v>
      </c>
      <c r="O5771" s="1" t="s">
        <v>34</v>
      </c>
      <c r="P5771" s="1" t="s">
        <v>55</v>
      </c>
      <c r="Q5771" s="1">
        <v>25</v>
      </c>
      <c r="R5771" s="1">
        <v>25</v>
      </c>
      <c r="S5771" s="1">
        <v>0</v>
      </c>
      <c r="T5771" s="1">
        <v>0</v>
      </c>
      <c r="U5771" s="1">
        <v>0</v>
      </c>
      <c r="V5771" s="1" t="str">
        <f t="shared" si="1126"/>
        <v>里程去程</v>
      </c>
      <c r="W5771" s="1" t="str">
        <f>"133B"</f>
        <v>133B</v>
      </c>
      <c r="X5771" s="1" t="s">
        <v>109</v>
      </c>
    </row>
    <row r="5772" spans="1:24" x14ac:dyDescent="0.3">
      <c r="A5772" s="1" t="str">
        <f t="shared" si="1124"/>
        <v>59823</v>
      </c>
      <c r="B5772" s="1" t="s">
        <v>36</v>
      </c>
      <c r="C5772" s="1" t="s">
        <v>37</v>
      </c>
      <c r="D5772" s="1" t="str">
        <f t="shared" si="1125"/>
        <v>9803</v>
      </c>
      <c r="E5772" s="1" t="s">
        <v>32</v>
      </c>
      <c r="F5772" s="1" t="str">
        <f>"1716047234"</f>
        <v>1716047234</v>
      </c>
      <c r="G5772" s="1" t="s">
        <v>33</v>
      </c>
      <c r="H5772" s="1" t="str">
        <f t="shared" si="1123"/>
        <v>20220928</v>
      </c>
      <c r="I5772" s="1" t="str">
        <f>"123017"</f>
        <v>123017</v>
      </c>
      <c r="J5772" s="1" t="s">
        <v>28</v>
      </c>
      <c r="K5772" s="1" t="s">
        <v>28</v>
      </c>
      <c r="L5772" s="1" t="str">
        <f t="shared" si="1120"/>
        <v>20220928</v>
      </c>
      <c r="M5772" s="1" t="str">
        <f>"124941"</f>
        <v>124941</v>
      </c>
      <c r="N5772" s="1" t="s">
        <v>34</v>
      </c>
      <c r="O5772" s="1" t="s">
        <v>34</v>
      </c>
      <c r="P5772" s="1" t="s">
        <v>55</v>
      </c>
      <c r="Q5772" s="1">
        <v>25</v>
      </c>
      <c r="R5772" s="1">
        <v>25</v>
      </c>
      <c r="S5772" s="1">
        <v>0</v>
      </c>
      <c r="T5772" s="1">
        <v>0</v>
      </c>
      <c r="U5772" s="1">
        <v>0</v>
      </c>
      <c r="V5772" s="1" t="str">
        <f t="shared" si="1126"/>
        <v>里程去程</v>
      </c>
      <c r="W5772" s="1" t="str">
        <f>"0120"</f>
        <v>0120</v>
      </c>
      <c r="X5772" s="1" t="s">
        <v>35</v>
      </c>
    </row>
    <row r="5773" spans="1:24" x14ac:dyDescent="0.3">
      <c r="A5773" s="1" t="str">
        <f t="shared" si="1124"/>
        <v>59823</v>
      </c>
      <c r="B5773" s="1" t="s">
        <v>36</v>
      </c>
      <c r="C5773" s="1" t="s">
        <v>37</v>
      </c>
      <c r="D5773" s="1" t="str">
        <f t="shared" si="1125"/>
        <v>9803</v>
      </c>
      <c r="E5773" s="1" t="s">
        <v>32</v>
      </c>
      <c r="F5773" s="1" t="str">
        <f>"315119153"</f>
        <v>315119153</v>
      </c>
      <c r="G5773" s="1" t="s">
        <v>33</v>
      </c>
      <c r="H5773" s="1" t="str">
        <f t="shared" si="1123"/>
        <v>20220928</v>
      </c>
      <c r="I5773" s="1" t="str">
        <f>"123022"</f>
        <v>123022</v>
      </c>
      <c r="J5773" s="1" t="s">
        <v>28</v>
      </c>
      <c r="K5773" s="1" t="s">
        <v>28</v>
      </c>
      <c r="L5773" s="1" t="str">
        <f t="shared" ref="L5773:L5804" si="1127">"20220928"</f>
        <v>20220928</v>
      </c>
      <c r="M5773" s="1" t="str">
        <f>"124937"</f>
        <v>124937</v>
      </c>
      <c r="N5773" s="1" t="s">
        <v>34</v>
      </c>
      <c r="O5773" s="1" t="s">
        <v>34</v>
      </c>
      <c r="P5773" s="1" t="s">
        <v>55</v>
      </c>
      <c r="Q5773" s="1">
        <v>25</v>
      </c>
      <c r="R5773" s="1">
        <v>25</v>
      </c>
      <c r="S5773" s="1">
        <v>0</v>
      </c>
      <c r="T5773" s="1">
        <v>0</v>
      </c>
      <c r="U5773" s="1">
        <v>0</v>
      </c>
      <c r="V5773" s="1" t="str">
        <f t="shared" si="1126"/>
        <v>里程去程</v>
      </c>
      <c r="W5773" s="1" t="str">
        <f>"0820"</f>
        <v>0820</v>
      </c>
      <c r="X5773" s="1" t="s">
        <v>35</v>
      </c>
    </row>
    <row r="5774" spans="1:24" x14ac:dyDescent="0.3">
      <c r="A5774" s="1" t="str">
        <f t="shared" si="1124"/>
        <v>59823</v>
      </c>
      <c r="B5774" s="1" t="s">
        <v>36</v>
      </c>
      <c r="C5774" s="1" t="s">
        <v>37</v>
      </c>
      <c r="D5774" s="1" t="str">
        <f t="shared" si="1125"/>
        <v>9803</v>
      </c>
      <c r="E5774" s="1" t="s">
        <v>32</v>
      </c>
      <c r="F5774" s="1" t="str">
        <f>"489441256"</f>
        <v>489441256</v>
      </c>
      <c r="G5774" s="1" t="s">
        <v>33</v>
      </c>
      <c r="H5774" s="1" t="str">
        <f t="shared" si="1123"/>
        <v>20220928</v>
      </c>
      <c r="I5774" s="1" t="str">
        <f>"130002"</f>
        <v>130002</v>
      </c>
      <c r="J5774" s="1" t="s">
        <v>34</v>
      </c>
      <c r="K5774" s="1" t="s">
        <v>34</v>
      </c>
      <c r="L5774" s="1" t="str">
        <f t="shared" si="1127"/>
        <v>20220928</v>
      </c>
      <c r="M5774" s="1" t="str">
        <f>"132702"</f>
        <v>132702</v>
      </c>
      <c r="N5774" s="1" t="s">
        <v>95</v>
      </c>
      <c r="O5774" s="1" t="s">
        <v>28</v>
      </c>
      <c r="P5774" s="1" t="s">
        <v>55</v>
      </c>
      <c r="Q5774" s="1">
        <v>25</v>
      </c>
      <c r="R5774" s="1">
        <v>25</v>
      </c>
      <c r="S5774" s="1">
        <v>0</v>
      </c>
      <c r="T5774" s="1">
        <v>0</v>
      </c>
      <c r="U5774" s="1">
        <v>0</v>
      </c>
      <c r="V5774" s="1" t="str">
        <f>"里程返程"</f>
        <v>里程返程</v>
      </c>
      <c r="W5774" s="1" t="str">
        <f>"0120"</f>
        <v>0120</v>
      </c>
      <c r="X5774" s="1" t="s">
        <v>35</v>
      </c>
    </row>
    <row r="5775" spans="1:24" x14ac:dyDescent="0.3">
      <c r="A5775" s="1" t="str">
        <f t="shared" si="1124"/>
        <v>59823</v>
      </c>
      <c r="B5775" s="1" t="s">
        <v>36</v>
      </c>
      <c r="C5775" s="1" t="s">
        <v>37</v>
      </c>
      <c r="D5775" s="1" t="str">
        <f t="shared" si="1125"/>
        <v>9803</v>
      </c>
      <c r="E5775" s="1" t="s">
        <v>32</v>
      </c>
      <c r="F5775" s="1" t="str">
        <f>"1709069061"</f>
        <v>1709069061</v>
      </c>
      <c r="G5775" s="1" t="s">
        <v>33</v>
      </c>
      <c r="H5775" s="1" t="str">
        <f t="shared" si="1123"/>
        <v>20220928</v>
      </c>
      <c r="I5775" s="1" t="str">
        <f>"173057"</f>
        <v>173057</v>
      </c>
      <c r="J5775" s="1" t="s">
        <v>34</v>
      </c>
      <c r="K5775" s="1" t="s">
        <v>34</v>
      </c>
      <c r="L5775" s="1" t="str">
        <f t="shared" si="1127"/>
        <v>20220928</v>
      </c>
      <c r="M5775" s="1" t="str">
        <f>"174253"</f>
        <v>174253</v>
      </c>
      <c r="N5775" s="1" t="s">
        <v>46</v>
      </c>
      <c r="O5775" s="1" t="s">
        <v>28</v>
      </c>
      <c r="P5775" s="1" t="s">
        <v>55</v>
      </c>
      <c r="Q5775" s="1">
        <v>25</v>
      </c>
      <c r="R5775" s="1">
        <v>25</v>
      </c>
      <c r="S5775" s="1">
        <v>0</v>
      </c>
      <c r="T5775" s="1">
        <v>0</v>
      </c>
      <c r="U5775" s="1">
        <v>0</v>
      </c>
      <c r="V5775" s="1" t="str">
        <f>"里程返程"</f>
        <v>里程返程</v>
      </c>
      <c r="W5775" s="1" t="str">
        <f>"2020"</f>
        <v>2020</v>
      </c>
      <c r="X5775" s="1" t="s">
        <v>35</v>
      </c>
    </row>
    <row r="5776" spans="1:24" x14ac:dyDescent="0.3">
      <c r="A5776" s="1" t="str">
        <f t="shared" si="1124"/>
        <v>59823</v>
      </c>
      <c r="B5776" s="1" t="s">
        <v>36</v>
      </c>
      <c r="C5776" s="1" t="s">
        <v>37</v>
      </c>
      <c r="D5776" s="1" t="str">
        <f>"9805"</f>
        <v>9805</v>
      </c>
      <c r="E5776" s="1" t="s">
        <v>57</v>
      </c>
      <c r="F5776" s="1" t="str">
        <f>"1624822261"</f>
        <v>1624822261</v>
      </c>
      <c r="G5776" s="1" t="s">
        <v>33</v>
      </c>
      <c r="H5776" s="1" t="str">
        <f t="shared" si="1123"/>
        <v>20220928</v>
      </c>
      <c r="I5776" s="1" t="str">
        <f>"180152"</f>
        <v>180152</v>
      </c>
      <c r="J5776" s="1" t="s">
        <v>28</v>
      </c>
      <c r="K5776" s="1" t="s">
        <v>28</v>
      </c>
      <c r="L5776" s="1" t="str">
        <f t="shared" si="1127"/>
        <v>20220928</v>
      </c>
      <c r="M5776" s="1" t="str">
        <f>"181722"</f>
        <v>181722</v>
      </c>
      <c r="N5776" s="1" t="s">
        <v>52</v>
      </c>
      <c r="O5776" s="1" t="s">
        <v>52</v>
      </c>
      <c r="P5776" s="1" t="s">
        <v>55</v>
      </c>
      <c r="Q5776" s="1">
        <v>25</v>
      </c>
      <c r="R5776" s="1">
        <v>25</v>
      </c>
      <c r="S5776" s="1">
        <v>0</v>
      </c>
      <c r="T5776" s="1">
        <v>0</v>
      </c>
      <c r="U5776" s="1">
        <v>0</v>
      </c>
      <c r="V5776" s="1" t="str">
        <f>"里程去程"</f>
        <v>里程去程</v>
      </c>
      <c r="W5776" s="1" t="str">
        <f>"0e20"</f>
        <v>0e20</v>
      </c>
      <c r="X5776" s="1" t="s">
        <v>35</v>
      </c>
    </row>
    <row r="5777" spans="1:24" x14ac:dyDescent="0.3">
      <c r="A5777" s="1" t="str">
        <f t="shared" ref="A5777:A5807" si="1128">"59825"</f>
        <v>59825</v>
      </c>
      <c r="B5777" s="1" t="s">
        <v>30</v>
      </c>
      <c r="C5777" s="1" t="s">
        <v>31</v>
      </c>
      <c r="D5777" s="1" t="str">
        <f t="shared" ref="D5777:D5793" si="1129">"9801"</f>
        <v>9801</v>
      </c>
      <c r="E5777" s="1" t="s">
        <v>25</v>
      </c>
      <c r="F5777" s="1" t="str">
        <f>"1079982709"</f>
        <v>1079982709</v>
      </c>
      <c r="G5777" s="1" t="s">
        <v>33</v>
      </c>
      <c r="H5777" s="1" t="str">
        <f t="shared" si="1123"/>
        <v>20220928</v>
      </c>
      <c r="I5777" s="1" t="str">
        <f>"082627"</f>
        <v>082627</v>
      </c>
      <c r="J5777" s="1" t="s">
        <v>44</v>
      </c>
      <c r="K5777" s="1" t="s">
        <v>45</v>
      </c>
      <c r="L5777" s="1" t="str">
        <f t="shared" si="1127"/>
        <v>20220928</v>
      </c>
      <c r="M5777" s="1" t="str">
        <f>"085420"</f>
        <v>085420</v>
      </c>
      <c r="N5777" s="1" t="s">
        <v>28</v>
      </c>
      <c r="O5777" s="1" t="s">
        <v>28</v>
      </c>
      <c r="P5777" s="1" t="s">
        <v>55</v>
      </c>
      <c r="Q5777" s="1">
        <v>25</v>
      </c>
      <c r="R5777" s="1">
        <v>25</v>
      </c>
      <c r="S5777" s="1">
        <v>0</v>
      </c>
      <c r="T5777" s="1">
        <v>0</v>
      </c>
      <c r="U5777" s="1">
        <v>0</v>
      </c>
      <c r="V5777" s="1" t="str">
        <f t="shared" ref="V5777:V5793" si="1130">"里程返程"</f>
        <v>里程返程</v>
      </c>
      <c r="W5777" s="1" t="str">
        <f>"2020"</f>
        <v>2020</v>
      </c>
      <c r="X5777" s="1" t="s">
        <v>35</v>
      </c>
    </row>
    <row r="5778" spans="1:24" x14ac:dyDescent="0.3">
      <c r="A5778" s="1" t="str">
        <f t="shared" si="1128"/>
        <v>59825</v>
      </c>
      <c r="B5778" s="1" t="s">
        <v>30</v>
      </c>
      <c r="C5778" s="1" t="s">
        <v>31</v>
      </c>
      <c r="D5778" s="1" t="str">
        <f t="shared" si="1129"/>
        <v>9801</v>
      </c>
      <c r="E5778" s="1" t="s">
        <v>25</v>
      </c>
      <c r="F5778" s="1" t="str">
        <f>"990368069"</f>
        <v>990368069</v>
      </c>
      <c r="G5778" s="1" t="s">
        <v>26</v>
      </c>
      <c r="H5778" s="1" t="str">
        <f t="shared" si="1123"/>
        <v>20220928</v>
      </c>
      <c r="I5778" s="1" t="str">
        <f>"082629"</f>
        <v>082629</v>
      </c>
      <c r="J5778" s="1" t="s">
        <v>44</v>
      </c>
      <c r="K5778" s="1" t="s">
        <v>45</v>
      </c>
      <c r="L5778" s="1" t="str">
        <f t="shared" si="1127"/>
        <v>20220928</v>
      </c>
      <c r="M5778" s="1" t="str">
        <f>"085417"</f>
        <v>085417</v>
      </c>
      <c r="N5778" s="1" t="s">
        <v>28</v>
      </c>
      <c r="O5778" s="1" t="s">
        <v>28</v>
      </c>
      <c r="P5778" s="1" t="s">
        <v>55</v>
      </c>
      <c r="Q5778" s="1">
        <v>13</v>
      </c>
      <c r="R5778" s="1">
        <v>13</v>
      </c>
      <c r="S5778" s="1">
        <v>0</v>
      </c>
      <c r="T5778" s="1">
        <v>0</v>
      </c>
      <c r="U5778" s="1">
        <v>0</v>
      </c>
      <c r="V5778" s="1" t="str">
        <f t="shared" si="1130"/>
        <v>里程返程</v>
      </c>
      <c r="W5778" s="1" t="str">
        <f>"2020"</f>
        <v>2020</v>
      </c>
      <c r="X5778" s="1" t="s">
        <v>35</v>
      </c>
    </row>
    <row r="5779" spans="1:24" x14ac:dyDescent="0.3">
      <c r="A5779" s="1" t="str">
        <f t="shared" si="1128"/>
        <v>59825</v>
      </c>
      <c r="B5779" s="1" t="s">
        <v>30</v>
      </c>
      <c r="C5779" s="1" t="s">
        <v>31</v>
      </c>
      <c r="D5779" s="1" t="str">
        <f t="shared" si="1129"/>
        <v>9801</v>
      </c>
      <c r="E5779" s="1" t="s">
        <v>25</v>
      </c>
      <c r="F5779" s="1" t="str">
        <f>"F29BD102BA880400C834002000000015"</f>
        <v>F29BD102BA880400C834002000000015</v>
      </c>
      <c r="G5779" s="1" t="s">
        <v>26</v>
      </c>
      <c r="H5779" s="1" t="str">
        <f t="shared" si="1123"/>
        <v>20220928</v>
      </c>
      <c r="I5779" s="1" t="str">
        <f>"083506"</f>
        <v>083506</v>
      </c>
      <c r="J5779" s="1" t="s">
        <v>44</v>
      </c>
      <c r="K5779" s="1" t="s">
        <v>45</v>
      </c>
      <c r="L5779" s="1" t="str">
        <f t="shared" si="1127"/>
        <v>20220928</v>
      </c>
      <c r="M5779" s="1" t="str">
        <f>"085356"</f>
        <v>085356</v>
      </c>
      <c r="N5779" s="1" t="s">
        <v>28</v>
      </c>
      <c r="O5779" s="1" t="s">
        <v>28</v>
      </c>
      <c r="P5779" s="1" t="s">
        <v>68</v>
      </c>
      <c r="Q5779" s="1">
        <v>13</v>
      </c>
      <c r="R5779" s="1">
        <v>0</v>
      </c>
      <c r="S5779" s="1">
        <v>0</v>
      </c>
      <c r="T5779" s="1">
        <v>13</v>
      </c>
      <c r="U5779" s="1">
        <v>0</v>
      </c>
      <c r="V5779" s="1" t="str">
        <f t="shared" si="1130"/>
        <v>里程返程</v>
      </c>
      <c r="W5779" s="1" t="str">
        <f>"0020"</f>
        <v>0020</v>
      </c>
      <c r="X5779" s="1" t="s">
        <v>29</v>
      </c>
    </row>
    <row r="5780" spans="1:24" x14ac:dyDescent="0.3">
      <c r="A5780" s="1" t="str">
        <f t="shared" si="1128"/>
        <v>59825</v>
      </c>
      <c r="B5780" s="1" t="s">
        <v>30</v>
      </c>
      <c r="C5780" s="1" t="s">
        <v>31</v>
      </c>
      <c r="D5780" s="1" t="str">
        <f t="shared" si="1129"/>
        <v>9801</v>
      </c>
      <c r="E5780" s="1" t="s">
        <v>25</v>
      </c>
      <c r="F5780" s="1" t="str">
        <f>"7227E702B0880400C834002000000015"</f>
        <v>7227E702B0880400C834002000000015</v>
      </c>
      <c r="G5780" s="1" t="s">
        <v>74</v>
      </c>
      <c r="H5780" s="1" t="str">
        <f t="shared" si="1123"/>
        <v>20220928</v>
      </c>
      <c r="I5780" s="1" t="str">
        <f>"083643"</f>
        <v>083643</v>
      </c>
      <c r="J5780" s="1" t="s">
        <v>100</v>
      </c>
      <c r="K5780" s="1" t="s">
        <v>45</v>
      </c>
      <c r="L5780" s="1" t="str">
        <f t="shared" si="1127"/>
        <v>20220928</v>
      </c>
      <c r="M5780" s="1" t="str">
        <f>"091329"</f>
        <v>091329</v>
      </c>
      <c r="N5780" s="1" t="s">
        <v>77</v>
      </c>
      <c r="O5780" s="1" t="s">
        <v>52</v>
      </c>
      <c r="P5780" s="1" t="s">
        <v>68</v>
      </c>
      <c r="Q5780" s="1">
        <v>25</v>
      </c>
      <c r="R5780" s="1">
        <v>0</v>
      </c>
      <c r="S5780" s="1">
        <v>0</v>
      </c>
      <c r="T5780" s="1">
        <v>25</v>
      </c>
      <c r="U5780" s="1">
        <v>0</v>
      </c>
      <c r="V5780" s="1" t="str">
        <f t="shared" si="1130"/>
        <v>里程返程</v>
      </c>
      <c r="W5780" s="1" t="str">
        <f>"0020"</f>
        <v>0020</v>
      </c>
      <c r="X5780" s="1" t="s">
        <v>29</v>
      </c>
    </row>
    <row r="5781" spans="1:24" x14ac:dyDescent="0.3">
      <c r="A5781" s="1" t="str">
        <f t="shared" si="1128"/>
        <v>59825</v>
      </c>
      <c r="B5781" s="1" t="s">
        <v>30</v>
      </c>
      <c r="C5781" s="1" t="s">
        <v>31</v>
      </c>
      <c r="D5781" s="1" t="str">
        <f t="shared" si="1129"/>
        <v>9801</v>
      </c>
      <c r="E5781" s="1" t="s">
        <v>25</v>
      </c>
      <c r="F5781" s="1" t="str">
        <f>"D27CFD1645880400C814002000000019"</f>
        <v>D27CFD1645880400C814002000000019</v>
      </c>
      <c r="G5781" s="1" t="s">
        <v>59</v>
      </c>
      <c r="H5781" s="1" t="str">
        <f t="shared" si="1123"/>
        <v>20220928</v>
      </c>
      <c r="I5781" s="1" t="str">
        <f>"083652"</f>
        <v>083652</v>
      </c>
      <c r="J5781" s="1" t="s">
        <v>100</v>
      </c>
      <c r="K5781" s="1" t="s">
        <v>45</v>
      </c>
      <c r="L5781" s="1" t="str">
        <f t="shared" si="1127"/>
        <v>20220928</v>
      </c>
      <c r="M5781" s="1" t="str">
        <f>"085415"</f>
        <v>085415</v>
      </c>
      <c r="N5781" s="1" t="s">
        <v>28</v>
      </c>
      <c r="O5781" s="1" t="s">
        <v>28</v>
      </c>
      <c r="P5781" s="1" t="s">
        <v>55</v>
      </c>
      <c r="Q5781" s="1">
        <v>25</v>
      </c>
      <c r="R5781" s="1">
        <v>25</v>
      </c>
      <c r="S5781" s="1">
        <v>0</v>
      </c>
      <c r="T5781" s="1">
        <v>0</v>
      </c>
      <c r="U5781" s="1">
        <v>0</v>
      </c>
      <c r="V5781" s="1" t="str">
        <f t="shared" si="1130"/>
        <v>里程返程</v>
      </c>
      <c r="W5781" s="1" t="str">
        <f>"0020"</f>
        <v>0020</v>
      </c>
      <c r="X5781" s="1" t="s">
        <v>29</v>
      </c>
    </row>
    <row r="5782" spans="1:24" x14ac:dyDescent="0.3">
      <c r="A5782" s="1" t="str">
        <f t="shared" si="1128"/>
        <v>59825</v>
      </c>
      <c r="B5782" s="1" t="s">
        <v>30</v>
      </c>
      <c r="C5782" s="1" t="s">
        <v>31</v>
      </c>
      <c r="D5782" s="1" t="str">
        <f t="shared" si="1129"/>
        <v>9801</v>
      </c>
      <c r="E5782" s="1" t="s">
        <v>25</v>
      </c>
      <c r="F5782" s="1" t="str">
        <f>"03A6A9454988040048B994D749703809"</f>
        <v>03A6A9454988040048B994D749703809</v>
      </c>
      <c r="G5782" s="1" t="s">
        <v>64</v>
      </c>
      <c r="H5782" s="1" t="str">
        <f t="shared" si="1123"/>
        <v>20220928</v>
      </c>
      <c r="I5782" s="1" t="str">
        <f>"085437"</f>
        <v>085437</v>
      </c>
      <c r="J5782" s="1" t="s">
        <v>28</v>
      </c>
      <c r="K5782" s="1" t="s">
        <v>28</v>
      </c>
      <c r="L5782" s="1" t="str">
        <f t="shared" si="1127"/>
        <v>20220928</v>
      </c>
      <c r="M5782" s="1" t="str">
        <f>"090624"</f>
        <v>090624</v>
      </c>
      <c r="N5782" s="1" t="s">
        <v>78</v>
      </c>
      <c r="O5782" s="1" t="s">
        <v>52</v>
      </c>
      <c r="P5782" s="1" t="s">
        <v>55</v>
      </c>
      <c r="Q5782" s="1">
        <v>13</v>
      </c>
      <c r="R5782" s="1">
        <v>13</v>
      </c>
      <c r="S5782" s="1">
        <v>0</v>
      </c>
      <c r="T5782" s="1">
        <v>0</v>
      </c>
      <c r="U5782" s="1">
        <v>0</v>
      </c>
      <c r="V5782" s="1" t="str">
        <f t="shared" si="1130"/>
        <v>里程返程</v>
      </c>
      <c r="W5782" s="1" t="str">
        <f>"0020"</f>
        <v>0020</v>
      </c>
      <c r="X5782" s="1" t="s">
        <v>29</v>
      </c>
    </row>
    <row r="5783" spans="1:24" x14ac:dyDescent="0.3">
      <c r="A5783" s="1" t="str">
        <f t="shared" si="1128"/>
        <v>59825</v>
      </c>
      <c r="B5783" s="1" t="s">
        <v>30</v>
      </c>
      <c r="C5783" s="1" t="s">
        <v>31</v>
      </c>
      <c r="D5783" s="1" t="str">
        <f t="shared" si="1129"/>
        <v>9801</v>
      </c>
      <c r="E5783" s="1" t="s">
        <v>25</v>
      </c>
      <c r="F5783" s="1" t="str">
        <f>"D24FF80065880400C806002000000015"</f>
        <v>D24FF80065880400C806002000000015</v>
      </c>
      <c r="G5783" s="1" t="s">
        <v>58</v>
      </c>
      <c r="H5783" s="1" t="str">
        <f t="shared" si="1123"/>
        <v>20220928</v>
      </c>
      <c r="I5783" s="1" t="str">
        <f>"095353"</f>
        <v>095353</v>
      </c>
      <c r="J5783" s="1" t="s">
        <v>28</v>
      </c>
      <c r="K5783" s="1" t="s">
        <v>28</v>
      </c>
      <c r="L5783" s="1" t="str">
        <f t="shared" si="1127"/>
        <v>20220928</v>
      </c>
      <c r="M5783" s="1" t="str">
        <f>"100300"</f>
        <v>100300</v>
      </c>
      <c r="N5783" s="1" t="s">
        <v>84</v>
      </c>
      <c r="O5783" s="1" t="s">
        <v>28</v>
      </c>
      <c r="P5783" s="1" t="s">
        <v>55</v>
      </c>
      <c r="Q5783" s="1">
        <v>25</v>
      </c>
      <c r="R5783" s="1">
        <v>25</v>
      </c>
      <c r="S5783" s="1">
        <v>0</v>
      </c>
      <c r="T5783" s="1">
        <v>0</v>
      </c>
      <c r="U5783" s="1">
        <v>0</v>
      </c>
      <c r="V5783" s="1" t="str">
        <f t="shared" si="1130"/>
        <v>里程返程</v>
      </c>
      <c r="W5783" s="1" t="str">
        <f>"0020"</f>
        <v>0020</v>
      </c>
      <c r="X5783" s="1" t="s">
        <v>29</v>
      </c>
    </row>
    <row r="5784" spans="1:24" x14ac:dyDescent="0.3">
      <c r="A5784" s="1" t="str">
        <f t="shared" si="1128"/>
        <v>59825</v>
      </c>
      <c r="B5784" s="1" t="s">
        <v>30</v>
      </c>
      <c r="C5784" s="1" t="s">
        <v>31</v>
      </c>
      <c r="D5784" s="1" t="str">
        <f t="shared" si="1129"/>
        <v>9801</v>
      </c>
      <c r="E5784" s="1" t="s">
        <v>25</v>
      </c>
      <c r="F5784" s="1" t="str">
        <f>"892975925"</f>
        <v>892975925</v>
      </c>
      <c r="G5784" s="1" t="s">
        <v>33</v>
      </c>
      <c r="H5784" s="1" t="str">
        <f t="shared" si="1123"/>
        <v>20220928</v>
      </c>
      <c r="I5784" s="1" t="str">
        <f>"095403"</f>
        <v>095403</v>
      </c>
      <c r="J5784" s="1" t="s">
        <v>28</v>
      </c>
      <c r="K5784" s="1" t="s">
        <v>28</v>
      </c>
      <c r="L5784" s="1" t="str">
        <f t="shared" si="1127"/>
        <v>20220928</v>
      </c>
      <c r="M5784" s="1" t="str">
        <f>"101904"</f>
        <v>101904</v>
      </c>
      <c r="N5784" s="1" t="s">
        <v>65</v>
      </c>
      <c r="O5784" s="1" t="s">
        <v>52</v>
      </c>
      <c r="P5784" s="1" t="s">
        <v>55</v>
      </c>
      <c r="Q5784" s="1">
        <v>25</v>
      </c>
      <c r="R5784" s="1">
        <v>25</v>
      </c>
      <c r="S5784" s="1">
        <v>0</v>
      </c>
      <c r="T5784" s="1">
        <v>0</v>
      </c>
      <c r="U5784" s="1">
        <v>0</v>
      </c>
      <c r="V5784" s="1" t="str">
        <f t="shared" si="1130"/>
        <v>里程返程</v>
      </c>
      <c r="W5784" s="1" t="str">
        <f>"1420"</f>
        <v>1420</v>
      </c>
      <c r="X5784" s="1" t="s">
        <v>35</v>
      </c>
    </row>
    <row r="5785" spans="1:24" x14ac:dyDescent="0.3">
      <c r="A5785" s="1" t="str">
        <f t="shared" si="1128"/>
        <v>59825</v>
      </c>
      <c r="B5785" s="1" t="s">
        <v>30</v>
      </c>
      <c r="C5785" s="1" t="s">
        <v>31</v>
      </c>
      <c r="D5785" s="1" t="str">
        <f t="shared" si="1129"/>
        <v>9801</v>
      </c>
      <c r="E5785" s="1" t="s">
        <v>25</v>
      </c>
      <c r="F5785" s="1" t="str">
        <f>"A28DCF14F4880400C840002000000018"</f>
        <v>A28DCF14F4880400C840002000000018</v>
      </c>
      <c r="G5785" s="1" t="s">
        <v>64</v>
      </c>
      <c r="H5785" s="1" t="str">
        <f t="shared" si="1123"/>
        <v>20220928</v>
      </c>
      <c r="I5785" s="1" t="str">
        <f>"102824"</f>
        <v>102824</v>
      </c>
      <c r="J5785" s="1" t="s">
        <v>44</v>
      </c>
      <c r="K5785" s="1" t="s">
        <v>45</v>
      </c>
      <c r="L5785" s="1" t="str">
        <f t="shared" si="1127"/>
        <v>20220928</v>
      </c>
      <c r="M5785" s="1" t="str">
        <f>"104336"</f>
        <v>104336</v>
      </c>
      <c r="N5785" s="1" t="s">
        <v>45</v>
      </c>
      <c r="O5785" s="1" t="s">
        <v>45</v>
      </c>
      <c r="P5785" s="1" t="s">
        <v>55</v>
      </c>
      <c r="Q5785" s="1">
        <v>13</v>
      </c>
      <c r="R5785" s="1">
        <v>0</v>
      </c>
      <c r="S5785" s="1">
        <v>13</v>
      </c>
      <c r="T5785" s="1">
        <v>0</v>
      </c>
      <c r="U5785" s="1">
        <v>0</v>
      </c>
      <c r="V5785" s="1" t="str">
        <f t="shared" si="1130"/>
        <v>里程返程</v>
      </c>
      <c r="W5785" s="1" t="str">
        <f t="shared" ref="W5785:W5790" si="1131">"1120"</f>
        <v>1120</v>
      </c>
      <c r="X5785" s="1" t="s">
        <v>29</v>
      </c>
    </row>
    <row r="5786" spans="1:24" x14ac:dyDescent="0.3">
      <c r="A5786" s="1" t="str">
        <f t="shared" si="1128"/>
        <v>59825</v>
      </c>
      <c r="B5786" s="1" t="s">
        <v>30</v>
      </c>
      <c r="C5786" s="1" t="s">
        <v>31</v>
      </c>
      <c r="D5786" s="1" t="str">
        <f t="shared" si="1129"/>
        <v>9801</v>
      </c>
      <c r="E5786" s="1" t="s">
        <v>25</v>
      </c>
      <c r="F5786" s="1" t="str">
        <f>"F1FF345D678804004325C3F9000B0C0F"</f>
        <v>F1FF345D678804004325C3F9000B0C0F</v>
      </c>
      <c r="G5786" s="1" t="s">
        <v>64</v>
      </c>
      <c r="H5786" s="1" t="str">
        <f t="shared" ref="H5786:H5817" si="1132">"20220928"</f>
        <v>20220928</v>
      </c>
      <c r="I5786" s="1" t="str">
        <f>"102827"</f>
        <v>102827</v>
      </c>
      <c r="J5786" s="1" t="s">
        <v>44</v>
      </c>
      <c r="K5786" s="1" t="s">
        <v>45</v>
      </c>
      <c r="L5786" s="1" t="str">
        <f t="shared" si="1127"/>
        <v>20220928</v>
      </c>
      <c r="M5786" s="1" t="str">
        <f>"104329"</f>
        <v>104329</v>
      </c>
      <c r="N5786" s="1" t="s">
        <v>45</v>
      </c>
      <c r="O5786" s="1" t="s">
        <v>45</v>
      </c>
      <c r="P5786" s="1" t="s">
        <v>55</v>
      </c>
      <c r="Q5786" s="1">
        <v>13</v>
      </c>
      <c r="R5786" s="1">
        <v>0</v>
      </c>
      <c r="S5786" s="1">
        <v>13</v>
      </c>
      <c r="T5786" s="1">
        <v>0</v>
      </c>
      <c r="U5786" s="1">
        <v>0</v>
      </c>
      <c r="V5786" s="1" t="str">
        <f t="shared" si="1130"/>
        <v>里程返程</v>
      </c>
      <c r="W5786" s="1" t="str">
        <f t="shared" si="1131"/>
        <v>1120</v>
      </c>
      <c r="X5786" s="1" t="s">
        <v>29</v>
      </c>
    </row>
    <row r="5787" spans="1:24" x14ac:dyDescent="0.3">
      <c r="A5787" s="1" t="str">
        <f t="shared" si="1128"/>
        <v>59825</v>
      </c>
      <c r="B5787" s="1" t="s">
        <v>30</v>
      </c>
      <c r="C5787" s="1" t="s">
        <v>31</v>
      </c>
      <c r="D5787" s="1" t="str">
        <f t="shared" si="1129"/>
        <v>9801</v>
      </c>
      <c r="E5787" s="1" t="s">
        <v>25</v>
      </c>
      <c r="F5787" s="1" t="str">
        <f>"72BAFC182C880400C821002000000019"</f>
        <v>72BAFC182C880400C821002000000019</v>
      </c>
      <c r="G5787" s="1" t="s">
        <v>64</v>
      </c>
      <c r="H5787" s="1" t="str">
        <f t="shared" si="1132"/>
        <v>20220928</v>
      </c>
      <c r="I5787" s="1" t="str">
        <f>"102840"</f>
        <v>102840</v>
      </c>
      <c r="J5787" s="1" t="s">
        <v>44</v>
      </c>
      <c r="K5787" s="1" t="s">
        <v>45</v>
      </c>
      <c r="L5787" s="1" t="str">
        <f t="shared" si="1127"/>
        <v>20220928</v>
      </c>
      <c r="M5787" s="1" t="str">
        <f>"104339"</f>
        <v>104339</v>
      </c>
      <c r="N5787" s="1" t="s">
        <v>45</v>
      </c>
      <c r="O5787" s="1" t="s">
        <v>45</v>
      </c>
      <c r="P5787" s="1" t="s">
        <v>55</v>
      </c>
      <c r="Q5787" s="1">
        <v>13</v>
      </c>
      <c r="R5787" s="1">
        <v>0</v>
      </c>
      <c r="S5787" s="1">
        <v>13</v>
      </c>
      <c r="T5787" s="1">
        <v>0</v>
      </c>
      <c r="U5787" s="1">
        <v>0</v>
      </c>
      <c r="V5787" s="1" t="str">
        <f t="shared" si="1130"/>
        <v>里程返程</v>
      </c>
      <c r="W5787" s="1" t="str">
        <f t="shared" si="1131"/>
        <v>1120</v>
      </c>
      <c r="X5787" s="1" t="s">
        <v>29</v>
      </c>
    </row>
    <row r="5788" spans="1:24" x14ac:dyDescent="0.3">
      <c r="A5788" s="1" t="str">
        <f t="shared" si="1128"/>
        <v>59825</v>
      </c>
      <c r="B5788" s="1" t="s">
        <v>30</v>
      </c>
      <c r="C5788" s="1" t="s">
        <v>31</v>
      </c>
      <c r="D5788" s="1" t="str">
        <f t="shared" si="1129"/>
        <v>9801</v>
      </c>
      <c r="E5788" s="1" t="s">
        <v>25</v>
      </c>
      <c r="F5788" s="1" t="str">
        <f>"F5B7459C9B88040043265ABE00070710"</f>
        <v>F5B7459C9B88040043265ABE00070710</v>
      </c>
      <c r="G5788" s="1" t="s">
        <v>64</v>
      </c>
      <c r="H5788" s="1" t="str">
        <f t="shared" si="1132"/>
        <v>20220928</v>
      </c>
      <c r="I5788" s="1" t="str">
        <f>"102853"</f>
        <v>102853</v>
      </c>
      <c r="J5788" s="1" t="s">
        <v>44</v>
      </c>
      <c r="K5788" s="1" t="s">
        <v>45</v>
      </c>
      <c r="L5788" s="1" t="str">
        <f t="shared" si="1127"/>
        <v>20220928</v>
      </c>
      <c r="M5788" s="1" t="str">
        <f>"104344"</f>
        <v>104344</v>
      </c>
      <c r="N5788" s="1" t="s">
        <v>45</v>
      </c>
      <c r="O5788" s="1" t="s">
        <v>45</v>
      </c>
      <c r="P5788" s="1" t="s">
        <v>55</v>
      </c>
      <c r="Q5788" s="1">
        <v>13</v>
      </c>
      <c r="R5788" s="1">
        <v>0</v>
      </c>
      <c r="S5788" s="1">
        <v>13</v>
      </c>
      <c r="T5788" s="1">
        <v>0</v>
      </c>
      <c r="U5788" s="1">
        <v>0</v>
      </c>
      <c r="V5788" s="1" t="str">
        <f t="shared" si="1130"/>
        <v>里程返程</v>
      </c>
      <c r="W5788" s="1" t="str">
        <f t="shared" si="1131"/>
        <v>1120</v>
      </c>
      <c r="X5788" s="1" t="s">
        <v>29</v>
      </c>
    </row>
    <row r="5789" spans="1:24" x14ac:dyDescent="0.3">
      <c r="A5789" s="1" t="str">
        <f t="shared" si="1128"/>
        <v>59825</v>
      </c>
      <c r="B5789" s="1" t="s">
        <v>30</v>
      </c>
      <c r="C5789" s="1" t="s">
        <v>31</v>
      </c>
      <c r="D5789" s="1" t="str">
        <f t="shared" si="1129"/>
        <v>9801</v>
      </c>
      <c r="E5789" s="1" t="s">
        <v>25</v>
      </c>
      <c r="F5789" s="1" t="str">
        <f>"43C52369CC88040046B9951049404009"</f>
        <v>43C52369CC88040046B9951049404009</v>
      </c>
      <c r="G5789" s="1" t="s">
        <v>64</v>
      </c>
      <c r="H5789" s="1" t="str">
        <f t="shared" si="1132"/>
        <v>20220928</v>
      </c>
      <c r="I5789" s="1" t="str">
        <f>"102904"</f>
        <v>102904</v>
      </c>
      <c r="J5789" s="1" t="s">
        <v>44</v>
      </c>
      <c r="K5789" s="1" t="s">
        <v>45</v>
      </c>
      <c r="L5789" s="1" t="str">
        <f t="shared" si="1127"/>
        <v>20220928</v>
      </c>
      <c r="M5789" s="1" t="str">
        <f>"104352"</f>
        <v>104352</v>
      </c>
      <c r="N5789" s="1" t="s">
        <v>45</v>
      </c>
      <c r="O5789" s="1" t="s">
        <v>45</v>
      </c>
      <c r="P5789" s="1" t="s">
        <v>55</v>
      </c>
      <c r="Q5789" s="1">
        <v>13</v>
      </c>
      <c r="R5789" s="1">
        <v>0</v>
      </c>
      <c r="S5789" s="1">
        <v>13</v>
      </c>
      <c r="T5789" s="1">
        <v>0</v>
      </c>
      <c r="U5789" s="1">
        <v>0</v>
      </c>
      <c r="V5789" s="1" t="str">
        <f t="shared" si="1130"/>
        <v>里程返程</v>
      </c>
      <c r="W5789" s="1" t="str">
        <f t="shared" si="1131"/>
        <v>1120</v>
      </c>
      <c r="X5789" s="1" t="s">
        <v>29</v>
      </c>
    </row>
    <row r="5790" spans="1:24" x14ac:dyDescent="0.3">
      <c r="A5790" s="1" t="str">
        <f t="shared" si="1128"/>
        <v>59825</v>
      </c>
      <c r="B5790" s="1" t="s">
        <v>30</v>
      </c>
      <c r="C5790" s="1" t="s">
        <v>31</v>
      </c>
      <c r="D5790" s="1" t="str">
        <f t="shared" si="1129"/>
        <v>9801</v>
      </c>
      <c r="E5790" s="1" t="s">
        <v>25</v>
      </c>
      <c r="F5790" s="1" t="str">
        <f>"B1F4AB25CB8804004328091300050212"</f>
        <v>B1F4AB25CB8804004328091300050212</v>
      </c>
      <c r="G5790" s="1" t="s">
        <v>26</v>
      </c>
      <c r="H5790" s="1" t="str">
        <f t="shared" si="1132"/>
        <v>20220928</v>
      </c>
      <c r="I5790" s="1" t="str">
        <f>"102915"</f>
        <v>102915</v>
      </c>
      <c r="J5790" s="1" t="s">
        <v>44</v>
      </c>
      <c r="K5790" s="1" t="s">
        <v>45</v>
      </c>
      <c r="L5790" s="1" t="str">
        <f t="shared" si="1127"/>
        <v>20220928</v>
      </c>
      <c r="M5790" s="1" t="str">
        <f>"104348"</f>
        <v>104348</v>
      </c>
      <c r="N5790" s="1" t="s">
        <v>45</v>
      </c>
      <c r="O5790" s="1" t="s">
        <v>45</v>
      </c>
      <c r="P5790" s="1" t="s">
        <v>55</v>
      </c>
      <c r="Q5790" s="1">
        <v>13</v>
      </c>
      <c r="R5790" s="1">
        <v>0</v>
      </c>
      <c r="S5790" s="1">
        <v>13</v>
      </c>
      <c r="T5790" s="1">
        <v>0</v>
      </c>
      <c r="U5790" s="1">
        <v>0</v>
      </c>
      <c r="V5790" s="1" t="str">
        <f t="shared" si="1130"/>
        <v>里程返程</v>
      </c>
      <c r="W5790" s="1" t="str">
        <f t="shared" si="1131"/>
        <v>1120</v>
      </c>
      <c r="X5790" s="1" t="s">
        <v>29</v>
      </c>
    </row>
    <row r="5791" spans="1:24" x14ac:dyDescent="0.3">
      <c r="A5791" s="1" t="str">
        <f t="shared" si="1128"/>
        <v>59825</v>
      </c>
      <c r="B5791" s="1" t="s">
        <v>30</v>
      </c>
      <c r="C5791" s="1" t="s">
        <v>31</v>
      </c>
      <c r="D5791" s="1" t="str">
        <f t="shared" si="1129"/>
        <v>9801</v>
      </c>
      <c r="E5791" s="1" t="s">
        <v>25</v>
      </c>
      <c r="F5791" s="1" t="str">
        <f>"52CDD0145B880400C840002000000018"</f>
        <v>52CDD0145B880400C840002000000018</v>
      </c>
      <c r="G5791" s="1" t="s">
        <v>64</v>
      </c>
      <c r="H5791" s="1" t="str">
        <f t="shared" si="1132"/>
        <v>20220928</v>
      </c>
      <c r="I5791" s="1" t="str">
        <f>"115406"</f>
        <v>115406</v>
      </c>
      <c r="J5791" s="1" t="s">
        <v>28</v>
      </c>
      <c r="K5791" s="1" t="s">
        <v>28</v>
      </c>
      <c r="L5791" s="1" t="str">
        <f t="shared" si="1127"/>
        <v>20220928</v>
      </c>
      <c r="M5791" s="1" t="str">
        <f>"121406"</f>
        <v>121406</v>
      </c>
      <c r="N5791" s="1" t="s">
        <v>80</v>
      </c>
      <c r="O5791" s="1" t="s">
        <v>52</v>
      </c>
      <c r="P5791" s="1" t="s">
        <v>55</v>
      </c>
      <c r="Q5791" s="1">
        <v>13</v>
      </c>
      <c r="R5791" s="1">
        <v>13</v>
      </c>
      <c r="S5791" s="1">
        <v>0</v>
      </c>
      <c r="T5791" s="1">
        <v>0</v>
      </c>
      <c r="U5791" s="1">
        <v>0</v>
      </c>
      <c r="V5791" s="1" t="str">
        <f t="shared" si="1130"/>
        <v>里程返程</v>
      </c>
      <c r="W5791" s="1" t="str">
        <f>"0020"</f>
        <v>0020</v>
      </c>
      <c r="X5791" s="1" t="s">
        <v>29</v>
      </c>
    </row>
    <row r="5792" spans="1:24" x14ac:dyDescent="0.3">
      <c r="A5792" s="1" t="str">
        <f t="shared" si="1128"/>
        <v>59825</v>
      </c>
      <c r="B5792" s="1" t="s">
        <v>30</v>
      </c>
      <c r="C5792" s="1" t="s">
        <v>31</v>
      </c>
      <c r="D5792" s="1" t="str">
        <f t="shared" si="1129"/>
        <v>9801</v>
      </c>
      <c r="E5792" s="1" t="s">
        <v>25</v>
      </c>
      <c r="F5792" s="1" t="str">
        <f>"1847493125"</f>
        <v>1847493125</v>
      </c>
      <c r="G5792" s="1" t="s">
        <v>26</v>
      </c>
      <c r="H5792" s="1" t="str">
        <f t="shared" si="1132"/>
        <v>20220928</v>
      </c>
      <c r="I5792" s="1" t="str">
        <f>"115519"</f>
        <v>115519</v>
      </c>
      <c r="J5792" s="1" t="s">
        <v>28</v>
      </c>
      <c r="K5792" s="1" t="s">
        <v>28</v>
      </c>
      <c r="L5792" s="1" t="str">
        <f t="shared" si="1127"/>
        <v>20220928</v>
      </c>
      <c r="M5792" s="1" t="str">
        <f>"122542"</f>
        <v>122542</v>
      </c>
      <c r="N5792" s="1" t="s">
        <v>52</v>
      </c>
      <c r="O5792" s="1" t="s">
        <v>52</v>
      </c>
      <c r="P5792" s="1" t="s">
        <v>55</v>
      </c>
      <c r="Q5792" s="1">
        <v>13</v>
      </c>
      <c r="R5792" s="1">
        <v>13</v>
      </c>
      <c r="S5792" s="1">
        <v>0</v>
      </c>
      <c r="T5792" s="1">
        <v>0</v>
      </c>
      <c r="U5792" s="1">
        <v>0</v>
      </c>
      <c r="V5792" s="1" t="str">
        <f t="shared" si="1130"/>
        <v>里程返程</v>
      </c>
      <c r="W5792" s="1" t="str">
        <f>"0920"</f>
        <v>0920</v>
      </c>
      <c r="X5792" s="1" t="s">
        <v>35</v>
      </c>
    </row>
    <row r="5793" spans="1:24" x14ac:dyDescent="0.3">
      <c r="A5793" s="1" t="str">
        <f t="shared" si="1128"/>
        <v>59825</v>
      </c>
      <c r="B5793" s="1" t="s">
        <v>30</v>
      </c>
      <c r="C5793" s="1" t="s">
        <v>31</v>
      </c>
      <c r="D5793" s="1" t="str">
        <f t="shared" si="1129"/>
        <v>9801</v>
      </c>
      <c r="E5793" s="1" t="s">
        <v>25</v>
      </c>
      <c r="F5793" s="1" t="str">
        <f>"1892873755"</f>
        <v>1892873755</v>
      </c>
      <c r="G5793" s="1" t="s">
        <v>33</v>
      </c>
      <c r="H5793" s="1" t="str">
        <f t="shared" si="1132"/>
        <v>20220928</v>
      </c>
      <c r="I5793" s="1" t="str">
        <f>"115527"</f>
        <v>115527</v>
      </c>
      <c r="J5793" s="1" t="s">
        <v>28</v>
      </c>
      <c r="K5793" s="1" t="s">
        <v>28</v>
      </c>
      <c r="L5793" s="1" t="str">
        <f t="shared" si="1127"/>
        <v>20220928</v>
      </c>
      <c r="M5793" s="1" t="str">
        <f>"121459"</f>
        <v>121459</v>
      </c>
      <c r="N5793" s="1" t="s">
        <v>97</v>
      </c>
      <c r="O5793" s="1" t="s">
        <v>52</v>
      </c>
      <c r="P5793" s="1" t="s">
        <v>55</v>
      </c>
      <c r="Q5793" s="1">
        <v>25</v>
      </c>
      <c r="R5793" s="1">
        <v>25</v>
      </c>
      <c r="S5793" s="1">
        <v>0</v>
      </c>
      <c r="T5793" s="1">
        <v>0</v>
      </c>
      <c r="U5793" s="1">
        <v>0</v>
      </c>
      <c r="V5793" s="1" t="str">
        <f t="shared" si="1130"/>
        <v>里程返程</v>
      </c>
      <c r="W5793" s="1" t="str">
        <f>"2020"</f>
        <v>2020</v>
      </c>
      <c r="X5793" s="1" t="s">
        <v>35</v>
      </c>
    </row>
    <row r="5794" spans="1:24" x14ac:dyDescent="0.3">
      <c r="A5794" s="1" t="str">
        <f t="shared" si="1128"/>
        <v>59825</v>
      </c>
      <c r="B5794" s="1" t="s">
        <v>30</v>
      </c>
      <c r="C5794" s="1" t="s">
        <v>31</v>
      </c>
      <c r="D5794" s="1" t="str">
        <f t="shared" ref="D5794:D5799" si="1133">"9805"</f>
        <v>9805</v>
      </c>
      <c r="E5794" s="1" t="s">
        <v>57</v>
      </c>
      <c r="F5794" s="1" t="str">
        <f>"328E9A1A3C880400C816002000000021"</f>
        <v>328E9A1A3C880400C816002000000021</v>
      </c>
      <c r="G5794" s="1" t="s">
        <v>26</v>
      </c>
      <c r="H5794" s="1" t="str">
        <f t="shared" si="1132"/>
        <v>20220928</v>
      </c>
      <c r="I5794" s="1" t="str">
        <f>"143220"</f>
        <v>143220</v>
      </c>
      <c r="J5794" s="1" t="s">
        <v>28</v>
      </c>
      <c r="K5794" s="1" t="s">
        <v>28</v>
      </c>
      <c r="L5794" s="1" t="str">
        <f t="shared" si="1127"/>
        <v>20220928</v>
      </c>
      <c r="M5794" s="1" t="str">
        <f>"143435"</f>
        <v>143435</v>
      </c>
      <c r="N5794" s="1" t="s">
        <v>28</v>
      </c>
      <c r="O5794" s="1" t="s">
        <v>28</v>
      </c>
      <c r="P5794" s="1" t="s">
        <v>55</v>
      </c>
      <c r="Q5794" s="1">
        <v>13</v>
      </c>
      <c r="R5794" s="1">
        <v>13</v>
      </c>
      <c r="S5794" s="1">
        <v>0</v>
      </c>
      <c r="T5794" s="1">
        <v>0</v>
      </c>
      <c r="U5794" s="1">
        <v>0</v>
      </c>
      <c r="V5794" s="1" t="str">
        <f>"里程去程"</f>
        <v>里程去程</v>
      </c>
      <c r="W5794" s="1" t="str">
        <f>"0020"</f>
        <v>0020</v>
      </c>
      <c r="X5794" s="1" t="s">
        <v>29</v>
      </c>
    </row>
    <row r="5795" spans="1:24" x14ac:dyDescent="0.3">
      <c r="A5795" s="1" t="str">
        <f t="shared" si="1128"/>
        <v>59825</v>
      </c>
      <c r="B5795" s="1" t="s">
        <v>30</v>
      </c>
      <c r="C5795" s="1" t="s">
        <v>31</v>
      </c>
      <c r="D5795" s="1" t="str">
        <f t="shared" si="1133"/>
        <v>9805</v>
      </c>
      <c r="E5795" s="1" t="s">
        <v>57</v>
      </c>
      <c r="F5795" s="1" t="str">
        <f>"1156669505"</f>
        <v>1156669505</v>
      </c>
      <c r="G5795" s="1" t="s">
        <v>33</v>
      </c>
      <c r="H5795" s="1" t="str">
        <f t="shared" si="1132"/>
        <v>20220928</v>
      </c>
      <c r="I5795" s="1" t="str">
        <f>"143248"</f>
        <v>143248</v>
      </c>
      <c r="J5795" s="1" t="s">
        <v>28</v>
      </c>
      <c r="K5795" s="1" t="s">
        <v>28</v>
      </c>
      <c r="L5795" s="1" t="str">
        <f t="shared" si="1127"/>
        <v>20220928</v>
      </c>
      <c r="M5795" s="1" t="str">
        <f>"144237"</f>
        <v>144237</v>
      </c>
      <c r="N5795" s="1" t="s">
        <v>46</v>
      </c>
      <c r="O5795" s="1" t="s">
        <v>28</v>
      </c>
      <c r="P5795" s="1" t="s">
        <v>55</v>
      </c>
      <c r="Q5795" s="1">
        <v>25</v>
      </c>
      <c r="R5795" s="1">
        <v>25</v>
      </c>
      <c r="S5795" s="1">
        <v>0</v>
      </c>
      <c r="T5795" s="1">
        <v>0</v>
      </c>
      <c r="U5795" s="1">
        <v>0</v>
      </c>
      <c r="V5795" s="1" t="str">
        <f>"里程去程"</f>
        <v>里程去程</v>
      </c>
      <c r="W5795" s="1" t="str">
        <f>"0220"</f>
        <v>0220</v>
      </c>
      <c r="X5795" s="1" t="s">
        <v>35</v>
      </c>
    </row>
    <row r="5796" spans="1:24" x14ac:dyDescent="0.3">
      <c r="A5796" s="1" t="str">
        <f t="shared" si="1128"/>
        <v>59825</v>
      </c>
      <c r="B5796" s="1" t="s">
        <v>30</v>
      </c>
      <c r="C5796" s="1" t="s">
        <v>31</v>
      </c>
      <c r="D5796" s="1" t="str">
        <f t="shared" si="1133"/>
        <v>9805</v>
      </c>
      <c r="E5796" s="1" t="s">
        <v>57</v>
      </c>
      <c r="F5796" s="1" t="str">
        <f>"2A8A123486880400C08E1E9145504112"</f>
        <v>2A8A123486880400C08E1E9145504112</v>
      </c>
      <c r="G5796" s="1" t="s">
        <v>58</v>
      </c>
      <c r="H5796" s="1" t="str">
        <f t="shared" si="1132"/>
        <v>20220928</v>
      </c>
      <c r="I5796" s="1" t="str">
        <f>"143255"</f>
        <v>143255</v>
      </c>
      <c r="J5796" s="1" t="s">
        <v>28</v>
      </c>
      <c r="K5796" s="1" t="s">
        <v>28</v>
      </c>
      <c r="L5796" s="1" t="str">
        <f t="shared" si="1127"/>
        <v>20220928</v>
      </c>
      <c r="M5796" s="1" t="str">
        <f>"144240"</f>
        <v>144240</v>
      </c>
      <c r="N5796" s="1" t="s">
        <v>46</v>
      </c>
      <c r="O5796" s="1" t="s">
        <v>28</v>
      </c>
      <c r="P5796" s="1" t="s">
        <v>55</v>
      </c>
      <c r="Q5796" s="1">
        <v>25</v>
      </c>
      <c r="R5796" s="1">
        <v>25</v>
      </c>
      <c r="S5796" s="1">
        <v>0</v>
      </c>
      <c r="T5796" s="1">
        <v>0</v>
      </c>
      <c r="U5796" s="1">
        <v>0</v>
      </c>
      <c r="V5796" s="1" t="str">
        <f>"里程去程"</f>
        <v>里程去程</v>
      </c>
      <c r="W5796" s="1" t="str">
        <f>"0020"</f>
        <v>0020</v>
      </c>
      <c r="X5796" s="1" t="s">
        <v>29</v>
      </c>
    </row>
    <row r="5797" spans="1:24" x14ac:dyDescent="0.3">
      <c r="A5797" s="1" t="str">
        <f t="shared" si="1128"/>
        <v>59825</v>
      </c>
      <c r="B5797" s="1" t="s">
        <v>30</v>
      </c>
      <c r="C5797" s="1" t="s">
        <v>31</v>
      </c>
      <c r="D5797" s="1" t="str">
        <f t="shared" si="1133"/>
        <v>9805</v>
      </c>
      <c r="E5797" s="1" t="s">
        <v>57</v>
      </c>
      <c r="F5797" s="1" t="str">
        <f>"998882821"</f>
        <v>998882821</v>
      </c>
      <c r="G5797" s="1" t="s">
        <v>33</v>
      </c>
      <c r="H5797" s="1" t="str">
        <f t="shared" si="1132"/>
        <v>20220928</v>
      </c>
      <c r="I5797" s="1" t="str">
        <f>"144942"</f>
        <v>144942</v>
      </c>
      <c r="J5797" s="1" t="s">
        <v>52</v>
      </c>
      <c r="K5797" s="1" t="s">
        <v>52</v>
      </c>
      <c r="L5797" s="1" t="str">
        <f t="shared" si="1127"/>
        <v>20220928</v>
      </c>
      <c r="M5797" s="1" t="str">
        <f>"151048"</f>
        <v>151048</v>
      </c>
      <c r="N5797" s="1" t="s">
        <v>28</v>
      </c>
      <c r="O5797" s="1" t="s">
        <v>28</v>
      </c>
      <c r="P5797" s="1" t="s">
        <v>55</v>
      </c>
      <c r="Q5797" s="1">
        <v>25</v>
      </c>
      <c r="R5797" s="1">
        <v>25</v>
      </c>
      <c r="S5797" s="1">
        <v>0</v>
      </c>
      <c r="T5797" s="1">
        <v>0</v>
      </c>
      <c r="U5797" s="1">
        <v>0</v>
      </c>
      <c r="V5797" s="1" t="str">
        <f>"里程返程"</f>
        <v>里程返程</v>
      </c>
      <c r="W5797" s="1" t="str">
        <f>"2120"</f>
        <v>2120</v>
      </c>
      <c r="X5797" s="1" t="s">
        <v>35</v>
      </c>
    </row>
    <row r="5798" spans="1:24" x14ac:dyDescent="0.3">
      <c r="A5798" s="1" t="str">
        <f t="shared" si="1128"/>
        <v>59825</v>
      </c>
      <c r="B5798" s="1" t="s">
        <v>30</v>
      </c>
      <c r="C5798" s="1" t="s">
        <v>31</v>
      </c>
      <c r="D5798" s="1" t="str">
        <f t="shared" si="1133"/>
        <v>9805</v>
      </c>
      <c r="E5798" s="1" t="s">
        <v>57</v>
      </c>
      <c r="F5798" s="1" t="str">
        <f>"75BB229C7088040043265ABE00010710"</f>
        <v>75BB229C7088040043265ABE00010710</v>
      </c>
      <c r="G5798" s="1" t="s">
        <v>82</v>
      </c>
      <c r="H5798" s="1" t="str">
        <f t="shared" si="1132"/>
        <v>20220928</v>
      </c>
      <c r="I5798" s="1" t="str">
        <f>"144955"</f>
        <v>144955</v>
      </c>
      <c r="J5798" s="1" t="s">
        <v>52</v>
      </c>
      <c r="K5798" s="1" t="s">
        <v>52</v>
      </c>
      <c r="L5798" s="1" t="str">
        <f t="shared" si="1127"/>
        <v>20220928</v>
      </c>
      <c r="M5798" s="1" t="str">
        <f>"151034"</f>
        <v>151034</v>
      </c>
      <c r="N5798" s="1" t="s">
        <v>28</v>
      </c>
      <c r="O5798" s="1" t="s">
        <v>28</v>
      </c>
      <c r="P5798" s="1" t="s">
        <v>55</v>
      </c>
      <c r="Q5798" s="1">
        <v>13</v>
      </c>
      <c r="R5798" s="1">
        <v>13</v>
      </c>
      <c r="S5798" s="1">
        <v>0</v>
      </c>
      <c r="T5798" s="1">
        <v>0</v>
      </c>
      <c r="U5798" s="1">
        <v>0</v>
      </c>
      <c r="V5798" s="1" t="str">
        <f>"里程返程"</f>
        <v>里程返程</v>
      </c>
      <c r="W5798" s="1" t="str">
        <f>"0020"</f>
        <v>0020</v>
      </c>
      <c r="X5798" s="1" t="s">
        <v>29</v>
      </c>
    </row>
    <row r="5799" spans="1:24" x14ac:dyDescent="0.3">
      <c r="A5799" s="1" t="str">
        <f t="shared" si="1128"/>
        <v>59825</v>
      </c>
      <c r="B5799" s="1" t="s">
        <v>30</v>
      </c>
      <c r="C5799" s="1" t="s">
        <v>31</v>
      </c>
      <c r="D5799" s="1" t="str">
        <f t="shared" si="1133"/>
        <v>9805</v>
      </c>
      <c r="E5799" s="1" t="s">
        <v>57</v>
      </c>
      <c r="F5799" s="1" t="str">
        <f>"B126CE6A332804001C00000000000000"</f>
        <v>B126CE6A332804001C00000000000000</v>
      </c>
      <c r="G5799" s="1" t="s">
        <v>58</v>
      </c>
      <c r="H5799" s="1" t="str">
        <f t="shared" si="1132"/>
        <v>20220928</v>
      </c>
      <c r="I5799" s="1" t="str">
        <f>"145507"</f>
        <v>145507</v>
      </c>
      <c r="J5799" s="1" t="s">
        <v>62</v>
      </c>
      <c r="K5799" s="1" t="s">
        <v>28</v>
      </c>
      <c r="L5799" s="1" t="str">
        <f t="shared" si="1127"/>
        <v>20220928</v>
      </c>
      <c r="M5799" s="1" t="str">
        <f>"151045"</f>
        <v>151045</v>
      </c>
      <c r="N5799" s="1" t="s">
        <v>28</v>
      </c>
      <c r="O5799" s="1" t="s">
        <v>28</v>
      </c>
      <c r="P5799" s="1" t="s">
        <v>55</v>
      </c>
      <c r="Q5799" s="1">
        <v>25</v>
      </c>
      <c r="R5799" s="1">
        <v>0</v>
      </c>
      <c r="S5799" s="1">
        <v>25</v>
      </c>
      <c r="T5799" s="1">
        <v>0</v>
      </c>
      <c r="U5799" s="1">
        <v>0</v>
      </c>
      <c r="V5799" s="1" t="str">
        <f>"里程返程"</f>
        <v>里程返程</v>
      </c>
      <c r="W5799" s="1" t="str">
        <f>"1120"</f>
        <v>1120</v>
      </c>
      <c r="X5799" s="1" t="s">
        <v>29</v>
      </c>
    </row>
    <row r="5800" spans="1:24" x14ac:dyDescent="0.3">
      <c r="A5800" s="1" t="str">
        <f t="shared" si="1128"/>
        <v>59825</v>
      </c>
      <c r="B5800" s="1" t="s">
        <v>30</v>
      </c>
      <c r="C5800" s="1" t="s">
        <v>31</v>
      </c>
      <c r="D5800" s="1" t="str">
        <f>"9803"</f>
        <v>9803</v>
      </c>
      <c r="E5800" s="1" t="s">
        <v>32</v>
      </c>
      <c r="F5800" s="1" t="str">
        <f>"1709069061"</f>
        <v>1709069061</v>
      </c>
      <c r="G5800" s="1" t="s">
        <v>33</v>
      </c>
      <c r="H5800" s="1" t="str">
        <f t="shared" si="1132"/>
        <v>20220928</v>
      </c>
      <c r="I5800" s="1" t="str">
        <f>"152217"</f>
        <v>152217</v>
      </c>
      <c r="J5800" s="1" t="s">
        <v>46</v>
      </c>
      <c r="K5800" s="1" t="s">
        <v>28</v>
      </c>
      <c r="L5800" s="1" t="str">
        <f t="shared" si="1127"/>
        <v>20220928</v>
      </c>
      <c r="M5800" s="1" t="str">
        <f>"153234"</f>
        <v>153234</v>
      </c>
      <c r="N5800" s="1" t="s">
        <v>34</v>
      </c>
      <c r="O5800" s="1" t="s">
        <v>34</v>
      </c>
      <c r="P5800" s="1" t="s">
        <v>55</v>
      </c>
      <c r="Q5800" s="1">
        <v>25</v>
      </c>
      <c r="R5800" s="1">
        <v>25</v>
      </c>
      <c r="S5800" s="1">
        <v>0</v>
      </c>
      <c r="T5800" s="1">
        <v>0</v>
      </c>
      <c r="U5800" s="1">
        <v>0</v>
      </c>
      <c r="V5800" s="1" t="str">
        <f t="shared" ref="V5800:V5806" si="1134">"里程去程"</f>
        <v>里程去程</v>
      </c>
      <c r="W5800" s="1" t="str">
        <f>"2020"</f>
        <v>2020</v>
      </c>
      <c r="X5800" s="1" t="s">
        <v>35</v>
      </c>
    </row>
    <row r="5801" spans="1:24" x14ac:dyDescent="0.3">
      <c r="A5801" s="1" t="str">
        <f t="shared" si="1128"/>
        <v>59825</v>
      </c>
      <c r="B5801" s="1" t="s">
        <v>30</v>
      </c>
      <c r="C5801" s="1" t="s">
        <v>31</v>
      </c>
      <c r="D5801" s="1" t="str">
        <f t="shared" ref="D5801:D5806" si="1135">"9806"</f>
        <v>9806</v>
      </c>
      <c r="E5801" s="1" t="s">
        <v>49</v>
      </c>
      <c r="F5801" s="1" t="str">
        <f>"216623126"</f>
        <v>216623126</v>
      </c>
      <c r="G5801" s="1" t="s">
        <v>33</v>
      </c>
      <c r="H5801" s="1" t="str">
        <f t="shared" si="1132"/>
        <v>20220928</v>
      </c>
      <c r="I5801" s="1" t="str">
        <f>"163417"</f>
        <v>163417</v>
      </c>
      <c r="J5801" s="1" t="s">
        <v>50</v>
      </c>
      <c r="K5801" s="1" t="s">
        <v>50</v>
      </c>
      <c r="L5801" s="1" t="str">
        <f t="shared" si="1127"/>
        <v>20220928</v>
      </c>
      <c r="M5801" s="1" t="str">
        <f>"164414"</f>
        <v>164414</v>
      </c>
      <c r="N5801" s="1" t="s">
        <v>78</v>
      </c>
      <c r="O5801" s="1" t="s">
        <v>28</v>
      </c>
      <c r="P5801" s="1" t="s">
        <v>55</v>
      </c>
      <c r="Q5801" s="1">
        <v>25</v>
      </c>
      <c r="R5801" s="1">
        <v>25</v>
      </c>
      <c r="S5801" s="1">
        <v>0</v>
      </c>
      <c r="T5801" s="1">
        <v>0</v>
      </c>
      <c r="U5801" s="1">
        <v>0</v>
      </c>
      <c r="V5801" s="1" t="str">
        <f t="shared" si="1134"/>
        <v>里程去程</v>
      </c>
      <c r="W5801" s="1" t="str">
        <f>"2020"</f>
        <v>2020</v>
      </c>
      <c r="X5801" s="1" t="s">
        <v>35</v>
      </c>
    </row>
    <row r="5802" spans="1:24" x14ac:dyDescent="0.3">
      <c r="A5802" s="1" t="str">
        <f t="shared" si="1128"/>
        <v>59825</v>
      </c>
      <c r="B5802" s="1" t="s">
        <v>30</v>
      </c>
      <c r="C5802" s="1" t="s">
        <v>31</v>
      </c>
      <c r="D5802" s="1" t="str">
        <f t="shared" si="1135"/>
        <v>9806</v>
      </c>
      <c r="E5802" s="1" t="s">
        <v>49</v>
      </c>
      <c r="F5802" s="1" t="str">
        <f>"B211E70246880400C834002000000015"</f>
        <v>B211E70246880400C834002000000015</v>
      </c>
      <c r="G5802" s="1" t="s">
        <v>74</v>
      </c>
      <c r="H5802" s="1" t="str">
        <f t="shared" si="1132"/>
        <v>20220928</v>
      </c>
      <c r="I5802" s="1" t="str">
        <f>"163904"</f>
        <v>163904</v>
      </c>
      <c r="J5802" s="1" t="s">
        <v>76</v>
      </c>
      <c r="K5802" s="1" t="s">
        <v>28</v>
      </c>
      <c r="L5802" s="1" t="str">
        <f t="shared" si="1127"/>
        <v>20220928</v>
      </c>
      <c r="M5802" s="1" t="str">
        <f>"165235"</f>
        <v>165235</v>
      </c>
      <c r="N5802" s="1" t="s">
        <v>84</v>
      </c>
      <c r="O5802" s="1" t="s">
        <v>28</v>
      </c>
      <c r="P5802" s="1" t="s">
        <v>68</v>
      </c>
      <c r="Q5802" s="1">
        <v>13</v>
      </c>
      <c r="R5802" s="1">
        <v>0</v>
      </c>
      <c r="S5802" s="1">
        <v>0</v>
      </c>
      <c r="T5802" s="1">
        <v>13</v>
      </c>
      <c r="U5802" s="1">
        <v>0</v>
      </c>
      <c r="V5802" s="1" t="str">
        <f t="shared" si="1134"/>
        <v>里程去程</v>
      </c>
      <c r="W5802" s="1" t="str">
        <f>"0020"</f>
        <v>0020</v>
      </c>
      <c r="X5802" s="1" t="s">
        <v>29</v>
      </c>
    </row>
    <row r="5803" spans="1:24" x14ac:dyDescent="0.3">
      <c r="A5803" s="1" t="str">
        <f t="shared" si="1128"/>
        <v>59825</v>
      </c>
      <c r="B5803" s="1" t="s">
        <v>30</v>
      </c>
      <c r="C5803" s="1" t="s">
        <v>31</v>
      </c>
      <c r="D5803" s="1" t="str">
        <f t="shared" si="1135"/>
        <v>9806</v>
      </c>
      <c r="E5803" s="1" t="s">
        <v>49</v>
      </c>
      <c r="F5803" s="1" t="str">
        <f>"538267473"</f>
        <v>538267473</v>
      </c>
      <c r="G5803" s="1" t="s">
        <v>33</v>
      </c>
      <c r="H5803" s="1" t="str">
        <f t="shared" si="1132"/>
        <v>20220928</v>
      </c>
      <c r="I5803" s="1" t="str">
        <f>"163907"</f>
        <v>163907</v>
      </c>
      <c r="J5803" s="1" t="s">
        <v>76</v>
      </c>
      <c r="K5803" s="1" t="s">
        <v>28</v>
      </c>
      <c r="L5803" s="1" t="str">
        <f t="shared" si="1127"/>
        <v>20220928</v>
      </c>
      <c r="M5803" s="1" t="str">
        <f>"165609"</f>
        <v>165609</v>
      </c>
      <c r="N5803" s="1" t="s">
        <v>28</v>
      </c>
      <c r="O5803" s="1" t="s">
        <v>28</v>
      </c>
      <c r="P5803" s="1" t="s">
        <v>55</v>
      </c>
      <c r="Q5803" s="1">
        <v>25</v>
      </c>
      <c r="R5803" s="1">
        <v>25</v>
      </c>
      <c r="S5803" s="1">
        <v>0</v>
      </c>
      <c r="T5803" s="1">
        <v>0</v>
      </c>
      <c r="U5803" s="1">
        <v>0</v>
      </c>
      <c r="V5803" s="1" t="str">
        <f t="shared" si="1134"/>
        <v>里程去程</v>
      </c>
      <c r="W5803" s="1" t="str">
        <f>"2020"</f>
        <v>2020</v>
      </c>
      <c r="X5803" s="1" t="s">
        <v>35</v>
      </c>
    </row>
    <row r="5804" spans="1:24" x14ac:dyDescent="0.3">
      <c r="A5804" s="1" t="str">
        <f t="shared" si="1128"/>
        <v>59825</v>
      </c>
      <c r="B5804" s="1" t="s">
        <v>30</v>
      </c>
      <c r="C5804" s="1" t="s">
        <v>31</v>
      </c>
      <c r="D5804" s="1" t="str">
        <f t="shared" si="1135"/>
        <v>9806</v>
      </c>
      <c r="E5804" s="1" t="s">
        <v>49</v>
      </c>
      <c r="F5804" s="1" t="str">
        <f>"1202E702F5880400C834002000000015"</f>
        <v>1202E702F5880400C834002000000015</v>
      </c>
      <c r="G5804" s="1" t="s">
        <v>74</v>
      </c>
      <c r="H5804" s="1" t="str">
        <f t="shared" si="1132"/>
        <v>20220928</v>
      </c>
      <c r="I5804" s="1" t="str">
        <f>"163915"</f>
        <v>163915</v>
      </c>
      <c r="J5804" s="1" t="s">
        <v>76</v>
      </c>
      <c r="K5804" s="1" t="s">
        <v>28</v>
      </c>
      <c r="L5804" s="1" t="str">
        <f t="shared" si="1127"/>
        <v>20220928</v>
      </c>
      <c r="M5804" s="1" t="str">
        <f>"165238"</f>
        <v>165238</v>
      </c>
      <c r="N5804" s="1" t="s">
        <v>84</v>
      </c>
      <c r="O5804" s="1" t="s">
        <v>28</v>
      </c>
      <c r="P5804" s="1" t="s">
        <v>68</v>
      </c>
      <c r="Q5804" s="1">
        <v>13</v>
      </c>
      <c r="R5804" s="1">
        <v>0</v>
      </c>
      <c r="S5804" s="1">
        <v>0</v>
      </c>
      <c r="T5804" s="1">
        <v>13</v>
      </c>
      <c r="U5804" s="1">
        <v>0</v>
      </c>
      <c r="V5804" s="1" t="str">
        <f t="shared" si="1134"/>
        <v>里程去程</v>
      </c>
      <c r="W5804" s="1" t="str">
        <f>"0020"</f>
        <v>0020</v>
      </c>
      <c r="X5804" s="1" t="s">
        <v>29</v>
      </c>
    </row>
    <row r="5805" spans="1:24" x14ac:dyDescent="0.3">
      <c r="A5805" s="1" t="str">
        <f t="shared" si="1128"/>
        <v>59825</v>
      </c>
      <c r="B5805" s="1" t="s">
        <v>30</v>
      </c>
      <c r="C5805" s="1" t="s">
        <v>31</v>
      </c>
      <c r="D5805" s="1" t="str">
        <f t="shared" si="1135"/>
        <v>9806</v>
      </c>
      <c r="E5805" s="1" t="s">
        <v>49</v>
      </c>
      <c r="F5805" s="1" t="str">
        <f>"1695105317"</f>
        <v>1695105317</v>
      </c>
      <c r="G5805" s="1" t="s">
        <v>33</v>
      </c>
      <c r="H5805" s="1" t="str">
        <f t="shared" si="1132"/>
        <v>20220928</v>
      </c>
      <c r="I5805" s="1" t="str">
        <f>"163922"</f>
        <v>163922</v>
      </c>
      <c r="J5805" s="1" t="s">
        <v>76</v>
      </c>
      <c r="K5805" s="1" t="s">
        <v>28</v>
      </c>
      <c r="L5805" s="1" t="str">
        <f t="shared" ref="L5805:L5836" si="1136">"20220928"</f>
        <v>20220928</v>
      </c>
      <c r="M5805" s="1" t="str">
        <f>"165611"</f>
        <v>165611</v>
      </c>
      <c r="N5805" s="1" t="s">
        <v>28</v>
      </c>
      <c r="O5805" s="1" t="s">
        <v>28</v>
      </c>
      <c r="P5805" s="1" t="s">
        <v>55</v>
      </c>
      <c r="Q5805" s="1">
        <v>25</v>
      </c>
      <c r="R5805" s="1">
        <v>25</v>
      </c>
      <c r="S5805" s="1">
        <v>0</v>
      </c>
      <c r="T5805" s="1">
        <v>0</v>
      </c>
      <c r="U5805" s="1">
        <v>0</v>
      </c>
      <c r="V5805" s="1" t="str">
        <f t="shared" si="1134"/>
        <v>里程去程</v>
      </c>
      <c r="W5805" s="1" t="str">
        <f>"2020"</f>
        <v>2020</v>
      </c>
      <c r="X5805" s="1" t="s">
        <v>35</v>
      </c>
    </row>
    <row r="5806" spans="1:24" x14ac:dyDescent="0.3">
      <c r="A5806" s="1" t="str">
        <f t="shared" si="1128"/>
        <v>59825</v>
      </c>
      <c r="B5806" s="1" t="s">
        <v>30</v>
      </c>
      <c r="C5806" s="1" t="s">
        <v>31</v>
      </c>
      <c r="D5806" s="1" t="str">
        <f t="shared" si="1135"/>
        <v>9806</v>
      </c>
      <c r="E5806" s="1" t="s">
        <v>49</v>
      </c>
      <c r="F5806" s="1" t="str">
        <f>"F238370AF7880400C810002000000016"</f>
        <v>F238370AF7880400C810002000000016</v>
      </c>
      <c r="G5806" s="1" t="s">
        <v>59</v>
      </c>
      <c r="H5806" s="1" t="str">
        <f t="shared" si="1132"/>
        <v>20220928</v>
      </c>
      <c r="I5806" s="1" t="str">
        <f>"164755"</f>
        <v>164755</v>
      </c>
      <c r="J5806" s="1" t="s">
        <v>98</v>
      </c>
      <c r="K5806" s="1" t="s">
        <v>28</v>
      </c>
      <c r="L5806" s="1" t="str">
        <f t="shared" si="1136"/>
        <v>20220928</v>
      </c>
      <c r="M5806" s="1" t="str">
        <f>"165615"</f>
        <v>165615</v>
      </c>
      <c r="N5806" s="1" t="s">
        <v>28</v>
      </c>
      <c r="O5806" s="1" t="s">
        <v>28</v>
      </c>
      <c r="P5806" s="1" t="s">
        <v>55</v>
      </c>
      <c r="Q5806" s="1">
        <v>25</v>
      </c>
      <c r="R5806" s="1">
        <v>25</v>
      </c>
      <c r="S5806" s="1">
        <v>0</v>
      </c>
      <c r="T5806" s="1">
        <v>0</v>
      </c>
      <c r="U5806" s="1">
        <v>0</v>
      </c>
      <c r="V5806" s="1" t="str">
        <f t="shared" si="1134"/>
        <v>里程去程</v>
      </c>
      <c r="W5806" s="1" t="str">
        <f>"0020"</f>
        <v>0020</v>
      </c>
      <c r="X5806" s="1" t="s">
        <v>29</v>
      </c>
    </row>
    <row r="5807" spans="1:24" x14ac:dyDescent="0.3">
      <c r="A5807" s="1" t="str">
        <f t="shared" si="1128"/>
        <v>59825</v>
      </c>
      <c r="B5807" s="1" t="s">
        <v>30</v>
      </c>
      <c r="C5807" s="1" t="s">
        <v>31</v>
      </c>
      <c r="D5807" s="1" t="str">
        <f t="shared" ref="D5807:D5834" si="1137">"9801"</f>
        <v>9801</v>
      </c>
      <c r="E5807" s="1" t="s">
        <v>25</v>
      </c>
      <c r="F5807" s="1" t="str">
        <f>"A239F5056B880400C838002000000015"</f>
        <v>A239F5056B880400C838002000000015</v>
      </c>
      <c r="G5807" s="1" t="s">
        <v>26</v>
      </c>
      <c r="H5807" s="1" t="str">
        <f t="shared" si="1132"/>
        <v>20220928</v>
      </c>
      <c r="I5807" s="1" t="str">
        <f>"192202"</f>
        <v>192202</v>
      </c>
      <c r="J5807" s="1" t="s">
        <v>28</v>
      </c>
      <c r="K5807" s="1" t="s">
        <v>28</v>
      </c>
      <c r="L5807" s="1" t="str">
        <f t="shared" si="1136"/>
        <v>20220928</v>
      </c>
      <c r="M5807" s="1" t="str">
        <f>"193506"</f>
        <v>193506</v>
      </c>
      <c r="N5807" s="1" t="s">
        <v>67</v>
      </c>
      <c r="O5807" s="1" t="s">
        <v>52</v>
      </c>
      <c r="P5807" s="1" t="s">
        <v>68</v>
      </c>
      <c r="Q5807" s="1">
        <v>13</v>
      </c>
      <c r="R5807" s="1">
        <v>0</v>
      </c>
      <c r="S5807" s="1">
        <v>0</v>
      </c>
      <c r="T5807" s="1">
        <v>13</v>
      </c>
      <c r="U5807" s="1">
        <v>0</v>
      </c>
      <c r="V5807" s="1" t="str">
        <f t="shared" ref="V5807:V5818" si="1138">"里程返程"</f>
        <v>里程返程</v>
      </c>
      <c r="W5807" s="1" t="str">
        <f>"0020"</f>
        <v>0020</v>
      </c>
      <c r="X5807" s="1" t="s">
        <v>29</v>
      </c>
    </row>
    <row r="5808" spans="1:24" x14ac:dyDescent="0.3">
      <c r="A5808" s="1" t="str">
        <f t="shared" ref="A5808:A5834" si="1139">"59828"</f>
        <v>59828</v>
      </c>
      <c r="B5808" s="1" t="s">
        <v>23</v>
      </c>
      <c r="C5808" s="1" t="s">
        <v>24</v>
      </c>
      <c r="D5808" s="1" t="str">
        <f t="shared" si="1137"/>
        <v>9801</v>
      </c>
      <c r="E5808" s="1" t="s">
        <v>25</v>
      </c>
      <c r="F5808" s="1" t="str">
        <f>"619F1761882804001C00000000000000"</f>
        <v>619F1761882804001C00000000000000</v>
      </c>
      <c r="G5808" s="1" t="s">
        <v>58</v>
      </c>
      <c r="H5808" s="1" t="str">
        <f t="shared" si="1132"/>
        <v>20220928</v>
      </c>
      <c r="I5808" s="1" t="str">
        <f>"063401"</f>
        <v>063401</v>
      </c>
      <c r="J5808" s="1" t="s">
        <v>28</v>
      </c>
      <c r="K5808" s="1" t="s">
        <v>28</v>
      </c>
      <c r="L5808" s="1" t="str">
        <f t="shared" si="1136"/>
        <v>20220928</v>
      </c>
      <c r="M5808" s="1" t="str">
        <f>"065125"</f>
        <v>065125</v>
      </c>
      <c r="N5808" s="1" t="s">
        <v>72</v>
      </c>
      <c r="O5808" s="1" t="s">
        <v>52</v>
      </c>
      <c r="P5808" s="1" t="s">
        <v>55</v>
      </c>
      <c r="Q5808" s="1">
        <v>25</v>
      </c>
      <c r="R5808" s="1">
        <v>0</v>
      </c>
      <c r="S5808" s="1">
        <v>25</v>
      </c>
      <c r="T5808" s="1">
        <v>0</v>
      </c>
      <c r="U5808" s="1">
        <v>0</v>
      </c>
      <c r="V5808" s="1" t="str">
        <f t="shared" si="1138"/>
        <v>里程返程</v>
      </c>
      <c r="W5808" s="1" t="str">
        <f>"0620"</f>
        <v>0620</v>
      </c>
      <c r="X5808" s="1" t="s">
        <v>29</v>
      </c>
    </row>
    <row r="5809" spans="1:24" x14ac:dyDescent="0.3">
      <c r="A5809" s="1" t="str">
        <f t="shared" si="1139"/>
        <v>59828</v>
      </c>
      <c r="B5809" s="1" t="s">
        <v>23</v>
      </c>
      <c r="C5809" s="1" t="s">
        <v>24</v>
      </c>
      <c r="D5809" s="1" t="str">
        <f t="shared" si="1137"/>
        <v>9801</v>
      </c>
      <c r="E5809" s="1" t="s">
        <v>25</v>
      </c>
      <c r="F5809" s="1" t="str">
        <f>"026A101860880400C814002000000019"</f>
        <v>026A101860880400C814002000000019</v>
      </c>
      <c r="G5809" s="1" t="s">
        <v>59</v>
      </c>
      <c r="H5809" s="1" t="str">
        <f t="shared" si="1132"/>
        <v>20220928</v>
      </c>
      <c r="I5809" s="1" t="str">
        <f>"063418"</f>
        <v>063418</v>
      </c>
      <c r="J5809" s="1" t="s">
        <v>28</v>
      </c>
      <c r="K5809" s="1" t="s">
        <v>28</v>
      </c>
      <c r="L5809" s="1" t="str">
        <f t="shared" si="1136"/>
        <v>20220928</v>
      </c>
      <c r="M5809" s="1" t="str">
        <f>"065224"</f>
        <v>065224</v>
      </c>
      <c r="N5809" s="1" t="s">
        <v>71</v>
      </c>
      <c r="O5809" s="1" t="s">
        <v>52</v>
      </c>
      <c r="P5809" s="1" t="s">
        <v>55</v>
      </c>
      <c r="Q5809" s="1">
        <v>25</v>
      </c>
      <c r="R5809" s="1">
        <v>0</v>
      </c>
      <c r="S5809" s="1">
        <v>25</v>
      </c>
      <c r="T5809" s="1">
        <v>0</v>
      </c>
      <c r="U5809" s="1">
        <v>0</v>
      </c>
      <c r="V5809" s="1" t="str">
        <f t="shared" si="1138"/>
        <v>里程返程</v>
      </c>
      <c r="W5809" s="1" t="str">
        <f>"0620"</f>
        <v>0620</v>
      </c>
      <c r="X5809" s="1" t="s">
        <v>29</v>
      </c>
    </row>
    <row r="5810" spans="1:24" x14ac:dyDescent="0.3">
      <c r="A5810" s="1" t="str">
        <f t="shared" si="1139"/>
        <v>59828</v>
      </c>
      <c r="B5810" s="1" t="s">
        <v>23</v>
      </c>
      <c r="C5810" s="1" t="s">
        <v>24</v>
      </c>
      <c r="D5810" s="1" t="str">
        <f t="shared" si="1137"/>
        <v>9801</v>
      </c>
      <c r="E5810" s="1" t="s">
        <v>25</v>
      </c>
      <c r="F5810" s="1" t="str">
        <f>"1107493349"</f>
        <v>1107493349</v>
      </c>
      <c r="G5810" s="1" t="s">
        <v>38</v>
      </c>
      <c r="H5810" s="1" t="str">
        <f t="shared" si="1132"/>
        <v>20220928</v>
      </c>
      <c r="I5810" s="1" t="str">
        <f>"071135"</f>
        <v>071135</v>
      </c>
      <c r="J5810" s="1" t="s">
        <v>79</v>
      </c>
      <c r="K5810" s="1" t="s">
        <v>45</v>
      </c>
      <c r="L5810" s="1" t="str">
        <f t="shared" si="1136"/>
        <v>20220928</v>
      </c>
      <c r="M5810" s="1" t="str">
        <f>"071906"</f>
        <v>071906</v>
      </c>
      <c r="N5810" s="1" t="s">
        <v>28</v>
      </c>
      <c r="O5810" s="1" t="s">
        <v>28</v>
      </c>
      <c r="P5810" s="1" t="s">
        <v>55</v>
      </c>
      <c r="Q5810" s="1">
        <v>25</v>
      </c>
      <c r="R5810" s="1">
        <v>25</v>
      </c>
      <c r="S5810" s="1">
        <v>0</v>
      </c>
      <c r="T5810" s="1">
        <v>0</v>
      </c>
      <c r="U5810" s="1">
        <v>0</v>
      </c>
      <c r="V5810" s="1" t="str">
        <f t="shared" si="1138"/>
        <v>里程返程</v>
      </c>
      <c r="W5810" s="1" t="str">
        <f>"2020"</f>
        <v>2020</v>
      </c>
      <c r="X5810" s="1" t="s">
        <v>35</v>
      </c>
    </row>
    <row r="5811" spans="1:24" x14ac:dyDescent="0.3">
      <c r="A5811" s="1" t="str">
        <f t="shared" si="1139"/>
        <v>59828</v>
      </c>
      <c r="B5811" s="1" t="s">
        <v>23</v>
      </c>
      <c r="C5811" s="1" t="s">
        <v>24</v>
      </c>
      <c r="D5811" s="1" t="str">
        <f t="shared" si="1137"/>
        <v>9801</v>
      </c>
      <c r="E5811" s="1" t="s">
        <v>25</v>
      </c>
      <c r="F5811" s="1" t="str">
        <f>"F282E40195880400C821002000000015"</f>
        <v>F282E40195880400C821002000000015</v>
      </c>
      <c r="G5811" s="1" t="s">
        <v>58</v>
      </c>
      <c r="H5811" s="1" t="str">
        <f t="shared" si="1132"/>
        <v>20220928</v>
      </c>
      <c r="I5811" s="1" t="str">
        <f>"071916"</f>
        <v>071916</v>
      </c>
      <c r="J5811" s="1" t="s">
        <v>28</v>
      </c>
      <c r="K5811" s="1" t="s">
        <v>28</v>
      </c>
      <c r="L5811" s="1" t="str">
        <f t="shared" si="1136"/>
        <v>20220928</v>
      </c>
      <c r="M5811" s="1" t="str">
        <f>"074753"</f>
        <v>074753</v>
      </c>
      <c r="N5811" s="1" t="s">
        <v>65</v>
      </c>
      <c r="O5811" s="1" t="s">
        <v>52</v>
      </c>
      <c r="P5811" s="1" t="s">
        <v>55</v>
      </c>
      <c r="Q5811" s="1">
        <v>25</v>
      </c>
      <c r="R5811" s="1">
        <v>0</v>
      </c>
      <c r="S5811" s="1">
        <v>25</v>
      </c>
      <c r="T5811" s="1">
        <v>0</v>
      </c>
      <c r="U5811" s="1">
        <v>0</v>
      </c>
      <c r="V5811" s="1" t="str">
        <f t="shared" si="1138"/>
        <v>里程返程</v>
      </c>
      <c r="W5811" s="1" t="str">
        <f>"0620"</f>
        <v>0620</v>
      </c>
      <c r="X5811" s="1" t="s">
        <v>29</v>
      </c>
    </row>
    <row r="5812" spans="1:24" x14ac:dyDescent="0.3">
      <c r="A5812" s="1" t="str">
        <f t="shared" si="1139"/>
        <v>59828</v>
      </c>
      <c r="B5812" s="1" t="s">
        <v>23</v>
      </c>
      <c r="C5812" s="1" t="s">
        <v>24</v>
      </c>
      <c r="D5812" s="1" t="str">
        <f t="shared" si="1137"/>
        <v>9801</v>
      </c>
      <c r="E5812" s="1" t="s">
        <v>25</v>
      </c>
      <c r="F5812" s="1" t="str">
        <f>"62F00B1881880400C814002000000019"</f>
        <v>62F00B1881880400C814002000000019</v>
      </c>
      <c r="G5812" s="1" t="s">
        <v>59</v>
      </c>
      <c r="H5812" s="1" t="str">
        <f t="shared" si="1132"/>
        <v>20220928</v>
      </c>
      <c r="I5812" s="1" t="str">
        <f>"071921"</f>
        <v>071921</v>
      </c>
      <c r="J5812" s="1" t="s">
        <v>28</v>
      </c>
      <c r="K5812" s="1" t="s">
        <v>28</v>
      </c>
      <c r="L5812" s="1" t="str">
        <f t="shared" si="1136"/>
        <v>20220928</v>
      </c>
      <c r="M5812" s="1" t="str">
        <f>"075121"</f>
        <v>075121</v>
      </c>
      <c r="N5812" s="1" t="s">
        <v>71</v>
      </c>
      <c r="O5812" s="1" t="s">
        <v>52</v>
      </c>
      <c r="P5812" s="1" t="s">
        <v>55</v>
      </c>
      <c r="Q5812" s="1">
        <v>25</v>
      </c>
      <c r="R5812" s="1">
        <v>0</v>
      </c>
      <c r="S5812" s="1">
        <v>25</v>
      </c>
      <c r="T5812" s="1">
        <v>0</v>
      </c>
      <c r="U5812" s="1">
        <v>0</v>
      </c>
      <c r="V5812" s="1" t="str">
        <f t="shared" si="1138"/>
        <v>里程返程</v>
      </c>
      <c r="W5812" s="1" t="str">
        <f>"0620"</f>
        <v>0620</v>
      </c>
      <c r="X5812" s="1" t="s">
        <v>29</v>
      </c>
    </row>
    <row r="5813" spans="1:24" x14ac:dyDescent="0.3">
      <c r="A5813" s="1" t="str">
        <f t="shared" si="1139"/>
        <v>59828</v>
      </c>
      <c r="B5813" s="1" t="s">
        <v>23</v>
      </c>
      <c r="C5813" s="1" t="s">
        <v>24</v>
      </c>
      <c r="D5813" s="1" t="str">
        <f t="shared" si="1137"/>
        <v>9801</v>
      </c>
      <c r="E5813" s="1" t="s">
        <v>25</v>
      </c>
      <c r="F5813" s="1" t="str">
        <f>"825D0C18CB880400C814002000000019"</f>
        <v>825D0C18CB880400C814002000000019</v>
      </c>
      <c r="G5813" s="1" t="s">
        <v>59</v>
      </c>
      <c r="H5813" s="1" t="str">
        <f t="shared" si="1132"/>
        <v>20220928</v>
      </c>
      <c r="I5813" s="1" t="str">
        <f>"071924"</f>
        <v>071924</v>
      </c>
      <c r="J5813" s="1" t="s">
        <v>28</v>
      </c>
      <c r="K5813" s="1" t="s">
        <v>28</v>
      </c>
      <c r="L5813" s="1" t="str">
        <f t="shared" si="1136"/>
        <v>20220928</v>
      </c>
      <c r="M5813" s="1" t="str">
        <f>"080045"</f>
        <v>080045</v>
      </c>
      <c r="N5813" s="1" t="s">
        <v>52</v>
      </c>
      <c r="O5813" s="1" t="s">
        <v>52</v>
      </c>
      <c r="P5813" s="1" t="s">
        <v>55</v>
      </c>
      <c r="Q5813" s="1">
        <v>25</v>
      </c>
      <c r="R5813" s="1">
        <v>0</v>
      </c>
      <c r="S5813" s="1">
        <v>25</v>
      </c>
      <c r="T5813" s="1">
        <v>0</v>
      </c>
      <c r="U5813" s="1">
        <v>0</v>
      </c>
      <c r="V5813" s="1" t="str">
        <f t="shared" si="1138"/>
        <v>里程返程</v>
      </c>
      <c r="W5813" s="1" t="str">
        <f>"0620"</f>
        <v>0620</v>
      </c>
      <c r="X5813" s="1" t="s">
        <v>29</v>
      </c>
    </row>
    <row r="5814" spans="1:24" x14ac:dyDescent="0.3">
      <c r="A5814" s="1" t="str">
        <f t="shared" si="1139"/>
        <v>59828</v>
      </c>
      <c r="B5814" s="1" t="s">
        <v>23</v>
      </c>
      <c r="C5814" s="1" t="s">
        <v>24</v>
      </c>
      <c r="D5814" s="1" t="str">
        <f t="shared" si="1137"/>
        <v>9801</v>
      </c>
      <c r="E5814" s="1" t="s">
        <v>25</v>
      </c>
      <c r="F5814" s="1" t="str">
        <f>"72E04602D6880400C821002000000015"</f>
        <v>72E04602D6880400C821002000000015</v>
      </c>
      <c r="G5814" s="1" t="s">
        <v>26</v>
      </c>
      <c r="H5814" s="1" t="str">
        <f t="shared" si="1132"/>
        <v>20220928</v>
      </c>
      <c r="I5814" s="1" t="str">
        <f>"071932"</f>
        <v>071932</v>
      </c>
      <c r="J5814" s="1" t="s">
        <v>28</v>
      </c>
      <c r="K5814" s="1" t="s">
        <v>28</v>
      </c>
      <c r="L5814" s="1" t="str">
        <f t="shared" si="1136"/>
        <v>20220928</v>
      </c>
      <c r="M5814" s="1" t="str">
        <f>"074750"</f>
        <v>074750</v>
      </c>
      <c r="N5814" s="1" t="s">
        <v>65</v>
      </c>
      <c r="O5814" s="1" t="s">
        <v>52</v>
      </c>
      <c r="P5814" s="1" t="s">
        <v>68</v>
      </c>
      <c r="Q5814" s="1">
        <v>13</v>
      </c>
      <c r="R5814" s="1">
        <v>0</v>
      </c>
      <c r="S5814" s="1">
        <v>0</v>
      </c>
      <c r="T5814" s="1">
        <v>13</v>
      </c>
      <c r="U5814" s="1">
        <v>0</v>
      </c>
      <c r="V5814" s="1" t="str">
        <f t="shared" si="1138"/>
        <v>里程返程</v>
      </c>
      <c r="W5814" s="1" t="str">
        <f>"0020"</f>
        <v>0020</v>
      </c>
      <c r="X5814" s="1" t="s">
        <v>29</v>
      </c>
    </row>
    <row r="5815" spans="1:24" x14ac:dyDescent="0.3">
      <c r="A5815" s="1" t="str">
        <f t="shared" si="1139"/>
        <v>59828</v>
      </c>
      <c r="B5815" s="1" t="s">
        <v>23</v>
      </c>
      <c r="C5815" s="1" t="s">
        <v>24</v>
      </c>
      <c r="D5815" s="1" t="str">
        <f t="shared" si="1137"/>
        <v>9801</v>
      </c>
      <c r="E5815" s="1" t="s">
        <v>25</v>
      </c>
      <c r="F5815" s="1" t="str">
        <f>"E2FD4F134328040080CED99861013018"</f>
        <v>E2FD4F134328040080CED99861013018</v>
      </c>
      <c r="G5815" s="1" t="s">
        <v>58</v>
      </c>
      <c r="H5815" s="1" t="str">
        <f t="shared" si="1132"/>
        <v>20220928</v>
      </c>
      <c r="I5815" s="1" t="str">
        <f>"071935"</f>
        <v>071935</v>
      </c>
      <c r="J5815" s="1" t="s">
        <v>28</v>
      </c>
      <c r="K5815" s="1" t="s">
        <v>28</v>
      </c>
      <c r="L5815" s="1" t="str">
        <f t="shared" si="1136"/>
        <v>20220928</v>
      </c>
      <c r="M5815" s="1" t="str">
        <f>"074746"</f>
        <v>074746</v>
      </c>
      <c r="N5815" s="1" t="s">
        <v>65</v>
      </c>
      <c r="O5815" s="1" t="s">
        <v>52</v>
      </c>
      <c r="P5815" s="1" t="s">
        <v>55</v>
      </c>
      <c r="Q5815" s="1">
        <v>25</v>
      </c>
      <c r="R5815" s="1">
        <v>25</v>
      </c>
      <c r="S5815" s="1">
        <v>0</v>
      </c>
      <c r="T5815" s="1">
        <v>0</v>
      </c>
      <c r="U5815" s="1">
        <v>0</v>
      </c>
      <c r="V5815" s="1" t="str">
        <f t="shared" si="1138"/>
        <v>里程返程</v>
      </c>
      <c r="W5815" s="1" t="str">
        <f>"0020"</f>
        <v>0020</v>
      </c>
      <c r="X5815" s="1" t="s">
        <v>29</v>
      </c>
    </row>
    <row r="5816" spans="1:24" x14ac:dyDescent="0.3">
      <c r="A5816" s="1" t="str">
        <f t="shared" si="1139"/>
        <v>59828</v>
      </c>
      <c r="B5816" s="1" t="s">
        <v>23</v>
      </c>
      <c r="C5816" s="1" t="s">
        <v>24</v>
      </c>
      <c r="D5816" s="1" t="str">
        <f t="shared" si="1137"/>
        <v>9801</v>
      </c>
      <c r="E5816" s="1" t="s">
        <v>25</v>
      </c>
      <c r="F5816" s="1" t="str">
        <f>"1204061808880400C814002000000019"</f>
        <v>1204061808880400C814002000000019</v>
      </c>
      <c r="G5816" s="1" t="s">
        <v>59</v>
      </c>
      <c r="H5816" s="1" t="str">
        <f t="shared" si="1132"/>
        <v>20220928</v>
      </c>
      <c r="I5816" s="1" t="str">
        <f>"072115"</f>
        <v>072115</v>
      </c>
      <c r="J5816" s="1" t="s">
        <v>28</v>
      </c>
      <c r="K5816" s="1" t="s">
        <v>28</v>
      </c>
      <c r="L5816" s="1" t="str">
        <f t="shared" si="1136"/>
        <v>20220928</v>
      </c>
      <c r="M5816" s="1" t="str">
        <f>"075123"</f>
        <v>075123</v>
      </c>
      <c r="N5816" s="1" t="s">
        <v>71</v>
      </c>
      <c r="O5816" s="1" t="s">
        <v>52</v>
      </c>
      <c r="P5816" s="1" t="s">
        <v>55</v>
      </c>
      <c r="Q5816" s="1">
        <v>25</v>
      </c>
      <c r="R5816" s="1">
        <v>0</v>
      </c>
      <c r="S5816" s="1">
        <v>25</v>
      </c>
      <c r="T5816" s="1">
        <v>0</v>
      </c>
      <c r="U5816" s="1">
        <v>0</v>
      </c>
      <c r="V5816" s="1" t="str">
        <f t="shared" si="1138"/>
        <v>里程返程</v>
      </c>
      <c r="W5816" s="1" t="str">
        <f>"0620"</f>
        <v>0620</v>
      </c>
      <c r="X5816" s="1" t="s">
        <v>29</v>
      </c>
    </row>
    <row r="5817" spans="1:24" x14ac:dyDescent="0.3">
      <c r="A5817" s="1" t="str">
        <f t="shared" si="1139"/>
        <v>59828</v>
      </c>
      <c r="B5817" s="1" t="s">
        <v>23</v>
      </c>
      <c r="C5817" s="1" t="s">
        <v>24</v>
      </c>
      <c r="D5817" s="1" t="str">
        <f t="shared" si="1137"/>
        <v>9801</v>
      </c>
      <c r="E5817" s="1" t="s">
        <v>25</v>
      </c>
      <c r="F5817" s="1" t="str">
        <f>"42F7E50252880400C834002000000015"</f>
        <v>42F7E50252880400C834002000000015</v>
      </c>
      <c r="G5817" s="1" t="s">
        <v>26</v>
      </c>
      <c r="H5817" s="1" t="str">
        <f t="shared" si="1132"/>
        <v>20220928</v>
      </c>
      <c r="I5817" s="1" t="str">
        <f>"072322"</f>
        <v>072322</v>
      </c>
      <c r="J5817" s="1" t="s">
        <v>28</v>
      </c>
      <c r="K5817" s="1" t="s">
        <v>28</v>
      </c>
      <c r="L5817" s="1" t="str">
        <f t="shared" si="1136"/>
        <v>20220928</v>
      </c>
      <c r="M5817" s="1" t="str">
        <f>"080037"</f>
        <v>080037</v>
      </c>
      <c r="N5817" s="1" t="s">
        <v>52</v>
      </c>
      <c r="O5817" s="1" t="s">
        <v>52</v>
      </c>
      <c r="P5817" s="1" t="s">
        <v>68</v>
      </c>
      <c r="Q5817" s="1">
        <v>13</v>
      </c>
      <c r="R5817" s="1">
        <v>0</v>
      </c>
      <c r="S5817" s="1">
        <v>0</v>
      </c>
      <c r="T5817" s="1">
        <v>13</v>
      </c>
      <c r="U5817" s="1">
        <v>0</v>
      </c>
      <c r="V5817" s="1" t="str">
        <f t="shared" si="1138"/>
        <v>里程返程</v>
      </c>
      <c r="W5817" s="1" t="str">
        <f>"0020"</f>
        <v>0020</v>
      </c>
      <c r="X5817" s="1" t="s">
        <v>29</v>
      </c>
    </row>
    <row r="5818" spans="1:24" x14ac:dyDescent="0.3">
      <c r="A5818" s="1" t="str">
        <f t="shared" si="1139"/>
        <v>59828</v>
      </c>
      <c r="B5818" s="1" t="s">
        <v>23</v>
      </c>
      <c r="C5818" s="1" t="s">
        <v>24</v>
      </c>
      <c r="D5818" s="1" t="str">
        <f t="shared" si="1137"/>
        <v>9801</v>
      </c>
      <c r="E5818" s="1" t="s">
        <v>25</v>
      </c>
      <c r="F5818" s="1" t="str">
        <f>"1759959808"</f>
        <v>1759959808</v>
      </c>
      <c r="G5818" s="1" t="s">
        <v>33</v>
      </c>
      <c r="H5818" s="1" t="str">
        <f t="shared" ref="H5818:H5849" si="1140">"20220928"</f>
        <v>20220928</v>
      </c>
      <c r="I5818" s="1" t="str">
        <f>"074341"</f>
        <v>074341</v>
      </c>
      <c r="J5818" s="1" t="s">
        <v>80</v>
      </c>
      <c r="K5818" s="1" t="s">
        <v>52</v>
      </c>
      <c r="L5818" s="1" t="str">
        <f t="shared" si="1136"/>
        <v>20220928</v>
      </c>
      <c r="M5818" s="1" t="str">
        <f>"075553"</f>
        <v>075553</v>
      </c>
      <c r="N5818" s="1" t="s">
        <v>60</v>
      </c>
      <c r="O5818" s="1" t="s">
        <v>52</v>
      </c>
      <c r="P5818" s="1" t="s">
        <v>55</v>
      </c>
      <c r="Q5818" s="1">
        <v>25</v>
      </c>
      <c r="R5818" s="1">
        <v>25</v>
      </c>
      <c r="S5818" s="1">
        <v>0</v>
      </c>
      <c r="T5818" s="1">
        <v>0</v>
      </c>
      <c r="U5818" s="1">
        <v>0</v>
      </c>
      <c r="V5818" s="1" t="str">
        <f t="shared" si="1138"/>
        <v>里程返程</v>
      </c>
      <c r="W5818" s="1" t="str">
        <f>"2020"</f>
        <v>2020</v>
      </c>
      <c r="X5818" s="1" t="s">
        <v>35</v>
      </c>
    </row>
    <row r="5819" spans="1:24" x14ac:dyDescent="0.3">
      <c r="A5819" s="1" t="str">
        <f t="shared" si="1139"/>
        <v>59828</v>
      </c>
      <c r="B5819" s="1" t="s">
        <v>23</v>
      </c>
      <c r="C5819" s="1" t="s">
        <v>24</v>
      </c>
      <c r="D5819" s="1" t="str">
        <f t="shared" si="1137"/>
        <v>9801</v>
      </c>
      <c r="E5819" s="1" t="s">
        <v>25</v>
      </c>
      <c r="F5819" s="1" t="str">
        <f>"A239F5056B880400C838002000000015"</f>
        <v>A239F5056B880400C838002000000015</v>
      </c>
      <c r="G5819" s="1" t="s">
        <v>26</v>
      </c>
      <c r="H5819" s="1" t="str">
        <f t="shared" si="1140"/>
        <v>20220928</v>
      </c>
      <c r="I5819" s="1" t="str">
        <f>"092453"</f>
        <v>092453</v>
      </c>
      <c r="J5819" s="1" t="s">
        <v>67</v>
      </c>
      <c r="K5819" s="1" t="s">
        <v>52</v>
      </c>
      <c r="L5819" s="1" t="str">
        <f t="shared" si="1136"/>
        <v>20220928</v>
      </c>
      <c r="M5819" s="1" t="str">
        <f>"093212"</f>
        <v>093212</v>
      </c>
      <c r="N5819" s="1" t="s">
        <v>70</v>
      </c>
      <c r="O5819" s="1" t="s">
        <v>28</v>
      </c>
      <c r="P5819" s="1" t="s">
        <v>68</v>
      </c>
      <c r="Q5819" s="1">
        <v>13</v>
      </c>
      <c r="R5819" s="1">
        <v>0</v>
      </c>
      <c r="S5819" s="1">
        <v>0</v>
      </c>
      <c r="T5819" s="1">
        <v>13</v>
      </c>
      <c r="U5819" s="1">
        <v>0</v>
      </c>
      <c r="V5819" s="1" t="str">
        <f t="shared" ref="V5819:V5824" si="1141">"里程去程"</f>
        <v>里程去程</v>
      </c>
      <c r="W5819" s="1" t="str">
        <f t="shared" ref="W5819:W5825" si="1142">"0020"</f>
        <v>0020</v>
      </c>
      <c r="X5819" s="1" t="s">
        <v>29</v>
      </c>
    </row>
    <row r="5820" spans="1:24" x14ac:dyDescent="0.3">
      <c r="A5820" s="1" t="str">
        <f t="shared" si="1139"/>
        <v>59828</v>
      </c>
      <c r="B5820" s="1" t="s">
        <v>23</v>
      </c>
      <c r="C5820" s="1" t="s">
        <v>24</v>
      </c>
      <c r="D5820" s="1" t="str">
        <f t="shared" si="1137"/>
        <v>9801</v>
      </c>
      <c r="E5820" s="1" t="s">
        <v>25</v>
      </c>
      <c r="F5820" s="1" t="str">
        <f>"F1A13C65098804004325CC9400040C0F"</f>
        <v>F1A13C65098804004325CC9400040C0F</v>
      </c>
      <c r="G5820" s="1" t="s">
        <v>64</v>
      </c>
      <c r="H5820" s="1" t="str">
        <f t="shared" si="1140"/>
        <v>20220928</v>
      </c>
      <c r="I5820" s="1" t="str">
        <f>"093224"</f>
        <v>093224</v>
      </c>
      <c r="J5820" s="1" t="s">
        <v>27</v>
      </c>
      <c r="K5820" s="1" t="s">
        <v>28</v>
      </c>
      <c r="L5820" s="1" t="str">
        <f t="shared" si="1136"/>
        <v>20220928</v>
      </c>
      <c r="M5820" s="1" t="str">
        <f>"095402"</f>
        <v>095402</v>
      </c>
      <c r="N5820" s="1" t="s">
        <v>100</v>
      </c>
      <c r="O5820" s="1" t="s">
        <v>45</v>
      </c>
      <c r="P5820" s="1" t="s">
        <v>55</v>
      </c>
      <c r="Q5820" s="1">
        <v>13</v>
      </c>
      <c r="R5820" s="1">
        <v>13</v>
      </c>
      <c r="S5820" s="1">
        <v>0</v>
      </c>
      <c r="T5820" s="1">
        <v>0</v>
      </c>
      <c r="U5820" s="1">
        <v>0</v>
      </c>
      <c r="V5820" s="1" t="str">
        <f t="shared" si="1141"/>
        <v>里程去程</v>
      </c>
      <c r="W5820" s="1" t="str">
        <f t="shared" si="1142"/>
        <v>0020</v>
      </c>
      <c r="X5820" s="1" t="s">
        <v>29</v>
      </c>
    </row>
    <row r="5821" spans="1:24" x14ac:dyDescent="0.3">
      <c r="A5821" s="1" t="str">
        <f t="shared" si="1139"/>
        <v>59828</v>
      </c>
      <c r="B5821" s="1" t="s">
        <v>23</v>
      </c>
      <c r="C5821" s="1" t="s">
        <v>24</v>
      </c>
      <c r="D5821" s="1" t="str">
        <f t="shared" si="1137"/>
        <v>9801</v>
      </c>
      <c r="E5821" s="1" t="s">
        <v>25</v>
      </c>
      <c r="F5821" s="1" t="str">
        <f>"322AA315AE880400C810002000000019"</f>
        <v>322AA315AE880400C810002000000019</v>
      </c>
      <c r="G5821" s="1" t="s">
        <v>26</v>
      </c>
      <c r="H5821" s="1" t="str">
        <f t="shared" si="1140"/>
        <v>20220928</v>
      </c>
      <c r="I5821" s="1" t="str">
        <f>"093229"</f>
        <v>093229</v>
      </c>
      <c r="J5821" s="1" t="s">
        <v>27</v>
      </c>
      <c r="K5821" s="1" t="s">
        <v>28</v>
      </c>
      <c r="L5821" s="1" t="str">
        <f t="shared" si="1136"/>
        <v>20220928</v>
      </c>
      <c r="M5821" s="1" t="str">
        <f>"095358"</f>
        <v>095358</v>
      </c>
      <c r="N5821" s="1" t="s">
        <v>100</v>
      </c>
      <c r="O5821" s="1" t="s">
        <v>45</v>
      </c>
      <c r="P5821" s="1" t="s">
        <v>55</v>
      </c>
      <c r="Q5821" s="1">
        <v>13</v>
      </c>
      <c r="R5821" s="1">
        <v>13</v>
      </c>
      <c r="S5821" s="1">
        <v>0</v>
      </c>
      <c r="T5821" s="1">
        <v>0</v>
      </c>
      <c r="U5821" s="1">
        <v>0</v>
      </c>
      <c r="V5821" s="1" t="str">
        <f t="shared" si="1141"/>
        <v>里程去程</v>
      </c>
      <c r="W5821" s="1" t="str">
        <f t="shared" si="1142"/>
        <v>0020</v>
      </c>
      <c r="X5821" s="1" t="s">
        <v>29</v>
      </c>
    </row>
    <row r="5822" spans="1:24" x14ac:dyDescent="0.3">
      <c r="A5822" s="1" t="str">
        <f t="shared" si="1139"/>
        <v>59828</v>
      </c>
      <c r="B5822" s="1" t="s">
        <v>23</v>
      </c>
      <c r="C5822" s="1" t="s">
        <v>24</v>
      </c>
      <c r="D5822" s="1" t="str">
        <f t="shared" si="1137"/>
        <v>9801</v>
      </c>
      <c r="E5822" s="1" t="s">
        <v>25</v>
      </c>
      <c r="F5822" s="1" t="str">
        <f>"F91CBD0F578804004326A4E600060211"</f>
        <v>F91CBD0F578804004326A4E600060211</v>
      </c>
      <c r="G5822" s="1" t="s">
        <v>26</v>
      </c>
      <c r="H5822" s="1" t="str">
        <f t="shared" si="1140"/>
        <v>20220928</v>
      </c>
      <c r="I5822" s="1" t="str">
        <f>"093235"</f>
        <v>093235</v>
      </c>
      <c r="J5822" s="1" t="s">
        <v>27</v>
      </c>
      <c r="K5822" s="1" t="s">
        <v>28</v>
      </c>
      <c r="L5822" s="1" t="str">
        <f t="shared" si="1136"/>
        <v>20220928</v>
      </c>
      <c r="M5822" s="1" t="str">
        <f>"095356"</f>
        <v>095356</v>
      </c>
      <c r="N5822" s="1" t="s">
        <v>100</v>
      </c>
      <c r="O5822" s="1" t="s">
        <v>45</v>
      </c>
      <c r="P5822" s="1" t="s">
        <v>55</v>
      </c>
      <c r="Q5822" s="1">
        <v>13</v>
      </c>
      <c r="R5822" s="1">
        <v>13</v>
      </c>
      <c r="S5822" s="1">
        <v>0</v>
      </c>
      <c r="T5822" s="1">
        <v>0</v>
      </c>
      <c r="U5822" s="1">
        <v>0</v>
      </c>
      <c r="V5822" s="1" t="str">
        <f t="shared" si="1141"/>
        <v>里程去程</v>
      </c>
      <c r="W5822" s="1" t="str">
        <f t="shared" si="1142"/>
        <v>0020</v>
      </c>
      <c r="X5822" s="1" t="s">
        <v>29</v>
      </c>
    </row>
    <row r="5823" spans="1:24" x14ac:dyDescent="0.3">
      <c r="A5823" s="1" t="str">
        <f t="shared" si="1139"/>
        <v>59828</v>
      </c>
      <c r="B5823" s="1" t="s">
        <v>23</v>
      </c>
      <c r="C5823" s="1" t="s">
        <v>24</v>
      </c>
      <c r="D5823" s="1" t="str">
        <f t="shared" si="1137"/>
        <v>9801</v>
      </c>
      <c r="E5823" s="1" t="s">
        <v>25</v>
      </c>
      <c r="F5823" s="1" t="str">
        <f>"E2F8A219A1880400C824002000000020"</f>
        <v>E2F8A219A1880400C824002000000020</v>
      </c>
      <c r="G5823" s="1" t="s">
        <v>64</v>
      </c>
      <c r="H5823" s="1" t="str">
        <f t="shared" si="1140"/>
        <v>20220928</v>
      </c>
      <c r="I5823" s="1" t="str">
        <f>"093247"</f>
        <v>093247</v>
      </c>
      <c r="J5823" s="1" t="s">
        <v>27</v>
      </c>
      <c r="K5823" s="1" t="s">
        <v>28</v>
      </c>
      <c r="L5823" s="1" t="str">
        <f t="shared" si="1136"/>
        <v>20220928</v>
      </c>
      <c r="M5823" s="1" t="str">
        <f>"094826"</f>
        <v>094826</v>
      </c>
      <c r="N5823" s="1" t="s">
        <v>61</v>
      </c>
      <c r="O5823" s="1" t="s">
        <v>45</v>
      </c>
      <c r="P5823" s="1" t="s">
        <v>55</v>
      </c>
      <c r="Q5823" s="1">
        <v>13</v>
      </c>
      <c r="R5823" s="1">
        <v>13</v>
      </c>
      <c r="S5823" s="1">
        <v>0</v>
      </c>
      <c r="T5823" s="1">
        <v>0</v>
      </c>
      <c r="U5823" s="1">
        <v>0</v>
      </c>
      <c r="V5823" s="1" t="str">
        <f t="shared" si="1141"/>
        <v>里程去程</v>
      </c>
      <c r="W5823" s="1" t="str">
        <f t="shared" si="1142"/>
        <v>0020</v>
      </c>
      <c r="X5823" s="1" t="s">
        <v>29</v>
      </c>
    </row>
    <row r="5824" spans="1:24" x14ac:dyDescent="0.3">
      <c r="A5824" s="1" t="str">
        <f t="shared" si="1139"/>
        <v>59828</v>
      </c>
      <c r="B5824" s="1" t="s">
        <v>23</v>
      </c>
      <c r="C5824" s="1" t="s">
        <v>24</v>
      </c>
      <c r="D5824" s="1" t="str">
        <f t="shared" si="1137"/>
        <v>9801</v>
      </c>
      <c r="E5824" s="1" t="s">
        <v>25</v>
      </c>
      <c r="F5824" s="1" t="str">
        <f>"32780D0344880400C834002000000015"</f>
        <v>32780D0344880400C834002000000015</v>
      </c>
      <c r="G5824" s="1" t="s">
        <v>26</v>
      </c>
      <c r="H5824" s="1" t="str">
        <f t="shared" si="1140"/>
        <v>20220928</v>
      </c>
      <c r="I5824" s="1" t="str">
        <f>"093306"</f>
        <v>093306</v>
      </c>
      <c r="J5824" s="1" t="s">
        <v>27</v>
      </c>
      <c r="K5824" s="1" t="s">
        <v>28</v>
      </c>
      <c r="L5824" s="1" t="str">
        <f t="shared" si="1136"/>
        <v>20220928</v>
      </c>
      <c r="M5824" s="1" t="str">
        <f>"095545"</f>
        <v>095545</v>
      </c>
      <c r="N5824" s="1" t="s">
        <v>44</v>
      </c>
      <c r="O5824" s="1" t="s">
        <v>45</v>
      </c>
      <c r="P5824" s="1" t="s">
        <v>68</v>
      </c>
      <c r="Q5824" s="1">
        <v>13</v>
      </c>
      <c r="R5824" s="1">
        <v>0</v>
      </c>
      <c r="S5824" s="1">
        <v>0</v>
      </c>
      <c r="T5824" s="1">
        <v>13</v>
      </c>
      <c r="U5824" s="1">
        <v>0</v>
      </c>
      <c r="V5824" s="1" t="str">
        <f t="shared" si="1141"/>
        <v>里程去程</v>
      </c>
      <c r="W5824" s="1" t="str">
        <f t="shared" si="1142"/>
        <v>0020</v>
      </c>
      <c r="X5824" s="1" t="s">
        <v>29</v>
      </c>
    </row>
    <row r="5825" spans="1:24" x14ac:dyDescent="0.3">
      <c r="A5825" s="1" t="str">
        <f t="shared" si="1139"/>
        <v>59828</v>
      </c>
      <c r="B5825" s="1" t="s">
        <v>23</v>
      </c>
      <c r="C5825" s="1" t="s">
        <v>24</v>
      </c>
      <c r="D5825" s="1" t="str">
        <f t="shared" si="1137"/>
        <v>9801</v>
      </c>
      <c r="E5825" s="1" t="s">
        <v>25</v>
      </c>
      <c r="F5825" s="1" t="str">
        <f>"E220D10211880400C834002000000015"</f>
        <v>E220D10211880400C834002000000015</v>
      </c>
      <c r="G5825" s="1" t="s">
        <v>74</v>
      </c>
      <c r="H5825" s="1" t="str">
        <f t="shared" si="1140"/>
        <v>20220928</v>
      </c>
      <c r="I5825" s="1" t="str">
        <f>"131326"</f>
        <v>131326</v>
      </c>
      <c r="J5825" s="1" t="s">
        <v>97</v>
      </c>
      <c r="K5825" s="1" t="s">
        <v>52</v>
      </c>
      <c r="L5825" s="1" t="str">
        <f t="shared" si="1136"/>
        <v>20220928</v>
      </c>
      <c r="M5825" s="1" t="str">
        <f>"131525"</f>
        <v>131525</v>
      </c>
      <c r="N5825" s="1" t="s">
        <v>65</v>
      </c>
      <c r="O5825" s="1" t="s">
        <v>52</v>
      </c>
      <c r="P5825" s="1" t="s">
        <v>68</v>
      </c>
      <c r="Q5825" s="1">
        <v>13</v>
      </c>
      <c r="R5825" s="1">
        <v>0</v>
      </c>
      <c r="S5825" s="1">
        <v>0</v>
      </c>
      <c r="T5825" s="1">
        <v>13</v>
      </c>
      <c r="U5825" s="1">
        <v>0</v>
      </c>
      <c r="V5825" s="1" t="str">
        <f t="shared" ref="V5825:V5834" si="1143">"里程返程"</f>
        <v>里程返程</v>
      </c>
      <c r="W5825" s="1" t="str">
        <f t="shared" si="1142"/>
        <v>0020</v>
      </c>
      <c r="X5825" s="1" t="s">
        <v>29</v>
      </c>
    </row>
    <row r="5826" spans="1:24" x14ac:dyDescent="0.3">
      <c r="A5826" s="1" t="str">
        <f t="shared" si="1139"/>
        <v>59828</v>
      </c>
      <c r="B5826" s="1" t="s">
        <v>23</v>
      </c>
      <c r="C5826" s="1" t="s">
        <v>24</v>
      </c>
      <c r="D5826" s="1" t="str">
        <f t="shared" si="1137"/>
        <v>9801</v>
      </c>
      <c r="E5826" s="1" t="s">
        <v>25</v>
      </c>
      <c r="F5826" s="1" t="str">
        <f>"1401889921"</f>
        <v>1401889921</v>
      </c>
      <c r="G5826" s="1" t="s">
        <v>33</v>
      </c>
      <c r="H5826" s="1" t="str">
        <f t="shared" si="1140"/>
        <v>20220928</v>
      </c>
      <c r="I5826" s="1" t="str">
        <f>"132015"</f>
        <v>132015</v>
      </c>
      <c r="J5826" s="1" t="s">
        <v>60</v>
      </c>
      <c r="K5826" s="1" t="s">
        <v>52</v>
      </c>
      <c r="L5826" s="1" t="str">
        <f t="shared" si="1136"/>
        <v>20220928</v>
      </c>
      <c r="M5826" s="1" t="str">
        <f>"132414"</f>
        <v>132414</v>
      </c>
      <c r="N5826" s="1" t="s">
        <v>52</v>
      </c>
      <c r="O5826" s="1" t="s">
        <v>52</v>
      </c>
      <c r="P5826" s="1" t="s">
        <v>55</v>
      </c>
      <c r="Q5826" s="1">
        <v>25</v>
      </c>
      <c r="R5826" s="1">
        <v>0</v>
      </c>
      <c r="S5826" s="1">
        <v>25</v>
      </c>
      <c r="T5826" s="1">
        <v>0</v>
      </c>
      <c r="U5826" s="1">
        <v>0</v>
      </c>
      <c r="V5826" s="1" t="str">
        <f t="shared" si="1143"/>
        <v>里程返程</v>
      </c>
      <c r="W5826" s="1" t="str">
        <f>"2120"</f>
        <v>2120</v>
      </c>
      <c r="X5826" s="1" t="s">
        <v>35</v>
      </c>
    </row>
    <row r="5827" spans="1:24" x14ac:dyDescent="0.3">
      <c r="A5827" s="1" t="str">
        <f t="shared" si="1139"/>
        <v>59828</v>
      </c>
      <c r="B5827" s="1" t="s">
        <v>23</v>
      </c>
      <c r="C5827" s="1" t="s">
        <v>24</v>
      </c>
      <c r="D5827" s="1" t="str">
        <f t="shared" si="1137"/>
        <v>9801</v>
      </c>
      <c r="E5827" s="1" t="s">
        <v>25</v>
      </c>
      <c r="F5827" s="1" t="str">
        <f>"129A8D191C880400C824002000000020"</f>
        <v>129A8D191C880400C824002000000020</v>
      </c>
      <c r="G5827" s="1" t="s">
        <v>59</v>
      </c>
      <c r="H5827" s="1" t="str">
        <f t="shared" si="1140"/>
        <v>20220928</v>
      </c>
      <c r="I5827" s="1" t="str">
        <f>"145353"</f>
        <v>145353</v>
      </c>
      <c r="J5827" s="1" t="s">
        <v>28</v>
      </c>
      <c r="K5827" s="1" t="s">
        <v>28</v>
      </c>
      <c r="L5827" s="1" t="str">
        <f t="shared" si="1136"/>
        <v>20220928</v>
      </c>
      <c r="M5827" s="1" t="str">
        <f>"152236"</f>
        <v>152236</v>
      </c>
      <c r="N5827" s="1" t="s">
        <v>86</v>
      </c>
      <c r="O5827" s="1" t="s">
        <v>52</v>
      </c>
      <c r="P5827" s="1" t="s">
        <v>55</v>
      </c>
      <c r="Q5827" s="1">
        <v>25</v>
      </c>
      <c r="R5827" s="1">
        <v>0</v>
      </c>
      <c r="S5827" s="1">
        <v>25</v>
      </c>
      <c r="T5827" s="1">
        <v>0</v>
      </c>
      <c r="U5827" s="1">
        <v>0</v>
      </c>
      <c r="V5827" s="1" t="str">
        <f t="shared" si="1143"/>
        <v>里程返程</v>
      </c>
      <c r="W5827" s="1" t="str">
        <f>"0620"</f>
        <v>0620</v>
      </c>
      <c r="X5827" s="1" t="s">
        <v>29</v>
      </c>
    </row>
    <row r="5828" spans="1:24" x14ac:dyDescent="0.3">
      <c r="A5828" s="1" t="str">
        <f t="shared" si="1139"/>
        <v>59828</v>
      </c>
      <c r="B5828" s="1" t="s">
        <v>23</v>
      </c>
      <c r="C5828" s="1" t="s">
        <v>24</v>
      </c>
      <c r="D5828" s="1" t="str">
        <f t="shared" si="1137"/>
        <v>9801</v>
      </c>
      <c r="E5828" s="1" t="s">
        <v>25</v>
      </c>
      <c r="F5828" s="1" t="str">
        <f>"A2590C03F4880400C834002000000015"</f>
        <v>A2590C03F4880400C834002000000015</v>
      </c>
      <c r="G5828" s="1" t="s">
        <v>26</v>
      </c>
      <c r="H5828" s="1" t="str">
        <f t="shared" si="1140"/>
        <v>20220928</v>
      </c>
      <c r="I5828" s="1" t="str">
        <f>"154944"</f>
        <v>154944</v>
      </c>
      <c r="J5828" s="1" t="s">
        <v>28</v>
      </c>
      <c r="K5828" s="1" t="s">
        <v>28</v>
      </c>
      <c r="L5828" s="1" t="str">
        <f t="shared" si="1136"/>
        <v>20220928</v>
      </c>
      <c r="M5828" s="1" t="str">
        <f>"160221"</f>
        <v>160221</v>
      </c>
      <c r="N5828" s="1" t="s">
        <v>83</v>
      </c>
      <c r="O5828" s="1" t="s">
        <v>52</v>
      </c>
      <c r="P5828" s="1" t="s">
        <v>68</v>
      </c>
      <c r="Q5828" s="1">
        <v>13</v>
      </c>
      <c r="R5828" s="1">
        <v>0</v>
      </c>
      <c r="S5828" s="1">
        <v>0</v>
      </c>
      <c r="T5828" s="1">
        <v>13</v>
      </c>
      <c r="U5828" s="1">
        <v>0</v>
      </c>
      <c r="V5828" s="1" t="str">
        <f t="shared" si="1143"/>
        <v>里程返程</v>
      </c>
      <c r="W5828" s="1" t="str">
        <f>"0020"</f>
        <v>0020</v>
      </c>
      <c r="X5828" s="1" t="s">
        <v>29</v>
      </c>
    </row>
    <row r="5829" spans="1:24" x14ac:dyDescent="0.3">
      <c r="A5829" s="1" t="str">
        <f t="shared" si="1139"/>
        <v>59828</v>
      </c>
      <c r="B5829" s="1" t="s">
        <v>23</v>
      </c>
      <c r="C5829" s="1" t="s">
        <v>24</v>
      </c>
      <c r="D5829" s="1" t="str">
        <f t="shared" si="1137"/>
        <v>9801</v>
      </c>
      <c r="E5829" s="1" t="s">
        <v>25</v>
      </c>
      <c r="F5829" s="1" t="str">
        <f>"42AFE60209880400C834002000000015"</f>
        <v>42AFE60209880400C834002000000015</v>
      </c>
      <c r="G5829" s="1" t="s">
        <v>74</v>
      </c>
      <c r="H5829" s="1" t="str">
        <f t="shared" si="1140"/>
        <v>20220928</v>
      </c>
      <c r="I5829" s="1" t="str">
        <f>"161332"</f>
        <v>161332</v>
      </c>
      <c r="J5829" s="1" t="s">
        <v>80</v>
      </c>
      <c r="K5829" s="1" t="s">
        <v>52</v>
      </c>
      <c r="L5829" s="1" t="str">
        <f t="shared" si="1136"/>
        <v>20220928</v>
      </c>
      <c r="M5829" s="1" t="str">
        <f>"162604"</f>
        <v>162604</v>
      </c>
      <c r="N5829" s="1" t="s">
        <v>52</v>
      </c>
      <c r="O5829" s="1" t="s">
        <v>52</v>
      </c>
      <c r="P5829" s="1" t="s">
        <v>68</v>
      </c>
      <c r="Q5829" s="1">
        <v>13</v>
      </c>
      <c r="R5829" s="1">
        <v>0</v>
      </c>
      <c r="S5829" s="1">
        <v>0</v>
      </c>
      <c r="T5829" s="1">
        <v>13</v>
      </c>
      <c r="U5829" s="1">
        <v>0</v>
      </c>
      <c r="V5829" s="1" t="str">
        <f t="shared" si="1143"/>
        <v>里程返程</v>
      </c>
      <c r="W5829" s="1" t="str">
        <f>"0020"</f>
        <v>0020</v>
      </c>
      <c r="X5829" s="1" t="s">
        <v>29</v>
      </c>
    </row>
    <row r="5830" spans="1:24" x14ac:dyDescent="0.3">
      <c r="A5830" s="1" t="str">
        <f t="shared" si="1139"/>
        <v>59828</v>
      </c>
      <c r="B5830" s="1" t="s">
        <v>23</v>
      </c>
      <c r="C5830" s="1" t="s">
        <v>24</v>
      </c>
      <c r="D5830" s="1" t="str">
        <f t="shared" si="1137"/>
        <v>9801</v>
      </c>
      <c r="E5830" s="1" t="s">
        <v>25</v>
      </c>
      <c r="F5830" s="1" t="str">
        <f>"7227E702B0880400C834002000000015"</f>
        <v>7227E702B0880400C834002000000015</v>
      </c>
      <c r="G5830" s="1" t="s">
        <v>74</v>
      </c>
      <c r="H5830" s="1" t="str">
        <f t="shared" si="1140"/>
        <v>20220928</v>
      </c>
      <c r="I5830" s="1" t="str">
        <f>"161339"</f>
        <v>161339</v>
      </c>
      <c r="J5830" s="1" t="s">
        <v>80</v>
      </c>
      <c r="K5830" s="1" t="s">
        <v>52</v>
      </c>
      <c r="L5830" s="1" t="str">
        <f t="shared" si="1136"/>
        <v>20220928</v>
      </c>
      <c r="M5830" s="1" t="str">
        <f>"162559"</f>
        <v>162559</v>
      </c>
      <c r="N5830" s="1" t="s">
        <v>52</v>
      </c>
      <c r="O5830" s="1" t="s">
        <v>52</v>
      </c>
      <c r="P5830" s="1" t="s">
        <v>68</v>
      </c>
      <c r="Q5830" s="1">
        <v>13</v>
      </c>
      <c r="R5830" s="1">
        <v>0</v>
      </c>
      <c r="S5830" s="1">
        <v>0</v>
      </c>
      <c r="T5830" s="1">
        <v>13</v>
      </c>
      <c r="U5830" s="1">
        <v>0</v>
      </c>
      <c r="V5830" s="1" t="str">
        <f t="shared" si="1143"/>
        <v>里程返程</v>
      </c>
      <c r="W5830" s="1" t="str">
        <f>"0020"</f>
        <v>0020</v>
      </c>
      <c r="X5830" s="1" t="s">
        <v>29</v>
      </c>
    </row>
    <row r="5831" spans="1:24" x14ac:dyDescent="0.3">
      <c r="A5831" s="1" t="str">
        <f t="shared" si="1139"/>
        <v>59828</v>
      </c>
      <c r="B5831" s="1" t="s">
        <v>23</v>
      </c>
      <c r="C5831" s="1" t="s">
        <v>24</v>
      </c>
      <c r="D5831" s="1" t="str">
        <f t="shared" si="1137"/>
        <v>9801</v>
      </c>
      <c r="E5831" s="1" t="s">
        <v>25</v>
      </c>
      <c r="F5831" s="1" t="str">
        <f>"F26F0D0393880400C834002000000015"</f>
        <v>F26F0D0393880400C834002000000015</v>
      </c>
      <c r="G5831" s="1" t="s">
        <v>26</v>
      </c>
      <c r="H5831" s="1" t="str">
        <f t="shared" si="1140"/>
        <v>20220928</v>
      </c>
      <c r="I5831" s="1" t="str">
        <f>"162816"</f>
        <v>162816</v>
      </c>
      <c r="J5831" s="1" t="s">
        <v>44</v>
      </c>
      <c r="K5831" s="1" t="s">
        <v>45</v>
      </c>
      <c r="L5831" s="1" t="str">
        <f t="shared" si="1136"/>
        <v>20220928</v>
      </c>
      <c r="M5831" s="1" t="str">
        <f>"165002"</f>
        <v>165002</v>
      </c>
      <c r="N5831" s="1" t="s">
        <v>28</v>
      </c>
      <c r="O5831" s="1" t="s">
        <v>28</v>
      </c>
      <c r="P5831" s="1" t="s">
        <v>68</v>
      </c>
      <c r="Q5831" s="1">
        <v>13</v>
      </c>
      <c r="R5831" s="1">
        <v>0</v>
      </c>
      <c r="S5831" s="1">
        <v>0</v>
      </c>
      <c r="T5831" s="1">
        <v>13</v>
      </c>
      <c r="U5831" s="1">
        <v>0</v>
      </c>
      <c r="V5831" s="1" t="str">
        <f t="shared" si="1143"/>
        <v>里程返程</v>
      </c>
      <c r="W5831" s="1" t="str">
        <f>"0020"</f>
        <v>0020</v>
      </c>
      <c r="X5831" s="1" t="s">
        <v>29</v>
      </c>
    </row>
    <row r="5832" spans="1:24" x14ac:dyDescent="0.3">
      <c r="A5832" s="1" t="str">
        <f t="shared" si="1139"/>
        <v>59828</v>
      </c>
      <c r="B5832" s="1" t="s">
        <v>23</v>
      </c>
      <c r="C5832" s="1" t="s">
        <v>24</v>
      </c>
      <c r="D5832" s="1" t="str">
        <f t="shared" si="1137"/>
        <v>9801</v>
      </c>
      <c r="E5832" s="1" t="s">
        <v>25</v>
      </c>
      <c r="F5832" s="1" t="str">
        <f>"1894224283"</f>
        <v>1894224283</v>
      </c>
      <c r="G5832" s="1" t="s">
        <v>33</v>
      </c>
      <c r="H5832" s="1" t="str">
        <f t="shared" si="1140"/>
        <v>20220928</v>
      </c>
      <c r="I5832" s="1" t="str">
        <f>"164014"</f>
        <v>164014</v>
      </c>
      <c r="J5832" s="1" t="s">
        <v>56</v>
      </c>
      <c r="K5832" s="1" t="s">
        <v>45</v>
      </c>
      <c r="L5832" s="1" t="str">
        <f t="shared" si="1136"/>
        <v>20220928</v>
      </c>
      <c r="M5832" s="1" t="str">
        <f>"164954"</f>
        <v>164954</v>
      </c>
      <c r="N5832" s="1" t="s">
        <v>28</v>
      </c>
      <c r="O5832" s="1" t="s">
        <v>28</v>
      </c>
      <c r="P5832" s="1" t="s">
        <v>55</v>
      </c>
      <c r="Q5832" s="1">
        <v>25</v>
      </c>
      <c r="R5832" s="1">
        <v>0</v>
      </c>
      <c r="S5832" s="1">
        <v>25</v>
      </c>
      <c r="T5832" s="1">
        <v>0</v>
      </c>
      <c r="U5832" s="1">
        <v>0</v>
      </c>
      <c r="V5832" s="1" t="str">
        <f t="shared" si="1143"/>
        <v>里程返程</v>
      </c>
      <c r="W5832" s="1" t="str">
        <f>"2020"</f>
        <v>2020</v>
      </c>
      <c r="X5832" s="1" t="s">
        <v>35</v>
      </c>
    </row>
    <row r="5833" spans="1:24" x14ac:dyDescent="0.3">
      <c r="A5833" s="1" t="str">
        <f t="shared" si="1139"/>
        <v>59828</v>
      </c>
      <c r="B5833" s="1" t="s">
        <v>23</v>
      </c>
      <c r="C5833" s="1" t="s">
        <v>24</v>
      </c>
      <c r="D5833" s="1" t="str">
        <f t="shared" si="1137"/>
        <v>9801</v>
      </c>
      <c r="E5833" s="1" t="s">
        <v>25</v>
      </c>
      <c r="F5833" s="1" t="str">
        <f>"1107063045"</f>
        <v>1107063045</v>
      </c>
      <c r="G5833" s="1" t="s">
        <v>33</v>
      </c>
      <c r="H5833" s="1" t="str">
        <f t="shared" si="1140"/>
        <v>20220928</v>
      </c>
      <c r="I5833" s="1" t="str">
        <f>"165017"</f>
        <v>165017</v>
      </c>
      <c r="J5833" s="1" t="s">
        <v>28</v>
      </c>
      <c r="K5833" s="1" t="s">
        <v>28</v>
      </c>
      <c r="L5833" s="1" t="str">
        <f t="shared" si="1136"/>
        <v>20220928</v>
      </c>
      <c r="M5833" s="1" t="str">
        <f>"172308"</f>
        <v>172308</v>
      </c>
      <c r="N5833" s="1" t="s">
        <v>51</v>
      </c>
      <c r="O5833" s="1" t="s">
        <v>52</v>
      </c>
      <c r="P5833" s="1" t="s">
        <v>55</v>
      </c>
      <c r="Q5833" s="1">
        <v>25</v>
      </c>
      <c r="R5833" s="1">
        <v>25</v>
      </c>
      <c r="S5833" s="1">
        <v>0</v>
      </c>
      <c r="T5833" s="1">
        <v>0</v>
      </c>
      <c r="U5833" s="1">
        <v>0</v>
      </c>
      <c r="V5833" s="1" t="str">
        <f t="shared" si="1143"/>
        <v>里程返程</v>
      </c>
      <c r="W5833" s="1" t="str">
        <f>"2120"</f>
        <v>2120</v>
      </c>
      <c r="X5833" s="1" t="s">
        <v>35</v>
      </c>
    </row>
    <row r="5834" spans="1:24" x14ac:dyDescent="0.3">
      <c r="A5834" s="1" t="str">
        <f t="shared" si="1139"/>
        <v>59828</v>
      </c>
      <c r="B5834" s="1" t="s">
        <v>23</v>
      </c>
      <c r="C5834" s="1" t="s">
        <v>24</v>
      </c>
      <c r="D5834" s="1" t="str">
        <f t="shared" si="1137"/>
        <v>9801</v>
      </c>
      <c r="E5834" s="1" t="s">
        <v>25</v>
      </c>
      <c r="F5834" s="1" t="str">
        <f>"1002132609"</f>
        <v>1002132609</v>
      </c>
      <c r="G5834" s="1" t="s">
        <v>33</v>
      </c>
      <c r="H5834" s="1" t="str">
        <f t="shared" si="1140"/>
        <v>20220928</v>
      </c>
      <c r="I5834" s="1" t="str">
        <f>"165020"</f>
        <v>165020</v>
      </c>
      <c r="J5834" s="1" t="s">
        <v>28</v>
      </c>
      <c r="K5834" s="1" t="s">
        <v>28</v>
      </c>
      <c r="L5834" s="1" t="str">
        <f t="shared" si="1136"/>
        <v>20220928</v>
      </c>
      <c r="M5834" s="1" t="str">
        <f>"172305"</f>
        <v>172305</v>
      </c>
      <c r="N5834" s="1" t="s">
        <v>51</v>
      </c>
      <c r="O5834" s="1" t="s">
        <v>52</v>
      </c>
      <c r="P5834" s="1" t="s">
        <v>55</v>
      </c>
      <c r="Q5834" s="1">
        <v>25</v>
      </c>
      <c r="R5834" s="1">
        <v>25</v>
      </c>
      <c r="S5834" s="1">
        <v>0</v>
      </c>
      <c r="T5834" s="1">
        <v>0</v>
      </c>
      <c r="U5834" s="1">
        <v>0</v>
      </c>
      <c r="V5834" s="1" t="str">
        <f t="shared" si="1143"/>
        <v>里程返程</v>
      </c>
      <c r="W5834" s="1" t="str">
        <f>"2120"</f>
        <v>2120</v>
      </c>
      <c r="X5834" s="1" t="s">
        <v>35</v>
      </c>
    </row>
    <row r="5835" spans="1:24" x14ac:dyDescent="0.3">
      <c r="A5835" s="1" t="str">
        <f t="shared" ref="A5835:A5849" si="1144">"59829"</f>
        <v>59829</v>
      </c>
      <c r="B5835" s="1" t="s">
        <v>47</v>
      </c>
      <c r="C5835" s="1" t="s">
        <v>48</v>
      </c>
      <c r="D5835" s="1" t="str">
        <f>"9805"</f>
        <v>9805</v>
      </c>
      <c r="E5835" s="1" t="s">
        <v>57</v>
      </c>
      <c r="F5835" s="1" t="str">
        <f>"F29BD102BA880400C834002000000015"</f>
        <v>F29BD102BA880400C834002000000015</v>
      </c>
      <c r="G5835" s="1" t="s">
        <v>26</v>
      </c>
      <c r="H5835" s="1" t="str">
        <f t="shared" si="1140"/>
        <v>20220928</v>
      </c>
      <c r="I5835" s="1" t="str">
        <f>"104105"</f>
        <v>104105</v>
      </c>
      <c r="J5835" s="1" t="s">
        <v>28</v>
      </c>
      <c r="K5835" s="1" t="s">
        <v>28</v>
      </c>
      <c r="L5835" s="1" t="str">
        <f t="shared" si="1136"/>
        <v>20220928</v>
      </c>
      <c r="M5835" s="1" t="str">
        <f>"105639"</f>
        <v>105639</v>
      </c>
      <c r="N5835" s="1" t="s">
        <v>56</v>
      </c>
      <c r="O5835" s="1" t="s">
        <v>28</v>
      </c>
      <c r="P5835" s="1" t="s">
        <v>68</v>
      </c>
      <c r="Q5835" s="1">
        <v>13</v>
      </c>
      <c r="R5835" s="1">
        <v>0</v>
      </c>
      <c r="S5835" s="1">
        <v>0</v>
      </c>
      <c r="T5835" s="1">
        <v>13</v>
      </c>
      <c r="U5835" s="1">
        <v>0</v>
      </c>
      <c r="V5835" s="1" t="str">
        <f t="shared" ref="V5835:V5845" si="1145">"里程去程"</f>
        <v>里程去程</v>
      </c>
      <c r="W5835" s="1" t="str">
        <f>"0020"</f>
        <v>0020</v>
      </c>
      <c r="X5835" s="1" t="s">
        <v>29</v>
      </c>
    </row>
    <row r="5836" spans="1:24" x14ac:dyDescent="0.3">
      <c r="A5836" s="1" t="str">
        <f t="shared" si="1144"/>
        <v>59829</v>
      </c>
      <c r="B5836" s="1" t="s">
        <v>47</v>
      </c>
      <c r="C5836" s="1" t="s">
        <v>48</v>
      </c>
      <c r="D5836" s="1" t="str">
        <f t="shared" ref="D5836:D5848" si="1146">"9801"</f>
        <v>9801</v>
      </c>
      <c r="E5836" s="1" t="s">
        <v>25</v>
      </c>
      <c r="F5836" s="1" t="str">
        <f>"42AFE60209880400C834002000000015"</f>
        <v>42AFE60209880400C834002000000015</v>
      </c>
      <c r="G5836" s="1" t="s">
        <v>74</v>
      </c>
      <c r="H5836" s="1" t="str">
        <f t="shared" si="1140"/>
        <v>20220928</v>
      </c>
      <c r="I5836" s="1" t="str">
        <f>"110004"</f>
        <v>110004</v>
      </c>
      <c r="J5836" s="1" t="s">
        <v>52</v>
      </c>
      <c r="K5836" s="1" t="s">
        <v>52</v>
      </c>
      <c r="L5836" s="1" t="str">
        <f t="shared" si="1136"/>
        <v>20220928</v>
      </c>
      <c r="M5836" s="1" t="str">
        <f>"111534"</f>
        <v>111534</v>
      </c>
      <c r="N5836" s="1" t="s">
        <v>80</v>
      </c>
      <c r="O5836" s="1" t="s">
        <v>52</v>
      </c>
      <c r="P5836" s="1" t="s">
        <v>68</v>
      </c>
      <c r="Q5836" s="1">
        <v>13</v>
      </c>
      <c r="R5836" s="1">
        <v>0</v>
      </c>
      <c r="S5836" s="1">
        <v>0</v>
      </c>
      <c r="T5836" s="1">
        <v>13</v>
      </c>
      <c r="U5836" s="1">
        <v>0</v>
      </c>
      <c r="V5836" s="1" t="str">
        <f t="shared" si="1145"/>
        <v>里程去程</v>
      </c>
      <c r="W5836" s="1" t="str">
        <f>"0020"</f>
        <v>0020</v>
      </c>
      <c r="X5836" s="1" t="s">
        <v>29</v>
      </c>
    </row>
    <row r="5837" spans="1:24" x14ac:dyDescent="0.3">
      <c r="A5837" s="1" t="str">
        <f t="shared" si="1144"/>
        <v>59829</v>
      </c>
      <c r="B5837" s="1" t="s">
        <v>47</v>
      </c>
      <c r="C5837" s="1" t="s">
        <v>48</v>
      </c>
      <c r="D5837" s="1" t="str">
        <f t="shared" si="1146"/>
        <v>9801</v>
      </c>
      <c r="E5837" s="1" t="s">
        <v>25</v>
      </c>
      <c r="F5837" s="1" t="str">
        <f>"32780D0344880400C834002000000015"</f>
        <v>32780D0344880400C834002000000015</v>
      </c>
      <c r="G5837" s="1" t="s">
        <v>26</v>
      </c>
      <c r="H5837" s="1" t="str">
        <f t="shared" si="1140"/>
        <v>20220928</v>
      </c>
      <c r="I5837" s="1" t="str">
        <f>"110037"</f>
        <v>110037</v>
      </c>
      <c r="J5837" s="1" t="s">
        <v>52</v>
      </c>
      <c r="K5837" s="1" t="s">
        <v>52</v>
      </c>
      <c r="L5837" s="1" t="str">
        <f t="shared" ref="L5837:L5849" si="1147">"20220928"</f>
        <v>20220928</v>
      </c>
      <c r="M5837" s="1" t="str">
        <f>"113154"</f>
        <v>113154</v>
      </c>
      <c r="N5837" s="1" t="s">
        <v>70</v>
      </c>
      <c r="O5837" s="1" t="s">
        <v>28</v>
      </c>
      <c r="P5837" s="1" t="s">
        <v>68</v>
      </c>
      <c r="Q5837" s="1">
        <v>13</v>
      </c>
      <c r="R5837" s="1">
        <v>0</v>
      </c>
      <c r="S5837" s="1">
        <v>0</v>
      </c>
      <c r="T5837" s="1">
        <v>13</v>
      </c>
      <c r="U5837" s="1">
        <v>0</v>
      </c>
      <c r="V5837" s="1" t="str">
        <f t="shared" si="1145"/>
        <v>里程去程</v>
      </c>
      <c r="W5837" s="1" t="str">
        <f>"0020"</f>
        <v>0020</v>
      </c>
      <c r="X5837" s="1" t="s">
        <v>29</v>
      </c>
    </row>
    <row r="5838" spans="1:24" x14ac:dyDescent="0.3">
      <c r="A5838" s="1" t="str">
        <f t="shared" si="1144"/>
        <v>59829</v>
      </c>
      <c r="B5838" s="1" t="s">
        <v>47</v>
      </c>
      <c r="C5838" s="1" t="s">
        <v>48</v>
      </c>
      <c r="D5838" s="1" t="str">
        <f t="shared" si="1146"/>
        <v>9801</v>
      </c>
      <c r="E5838" s="1" t="s">
        <v>25</v>
      </c>
      <c r="F5838" s="1" t="str">
        <f>"833401461"</f>
        <v>833401461</v>
      </c>
      <c r="G5838" s="1" t="s">
        <v>33</v>
      </c>
      <c r="H5838" s="1" t="str">
        <f t="shared" si="1140"/>
        <v>20220928</v>
      </c>
      <c r="I5838" s="1" t="str">
        <f>"115919"</f>
        <v>115919</v>
      </c>
      <c r="J5838" s="1" t="s">
        <v>52</v>
      </c>
      <c r="K5838" s="1" t="s">
        <v>52</v>
      </c>
      <c r="L5838" s="1" t="str">
        <f t="shared" si="1147"/>
        <v>20220928</v>
      </c>
      <c r="M5838" s="1" t="str">
        <f>"120626"</f>
        <v>120626</v>
      </c>
      <c r="N5838" s="1" t="s">
        <v>60</v>
      </c>
      <c r="O5838" s="1" t="s">
        <v>52</v>
      </c>
      <c r="P5838" s="1" t="s">
        <v>55</v>
      </c>
      <c r="Q5838" s="1">
        <v>25</v>
      </c>
      <c r="R5838" s="1">
        <v>0</v>
      </c>
      <c r="S5838" s="1">
        <v>25</v>
      </c>
      <c r="T5838" s="1">
        <v>0</v>
      </c>
      <c r="U5838" s="1">
        <v>0</v>
      </c>
      <c r="V5838" s="1" t="str">
        <f t="shared" si="1145"/>
        <v>里程去程</v>
      </c>
      <c r="W5838" s="1" t="str">
        <f>"2120"</f>
        <v>2120</v>
      </c>
      <c r="X5838" s="1" t="s">
        <v>35</v>
      </c>
    </row>
    <row r="5839" spans="1:24" x14ac:dyDescent="0.3">
      <c r="A5839" s="1" t="str">
        <f t="shared" si="1144"/>
        <v>59829</v>
      </c>
      <c r="B5839" s="1" t="s">
        <v>47</v>
      </c>
      <c r="C5839" s="1" t="s">
        <v>48</v>
      </c>
      <c r="D5839" s="1" t="str">
        <f t="shared" si="1146"/>
        <v>9801</v>
      </c>
      <c r="E5839" s="1" t="s">
        <v>25</v>
      </c>
      <c r="F5839" s="1" t="str">
        <f>"8227D00277880400C834002000000015"</f>
        <v>8227D00277880400C834002000000015</v>
      </c>
      <c r="G5839" s="1" t="s">
        <v>26</v>
      </c>
      <c r="H5839" s="1" t="str">
        <f t="shared" si="1140"/>
        <v>20220928</v>
      </c>
      <c r="I5839" s="1" t="str">
        <f>"122429"</f>
        <v>122429</v>
      </c>
      <c r="J5839" s="1" t="s">
        <v>78</v>
      </c>
      <c r="K5839" s="1" t="s">
        <v>52</v>
      </c>
      <c r="L5839" s="1" t="str">
        <f t="shared" si="1147"/>
        <v>20220928</v>
      </c>
      <c r="M5839" s="1" t="str">
        <f>"123508"</f>
        <v>123508</v>
      </c>
      <c r="N5839" s="1" t="s">
        <v>70</v>
      </c>
      <c r="O5839" s="1" t="s">
        <v>28</v>
      </c>
      <c r="P5839" s="1" t="s">
        <v>68</v>
      </c>
      <c r="Q5839" s="1">
        <v>13</v>
      </c>
      <c r="R5839" s="1">
        <v>0</v>
      </c>
      <c r="S5839" s="1">
        <v>0</v>
      </c>
      <c r="T5839" s="1">
        <v>13</v>
      </c>
      <c r="U5839" s="1">
        <v>0</v>
      </c>
      <c r="V5839" s="1" t="str">
        <f t="shared" si="1145"/>
        <v>里程去程</v>
      </c>
      <c r="W5839" s="1" t="str">
        <f>"0020"</f>
        <v>0020</v>
      </c>
      <c r="X5839" s="1" t="s">
        <v>29</v>
      </c>
    </row>
    <row r="5840" spans="1:24" x14ac:dyDescent="0.3">
      <c r="A5840" s="1" t="str">
        <f t="shared" si="1144"/>
        <v>59829</v>
      </c>
      <c r="B5840" s="1" t="s">
        <v>47</v>
      </c>
      <c r="C5840" s="1" t="s">
        <v>48</v>
      </c>
      <c r="D5840" s="1" t="str">
        <f t="shared" si="1146"/>
        <v>9801</v>
      </c>
      <c r="E5840" s="1" t="s">
        <v>25</v>
      </c>
      <c r="F5840" s="1" t="str">
        <f>"1816160449"</f>
        <v>1816160449</v>
      </c>
      <c r="G5840" s="1" t="s">
        <v>33</v>
      </c>
      <c r="H5840" s="1" t="str">
        <f t="shared" si="1140"/>
        <v>20220928</v>
      </c>
      <c r="I5840" s="1" t="str">
        <f>"123520"</f>
        <v>123520</v>
      </c>
      <c r="J5840" s="1" t="s">
        <v>27</v>
      </c>
      <c r="K5840" s="1" t="s">
        <v>28</v>
      </c>
      <c r="L5840" s="1" t="str">
        <f t="shared" si="1147"/>
        <v>20220928</v>
      </c>
      <c r="M5840" s="1" t="str">
        <f>"124939"</f>
        <v>124939</v>
      </c>
      <c r="N5840" s="1" t="s">
        <v>91</v>
      </c>
      <c r="O5840" s="1" t="s">
        <v>45</v>
      </c>
      <c r="P5840" s="1" t="s">
        <v>55</v>
      </c>
      <c r="Q5840" s="1">
        <v>25</v>
      </c>
      <c r="R5840" s="1">
        <v>25</v>
      </c>
      <c r="S5840" s="1">
        <v>0</v>
      </c>
      <c r="T5840" s="1">
        <v>0</v>
      </c>
      <c r="U5840" s="1">
        <v>0</v>
      </c>
      <c r="V5840" s="1" t="str">
        <f t="shared" si="1145"/>
        <v>里程去程</v>
      </c>
      <c r="W5840" s="1" t="str">
        <f>"0b20"</f>
        <v>0b20</v>
      </c>
      <c r="X5840" s="1" t="s">
        <v>35</v>
      </c>
    </row>
    <row r="5841" spans="1:24" x14ac:dyDescent="0.3">
      <c r="A5841" s="1" t="str">
        <f t="shared" si="1144"/>
        <v>59829</v>
      </c>
      <c r="B5841" s="1" t="s">
        <v>47</v>
      </c>
      <c r="C5841" s="1" t="s">
        <v>48</v>
      </c>
      <c r="D5841" s="1" t="str">
        <f t="shared" si="1146"/>
        <v>9801</v>
      </c>
      <c r="E5841" s="1" t="s">
        <v>25</v>
      </c>
      <c r="F5841" s="1" t="str">
        <f>"F2021403E7880400C834002000000015"</f>
        <v>F2021403E7880400C834002000000015</v>
      </c>
      <c r="G5841" s="1" t="s">
        <v>58</v>
      </c>
      <c r="H5841" s="1" t="str">
        <f t="shared" si="1140"/>
        <v>20220928</v>
      </c>
      <c r="I5841" s="1" t="str">
        <f>"130609"</f>
        <v>130609</v>
      </c>
      <c r="J5841" s="1" t="s">
        <v>60</v>
      </c>
      <c r="K5841" s="1" t="s">
        <v>52</v>
      </c>
      <c r="L5841" s="1" t="str">
        <f t="shared" si="1147"/>
        <v>20220928</v>
      </c>
      <c r="M5841" s="1" t="str">
        <f>"132950"</f>
        <v>132950</v>
      </c>
      <c r="N5841" s="1" t="s">
        <v>70</v>
      </c>
      <c r="O5841" s="1" t="s">
        <v>28</v>
      </c>
      <c r="P5841" s="1" t="s">
        <v>55</v>
      </c>
      <c r="Q5841" s="1">
        <v>25</v>
      </c>
      <c r="R5841" s="1">
        <v>25</v>
      </c>
      <c r="S5841" s="1">
        <v>0</v>
      </c>
      <c r="T5841" s="1">
        <v>0</v>
      </c>
      <c r="U5841" s="1">
        <v>0</v>
      </c>
      <c r="V5841" s="1" t="str">
        <f t="shared" si="1145"/>
        <v>里程去程</v>
      </c>
      <c r="W5841" s="1" t="str">
        <f>"0020"</f>
        <v>0020</v>
      </c>
      <c r="X5841" s="1" t="s">
        <v>29</v>
      </c>
    </row>
    <row r="5842" spans="1:24" x14ac:dyDescent="0.3">
      <c r="A5842" s="1" t="str">
        <f t="shared" si="1144"/>
        <v>59829</v>
      </c>
      <c r="B5842" s="1" t="s">
        <v>47</v>
      </c>
      <c r="C5842" s="1" t="s">
        <v>48</v>
      </c>
      <c r="D5842" s="1" t="str">
        <f t="shared" si="1146"/>
        <v>9801</v>
      </c>
      <c r="E5842" s="1" t="s">
        <v>25</v>
      </c>
      <c r="F5842" s="1" t="str">
        <f>"52ABE4011C880400C821002000000015"</f>
        <v>52ABE4011C880400C821002000000015</v>
      </c>
      <c r="G5842" s="1" t="s">
        <v>58</v>
      </c>
      <c r="H5842" s="1" t="str">
        <f t="shared" si="1140"/>
        <v>20220928</v>
      </c>
      <c r="I5842" s="1" t="str">
        <f>"130612"</f>
        <v>130612</v>
      </c>
      <c r="J5842" s="1" t="s">
        <v>60</v>
      </c>
      <c r="K5842" s="1" t="s">
        <v>52</v>
      </c>
      <c r="L5842" s="1" t="str">
        <f t="shared" si="1147"/>
        <v>20220928</v>
      </c>
      <c r="M5842" s="1" t="str">
        <f>"132946"</f>
        <v>132946</v>
      </c>
      <c r="N5842" s="1" t="s">
        <v>70</v>
      </c>
      <c r="O5842" s="1" t="s">
        <v>28</v>
      </c>
      <c r="P5842" s="1" t="s">
        <v>55</v>
      </c>
      <c r="Q5842" s="1">
        <v>25</v>
      </c>
      <c r="R5842" s="1">
        <v>25</v>
      </c>
      <c r="S5842" s="1">
        <v>0</v>
      </c>
      <c r="T5842" s="1">
        <v>0</v>
      </c>
      <c r="U5842" s="1">
        <v>0</v>
      </c>
      <c r="V5842" s="1" t="str">
        <f t="shared" si="1145"/>
        <v>里程去程</v>
      </c>
      <c r="W5842" s="1" t="str">
        <f>"0020"</f>
        <v>0020</v>
      </c>
      <c r="X5842" s="1" t="s">
        <v>29</v>
      </c>
    </row>
    <row r="5843" spans="1:24" x14ac:dyDescent="0.3">
      <c r="A5843" s="1" t="str">
        <f t="shared" si="1144"/>
        <v>59829</v>
      </c>
      <c r="B5843" s="1" t="s">
        <v>47</v>
      </c>
      <c r="C5843" s="1" t="s">
        <v>48</v>
      </c>
      <c r="D5843" s="1" t="str">
        <f t="shared" si="1146"/>
        <v>9801</v>
      </c>
      <c r="E5843" s="1" t="s">
        <v>25</v>
      </c>
      <c r="F5843" s="1" t="str">
        <f>"1070736513"</f>
        <v>1070736513</v>
      </c>
      <c r="G5843" s="1" t="s">
        <v>33</v>
      </c>
      <c r="H5843" s="1" t="str">
        <f t="shared" si="1140"/>
        <v>20220928</v>
      </c>
      <c r="I5843" s="1" t="str">
        <f>"131413"</f>
        <v>131413</v>
      </c>
      <c r="J5843" s="1" t="s">
        <v>80</v>
      </c>
      <c r="K5843" s="1" t="s">
        <v>52</v>
      </c>
      <c r="L5843" s="1" t="str">
        <f t="shared" si="1147"/>
        <v>20220928</v>
      </c>
      <c r="M5843" s="1" t="str">
        <f>"132940"</f>
        <v>132940</v>
      </c>
      <c r="N5843" s="1" t="s">
        <v>70</v>
      </c>
      <c r="O5843" s="1" t="s">
        <v>28</v>
      </c>
      <c r="P5843" s="1" t="s">
        <v>55</v>
      </c>
      <c r="Q5843" s="1">
        <v>25</v>
      </c>
      <c r="R5843" s="1">
        <v>0</v>
      </c>
      <c r="S5843" s="1">
        <v>25</v>
      </c>
      <c r="T5843" s="1">
        <v>0</v>
      </c>
      <c r="U5843" s="1">
        <v>0</v>
      </c>
      <c r="V5843" s="1" t="str">
        <f t="shared" si="1145"/>
        <v>里程去程</v>
      </c>
      <c r="W5843" s="1" t="str">
        <f>"2120"</f>
        <v>2120</v>
      </c>
      <c r="X5843" s="1" t="s">
        <v>35</v>
      </c>
    </row>
    <row r="5844" spans="1:24" x14ac:dyDescent="0.3">
      <c r="A5844" s="1" t="str">
        <f t="shared" si="1144"/>
        <v>59829</v>
      </c>
      <c r="B5844" s="1" t="s">
        <v>47</v>
      </c>
      <c r="C5844" s="1" t="s">
        <v>48</v>
      </c>
      <c r="D5844" s="1" t="str">
        <f t="shared" si="1146"/>
        <v>9801</v>
      </c>
      <c r="E5844" s="1" t="s">
        <v>25</v>
      </c>
      <c r="F5844" s="1" t="str">
        <f>"1750007845"</f>
        <v>1750007845</v>
      </c>
      <c r="G5844" s="1" t="s">
        <v>26</v>
      </c>
      <c r="H5844" s="1" t="str">
        <f t="shared" si="1140"/>
        <v>20220928</v>
      </c>
      <c r="I5844" s="1" t="str">
        <f>"165156"</f>
        <v>165156</v>
      </c>
      <c r="J5844" s="1" t="s">
        <v>45</v>
      </c>
      <c r="K5844" s="1" t="s">
        <v>45</v>
      </c>
      <c r="L5844" s="1" t="str">
        <f t="shared" si="1147"/>
        <v>20220928</v>
      </c>
      <c r="M5844" s="1" t="str">
        <f>"170508"</f>
        <v>170508</v>
      </c>
      <c r="N5844" s="1" t="s">
        <v>44</v>
      </c>
      <c r="O5844" s="1" t="s">
        <v>45</v>
      </c>
      <c r="P5844" s="1" t="s">
        <v>55</v>
      </c>
      <c r="Q5844" s="1">
        <v>13</v>
      </c>
      <c r="R5844" s="1">
        <v>0</v>
      </c>
      <c r="S5844" s="1">
        <v>13</v>
      </c>
      <c r="T5844" s="1">
        <v>0</v>
      </c>
      <c r="U5844" s="1">
        <v>0</v>
      </c>
      <c r="V5844" s="1" t="str">
        <f t="shared" si="1145"/>
        <v>里程去程</v>
      </c>
      <c r="W5844" s="1" t="str">
        <f>"2020"</f>
        <v>2020</v>
      </c>
      <c r="X5844" s="1" t="s">
        <v>35</v>
      </c>
    </row>
    <row r="5845" spans="1:24" x14ac:dyDescent="0.3">
      <c r="A5845" s="1" t="str">
        <f t="shared" si="1144"/>
        <v>59829</v>
      </c>
      <c r="B5845" s="1" t="s">
        <v>47</v>
      </c>
      <c r="C5845" s="1" t="s">
        <v>48</v>
      </c>
      <c r="D5845" s="1" t="str">
        <f t="shared" si="1146"/>
        <v>9801</v>
      </c>
      <c r="E5845" s="1" t="s">
        <v>25</v>
      </c>
      <c r="F5845" s="1" t="str">
        <f>"1189801733"</f>
        <v>1189801733</v>
      </c>
      <c r="G5845" s="1" t="s">
        <v>26</v>
      </c>
      <c r="H5845" s="1" t="str">
        <f t="shared" si="1140"/>
        <v>20220928</v>
      </c>
      <c r="I5845" s="1" t="str">
        <f>"165159"</f>
        <v>165159</v>
      </c>
      <c r="J5845" s="1" t="s">
        <v>45</v>
      </c>
      <c r="K5845" s="1" t="s">
        <v>45</v>
      </c>
      <c r="L5845" s="1" t="str">
        <f t="shared" si="1147"/>
        <v>20220928</v>
      </c>
      <c r="M5845" s="1" t="str">
        <f>"170511"</f>
        <v>170511</v>
      </c>
      <c r="N5845" s="1" t="s">
        <v>44</v>
      </c>
      <c r="O5845" s="1" t="s">
        <v>45</v>
      </c>
      <c r="P5845" s="1" t="s">
        <v>55</v>
      </c>
      <c r="Q5845" s="1">
        <v>13</v>
      </c>
      <c r="R5845" s="1">
        <v>0</v>
      </c>
      <c r="S5845" s="1">
        <v>13</v>
      </c>
      <c r="T5845" s="1">
        <v>0</v>
      </c>
      <c r="U5845" s="1">
        <v>0</v>
      </c>
      <c r="V5845" s="1" t="str">
        <f t="shared" si="1145"/>
        <v>里程去程</v>
      </c>
      <c r="W5845" s="1" t="str">
        <f>"2020"</f>
        <v>2020</v>
      </c>
      <c r="X5845" s="1" t="s">
        <v>35</v>
      </c>
    </row>
    <row r="5846" spans="1:24" x14ac:dyDescent="0.3">
      <c r="A5846" s="1" t="str">
        <f t="shared" si="1144"/>
        <v>59829</v>
      </c>
      <c r="B5846" s="1" t="s">
        <v>47</v>
      </c>
      <c r="C5846" s="1" t="s">
        <v>48</v>
      </c>
      <c r="D5846" s="1" t="str">
        <f t="shared" si="1146"/>
        <v>9801</v>
      </c>
      <c r="E5846" s="1" t="s">
        <v>25</v>
      </c>
      <c r="F5846" s="1" t="str">
        <f>"1189801733"</f>
        <v>1189801733</v>
      </c>
      <c r="G5846" s="1" t="s">
        <v>26</v>
      </c>
      <c r="H5846" s="1" t="str">
        <f t="shared" si="1140"/>
        <v>20220928</v>
      </c>
      <c r="I5846" s="1" t="str">
        <f>"172841"</f>
        <v>172841</v>
      </c>
      <c r="J5846" s="1" t="s">
        <v>44</v>
      </c>
      <c r="K5846" s="1" t="s">
        <v>45</v>
      </c>
      <c r="L5846" s="1" t="str">
        <f t="shared" si="1147"/>
        <v>20220928</v>
      </c>
      <c r="M5846" s="1" t="str">
        <f>"175707"</f>
        <v>175707</v>
      </c>
      <c r="N5846" s="1" t="s">
        <v>41</v>
      </c>
      <c r="O5846" s="1" t="s">
        <v>28</v>
      </c>
      <c r="P5846" s="1" t="s">
        <v>55</v>
      </c>
      <c r="Q5846" s="1">
        <v>13</v>
      </c>
      <c r="R5846" s="1">
        <v>0</v>
      </c>
      <c r="S5846" s="1">
        <v>13</v>
      </c>
      <c r="T5846" s="1">
        <v>0</v>
      </c>
      <c r="U5846" s="1">
        <v>0</v>
      </c>
      <c r="V5846" s="1" t="str">
        <f>"里程返程"</f>
        <v>里程返程</v>
      </c>
      <c r="W5846" s="1" t="str">
        <f>"2020"</f>
        <v>2020</v>
      </c>
      <c r="X5846" s="1" t="s">
        <v>35</v>
      </c>
    </row>
    <row r="5847" spans="1:24" x14ac:dyDescent="0.3">
      <c r="A5847" s="1" t="str">
        <f t="shared" si="1144"/>
        <v>59829</v>
      </c>
      <c r="B5847" s="1" t="s">
        <v>47</v>
      </c>
      <c r="C5847" s="1" t="s">
        <v>48</v>
      </c>
      <c r="D5847" s="1" t="str">
        <f t="shared" si="1146"/>
        <v>9801</v>
      </c>
      <c r="E5847" s="1" t="s">
        <v>25</v>
      </c>
      <c r="F5847" s="1" t="str">
        <f>"1750007845"</f>
        <v>1750007845</v>
      </c>
      <c r="G5847" s="1" t="s">
        <v>26</v>
      </c>
      <c r="H5847" s="1" t="str">
        <f t="shared" si="1140"/>
        <v>20220928</v>
      </c>
      <c r="I5847" s="1" t="str">
        <f>"172844"</f>
        <v>172844</v>
      </c>
      <c r="J5847" s="1" t="s">
        <v>44</v>
      </c>
      <c r="K5847" s="1" t="s">
        <v>45</v>
      </c>
      <c r="L5847" s="1" t="str">
        <f t="shared" si="1147"/>
        <v>20220928</v>
      </c>
      <c r="M5847" s="1" t="str">
        <f>"175704"</f>
        <v>175704</v>
      </c>
      <c r="N5847" s="1" t="s">
        <v>41</v>
      </c>
      <c r="O5847" s="1" t="s">
        <v>28</v>
      </c>
      <c r="P5847" s="1" t="s">
        <v>55</v>
      </c>
      <c r="Q5847" s="1">
        <v>13</v>
      </c>
      <c r="R5847" s="1">
        <v>0</v>
      </c>
      <c r="S5847" s="1">
        <v>13</v>
      </c>
      <c r="T5847" s="1">
        <v>0</v>
      </c>
      <c r="U5847" s="1">
        <v>0</v>
      </c>
      <c r="V5847" s="1" t="str">
        <f>"里程返程"</f>
        <v>里程返程</v>
      </c>
      <c r="W5847" s="1" t="str">
        <f>"2020"</f>
        <v>2020</v>
      </c>
      <c r="X5847" s="1" t="s">
        <v>35</v>
      </c>
    </row>
    <row r="5848" spans="1:24" x14ac:dyDescent="0.3">
      <c r="A5848" s="1" t="str">
        <f t="shared" si="1144"/>
        <v>59829</v>
      </c>
      <c r="B5848" s="1" t="s">
        <v>47</v>
      </c>
      <c r="C5848" s="1" t="s">
        <v>48</v>
      </c>
      <c r="D5848" s="1" t="str">
        <f t="shared" si="1146"/>
        <v>9801</v>
      </c>
      <c r="E5848" s="1" t="s">
        <v>25</v>
      </c>
      <c r="F5848" s="1" t="str">
        <f>"892975925"</f>
        <v>892975925</v>
      </c>
      <c r="G5848" s="1" t="s">
        <v>33</v>
      </c>
      <c r="H5848" s="1" t="str">
        <f t="shared" si="1140"/>
        <v>20220928</v>
      </c>
      <c r="I5848" s="1" t="str">
        <f>"184419"</f>
        <v>184419</v>
      </c>
      <c r="J5848" s="1" t="s">
        <v>56</v>
      </c>
      <c r="K5848" s="1" t="s">
        <v>45</v>
      </c>
      <c r="L5848" s="1" t="str">
        <f t="shared" si="1147"/>
        <v>20220928</v>
      </c>
      <c r="M5848" s="1" t="str">
        <f>"185501"</f>
        <v>185501</v>
      </c>
      <c r="N5848" s="1" t="s">
        <v>28</v>
      </c>
      <c r="O5848" s="1" t="s">
        <v>28</v>
      </c>
      <c r="P5848" s="1" t="s">
        <v>55</v>
      </c>
      <c r="Q5848" s="1">
        <v>25</v>
      </c>
      <c r="R5848" s="1">
        <v>25</v>
      </c>
      <c r="S5848" s="1">
        <v>0</v>
      </c>
      <c r="T5848" s="1">
        <v>0</v>
      </c>
      <c r="U5848" s="1">
        <v>0</v>
      </c>
      <c r="V5848" s="1" t="str">
        <f>"里程返程"</f>
        <v>里程返程</v>
      </c>
      <c r="W5848" s="1" t="str">
        <f>"2020"</f>
        <v>2020</v>
      </c>
      <c r="X5848" s="1" t="s">
        <v>35</v>
      </c>
    </row>
    <row r="5849" spans="1:24" x14ac:dyDescent="0.3">
      <c r="A5849" s="1" t="str">
        <f t="shared" si="1144"/>
        <v>59829</v>
      </c>
      <c r="B5849" s="1" t="s">
        <v>47</v>
      </c>
      <c r="C5849" s="1" t="s">
        <v>48</v>
      </c>
      <c r="D5849" s="1" t="str">
        <f>"9805"</f>
        <v>9805</v>
      </c>
      <c r="E5849" s="1" t="s">
        <v>57</v>
      </c>
      <c r="F5849" s="1" t="str">
        <f>"967805749"</f>
        <v>967805749</v>
      </c>
      <c r="G5849" s="1" t="s">
        <v>38</v>
      </c>
      <c r="H5849" s="1" t="str">
        <f t="shared" si="1140"/>
        <v>20220928</v>
      </c>
      <c r="I5849" s="1" t="str">
        <f>"211719"</f>
        <v>211719</v>
      </c>
      <c r="J5849" s="1" t="s">
        <v>28</v>
      </c>
      <c r="K5849" s="1" t="s">
        <v>28</v>
      </c>
      <c r="L5849" s="1" t="str">
        <f t="shared" si="1147"/>
        <v>20220928</v>
      </c>
      <c r="M5849" s="1" t="str">
        <f>"213303"</f>
        <v>213303</v>
      </c>
      <c r="N5849" s="1" t="s">
        <v>56</v>
      </c>
      <c r="O5849" s="1" t="s">
        <v>28</v>
      </c>
      <c r="P5849" s="1" t="s">
        <v>55</v>
      </c>
      <c r="Q5849" s="1">
        <v>25</v>
      </c>
      <c r="R5849" s="1">
        <v>0</v>
      </c>
      <c r="S5849" s="1">
        <v>25</v>
      </c>
      <c r="T5849" s="1">
        <v>0</v>
      </c>
      <c r="U5849" s="1">
        <v>0</v>
      </c>
      <c r="V5849" s="1" t="str">
        <f>"里程去程"</f>
        <v>里程去程</v>
      </c>
      <c r="W5849" s="1" t="str">
        <f>"0820"</f>
        <v>0820</v>
      </c>
      <c r="X5849" s="1" t="s">
        <v>35</v>
      </c>
    </row>
    <row r="5850" spans="1:24" x14ac:dyDescent="0.3">
      <c r="A5850" s="1" t="str">
        <f t="shared" ref="A5850:A5879" si="1148">"59809"</f>
        <v>59809</v>
      </c>
      <c r="B5850" s="1" t="s">
        <v>42</v>
      </c>
      <c r="C5850" s="1" t="s">
        <v>43</v>
      </c>
      <c r="D5850" s="1" t="str">
        <f>"9803"</f>
        <v>9803</v>
      </c>
      <c r="E5850" s="1" t="s">
        <v>32</v>
      </c>
      <c r="F5850" s="1" t="str">
        <f>"1548808961"</f>
        <v>1548808961</v>
      </c>
      <c r="G5850" s="1" t="s">
        <v>33</v>
      </c>
      <c r="H5850" s="1" t="str">
        <f t="shared" ref="H5850:H5881" si="1149">"20220929"</f>
        <v>20220929</v>
      </c>
      <c r="I5850" s="1" t="str">
        <f>"061654"</f>
        <v>061654</v>
      </c>
      <c r="J5850" s="1" t="s">
        <v>28</v>
      </c>
      <c r="K5850" s="1" t="s">
        <v>28</v>
      </c>
      <c r="L5850" s="1" t="str">
        <f t="shared" ref="L5850:L5881" si="1150">"20220929"</f>
        <v>20220929</v>
      </c>
      <c r="M5850" s="1" t="str">
        <f>"063646"</f>
        <v>063646</v>
      </c>
      <c r="N5850" s="1" t="s">
        <v>89</v>
      </c>
      <c r="O5850" s="1" t="s">
        <v>28</v>
      </c>
      <c r="P5850" s="1" t="s">
        <v>55</v>
      </c>
      <c r="Q5850" s="1">
        <v>25</v>
      </c>
      <c r="R5850" s="1">
        <v>25</v>
      </c>
      <c r="S5850" s="1">
        <v>0</v>
      </c>
      <c r="T5850" s="1">
        <v>0</v>
      </c>
      <c r="U5850" s="1">
        <v>0</v>
      </c>
      <c r="V5850" s="1" t="str">
        <f>"里程去程"</f>
        <v>里程去程</v>
      </c>
      <c r="W5850" s="1" t="str">
        <f>"0e20"</f>
        <v>0e20</v>
      </c>
      <c r="X5850" s="1" t="s">
        <v>35</v>
      </c>
    </row>
    <row r="5851" spans="1:24" x14ac:dyDescent="0.3">
      <c r="A5851" s="1" t="str">
        <f t="shared" si="1148"/>
        <v>59809</v>
      </c>
      <c r="B5851" s="1" t="s">
        <v>42</v>
      </c>
      <c r="C5851" s="1" t="s">
        <v>43</v>
      </c>
      <c r="D5851" s="1" t="str">
        <f t="shared" ref="D5851:D5866" si="1151">"9806"</f>
        <v>9806</v>
      </c>
      <c r="E5851" s="1" t="s">
        <v>49</v>
      </c>
      <c r="F5851" s="1" t="str">
        <f>"538267473"</f>
        <v>538267473</v>
      </c>
      <c r="G5851" s="1" t="s">
        <v>33</v>
      </c>
      <c r="H5851" s="1" t="str">
        <f t="shared" si="1149"/>
        <v>20220929</v>
      </c>
      <c r="I5851" s="1" t="str">
        <f>"072820"</f>
        <v>072820</v>
      </c>
      <c r="J5851" s="1" t="s">
        <v>28</v>
      </c>
      <c r="K5851" s="1" t="s">
        <v>28</v>
      </c>
      <c r="L5851" s="1" t="str">
        <f t="shared" si="1150"/>
        <v>20220929</v>
      </c>
      <c r="M5851" s="1" t="str">
        <f>"074542"</f>
        <v>074542</v>
      </c>
      <c r="N5851" s="1" t="s">
        <v>99</v>
      </c>
      <c r="O5851" s="1" t="s">
        <v>28</v>
      </c>
      <c r="P5851" s="1" t="s">
        <v>55</v>
      </c>
      <c r="Q5851" s="1">
        <v>25</v>
      </c>
      <c r="R5851" s="1">
        <v>0</v>
      </c>
      <c r="S5851" s="1">
        <v>25</v>
      </c>
      <c r="T5851" s="1">
        <v>0</v>
      </c>
      <c r="U5851" s="1">
        <v>0</v>
      </c>
      <c r="V5851" s="1" t="str">
        <f t="shared" ref="V5851:V5865" si="1152">"里程返程"</f>
        <v>里程返程</v>
      </c>
      <c r="W5851" s="1" t="str">
        <f>"0820"</f>
        <v>0820</v>
      </c>
      <c r="X5851" s="1" t="s">
        <v>35</v>
      </c>
    </row>
    <row r="5852" spans="1:24" x14ac:dyDescent="0.3">
      <c r="A5852" s="1" t="str">
        <f t="shared" si="1148"/>
        <v>59809</v>
      </c>
      <c r="B5852" s="1" t="s">
        <v>42</v>
      </c>
      <c r="C5852" s="1" t="s">
        <v>43</v>
      </c>
      <c r="D5852" s="1" t="str">
        <f t="shared" si="1151"/>
        <v>9806</v>
      </c>
      <c r="E5852" s="1" t="s">
        <v>49</v>
      </c>
      <c r="F5852" s="1" t="str">
        <f>"72993516C8880400C814002000000019"</f>
        <v>72993516C8880400C814002000000019</v>
      </c>
      <c r="G5852" s="1" t="s">
        <v>59</v>
      </c>
      <c r="H5852" s="1" t="str">
        <f t="shared" si="1149"/>
        <v>20220929</v>
      </c>
      <c r="I5852" s="1" t="str">
        <f>"072828"</f>
        <v>072828</v>
      </c>
      <c r="J5852" s="1" t="s">
        <v>28</v>
      </c>
      <c r="K5852" s="1" t="s">
        <v>28</v>
      </c>
      <c r="L5852" s="1" t="str">
        <f t="shared" si="1150"/>
        <v>20220929</v>
      </c>
      <c r="M5852" s="1" t="str">
        <f>"073808"</f>
        <v>073808</v>
      </c>
      <c r="N5852" s="1" t="s">
        <v>63</v>
      </c>
      <c r="O5852" s="1" t="s">
        <v>28</v>
      </c>
      <c r="P5852" s="1" t="s">
        <v>55</v>
      </c>
      <c r="Q5852" s="1">
        <v>25</v>
      </c>
      <c r="R5852" s="1">
        <v>0</v>
      </c>
      <c r="S5852" s="1">
        <v>25</v>
      </c>
      <c r="T5852" s="1">
        <v>0</v>
      </c>
      <c r="U5852" s="1">
        <v>0</v>
      </c>
      <c r="V5852" s="1" t="str">
        <f t="shared" si="1152"/>
        <v>里程返程</v>
      </c>
      <c r="W5852" s="1" t="str">
        <f>"0620"</f>
        <v>0620</v>
      </c>
      <c r="X5852" s="1" t="s">
        <v>29</v>
      </c>
    </row>
    <row r="5853" spans="1:24" x14ac:dyDescent="0.3">
      <c r="A5853" s="1" t="str">
        <f t="shared" si="1148"/>
        <v>59809</v>
      </c>
      <c r="B5853" s="1" t="s">
        <v>42</v>
      </c>
      <c r="C5853" s="1" t="s">
        <v>43</v>
      </c>
      <c r="D5853" s="1" t="str">
        <f t="shared" si="1151"/>
        <v>9806</v>
      </c>
      <c r="E5853" s="1" t="s">
        <v>49</v>
      </c>
      <c r="F5853" s="1" t="str">
        <f>"62C93D1680880400C814002000000019"</f>
        <v>62C93D1680880400C814002000000019</v>
      </c>
      <c r="G5853" s="1" t="s">
        <v>59</v>
      </c>
      <c r="H5853" s="1" t="str">
        <f t="shared" si="1149"/>
        <v>20220929</v>
      </c>
      <c r="I5853" s="1" t="str">
        <f>"072831"</f>
        <v>072831</v>
      </c>
      <c r="J5853" s="1" t="s">
        <v>28</v>
      </c>
      <c r="K5853" s="1" t="s">
        <v>28</v>
      </c>
      <c r="L5853" s="1" t="str">
        <f t="shared" si="1150"/>
        <v>20220929</v>
      </c>
      <c r="M5853" s="1" t="str">
        <f>"073804"</f>
        <v>073804</v>
      </c>
      <c r="N5853" s="1" t="s">
        <v>63</v>
      </c>
      <c r="O5853" s="1" t="s">
        <v>28</v>
      </c>
      <c r="P5853" s="1" t="s">
        <v>55</v>
      </c>
      <c r="Q5853" s="1">
        <v>25</v>
      </c>
      <c r="R5853" s="1">
        <v>0</v>
      </c>
      <c r="S5853" s="1">
        <v>25</v>
      </c>
      <c r="T5853" s="1">
        <v>0</v>
      </c>
      <c r="U5853" s="1">
        <v>0</v>
      </c>
      <c r="V5853" s="1" t="str">
        <f t="shared" si="1152"/>
        <v>里程返程</v>
      </c>
      <c r="W5853" s="1" t="str">
        <f>"0620"</f>
        <v>0620</v>
      </c>
      <c r="X5853" s="1" t="s">
        <v>29</v>
      </c>
    </row>
    <row r="5854" spans="1:24" x14ac:dyDescent="0.3">
      <c r="A5854" s="1" t="str">
        <f t="shared" si="1148"/>
        <v>59809</v>
      </c>
      <c r="B5854" s="1" t="s">
        <v>42</v>
      </c>
      <c r="C5854" s="1" t="s">
        <v>43</v>
      </c>
      <c r="D5854" s="1" t="str">
        <f t="shared" si="1151"/>
        <v>9806</v>
      </c>
      <c r="E5854" s="1" t="s">
        <v>49</v>
      </c>
      <c r="F5854" s="1" t="str">
        <f>"52083B1879880400C819002000000019"</f>
        <v>52083B1879880400C819002000000019</v>
      </c>
      <c r="G5854" s="1" t="s">
        <v>59</v>
      </c>
      <c r="H5854" s="1" t="str">
        <f t="shared" si="1149"/>
        <v>20220929</v>
      </c>
      <c r="I5854" s="1" t="str">
        <f>"072833"</f>
        <v>072833</v>
      </c>
      <c r="J5854" s="1" t="s">
        <v>28</v>
      </c>
      <c r="K5854" s="1" t="s">
        <v>28</v>
      </c>
      <c r="L5854" s="1" t="str">
        <f t="shared" si="1150"/>
        <v>20220929</v>
      </c>
      <c r="M5854" s="1" t="str">
        <f>"073811"</f>
        <v>073811</v>
      </c>
      <c r="N5854" s="1" t="s">
        <v>63</v>
      </c>
      <c r="O5854" s="1" t="s">
        <v>28</v>
      </c>
      <c r="P5854" s="1" t="s">
        <v>55</v>
      </c>
      <c r="Q5854" s="1">
        <v>25</v>
      </c>
      <c r="R5854" s="1">
        <v>0</v>
      </c>
      <c r="S5854" s="1">
        <v>25</v>
      </c>
      <c r="T5854" s="1">
        <v>0</v>
      </c>
      <c r="U5854" s="1">
        <v>0</v>
      </c>
      <c r="V5854" s="1" t="str">
        <f t="shared" si="1152"/>
        <v>里程返程</v>
      </c>
      <c r="W5854" s="1" t="str">
        <f>"0620"</f>
        <v>0620</v>
      </c>
      <c r="X5854" s="1" t="s">
        <v>29</v>
      </c>
    </row>
    <row r="5855" spans="1:24" x14ac:dyDescent="0.3">
      <c r="A5855" s="1" t="str">
        <f t="shared" si="1148"/>
        <v>59809</v>
      </c>
      <c r="B5855" s="1" t="s">
        <v>42</v>
      </c>
      <c r="C5855" s="1" t="s">
        <v>43</v>
      </c>
      <c r="D5855" s="1" t="str">
        <f t="shared" si="1151"/>
        <v>9806</v>
      </c>
      <c r="E5855" s="1" t="s">
        <v>49</v>
      </c>
      <c r="F5855" s="1" t="str">
        <f>"651205381"</f>
        <v>651205381</v>
      </c>
      <c r="G5855" s="1" t="s">
        <v>33</v>
      </c>
      <c r="H5855" s="1" t="str">
        <f t="shared" si="1149"/>
        <v>20220929</v>
      </c>
      <c r="I5855" s="1" t="str">
        <f>"072835"</f>
        <v>072835</v>
      </c>
      <c r="J5855" s="1" t="s">
        <v>28</v>
      </c>
      <c r="K5855" s="1" t="s">
        <v>28</v>
      </c>
      <c r="L5855" s="1" t="str">
        <f t="shared" si="1150"/>
        <v>20220929</v>
      </c>
      <c r="M5855" s="1" t="str">
        <f>"074540"</f>
        <v>074540</v>
      </c>
      <c r="N5855" s="1" t="s">
        <v>99</v>
      </c>
      <c r="O5855" s="1" t="s">
        <v>28</v>
      </c>
      <c r="P5855" s="1" t="s">
        <v>55</v>
      </c>
      <c r="Q5855" s="1">
        <v>25</v>
      </c>
      <c r="R5855" s="1">
        <v>25</v>
      </c>
      <c r="S5855" s="1">
        <v>0</v>
      </c>
      <c r="T5855" s="1">
        <v>0</v>
      </c>
      <c r="U5855" s="1">
        <v>0</v>
      </c>
      <c r="V5855" s="1" t="str">
        <f t="shared" si="1152"/>
        <v>里程返程</v>
      </c>
      <c r="W5855" s="1" t="str">
        <f>"0620"</f>
        <v>0620</v>
      </c>
      <c r="X5855" s="1" t="s">
        <v>35</v>
      </c>
    </row>
    <row r="5856" spans="1:24" x14ac:dyDescent="0.3">
      <c r="A5856" s="1" t="str">
        <f t="shared" si="1148"/>
        <v>59809</v>
      </c>
      <c r="B5856" s="1" t="s">
        <v>42</v>
      </c>
      <c r="C5856" s="1" t="s">
        <v>43</v>
      </c>
      <c r="D5856" s="1" t="str">
        <f t="shared" si="1151"/>
        <v>9806</v>
      </c>
      <c r="E5856" s="1" t="s">
        <v>49</v>
      </c>
      <c r="F5856" s="1" t="str">
        <f>"1697487813"</f>
        <v>1697487813</v>
      </c>
      <c r="G5856" s="1" t="s">
        <v>33</v>
      </c>
      <c r="H5856" s="1" t="str">
        <f t="shared" si="1149"/>
        <v>20220929</v>
      </c>
      <c r="I5856" s="1" t="str">
        <f>"072838"</f>
        <v>072838</v>
      </c>
      <c r="J5856" s="1" t="s">
        <v>28</v>
      </c>
      <c r="K5856" s="1" t="s">
        <v>28</v>
      </c>
      <c r="L5856" s="1" t="str">
        <f t="shared" si="1150"/>
        <v>20220929</v>
      </c>
      <c r="M5856" s="1" t="str">
        <f>"074550"</f>
        <v>074550</v>
      </c>
      <c r="N5856" s="1" t="s">
        <v>99</v>
      </c>
      <c r="O5856" s="1" t="s">
        <v>28</v>
      </c>
      <c r="P5856" s="1" t="s">
        <v>55</v>
      </c>
      <c r="Q5856" s="1">
        <v>25</v>
      </c>
      <c r="R5856" s="1">
        <v>0</v>
      </c>
      <c r="S5856" s="1">
        <v>25</v>
      </c>
      <c r="T5856" s="1">
        <v>0</v>
      </c>
      <c r="U5856" s="1">
        <v>0</v>
      </c>
      <c r="V5856" s="1" t="str">
        <f t="shared" si="1152"/>
        <v>里程返程</v>
      </c>
      <c r="W5856" s="1" t="str">
        <f>"0820"</f>
        <v>0820</v>
      </c>
      <c r="X5856" s="1" t="s">
        <v>35</v>
      </c>
    </row>
    <row r="5857" spans="1:24" x14ac:dyDescent="0.3">
      <c r="A5857" s="1" t="str">
        <f t="shared" si="1148"/>
        <v>59809</v>
      </c>
      <c r="B5857" s="1" t="s">
        <v>42</v>
      </c>
      <c r="C5857" s="1" t="s">
        <v>43</v>
      </c>
      <c r="D5857" s="1" t="str">
        <f t="shared" si="1151"/>
        <v>9806</v>
      </c>
      <c r="E5857" s="1" t="s">
        <v>49</v>
      </c>
      <c r="F5857" s="1" t="str">
        <f>"1107382869"</f>
        <v>1107382869</v>
      </c>
      <c r="G5857" s="1" t="s">
        <v>33</v>
      </c>
      <c r="H5857" s="1" t="str">
        <f t="shared" si="1149"/>
        <v>20220929</v>
      </c>
      <c r="I5857" s="1" t="str">
        <f>"072840"</f>
        <v>072840</v>
      </c>
      <c r="J5857" s="1" t="s">
        <v>28</v>
      </c>
      <c r="K5857" s="1" t="s">
        <v>28</v>
      </c>
      <c r="L5857" s="1" t="str">
        <f t="shared" si="1150"/>
        <v>20220929</v>
      </c>
      <c r="M5857" s="1" t="str">
        <f>"074545"</f>
        <v>074545</v>
      </c>
      <c r="N5857" s="1" t="s">
        <v>99</v>
      </c>
      <c r="O5857" s="1" t="s">
        <v>28</v>
      </c>
      <c r="P5857" s="1" t="s">
        <v>55</v>
      </c>
      <c r="Q5857" s="1">
        <v>25</v>
      </c>
      <c r="R5857" s="1">
        <v>0</v>
      </c>
      <c r="S5857" s="1">
        <v>25</v>
      </c>
      <c r="T5857" s="1">
        <v>0</v>
      </c>
      <c r="U5857" s="1">
        <v>0</v>
      </c>
      <c r="V5857" s="1" t="str">
        <f t="shared" si="1152"/>
        <v>里程返程</v>
      </c>
      <c r="W5857" s="1" t="str">
        <f>"0820"</f>
        <v>0820</v>
      </c>
      <c r="X5857" s="1" t="s">
        <v>35</v>
      </c>
    </row>
    <row r="5858" spans="1:24" x14ac:dyDescent="0.3">
      <c r="A5858" s="1" t="str">
        <f t="shared" si="1148"/>
        <v>59809</v>
      </c>
      <c r="B5858" s="1" t="s">
        <v>42</v>
      </c>
      <c r="C5858" s="1" t="s">
        <v>43</v>
      </c>
      <c r="D5858" s="1" t="str">
        <f t="shared" si="1151"/>
        <v>9806</v>
      </c>
      <c r="E5858" s="1" t="s">
        <v>49</v>
      </c>
      <c r="F5858" s="1" t="str">
        <f>"5294A50063880400C801002000000015"</f>
        <v>5294A50063880400C801002000000015</v>
      </c>
      <c r="G5858" s="1" t="s">
        <v>58</v>
      </c>
      <c r="H5858" s="1" t="str">
        <f t="shared" si="1149"/>
        <v>20220929</v>
      </c>
      <c r="I5858" s="1" t="str">
        <f>"072843"</f>
        <v>072843</v>
      </c>
      <c r="J5858" s="1" t="s">
        <v>28</v>
      </c>
      <c r="K5858" s="1" t="s">
        <v>28</v>
      </c>
      <c r="L5858" s="1" t="str">
        <f t="shared" si="1150"/>
        <v>20220929</v>
      </c>
      <c r="M5858" s="1" t="str">
        <f>"074552"</f>
        <v>074552</v>
      </c>
      <c r="N5858" s="1" t="s">
        <v>99</v>
      </c>
      <c r="O5858" s="1" t="s">
        <v>28</v>
      </c>
      <c r="P5858" s="1" t="s">
        <v>55</v>
      </c>
      <c r="Q5858" s="1">
        <v>25</v>
      </c>
      <c r="R5858" s="1">
        <v>0</v>
      </c>
      <c r="S5858" s="1">
        <v>25</v>
      </c>
      <c r="T5858" s="1">
        <v>0</v>
      </c>
      <c r="U5858" s="1">
        <v>0</v>
      </c>
      <c r="V5858" s="1" t="str">
        <f t="shared" si="1152"/>
        <v>里程返程</v>
      </c>
      <c r="W5858" s="1" t="str">
        <f>"0620"</f>
        <v>0620</v>
      </c>
      <c r="X5858" s="1" t="s">
        <v>29</v>
      </c>
    </row>
    <row r="5859" spans="1:24" x14ac:dyDescent="0.3">
      <c r="A5859" s="1" t="str">
        <f t="shared" si="1148"/>
        <v>59809</v>
      </c>
      <c r="B5859" s="1" t="s">
        <v>42</v>
      </c>
      <c r="C5859" s="1" t="s">
        <v>111</v>
      </c>
      <c r="D5859" s="1" t="str">
        <f t="shared" si="1151"/>
        <v>9806</v>
      </c>
      <c r="E5859" s="1" t="s">
        <v>49</v>
      </c>
      <c r="F5859" s="1" t="str">
        <f>"7111220514006728"</f>
        <v>7111220514006728</v>
      </c>
      <c r="G5859" s="1" t="s">
        <v>33</v>
      </c>
      <c r="H5859" s="1" t="str">
        <f t="shared" si="1149"/>
        <v>20220929</v>
      </c>
      <c r="I5859" s="1" t="str">
        <f>"072845"</f>
        <v>072845</v>
      </c>
      <c r="J5859" s="1" t="s">
        <v>28</v>
      </c>
      <c r="K5859" s="1" t="s">
        <v>28</v>
      </c>
      <c r="L5859" s="1" t="str">
        <f t="shared" si="1150"/>
        <v>20220929</v>
      </c>
      <c r="M5859" s="1" t="str">
        <f>"074548"</f>
        <v>074548</v>
      </c>
      <c r="N5859" s="1" t="s">
        <v>99</v>
      </c>
      <c r="O5859" s="1" t="s">
        <v>28</v>
      </c>
      <c r="P5859" s="1" t="s">
        <v>55</v>
      </c>
      <c r="Q5859" s="1">
        <v>25</v>
      </c>
      <c r="R5859" s="1">
        <v>25</v>
      </c>
      <c r="S5859" s="1">
        <v>0</v>
      </c>
      <c r="T5859" s="1">
        <v>0</v>
      </c>
      <c r="U5859" s="1">
        <v>0</v>
      </c>
      <c r="V5859" s="1" t="str">
        <f t="shared" si="1152"/>
        <v>里程返程</v>
      </c>
      <c r="W5859" s="1" t="str">
        <f>"088B"</f>
        <v>088B</v>
      </c>
      <c r="X5859" s="1" t="s">
        <v>109</v>
      </c>
    </row>
    <row r="5860" spans="1:24" x14ac:dyDescent="0.3">
      <c r="A5860" s="1" t="str">
        <f t="shared" si="1148"/>
        <v>59809</v>
      </c>
      <c r="B5860" s="1" t="s">
        <v>42</v>
      </c>
      <c r="C5860" s="1" t="s">
        <v>43</v>
      </c>
      <c r="D5860" s="1" t="str">
        <f t="shared" si="1151"/>
        <v>9806</v>
      </c>
      <c r="E5860" s="1" t="s">
        <v>49</v>
      </c>
      <c r="F5860" s="1" t="str">
        <f>"22C03B16CF880400C814002000000019"</f>
        <v>22C03B16CF880400C814002000000019</v>
      </c>
      <c r="G5860" s="1" t="s">
        <v>59</v>
      </c>
      <c r="H5860" s="1" t="str">
        <f t="shared" si="1149"/>
        <v>20220929</v>
      </c>
      <c r="I5860" s="1" t="str">
        <f>"072848"</f>
        <v>072848</v>
      </c>
      <c r="J5860" s="1" t="s">
        <v>28</v>
      </c>
      <c r="K5860" s="1" t="s">
        <v>28</v>
      </c>
      <c r="L5860" s="1" t="str">
        <f t="shared" si="1150"/>
        <v>20220929</v>
      </c>
      <c r="M5860" s="1" t="str">
        <f>"073815"</f>
        <v>073815</v>
      </c>
      <c r="N5860" s="1" t="s">
        <v>63</v>
      </c>
      <c r="O5860" s="1" t="s">
        <v>28</v>
      </c>
      <c r="P5860" s="1" t="s">
        <v>55</v>
      </c>
      <c r="Q5860" s="1">
        <v>25</v>
      </c>
      <c r="R5860" s="1">
        <v>0</v>
      </c>
      <c r="S5860" s="1">
        <v>25</v>
      </c>
      <c r="T5860" s="1">
        <v>0</v>
      </c>
      <c r="U5860" s="1">
        <v>0</v>
      </c>
      <c r="V5860" s="1" t="str">
        <f t="shared" si="1152"/>
        <v>里程返程</v>
      </c>
      <c r="W5860" s="1" t="str">
        <f>"0620"</f>
        <v>0620</v>
      </c>
      <c r="X5860" s="1" t="s">
        <v>29</v>
      </c>
    </row>
    <row r="5861" spans="1:24" x14ac:dyDescent="0.3">
      <c r="A5861" s="1" t="str">
        <f t="shared" si="1148"/>
        <v>59809</v>
      </c>
      <c r="B5861" s="1" t="s">
        <v>42</v>
      </c>
      <c r="C5861" s="1" t="s">
        <v>43</v>
      </c>
      <c r="D5861" s="1" t="str">
        <f t="shared" si="1151"/>
        <v>9806</v>
      </c>
      <c r="E5861" s="1" t="s">
        <v>49</v>
      </c>
      <c r="F5861" s="1" t="str">
        <f>"1055537829"</f>
        <v>1055537829</v>
      </c>
      <c r="G5861" s="1" t="s">
        <v>33</v>
      </c>
      <c r="H5861" s="1" t="str">
        <f t="shared" si="1149"/>
        <v>20220929</v>
      </c>
      <c r="I5861" s="1" t="str">
        <f>"072850"</f>
        <v>072850</v>
      </c>
      <c r="J5861" s="1" t="s">
        <v>28</v>
      </c>
      <c r="K5861" s="1" t="s">
        <v>28</v>
      </c>
      <c r="L5861" s="1" t="str">
        <f t="shared" si="1150"/>
        <v>20220929</v>
      </c>
      <c r="M5861" s="1" t="str">
        <f>"073822"</f>
        <v>073822</v>
      </c>
      <c r="N5861" s="1" t="s">
        <v>63</v>
      </c>
      <c r="O5861" s="1" t="s">
        <v>28</v>
      </c>
      <c r="P5861" s="1" t="s">
        <v>55</v>
      </c>
      <c r="Q5861" s="1">
        <v>25</v>
      </c>
      <c r="R5861" s="1">
        <v>0</v>
      </c>
      <c r="S5861" s="1">
        <v>25</v>
      </c>
      <c r="T5861" s="1">
        <v>0</v>
      </c>
      <c r="U5861" s="1">
        <v>0</v>
      </c>
      <c r="V5861" s="1" t="str">
        <f t="shared" si="1152"/>
        <v>里程返程</v>
      </c>
      <c r="W5861" s="1" t="str">
        <f>"0820"</f>
        <v>0820</v>
      </c>
      <c r="X5861" s="1" t="s">
        <v>35</v>
      </c>
    </row>
    <row r="5862" spans="1:24" x14ac:dyDescent="0.3">
      <c r="A5862" s="1" t="str">
        <f t="shared" si="1148"/>
        <v>59809</v>
      </c>
      <c r="B5862" s="1" t="s">
        <v>42</v>
      </c>
      <c r="C5862" s="1" t="s">
        <v>43</v>
      </c>
      <c r="D5862" s="1" t="str">
        <f t="shared" si="1151"/>
        <v>9806</v>
      </c>
      <c r="E5862" s="1" t="s">
        <v>49</v>
      </c>
      <c r="F5862" s="1" t="str">
        <f>"F238370AF7880400C810002000000016"</f>
        <v>F238370AF7880400C810002000000016</v>
      </c>
      <c r="G5862" s="1" t="s">
        <v>59</v>
      </c>
      <c r="H5862" s="1" t="str">
        <f t="shared" si="1149"/>
        <v>20220929</v>
      </c>
      <c r="I5862" s="1" t="str">
        <f>"072853"</f>
        <v>072853</v>
      </c>
      <c r="J5862" s="1" t="s">
        <v>28</v>
      </c>
      <c r="K5862" s="1" t="s">
        <v>28</v>
      </c>
      <c r="L5862" s="1" t="str">
        <f t="shared" si="1150"/>
        <v>20220929</v>
      </c>
      <c r="M5862" s="1" t="str">
        <f>"073825"</f>
        <v>073825</v>
      </c>
      <c r="N5862" s="1" t="s">
        <v>63</v>
      </c>
      <c r="O5862" s="1" t="s">
        <v>28</v>
      </c>
      <c r="P5862" s="1" t="s">
        <v>55</v>
      </c>
      <c r="Q5862" s="1">
        <v>25</v>
      </c>
      <c r="R5862" s="1">
        <v>0</v>
      </c>
      <c r="S5862" s="1">
        <v>25</v>
      </c>
      <c r="T5862" s="1">
        <v>0</v>
      </c>
      <c r="U5862" s="1">
        <v>0</v>
      </c>
      <c r="V5862" s="1" t="str">
        <f t="shared" si="1152"/>
        <v>里程返程</v>
      </c>
      <c r="W5862" s="1" t="str">
        <f>"0620"</f>
        <v>0620</v>
      </c>
      <c r="X5862" s="1" t="s">
        <v>29</v>
      </c>
    </row>
    <row r="5863" spans="1:24" x14ac:dyDescent="0.3">
      <c r="A5863" s="1" t="str">
        <f t="shared" si="1148"/>
        <v>59809</v>
      </c>
      <c r="B5863" s="1" t="s">
        <v>42</v>
      </c>
      <c r="C5863" s="1" t="s">
        <v>43</v>
      </c>
      <c r="D5863" s="1" t="str">
        <f t="shared" si="1151"/>
        <v>9806</v>
      </c>
      <c r="E5863" s="1" t="s">
        <v>49</v>
      </c>
      <c r="F5863" s="1" t="str">
        <f>"1845872357"</f>
        <v>1845872357</v>
      </c>
      <c r="G5863" s="1" t="s">
        <v>33</v>
      </c>
      <c r="H5863" s="1" t="str">
        <f t="shared" si="1149"/>
        <v>20220929</v>
      </c>
      <c r="I5863" s="1" t="str">
        <f>"072855"</f>
        <v>072855</v>
      </c>
      <c r="J5863" s="1" t="s">
        <v>28</v>
      </c>
      <c r="K5863" s="1" t="s">
        <v>28</v>
      </c>
      <c r="L5863" s="1" t="str">
        <f t="shared" si="1150"/>
        <v>20220929</v>
      </c>
      <c r="M5863" s="1" t="str">
        <f>"073818"</f>
        <v>073818</v>
      </c>
      <c r="N5863" s="1" t="s">
        <v>63</v>
      </c>
      <c r="O5863" s="1" t="s">
        <v>28</v>
      </c>
      <c r="P5863" s="1" t="s">
        <v>55</v>
      </c>
      <c r="Q5863" s="1">
        <v>25</v>
      </c>
      <c r="R5863" s="1">
        <v>0</v>
      </c>
      <c r="S5863" s="1">
        <v>25</v>
      </c>
      <c r="T5863" s="1">
        <v>0</v>
      </c>
      <c r="U5863" s="1">
        <v>0</v>
      </c>
      <c r="V5863" s="1" t="str">
        <f t="shared" si="1152"/>
        <v>里程返程</v>
      </c>
      <c r="W5863" s="1" t="str">
        <f>"0820"</f>
        <v>0820</v>
      </c>
      <c r="X5863" s="1" t="s">
        <v>35</v>
      </c>
    </row>
    <row r="5864" spans="1:24" x14ac:dyDescent="0.3">
      <c r="A5864" s="1" t="str">
        <f t="shared" si="1148"/>
        <v>59809</v>
      </c>
      <c r="B5864" s="1" t="s">
        <v>42</v>
      </c>
      <c r="C5864" s="1" t="s">
        <v>43</v>
      </c>
      <c r="D5864" s="1" t="str">
        <f t="shared" si="1151"/>
        <v>9806</v>
      </c>
      <c r="E5864" s="1" t="s">
        <v>49</v>
      </c>
      <c r="F5864" s="1" t="str">
        <f>"B211E70246880400C834002000000015"</f>
        <v>B211E70246880400C834002000000015</v>
      </c>
      <c r="G5864" s="1" t="s">
        <v>74</v>
      </c>
      <c r="H5864" s="1" t="str">
        <f t="shared" si="1149"/>
        <v>20220929</v>
      </c>
      <c r="I5864" s="1" t="str">
        <f>"073319"</f>
        <v>073319</v>
      </c>
      <c r="J5864" s="1" t="s">
        <v>101</v>
      </c>
      <c r="K5864" s="1" t="s">
        <v>28</v>
      </c>
      <c r="L5864" s="1" t="str">
        <f t="shared" si="1150"/>
        <v>20220929</v>
      </c>
      <c r="M5864" s="1" t="str">
        <f>"074553"</f>
        <v>074553</v>
      </c>
      <c r="N5864" s="1" t="s">
        <v>99</v>
      </c>
      <c r="O5864" s="1" t="s">
        <v>28</v>
      </c>
      <c r="P5864" s="1" t="s">
        <v>68</v>
      </c>
      <c r="Q5864" s="1">
        <v>13</v>
      </c>
      <c r="R5864" s="1">
        <v>0</v>
      </c>
      <c r="S5864" s="1">
        <v>0</v>
      </c>
      <c r="T5864" s="1">
        <v>13</v>
      </c>
      <c r="U5864" s="1">
        <v>0</v>
      </c>
      <c r="V5864" s="1" t="str">
        <f t="shared" si="1152"/>
        <v>里程返程</v>
      </c>
      <c r="W5864" s="1" t="str">
        <f>"0020"</f>
        <v>0020</v>
      </c>
      <c r="X5864" s="1" t="s">
        <v>29</v>
      </c>
    </row>
    <row r="5865" spans="1:24" x14ac:dyDescent="0.3">
      <c r="A5865" s="1" t="str">
        <f t="shared" si="1148"/>
        <v>59809</v>
      </c>
      <c r="B5865" s="1" t="s">
        <v>42</v>
      </c>
      <c r="C5865" s="1" t="s">
        <v>43</v>
      </c>
      <c r="D5865" s="1" t="str">
        <f t="shared" si="1151"/>
        <v>9806</v>
      </c>
      <c r="E5865" s="1" t="s">
        <v>49</v>
      </c>
      <c r="F5865" s="1" t="str">
        <f>"1202E702F5880400C834002000000015"</f>
        <v>1202E702F5880400C834002000000015</v>
      </c>
      <c r="G5865" s="1" t="s">
        <v>74</v>
      </c>
      <c r="H5865" s="1" t="str">
        <f t="shared" si="1149"/>
        <v>20220929</v>
      </c>
      <c r="I5865" s="1" t="str">
        <f>"073327"</f>
        <v>073327</v>
      </c>
      <c r="J5865" s="1" t="s">
        <v>101</v>
      </c>
      <c r="K5865" s="1" t="s">
        <v>28</v>
      </c>
      <c r="L5865" s="1" t="str">
        <f t="shared" si="1150"/>
        <v>20220929</v>
      </c>
      <c r="M5865" s="1" t="str">
        <f>"074603"</f>
        <v>074603</v>
      </c>
      <c r="N5865" s="1" t="s">
        <v>99</v>
      </c>
      <c r="O5865" s="1" t="s">
        <v>28</v>
      </c>
      <c r="P5865" s="1" t="s">
        <v>68</v>
      </c>
      <c r="Q5865" s="1">
        <v>13</v>
      </c>
      <c r="R5865" s="1">
        <v>0</v>
      </c>
      <c r="S5865" s="1">
        <v>0</v>
      </c>
      <c r="T5865" s="1">
        <v>13</v>
      </c>
      <c r="U5865" s="1">
        <v>0</v>
      </c>
      <c r="V5865" s="1" t="str">
        <f t="shared" si="1152"/>
        <v>里程返程</v>
      </c>
      <c r="W5865" s="1" t="str">
        <f>"0020"</f>
        <v>0020</v>
      </c>
      <c r="X5865" s="1" t="s">
        <v>29</v>
      </c>
    </row>
    <row r="5866" spans="1:24" x14ac:dyDescent="0.3">
      <c r="A5866" s="1" t="str">
        <f t="shared" si="1148"/>
        <v>59809</v>
      </c>
      <c r="B5866" s="1" t="s">
        <v>42</v>
      </c>
      <c r="C5866" s="1" t="s">
        <v>43</v>
      </c>
      <c r="D5866" s="1" t="str">
        <f t="shared" si="1151"/>
        <v>9806</v>
      </c>
      <c r="E5866" s="1" t="s">
        <v>49</v>
      </c>
      <c r="F5866" s="1" t="str">
        <f>"03A6A9454988040048B994D749703809"</f>
        <v>03A6A9454988040048B994D749703809</v>
      </c>
      <c r="G5866" s="1" t="s">
        <v>64</v>
      </c>
      <c r="H5866" s="1" t="str">
        <f t="shared" si="1149"/>
        <v>20220929</v>
      </c>
      <c r="I5866" s="1" t="str">
        <f>"080644"</f>
        <v>080644</v>
      </c>
      <c r="J5866" s="1" t="s">
        <v>84</v>
      </c>
      <c r="K5866" s="1" t="s">
        <v>28</v>
      </c>
      <c r="L5866" s="1" t="str">
        <f t="shared" si="1150"/>
        <v>20220929</v>
      </c>
      <c r="M5866" s="1" t="str">
        <f>"081045"</f>
        <v>081045</v>
      </c>
      <c r="N5866" s="1" t="s">
        <v>28</v>
      </c>
      <c r="O5866" s="1" t="s">
        <v>28</v>
      </c>
      <c r="P5866" s="1" t="s">
        <v>55</v>
      </c>
      <c r="Q5866" s="1">
        <v>13</v>
      </c>
      <c r="R5866" s="1">
        <v>0</v>
      </c>
      <c r="S5866" s="1">
        <v>13</v>
      </c>
      <c r="T5866" s="1">
        <v>0</v>
      </c>
      <c r="U5866" s="1">
        <v>0</v>
      </c>
      <c r="V5866" s="1" t="str">
        <f t="shared" ref="V5866:V5873" si="1153">"里程去程"</f>
        <v>里程去程</v>
      </c>
      <c r="W5866" s="1" t="str">
        <f>"1120"</f>
        <v>1120</v>
      </c>
      <c r="X5866" s="1" t="s">
        <v>29</v>
      </c>
    </row>
    <row r="5867" spans="1:24" x14ac:dyDescent="0.3">
      <c r="A5867" s="1" t="str">
        <f t="shared" si="1148"/>
        <v>59809</v>
      </c>
      <c r="B5867" s="1" t="s">
        <v>42</v>
      </c>
      <c r="C5867" s="1" t="s">
        <v>43</v>
      </c>
      <c r="D5867" s="1" t="str">
        <f t="shared" ref="D5867:D5879" si="1154">"9803"</f>
        <v>9803</v>
      </c>
      <c r="E5867" s="1" t="s">
        <v>32</v>
      </c>
      <c r="F5867" s="1" t="str">
        <f>"1715037909"</f>
        <v>1715037909</v>
      </c>
      <c r="G5867" s="1" t="s">
        <v>33</v>
      </c>
      <c r="H5867" s="1" t="str">
        <f t="shared" si="1149"/>
        <v>20220929</v>
      </c>
      <c r="I5867" s="1" t="str">
        <f>"081116"</f>
        <v>081116</v>
      </c>
      <c r="J5867" s="1" t="s">
        <v>28</v>
      </c>
      <c r="K5867" s="1" t="s">
        <v>28</v>
      </c>
      <c r="L5867" s="1" t="str">
        <f t="shared" si="1150"/>
        <v>20220929</v>
      </c>
      <c r="M5867" s="1" t="str">
        <f>"082914"</f>
        <v>082914</v>
      </c>
      <c r="N5867" s="1" t="s">
        <v>34</v>
      </c>
      <c r="O5867" s="1" t="s">
        <v>34</v>
      </c>
      <c r="P5867" s="1" t="s">
        <v>55</v>
      </c>
      <c r="Q5867" s="1">
        <v>25</v>
      </c>
      <c r="R5867" s="1">
        <v>25</v>
      </c>
      <c r="S5867" s="1">
        <v>0</v>
      </c>
      <c r="T5867" s="1">
        <v>0</v>
      </c>
      <c r="U5867" s="1">
        <v>0</v>
      </c>
      <c r="V5867" s="1" t="str">
        <f t="shared" si="1153"/>
        <v>里程去程</v>
      </c>
      <c r="W5867" s="1" t="str">
        <f>"0120"</f>
        <v>0120</v>
      </c>
      <c r="X5867" s="1" t="s">
        <v>35</v>
      </c>
    </row>
    <row r="5868" spans="1:24" x14ac:dyDescent="0.3">
      <c r="A5868" s="1" t="str">
        <f t="shared" si="1148"/>
        <v>59809</v>
      </c>
      <c r="B5868" s="1" t="s">
        <v>42</v>
      </c>
      <c r="C5868" s="1" t="s">
        <v>43</v>
      </c>
      <c r="D5868" s="1" t="str">
        <f t="shared" si="1154"/>
        <v>9803</v>
      </c>
      <c r="E5868" s="1" t="s">
        <v>32</v>
      </c>
      <c r="F5868" s="1" t="str">
        <f>"2434154152"</f>
        <v>2434154152</v>
      </c>
      <c r="G5868" s="1" t="s">
        <v>33</v>
      </c>
      <c r="H5868" s="1" t="str">
        <f t="shared" si="1149"/>
        <v>20220929</v>
      </c>
      <c r="I5868" s="1" t="str">
        <f>"081126"</f>
        <v>081126</v>
      </c>
      <c r="J5868" s="1" t="s">
        <v>28</v>
      </c>
      <c r="K5868" s="1" t="s">
        <v>28</v>
      </c>
      <c r="L5868" s="1" t="str">
        <f t="shared" si="1150"/>
        <v>20220929</v>
      </c>
      <c r="M5868" s="1" t="str">
        <f>"082911"</f>
        <v>082911</v>
      </c>
      <c r="N5868" s="1" t="s">
        <v>34</v>
      </c>
      <c r="O5868" s="1" t="s">
        <v>34</v>
      </c>
      <c r="P5868" s="1" t="s">
        <v>55</v>
      </c>
      <c r="Q5868" s="1">
        <v>25</v>
      </c>
      <c r="R5868" s="1">
        <v>25</v>
      </c>
      <c r="S5868" s="1">
        <v>0</v>
      </c>
      <c r="T5868" s="1">
        <v>0</v>
      </c>
      <c r="U5868" s="1">
        <v>0</v>
      </c>
      <c r="V5868" s="1" t="str">
        <f t="shared" si="1153"/>
        <v>里程去程</v>
      </c>
      <c r="W5868" s="1" t="str">
        <f>"0120"</f>
        <v>0120</v>
      </c>
      <c r="X5868" s="1" t="s">
        <v>35</v>
      </c>
    </row>
    <row r="5869" spans="1:24" x14ac:dyDescent="0.3">
      <c r="A5869" s="1" t="str">
        <f t="shared" si="1148"/>
        <v>59809</v>
      </c>
      <c r="B5869" s="1" t="s">
        <v>42</v>
      </c>
      <c r="C5869" s="1" t="s">
        <v>43</v>
      </c>
      <c r="D5869" s="1" t="str">
        <f t="shared" si="1154"/>
        <v>9803</v>
      </c>
      <c r="E5869" s="1" t="s">
        <v>32</v>
      </c>
      <c r="F5869" s="1" t="str">
        <f>"1076304341"</f>
        <v>1076304341</v>
      </c>
      <c r="G5869" s="1" t="s">
        <v>33</v>
      </c>
      <c r="H5869" s="1" t="str">
        <f t="shared" si="1149"/>
        <v>20220929</v>
      </c>
      <c r="I5869" s="1" t="str">
        <f>"081132"</f>
        <v>081132</v>
      </c>
      <c r="J5869" s="1" t="s">
        <v>28</v>
      </c>
      <c r="K5869" s="1" t="s">
        <v>28</v>
      </c>
      <c r="L5869" s="1" t="str">
        <f t="shared" si="1150"/>
        <v>20220929</v>
      </c>
      <c r="M5869" s="1" t="str">
        <f>"082908"</f>
        <v>082908</v>
      </c>
      <c r="N5869" s="1" t="s">
        <v>34</v>
      </c>
      <c r="O5869" s="1" t="s">
        <v>34</v>
      </c>
      <c r="P5869" s="1" t="s">
        <v>55</v>
      </c>
      <c r="Q5869" s="1">
        <v>25</v>
      </c>
      <c r="R5869" s="1">
        <v>25</v>
      </c>
      <c r="S5869" s="1">
        <v>0</v>
      </c>
      <c r="T5869" s="1">
        <v>0</v>
      </c>
      <c r="U5869" s="1">
        <v>0</v>
      </c>
      <c r="V5869" s="1" t="str">
        <f t="shared" si="1153"/>
        <v>里程去程</v>
      </c>
      <c r="W5869" s="1" t="str">
        <f>"2020"</f>
        <v>2020</v>
      </c>
      <c r="X5869" s="1" t="s">
        <v>35</v>
      </c>
    </row>
    <row r="5870" spans="1:24" x14ac:dyDescent="0.3">
      <c r="A5870" s="1" t="str">
        <f t="shared" si="1148"/>
        <v>59809</v>
      </c>
      <c r="B5870" s="1" t="s">
        <v>42</v>
      </c>
      <c r="C5870" s="1" t="s">
        <v>43</v>
      </c>
      <c r="D5870" s="1" t="str">
        <f t="shared" si="1154"/>
        <v>9803</v>
      </c>
      <c r="E5870" s="1" t="s">
        <v>32</v>
      </c>
      <c r="F5870" s="1" t="str">
        <f>"927920853"</f>
        <v>927920853</v>
      </c>
      <c r="G5870" s="1" t="s">
        <v>33</v>
      </c>
      <c r="H5870" s="1" t="str">
        <f t="shared" si="1149"/>
        <v>20220929</v>
      </c>
      <c r="I5870" s="1" t="str">
        <f>"094431"</f>
        <v>094431</v>
      </c>
      <c r="J5870" s="1" t="s">
        <v>28</v>
      </c>
      <c r="K5870" s="1" t="s">
        <v>28</v>
      </c>
      <c r="L5870" s="1" t="str">
        <f t="shared" si="1150"/>
        <v>20220929</v>
      </c>
      <c r="M5870" s="1" t="str">
        <f>"101240"</f>
        <v>101240</v>
      </c>
      <c r="N5870" s="1" t="s">
        <v>34</v>
      </c>
      <c r="O5870" s="1" t="s">
        <v>34</v>
      </c>
      <c r="P5870" s="1" t="s">
        <v>55</v>
      </c>
      <c r="Q5870" s="1">
        <v>25</v>
      </c>
      <c r="R5870" s="1">
        <v>25</v>
      </c>
      <c r="S5870" s="1">
        <v>0</v>
      </c>
      <c r="T5870" s="1">
        <v>0</v>
      </c>
      <c r="U5870" s="1">
        <v>0</v>
      </c>
      <c r="V5870" s="1" t="str">
        <f t="shared" si="1153"/>
        <v>里程去程</v>
      </c>
      <c r="W5870" s="1" t="str">
        <f>"1220"</f>
        <v>1220</v>
      </c>
      <c r="X5870" s="1" t="s">
        <v>35</v>
      </c>
    </row>
    <row r="5871" spans="1:24" x14ac:dyDescent="0.3">
      <c r="A5871" s="1" t="str">
        <f t="shared" si="1148"/>
        <v>59809</v>
      </c>
      <c r="B5871" s="1" t="s">
        <v>42</v>
      </c>
      <c r="C5871" s="1" t="s">
        <v>43</v>
      </c>
      <c r="D5871" s="1" t="str">
        <f t="shared" si="1154"/>
        <v>9803</v>
      </c>
      <c r="E5871" s="1" t="s">
        <v>32</v>
      </c>
      <c r="F5871" s="1" t="str">
        <f>"1682008197"</f>
        <v>1682008197</v>
      </c>
      <c r="G5871" s="1" t="s">
        <v>33</v>
      </c>
      <c r="H5871" s="1" t="str">
        <f t="shared" si="1149"/>
        <v>20220929</v>
      </c>
      <c r="I5871" s="1" t="str">
        <f>"094435"</f>
        <v>094435</v>
      </c>
      <c r="J5871" s="1" t="s">
        <v>28</v>
      </c>
      <c r="K5871" s="1" t="s">
        <v>28</v>
      </c>
      <c r="L5871" s="1" t="str">
        <f t="shared" si="1150"/>
        <v>20220929</v>
      </c>
      <c r="M5871" s="1" t="str">
        <f>"101236"</f>
        <v>101236</v>
      </c>
      <c r="N5871" s="1" t="s">
        <v>34</v>
      </c>
      <c r="O5871" s="1" t="s">
        <v>34</v>
      </c>
      <c r="P5871" s="1" t="s">
        <v>55</v>
      </c>
      <c r="Q5871" s="1">
        <v>25</v>
      </c>
      <c r="R5871" s="1">
        <v>25</v>
      </c>
      <c r="S5871" s="1">
        <v>0</v>
      </c>
      <c r="T5871" s="1">
        <v>0</v>
      </c>
      <c r="U5871" s="1">
        <v>0</v>
      </c>
      <c r="V5871" s="1" t="str">
        <f t="shared" si="1153"/>
        <v>里程去程</v>
      </c>
      <c r="W5871" s="1" t="str">
        <f>"0920"</f>
        <v>0920</v>
      </c>
      <c r="X5871" s="1" t="s">
        <v>35</v>
      </c>
    </row>
    <row r="5872" spans="1:24" x14ac:dyDescent="0.3">
      <c r="A5872" s="1" t="str">
        <f t="shared" si="1148"/>
        <v>59809</v>
      </c>
      <c r="B5872" s="1" t="s">
        <v>42</v>
      </c>
      <c r="C5872" s="1" t="s">
        <v>43</v>
      </c>
      <c r="D5872" s="1" t="str">
        <f t="shared" si="1154"/>
        <v>9803</v>
      </c>
      <c r="E5872" s="1" t="s">
        <v>32</v>
      </c>
      <c r="F5872" s="1" t="str">
        <f>"247652149"</f>
        <v>247652149</v>
      </c>
      <c r="G5872" s="1" t="s">
        <v>33</v>
      </c>
      <c r="H5872" s="1" t="str">
        <f t="shared" si="1149"/>
        <v>20220929</v>
      </c>
      <c r="I5872" s="1" t="str">
        <f>"094743"</f>
        <v>094743</v>
      </c>
      <c r="J5872" s="1" t="s">
        <v>28</v>
      </c>
      <c r="K5872" s="1" t="s">
        <v>28</v>
      </c>
      <c r="L5872" s="1" t="str">
        <f t="shared" si="1150"/>
        <v>20220929</v>
      </c>
      <c r="M5872" s="1" t="str">
        <f>"101248"</f>
        <v>101248</v>
      </c>
      <c r="N5872" s="1" t="s">
        <v>34</v>
      </c>
      <c r="O5872" s="1" t="s">
        <v>34</v>
      </c>
      <c r="P5872" s="1" t="s">
        <v>55</v>
      </c>
      <c r="Q5872" s="1">
        <v>25</v>
      </c>
      <c r="R5872" s="1">
        <v>25</v>
      </c>
      <c r="S5872" s="1">
        <v>0</v>
      </c>
      <c r="T5872" s="1">
        <v>0</v>
      </c>
      <c r="U5872" s="1">
        <v>0</v>
      </c>
      <c r="V5872" s="1" t="str">
        <f t="shared" si="1153"/>
        <v>里程去程</v>
      </c>
      <c r="W5872" s="1" t="str">
        <f>"0620"</f>
        <v>0620</v>
      </c>
      <c r="X5872" s="1" t="s">
        <v>35</v>
      </c>
    </row>
    <row r="5873" spans="1:24" x14ac:dyDescent="0.3">
      <c r="A5873" s="1" t="str">
        <f t="shared" si="1148"/>
        <v>59809</v>
      </c>
      <c r="B5873" s="1" t="s">
        <v>42</v>
      </c>
      <c r="C5873" s="1" t="s">
        <v>43</v>
      </c>
      <c r="D5873" s="1" t="str">
        <f t="shared" si="1154"/>
        <v>9803</v>
      </c>
      <c r="E5873" s="1" t="s">
        <v>32</v>
      </c>
      <c r="F5873" s="1" t="str">
        <f>"1296869985"</f>
        <v>1296869985</v>
      </c>
      <c r="G5873" s="1" t="s">
        <v>33</v>
      </c>
      <c r="H5873" s="1" t="str">
        <f t="shared" si="1149"/>
        <v>20220929</v>
      </c>
      <c r="I5873" s="1" t="str">
        <f>"094750"</f>
        <v>094750</v>
      </c>
      <c r="J5873" s="1" t="s">
        <v>28</v>
      </c>
      <c r="K5873" s="1" t="s">
        <v>28</v>
      </c>
      <c r="L5873" s="1" t="str">
        <f t="shared" si="1150"/>
        <v>20220929</v>
      </c>
      <c r="M5873" s="1" t="str">
        <f>"101244"</f>
        <v>101244</v>
      </c>
      <c r="N5873" s="1" t="s">
        <v>34</v>
      </c>
      <c r="O5873" s="1" t="s">
        <v>34</v>
      </c>
      <c r="P5873" s="1" t="s">
        <v>55</v>
      </c>
      <c r="Q5873" s="1">
        <v>25</v>
      </c>
      <c r="R5873" s="1">
        <v>25</v>
      </c>
      <c r="S5873" s="1">
        <v>0</v>
      </c>
      <c r="T5873" s="1">
        <v>0</v>
      </c>
      <c r="U5873" s="1">
        <v>0</v>
      </c>
      <c r="V5873" s="1" t="str">
        <f t="shared" si="1153"/>
        <v>里程去程</v>
      </c>
      <c r="W5873" s="1" t="str">
        <f>"0620"</f>
        <v>0620</v>
      </c>
      <c r="X5873" s="1" t="s">
        <v>35</v>
      </c>
    </row>
    <row r="5874" spans="1:24" x14ac:dyDescent="0.3">
      <c r="A5874" s="1" t="str">
        <f t="shared" si="1148"/>
        <v>59809</v>
      </c>
      <c r="B5874" s="1" t="s">
        <v>42</v>
      </c>
      <c r="C5874" s="1" t="s">
        <v>43</v>
      </c>
      <c r="D5874" s="1" t="str">
        <f t="shared" si="1154"/>
        <v>9803</v>
      </c>
      <c r="E5874" s="1" t="s">
        <v>32</v>
      </c>
      <c r="F5874" s="1" t="str">
        <f>"E8194968D0880400468E1E9745100713"</f>
        <v>E8194968D0880400468E1E9745100713</v>
      </c>
      <c r="G5874" s="1" t="s">
        <v>82</v>
      </c>
      <c r="H5874" s="1" t="str">
        <f t="shared" si="1149"/>
        <v>20220929</v>
      </c>
      <c r="I5874" s="1" t="str">
        <f>"180513"</f>
        <v>180513</v>
      </c>
      <c r="J5874" s="1" t="s">
        <v>34</v>
      </c>
      <c r="K5874" s="1" t="s">
        <v>34</v>
      </c>
      <c r="L5874" s="1" t="str">
        <f t="shared" si="1150"/>
        <v>20220929</v>
      </c>
      <c r="M5874" s="1" t="str">
        <f>"183658"</f>
        <v>183658</v>
      </c>
      <c r="N5874" s="1" t="s">
        <v>28</v>
      </c>
      <c r="O5874" s="1" t="s">
        <v>28</v>
      </c>
      <c r="P5874" s="1" t="s">
        <v>55</v>
      </c>
      <c r="Q5874" s="1">
        <v>13</v>
      </c>
      <c r="R5874" s="1">
        <v>13</v>
      </c>
      <c r="S5874" s="1">
        <v>0</v>
      </c>
      <c r="T5874" s="1">
        <v>0</v>
      </c>
      <c r="U5874" s="1">
        <v>0</v>
      </c>
      <c r="V5874" s="1" t="str">
        <f t="shared" ref="V5874:V5881" si="1155">"里程返程"</f>
        <v>里程返程</v>
      </c>
      <c r="W5874" s="1" t="str">
        <f>"0020"</f>
        <v>0020</v>
      </c>
      <c r="X5874" s="1" t="s">
        <v>29</v>
      </c>
    </row>
    <row r="5875" spans="1:24" x14ac:dyDescent="0.3">
      <c r="A5875" s="1" t="str">
        <f t="shared" si="1148"/>
        <v>59809</v>
      </c>
      <c r="B5875" s="1" t="s">
        <v>42</v>
      </c>
      <c r="C5875" s="1" t="s">
        <v>43</v>
      </c>
      <c r="D5875" s="1" t="str">
        <f t="shared" si="1154"/>
        <v>9803</v>
      </c>
      <c r="E5875" s="1" t="s">
        <v>32</v>
      </c>
      <c r="F5875" s="1" t="str">
        <f>"1772423665"</f>
        <v>1772423665</v>
      </c>
      <c r="G5875" s="1" t="s">
        <v>33</v>
      </c>
      <c r="H5875" s="1" t="str">
        <f t="shared" si="1149"/>
        <v>20220929</v>
      </c>
      <c r="I5875" s="1" t="str">
        <f>"180518"</f>
        <v>180518</v>
      </c>
      <c r="J5875" s="1" t="s">
        <v>34</v>
      </c>
      <c r="K5875" s="1" t="s">
        <v>34</v>
      </c>
      <c r="L5875" s="1" t="str">
        <f t="shared" si="1150"/>
        <v>20220929</v>
      </c>
      <c r="M5875" s="1" t="str">
        <f>"183650"</f>
        <v>183650</v>
      </c>
      <c r="N5875" s="1" t="s">
        <v>28</v>
      </c>
      <c r="O5875" s="1" t="s">
        <v>28</v>
      </c>
      <c r="P5875" s="1" t="s">
        <v>55</v>
      </c>
      <c r="Q5875" s="1">
        <v>25</v>
      </c>
      <c r="R5875" s="1">
        <v>25</v>
      </c>
      <c r="S5875" s="1">
        <v>0</v>
      </c>
      <c r="T5875" s="1">
        <v>0</v>
      </c>
      <c r="U5875" s="1">
        <v>0</v>
      </c>
      <c r="V5875" s="1" t="str">
        <f t="shared" si="1155"/>
        <v>里程返程</v>
      </c>
      <c r="W5875" s="1" t="str">
        <f>"2020"</f>
        <v>2020</v>
      </c>
      <c r="X5875" s="1" t="s">
        <v>35</v>
      </c>
    </row>
    <row r="5876" spans="1:24" x14ac:dyDescent="0.3">
      <c r="A5876" s="1" t="str">
        <f t="shared" si="1148"/>
        <v>59809</v>
      </c>
      <c r="B5876" s="1" t="s">
        <v>42</v>
      </c>
      <c r="C5876" s="1" t="s">
        <v>43</v>
      </c>
      <c r="D5876" s="1" t="str">
        <f t="shared" si="1154"/>
        <v>9803</v>
      </c>
      <c r="E5876" s="1" t="s">
        <v>32</v>
      </c>
      <c r="F5876" s="1" t="str">
        <f>"9562F5DEDC880400432484EA0018080E"</f>
        <v>9562F5DEDC880400432484EA0018080E</v>
      </c>
      <c r="G5876" s="1" t="s">
        <v>58</v>
      </c>
      <c r="H5876" s="1" t="str">
        <f t="shared" si="1149"/>
        <v>20220929</v>
      </c>
      <c r="I5876" s="1" t="str">
        <f>"180527"</f>
        <v>180527</v>
      </c>
      <c r="J5876" s="1" t="s">
        <v>34</v>
      </c>
      <c r="K5876" s="1" t="s">
        <v>34</v>
      </c>
      <c r="L5876" s="1" t="str">
        <f t="shared" si="1150"/>
        <v>20220929</v>
      </c>
      <c r="M5876" s="1" t="str">
        <f>"183704"</f>
        <v>183704</v>
      </c>
      <c r="N5876" s="1" t="s">
        <v>28</v>
      </c>
      <c r="O5876" s="1" t="s">
        <v>28</v>
      </c>
      <c r="P5876" s="1" t="s">
        <v>55</v>
      </c>
      <c r="Q5876" s="1">
        <v>25</v>
      </c>
      <c r="R5876" s="1">
        <v>25</v>
      </c>
      <c r="S5876" s="1">
        <v>0</v>
      </c>
      <c r="T5876" s="1">
        <v>0</v>
      </c>
      <c r="U5876" s="1">
        <v>0</v>
      </c>
      <c r="V5876" s="1" t="str">
        <f t="shared" si="1155"/>
        <v>里程返程</v>
      </c>
      <c r="W5876" s="1" t="str">
        <f>"0020"</f>
        <v>0020</v>
      </c>
      <c r="X5876" s="1" t="s">
        <v>29</v>
      </c>
    </row>
    <row r="5877" spans="1:24" x14ac:dyDescent="0.3">
      <c r="A5877" s="1" t="str">
        <f t="shared" si="1148"/>
        <v>59809</v>
      </c>
      <c r="B5877" s="1" t="s">
        <v>42</v>
      </c>
      <c r="C5877" s="1" t="s">
        <v>43</v>
      </c>
      <c r="D5877" s="1" t="str">
        <f t="shared" si="1154"/>
        <v>9803</v>
      </c>
      <c r="E5877" s="1" t="s">
        <v>32</v>
      </c>
      <c r="F5877" s="1" t="str">
        <f>"522BEE128528040080CEBCD765412818"</f>
        <v>522BEE128528040080CEBCD765412818</v>
      </c>
      <c r="G5877" s="1" t="s">
        <v>58</v>
      </c>
      <c r="H5877" s="1" t="str">
        <f t="shared" si="1149"/>
        <v>20220929</v>
      </c>
      <c r="I5877" s="1" t="str">
        <f>"180538"</f>
        <v>180538</v>
      </c>
      <c r="J5877" s="1" t="s">
        <v>34</v>
      </c>
      <c r="K5877" s="1" t="s">
        <v>34</v>
      </c>
      <c r="L5877" s="1" t="str">
        <f t="shared" si="1150"/>
        <v>20220929</v>
      </c>
      <c r="M5877" s="1" t="str">
        <f>"183655"</f>
        <v>183655</v>
      </c>
      <c r="N5877" s="1" t="s">
        <v>28</v>
      </c>
      <c r="O5877" s="1" t="s">
        <v>28</v>
      </c>
      <c r="P5877" s="1" t="s">
        <v>55</v>
      </c>
      <c r="Q5877" s="1">
        <v>25</v>
      </c>
      <c r="R5877" s="1">
        <v>25</v>
      </c>
      <c r="S5877" s="1">
        <v>0</v>
      </c>
      <c r="T5877" s="1">
        <v>0</v>
      </c>
      <c r="U5877" s="1">
        <v>0</v>
      </c>
      <c r="V5877" s="1" t="str">
        <f t="shared" si="1155"/>
        <v>里程返程</v>
      </c>
      <c r="W5877" s="1" t="str">
        <f>"0020"</f>
        <v>0020</v>
      </c>
      <c r="X5877" s="1" t="s">
        <v>29</v>
      </c>
    </row>
    <row r="5878" spans="1:24" x14ac:dyDescent="0.3">
      <c r="A5878" s="1" t="str">
        <f t="shared" si="1148"/>
        <v>59809</v>
      </c>
      <c r="B5878" s="1" t="s">
        <v>42</v>
      </c>
      <c r="C5878" s="1" t="s">
        <v>43</v>
      </c>
      <c r="D5878" s="1" t="str">
        <f t="shared" si="1154"/>
        <v>9803</v>
      </c>
      <c r="E5878" s="1" t="s">
        <v>32</v>
      </c>
      <c r="F5878" s="1" t="str">
        <f>"2599436911"</f>
        <v>2599436911</v>
      </c>
      <c r="G5878" s="1" t="s">
        <v>33</v>
      </c>
      <c r="H5878" s="1" t="str">
        <f t="shared" si="1149"/>
        <v>20220929</v>
      </c>
      <c r="I5878" s="1" t="str">
        <f>"180549"</f>
        <v>180549</v>
      </c>
      <c r="J5878" s="1" t="s">
        <v>34</v>
      </c>
      <c r="K5878" s="1" t="s">
        <v>34</v>
      </c>
      <c r="L5878" s="1" t="str">
        <f t="shared" si="1150"/>
        <v>20220929</v>
      </c>
      <c r="M5878" s="1" t="str">
        <f>"183716"</f>
        <v>183716</v>
      </c>
      <c r="N5878" s="1" t="s">
        <v>28</v>
      </c>
      <c r="O5878" s="1" t="s">
        <v>28</v>
      </c>
      <c r="P5878" s="1" t="s">
        <v>55</v>
      </c>
      <c r="Q5878" s="1">
        <v>25</v>
      </c>
      <c r="R5878" s="1">
        <v>25</v>
      </c>
      <c r="S5878" s="1">
        <v>0</v>
      </c>
      <c r="T5878" s="1">
        <v>0</v>
      </c>
      <c r="U5878" s="1">
        <v>0</v>
      </c>
      <c r="V5878" s="1" t="str">
        <f t="shared" si="1155"/>
        <v>里程返程</v>
      </c>
      <c r="W5878" s="1" t="str">
        <f>"0120"</f>
        <v>0120</v>
      </c>
      <c r="X5878" s="1" t="s">
        <v>35</v>
      </c>
    </row>
    <row r="5879" spans="1:24" x14ac:dyDescent="0.3">
      <c r="A5879" s="1" t="str">
        <f t="shared" si="1148"/>
        <v>59809</v>
      </c>
      <c r="B5879" s="1" t="s">
        <v>42</v>
      </c>
      <c r="C5879" s="1" t="s">
        <v>43</v>
      </c>
      <c r="D5879" s="1" t="str">
        <f t="shared" si="1154"/>
        <v>9803</v>
      </c>
      <c r="E5879" s="1" t="s">
        <v>32</v>
      </c>
      <c r="F5879" s="1" t="str">
        <f>"1709069061"</f>
        <v>1709069061</v>
      </c>
      <c r="G5879" s="1" t="s">
        <v>33</v>
      </c>
      <c r="H5879" s="1" t="str">
        <f t="shared" si="1149"/>
        <v>20220929</v>
      </c>
      <c r="I5879" s="1" t="str">
        <f>"180812"</f>
        <v>180812</v>
      </c>
      <c r="J5879" s="1" t="s">
        <v>34</v>
      </c>
      <c r="K5879" s="1" t="s">
        <v>34</v>
      </c>
      <c r="L5879" s="1" t="str">
        <f t="shared" si="1150"/>
        <v>20220929</v>
      </c>
      <c r="M5879" s="1" t="str">
        <f>"182259"</f>
        <v>182259</v>
      </c>
      <c r="N5879" s="1" t="s">
        <v>46</v>
      </c>
      <c r="O5879" s="1" t="s">
        <v>28</v>
      </c>
      <c r="P5879" s="1" t="s">
        <v>55</v>
      </c>
      <c r="Q5879" s="1">
        <v>25</v>
      </c>
      <c r="R5879" s="1">
        <v>25</v>
      </c>
      <c r="S5879" s="1">
        <v>0</v>
      </c>
      <c r="T5879" s="1">
        <v>0</v>
      </c>
      <c r="U5879" s="1">
        <v>0</v>
      </c>
      <c r="V5879" s="1" t="str">
        <f t="shared" si="1155"/>
        <v>里程返程</v>
      </c>
      <c r="W5879" s="1" t="str">
        <f>"2020"</f>
        <v>2020</v>
      </c>
      <c r="X5879" s="1" t="s">
        <v>35</v>
      </c>
    </row>
    <row r="5880" spans="1:24" x14ac:dyDescent="0.3">
      <c r="A5880" s="1" t="str">
        <f t="shared" ref="A5880:A5913" si="1156">"59820"</f>
        <v>59820</v>
      </c>
      <c r="B5880" s="1" t="s">
        <v>53</v>
      </c>
      <c r="C5880" s="1" t="s">
        <v>54</v>
      </c>
      <c r="D5880" s="1" t="str">
        <f>"9806"</f>
        <v>9806</v>
      </c>
      <c r="E5880" s="1" t="s">
        <v>49</v>
      </c>
      <c r="F5880" s="1" t="str">
        <f>"5270B90A91880400C810002000000016"</f>
        <v>5270B90A91880400C810002000000016</v>
      </c>
      <c r="G5880" s="1" t="s">
        <v>59</v>
      </c>
      <c r="H5880" s="1" t="str">
        <f t="shared" si="1149"/>
        <v>20220929</v>
      </c>
      <c r="I5880" s="1" t="str">
        <f>"064757"</f>
        <v>064757</v>
      </c>
      <c r="J5880" s="1" t="s">
        <v>28</v>
      </c>
      <c r="K5880" s="1" t="s">
        <v>28</v>
      </c>
      <c r="L5880" s="1" t="str">
        <f t="shared" si="1150"/>
        <v>20220929</v>
      </c>
      <c r="M5880" s="1" t="str">
        <f>"065759"</f>
        <v>065759</v>
      </c>
      <c r="N5880" s="1" t="s">
        <v>63</v>
      </c>
      <c r="O5880" s="1" t="s">
        <v>28</v>
      </c>
      <c r="P5880" s="1" t="s">
        <v>55</v>
      </c>
      <c r="Q5880" s="1">
        <v>25</v>
      </c>
      <c r="R5880" s="1">
        <v>0</v>
      </c>
      <c r="S5880" s="1">
        <v>25</v>
      </c>
      <c r="T5880" s="1">
        <v>0</v>
      </c>
      <c r="U5880" s="1">
        <v>0</v>
      </c>
      <c r="V5880" s="1" t="str">
        <f t="shared" si="1155"/>
        <v>里程返程</v>
      </c>
      <c r="W5880" s="1" t="str">
        <f>"0620"</f>
        <v>0620</v>
      </c>
      <c r="X5880" s="1" t="s">
        <v>29</v>
      </c>
    </row>
    <row r="5881" spans="1:24" x14ac:dyDescent="0.3">
      <c r="A5881" s="1" t="str">
        <f t="shared" si="1156"/>
        <v>59820</v>
      </c>
      <c r="B5881" s="1" t="s">
        <v>53</v>
      </c>
      <c r="C5881" s="1" t="s">
        <v>54</v>
      </c>
      <c r="D5881" s="1" t="str">
        <f>"9806"</f>
        <v>9806</v>
      </c>
      <c r="E5881" s="1" t="s">
        <v>49</v>
      </c>
      <c r="F5881" s="1" t="str">
        <f>"1695105317"</f>
        <v>1695105317</v>
      </c>
      <c r="G5881" s="1" t="s">
        <v>33</v>
      </c>
      <c r="H5881" s="1" t="str">
        <f t="shared" si="1149"/>
        <v>20220929</v>
      </c>
      <c r="I5881" s="1" t="str">
        <f>"064801"</f>
        <v>064801</v>
      </c>
      <c r="J5881" s="1" t="s">
        <v>28</v>
      </c>
      <c r="K5881" s="1" t="s">
        <v>28</v>
      </c>
      <c r="L5881" s="1" t="str">
        <f t="shared" si="1150"/>
        <v>20220929</v>
      </c>
      <c r="M5881" s="1" t="str">
        <f>"070526"</f>
        <v>070526</v>
      </c>
      <c r="N5881" s="1" t="s">
        <v>99</v>
      </c>
      <c r="O5881" s="1" t="s">
        <v>28</v>
      </c>
      <c r="P5881" s="1" t="s">
        <v>55</v>
      </c>
      <c r="Q5881" s="1">
        <v>25</v>
      </c>
      <c r="R5881" s="1">
        <v>0</v>
      </c>
      <c r="S5881" s="1">
        <v>25</v>
      </c>
      <c r="T5881" s="1">
        <v>0</v>
      </c>
      <c r="U5881" s="1">
        <v>0</v>
      </c>
      <c r="V5881" s="1" t="str">
        <f t="shared" si="1155"/>
        <v>里程返程</v>
      </c>
      <c r="W5881" s="1" t="str">
        <f>"0820"</f>
        <v>0820</v>
      </c>
      <c r="X5881" s="1" t="s">
        <v>35</v>
      </c>
    </row>
    <row r="5882" spans="1:24" x14ac:dyDescent="0.3">
      <c r="A5882" s="1" t="str">
        <f t="shared" si="1156"/>
        <v>59820</v>
      </c>
      <c r="B5882" s="1" t="s">
        <v>53</v>
      </c>
      <c r="C5882" s="1" t="s">
        <v>54</v>
      </c>
      <c r="D5882" s="1" t="str">
        <f t="shared" ref="D5882:D5908" si="1157">"9803"</f>
        <v>9803</v>
      </c>
      <c r="E5882" s="1" t="s">
        <v>32</v>
      </c>
      <c r="F5882" s="1" t="str">
        <f>"1113237201"</f>
        <v>1113237201</v>
      </c>
      <c r="G5882" s="1" t="s">
        <v>33</v>
      </c>
      <c r="H5882" s="1" t="str">
        <f t="shared" ref="H5882:H5913" si="1158">"20220929"</f>
        <v>20220929</v>
      </c>
      <c r="I5882" s="1" t="str">
        <f>"072818"</f>
        <v>072818</v>
      </c>
      <c r="J5882" s="1" t="s">
        <v>28</v>
      </c>
      <c r="K5882" s="1" t="s">
        <v>28</v>
      </c>
      <c r="L5882" s="1" t="str">
        <f t="shared" ref="L5882:L5898" si="1159">"20220929"</f>
        <v>20220929</v>
      </c>
      <c r="M5882" s="1" t="str">
        <f>"074721"</f>
        <v>074721</v>
      </c>
      <c r="N5882" s="1" t="s">
        <v>34</v>
      </c>
      <c r="O5882" s="1" t="s">
        <v>34</v>
      </c>
      <c r="P5882" s="1" t="s">
        <v>55</v>
      </c>
      <c r="Q5882" s="1">
        <v>25</v>
      </c>
      <c r="R5882" s="1">
        <v>25</v>
      </c>
      <c r="S5882" s="1">
        <v>0</v>
      </c>
      <c r="T5882" s="1">
        <v>0</v>
      </c>
      <c r="U5882" s="1">
        <v>0</v>
      </c>
      <c r="V5882" s="1" t="str">
        <f t="shared" ref="V5882:V5897" si="1160">"里程去程"</f>
        <v>里程去程</v>
      </c>
      <c r="W5882" s="1" t="str">
        <f>"0820"</f>
        <v>0820</v>
      </c>
      <c r="X5882" s="1" t="s">
        <v>35</v>
      </c>
    </row>
    <row r="5883" spans="1:24" x14ac:dyDescent="0.3">
      <c r="A5883" s="1" t="str">
        <f t="shared" si="1156"/>
        <v>59820</v>
      </c>
      <c r="B5883" s="1" t="s">
        <v>53</v>
      </c>
      <c r="C5883" s="1" t="s">
        <v>54</v>
      </c>
      <c r="D5883" s="1" t="str">
        <f t="shared" si="1157"/>
        <v>9803</v>
      </c>
      <c r="E5883" s="1" t="s">
        <v>32</v>
      </c>
      <c r="F5883" s="1" t="str">
        <f>"1612219461"</f>
        <v>1612219461</v>
      </c>
      <c r="G5883" s="1" t="s">
        <v>33</v>
      </c>
      <c r="H5883" s="1" t="str">
        <f t="shared" si="1158"/>
        <v>20220929</v>
      </c>
      <c r="I5883" s="1" t="str">
        <f>"072822"</f>
        <v>072822</v>
      </c>
      <c r="J5883" s="1" t="s">
        <v>28</v>
      </c>
      <c r="K5883" s="1" t="s">
        <v>28</v>
      </c>
      <c r="L5883" s="1" t="str">
        <f t="shared" si="1159"/>
        <v>20220929</v>
      </c>
      <c r="M5883" s="1" t="str">
        <f>"074717"</f>
        <v>074717</v>
      </c>
      <c r="N5883" s="1" t="s">
        <v>34</v>
      </c>
      <c r="O5883" s="1" t="s">
        <v>34</v>
      </c>
      <c r="P5883" s="1" t="s">
        <v>55</v>
      </c>
      <c r="Q5883" s="1">
        <v>25</v>
      </c>
      <c r="R5883" s="1">
        <v>25</v>
      </c>
      <c r="S5883" s="1">
        <v>0</v>
      </c>
      <c r="T5883" s="1">
        <v>0</v>
      </c>
      <c r="U5883" s="1">
        <v>0</v>
      </c>
      <c r="V5883" s="1" t="str">
        <f t="shared" si="1160"/>
        <v>里程去程</v>
      </c>
      <c r="W5883" s="1" t="str">
        <f>"0820"</f>
        <v>0820</v>
      </c>
      <c r="X5883" s="1" t="s">
        <v>35</v>
      </c>
    </row>
    <row r="5884" spans="1:24" x14ac:dyDescent="0.3">
      <c r="A5884" s="1" t="str">
        <f t="shared" si="1156"/>
        <v>59820</v>
      </c>
      <c r="B5884" s="1" t="s">
        <v>53</v>
      </c>
      <c r="C5884" s="1" t="s">
        <v>54</v>
      </c>
      <c r="D5884" s="1" t="str">
        <f t="shared" si="1157"/>
        <v>9803</v>
      </c>
      <c r="E5884" s="1" t="s">
        <v>32</v>
      </c>
      <c r="F5884" s="1" t="str">
        <f>"242840213"</f>
        <v>242840213</v>
      </c>
      <c r="G5884" s="1" t="s">
        <v>33</v>
      </c>
      <c r="H5884" s="1" t="str">
        <f t="shared" si="1158"/>
        <v>20220929</v>
      </c>
      <c r="I5884" s="1" t="str">
        <f>"083007"</f>
        <v>083007</v>
      </c>
      <c r="J5884" s="1" t="s">
        <v>28</v>
      </c>
      <c r="K5884" s="1" t="s">
        <v>28</v>
      </c>
      <c r="L5884" s="1" t="str">
        <f t="shared" si="1159"/>
        <v>20220929</v>
      </c>
      <c r="M5884" s="1" t="str">
        <f>"084700"</f>
        <v>084700</v>
      </c>
      <c r="N5884" s="1" t="s">
        <v>34</v>
      </c>
      <c r="O5884" s="1" t="s">
        <v>34</v>
      </c>
      <c r="P5884" s="1" t="s">
        <v>55</v>
      </c>
      <c r="Q5884" s="1">
        <v>25</v>
      </c>
      <c r="R5884" s="1">
        <v>25</v>
      </c>
      <c r="S5884" s="1">
        <v>0</v>
      </c>
      <c r="T5884" s="1">
        <v>0</v>
      </c>
      <c r="U5884" s="1">
        <v>0</v>
      </c>
      <c r="V5884" s="1" t="str">
        <f t="shared" si="1160"/>
        <v>里程去程</v>
      </c>
      <c r="W5884" s="1" t="str">
        <f>"1620"</f>
        <v>1620</v>
      </c>
      <c r="X5884" s="1" t="s">
        <v>35</v>
      </c>
    </row>
    <row r="5885" spans="1:24" x14ac:dyDescent="0.3">
      <c r="A5885" s="1" t="str">
        <f t="shared" si="1156"/>
        <v>59820</v>
      </c>
      <c r="B5885" s="1" t="s">
        <v>53</v>
      </c>
      <c r="C5885" s="1" t="s">
        <v>54</v>
      </c>
      <c r="D5885" s="1" t="str">
        <f t="shared" si="1157"/>
        <v>9803</v>
      </c>
      <c r="E5885" s="1" t="s">
        <v>32</v>
      </c>
      <c r="F5885" s="1" t="str">
        <f>"1819514645"</f>
        <v>1819514645</v>
      </c>
      <c r="G5885" s="1" t="s">
        <v>33</v>
      </c>
      <c r="H5885" s="1" t="str">
        <f t="shared" si="1158"/>
        <v>20220929</v>
      </c>
      <c r="I5885" s="1" t="str">
        <f>"102746"</f>
        <v>102746</v>
      </c>
      <c r="J5885" s="1" t="s">
        <v>28</v>
      </c>
      <c r="K5885" s="1" t="s">
        <v>28</v>
      </c>
      <c r="L5885" s="1" t="str">
        <f t="shared" si="1159"/>
        <v>20220929</v>
      </c>
      <c r="M5885" s="1" t="str">
        <f>"104617"</f>
        <v>104617</v>
      </c>
      <c r="N5885" s="1" t="s">
        <v>34</v>
      </c>
      <c r="O5885" s="1" t="s">
        <v>34</v>
      </c>
      <c r="P5885" s="1" t="s">
        <v>55</v>
      </c>
      <c r="Q5885" s="1">
        <v>25</v>
      </c>
      <c r="R5885" s="1">
        <v>25</v>
      </c>
      <c r="S5885" s="1">
        <v>0</v>
      </c>
      <c r="T5885" s="1">
        <v>0</v>
      </c>
      <c r="U5885" s="1">
        <v>0</v>
      </c>
      <c r="V5885" s="1" t="str">
        <f t="shared" si="1160"/>
        <v>里程去程</v>
      </c>
      <c r="W5885" s="1" t="str">
        <f>"0020"</f>
        <v>0020</v>
      </c>
      <c r="X5885" s="1" t="s">
        <v>35</v>
      </c>
    </row>
    <row r="5886" spans="1:24" x14ac:dyDescent="0.3">
      <c r="A5886" s="1" t="str">
        <f t="shared" si="1156"/>
        <v>59820</v>
      </c>
      <c r="B5886" s="1" t="s">
        <v>53</v>
      </c>
      <c r="C5886" s="1" t="s">
        <v>54</v>
      </c>
      <c r="D5886" s="1" t="str">
        <f t="shared" si="1157"/>
        <v>9803</v>
      </c>
      <c r="E5886" s="1" t="s">
        <v>32</v>
      </c>
      <c r="F5886" s="1" t="str">
        <f>"2114942283280400F700000000000000"</f>
        <v>2114942283280400F700000000000000</v>
      </c>
      <c r="G5886" s="1" t="s">
        <v>58</v>
      </c>
      <c r="H5886" s="1" t="str">
        <f t="shared" si="1158"/>
        <v>20220929</v>
      </c>
      <c r="I5886" s="1" t="str">
        <f>"102809"</f>
        <v>102809</v>
      </c>
      <c r="J5886" s="1" t="s">
        <v>28</v>
      </c>
      <c r="K5886" s="1" t="s">
        <v>28</v>
      </c>
      <c r="L5886" s="1" t="str">
        <f t="shared" si="1159"/>
        <v>20220929</v>
      </c>
      <c r="M5886" s="1" t="str">
        <f>"104613"</f>
        <v>104613</v>
      </c>
      <c r="N5886" s="1" t="s">
        <v>34</v>
      </c>
      <c r="O5886" s="1" t="s">
        <v>34</v>
      </c>
      <c r="P5886" s="1" t="s">
        <v>55</v>
      </c>
      <c r="Q5886" s="1">
        <v>25</v>
      </c>
      <c r="R5886" s="1">
        <v>25</v>
      </c>
      <c r="S5886" s="1">
        <v>0</v>
      </c>
      <c r="T5886" s="1">
        <v>0</v>
      </c>
      <c r="U5886" s="1">
        <v>0</v>
      </c>
      <c r="V5886" s="1" t="str">
        <f t="shared" si="1160"/>
        <v>里程去程</v>
      </c>
      <c r="W5886" s="1" t="str">
        <f>"0020"</f>
        <v>0020</v>
      </c>
      <c r="X5886" s="1" t="s">
        <v>29</v>
      </c>
    </row>
    <row r="5887" spans="1:24" x14ac:dyDescent="0.3">
      <c r="A5887" s="1" t="str">
        <f t="shared" si="1156"/>
        <v>59820</v>
      </c>
      <c r="B5887" s="1" t="s">
        <v>53</v>
      </c>
      <c r="C5887" s="1" t="s">
        <v>54</v>
      </c>
      <c r="D5887" s="1" t="str">
        <f t="shared" si="1157"/>
        <v>9803</v>
      </c>
      <c r="E5887" s="1" t="s">
        <v>32</v>
      </c>
      <c r="F5887" s="1" t="str">
        <f>"1706352616"</f>
        <v>1706352616</v>
      </c>
      <c r="G5887" s="1" t="s">
        <v>33</v>
      </c>
      <c r="H5887" s="1" t="str">
        <f t="shared" si="1158"/>
        <v>20220929</v>
      </c>
      <c r="I5887" s="1" t="str">
        <f>"112950"</f>
        <v>112950</v>
      </c>
      <c r="J5887" s="1" t="s">
        <v>28</v>
      </c>
      <c r="K5887" s="1" t="s">
        <v>28</v>
      </c>
      <c r="L5887" s="1" t="str">
        <f t="shared" si="1159"/>
        <v>20220929</v>
      </c>
      <c r="M5887" s="1" t="str">
        <f>"114723"</f>
        <v>114723</v>
      </c>
      <c r="N5887" s="1" t="s">
        <v>34</v>
      </c>
      <c r="O5887" s="1" t="s">
        <v>34</v>
      </c>
      <c r="P5887" s="1" t="s">
        <v>55</v>
      </c>
      <c r="Q5887" s="1">
        <v>25</v>
      </c>
      <c r="R5887" s="1">
        <v>25</v>
      </c>
      <c r="S5887" s="1">
        <v>0</v>
      </c>
      <c r="T5887" s="1">
        <v>0</v>
      </c>
      <c r="U5887" s="1">
        <v>0</v>
      </c>
      <c r="V5887" s="1" t="str">
        <f t="shared" si="1160"/>
        <v>里程去程</v>
      </c>
      <c r="W5887" s="1" t="str">
        <f>"0820"</f>
        <v>0820</v>
      </c>
      <c r="X5887" s="1" t="s">
        <v>35</v>
      </c>
    </row>
    <row r="5888" spans="1:24" x14ac:dyDescent="0.3">
      <c r="A5888" s="1" t="str">
        <f t="shared" si="1156"/>
        <v>59820</v>
      </c>
      <c r="B5888" s="1" t="s">
        <v>53</v>
      </c>
      <c r="C5888" s="1" t="s">
        <v>54</v>
      </c>
      <c r="D5888" s="1" t="str">
        <f t="shared" si="1157"/>
        <v>9803</v>
      </c>
      <c r="E5888" s="1" t="s">
        <v>32</v>
      </c>
      <c r="F5888" s="1" t="str">
        <f>"1440523444"</f>
        <v>1440523444</v>
      </c>
      <c r="G5888" s="1" t="s">
        <v>33</v>
      </c>
      <c r="H5888" s="1" t="str">
        <f t="shared" si="1158"/>
        <v>20220929</v>
      </c>
      <c r="I5888" s="1" t="str">
        <f>"112951"</f>
        <v>112951</v>
      </c>
      <c r="J5888" s="1" t="s">
        <v>28</v>
      </c>
      <c r="K5888" s="1" t="s">
        <v>28</v>
      </c>
      <c r="L5888" s="1" t="str">
        <f t="shared" si="1159"/>
        <v>20220929</v>
      </c>
      <c r="M5888" s="1" t="str">
        <f>"114724"</f>
        <v>114724</v>
      </c>
      <c r="N5888" s="1" t="s">
        <v>34</v>
      </c>
      <c r="O5888" s="1" t="s">
        <v>34</v>
      </c>
      <c r="P5888" s="1" t="s">
        <v>55</v>
      </c>
      <c r="Q5888" s="1">
        <v>25</v>
      </c>
      <c r="R5888" s="1">
        <v>25</v>
      </c>
      <c r="S5888" s="1">
        <v>0</v>
      </c>
      <c r="T5888" s="1">
        <v>0</v>
      </c>
      <c r="U5888" s="1">
        <v>0</v>
      </c>
      <c r="V5888" s="1" t="str">
        <f t="shared" si="1160"/>
        <v>里程去程</v>
      </c>
      <c r="W5888" s="1" t="str">
        <f>"0820"</f>
        <v>0820</v>
      </c>
      <c r="X5888" s="1" t="s">
        <v>35</v>
      </c>
    </row>
    <row r="5889" spans="1:24" x14ac:dyDescent="0.3">
      <c r="A5889" s="1" t="str">
        <f t="shared" si="1156"/>
        <v>59820</v>
      </c>
      <c r="B5889" s="1" t="s">
        <v>53</v>
      </c>
      <c r="C5889" s="1" t="s">
        <v>54</v>
      </c>
      <c r="D5889" s="1" t="str">
        <f t="shared" si="1157"/>
        <v>9803</v>
      </c>
      <c r="E5889" s="1" t="s">
        <v>32</v>
      </c>
      <c r="F5889" s="1" t="str">
        <f>"11F5C567462804001C00000000000000"</f>
        <v>11F5C567462804001C00000000000000</v>
      </c>
      <c r="G5889" s="1" t="s">
        <v>58</v>
      </c>
      <c r="H5889" s="1" t="str">
        <f t="shared" si="1158"/>
        <v>20220929</v>
      </c>
      <c r="I5889" s="1" t="str">
        <f>"122747"</f>
        <v>122747</v>
      </c>
      <c r="J5889" s="1" t="s">
        <v>28</v>
      </c>
      <c r="K5889" s="1" t="s">
        <v>28</v>
      </c>
      <c r="L5889" s="1" t="str">
        <f t="shared" si="1159"/>
        <v>20220929</v>
      </c>
      <c r="M5889" s="1" t="str">
        <f>"124641"</f>
        <v>124641</v>
      </c>
      <c r="N5889" s="1" t="s">
        <v>34</v>
      </c>
      <c r="O5889" s="1" t="s">
        <v>34</v>
      </c>
      <c r="P5889" s="1" t="s">
        <v>55</v>
      </c>
      <c r="Q5889" s="1">
        <v>25</v>
      </c>
      <c r="R5889" s="1">
        <v>25</v>
      </c>
      <c r="S5889" s="1">
        <v>0</v>
      </c>
      <c r="T5889" s="1">
        <v>0</v>
      </c>
      <c r="U5889" s="1">
        <v>0</v>
      </c>
      <c r="V5889" s="1" t="str">
        <f t="shared" si="1160"/>
        <v>里程去程</v>
      </c>
      <c r="W5889" s="1" t="str">
        <f>"0020"</f>
        <v>0020</v>
      </c>
      <c r="X5889" s="1" t="s">
        <v>29</v>
      </c>
    </row>
    <row r="5890" spans="1:24" x14ac:dyDescent="0.3">
      <c r="A5890" s="1" t="str">
        <f t="shared" si="1156"/>
        <v>59820</v>
      </c>
      <c r="B5890" s="1" t="s">
        <v>53</v>
      </c>
      <c r="C5890" s="1" t="s">
        <v>54</v>
      </c>
      <c r="D5890" s="1" t="str">
        <f t="shared" si="1157"/>
        <v>9803</v>
      </c>
      <c r="E5890" s="1" t="s">
        <v>32</v>
      </c>
      <c r="F5890" s="1" t="str">
        <f>"1077151697"</f>
        <v>1077151697</v>
      </c>
      <c r="G5890" s="1" t="s">
        <v>33</v>
      </c>
      <c r="H5890" s="1" t="str">
        <f t="shared" si="1158"/>
        <v>20220929</v>
      </c>
      <c r="I5890" s="1" t="str">
        <f>"122810"</f>
        <v>122810</v>
      </c>
      <c r="J5890" s="1" t="s">
        <v>28</v>
      </c>
      <c r="K5890" s="1" t="s">
        <v>28</v>
      </c>
      <c r="L5890" s="1" t="str">
        <f t="shared" si="1159"/>
        <v>20220929</v>
      </c>
      <c r="M5890" s="1" t="str">
        <f>"124708"</f>
        <v>124708</v>
      </c>
      <c r="N5890" s="1" t="s">
        <v>34</v>
      </c>
      <c r="O5890" s="1" t="s">
        <v>34</v>
      </c>
      <c r="P5890" s="1" t="s">
        <v>55</v>
      </c>
      <c r="Q5890" s="1">
        <v>25</v>
      </c>
      <c r="R5890" s="1">
        <v>25</v>
      </c>
      <c r="S5890" s="1">
        <v>0</v>
      </c>
      <c r="T5890" s="1">
        <v>0</v>
      </c>
      <c r="U5890" s="1">
        <v>0</v>
      </c>
      <c r="V5890" s="1" t="str">
        <f t="shared" si="1160"/>
        <v>里程去程</v>
      </c>
      <c r="W5890" s="1" t="str">
        <f>"0b20"</f>
        <v>0b20</v>
      </c>
      <c r="X5890" s="1" t="s">
        <v>35</v>
      </c>
    </row>
    <row r="5891" spans="1:24" x14ac:dyDescent="0.3">
      <c r="A5891" s="1" t="str">
        <f t="shared" si="1156"/>
        <v>59820</v>
      </c>
      <c r="B5891" s="1" t="s">
        <v>53</v>
      </c>
      <c r="C5891" s="1" t="s">
        <v>54</v>
      </c>
      <c r="D5891" s="1" t="str">
        <f t="shared" si="1157"/>
        <v>9803</v>
      </c>
      <c r="E5891" s="1" t="s">
        <v>32</v>
      </c>
      <c r="F5891" s="1" t="str">
        <f>"1666711873"</f>
        <v>1666711873</v>
      </c>
      <c r="G5891" s="1" t="s">
        <v>33</v>
      </c>
      <c r="H5891" s="1" t="str">
        <f t="shared" si="1158"/>
        <v>20220929</v>
      </c>
      <c r="I5891" s="1" t="str">
        <f>"122813"</f>
        <v>122813</v>
      </c>
      <c r="J5891" s="1" t="s">
        <v>28</v>
      </c>
      <c r="K5891" s="1" t="s">
        <v>28</v>
      </c>
      <c r="L5891" s="1" t="str">
        <f t="shared" si="1159"/>
        <v>20220929</v>
      </c>
      <c r="M5891" s="1" t="str">
        <f>"124654"</f>
        <v>124654</v>
      </c>
      <c r="N5891" s="1" t="s">
        <v>34</v>
      </c>
      <c r="O5891" s="1" t="s">
        <v>34</v>
      </c>
      <c r="P5891" s="1" t="s">
        <v>55</v>
      </c>
      <c r="Q5891" s="1">
        <v>25</v>
      </c>
      <c r="R5891" s="1">
        <v>25</v>
      </c>
      <c r="S5891" s="1">
        <v>0</v>
      </c>
      <c r="T5891" s="1">
        <v>0</v>
      </c>
      <c r="U5891" s="1">
        <v>0</v>
      </c>
      <c r="V5891" s="1" t="str">
        <f t="shared" si="1160"/>
        <v>里程去程</v>
      </c>
      <c r="W5891" s="1" t="str">
        <f>"0820"</f>
        <v>0820</v>
      </c>
      <c r="X5891" s="1" t="s">
        <v>35</v>
      </c>
    </row>
    <row r="5892" spans="1:24" x14ac:dyDescent="0.3">
      <c r="A5892" s="1" t="str">
        <f t="shared" si="1156"/>
        <v>59820</v>
      </c>
      <c r="B5892" s="1" t="s">
        <v>53</v>
      </c>
      <c r="C5892" s="1" t="s">
        <v>54</v>
      </c>
      <c r="D5892" s="1" t="str">
        <f t="shared" si="1157"/>
        <v>9803</v>
      </c>
      <c r="E5892" s="1" t="s">
        <v>32</v>
      </c>
      <c r="F5892" s="1" t="str">
        <f>"2065691254"</f>
        <v>2065691254</v>
      </c>
      <c r="G5892" s="1" t="s">
        <v>33</v>
      </c>
      <c r="H5892" s="1" t="str">
        <f t="shared" si="1158"/>
        <v>20220929</v>
      </c>
      <c r="I5892" s="1" t="str">
        <f>"122818"</f>
        <v>122818</v>
      </c>
      <c r="J5892" s="1" t="s">
        <v>28</v>
      </c>
      <c r="K5892" s="1" t="s">
        <v>28</v>
      </c>
      <c r="L5892" s="1" t="str">
        <f t="shared" si="1159"/>
        <v>20220929</v>
      </c>
      <c r="M5892" s="1" t="str">
        <f>"124651"</f>
        <v>124651</v>
      </c>
      <c r="N5892" s="1" t="s">
        <v>34</v>
      </c>
      <c r="O5892" s="1" t="s">
        <v>34</v>
      </c>
      <c r="P5892" s="1" t="s">
        <v>55</v>
      </c>
      <c r="Q5892" s="1">
        <v>25</v>
      </c>
      <c r="R5892" s="1">
        <v>25</v>
      </c>
      <c r="S5892" s="1">
        <v>0</v>
      </c>
      <c r="T5892" s="1">
        <v>0</v>
      </c>
      <c r="U5892" s="1">
        <v>0</v>
      </c>
      <c r="V5892" s="1" t="str">
        <f t="shared" si="1160"/>
        <v>里程去程</v>
      </c>
      <c r="W5892" s="1" t="str">
        <f>"0e20"</f>
        <v>0e20</v>
      </c>
      <c r="X5892" s="1" t="s">
        <v>35</v>
      </c>
    </row>
    <row r="5893" spans="1:24" x14ac:dyDescent="0.3">
      <c r="A5893" s="1" t="str">
        <f t="shared" si="1156"/>
        <v>59820</v>
      </c>
      <c r="B5893" s="1" t="s">
        <v>53</v>
      </c>
      <c r="C5893" s="1" t="s">
        <v>54</v>
      </c>
      <c r="D5893" s="1" t="str">
        <f t="shared" si="1157"/>
        <v>9803</v>
      </c>
      <c r="E5893" s="1" t="s">
        <v>32</v>
      </c>
      <c r="F5893" s="1" t="str">
        <f>"3A0312614A880400C18514D049504512"</f>
        <v>3A0312614A880400C18514D049504512</v>
      </c>
      <c r="G5893" s="1" t="s">
        <v>58</v>
      </c>
      <c r="H5893" s="1" t="str">
        <f t="shared" si="1158"/>
        <v>20220929</v>
      </c>
      <c r="I5893" s="1" t="str">
        <f>"122825"</f>
        <v>122825</v>
      </c>
      <c r="J5893" s="1" t="s">
        <v>28</v>
      </c>
      <c r="K5893" s="1" t="s">
        <v>28</v>
      </c>
      <c r="L5893" s="1" t="str">
        <f t="shared" si="1159"/>
        <v>20220929</v>
      </c>
      <c r="M5893" s="1" t="str">
        <f>"124715"</f>
        <v>124715</v>
      </c>
      <c r="N5893" s="1" t="s">
        <v>34</v>
      </c>
      <c r="O5893" s="1" t="s">
        <v>34</v>
      </c>
      <c r="P5893" s="1" t="s">
        <v>55</v>
      </c>
      <c r="Q5893" s="1">
        <v>25</v>
      </c>
      <c r="R5893" s="1">
        <v>25</v>
      </c>
      <c r="S5893" s="1">
        <v>0</v>
      </c>
      <c r="T5893" s="1">
        <v>0</v>
      </c>
      <c r="U5893" s="1">
        <v>0</v>
      </c>
      <c r="V5893" s="1" t="str">
        <f t="shared" si="1160"/>
        <v>里程去程</v>
      </c>
      <c r="W5893" s="1" t="str">
        <f>"0020"</f>
        <v>0020</v>
      </c>
      <c r="X5893" s="1" t="s">
        <v>29</v>
      </c>
    </row>
    <row r="5894" spans="1:24" x14ac:dyDescent="0.3">
      <c r="A5894" s="1" t="str">
        <f t="shared" si="1156"/>
        <v>59820</v>
      </c>
      <c r="B5894" s="1" t="s">
        <v>53</v>
      </c>
      <c r="C5894" s="1" t="s">
        <v>54</v>
      </c>
      <c r="D5894" s="1" t="str">
        <f t="shared" si="1157"/>
        <v>9803</v>
      </c>
      <c r="E5894" s="1" t="s">
        <v>32</v>
      </c>
      <c r="F5894" s="1" t="str">
        <f>"1490655761"</f>
        <v>1490655761</v>
      </c>
      <c r="G5894" s="1" t="s">
        <v>33</v>
      </c>
      <c r="H5894" s="1" t="str">
        <f t="shared" si="1158"/>
        <v>20220929</v>
      </c>
      <c r="I5894" s="1" t="str">
        <f>"122830"</f>
        <v>122830</v>
      </c>
      <c r="J5894" s="1" t="s">
        <v>28</v>
      </c>
      <c r="K5894" s="1" t="s">
        <v>28</v>
      </c>
      <c r="L5894" s="1" t="str">
        <f t="shared" si="1159"/>
        <v>20220929</v>
      </c>
      <c r="M5894" s="1" t="str">
        <f>"124700"</f>
        <v>124700</v>
      </c>
      <c r="N5894" s="1" t="s">
        <v>34</v>
      </c>
      <c r="O5894" s="1" t="s">
        <v>34</v>
      </c>
      <c r="P5894" s="1" t="s">
        <v>55</v>
      </c>
      <c r="Q5894" s="1">
        <v>25</v>
      </c>
      <c r="R5894" s="1">
        <v>0</v>
      </c>
      <c r="S5894" s="1">
        <v>25</v>
      </c>
      <c r="T5894" s="1">
        <v>0</v>
      </c>
      <c r="U5894" s="1">
        <v>0</v>
      </c>
      <c r="V5894" s="1" t="str">
        <f t="shared" si="1160"/>
        <v>里程去程</v>
      </c>
      <c r="W5894" s="1" t="str">
        <f>"0820"</f>
        <v>0820</v>
      </c>
      <c r="X5894" s="1" t="s">
        <v>35</v>
      </c>
    </row>
    <row r="5895" spans="1:24" x14ac:dyDescent="0.3">
      <c r="A5895" s="1" t="str">
        <f t="shared" si="1156"/>
        <v>59820</v>
      </c>
      <c r="B5895" s="1" t="s">
        <v>53</v>
      </c>
      <c r="C5895" s="1" t="s">
        <v>54</v>
      </c>
      <c r="D5895" s="1" t="str">
        <f t="shared" si="1157"/>
        <v>9803</v>
      </c>
      <c r="E5895" s="1" t="s">
        <v>32</v>
      </c>
      <c r="F5895" s="1" t="str">
        <f>"192986917"</f>
        <v>192986917</v>
      </c>
      <c r="G5895" s="1" t="s">
        <v>33</v>
      </c>
      <c r="H5895" s="1" t="str">
        <f t="shared" si="1158"/>
        <v>20220929</v>
      </c>
      <c r="I5895" s="1" t="str">
        <f>"122834"</f>
        <v>122834</v>
      </c>
      <c r="J5895" s="1" t="s">
        <v>28</v>
      </c>
      <c r="K5895" s="1" t="s">
        <v>28</v>
      </c>
      <c r="L5895" s="1" t="str">
        <f t="shared" si="1159"/>
        <v>20220929</v>
      </c>
      <c r="M5895" s="1" t="str">
        <f>"124658"</f>
        <v>124658</v>
      </c>
      <c r="N5895" s="1" t="s">
        <v>34</v>
      </c>
      <c r="O5895" s="1" t="s">
        <v>34</v>
      </c>
      <c r="P5895" s="1" t="s">
        <v>55</v>
      </c>
      <c r="Q5895" s="1">
        <v>25</v>
      </c>
      <c r="R5895" s="1">
        <v>0</v>
      </c>
      <c r="S5895" s="1">
        <v>25</v>
      </c>
      <c r="T5895" s="1">
        <v>0</v>
      </c>
      <c r="U5895" s="1">
        <v>0</v>
      </c>
      <c r="V5895" s="1" t="str">
        <f t="shared" si="1160"/>
        <v>里程去程</v>
      </c>
      <c r="W5895" s="1" t="str">
        <f>"0820"</f>
        <v>0820</v>
      </c>
      <c r="X5895" s="1" t="s">
        <v>35</v>
      </c>
    </row>
    <row r="5896" spans="1:24" x14ac:dyDescent="0.3">
      <c r="A5896" s="1" t="str">
        <f t="shared" si="1156"/>
        <v>59820</v>
      </c>
      <c r="B5896" s="1" t="s">
        <v>53</v>
      </c>
      <c r="C5896" s="1" t="s">
        <v>54</v>
      </c>
      <c r="D5896" s="1" t="str">
        <f t="shared" si="1157"/>
        <v>9803</v>
      </c>
      <c r="E5896" s="1" t="s">
        <v>32</v>
      </c>
      <c r="F5896" s="1" t="str">
        <f>"945862405"</f>
        <v>945862405</v>
      </c>
      <c r="G5896" s="1" t="s">
        <v>33</v>
      </c>
      <c r="H5896" s="1" t="str">
        <f t="shared" si="1158"/>
        <v>20220929</v>
      </c>
      <c r="I5896" s="1" t="str">
        <f>"122838"</f>
        <v>122838</v>
      </c>
      <c r="J5896" s="1" t="s">
        <v>28</v>
      </c>
      <c r="K5896" s="1" t="s">
        <v>28</v>
      </c>
      <c r="L5896" s="1" t="str">
        <f t="shared" si="1159"/>
        <v>20220929</v>
      </c>
      <c r="M5896" s="1" t="str">
        <f>"124703"</f>
        <v>124703</v>
      </c>
      <c r="N5896" s="1" t="s">
        <v>34</v>
      </c>
      <c r="O5896" s="1" t="s">
        <v>34</v>
      </c>
      <c r="P5896" s="1" t="s">
        <v>55</v>
      </c>
      <c r="Q5896" s="1">
        <v>25</v>
      </c>
      <c r="R5896" s="1">
        <v>25</v>
      </c>
      <c r="S5896" s="1">
        <v>0</v>
      </c>
      <c r="T5896" s="1">
        <v>0</v>
      </c>
      <c r="U5896" s="1">
        <v>0</v>
      </c>
      <c r="V5896" s="1" t="str">
        <f t="shared" si="1160"/>
        <v>里程去程</v>
      </c>
      <c r="W5896" s="1" t="str">
        <f>"0820"</f>
        <v>0820</v>
      </c>
      <c r="X5896" s="1" t="s">
        <v>35</v>
      </c>
    </row>
    <row r="5897" spans="1:24" x14ac:dyDescent="0.3">
      <c r="A5897" s="1" t="str">
        <f t="shared" si="1156"/>
        <v>59820</v>
      </c>
      <c r="B5897" s="1" t="s">
        <v>53</v>
      </c>
      <c r="C5897" s="1" t="s">
        <v>54</v>
      </c>
      <c r="D5897" s="1" t="str">
        <f t="shared" si="1157"/>
        <v>9803</v>
      </c>
      <c r="E5897" s="1" t="s">
        <v>32</v>
      </c>
      <c r="F5897" s="1" t="str">
        <f>"1213384933"</f>
        <v>1213384933</v>
      </c>
      <c r="G5897" s="1" t="s">
        <v>33</v>
      </c>
      <c r="H5897" s="1" t="str">
        <f t="shared" si="1158"/>
        <v>20220929</v>
      </c>
      <c r="I5897" s="1" t="str">
        <f>"122843"</f>
        <v>122843</v>
      </c>
      <c r="J5897" s="1" t="s">
        <v>28</v>
      </c>
      <c r="K5897" s="1" t="s">
        <v>28</v>
      </c>
      <c r="L5897" s="1" t="str">
        <f t="shared" si="1159"/>
        <v>20220929</v>
      </c>
      <c r="M5897" s="1" t="str">
        <f>"124646"</f>
        <v>124646</v>
      </c>
      <c r="N5897" s="1" t="s">
        <v>34</v>
      </c>
      <c r="O5897" s="1" t="s">
        <v>34</v>
      </c>
      <c r="P5897" s="1" t="s">
        <v>55</v>
      </c>
      <c r="Q5897" s="1">
        <v>25</v>
      </c>
      <c r="R5897" s="1">
        <v>25</v>
      </c>
      <c r="S5897" s="1">
        <v>0</v>
      </c>
      <c r="T5897" s="1">
        <v>0</v>
      </c>
      <c r="U5897" s="1">
        <v>0</v>
      </c>
      <c r="V5897" s="1" t="str">
        <f t="shared" si="1160"/>
        <v>里程去程</v>
      </c>
      <c r="W5897" s="1" t="str">
        <f>"0620"</f>
        <v>0620</v>
      </c>
      <c r="X5897" s="1" t="s">
        <v>35</v>
      </c>
    </row>
    <row r="5898" spans="1:24" x14ac:dyDescent="0.3">
      <c r="A5898" s="1" t="str">
        <f t="shared" si="1156"/>
        <v>59820</v>
      </c>
      <c r="B5898" s="1" t="s">
        <v>53</v>
      </c>
      <c r="C5898" s="1" t="s">
        <v>54</v>
      </c>
      <c r="D5898" s="1" t="str">
        <f t="shared" si="1157"/>
        <v>9803</v>
      </c>
      <c r="E5898" s="1" t="s">
        <v>32</v>
      </c>
      <c r="F5898" s="1" t="str">
        <f>"901724549"</f>
        <v>901724549</v>
      </c>
      <c r="G5898" s="1" t="s">
        <v>33</v>
      </c>
      <c r="H5898" s="1" t="str">
        <f t="shared" si="1158"/>
        <v>20220929</v>
      </c>
      <c r="I5898" s="1" t="str">
        <f>"125800"</f>
        <v>125800</v>
      </c>
      <c r="J5898" s="1" t="s">
        <v>34</v>
      </c>
      <c r="K5898" s="1" t="s">
        <v>34</v>
      </c>
      <c r="L5898" s="1" t="str">
        <f t="shared" si="1159"/>
        <v>20220929</v>
      </c>
      <c r="M5898" s="1" t="str">
        <f>"132800"</f>
        <v>132800</v>
      </c>
      <c r="N5898" s="1" t="s">
        <v>28</v>
      </c>
      <c r="O5898" s="1" t="s">
        <v>28</v>
      </c>
      <c r="P5898" s="1" t="s">
        <v>55</v>
      </c>
      <c r="Q5898" s="1">
        <v>25</v>
      </c>
      <c r="R5898" s="1">
        <v>25</v>
      </c>
      <c r="S5898" s="1">
        <v>0</v>
      </c>
      <c r="T5898" s="1">
        <v>0</v>
      </c>
      <c r="U5898" s="1">
        <v>0</v>
      </c>
      <c r="V5898" s="1" t="str">
        <f>"里程返程"</f>
        <v>里程返程</v>
      </c>
      <c r="W5898" s="1" t="str">
        <f>"2120"</f>
        <v>2120</v>
      </c>
      <c r="X5898" s="1" t="s">
        <v>35</v>
      </c>
    </row>
    <row r="5899" spans="1:24" x14ac:dyDescent="0.3">
      <c r="A5899" s="1" t="str">
        <f t="shared" si="1156"/>
        <v>59820</v>
      </c>
      <c r="B5899" s="1" t="s">
        <v>53</v>
      </c>
      <c r="C5899" s="1" t="s">
        <v>54</v>
      </c>
      <c r="D5899" s="1" t="str">
        <f t="shared" si="1157"/>
        <v>9803</v>
      </c>
      <c r="E5899" s="1" t="s">
        <v>32</v>
      </c>
      <c r="F5899" s="1" t="str">
        <f>"B2D6D002B6880400C834002000000015"</f>
        <v>B2D6D002B6880400C834002000000015</v>
      </c>
      <c r="G5899" s="1" t="s">
        <v>26</v>
      </c>
      <c r="H5899" s="1" t="str">
        <f t="shared" si="1158"/>
        <v>20220929</v>
      </c>
      <c r="I5899" s="1" t="str">
        <f>"153714"</f>
        <v>153714</v>
      </c>
      <c r="J5899" s="1" t="s">
        <v>28</v>
      </c>
      <c r="K5899" s="1" t="s">
        <v>28</v>
      </c>
      <c r="L5899" s="1" t="str">
        <f>""</f>
        <v/>
      </c>
      <c r="M5899" s="1" t="str">
        <f>""</f>
        <v/>
      </c>
      <c r="P5899" s="1" t="s">
        <v>88</v>
      </c>
      <c r="Q5899" s="1">
        <v>13</v>
      </c>
      <c r="R5899" s="1">
        <v>0</v>
      </c>
      <c r="S5899" s="1">
        <v>0</v>
      </c>
      <c r="T5899" s="1">
        <v>13</v>
      </c>
      <c r="U5899" s="1">
        <v>0</v>
      </c>
      <c r="V5899" s="1" t="str">
        <f>"里程去程"</f>
        <v>里程去程</v>
      </c>
      <c r="W5899" s="1" t="str">
        <f>"0020"</f>
        <v>0020</v>
      </c>
      <c r="X5899" s="1" t="s">
        <v>29</v>
      </c>
    </row>
    <row r="5900" spans="1:24" x14ac:dyDescent="0.3">
      <c r="A5900" s="1" t="str">
        <f t="shared" si="1156"/>
        <v>59820</v>
      </c>
      <c r="B5900" s="1" t="s">
        <v>53</v>
      </c>
      <c r="C5900" s="1" t="s">
        <v>54</v>
      </c>
      <c r="D5900" s="1" t="str">
        <f t="shared" si="1157"/>
        <v>9803</v>
      </c>
      <c r="E5900" s="1" t="s">
        <v>32</v>
      </c>
      <c r="F5900" s="1" t="str">
        <f>"660441909"</f>
        <v>660441909</v>
      </c>
      <c r="G5900" s="1" t="s">
        <v>33</v>
      </c>
      <c r="H5900" s="1" t="str">
        <f t="shared" si="1158"/>
        <v>20220929</v>
      </c>
      <c r="I5900" s="1" t="str">
        <f>"153829"</f>
        <v>153829</v>
      </c>
      <c r="J5900" s="1" t="s">
        <v>41</v>
      </c>
      <c r="K5900" s="1" t="s">
        <v>28</v>
      </c>
      <c r="L5900" s="1" t="str">
        <f>""</f>
        <v/>
      </c>
      <c r="M5900" s="1" t="str">
        <f>""</f>
        <v/>
      </c>
      <c r="P5900" s="1" t="s">
        <v>88</v>
      </c>
      <c r="Q5900" s="1">
        <v>25</v>
      </c>
      <c r="R5900" s="1">
        <v>0</v>
      </c>
      <c r="S5900" s="1">
        <v>25</v>
      </c>
      <c r="T5900" s="1">
        <v>0</v>
      </c>
      <c r="U5900" s="1">
        <v>0</v>
      </c>
      <c r="V5900" s="1" t="str">
        <f>"里程去程"</f>
        <v>里程去程</v>
      </c>
      <c r="W5900" s="1" t="str">
        <f>"0820"</f>
        <v>0820</v>
      </c>
      <c r="X5900" s="1" t="s">
        <v>35</v>
      </c>
    </row>
    <row r="5901" spans="1:24" x14ac:dyDescent="0.3">
      <c r="A5901" s="1" t="str">
        <f t="shared" si="1156"/>
        <v>59820</v>
      </c>
      <c r="B5901" s="1" t="s">
        <v>53</v>
      </c>
      <c r="C5901" s="1" t="s">
        <v>54</v>
      </c>
      <c r="D5901" s="1" t="str">
        <f t="shared" si="1157"/>
        <v>9803</v>
      </c>
      <c r="E5901" s="1" t="s">
        <v>32</v>
      </c>
      <c r="F5901" s="1" t="str">
        <f>"2028507424"</f>
        <v>2028507424</v>
      </c>
      <c r="G5901" s="1" t="s">
        <v>33</v>
      </c>
      <c r="H5901" s="1" t="str">
        <f t="shared" si="1158"/>
        <v>20220929</v>
      </c>
      <c r="I5901" s="1" t="str">
        <f>"161024"</f>
        <v>161024</v>
      </c>
      <c r="J5901" s="1" t="s">
        <v>34</v>
      </c>
      <c r="K5901" s="1" t="s">
        <v>34</v>
      </c>
      <c r="L5901" s="1" t="str">
        <f t="shared" ref="L5901:L5932" si="1161">"20220929"</f>
        <v>20220929</v>
      </c>
      <c r="M5901" s="1" t="str">
        <f>"163818"</f>
        <v>163818</v>
      </c>
      <c r="N5901" s="1" t="s">
        <v>28</v>
      </c>
      <c r="O5901" s="1" t="s">
        <v>28</v>
      </c>
      <c r="P5901" s="1" t="s">
        <v>55</v>
      </c>
      <c r="Q5901" s="1">
        <v>25</v>
      </c>
      <c r="R5901" s="1">
        <v>25</v>
      </c>
      <c r="S5901" s="1">
        <v>0</v>
      </c>
      <c r="T5901" s="1">
        <v>0</v>
      </c>
      <c r="U5901" s="1">
        <v>0</v>
      </c>
      <c r="V5901" s="1" t="str">
        <f t="shared" ref="V5901:V5908" si="1162">"里程返程"</f>
        <v>里程返程</v>
      </c>
      <c r="W5901" s="1" t="str">
        <f>"2020"</f>
        <v>2020</v>
      </c>
      <c r="X5901" s="1" t="s">
        <v>35</v>
      </c>
    </row>
    <row r="5902" spans="1:24" x14ac:dyDescent="0.3">
      <c r="A5902" s="1" t="str">
        <f t="shared" si="1156"/>
        <v>59820</v>
      </c>
      <c r="B5902" s="1" t="s">
        <v>53</v>
      </c>
      <c r="C5902" s="1" t="s">
        <v>54</v>
      </c>
      <c r="D5902" s="1" t="str">
        <f t="shared" si="1157"/>
        <v>9803</v>
      </c>
      <c r="E5902" s="1" t="s">
        <v>32</v>
      </c>
      <c r="F5902" s="1" t="str">
        <f>"1464046545"</f>
        <v>1464046545</v>
      </c>
      <c r="G5902" s="1" t="s">
        <v>33</v>
      </c>
      <c r="H5902" s="1" t="str">
        <f t="shared" si="1158"/>
        <v>20220929</v>
      </c>
      <c r="I5902" s="1" t="str">
        <f>"161028"</f>
        <v>161028</v>
      </c>
      <c r="J5902" s="1" t="s">
        <v>34</v>
      </c>
      <c r="K5902" s="1" t="s">
        <v>34</v>
      </c>
      <c r="L5902" s="1" t="str">
        <f t="shared" si="1161"/>
        <v>20220929</v>
      </c>
      <c r="M5902" s="1" t="str">
        <f>"163822"</f>
        <v>163822</v>
      </c>
      <c r="N5902" s="1" t="s">
        <v>28</v>
      </c>
      <c r="O5902" s="1" t="s">
        <v>28</v>
      </c>
      <c r="P5902" s="1" t="s">
        <v>55</v>
      </c>
      <c r="Q5902" s="1">
        <v>25</v>
      </c>
      <c r="R5902" s="1">
        <v>25</v>
      </c>
      <c r="S5902" s="1">
        <v>0</v>
      </c>
      <c r="T5902" s="1">
        <v>0</v>
      </c>
      <c r="U5902" s="1">
        <v>0</v>
      </c>
      <c r="V5902" s="1" t="str">
        <f t="shared" si="1162"/>
        <v>里程返程</v>
      </c>
      <c r="W5902" s="1" t="str">
        <f>"2020"</f>
        <v>2020</v>
      </c>
      <c r="X5902" s="1" t="s">
        <v>35</v>
      </c>
    </row>
    <row r="5903" spans="1:24" x14ac:dyDescent="0.3">
      <c r="A5903" s="1" t="str">
        <f t="shared" si="1156"/>
        <v>59820</v>
      </c>
      <c r="B5903" s="1" t="s">
        <v>53</v>
      </c>
      <c r="C5903" s="1" t="s">
        <v>54</v>
      </c>
      <c r="D5903" s="1" t="str">
        <f t="shared" si="1157"/>
        <v>9803</v>
      </c>
      <c r="E5903" s="1" t="s">
        <v>32</v>
      </c>
      <c r="F5903" s="1" t="str">
        <f>"1238384277"</f>
        <v>1238384277</v>
      </c>
      <c r="G5903" s="1" t="s">
        <v>33</v>
      </c>
      <c r="H5903" s="1" t="str">
        <f t="shared" si="1158"/>
        <v>20220929</v>
      </c>
      <c r="I5903" s="1" t="str">
        <f>"161054"</f>
        <v>161054</v>
      </c>
      <c r="J5903" s="1" t="s">
        <v>34</v>
      </c>
      <c r="K5903" s="1" t="s">
        <v>34</v>
      </c>
      <c r="L5903" s="1" t="str">
        <f t="shared" si="1161"/>
        <v>20220929</v>
      </c>
      <c r="M5903" s="1" t="str">
        <f>"163811"</f>
        <v>163811</v>
      </c>
      <c r="N5903" s="1" t="s">
        <v>28</v>
      </c>
      <c r="O5903" s="1" t="s">
        <v>28</v>
      </c>
      <c r="P5903" s="1" t="s">
        <v>55</v>
      </c>
      <c r="Q5903" s="1">
        <v>25</v>
      </c>
      <c r="R5903" s="1">
        <v>25</v>
      </c>
      <c r="S5903" s="1">
        <v>0</v>
      </c>
      <c r="T5903" s="1">
        <v>0</v>
      </c>
      <c r="U5903" s="1">
        <v>0</v>
      </c>
      <c r="V5903" s="1" t="str">
        <f t="shared" si="1162"/>
        <v>里程返程</v>
      </c>
      <c r="W5903" s="1" t="str">
        <f>"0320"</f>
        <v>0320</v>
      </c>
      <c r="X5903" s="1" t="s">
        <v>35</v>
      </c>
    </row>
    <row r="5904" spans="1:24" x14ac:dyDescent="0.3">
      <c r="A5904" s="1" t="str">
        <f t="shared" si="1156"/>
        <v>59820</v>
      </c>
      <c r="B5904" s="1" t="s">
        <v>53</v>
      </c>
      <c r="C5904" s="1" t="s">
        <v>54</v>
      </c>
      <c r="D5904" s="1" t="str">
        <f t="shared" si="1157"/>
        <v>9803</v>
      </c>
      <c r="E5904" s="1" t="s">
        <v>32</v>
      </c>
      <c r="F5904" s="1" t="str">
        <f>"1259268245"</f>
        <v>1259268245</v>
      </c>
      <c r="G5904" s="1" t="s">
        <v>33</v>
      </c>
      <c r="H5904" s="1" t="str">
        <f t="shared" si="1158"/>
        <v>20220929</v>
      </c>
      <c r="I5904" s="1" t="str">
        <f>"161109"</f>
        <v>161109</v>
      </c>
      <c r="J5904" s="1" t="s">
        <v>34</v>
      </c>
      <c r="K5904" s="1" t="s">
        <v>34</v>
      </c>
      <c r="L5904" s="1" t="str">
        <f t="shared" si="1161"/>
        <v>20220929</v>
      </c>
      <c r="M5904" s="1" t="str">
        <f>"163826"</f>
        <v>163826</v>
      </c>
      <c r="N5904" s="1" t="s">
        <v>28</v>
      </c>
      <c r="O5904" s="1" t="s">
        <v>28</v>
      </c>
      <c r="P5904" s="1" t="s">
        <v>55</v>
      </c>
      <c r="Q5904" s="1">
        <v>25</v>
      </c>
      <c r="R5904" s="1">
        <v>25</v>
      </c>
      <c r="S5904" s="1">
        <v>0</v>
      </c>
      <c r="T5904" s="1">
        <v>0</v>
      </c>
      <c r="U5904" s="1">
        <v>0</v>
      </c>
      <c r="V5904" s="1" t="str">
        <f t="shared" si="1162"/>
        <v>里程返程</v>
      </c>
      <c r="W5904" s="1" t="str">
        <f>"0820"</f>
        <v>0820</v>
      </c>
      <c r="X5904" s="1" t="s">
        <v>35</v>
      </c>
    </row>
    <row r="5905" spans="1:24" x14ac:dyDescent="0.3">
      <c r="A5905" s="1" t="str">
        <f t="shared" si="1156"/>
        <v>59820</v>
      </c>
      <c r="B5905" s="1" t="s">
        <v>53</v>
      </c>
      <c r="C5905" s="1" t="s">
        <v>54</v>
      </c>
      <c r="D5905" s="1" t="str">
        <f t="shared" si="1157"/>
        <v>9803</v>
      </c>
      <c r="E5905" s="1" t="s">
        <v>32</v>
      </c>
      <c r="F5905" s="1" t="str">
        <f>"919ABA1CAD280400F700000000000000"</f>
        <v>919ABA1CAD280400F700000000000000</v>
      </c>
      <c r="G5905" s="1" t="s">
        <v>58</v>
      </c>
      <c r="H5905" s="1" t="str">
        <f t="shared" si="1158"/>
        <v>20220929</v>
      </c>
      <c r="I5905" s="1" t="str">
        <f>"173028"</f>
        <v>173028</v>
      </c>
      <c r="J5905" s="1" t="s">
        <v>34</v>
      </c>
      <c r="K5905" s="1" t="s">
        <v>34</v>
      </c>
      <c r="L5905" s="1" t="str">
        <f t="shared" si="1161"/>
        <v>20220929</v>
      </c>
      <c r="M5905" s="1" t="str">
        <f>"174521"</f>
        <v>174521</v>
      </c>
      <c r="N5905" s="1" t="s">
        <v>46</v>
      </c>
      <c r="O5905" s="1" t="s">
        <v>28</v>
      </c>
      <c r="P5905" s="1" t="s">
        <v>55</v>
      </c>
      <c r="Q5905" s="1">
        <v>25</v>
      </c>
      <c r="R5905" s="1">
        <v>25</v>
      </c>
      <c r="S5905" s="1">
        <v>0</v>
      </c>
      <c r="T5905" s="1">
        <v>0</v>
      </c>
      <c r="U5905" s="1">
        <v>0</v>
      </c>
      <c r="V5905" s="1" t="str">
        <f t="shared" si="1162"/>
        <v>里程返程</v>
      </c>
      <c r="W5905" s="1" t="str">
        <f>"0020"</f>
        <v>0020</v>
      </c>
      <c r="X5905" s="1" t="s">
        <v>29</v>
      </c>
    </row>
    <row r="5906" spans="1:24" x14ac:dyDescent="0.3">
      <c r="A5906" s="1" t="str">
        <f t="shared" si="1156"/>
        <v>59820</v>
      </c>
      <c r="B5906" s="1" t="s">
        <v>53</v>
      </c>
      <c r="C5906" s="1" t="s">
        <v>54</v>
      </c>
      <c r="D5906" s="1" t="str">
        <f t="shared" si="1157"/>
        <v>9803</v>
      </c>
      <c r="E5906" s="1" t="s">
        <v>32</v>
      </c>
      <c r="F5906" s="1" t="str">
        <f>"3782742186"</f>
        <v>3782742186</v>
      </c>
      <c r="G5906" s="1" t="s">
        <v>33</v>
      </c>
      <c r="H5906" s="1" t="str">
        <f t="shared" si="1158"/>
        <v>20220929</v>
      </c>
      <c r="I5906" s="1" t="str">
        <f>"173038"</f>
        <v>173038</v>
      </c>
      <c r="J5906" s="1" t="s">
        <v>34</v>
      </c>
      <c r="K5906" s="1" t="s">
        <v>34</v>
      </c>
      <c r="L5906" s="1" t="str">
        <f t="shared" si="1161"/>
        <v>20220929</v>
      </c>
      <c r="M5906" s="1" t="str">
        <f>"174523"</f>
        <v>174523</v>
      </c>
      <c r="N5906" s="1" t="s">
        <v>46</v>
      </c>
      <c r="O5906" s="1" t="s">
        <v>28</v>
      </c>
      <c r="P5906" s="1" t="s">
        <v>55</v>
      </c>
      <c r="Q5906" s="1">
        <v>25</v>
      </c>
      <c r="R5906" s="1">
        <v>25</v>
      </c>
      <c r="S5906" s="1">
        <v>0</v>
      </c>
      <c r="T5906" s="1">
        <v>0</v>
      </c>
      <c r="U5906" s="1">
        <v>0</v>
      </c>
      <c r="V5906" s="1" t="str">
        <f t="shared" si="1162"/>
        <v>里程返程</v>
      </c>
      <c r="W5906" s="1" t="str">
        <f>"0120"</f>
        <v>0120</v>
      </c>
      <c r="X5906" s="1" t="s">
        <v>35</v>
      </c>
    </row>
    <row r="5907" spans="1:24" x14ac:dyDescent="0.3">
      <c r="A5907" s="1" t="str">
        <f t="shared" si="1156"/>
        <v>59820</v>
      </c>
      <c r="B5907" s="1" t="s">
        <v>53</v>
      </c>
      <c r="C5907" s="1" t="s">
        <v>54</v>
      </c>
      <c r="D5907" s="1" t="str">
        <f t="shared" si="1157"/>
        <v>9803</v>
      </c>
      <c r="E5907" s="1" t="s">
        <v>32</v>
      </c>
      <c r="F5907" s="1" t="str">
        <f>"1502903329"</f>
        <v>1502903329</v>
      </c>
      <c r="G5907" s="1" t="s">
        <v>33</v>
      </c>
      <c r="H5907" s="1" t="str">
        <f t="shared" si="1158"/>
        <v>20220929</v>
      </c>
      <c r="I5907" s="1" t="str">
        <f>"173044"</f>
        <v>173044</v>
      </c>
      <c r="J5907" s="1" t="s">
        <v>34</v>
      </c>
      <c r="K5907" s="1" t="s">
        <v>34</v>
      </c>
      <c r="L5907" s="1" t="str">
        <f t="shared" si="1161"/>
        <v>20220929</v>
      </c>
      <c r="M5907" s="1" t="str">
        <f>"174529"</f>
        <v>174529</v>
      </c>
      <c r="N5907" s="1" t="s">
        <v>46</v>
      </c>
      <c r="O5907" s="1" t="s">
        <v>28</v>
      </c>
      <c r="P5907" s="1" t="s">
        <v>55</v>
      </c>
      <c r="Q5907" s="1">
        <v>25</v>
      </c>
      <c r="R5907" s="1">
        <v>25</v>
      </c>
      <c r="S5907" s="1">
        <v>0</v>
      </c>
      <c r="T5907" s="1">
        <v>0</v>
      </c>
      <c r="U5907" s="1">
        <v>0</v>
      </c>
      <c r="V5907" s="1" t="str">
        <f t="shared" si="1162"/>
        <v>里程返程</v>
      </c>
      <c r="W5907" s="1" t="str">
        <f>"0120"</f>
        <v>0120</v>
      </c>
      <c r="X5907" s="1" t="s">
        <v>35</v>
      </c>
    </row>
    <row r="5908" spans="1:24" x14ac:dyDescent="0.3">
      <c r="A5908" s="1" t="str">
        <f t="shared" si="1156"/>
        <v>59820</v>
      </c>
      <c r="B5908" s="1" t="s">
        <v>53</v>
      </c>
      <c r="C5908" s="1" t="s">
        <v>54</v>
      </c>
      <c r="D5908" s="1" t="str">
        <f t="shared" si="1157"/>
        <v>9803</v>
      </c>
      <c r="E5908" s="1" t="s">
        <v>32</v>
      </c>
      <c r="F5908" s="1" t="str">
        <f>"266513345"</f>
        <v>266513345</v>
      </c>
      <c r="G5908" s="1" t="s">
        <v>33</v>
      </c>
      <c r="H5908" s="1" t="str">
        <f t="shared" si="1158"/>
        <v>20220929</v>
      </c>
      <c r="I5908" s="1" t="str">
        <f>"173059"</f>
        <v>173059</v>
      </c>
      <c r="J5908" s="1" t="s">
        <v>34</v>
      </c>
      <c r="K5908" s="1" t="s">
        <v>34</v>
      </c>
      <c r="L5908" s="1" t="str">
        <f t="shared" si="1161"/>
        <v>20220929</v>
      </c>
      <c r="M5908" s="1" t="str">
        <f>"174533"</f>
        <v>174533</v>
      </c>
      <c r="N5908" s="1" t="s">
        <v>46</v>
      </c>
      <c r="O5908" s="1" t="s">
        <v>28</v>
      </c>
      <c r="P5908" s="1" t="s">
        <v>55</v>
      </c>
      <c r="Q5908" s="1">
        <v>25</v>
      </c>
      <c r="R5908" s="1">
        <v>25</v>
      </c>
      <c r="S5908" s="1">
        <v>0</v>
      </c>
      <c r="T5908" s="1">
        <v>0</v>
      </c>
      <c r="U5908" s="1">
        <v>0</v>
      </c>
      <c r="V5908" s="1" t="str">
        <f t="shared" si="1162"/>
        <v>里程返程</v>
      </c>
      <c r="W5908" s="1" t="str">
        <f>"0120"</f>
        <v>0120</v>
      </c>
      <c r="X5908" s="1" t="s">
        <v>35</v>
      </c>
    </row>
    <row r="5909" spans="1:24" x14ac:dyDescent="0.3">
      <c r="A5909" s="1" t="str">
        <f t="shared" si="1156"/>
        <v>59820</v>
      </c>
      <c r="B5909" s="1" t="s">
        <v>53</v>
      </c>
      <c r="C5909" s="1" t="s">
        <v>54</v>
      </c>
      <c r="D5909" s="1" t="str">
        <f>"9805"</f>
        <v>9805</v>
      </c>
      <c r="E5909" s="1" t="s">
        <v>57</v>
      </c>
      <c r="F5909" s="1" t="str">
        <f>"2920694728"</f>
        <v>2920694728</v>
      </c>
      <c r="G5909" s="1" t="s">
        <v>33</v>
      </c>
      <c r="H5909" s="1" t="str">
        <f t="shared" si="1158"/>
        <v>20220929</v>
      </c>
      <c r="I5909" s="1" t="str">
        <f>"175822"</f>
        <v>175822</v>
      </c>
      <c r="J5909" s="1" t="s">
        <v>28</v>
      </c>
      <c r="K5909" s="1" t="s">
        <v>28</v>
      </c>
      <c r="L5909" s="1" t="str">
        <f t="shared" si="1161"/>
        <v>20220929</v>
      </c>
      <c r="M5909" s="1" t="str">
        <f>"181218"</f>
        <v>181218</v>
      </c>
      <c r="N5909" s="1" t="s">
        <v>56</v>
      </c>
      <c r="O5909" s="1" t="s">
        <v>28</v>
      </c>
      <c r="P5909" s="1" t="s">
        <v>55</v>
      </c>
      <c r="Q5909" s="1">
        <v>25</v>
      </c>
      <c r="R5909" s="1">
        <v>25</v>
      </c>
      <c r="S5909" s="1">
        <v>0</v>
      </c>
      <c r="T5909" s="1">
        <v>0</v>
      </c>
      <c r="U5909" s="1">
        <v>0</v>
      </c>
      <c r="V5909" s="1" t="str">
        <f>"里程去程"</f>
        <v>里程去程</v>
      </c>
      <c r="W5909" s="1" t="str">
        <f>"0920"</f>
        <v>0920</v>
      </c>
      <c r="X5909" s="1" t="s">
        <v>35</v>
      </c>
    </row>
    <row r="5910" spans="1:24" x14ac:dyDescent="0.3">
      <c r="A5910" s="1" t="str">
        <f t="shared" si="1156"/>
        <v>59820</v>
      </c>
      <c r="B5910" s="1" t="s">
        <v>53</v>
      </c>
      <c r="C5910" s="1" t="s">
        <v>54</v>
      </c>
      <c r="D5910" s="1" t="str">
        <f>"9805"</f>
        <v>9805</v>
      </c>
      <c r="E5910" s="1" t="s">
        <v>57</v>
      </c>
      <c r="F5910" s="1" t="str">
        <f>"2920700360"</f>
        <v>2920700360</v>
      </c>
      <c r="G5910" s="1" t="s">
        <v>33</v>
      </c>
      <c r="H5910" s="1" t="str">
        <f t="shared" si="1158"/>
        <v>20220929</v>
      </c>
      <c r="I5910" s="1" t="str">
        <f>"175824"</f>
        <v>175824</v>
      </c>
      <c r="J5910" s="1" t="s">
        <v>28</v>
      </c>
      <c r="K5910" s="1" t="s">
        <v>28</v>
      </c>
      <c r="L5910" s="1" t="str">
        <f t="shared" si="1161"/>
        <v>20220929</v>
      </c>
      <c r="M5910" s="1" t="str">
        <f>"181221"</f>
        <v>181221</v>
      </c>
      <c r="N5910" s="1" t="s">
        <v>56</v>
      </c>
      <c r="O5910" s="1" t="s">
        <v>28</v>
      </c>
      <c r="P5910" s="1" t="s">
        <v>55</v>
      </c>
      <c r="Q5910" s="1">
        <v>25</v>
      </c>
      <c r="R5910" s="1">
        <v>25</v>
      </c>
      <c r="S5910" s="1">
        <v>0</v>
      </c>
      <c r="T5910" s="1">
        <v>0</v>
      </c>
      <c r="U5910" s="1">
        <v>0</v>
      </c>
      <c r="V5910" s="1" t="str">
        <f>"里程去程"</f>
        <v>里程去程</v>
      </c>
      <c r="W5910" s="1" t="str">
        <f>"0920"</f>
        <v>0920</v>
      </c>
      <c r="X5910" s="1" t="s">
        <v>35</v>
      </c>
    </row>
    <row r="5911" spans="1:24" x14ac:dyDescent="0.3">
      <c r="A5911" s="1" t="str">
        <f t="shared" si="1156"/>
        <v>59820</v>
      </c>
      <c r="B5911" s="1" t="s">
        <v>53</v>
      </c>
      <c r="C5911" s="1" t="s">
        <v>54</v>
      </c>
      <c r="D5911" s="1" t="str">
        <f>"9805"</f>
        <v>9805</v>
      </c>
      <c r="E5911" s="1" t="s">
        <v>57</v>
      </c>
      <c r="F5911" s="1" t="str">
        <f>"2920654280"</f>
        <v>2920654280</v>
      </c>
      <c r="G5911" s="1" t="s">
        <v>33</v>
      </c>
      <c r="H5911" s="1" t="str">
        <f t="shared" si="1158"/>
        <v>20220929</v>
      </c>
      <c r="I5911" s="1" t="str">
        <f>"175833"</f>
        <v>175833</v>
      </c>
      <c r="J5911" s="1" t="s">
        <v>28</v>
      </c>
      <c r="K5911" s="1" t="s">
        <v>28</v>
      </c>
      <c r="L5911" s="1" t="str">
        <f t="shared" si="1161"/>
        <v>20220929</v>
      </c>
      <c r="M5911" s="1" t="str">
        <f>"181214"</f>
        <v>181214</v>
      </c>
      <c r="N5911" s="1" t="s">
        <v>56</v>
      </c>
      <c r="O5911" s="1" t="s">
        <v>28</v>
      </c>
      <c r="P5911" s="1" t="s">
        <v>55</v>
      </c>
      <c r="Q5911" s="1">
        <v>25</v>
      </c>
      <c r="R5911" s="1">
        <v>25</v>
      </c>
      <c r="S5911" s="1">
        <v>0</v>
      </c>
      <c r="T5911" s="1">
        <v>0</v>
      </c>
      <c r="U5911" s="1">
        <v>0</v>
      </c>
      <c r="V5911" s="1" t="str">
        <f>"里程去程"</f>
        <v>里程去程</v>
      </c>
      <c r="W5911" s="1" t="str">
        <f>"0920"</f>
        <v>0920</v>
      </c>
      <c r="X5911" s="1" t="s">
        <v>35</v>
      </c>
    </row>
    <row r="5912" spans="1:24" x14ac:dyDescent="0.3">
      <c r="A5912" s="1" t="str">
        <f t="shared" si="1156"/>
        <v>59820</v>
      </c>
      <c r="B5912" s="1" t="s">
        <v>53</v>
      </c>
      <c r="C5912" s="1" t="s">
        <v>54</v>
      </c>
      <c r="D5912" s="1" t="str">
        <f>"9805"</f>
        <v>9805</v>
      </c>
      <c r="E5912" s="1" t="s">
        <v>57</v>
      </c>
      <c r="F5912" s="1" t="str">
        <f>"E220D10211880400C834002000000015"</f>
        <v>E220D10211880400C834002000000015</v>
      </c>
      <c r="G5912" s="1" t="s">
        <v>74</v>
      </c>
      <c r="H5912" s="1" t="str">
        <f t="shared" si="1158"/>
        <v>20220929</v>
      </c>
      <c r="I5912" s="1" t="str">
        <f>"182558"</f>
        <v>182558</v>
      </c>
      <c r="J5912" s="1" t="s">
        <v>62</v>
      </c>
      <c r="K5912" s="1" t="s">
        <v>28</v>
      </c>
      <c r="L5912" s="1" t="str">
        <f t="shared" si="1161"/>
        <v>20220929</v>
      </c>
      <c r="M5912" s="1" t="str">
        <f>"183210"</f>
        <v>183210</v>
      </c>
      <c r="N5912" s="1" t="s">
        <v>92</v>
      </c>
      <c r="O5912" s="1" t="s">
        <v>28</v>
      </c>
      <c r="P5912" s="1" t="s">
        <v>68</v>
      </c>
      <c r="Q5912" s="1">
        <v>13</v>
      </c>
      <c r="R5912" s="1">
        <v>0</v>
      </c>
      <c r="S5912" s="1">
        <v>0</v>
      </c>
      <c r="T5912" s="1">
        <v>13</v>
      </c>
      <c r="U5912" s="1">
        <v>0</v>
      </c>
      <c r="V5912" s="1" t="str">
        <f t="shared" ref="V5912:V5928" si="1163">"里程返程"</f>
        <v>里程返程</v>
      </c>
      <c r="W5912" s="1" t="str">
        <f>"0020"</f>
        <v>0020</v>
      </c>
      <c r="X5912" s="1" t="s">
        <v>29</v>
      </c>
    </row>
    <row r="5913" spans="1:24" x14ac:dyDescent="0.3">
      <c r="A5913" s="1" t="str">
        <f t="shared" si="1156"/>
        <v>59820</v>
      </c>
      <c r="B5913" s="1" t="s">
        <v>53</v>
      </c>
      <c r="C5913" s="1" t="s">
        <v>54</v>
      </c>
      <c r="D5913" s="1" t="str">
        <f>"9805"</f>
        <v>9805</v>
      </c>
      <c r="E5913" s="1" t="s">
        <v>57</v>
      </c>
      <c r="F5913" s="1" t="str">
        <f>"FAFF46337088040047C12B9499001607"</f>
        <v>FAFF46337088040047C12B9499001607</v>
      </c>
      <c r="G5913" s="1" t="s">
        <v>58</v>
      </c>
      <c r="H5913" s="1" t="str">
        <f t="shared" si="1158"/>
        <v>20220929</v>
      </c>
      <c r="I5913" s="1" t="str">
        <f>"182735"</f>
        <v>182735</v>
      </c>
      <c r="J5913" s="1" t="s">
        <v>103</v>
      </c>
      <c r="K5913" s="1" t="s">
        <v>28</v>
      </c>
      <c r="L5913" s="1" t="str">
        <f t="shared" si="1161"/>
        <v>20220929</v>
      </c>
      <c r="M5913" s="1" t="str">
        <f>"183820"</f>
        <v>183820</v>
      </c>
      <c r="N5913" s="1" t="s">
        <v>28</v>
      </c>
      <c r="O5913" s="1" t="s">
        <v>28</v>
      </c>
      <c r="P5913" s="1" t="s">
        <v>55</v>
      </c>
      <c r="Q5913" s="1">
        <v>25</v>
      </c>
      <c r="R5913" s="1">
        <v>25</v>
      </c>
      <c r="S5913" s="1">
        <v>0</v>
      </c>
      <c r="T5913" s="1">
        <v>0</v>
      </c>
      <c r="U5913" s="1">
        <v>0</v>
      </c>
      <c r="V5913" s="1" t="str">
        <f t="shared" si="1163"/>
        <v>里程返程</v>
      </c>
      <c r="W5913" s="1" t="str">
        <f>"0020"</f>
        <v>0020</v>
      </c>
      <c r="X5913" s="1" t="s">
        <v>29</v>
      </c>
    </row>
    <row r="5914" spans="1:24" x14ac:dyDescent="0.3">
      <c r="A5914" s="1" t="str">
        <f t="shared" ref="A5914:A5949" si="1164">"59825"</f>
        <v>59825</v>
      </c>
      <c r="B5914" s="1" t="s">
        <v>30</v>
      </c>
      <c r="C5914" s="1" t="s">
        <v>31</v>
      </c>
      <c r="D5914" s="1" t="str">
        <f t="shared" ref="D5914:D5928" si="1165">"9801"</f>
        <v>9801</v>
      </c>
      <c r="E5914" s="1" t="s">
        <v>25</v>
      </c>
      <c r="F5914" s="1" t="str">
        <f>"459398481"</f>
        <v>459398481</v>
      </c>
      <c r="G5914" s="1" t="s">
        <v>26</v>
      </c>
      <c r="H5914" s="1" t="str">
        <f t="shared" ref="H5914:H5945" si="1166">"20220929"</f>
        <v>20220929</v>
      </c>
      <c r="I5914" s="1" t="str">
        <f>"082313"</f>
        <v>082313</v>
      </c>
      <c r="J5914" s="1" t="s">
        <v>44</v>
      </c>
      <c r="K5914" s="1" t="s">
        <v>45</v>
      </c>
      <c r="L5914" s="1" t="str">
        <f t="shared" si="1161"/>
        <v>20220929</v>
      </c>
      <c r="M5914" s="1" t="str">
        <f>"085432"</f>
        <v>085432</v>
      </c>
      <c r="N5914" s="1" t="s">
        <v>28</v>
      </c>
      <c r="O5914" s="1" t="s">
        <v>28</v>
      </c>
      <c r="P5914" s="1" t="s">
        <v>55</v>
      </c>
      <c r="Q5914" s="1">
        <v>13</v>
      </c>
      <c r="R5914" s="1">
        <v>13</v>
      </c>
      <c r="S5914" s="1">
        <v>0</v>
      </c>
      <c r="T5914" s="1">
        <v>0</v>
      </c>
      <c r="U5914" s="1">
        <v>0</v>
      </c>
      <c r="V5914" s="1" t="str">
        <f t="shared" si="1163"/>
        <v>里程返程</v>
      </c>
      <c r="W5914" s="1" t="str">
        <f>"2020"</f>
        <v>2020</v>
      </c>
      <c r="X5914" s="1" t="s">
        <v>35</v>
      </c>
    </row>
    <row r="5915" spans="1:24" x14ac:dyDescent="0.3">
      <c r="A5915" s="1" t="str">
        <f t="shared" si="1164"/>
        <v>59825</v>
      </c>
      <c r="B5915" s="1" t="s">
        <v>30</v>
      </c>
      <c r="C5915" s="1" t="s">
        <v>31</v>
      </c>
      <c r="D5915" s="1" t="str">
        <f t="shared" si="1165"/>
        <v>9801</v>
      </c>
      <c r="E5915" s="1" t="s">
        <v>25</v>
      </c>
      <c r="F5915" s="1" t="str">
        <f>"F29BD102BA880400C834002000000015"</f>
        <v>F29BD102BA880400C834002000000015</v>
      </c>
      <c r="G5915" s="1" t="s">
        <v>26</v>
      </c>
      <c r="H5915" s="1" t="str">
        <f t="shared" si="1166"/>
        <v>20220929</v>
      </c>
      <c r="I5915" s="1" t="str">
        <f>"083514"</f>
        <v>083514</v>
      </c>
      <c r="J5915" s="1" t="s">
        <v>100</v>
      </c>
      <c r="K5915" s="1" t="s">
        <v>45</v>
      </c>
      <c r="L5915" s="1" t="str">
        <f t="shared" si="1161"/>
        <v>20220929</v>
      </c>
      <c r="M5915" s="1" t="str">
        <f>"085429"</f>
        <v>085429</v>
      </c>
      <c r="N5915" s="1" t="s">
        <v>28</v>
      </c>
      <c r="O5915" s="1" t="s">
        <v>28</v>
      </c>
      <c r="P5915" s="1" t="s">
        <v>68</v>
      </c>
      <c r="Q5915" s="1">
        <v>13</v>
      </c>
      <c r="R5915" s="1">
        <v>0</v>
      </c>
      <c r="S5915" s="1">
        <v>0</v>
      </c>
      <c r="T5915" s="1">
        <v>13</v>
      </c>
      <c r="U5915" s="1">
        <v>0</v>
      </c>
      <c r="V5915" s="1" t="str">
        <f t="shared" si="1163"/>
        <v>里程返程</v>
      </c>
      <c r="W5915" s="1" t="str">
        <f>"0020"</f>
        <v>0020</v>
      </c>
      <c r="X5915" s="1" t="s">
        <v>29</v>
      </c>
    </row>
    <row r="5916" spans="1:24" x14ac:dyDescent="0.3">
      <c r="A5916" s="1" t="str">
        <f t="shared" si="1164"/>
        <v>59825</v>
      </c>
      <c r="B5916" s="1" t="s">
        <v>30</v>
      </c>
      <c r="C5916" s="1" t="s">
        <v>31</v>
      </c>
      <c r="D5916" s="1" t="str">
        <f t="shared" si="1165"/>
        <v>9801</v>
      </c>
      <c r="E5916" s="1" t="s">
        <v>25</v>
      </c>
      <c r="F5916" s="1" t="str">
        <f>"32780D0344880400C834002000000015"</f>
        <v>32780D0344880400C834002000000015</v>
      </c>
      <c r="G5916" s="1" t="s">
        <v>26</v>
      </c>
      <c r="H5916" s="1" t="str">
        <f t="shared" si="1166"/>
        <v>20220929</v>
      </c>
      <c r="I5916" s="1" t="str">
        <f>"085702"</f>
        <v>085702</v>
      </c>
      <c r="J5916" s="1" t="s">
        <v>41</v>
      </c>
      <c r="K5916" s="1" t="s">
        <v>28</v>
      </c>
      <c r="L5916" s="1" t="str">
        <f t="shared" si="1161"/>
        <v>20220929</v>
      </c>
      <c r="M5916" s="1" t="str">
        <f>"092538"</f>
        <v>092538</v>
      </c>
      <c r="N5916" s="1" t="s">
        <v>52</v>
      </c>
      <c r="O5916" s="1" t="s">
        <v>52</v>
      </c>
      <c r="P5916" s="1" t="s">
        <v>68</v>
      </c>
      <c r="Q5916" s="1">
        <v>13</v>
      </c>
      <c r="R5916" s="1">
        <v>0</v>
      </c>
      <c r="S5916" s="1">
        <v>0</v>
      </c>
      <c r="T5916" s="1">
        <v>13</v>
      </c>
      <c r="U5916" s="1">
        <v>0</v>
      </c>
      <c r="V5916" s="1" t="str">
        <f t="shared" si="1163"/>
        <v>里程返程</v>
      </c>
      <c r="W5916" s="1" t="str">
        <f>"0020"</f>
        <v>0020</v>
      </c>
      <c r="X5916" s="1" t="s">
        <v>29</v>
      </c>
    </row>
    <row r="5917" spans="1:24" x14ac:dyDescent="0.3">
      <c r="A5917" s="1" t="str">
        <f t="shared" si="1164"/>
        <v>59825</v>
      </c>
      <c r="B5917" s="1" t="s">
        <v>30</v>
      </c>
      <c r="C5917" s="1" t="s">
        <v>31</v>
      </c>
      <c r="D5917" s="1" t="str">
        <f t="shared" si="1165"/>
        <v>9801</v>
      </c>
      <c r="E5917" s="1" t="s">
        <v>25</v>
      </c>
      <c r="F5917" s="1" t="str">
        <f>"8141933B68280400F700000000000000"</f>
        <v>8141933B68280400F700000000000000</v>
      </c>
      <c r="G5917" s="1" t="s">
        <v>58</v>
      </c>
      <c r="H5917" s="1" t="str">
        <f t="shared" si="1166"/>
        <v>20220929</v>
      </c>
      <c r="I5917" s="1" t="str">
        <f>"095522"</f>
        <v>095522</v>
      </c>
      <c r="J5917" s="1" t="s">
        <v>28</v>
      </c>
      <c r="K5917" s="1" t="s">
        <v>28</v>
      </c>
      <c r="L5917" s="1" t="str">
        <f t="shared" si="1161"/>
        <v>20220929</v>
      </c>
      <c r="M5917" s="1" t="str">
        <f>"103030"</f>
        <v>103030</v>
      </c>
      <c r="N5917" s="1" t="s">
        <v>52</v>
      </c>
      <c r="O5917" s="1" t="s">
        <v>52</v>
      </c>
      <c r="P5917" s="1" t="s">
        <v>55</v>
      </c>
      <c r="Q5917" s="1">
        <v>25</v>
      </c>
      <c r="R5917" s="1">
        <v>25</v>
      </c>
      <c r="S5917" s="1">
        <v>0</v>
      </c>
      <c r="T5917" s="1">
        <v>0</v>
      </c>
      <c r="U5917" s="1">
        <v>0</v>
      </c>
      <c r="V5917" s="1" t="str">
        <f t="shared" si="1163"/>
        <v>里程返程</v>
      </c>
      <c r="W5917" s="1" t="str">
        <f>"0020"</f>
        <v>0020</v>
      </c>
      <c r="X5917" s="1" t="s">
        <v>29</v>
      </c>
    </row>
    <row r="5918" spans="1:24" x14ac:dyDescent="0.3">
      <c r="A5918" s="1" t="str">
        <f t="shared" si="1164"/>
        <v>59825</v>
      </c>
      <c r="B5918" s="1" t="s">
        <v>30</v>
      </c>
      <c r="C5918" s="1" t="s">
        <v>31</v>
      </c>
      <c r="D5918" s="1" t="str">
        <f t="shared" si="1165"/>
        <v>9801</v>
      </c>
      <c r="E5918" s="1" t="s">
        <v>25</v>
      </c>
      <c r="F5918" s="1" t="str">
        <f>"1144970565"</f>
        <v>1144970565</v>
      </c>
      <c r="G5918" s="1" t="s">
        <v>33</v>
      </c>
      <c r="H5918" s="1" t="str">
        <f t="shared" si="1166"/>
        <v>20220929</v>
      </c>
      <c r="I5918" s="1" t="str">
        <f>"095532"</f>
        <v>095532</v>
      </c>
      <c r="J5918" s="1" t="s">
        <v>28</v>
      </c>
      <c r="K5918" s="1" t="s">
        <v>28</v>
      </c>
      <c r="L5918" s="1" t="str">
        <f t="shared" si="1161"/>
        <v>20220929</v>
      </c>
      <c r="M5918" s="1" t="str">
        <f>"101928"</f>
        <v>101928</v>
      </c>
      <c r="N5918" s="1" t="s">
        <v>65</v>
      </c>
      <c r="O5918" s="1" t="s">
        <v>52</v>
      </c>
      <c r="P5918" s="1" t="s">
        <v>55</v>
      </c>
      <c r="Q5918" s="1">
        <v>25</v>
      </c>
      <c r="R5918" s="1">
        <v>25</v>
      </c>
      <c r="S5918" s="1">
        <v>0</v>
      </c>
      <c r="T5918" s="1">
        <v>0</v>
      </c>
      <c r="U5918" s="1">
        <v>0</v>
      </c>
      <c r="V5918" s="1" t="str">
        <f t="shared" si="1163"/>
        <v>里程返程</v>
      </c>
      <c r="W5918" s="1" t="str">
        <f>"1420"</f>
        <v>1420</v>
      </c>
      <c r="X5918" s="1" t="s">
        <v>35</v>
      </c>
    </row>
    <row r="5919" spans="1:24" x14ac:dyDescent="0.3">
      <c r="A5919" s="1" t="str">
        <f t="shared" si="1164"/>
        <v>59825</v>
      </c>
      <c r="B5919" s="1" t="s">
        <v>30</v>
      </c>
      <c r="C5919" s="1" t="s">
        <v>31</v>
      </c>
      <c r="D5919" s="1" t="str">
        <f t="shared" si="1165"/>
        <v>9801</v>
      </c>
      <c r="E5919" s="1" t="s">
        <v>25</v>
      </c>
      <c r="F5919" s="1" t="str">
        <f>"3130B941F9280400F700000000000000"</f>
        <v>3130B941F9280400F700000000000000</v>
      </c>
      <c r="G5919" s="1" t="s">
        <v>58</v>
      </c>
      <c r="H5919" s="1" t="str">
        <f t="shared" si="1166"/>
        <v>20220929</v>
      </c>
      <c r="I5919" s="1" t="str">
        <f>"095540"</f>
        <v>095540</v>
      </c>
      <c r="J5919" s="1" t="s">
        <v>28</v>
      </c>
      <c r="K5919" s="1" t="s">
        <v>28</v>
      </c>
      <c r="L5919" s="1" t="str">
        <f t="shared" si="1161"/>
        <v>20220929</v>
      </c>
      <c r="M5919" s="1" t="str">
        <f>"103028"</f>
        <v>103028</v>
      </c>
      <c r="N5919" s="1" t="s">
        <v>52</v>
      </c>
      <c r="O5919" s="1" t="s">
        <v>52</v>
      </c>
      <c r="P5919" s="1" t="s">
        <v>55</v>
      </c>
      <c r="Q5919" s="1">
        <v>25</v>
      </c>
      <c r="R5919" s="1">
        <v>25</v>
      </c>
      <c r="S5919" s="1">
        <v>0</v>
      </c>
      <c r="T5919" s="1">
        <v>0</v>
      </c>
      <c r="U5919" s="1">
        <v>0</v>
      </c>
      <c r="V5919" s="1" t="str">
        <f t="shared" si="1163"/>
        <v>里程返程</v>
      </c>
      <c r="W5919" s="1" t="str">
        <f>"0020"</f>
        <v>0020</v>
      </c>
      <c r="X5919" s="1" t="s">
        <v>29</v>
      </c>
    </row>
    <row r="5920" spans="1:24" x14ac:dyDescent="0.3">
      <c r="A5920" s="1" t="str">
        <f t="shared" si="1164"/>
        <v>59825</v>
      </c>
      <c r="B5920" s="1" t="s">
        <v>30</v>
      </c>
      <c r="C5920" s="1" t="s">
        <v>31</v>
      </c>
      <c r="D5920" s="1" t="str">
        <f t="shared" si="1165"/>
        <v>9801</v>
      </c>
      <c r="E5920" s="1" t="s">
        <v>25</v>
      </c>
      <c r="F5920" s="1" t="str">
        <f>"1107022357"</f>
        <v>1107022357</v>
      </c>
      <c r="G5920" s="1" t="s">
        <v>33</v>
      </c>
      <c r="H5920" s="1" t="str">
        <f t="shared" si="1166"/>
        <v>20220929</v>
      </c>
      <c r="I5920" s="1" t="str">
        <f>"095544"</f>
        <v>095544</v>
      </c>
      <c r="J5920" s="1" t="s">
        <v>28</v>
      </c>
      <c r="K5920" s="1" t="s">
        <v>28</v>
      </c>
      <c r="L5920" s="1" t="str">
        <f t="shared" si="1161"/>
        <v>20220929</v>
      </c>
      <c r="M5920" s="1" t="str">
        <f>"101938"</f>
        <v>101938</v>
      </c>
      <c r="N5920" s="1" t="s">
        <v>65</v>
      </c>
      <c r="O5920" s="1" t="s">
        <v>52</v>
      </c>
      <c r="P5920" s="1" t="s">
        <v>55</v>
      </c>
      <c r="Q5920" s="1">
        <v>25</v>
      </c>
      <c r="R5920" s="1">
        <v>25</v>
      </c>
      <c r="S5920" s="1">
        <v>0</v>
      </c>
      <c r="T5920" s="1">
        <v>0</v>
      </c>
      <c r="U5920" s="1">
        <v>0</v>
      </c>
      <c r="V5920" s="1" t="str">
        <f t="shared" si="1163"/>
        <v>里程返程</v>
      </c>
      <c r="W5920" s="1" t="str">
        <f>"1420"</f>
        <v>1420</v>
      </c>
      <c r="X5920" s="1" t="s">
        <v>35</v>
      </c>
    </row>
    <row r="5921" spans="1:24" x14ac:dyDescent="0.3">
      <c r="A5921" s="1" t="str">
        <f t="shared" si="1164"/>
        <v>59825</v>
      </c>
      <c r="B5921" s="1" t="s">
        <v>30</v>
      </c>
      <c r="C5921" s="1" t="s">
        <v>31</v>
      </c>
      <c r="D5921" s="1" t="str">
        <f t="shared" si="1165"/>
        <v>9801</v>
      </c>
      <c r="E5921" s="1" t="s">
        <v>25</v>
      </c>
      <c r="F5921" s="1" t="str">
        <f>"1279584657"</f>
        <v>1279584657</v>
      </c>
      <c r="G5921" s="1" t="s">
        <v>33</v>
      </c>
      <c r="H5921" s="1" t="str">
        <f t="shared" si="1166"/>
        <v>20220929</v>
      </c>
      <c r="I5921" s="1" t="str">
        <f>"095553"</f>
        <v>095553</v>
      </c>
      <c r="J5921" s="1" t="s">
        <v>28</v>
      </c>
      <c r="K5921" s="1" t="s">
        <v>28</v>
      </c>
      <c r="L5921" s="1" t="str">
        <f t="shared" si="1161"/>
        <v>20220929</v>
      </c>
      <c r="M5921" s="1" t="str">
        <f>"101538"</f>
        <v>101538</v>
      </c>
      <c r="N5921" s="1" t="s">
        <v>80</v>
      </c>
      <c r="O5921" s="1" t="s">
        <v>52</v>
      </c>
      <c r="P5921" s="1" t="s">
        <v>55</v>
      </c>
      <c r="Q5921" s="1">
        <v>25</v>
      </c>
      <c r="R5921" s="1">
        <v>25</v>
      </c>
      <c r="S5921" s="1">
        <v>0</v>
      </c>
      <c r="T5921" s="1">
        <v>0</v>
      </c>
      <c r="U5921" s="1">
        <v>0</v>
      </c>
      <c r="V5921" s="1" t="str">
        <f t="shared" si="1163"/>
        <v>里程返程</v>
      </c>
      <c r="W5921" s="1" t="str">
        <f>"2020"</f>
        <v>2020</v>
      </c>
      <c r="X5921" s="1" t="s">
        <v>35</v>
      </c>
    </row>
    <row r="5922" spans="1:24" x14ac:dyDescent="0.3">
      <c r="A5922" s="1" t="str">
        <f t="shared" si="1164"/>
        <v>59825</v>
      </c>
      <c r="B5922" s="1" t="s">
        <v>30</v>
      </c>
      <c r="C5922" s="1" t="s">
        <v>31</v>
      </c>
      <c r="D5922" s="1" t="str">
        <f t="shared" si="1165"/>
        <v>9801</v>
      </c>
      <c r="E5922" s="1" t="s">
        <v>25</v>
      </c>
      <c r="F5922" s="1" t="str">
        <f>"0153F902A988040043252B4B0008050F"</f>
        <v>0153F902A988040043252B4B0008050F</v>
      </c>
      <c r="G5922" s="1" t="s">
        <v>64</v>
      </c>
      <c r="H5922" s="1" t="str">
        <f t="shared" si="1166"/>
        <v>20220929</v>
      </c>
      <c r="I5922" s="1" t="str">
        <f>"095600"</f>
        <v>095600</v>
      </c>
      <c r="J5922" s="1" t="s">
        <v>28</v>
      </c>
      <c r="K5922" s="1" t="s">
        <v>28</v>
      </c>
      <c r="L5922" s="1" t="str">
        <f t="shared" si="1161"/>
        <v>20220929</v>
      </c>
      <c r="M5922" s="1" t="str">
        <f>"101916"</f>
        <v>101916</v>
      </c>
      <c r="N5922" s="1" t="s">
        <v>65</v>
      </c>
      <c r="O5922" s="1" t="s">
        <v>52</v>
      </c>
      <c r="P5922" s="1" t="s">
        <v>55</v>
      </c>
      <c r="Q5922" s="1">
        <v>13</v>
      </c>
      <c r="R5922" s="1">
        <v>13</v>
      </c>
      <c r="S5922" s="1">
        <v>0</v>
      </c>
      <c r="T5922" s="1">
        <v>0</v>
      </c>
      <c r="U5922" s="1">
        <v>0</v>
      </c>
      <c r="V5922" s="1" t="str">
        <f t="shared" si="1163"/>
        <v>里程返程</v>
      </c>
      <c r="W5922" s="1" t="str">
        <f>"0020"</f>
        <v>0020</v>
      </c>
      <c r="X5922" s="1" t="s">
        <v>29</v>
      </c>
    </row>
    <row r="5923" spans="1:24" x14ac:dyDescent="0.3">
      <c r="A5923" s="1" t="str">
        <f t="shared" si="1164"/>
        <v>59825</v>
      </c>
      <c r="B5923" s="1" t="s">
        <v>30</v>
      </c>
      <c r="C5923" s="1" t="s">
        <v>31</v>
      </c>
      <c r="D5923" s="1" t="str">
        <f t="shared" si="1165"/>
        <v>9801</v>
      </c>
      <c r="E5923" s="1" t="s">
        <v>25</v>
      </c>
      <c r="F5923" s="1" t="str">
        <f>"DEBFE7AF2988040047BA14534D301610"</f>
        <v>DEBFE7AF2988040047BA14534D301610</v>
      </c>
      <c r="G5923" s="1" t="s">
        <v>58</v>
      </c>
      <c r="H5923" s="1" t="str">
        <f t="shared" si="1166"/>
        <v>20220929</v>
      </c>
      <c r="I5923" s="1" t="str">
        <f>"095605"</f>
        <v>095605</v>
      </c>
      <c r="J5923" s="1" t="s">
        <v>28</v>
      </c>
      <c r="K5923" s="1" t="s">
        <v>28</v>
      </c>
      <c r="L5923" s="1" t="str">
        <f t="shared" si="1161"/>
        <v>20220929</v>
      </c>
      <c r="M5923" s="1" t="str">
        <f>"101913"</f>
        <v>101913</v>
      </c>
      <c r="N5923" s="1" t="s">
        <v>65</v>
      </c>
      <c r="O5923" s="1" t="s">
        <v>52</v>
      </c>
      <c r="P5923" s="1" t="s">
        <v>55</v>
      </c>
      <c r="Q5923" s="1">
        <v>25</v>
      </c>
      <c r="R5923" s="1">
        <v>25</v>
      </c>
      <c r="S5923" s="1">
        <v>0</v>
      </c>
      <c r="T5923" s="1">
        <v>0</v>
      </c>
      <c r="U5923" s="1">
        <v>0</v>
      </c>
      <c r="V5923" s="1" t="str">
        <f t="shared" si="1163"/>
        <v>里程返程</v>
      </c>
      <c r="W5923" s="1" t="str">
        <f>"0020"</f>
        <v>0020</v>
      </c>
      <c r="X5923" s="1" t="s">
        <v>29</v>
      </c>
    </row>
    <row r="5924" spans="1:24" x14ac:dyDescent="0.3">
      <c r="A5924" s="1" t="str">
        <f t="shared" si="1164"/>
        <v>59825</v>
      </c>
      <c r="B5924" s="1" t="s">
        <v>30</v>
      </c>
      <c r="C5924" s="1" t="s">
        <v>31</v>
      </c>
      <c r="D5924" s="1" t="str">
        <f t="shared" si="1165"/>
        <v>9801</v>
      </c>
      <c r="E5924" s="1" t="s">
        <v>25</v>
      </c>
      <c r="F5924" s="1" t="str">
        <f>"555B234A6728040081996114000E3620"</f>
        <v>555B234A6728040081996114000E3620</v>
      </c>
      <c r="G5924" s="1" t="s">
        <v>58</v>
      </c>
      <c r="H5924" s="1" t="str">
        <f t="shared" si="1166"/>
        <v>20220929</v>
      </c>
      <c r="I5924" s="1" t="str">
        <f>"095709"</f>
        <v>095709</v>
      </c>
      <c r="J5924" s="1" t="s">
        <v>28</v>
      </c>
      <c r="K5924" s="1" t="s">
        <v>28</v>
      </c>
      <c r="L5924" s="1" t="str">
        <f t="shared" si="1161"/>
        <v>20220929</v>
      </c>
      <c r="M5924" s="1" t="str">
        <f>"103025"</f>
        <v>103025</v>
      </c>
      <c r="N5924" s="1" t="s">
        <v>52</v>
      </c>
      <c r="O5924" s="1" t="s">
        <v>52</v>
      </c>
      <c r="P5924" s="1" t="s">
        <v>55</v>
      </c>
      <c r="Q5924" s="1">
        <v>25</v>
      </c>
      <c r="R5924" s="1">
        <v>25</v>
      </c>
      <c r="S5924" s="1">
        <v>0</v>
      </c>
      <c r="T5924" s="1">
        <v>0</v>
      </c>
      <c r="U5924" s="1">
        <v>0</v>
      </c>
      <c r="V5924" s="1" t="str">
        <f t="shared" si="1163"/>
        <v>里程返程</v>
      </c>
      <c r="W5924" s="1" t="str">
        <f>"0020"</f>
        <v>0020</v>
      </c>
      <c r="X5924" s="1" t="s">
        <v>29</v>
      </c>
    </row>
    <row r="5925" spans="1:24" x14ac:dyDescent="0.3">
      <c r="A5925" s="1" t="str">
        <f t="shared" si="1164"/>
        <v>59825</v>
      </c>
      <c r="B5925" s="1" t="s">
        <v>30</v>
      </c>
      <c r="C5925" s="1" t="s">
        <v>31</v>
      </c>
      <c r="D5925" s="1" t="str">
        <f t="shared" si="1165"/>
        <v>9801</v>
      </c>
      <c r="E5925" s="1" t="s">
        <v>25</v>
      </c>
      <c r="F5925" s="1" t="str">
        <f>"41A4F551412804001C00000000000000"</f>
        <v>41A4F551412804001C00000000000000</v>
      </c>
      <c r="G5925" s="1" t="s">
        <v>58</v>
      </c>
      <c r="H5925" s="1" t="str">
        <f t="shared" si="1166"/>
        <v>20220929</v>
      </c>
      <c r="I5925" s="1" t="str">
        <f>"095711"</f>
        <v>095711</v>
      </c>
      <c r="J5925" s="1" t="s">
        <v>28</v>
      </c>
      <c r="K5925" s="1" t="s">
        <v>28</v>
      </c>
      <c r="L5925" s="1" t="str">
        <f t="shared" si="1161"/>
        <v>20220929</v>
      </c>
      <c r="M5925" s="1" t="str">
        <f>"103021"</f>
        <v>103021</v>
      </c>
      <c r="N5925" s="1" t="s">
        <v>52</v>
      </c>
      <c r="O5925" s="1" t="s">
        <v>52</v>
      </c>
      <c r="P5925" s="1" t="s">
        <v>55</v>
      </c>
      <c r="Q5925" s="1">
        <v>25</v>
      </c>
      <c r="R5925" s="1">
        <v>25</v>
      </c>
      <c r="S5925" s="1">
        <v>0</v>
      </c>
      <c r="T5925" s="1">
        <v>0</v>
      </c>
      <c r="U5925" s="1">
        <v>0</v>
      </c>
      <c r="V5925" s="1" t="str">
        <f t="shared" si="1163"/>
        <v>里程返程</v>
      </c>
      <c r="W5925" s="1" t="str">
        <f>"0020"</f>
        <v>0020</v>
      </c>
      <c r="X5925" s="1" t="s">
        <v>29</v>
      </c>
    </row>
    <row r="5926" spans="1:24" x14ac:dyDescent="0.3">
      <c r="A5926" s="1" t="str">
        <f t="shared" si="1164"/>
        <v>59825</v>
      </c>
      <c r="B5926" s="1" t="s">
        <v>30</v>
      </c>
      <c r="C5926" s="1" t="s">
        <v>31</v>
      </c>
      <c r="D5926" s="1" t="str">
        <f t="shared" si="1165"/>
        <v>9801</v>
      </c>
      <c r="E5926" s="1" t="s">
        <v>25</v>
      </c>
      <c r="F5926" s="1" t="str">
        <f>"F25B1B03B1880400C834002000000015"</f>
        <v>F25B1B03B1880400C834002000000015</v>
      </c>
      <c r="G5926" s="1" t="s">
        <v>26</v>
      </c>
      <c r="H5926" s="1" t="str">
        <f t="shared" si="1166"/>
        <v>20220929</v>
      </c>
      <c r="I5926" s="1" t="str">
        <f>"105418"</f>
        <v>105418</v>
      </c>
      <c r="J5926" s="1" t="s">
        <v>28</v>
      </c>
      <c r="K5926" s="1" t="s">
        <v>28</v>
      </c>
      <c r="L5926" s="1" t="str">
        <f t="shared" si="1161"/>
        <v>20220929</v>
      </c>
      <c r="M5926" s="1" t="str">
        <f>"112219"</f>
        <v>112219</v>
      </c>
      <c r="N5926" s="1" t="s">
        <v>60</v>
      </c>
      <c r="O5926" s="1" t="s">
        <v>52</v>
      </c>
      <c r="P5926" s="1" t="s">
        <v>68</v>
      </c>
      <c r="Q5926" s="1">
        <v>13</v>
      </c>
      <c r="R5926" s="1">
        <v>0</v>
      </c>
      <c r="S5926" s="1">
        <v>0</v>
      </c>
      <c r="T5926" s="1">
        <v>13</v>
      </c>
      <c r="U5926" s="1">
        <v>0</v>
      </c>
      <c r="V5926" s="1" t="str">
        <f t="shared" si="1163"/>
        <v>里程返程</v>
      </c>
      <c r="W5926" s="1" t="str">
        <f>"0020"</f>
        <v>0020</v>
      </c>
      <c r="X5926" s="1" t="s">
        <v>29</v>
      </c>
    </row>
    <row r="5927" spans="1:24" x14ac:dyDescent="0.3">
      <c r="A5927" s="1" t="str">
        <f t="shared" si="1164"/>
        <v>59825</v>
      </c>
      <c r="B5927" s="1" t="s">
        <v>30</v>
      </c>
      <c r="C5927" s="1" t="s">
        <v>31</v>
      </c>
      <c r="D5927" s="1" t="str">
        <f t="shared" si="1165"/>
        <v>9801</v>
      </c>
      <c r="E5927" s="1" t="s">
        <v>25</v>
      </c>
      <c r="F5927" s="1" t="str">
        <f>"528167681"</f>
        <v>528167681</v>
      </c>
      <c r="G5927" s="1" t="s">
        <v>33</v>
      </c>
      <c r="H5927" s="1" t="str">
        <f t="shared" si="1166"/>
        <v>20220929</v>
      </c>
      <c r="I5927" s="1" t="str">
        <f>"114322"</f>
        <v>114322</v>
      </c>
      <c r="J5927" s="1" t="s">
        <v>56</v>
      </c>
      <c r="K5927" s="1" t="s">
        <v>45</v>
      </c>
      <c r="L5927" s="1" t="str">
        <f t="shared" si="1161"/>
        <v>20220929</v>
      </c>
      <c r="M5927" s="1" t="str">
        <f>"115441"</f>
        <v>115441</v>
      </c>
      <c r="N5927" s="1" t="s">
        <v>28</v>
      </c>
      <c r="O5927" s="1" t="s">
        <v>28</v>
      </c>
      <c r="P5927" s="1" t="s">
        <v>55</v>
      </c>
      <c r="Q5927" s="1">
        <v>25</v>
      </c>
      <c r="R5927" s="1">
        <v>25</v>
      </c>
      <c r="S5927" s="1">
        <v>0</v>
      </c>
      <c r="T5927" s="1">
        <v>0</v>
      </c>
      <c r="U5927" s="1">
        <v>0</v>
      </c>
      <c r="V5927" s="1" t="str">
        <f t="shared" si="1163"/>
        <v>里程返程</v>
      </c>
      <c r="W5927" s="1" t="str">
        <f>"2120"</f>
        <v>2120</v>
      </c>
      <c r="X5927" s="1" t="s">
        <v>35</v>
      </c>
    </row>
    <row r="5928" spans="1:24" x14ac:dyDescent="0.3">
      <c r="A5928" s="1" t="str">
        <f t="shared" si="1164"/>
        <v>59825</v>
      </c>
      <c r="B5928" s="1" t="s">
        <v>30</v>
      </c>
      <c r="C5928" s="1" t="s">
        <v>31</v>
      </c>
      <c r="D5928" s="1" t="str">
        <f t="shared" si="1165"/>
        <v>9801</v>
      </c>
      <c r="E5928" s="1" t="s">
        <v>25</v>
      </c>
      <c r="F5928" s="1" t="str">
        <f>"32780D0344880400C834002000000015"</f>
        <v>32780D0344880400C834002000000015</v>
      </c>
      <c r="G5928" s="1" t="s">
        <v>26</v>
      </c>
      <c r="H5928" s="1" t="str">
        <f t="shared" si="1166"/>
        <v>20220929</v>
      </c>
      <c r="I5928" s="1" t="str">
        <f>"114325"</f>
        <v>114325</v>
      </c>
      <c r="J5928" s="1" t="s">
        <v>56</v>
      </c>
      <c r="K5928" s="1" t="s">
        <v>45</v>
      </c>
      <c r="L5928" s="1" t="str">
        <f t="shared" si="1161"/>
        <v>20220929</v>
      </c>
      <c r="M5928" s="1" t="str">
        <f>"115244"</f>
        <v>115244</v>
      </c>
      <c r="N5928" s="1" t="s">
        <v>95</v>
      </c>
      <c r="O5928" s="1" t="s">
        <v>28</v>
      </c>
      <c r="P5928" s="1" t="s">
        <v>68</v>
      </c>
      <c r="Q5928" s="1">
        <v>13</v>
      </c>
      <c r="R5928" s="1">
        <v>0</v>
      </c>
      <c r="S5928" s="1">
        <v>0</v>
      </c>
      <c r="T5928" s="1">
        <v>13</v>
      </c>
      <c r="U5928" s="1">
        <v>0</v>
      </c>
      <c r="V5928" s="1" t="str">
        <f t="shared" si="1163"/>
        <v>里程返程</v>
      </c>
      <c r="W5928" s="1" t="str">
        <f>"0020"</f>
        <v>0020</v>
      </c>
      <c r="X5928" s="1" t="s">
        <v>29</v>
      </c>
    </row>
    <row r="5929" spans="1:24" x14ac:dyDescent="0.3">
      <c r="A5929" s="1" t="str">
        <f t="shared" si="1164"/>
        <v>59825</v>
      </c>
      <c r="B5929" s="1" t="s">
        <v>30</v>
      </c>
      <c r="C5929" s="1" t="s">
        <v>31</v>
      </c>
      <c r="D5929" s="1" t="str">
        <f t="shared" ref="D5929:D5937" si="1167">"9805"</f>
        <v>9805</v>
      </c>
      <c r="E5929" s="1" t="s">
        <v>57</v>
      </c>
      <c r="F5929" s="1" t="str">
        <f>"1257754053"</f>
        <v>1257754053</v>
      </c>
      <c r="G5929" s="1" t="s">
        <v>33</v>
      </c>
      <c r="H5929" s="1" t="str">
        <f t="shared" si="1166"/>
        <v>20220929</v>
      </c>
      <c r="I5929" s="1" t="str">
        <f>"142739"</f>
        <v>142739</v>
      </c>
      <c r="J5929" s="1" t="s">
        <v>28</v>
      </c>
      <c r="K5929" s="1" t="s">
        <v>28</v>
      </c>
      <c r="L5929" s="1" t="str">
        <f t="shared" si="1161"/>
        <v>20220929</v>
      </c>
      <c r="M5929" s="1" t="str">
        <f>"144457"</f>
        <v>144457</v>
      </c>
      <c r="N5929" s="1" t="s">
        <v>62</v>
      </c>
      <c r="O5929" s="1" t="s">
        <v>28</v>
      </c>
      <c r="P5929" s="1" t="s">
        <v>55</v>
      </c>
      <c r="Q5929" s="1">
        <v>25</v>
      </c>
      <c r="R5929" s="1">
        <v>0</v>
      </c>
      <c r="S5929" s="1">
        <v>25</v>
      </c>
      <c r="T5929" s="1">
        <v>0</v>
      </c>
      <c r="U5929" s="1">
        <v>0</v>
      </c>
      <c r="V5929" s="1" t="str">
        <f t="shared" ref="V5929:V5938" si="1168">"里程去程"</f>
        <v>里程去程</v>
      </c>
      <c r="W5929" s="1" t="str">
        <f>"0820"</f>
        <v>0820</v>
      </c>
      <c r="X5929" s="1" t="s">
        <v>35</v>
      </c>
    </row>
    <row r="5930" spans="1:24" x14ac:dyDescent="0.3">
      <c r="A5930" s="1" t="str">
        <f t="shared" si="1164"/>
        <v>59825</v>
      </c>
      <c r="B5930" s="1" t="s">
        <v>30</v>
      </c>
      <c r="C5930" s="1" t="s">
        <v>31</v>
      </c>
      <c r="D5930" s="1" t="str">
        <f t="shared" si="1167"/>
        <v>9805</v>
      </c>
      <c r="E5930" s="1" t="s">
        <v>57</v>
      </c>
      <c r="F5930" s="1" t="str">
        <f>"1813461877"</f>
        <v>1813461877</v>
      </c>
      <c r="G5930" s="1" t="s">
        <v>33</v>
      </c>
      <c r="H5930" s="1" t="str">
        <f t="shared" si="1166"/>
        <v>20220929</v>
      </c>
      <c r="I5930" s="1" t="str">
        <f>"142742"</f>
        <v>142742</v>
      </c>
      <c r="J5930" s="1" t="s">
        <v>28</v>
      </c>
      <c r="K5930" s="1" t="s">
        <v>28</v>
      </c>
      <c r="L5930" s="1" t="str">
        <f t="shared" si="1161"/>
        <v>20220929</v>
      </c>
      <c r="M5930" s="1" t="str">
        <f>"144501"</f>
        <v>144501</v>
      </c>
      <c r="N5930" s="1" t="s">
        <v>62</v>
      </c>
      <c r="O5930" s="1" t="s">
        <v>28</v>
      </c>
      <c r="P5930" s="1" t="s">
        <v>55</v>
      </c>
      <c r="Q5930" s="1">
        <v>25</v>
      </c>
      <c r="R5930" s="1">
        <v>25</v>
      </c>
      <c r="S5930" s="1">
        <v>0</v>
      </c>
      <c r="T5930" s="1">
        <v>0</v>
      </c>
      <c r="U5930" s="1">
        <v>0</v>
      </c>
      <c r="V5930" s="1" t="str">
        <f t="shared" si="1168"/>
        <v>里程去程</v>
      </c>
      <c r="W5930" s="1" t="str">
        <f>"0020"</f>
        <v>0020</v>
      </c>
      <c r="X5930" s="1" t="s">
        <v>35</v>
      </c>
    </row>
    <row r="5931" spans="1:24" x14ac:dyDescent="0.3">
      <c r="A5931" s="1" t="str">
        <f t="shared" si="1164"/>
        <v>59825</v>
      </c>
      <c r="B5931" s="1" t="s">
        <v>30</v>
      </c>
      <c r="C5931" s="1" t="s">
        <v>31</v>
      </c>
      <c r="D5931" s="1" t="str">
        <f t="shared" si="1167"/>
        <v>9805</v>
      </c>
      <c r="E5931" s="1" t="s">
        <v>57</v>
      </c>
      <c r="F5931" s="1" t="str">
        <f>"1098381413"</f>
        <v>1098381413</v>
      </c>
      <c r="G5931" s="1" t="s">
        <v>33</v>
      </c>
      <c r="H5931" s="1" t="str">
        <f t="shared" si="1166"/>
        <v>20220929</v>
      </c>
      <c r="I5931" s="1" t="str">
        <f>"142746"</f>
        <v>142746</v>
      </c>
      <c r="J5931" s="1" t="s">
        <v>28</v>
      </c>
      <c r="K5931" s="1" t="s">
        <v>28</v>
      </c>
      <c r="L5931" s="1" t="str">
        <f t="shared" si="1161"/>
        <v>20220929</v>
      </c>
      <c r="M5931" s="1" t="str">
        <f>"144459"</f>
        <v>144459</v>
      </c>
      <c r="N5931" s="1" t="s">
        <v>62</v>
      </c>
      <c r="O5931" s="1" t="s">
        <v>28</v>
      </c>
      <c r="P5931" s="1" t="s">
        <v>55</v>
      </c>
      <c r="Q5931" s="1">
        <v>25</v>
      </c>
      <c r="R5931" s="1">
        <v>0</v>
      </c>
      <c r="S5931" s="1">
        <v>25</v>
      </c>
      <c r="T5931" s="1">
        <v>0</v>
      </c>
      <c r="U5931" s="1">
        <v>0</v>
      </c>
      <c r="V5931" s="1" t="str">
        <f t="shared" si="1168"/>
        <v>里程去程</v>
      </c>
      <c r="W5931" s="1" t="str">
        <f>"0820"</f>
        <v>0820</v>
      </c>
      <c r="X5931" s="1" t="s">
        <v>35</v>
      </c>
    </row>
    <row r="5932" spans="1:24" x14ac:dyDescent="0.3">
      <c r="A5932" s="1" t="str">
        <f t="shared" si="1164"/>
        <v>59825</v>
      </c>
      <c r="B5932" s="1" t="s">
        <v>30</v>
      </c>
      <c r="C5932" s="1" t="s">
        <v>31</v>
      </c>
      <c r="D5932" s="1" t="str">
        <f t="shared" si="1167"/>
        <v>9805</v>
      </c>
      <c r="E5932" s="1" t="s">
        <v>57</v>
      </c>
      <c r="F5932" s="1" t="str">
        <f>"1765772705"</f>
        <v>1765772705</v>
      </c>
      <c r="G5932" s="1" t="s">
        <v>33</v>
      </c>
      <c r="H5932" s="1" t="str">
        <f t="shared" si="1166"/>
        <v>20220929</v>
      </c>
      <c r="I5932" s="1" t="str">
        <f>"142749"</f>
        <v>142749</v>
      </c>
      <c r="J5932" s="1" t="s">
        <v>28</v>
      </c>
      <c r="K5932" s="1" t="s">
        <v>28</v>
      </c>
      <c r="L5932" s="1" t="str">
        <f t="shared" si="1161"/>
        <v>20220929</v>
      </c>
      <c r="M5932" s="1" t="str">
        <f>"144504"</f>
        <v>144504</v>
      </c>
      <c r="N5932" s="1" t="s">
        <v>62</v>
      </c>
      <c r="O5932" s="1" t="s">
        <v>28</v>
      </c>
      <c r="P5932" s="1" t="s">
        <v>55</v>
      </c>
      <c r="Q5932" s="1">
        <v>25</v>
      </c>
      <c r="R5932" s="1">
        <v>0</v>
      </c>
      <c r="S5932" s="1">
        <v>25</v>
      </c>
      <c r="T5932" s="1">
        <v>0</v>
      </c>
      <c r="U5932" s="1">
        <v>0</v>
      </c>
      <c r="V5932" s="1" t="str">
        <f t="shared" si="1168"/>
        <v>里程去程</v>
      </c>
      <c r="W5932" s="1" t="str">
        <f>"0820"</f>
        <v>0820</v>
      </c>
      <c r="X5932" s="1" t="s">
        <v>35</v>
      </c>
    </row>
    <row r="5933" spans="1:24" x14ac:dyDescent="0.3">
      <c r="A5933" s="1" t="str">
        <f t="shared" si="1164"/>
        <v>59825</v>
      </c>
      <c r="B5933" s="1" t="s">
        <v>30</v>
      </c>
      <c r="C5933" s="1" t="s">
        <v>31</v>
      </c>
      <c r="D5933" s="1" t="str">
        <f t="shared" si="1167"/>
        <v>9805</v>
      </c>
      <c r="E5933" s="1" t="s">
        <v>57</v>
      </c>
      <c r="F5933" s="1" t="str">
        <f>"1043856917"</f>
        <v>1043856917</v>
      </c>
      <c r="G5933" s="1" t="s">
        <v>26</v>
      </c>
      <c r="H5933" s="1" t="str">
        <f t="shared" si="1166"/>
        <v>20220929</v>
      </c>
      <c r="I5933" s="1" t="str">
        <f>"142754"</f>
        <v>142754</v>
      </c>
      <c r="J5933" s="1" t="s">
        <v>28</v>
      </c>
      <c r="K5933" s="1" t="s">
        <v>28</v>
      </c>
      <c r="L5933" s="1" t="str">
        <f t="shared" ref="L5933:L5964" si="1169">"20220929"</f>
        <v>20220929</v>
      </c>
      <c r="M5933" s="1" t="str">
        <f>"144451"</f>
        <v>144451</v>
      </c>
      <c r="N5933" s="1" t="s">
        <v>62</v>
      </c>
      <c r="O5933" s="1" t="s">
        <v>28</v>
      </c>
      <c r="P5933" s="1" t="s">
        <v>55</v>
      </c>
      <c r="Q5933" s="1">
        <v>13</v>
      </c>
      <c r="R5933" s="1">
        <v>13</v>
      </c>
      <c r="S5933" s="1">
        <v>0</v>
      </c>
      <c r="T5933" s="1">
        <v>0</v>
      </c>
      <c r="U5933" s="1">
        <v>0</v>
      </c>
      <c r="V5933" s="1" t="str">
        <f t="shared" si="1168"/>
        <v>里程去程</v>
      </c>
      <c r="W5933" s="1" t="str">
        <f>"0e20"</f>
        <v>0e20</v>
      </c>
      <c r="X5933" s="1" t="s">
        <v>35</v>
      </c>
    </row>
    <row r="5934" spans="1:24" x14ac:dyDescent="0.3">
      <c r="A5934" s="1" t="str">
        <f t="shared" si="1164"/>
        <v>59825</v>
      </c>
      <c r="B5934" s="1" t="s">
        <v>30</v>
      </c>
      <c r="C5934" s="1" t="s">
        <v>31</v>
      </c>
      <c r="D5934" s="1" t="str">
        <f t="shared" si="1167"/>
        <v>9805</v>
      </c>
      <c r="E5934" s="1" t="s">
        <v>57</v>
      </c>
      <c r="F5934" s="1" t="str">
        <f>"1336921345"</f>
        <v>1336921345</v>
      </c>
      <c r="G5934" s="1" t="s">
        <v>33</v>
      </c>
      <c r="H5934" s="1" t="str">
        <f t="shared" si="1166"/>
        <v>20220929</v>
      </c>
      <c r="I5934" s="1" t="str">
        <f>"142757"</f>
        <v>142757</v>
      </c>
      <c r="J5934" s="1" t="s">
        <v>28</v>
      </c>
      <c r="K5934" s="1" t="s">
        <v>28</v>
      </c>
      <c r="L5934" s="1" t="str">
        <f t="shared" si="1169"/>
        <v>20220929</v>
      </c>
      <c r="M5934" s="1" t="str">
        <f>"144332"</f>
        <v>144332</v>
      </c>
      <c r="N5934" s="1" t="s">
        <v>56</v>
      </c>
      <c r="O5934" s="1" t="s">
        <v>28</v>
      </c>
      <c r="P5934" s="1" t="s">
        <v>55</v>
      </c>
      <c r="Q5934" s="1">
        <v>25</v>
      </c>
      <c r="R5934" s="1">
        <v>0</v>
      </c>
      <c r="S5934" s="1">
        <v>25</v>
      </c>
      <c r="T5934" s="1">
        <v>0</v>
      </c>
      <c r="U5934" s="1">
        <v>0</v>
      </c>
      <c r="V5934" s="1" t="str">
        <f t="shared" si="1168"/>
        <v>里程去程</v>
      </c>
      <c r="W5934" s="1" t="str">
        <f>"0820"</f>
        <v>0820</v>
      </c>
      <c r="X5934" s="1" t="s">
        <v>35</v>
      </c>
    </row>
    <row r="5935" spans="1:24" x14ac:dyDescent="0.3">
      <c r="A5935" s="1" t="str">
        <f t="shared" si="1164"/>
        <v>59825</v>
      </c>
      <c r="B5935" s="1" t="s">
        <v>30</v>
      </c>
      <c r="C5935" s="1" t="s">
        <v>31</v>
      </c>
      <c r="D5935" s="1" t="str">
        <f t="shared" si="1167"/>
        <v>9805</v>
      </c>
      <c r="E5935" s="1" t="s">
        <v>57</v>
      </c>
      <c r="F5935" s="1" t="str">
        <f>"1182895909"</f>
        <v>1182895909</v>
      </c>
      <c r="G5935" s="1" t="s">
        <v>26</v>
      </c>
      <c r="H5935" s="1" t="str">
        <f t="shared" si="1166"/>
        <v>20220929</v>
      </c>
      <c r="I5935" s="1" t="str">
        <f>"142803"</f>
        <v>142803</v>
      </c>
      <c r="J5935" s="1" t="s">
        <v>28</v>
      </c>
      <c r="K5935" s="1" t="s">
        <v>28</v>
      </c>
      <c r="L5935" s="1" t="str">
        <f t="shared" si="1169"/>
        <v>20220929</v>
      </c>
      <c r="M5935" s="1" t="str">
        <f>"144445"</f>
        <v>144445</v>
      </c>
      <c r="N5935" s="1" t="s">
        <v>62</v>
      </c>
      <c r="O5935" s="1" t="s">
        <v>28</v>
      </c>
      <c r="P5935" s="1" t="s">
        <v>55</v>
      </c>
      <c r="Q5935" s="1">
        <v>13</v>
      </c>
      <c r="R5935" s="1">
        <v>13</v>
      </c>
      <c r="S5935" s="1">
        <v>0</v>
      </c>
      <c r="T5935" s="1">
        <v>0</v>
      </c>
      <c r="U5935" s="1">
        <v>0</v>
      </c>
      <c r="V5935" s="1" t="str">
        <f t="shared" si="1168"/>
        <v>里程去程</v>
      </c>
      <c r="W5935" s="1" t="str">
        <f>"0e20"</f>
        <v>0e20</v>
      </c>
      <c r="X5935" s="1" t="s">
        <v>35</v>
      </c>
    </row>
    <row r="5936" spans="1:24" x14ac:dyDescent="0.3">
      <c r="A5936" s="1" t="str">
        <f t="shared" si="1164"/>
        <v>59825</v>
      </c>
      <c r="B5936" s="1" t="s">
        <v>30</v>
      </c>
      <c r="C5936" s="1" t="s">
        <v>31</v>
      </c>
      <c r="D5936" s="1" t="str">
        <f t="shared" si="1167"/>
        <v>9805</v>
      </c>
      <c r="E5936" s="1" t="s">
        <v>57</v>
      </c>
      <c r="F5936" s="1" t="str">
        <f>"1855531496"</f>
        <v>1855531496</v>
      </c>
      <c r="G5936" s="1" t="s">
        <v>33</v>
      </c>
      <c r="H5936" s="1" t="str">
        <f t="shared" si="1166"/>
        <v>20220929</v>
      </c>
      <c r="I5936" s="1" t="str">
        <f>"142806"</f>
        <v>142806</v>
      </c>
      <c r="J5936" s="1" t="s">
        <v>28</v>
      </c>
      <c r="K5936" s="1" t="s">
        <v>28</v>
      </c>
      <c r="L5936" s="1" t="str">
        <f t="shared" si="1169"/>
        <v>20220929</v>
      </c>
      <c r="M5936" s="1" t="str">
        <f>"144454"</f>
        <v>144454</v>
      </c>
      <c r="N5936" s="1" t="s">
        <v>62</v>
      </c>
      <c r="O5936" s="1" t="s">
        <v>28</v>
      </c>
      <c r="P5936" s="1" t="s">
        <v>55</v>
      </c>
      <c r="Q5936" s="1">
        <v>25</v>
      </c>
      <c r="R5936" s="1">
        <v>25</v>
      </c>
      <c r="S5936" s="1">
        <v>0</v>
      </c>
      <c r="T5936" s="1">
        <v>0</v>
      </c>
      <c r="U5936" s="1">
        <v>0</v>
      </c>
      <c r="V5936" s="1" t="str">
        <f t="shared" si="1168"/>
        <v>里程去程</v>
      </c>
      <c r="W5936" s="1" t="str">
        <f>"2520"</f>
        <v>2520</v>
      </c>
      <c r="X5936" s="1" t="s">
        <v>35</v>
      </c>
    </row>
    <row r="5937" spans="1:24" x14ac:dyDescent="0.3">
      <c r="A5937" s="1" t="str">
        <f t="shared" si="1164"/>
        <v>59825</v>
      </c>
      <c r="B5937" s="1" t="s">
        <v>30</v>
      </c>
      <c r="C5937" s="1" t="s">
        <v>31</v>
      </c>
      <c r="D5937" s="1" t="str">
        <f t="shared" si="1167"/>
        <v>9805</v>
      </c>
      <c r="E5937" s="1" t="s">
        <v>57</v>
      </c>
      <c r="F5937" s="1" t="str">
        <f>"317900001"</f>
        <v>317900001</v>
      </c>
      <c r="G5937" s="1" t="s">
        <v>33</v>
      </c>
      <c r="H5937" s="1" t="str">
        <f t="shared" si="1166"/>
        <v>20220929</v>
      </c>
      <c r="I5937" s="1" t="str">
        <f>"142814"</f>
        <v>142814</v>
      </c>
      <c r="J5937" s="1" t="s">
        <v>28</v>
      </c>
      <c r="K5937" s="1" t="s">
        <v>28</v>
      </c>
      <c r="L5937" s="1" t="str">
        <f t="shared" si="1169"/>
        <v>20220929</v>
      </c>
      <c r="M5937" s="1" t="str">
        <f>"144448"</f>
        <v>144448</v>
      </c>
      <c r="N5937" s="1" t="s">
        <v>62</v>
      </c>
      <c r="O5937" s="1" t="s">
        <v>28</v>
      </c>
      <c r="P5937" s="1" t="s">
        <v>55</v>
      </c>
      <c r="Q5937" s="1">
        <v>25</v>
      </c>
      <c r="R5937" s="1">
        <v>25</v>
      </c>
      <c r="S5937" s="1">
        <v>0</v>
      </c>
      <c r="T5937" s="1">
        <v>0</v>
      </c>
      <c r="U5937" s="1">
        <v>0</v>
      </c>
      <c r="V5937" s="1" t="str">
        <f t="shared" si="1168"/>
        <v>里程去程</v>
      </c>
      <c r="W5937" s="1" t="str">
        <f>"0e20"</f>
        <v>0e20</v>
      </c>
      <c r="X5937" s="1" t="s">
        <v>35</v>
      </c>
    </row>
    <row r="5938" spans="1:24" x14ac:dyDescent="0.3">
      <c r="A5938" s="1" t="str">
        <f t="shared" si="1164"/>
        <v>59825</v>
      </c>
      <c r="B5938" s="1" t="s">
        <v>30</v>
      </c>
      <c r="C5938" s="1" t="s">
        <v>31</v>
      </c>
      <c r="D5938" s="1" t="str">
        <f t="shared" ref="D5938:D5943" si="1170">"9803"</f>
        <v>9803</v>
      </c>
      <c r="E5938" s="1" t="s">
        <v>32</v>
      </c>
      <c r="F5938" s="1" t="str">
        <f>"1709069061"</f>
        <v>1709069061</v>
      </c>
      <c r="G5938" s="1" t="s">
        <v>33</v>
      </c>
      <c r="H5938" s="1" t="str">
        <f t="shared" si="1166"/>
        <v>20220929</v>
      </c>
      <c r="I5938" s="1" t="str">
        <f>"152142"</f>
        <v>152142</v>
      </c>
      <c r="J5938" s="1" t="s">
        <v>46</v>
      </c>
      <c r="K5938" s="1" t="s">
        <v>28</v>
      </c>
      <c r="L5938" s="1" t="str">
        <f t="shared" si="1169"/>
        <v>20220929</v>
      </c>
      <c r="M5938" s="1" t="str">
        <f>"153207"</f>
        <v>153207</v>
      </c>
      <c r="N5938" s="1" t="s">
        <v>34</v>
      </c>
      <c r="O5938" s="1" t="s">
        <v>34</v>
      </c>
      <c r="P5938" s="1" t="s">
        <v>55</v>
      </c>
      <c r="Q5938" s="1">
        <v>25</v>
      </c>
      <c r="R5938" s="1">
        <v>25</v>
      </c>
      <c r="S5938" s="1">
        <v>0</v>
      </c>
      <c r="T5938" s="1">
        <v>0</v>
      </c>
      <c r="U5938" s="1">
        <v>0</v>
      </c>
      <c r="V5938" s="1" t="str">
        <f t="shared" si="1168"/>
        <v>里程去程</v>
      </c>
      <c r="W5938" s="1" t="str">
        <f>"2020"</f>
        <v>2020</v>
      </c>
      <c r="X5938" s="1" t="s">
        <v>35</v>
      </c>
    </row>
    <row r="5939" spans="1:24" x14ac:dyDescent="0.3">
      <c r="A5939" s="1" t="str">
        <f t="shared" si="1164"/>
        <v>59825</v>
      </c>
      <c r="B5939" s="1" t="s">
        <v>30</v>
      </c>
      <c r="C5939" s="1" t="s">
        <v>31</v>
      </c>
      <c r="D5939" s="1" t="str">
        <f t="shared" si="1170"/>
        <v>9803</v>
      </c>
      <c r="E5939" s="1" t="s">
        <v>32</v>
      </c>
      <c r="F5939" s="1" t="str">
        <f>"3493266087"</f>
        <v>3493266087</v>
      </c>
      <c r="G5939" s="1" t="s">
        <v>33</v>
      </c>
      <c r="H5939" s="1" t="str">
        <f t="shared" si="1166"/>
        <v>20220929</v>
      </c>
      <c r="I5939" s="1" t="str">
        <f>"153249"</f>
        <v>153249</v>
      </c>
      <c r="J5939" s="1" t="s">
        <v>34</v>
      </c>
      <c r="K5939" s="1" t="s">
        <v>34</v>
      </c>
      <c r="L5939" s="1" t="str">
        <f t="shared" si="1169"/>
        <v>20220929</v>
      </c>
      <c r="M5939" s="1" t="str">
        <f>"160548"</f>
        <v>160548</v>
      </c>
      <c r="N5939" s="1" t="s">
        <v>90</v>
      </c>
      <c r="O5939" s="1" t="s">
        <v>28</v>
      </c>
      <c r="P5939" s="1" t="s">
        <v>55</v>
      </c>
      <c r="Q5939" s="1">
        <v>25</v>
      </c>
      <c r="R5939" s="1">
        <v>25</v>
      </c>
      <c r="S5939" s="1">
        <v>0</v>
      </c>
      <c r="T5939" s="1">
        <v>0</v>
      </c>
      <c r="U5939" s="1">
        <v>0</v>
      </c>
      <c r="V5939" s="1" t="str">
        <f t="shared" ref="V5939:V5944" si="1171">"里程返程"</f>
        <v>里程返程</v>
      </c>
      <c r="W5939" s="1" t="str">
        <f>"2020"</f>
        <v>2020</v>
      </c>
      <c r="X5939" s="1" t="s">
        <v>35</v>
      </c>
    </row>
    <row r="5940" spans="1:24" x14ac:dyDescent="0.3">
      <c r="A5940" s="1" t="str">
        <f t="shared" si="1164"/>
        <v>59825</v>
      </c>
      <c r="B5940" s="1" t="s">
        <v>30</v>
      </c>
      <c r="C5940" s="1" t="s">
        <v>31</v>
      </c>
      <c r="D5940" s="1" t="str">
        <f t="shared" si="1170"/>
        <v>9803</v>
      </c>
      <c r="E5940" s="1" t="s">
        <v>32</v>
      </c>
      <c r="F5940" s="1" t="str">
        <f>"6260D812C828040080CEBCD765212818"</f>
        <v>6260D812C828040080CEBCD765212818</v>
      </c>
      <c r="G5940" s="1" t="s">
        <v>58</v>
      </c>
      <c r="H5940" s="1" t="str">
        <f t="shared" si="1166"/>
        <v>20220929</v>
      </c>
      <c r="I5940" s="1" t="str">
        <f>"153254"</f>
        <v>153254</v>
      </c>
      <c r="J5940" s="1" t="s">
        <v>34</v>
      </c>
      <c r="K5940" s="1" t="s">
        <v>34</v>
      </c>
      <c r="L5940" s="1" t="str">
        <f t="shared" si="1169"/>
        <v>20220929</v>
      </c>
      <c r="M5940" s="1" t="str">
        <f>"160934"</f>
        <v>160934</v>
      </c>
      <c r="N5940" s="1" t="s">
        <v>28</v>
      </c>
      <c r="O5940" s="1" t="s">
        <v>28</v>
      </c>
      <c r="P5940" s="1" t="s">
        <v>55</v>
      </c>
      <c r="Q5940" s="1">
        <v>25</v>
      </c>
      <c r="R5940" s="1">
        <v>25</v>
      </c>
      <c r="S5940" s="1">
        <v>0</v>
      </c>
      <c r="T5940" s="1">
        <v>0</v>
      </c>
      <c r="U5940" s="1">
        <v>0</v>
      </c>
      <c r="V5940" s="1" t="str">
        <f t="shared" si="1171"/>
        <v>里程返程</v>
      </c>
      <c r="W5940" s="1" t="str">
        <f>"0020"</f>
        <v>0020</v>
      </c>
      <c r="X5940" s="1" t="s">
        <v>29</v>
      </c>
    </row>
    <row r="5941" spans="1:24" x14ac:dyDescent="0.3">
      <c r="A5941" s="1" t="str">
        <f t="shared" si="1164"/>
        <v>59825</v>
      </c>
      <c r="B5941" s="1" t="s">
        <v>30</v>
      </c>
      <c r="C5941" s="1" t="s">
        <v>31</v>
      </c>
      <c r="D5941" s="1" t="str">
        <f t="shared" si="1170"/>
        <v>9803</v>
      </c>
      <c r="E5941" s="1" t="s">
        <v>32</v>
      </c>
      <c r="F5941" s="1" t="str">
        <f>"705774049"</f>
        <v>705774049</v>
      </c>
      <c r="G5941" s="1" t="s">
        <v>33</v>
      </c>
      <c r="H5941" s="1" t="str">
        <f t="shared" si="1166"/>
        <v>20220929</v>
      </c>
      <c r="I5941" s="1" t="str">
        <f>"153314"</f>
        <v>153314</v>
      </c>
      <c r="J5941" s="1" t="s">
        <v>34</v>
      </c>
      <c r="K5941" s="1" t="s">
        <v>34</v>
      </c>
      <c r="L5941" s="1" t="str">
        <f t="shared" si="1169"/>
        <v>20220929</v>
      </c>
      <c r="M5941" s="1" t="str">
        <f>"160858"</f>
        <v>160858</v>
      </c>
      <c r="N5941" s="1" t="s">
        <v>28</v>
      </c>
      <c r="O5941" s="1" t="s">
        <v>28</v>
      </c>
      <c r="P5941" s="1" t="s">
        <v>55</v>
      </c>
      <c r="Q5941" s="1">
        <v>25</v>
      </c>
      <c r="R5941" s="1">
        <v>25</v>
      </c>
      <c r="S5941" s="1">
        <v>0</v>
      </c>
      <c r="T5941" s="1">
        <v>0</v>
      </c>
      <c r="U5941" s="1">
        <v>0</v>
      </c>
      <c r="V5941" s="1" t="str">
        <f t="shared" si="1171"/>
        <v>里程返程</v>
      </c>
      <c r="W5941" s="1" t="str">
        <f>"0820"</f>
        <v>0820</v>
      </c>
      <c r="X5941" s="1" t="s">
        <v>35</v>
      </c>
    </row>
    <row r="5942" spans="1:24" x14ac:dyDescent="0.3">
      <c r="A5942" s="1" t="str">
        <f t="shared" si="1164"/>
        <v>59825</v>
      </c>
      <c r="B5942" s="1" t="s">
        <v>30</v>
      </c>
      <c r="C5942" s="1" t="s">
        <v>31</v>
      </c>
      <c r="D5942" s="1" t="str">
        <f t="shared" si="1170"/>
        <v>9803</v>
      </c>
      <c r="E5942" s="1" t="s">
        <v>32</v>
      </c>
      <c r="F5942" s="1" t="str">
        <f>"1259051189"</f>
        <v>1259051189</v>
      </c>
      <c r="G5942" s="1" t="s">
        <v>33</v>
      </c>
      <c r="H5942" s="1" t="str">
        <f t="shared" si="1166"/>
        <v>20220929</v>
      </c>
      <c r="I5942" s="1" t="str">
        <f>"153328"</f>
        <v>153328</v>
      </c>
      <c r="J5942" s="1" t="s">
        <v>34</v>
      </c>
      <c r="K5942" s="1" t="s">
        <v>34</v>
      </c>
      <c r="L5942" s="1" t="str">
        <f t="shared" si="1169"/>
        <v>20220929</v>
      </c>
      <c r="M5942" s="1" t="str">
        <f>"160846"</f>
        <v>160846</v>
      </c>
      <c r="N5942" s="1" t="s">
        <v>28</v>
      </c>
      <c r="O5942" s="1" t="s">
        <v>28</v>
      </c>
      <c r="P5942" s="1" t="s">
        <v>55</v>
      </c>
      <c r="Q5942" s="1">
        <v>25</v>
      </c>
      <c r="R5942" s="1">
        <v>25</v>
      </c>
      <c r="S5942" s="1">
        <v>0</v>
      </c>
      <c r="T5942" s="1">
        <v>0</v>
      </c>
      <c r="U5942" s="1">
        <v>0</v>
      </c>
      <c r="V5942" s="1" t="str">
        <f t="shared" si="1171"/>
        <v>里程返程</v>
      </c>
      <c r="W5942" s="1" t="str">
        <f>"0920"</f>
        <v>0920</v>
      </c>
      <c r="X5942" s="1" t="s">
        <v>35</v>
      </c>
    </row>
    <row r="5943" spans="1:24" x14ac:dyDescent="0.3">
      <c r="A5943" s="1" t="str">
        <f t="shared" si="1164"/>
        <v>59825</v>
      </c>
      <c r="B5943" s="1" t="s">
        <v>30</v>
      </c>
      <c r="C5943" s="1" t="s">
        <v>31</v>
      </c>
      <c r="D5943" s="1" t="str">
        <f t="shared" si="1170"/>
        <v>9803</v>
      </c>
      <c r="E5943" s="1" t="s">
        <v>32</v>
      </c>
      <c r="F5943" s="1" t="str">
        <f>"92A8F616DA880400C814002000000019"</f>
        <v>92A8F616DA880400C814002000000019</v>
      </c>
      <c r="G5943" s="1" t="s">
        <v>59</v>
      </c>
      <c r="H5943" s="1" t="str">
        <f t="shared" si="1166"/>
        <v>20220929</v>
      </c>
      <c r="I5943" s="1" t="str">
        <f>"153335"</f>
        <v>153335</v>
      </c>
      <c r="J5943" s="1" t="s">
        <v>34</v>
      </c>
      <c r="K5943" s="1" t="s">
        <v>34</v>
      </c>
      <c r="L5943" s="1" t="str">
        <f t="shared" si="1169"/>
        <v>20220929</v>
      </c>
      <c r="M5943" s="1" t="str">
        <f>"160909"</f>
        <v>160909</v>
      </c>
      <c r="N5943" s="1" t="s">
        <v>28</v>
      </c>
      <c r="O5943" s="1" t="s">
        <v>28</v>
      </c>
      <c r="P5943" s="1" t="s">
        <v>55</v>
      </c>
      <c r="Q5943" s="1">
        <v>25</v>
      </c>
      <c r="R5943" s="1">
        <v>25</v>
      </c>
      <c r="S5943" s="1">
        <v>0</v>
      </c>
      <c r="T5943" s="1">
        <v>0</v>
      </c>
      <c r="U5943" s="1">
        <v>0</v>
      </c>
      <c r="V5943" s="1" t="str">
        <f t="shared" si="1171"/>
        <v>里程返程</v>
      </c>
      <c r="W5943" s="1" t="str">
        <f>"0020"</f>
        <v>0020</v>
      </c>
      <c r="X5943" s="1" t="s">
        <v>29</v>
      </c>
    </row>
    <row r="5944" spans="1:24" x14ac:dyDescent="0.3">
      <c r="A5944" s="1" t="str">
        <f t="shared" si="1164"/>
        <v>59825</v>
      </c>
      <c r="B5944" s="1" t="s">
        <v>30</v>
      </c>
      <c r="C5944" s="1" t="s">
        <v>31</v>
      </c>
      <c r="D5944" s="1" t="str">
        <f>"9806"</f>
        <v>9806</v>
      </c>
      <c r="E5944" s="1" t="s">
        <v>49</v>
      </c>
      <c r="F5944" s="1" t="str">
        <f>"E50EC8092A180200D200000C22400417"</f>
        <v>E50EC8092A180200D200000C22400417</v>
      </c>
      <c r="G5944" s="1" t="s">
        <v>58</v>
      </c>
      <c r="H5944" s="1" t="str">
        <f t="shared" si="1166"/>
        <v>20220929</v>
      </c>
      <c r="I5944" s="1" t="str">
        <f>"161008"</f>
        <v>161008</v>
      </c>
      <c r="J5944" s="1" t="s">
        <v>28</v>
      </c>
      <c r="K5944" s="1" t="s">
        <v>28</v>
      </c>
      <c r="L5944" s="1" t="str">
        <f t="shared" si="1169"/>
        <v>20220929</v>
      </c>
      <c r="M5944" s="1" t="str">
        <f>"162925"</f>
        <v>162925</v>
      </c>
      <c r="N5944" s="1" t="s">
        <v>50</v>
      </c>
      <c r="O5944" s="1" t="s">
        <v>50</v>
      </c>
      <c r="P5944" s="1" t="s">
        <v>55</v>
      </c>
      <c r="Q5944" s="1">
        <v>25</v>
      </c>
      <c r="R5944" s="1">
        <v>25</v>
      </c>
      <c r="S5944" s="1">
        <v>0</v>
      </c>
      <c r="T5944" s="1">
        <v>0</v>
      </c>
      <c r="U5944" s="1">
        <v>0</v>
      </c>
      <c r="V5944" s="1" t="str">
        <f t="shared" si="1171"/>
        <v>里程返程</v>
      </c>
      <c r="W5944" s="1" t="str">
        <f>"0020"</f>
        <v>0020</v>
      </c>
      <c r="X5944" s="1" t="s">
        <v>29</v>
      </c>
    </row>
    <row r="5945" spans="1:24" x14ac:dyDescent="0.3">
      <c r="A5945" s="1" t="str">
        <f t="shared" si="1164"/>
        <v>59825</v>
      </c>
      <c r="B5945" s="1" t="s">
        <v>30</v>
      </c>
      <c r="C5945" s="1" t="s">
        <v>31</v>
      </c>
      <c r="D5945" s="1" t="str">
        <f>"9806"</f>
        <v>9806</v>
      </c>
      <c r="E5945" s="1" t="s">
        <v>49</v>
      </c>
      <c r="F5945" s="1" t="str">
        <f>"538267473"</f>
        <v>538267473</v>
      </c>
      <c r="G5945" s="1" t="s">
        <v>33</v>
      </c>
      <c r="H5945" s="1" t="str">
        <f t="shared" si="1166"/>
        <v>20220929</v>
      </c>
      <c r="I5945" s="1" t="str">
        <f>"163500"</f>
        <v>163500</v>
      </c>
      <c r="J5945" s="1" t="s">
        <v>76</v>
      </c>
      <c r="K5945" s="1" t="s">
        <v>28</v>
      </c>
      <c r="L5945" s="1" t="str">
        <f t="shared" si="1169"/>
        <v>20220929</v>
      </c>
      <c r="M5945" s="1" t="str">
        <f>"164948"</f>
        <v>164948</v>
      </c>
      <c r="N5945" s="1" t="s">
        <v>28</v>
      </c>
      <c r="O5945" s="1" t="s">
        <v>28</v>
      </c>
      <c r="P5945" s="1" t="s">
        <v>55</v>
      </c>
      <c r="Q5945" s="1">
        <v>25</v>
      </c>
      <c r="R5945" s="1">
        <v>25</v>
      </c>
      <c r="S5945" s="1">
        <v>0</v>
      </c>
      <c r="T5945" s="1">
        <v>0</v>
      </c>
      <c r="U5945" s="1">
        <v>0</v>
      </c>
      <c r="V5945" s="1" t="str">
        <f>"里程去程"</f>
        <v>里程去程</v>
      </c>
      <c r="W5945" s="1" t="str">
        <f>"2020"</f>
        <v>2020</v>
      </c>
      <c r="X5945" s="1" t="s">
        <v>35</v>
      </c>
    </row>
    <row r="5946" spans="1:24" x14ac:dyDescent="0.3">
      <c r="A5946" s="1" t="str">
        <f t="shared" si="1164"/>
        <v>59825</v>
      </c>
      <c r="B5946" s="1" t="s">
        <v>30</v>
      </c>
      <c r="C5946" s="1" t="s">
        <v>31</v>
      </c>
      <c r="D5946" s="1" t="str">
        <f>"9806"</f>
        <v>9806</v>
      </c>
      <c r="E5946" s="1" t="s">
        <v>49</v>
      </c>
      <c r="F5946" s="1" t="str">
        <f>"B211E70246880400C834002000000015"</f>
        <v>B211E70246880400C834002000000015</v>
      </c>
      <c r="G5946" s="1" t="s">
        <v>74</v>
      </c>
      <c r="H5946" s="1" t="str">
        <f t="shared" ref="H5946:H5977" si="1172">"20220929"</f>
        <v>20220929</v>
      </c>
      <c r="I5946" s="1" t="str">
        <f>"163508"</f>
        <v>163508</v>
      </c>
      <c r="J5946" s="1" t="s">
        <v>76</v>
      </c>
      <c r="K5946" s="1" t="s">
        <v>28</v>
      </c>
      <c r="L5946" s="1" t="str">
        <f t="shared" si="1169"/>
        <v>20220929</v>
      </c>
      <c r="M5946" s="1" t="str">
        <f>"164511"</f>
        <v>164511</v>
      </c>
      <c r="N5946" s="1" t="s">
        <v>84</v>
      </c>
      <c r="O5946" s="1" t="s">
        <v>28</v>
      </c>
      <c r="P5946" s="1" t="s">
        <v>68</v>
      </c>
      <c r="Q5946" s="1">
        <v>13</v>
      </c>
      <c r="R5946" s="1">
        <v>0</v>
      </c>
      <c r="S5946" s="1">
        <v>0</v>
      </c>
      <c r="T5946" s="1">
        <v>13</v>
      </c>
      <c r="U5946" s="1">
        <v>0</v>
      </c>
      <c r="V5946" s="1" t="str">
        <f>"里程去程"</f>
        <v>里程去程</v>
      </c>
      <c r="W5946" s="1" t="str">
        <f>"0020"</f>
        <v>0020</v>
      </c>
      <c r="X5946" s="1" t="s">
        <v>29</v>
      </c>
    </row>
    <row r="5947" spans="1:24" x14ac:dyDescent="0.3">
      <c r="A5947" s="1" t="str">
        <f t="shared" si="1164"/>
        <v>59825</v>
      </c>
      <c r="B5947" s="1" t="s">
        <v>30</v>
      </c>
      <c r="C5947" s="1" t="s">
        <v>31</v>
      </c>
      <c r="D5947" s="1" t="str">
        <f>"9805"</f>
        <v>9805</v>
      </c>
      <c r="E5947" s="1" t="s">
        <v>57</v>
      </c>
      <c r="F5947" s="1" t="str">
        <f>"1033675777"</f>
        <v>1033675777</v>
      </c>
      <c r="G5947" s="1" t="s">
        <v>33</v>
      </c>
      <c r="H5947" s="1" t="str">
        <f t="shared" si="1172"/>
        <v>20220929</v>
      </c>
      <c r="I5947" s="1" t="str">
        <f>"165034"</f>
        <v>165034</v>
      </c>
      <c r="J5947" s="1" t="s">
        <v>28</v>
      </c>
      <c r="K5947" s="1" t="s">
        <v>28</v>
      </c>
      <c r="L5947" s="1" t="str">
        <f t="shared" si="1169"/>
        <v>20220929</v>
      </c>
      <c r="M5947" s="1" t="str">
        <f>"170055"</f>
        <v>170055</v>
      </c>
      <c r="N5947" s="1" t="s">
        <v>61</v>
      </c>
      <c r="O5947" s="1" t="s">
        <v>28</v>
      </c>
      <c r="P5947" s="1" t="s">
        <v>55</v>
      </c>
      <c r="Q5947" s="1">
        <v>25</v>
      </c>
      <c r="R5947" s="1">
        <v>0</v>
      </c>
      <c r="S5947" s="1">
        <v>25</v>
      </c>
      <c r="T5947" s="1">
        <v>0</v>
      </c>
      <c r="U5947" s="1">
        <v>0</v>
      </c>
      <c r="V5947" s="1" t="str">
        <f>"里程去程"</f>
        <v>里程去程</v>
      </c>
      <c r="W5947" s="1" t="str">
        <f>"0820"</f>
        <v>0820</v>
      </c>
      <c r="X5947" s="1" t="s">
        <v>35</v>
      </c>
    </row>
    <row r="5948" spans="1:24" x14ac:dyDescent="0.3">
      <c r="A5948" s="1" t="str">
        <f t="shared" si="1164"/>
        <v>59825</v>
      </c>
      <c r="B5948" s="1" t="s">
        <v>30</v>
      </c>
      <c r="C5948" s="1" t="s">
        <v>31</v>
      </c>
      <c r="D5948" s="1" t="str">
        <f t="shared" ref="D5948:D5974" si="1173">"9801"</f>
        <v>9801</v>
      </c>
      <c r="E5948" s="1" t="s">
        <v>25</v>
      </c>
      <c r="F5948" s="1" t="str">
        <f>"880913185"</f>
        <v>880913185</v>
      </c>
      <c r="G5948" s="1" t="s">
        <v>33</v>
      </c>
      <c r="H5948" s="1" t="str">
        <f t="shared" si="1172"/>
        <v>20220929</v>
      </c>
      <c r="I5948" s="1" t="str">
        <f>"192616"</f>
        <v>192616</v>
      </c>
      <c r="J5948" s="1" t="s">
        <v>28</v>
      </c>
      <c r="K5948" s="1" t="s">
        <v>28</v>
      </c>
      <c r="L5948" s="1" t="str">
        <f t="shared" si="1169"/>
        <v>20220929</v>
      </c>
      <c r="M5948" s="1" t="str">
        <f>"194458"</f>
        <v>194458</v>
      </c>
      <c r="N5948" s="1" t="s">
        <v>65</v>
      </c>
      <c r="O5948" s="1" t="s">
        <v>52</v>
      </c>
      <c r="P5948" s="1" t="s">
        <v>55</v>
      </c>
      <c r="Q5948" s="1">
        <v>25</v>
      </c>
      <c r="R5948" s="1">
        <v>0</v>
      </c>
      <c r="S5948" s="1">
        <v>25</v>
      </c>
      <c r="T5948" s="1">
        <v>0</v>
      </c>
      <c r="U5948" s="1">
        <v>0</v>
      </c>
      <c r="V5948" s="1" t="str">
        <f t="shared" ref="V5948:V5959" si="1174">"里程返程"</f>
        <v>里程返程</v>
      </c>
      <c r="W5948" s="1" t="str">
        <f>"0820"</f>
        <v>0820</v>
      </c>
      <c r="X5948" s="1" t="s">
        <v>35</v>
      </c>
    </row>
    <row r="5949" spans="1:24" x14ac:dyDescent="0.3">
      <c r="A5949" s="1" t="str">
        <f t="shared" si="1164"/>
        <v>59825</v>
      </c>
      <c r="B5949" s="1" t="s">
        <v>30</v>
      </c>
      <c r="C5949" s="1" t="s">
        <v>31</v>
      </c>
      <c r="D5949" s="1" t="str">
        <f t="shared" si="1173"/>
        <v>9801</v>
      </c>
      <c r="E5949" s="1" t="s">
        <v>25</v>
      </c>
      <c r="F5949" s="1" t="str">
        <f>"418A823E77280400F700000000000000"</f>
        <v>418A823E77280400F700000000000000</v>
      </c>
      <c r="G5949" s="1" t="s">
        <v>58</v>
      </c>
      <c r="H5949" s="1" t="str">
        <f t="shared" si="1172"/>
        <v>20220929</v>
      </c>
      <c r="I5949" s="1" t="str">
        <f>"192618"</f>
        <v>192618</v>
      </c>
      <c r="J5949" s="1" t="s">
        <v>28</v>
      </c>
      <c r="K5949" s="1" t="s">
        <v>28</v>
      </c>
      <c r="L5949" s="1" t="str">
        <f t="shared" si="1169"/>
        <v>20220929</v>
      </c>
      <c r="M5949" s="1" t="str">
        <f>"194449"</f>
        <v>194449</v>
      </c>
      <c r="N5949" s="1" t="s">
        <v>65</v>
      </c>
      <c r="O5949" s="1" t="s">
        <v>52</v>
      </c>
      <c r="P5949" s="1" t="s">
        <v>55</v>
      </c>
      <c r="Q5949" s="1">
        <v>25</v>
      </c>
      <c r="R5949" s="1">
        <v>25</v>
      </c>
      <c r="S5949" s="1">
        <v>0</v>
      </c>
      <c r="T5949" s="1">
        <v>0</v>
      </c>
      <c r="U5949" s="1">
        <v>0</v>
      </c>
      <c r="V5949" s="1" t="str">
        <f t="shared" si="1174"/>
        <v>里程返程</v>
      </c>
      <c r="W5949" s="1" t="str">
        <f>"0020"</f>
        <v>0020</v>
      </c>
      <c r="X5949" s="1" t="s">
        <v>29</v>
      </c>
    </row>
    <row r="5950" spans="1:24" x14ac:dyDescent="0.3">
      <c r="A5950" s="1" t="str">
        <f t="shared" ref="A5950:A5974" si="1175">"59828"</f>
        <v>59828</v>
      </c>
      <c r="B5950" s="1" t="s">
        <v>23</v>
      </c>
      <c r="C5950" s="1" t="s">
        <v>24</v>
      </c>
      <c r="D5950" s="1" t="str">
        <f t="shared" si="1173"/>
        <v>9801</v>
      </c>
      <c r="E5950" s="1" t="s">
        <v>25</v>
      </c>
      <c r="F5950" s="1" t="str">
        <f>"1752749445"</f>
        <v>1752749445</v>
      </c>
      <c r="G5950" s="1" t="s">
        <v>33</v>
      </c>
      <c r="H5950" s="1" t="str">
        <f t="shared" si="1172"/>
        <v>20220929</v>
      </c>
      <c r="I5950" s="1" t="str">
        <f>"063405"</f>
        <v>063405</v>
      </c>
      <c r="J5950" s="1" t="s">
        <v>28</v>
      </c>
      <c r="K5950" s="1" t="s">
        <v>28</v>
      </c>
      <c r="L5950" s="1" t="str">
        <f t="shared" si="1169"/>
        <v>20220929</v>
      </c>
      <c r="M5950" s="1" t="str">
        <f>"065540"</f>
        <v>065540</v>
      </c>
      <c r="N5950" s="1" t="s">
        <v>72</v>
      </c>
      <c r="O5950" s="1" t="s">
        <v>52</v>
      </c>
      <c r="P5950" s="1" t="s">
        <v>55</v>
      </c>
      <c r="Q5950" s="1">
        <v>25</v>
      </c>
      <c r="R5950" s="1">
        <v>0</v>
      </c>
      <c r="S5950" s="1">
        <v>25</v>
      </c>
      <c r="T5950" s="1">
        <v>0</v>
      </c>
      <c r="U5950" s="1">
        <v>0</v>
      </c>
      <c r="V5950" s="1" t="str">
        <f t="shared" si="1174"/>
        <v>里程返程</v>
      </c>
      <c r="W5950" s="1" t="str">
        <f>"0820"</f>
        <v>0820</v>
      </c>
      <c r="X5950" s="1" t="s">
        <v>35</v>
      </c>
    </row>
    <row r="5951" spans="1:24" x14ac:dyDescent="0.3">
      <c r="A5951" s="1" t="str">
        <f t="shared" si="1175"/>
        <v>59828</v>
      </c>
      <c r="B5951" s="1" t="s">
        <v>23</v>
      </c>
      <c r="C5951" s="1" t="s">
        <v>24</v>
      </c>
      <c r="D5951" s="1" t="str">
        <f t="shared" si="1173"/>
        <v>9801</v>
      </c>
      <c r="E5951" s="1" t="s">
        <v>25</v>
      </c>
      <c r="F5951" s="1" t="str">
        <f>"026A101860880400C814002000000019"</f>
        <v>026A101860880400C814002000000019</v>
      </c>
      <c r="G5951" s="1" t="s">
        <v>59</v>
      </c>
      <c r="H5951" s="1" t="str">
        <f t="shared" si="1172"/>
        <v>20220929</v>
      </c>
      <c r="I5951" s="1" t="str">
        <f>"063501"</f>
        <v>063501</v>
      </c>
      <c r="J5951" s="1" t="s">
        <v>28</v>
      </c>
      <c r="K5951" s="1" t="s">
        <v>28</v>
      </c>
      <c r="L5951" s="1" t="str">
        <f t="shared" si="1169"/>
        <v>20220929</v>
      </c>
      <c r="M5951" s="1" t="str">
        <f>"065628"</f>
        <v>065628</v>
      </c>
      <c r="N5951" s="1" t="s">
        <v>71</v>
      </c>
      <c r="O5951" s="1" t="s">
        <v>52</v>
      </c>
      <c r="P5951" s="1" t="s">
        <v>55</v>
      </c>
      <c r="Q5951" s="1">
        <v>25</v>
      </c>
      <c r="R5951" s="1">
        <v>0</v>
      </c>
      <c r="S5951" s="1">
        <v>25</v>
      </c>
      <c r="T5951" s="1">
        <v>0</v>
      </c>
      <c r="U5951" s="1">
        <v>0</v>
      </c>
      <c r="V5951" s="1" t="str">
        <f t="shared" si="1174"/>
        <v>里程返程</v>
      </c>
      <c r="W5951" s="1" t="str">
        <f>"0620"</f>
        <v>0620</v>
      </c>
      <c r="X5951" s="1" t="s">
        <v>29</v>
      </c>
    </row>
    <row r="5952" spans="1:24" x14ac:dyDescent="0.3">
      <c r="A5952" s="1" t="str">
        <f t="shared" si="1175"/>
        <v>59828</v>
      </c>
      <c r="B5952" s="1" t="s">
        <v>23</v>
      </c>
      <c r="C5952" s="1" t="s">
        <v>24</v>
      </c>
      <c r="D5952" s="1" t="str">
        <f t="shared" si="1173"/>
        <v>9801</v>
      </c>
      <c r="E5952" s="1" t="s">
        <v>25</v>
      </c>
      <c r="F5952" s="1" t="str">
        <f>"F282E40195880400C821002000000015"</f>
        <v>F282E40195880400C821002000000015</v>
      </c>
      <c r="G5952" s="1" t="s">
        <v>58</v>
      </c>
      <c r="H5952" s="1" t="str">
        <f t="shared" si="1172"/>
        <v>20220929</v>
      </c>
      <c r="I5952" s="1" t="str">
        <f>"072150"</f>
        <v>072150</v>
      </c>
      <c r="J5952" s="1" t="s">
        <v>28</v>
      </c>
      <c r="K5952" s="1" t="s">
        <v>28</v>
      </c>
      <c r="L5952" s="1" t="str">
        <f t="shared" si="1169"/>
        <v>20220929</v>
      </c>
      <c r="M5952" s="1" t="str">
        <f>"074758"</f>
        <v>074758</v>
      </c>
      <c r="N5952" s="1" t="s">
        <v>65</v>
      </c>
      <c r="O5952" s="1" t="s">
        <v>52</v>
      </c>
      <c r="P5952" s="1" t="s">
        <v>55</v>
      </c>
      <c r="Q5952" s="1">
        <v>25</v>
      </c>
      <c r="R5952" s="1">
        <v>0</v>
      </c>
      <c r="S5952" s="1">
        <v>25</v>
      </c>
      <c r="T5952" s="1">
        <v>0</v>
      </c>
      <c r="U5952" s="1">
        <v>0</v>
      </c>
      <c r="V5952" s="1" t="str">
        <f t="shared" si="1174"/>
        <v>里程返程</v>
      </c>
      <c r="W5952" s="1" t="str">
        <f>"0620"</f>
        <v>0620</v>
      </c>
      <c r="X5952" s="1" t="s">
        <v>29</v>
      </c>
    </row>
    <row r="5953" spans="1:24" x14ac:dyDescent="0.3">
      <c r="A5953" s="1" t="str">
        <f t="shared" si="1175"/>
        <v>59828</v>
      </c>
      <c r="B5953" s="1" t="s">
        <v>23</v>
      </c>
      <c r="C5953" s="1" t="s">
        <v>24</v>
      </c>
      <c r="D5953" s="1" t="str">
        <f t="shared" si="1173"/>
        <v>9801</v>
      </c>
      <c r="E5953" s="1" t="s">
        <v>25</v>
      </c>
      <c r="F5953" s="1" t="str">
        <f>"3592043907"</f>
        <v>3592043907</v>
      </c>
      <c r="G5953" s="1" t="s">
        <v>33</v>
      </c>
      <c r="H5953" s="1" t="str">
        <f t="shared" si="1172"/>
        <v>20220929</v>
      </c>
      <c r="I5953" s="1" t="str">
        <f>"072155"</f>
        <v>072155</v>
      </c>
      <c r="J5953" s="1" t="s">
        <v>28</v>
      </c>
      <c r="K5953" s="1" t="s">
        <v>28</v>
      </c>
      <c r="L5953" s="1" t="str">
        <f t="shared" si="1169"/>
        <v>20220929</v>
      </c>
      <c r="M5953" s="1" t="str">
        <f>"074801"</f>
        <v>074801</v>
      </c>
      <c r="N5953" s="1" t="s">
        <v>65</v>
      </c>
      <c r="O5953" s="1" t="s">
        <v>52</v>
      </c>
      <c r="P5953" s="1" t="s">
        <v>55</v>
      </c>
      <c r="Q5953" s="1">
        <v>25</v>
      </c>
      <c r="R5953" s="1">
        <v>0</v>
      </c>
      <c r="S5953" s="1">
        <v>25</v>
      </c>
      <c r="T5953" s="1">
        <v>0</v>
      </c>
      <c r="U5953" s="1">
        <v>0</v>
      </c>
      <c r="V5953" s="1" t="str">
        <f t="shared" si="1174"/>
        <v>里程返程</v>
      </c>
      <c r="W5953" s="1" t="str">
        <f>"0820"</f>
        <v>0820</v>
      </c>
      <c r="X5953" s="1" t="s">
        <v>35</v>
      </c>
    </row>
    <row r="5954" spans="1:24" x14ac:dyDescent="0.3">
      <c r="A5954" s="1" t="str">
        <f t="shared" si="1175"/>
        <v>59828</v>
      </c>
      <c r="B5954" s="1" t="s">
        <v>23</v>
      </c>
      <c r="C5954" s="1" t="s">
        <v>24</v>
      </c>
      <c r="D5954" s="1" t="str">
        <f t="shared" si="1173"/>
        <v>9801</v>
      </c>
      <c r="E5954" s="1" t="s">
        <v>25</v>
      </c>
      <c r="F5954" s="1" t="str">
        <f>"62F00B1881880400C814002000000019"</f>
        <v>62F00B1881880400C814002000000019</v>
      </c>
      <c r="G5954" s="1" t="s">
        <v>59</v>
      </c>
      <c r="H5954" s="1" t="str">
        <f t="shared" si="1172"/>
        <v>20220929</v>
      </c>
      <c r="I5954" s="1" t="str">
        <f>"072158"</f>
        <v>072158</v>
      </c>
      <c r="J5954" s="1" t="s">
        <v>28</v>
      </c>
      <c r="K5954" s="1" t="s">
        <v>28</v>
      </c>
      <c r="L5954" s="1" t="str">
        <f t="shared" si="1169"/>
        <v>20220929</v>
      </c>
      <c r="M5954" s="1" t="str">
        <f>"075013"</f>
        <v>075013</v>
      </c>
      <c r="N5954" s="1" t="s">
        <v>72</v>
      </c>
      <c r="O5954" s="1" t="s">
        <v>52</v>
      </c>
      <c r="P5954" s="1" t="s">
        <v>55</v>
      </c>
      <c r="Q5954" s="1">
        <v>25</v>
      </c>
      <c r="R5954" s="1">
        <v>0</v>
      </c>
      <c r="S5954" s="1">
        <v>25</v>
      </c>
      <c r="T5954" s="1">
        <v>0</v>
      </c>
      <c r="U5954" s="1">
        <v>0</v>
      </c>
      <c r="V5954" s="1" t="str">
        <f t="shared" si="1174"/>
        <v>里程返程</v>
      </c>
      <c r="W5954" s="1" t="str">
        <f>"0620"</f>
        <v>0620</v>
      </c>
      <c r="X5954" s="1" t="s">
        <v>29</v>
      </c>
    </row>
    <row r="5955" spans="1:24" x14ac:dyDescent="0.3">
      <c r="A5955" s="1" t="str">
        <f t="shared" si="1175"/>
        <v>59828</v>
      </c>
      <c r="B5955" s="1" t="s">
        <v>23</v>
      </c>
      <c r="C5955" s="1" t="s">
        <v>24</v>
      </c>
      <c r="D5955" s="1" t="str">
        <f t="shared" si="1173"/>
        <v>9801</v>
      </c>
      <c r="E5955" s="1" t="s">
        <v>25</v>
      </c>
      <c r="F5955" s="1" t="str">
        <f>"825D0C18CB880400C814002000000019"</f>
        <v>825D0C18CB880400C814002000000019</v>
      </c>
      <c r="G5955" s="1" t="s">
        <v>59</v>
      </c>
      <c r="H5955" s="1" t="str">
        <f t="shared" si="1172"/>
        <v>20220929</v>
      </c>
      <c r="I5955" s="1" t="str">
        <f>"072201"</f>
        <v>072201</v>
      </c>
      <c r="J5955" s="1" t="s">
        <v>28</v>
      </c>
      <c r="K5955" s="1" t="s">
        <v>28</v>
      </c>
      <c r="L5955" s="1" t="str">
        <f t="shared" si="1169"/>
        <v>20220929</v>
      </c>
      <c r="M5955" s="1" t="str">
        <f>"080024"</f>
        <v>080024</v>
      </c>
      <c r="N5955" s="1" t="s">
        <v>52</v>
      </c>
      <c r="O5955" s="1" t="s">
        <v>52</v>
      </c>
      <c r="P5955" s="1" t="s">
        <v>55</v>
      </c>
      <c r="Q5955" s="1">
        <v>25</v>
      </c>
      <c r="R5955" s="1">
        <v>0</v>
      </c>
      <c r="S5955" s="1">
        <v>25</v>
      </c>
      <c r="T5955" s="1">
        <v>0</v>
      </c>
      <c r="U5955" s="1">
        <v>0</v>
      </c>
      <c r="V5955" s="1" t="str">
        <f t="shared" si="1174"/>
        <v>里程返程</v>
      </c>
      <c r="W5955" s="1" t="str">
        <f>"0620"</f>
        <v>0620</v>
      </c>
      <c r="X5955" s="1" t="s">
        <v>29</v>
      </c>
    </row>
    <row r="5956" spans="1:24" x14ac:dyDescent="0.3">
      <c r="A5956" s="1" t="str">
        <f t="shared" si="1175"/>
        <v>59828</v>
      </c>
      <c r="B5956" s="1" t="s">
        <v>23</v>
      </c>
      <c r="C5956" s="1" t="s">
        <v>24</v>
      </c>
      <c r="D5956" s="1" t="str">
        <f t="shared" si="1173"/>
        <v>9801</v>
      </c>
      <c r="E5956" s="1" t="s">
        <v>25</v>
      </c>
      <c r="F5956" s="1" t="str">
        <f>"82730F18E6880400C814002000000019"</f>
        <v>82730F18E6880400C814002000000019</v>
      </c>
      <c r="G5956" s="1" t="s">
        <v>59</v>
      </c>
      <c r="H5956" s="1" t="str">
        <f t="shared" si="1172"/>
        <v>20220929</v>
      </c>
      <c r="I5956" s="1" t="str">
        <f>"072204"</f>
        <v>072204</v>
      </c>
      <c r="J5956" s="1" t="s">
        <v>28</v>
      </c>
      <c r="K5956" s="1" t="s">
        <v>28</v>
      </c>
      <c r="L5956" s="1" t="str">
        <f t="shared" si="1169"/>
        <v>20220929</v>
      </c>
      <c r="M5956" s="1" t="str">
        <f>"075011"</f>
        <v>075011</v>
      </c>
      <c r="N5956" s="1" t="s">
        <v>72</v>
      </c>
      <c r="O5956" s="1" t="s">
        <v>52</v>
      </c>
      <c r="P5956" s="1" t="s">
        <v>55</v>
      </c>
      <c r="Q5956" s="1">
        <v>25</v>
      </c>
      <c r="R5956" s="1">
        <v>0</v>
      </c>
      <c r="S5956" s="1">
        <v>25</v>
      </c>
      <c r="T5956" s="1">
        <v>0</v>
      </c>
      <c r="U5956" s="1">
        <v>0</v>
      </c>
      <c r="V5956" s="1" t="str">
        <f t="shared" si="1174"/>
        <v>里程返程</v>
      </c>
      <c r="W5956" s="1" t="str">
        <f>"0620"</f>
        <v>0620</v>
      </c>
      <c r="X5956" s="1" t="s">
        <v>29</v>
      </c>
    </row>
    <row r="5957" spans="1:24" x14ac:dyDescent="0.3">
      <c r="A5957" s="1" t="str">
        <f t="shared" si="1175"/>
        <v>59828</v>
      </c>
      <c r="B5957" s="1" t="s">
        <v>23</v>
      </c>
      <c r="C5957" s="1" t="s">
        <v>24</v>
      </c>
      <c r="D5957" s="1" t="str">
        <f t="shared" si="1173"/>
        <v>9801</v>
      </c>
      <c r="E5957" s="1" t="s">
        <v>25</v>
      </c>
      <c r="F5957" s="1" t="str">
        <f>"1204061808880400C814002000000019"</f>
        <v>1204061808880400C814002000000019</v>
      </c>
      <c r="G5957" s="1" t="s">
        <v>59</v>
      </c>
      <c r="H5957" s="1" t="str">
        <f t="shared" si="1172"/>
        <v>20220929</v>
      </c>
      <c r="I5957" s="1" t="str">
        <f>"072207"</f>
        <v>072207</v>
      </c>
      <c r="J5957" s="1" t="s">
        <v>28</v>
      </c>
      <c r="K5957" s="1" t="s">
        <v>28</v>
      </c>
      <c r="L5957" s="1" t="str">
        <f t="shared" si="1169"/>
        <v>20220929</v>
      </c>
      <c r="M5957" s="1" t="str">
        <f>"075009"</f>
        <v>075009</v>
      </c>
      <c r="N5957" s="1" t="s">
        <v>72</v>
      </c>
      <c r="O5957" s="1" t="s">
        <v>52</v>
      </c>
      <c r="P5957" s="1" t="s">
        <v>55</v>
      </c>
      <c r="Q5957" s="1">
        <v>25</v>
      </c>
      <c r="R5957" s="1">
        <v>0</v>
      </c>
      <c r="S5957" s="1">
        <v>25</v>
      </c>
      <c r="T5957" s="1">
        <v>0</v>
      </c>
      <c r="U5957" s="1">
        <v>0</v>
      </c>
      <c r="V5957" s="1" t="str">
        <f t="shared" si="1174"/>
        <v>里程返程</v>
      </c>
      <c r="W5957" s="1" t="str">
        <f>"0620"</f>
        <v>0620</v>
      </c>
      <c r="X5957" s="1" t="s">
        <v>29</v>
      </c>
    </row>
    <row r="5958" spans="1:24" x14ac:dyDescent="0.3">
      <c r="A5958" s="1" t="str">
        <f t="shared" si="1175"/>
        <v>59828</v>
      </c>
      <c r="B5958" s="1" t="s">
        <v>23</v>
      </c>
      <c r="C5958" s="1" t="s">
        <v>24</v>
      </c>
      <c r="D5958" s="1" t="str">
        <f t="shared" si="1173"/>
        <v>9801</v>
      </c>
      <c r="E5958" s="1" t="s">
        <v>25</v>
      </c>
      <c r="F5958" s="1" t="str">
        <f>"1725435766"</f>
        <v>1725435766</v>
      </c>
      <c r="G5958" s="1" t="s">
        <v>26</v>
      </c>
      <c r="H5958" s="1" t="str">
        <f t="shared" si="1172"/>
        <v>20220929</v>
      </c>
      <c r="I5958" s="1" t="str">
        <f>"073551"</f>
        <v>073551</v>
      </c>
      <c r="J5958" s="1" t="s">
        <v>69</v>
      </c>
      <c r="K5958" s="1" t="s">
        <v>52</v>
      </c>
      <c r="L5958" s="1" t="str">
        <f t="shared" si="1169"/>
        <v>20220929</v>
      </c>
      <c r="M5958" s="1" t="str">
        <f>"075210"</f>
        <v>075210</v>
      </c>
      <c r="N5958" s="1" t="s">
        <v>51</v>
      </c>
      <c r="O5958" s="1" t="s">
        <v>52</v>
      </c>
      <c r="P5958" s="1" t="s">
        <v>55</v>
      </c>
      <c r="Q5958" s="1">
        <v>13</v>
      </c>
      <c r="R5958" s="1">
        <v>13</v>
      </c>
      <c r="S5958" s="1">
        <v>0</v>
      </c>
      <c r="T5958" s="1">
        <v>0</v>
      </c>
      <c r="U5958" s="1">
        <v>0</v>
      </c>
      <c r="V5958" s="1" t="str">
        <f t="shared" si="1174"/>
        <v>里程返程</v>
      </c>
      <c r="W5958" s="1" t="str">
        <f>"2120"</f>
        <v>2120</v>
      </c>
      <c r="X5958" s="1" t="s">
        <v>35</v>
      </c>
    </row>
    <row r="5959" spans="1:24" x14ac:dyDescent="0.3">
      <c r="A5959" s="1" t="str">
        <f t="shared" si="1175"/>
        <v>59828</v>
      </c>
      <c r="B5959" s="1" t="s">
        <v>23</v>
      </c>
      <c r="C5959" s="1" t="s">
        <v>24</v>
      </c>
      <c r="D5959" s="1" t="str">
        <f t="shared" si="1173"/>
        <v>9801</v>
      </c>
      <c r="E5959" s="1" t="s">
        <v>25</v>
      </c>
      <c r="F5959" s="1" t="str">
        <f>"1759959808"</f>
        <v>1759959808</v>
      </c>
      <c r="G5959" s="1" t="s">
        <v>33</v>
      </c>
      <c r="H5959" s="1" t="str">
        <f t="shared" si="1172"/>
        <v>20220929</v>
      </c>
      <c r="I5959" s="1" t="str">
        <f>"074326"</f>
        <v>074326</v>
      </c>
      <c r="J5959" s="1" t="s">
        <v>80</v>
      </c>
      <c r="K5959" s="1" t="s">
        <v>52</v>
      </c>
      <c r="L5959" s="1" t="str">
        <f t="shared" si="1169"/>
        <v>20220929</v>
      </c>
      <c r="M5959" s="1" t="str">
        <f>"075549"</f>
        <v>075549</v>
      </c>
      <c r="N5959" s="1" t="s">
        <v>60</v>
      </c>
      <c r="O5959" s="1" t="s">
        <v>52</v>
      </c>
      <c r="P5959" s="1" t="s">
        <v>55</v>
      </c>
      <c r="Q5959" s="1">
        <v>25</v>
      </c>
      <c r="R5959" s="1">
        <v>25</v>
      </c>
      <c r="S5959" s="1">
        <v>0</v>
      </c>
      <c r="T5959" s="1">
        <v>0</v>
      </c>
      <c r="U5959" s="1">
        <v>0</v>
      </c>
      <c r="V5959" s="1" t="str">
        <f t="shared" si="1174"/>
        <v>里程返程</v>
      </c>
      <c r="W5959" s="1" t="str">
        <f>"2020"</f>
        <v>2020</v>
      </c>
      <c r="X5959" s="1" t="s">
        <v>35</v>
      </c>
    </row>
    <row r="5960" spans="1:24" x14ac:dyDescent="0.3">
      <c r="A5960" s="1" t="str">
        <f t="shared" si="1175"/>
        <v>59828</v>
      </c>
      <c r="B5960" s="1" t="s">
        <v>23</v>
      </c>
      <c r="C5960" s="1" t="s">
        <v>24</v>
      </c>
      <c r="D5960" s="1" t="str">
        <f t="shared" si="1173"/>
        <v>9801</v>
      </c>
      <c r="E5960" s="1" t="s">
        <v>25</v>
      </c>
      <c r="F5960" s="1" t="str">
        <f>"7311161066001926"</f>
        <v>7311161066001926</v>
      </c>
      <c r="G5960" s="1" t="s">
        <v>33</v>
      </c>
      <c r="H5960" s="1" t="str">
        <f t="shared" si="1172"/>
        <v>20220929</v>
      </c>
      <c r="I5960" s="1" t="str">
        <f>"083325"</f>
        <v>083325</v>
      </c>
      <c r="J5960" s="1" t="s">
        <v>27</v>
      </c>
      <c r="K5960" s="1" t="s">
        <v>28</v>
      </c>
      <c r="L5960" s="1" t="str">
        <f t="shared" si="1169"/>
        <v>20220929</v>
      </c>
      <c r="M5960" s="1" t="str">
        <f>"085553"</f>
        <v>085553</v>
      </c>
      <c r="N5960" s="1" t="s">
        <v>44</v>
      </c>
      <c r="O5960" s="1" t="s">
        <v>45</v>
      </c>
      <c r="P5960" s="1" t="s">
        <v>55</v>
      </c>
      <c r="Q5960" s="1">
        <v>25</v>
      </c>
      <c r="R5960" s="1">
        <v>25</v>
      </c>
      <c r="S5960" s="1">
        <v>0</v>
      </c>
      <c r="T5960" s="1">
        <v>0</v>
      </c>
      <c r="U5960" s="1">
        <v>0</v>
      </c>
      <c r="V5960" s="1" t="str">
        <f t="shared" ref="V5960:V5965" si="1176">"里程去程"</f>
        <v>里程去程</v>
      </c>
      <c r="W5960" s="1" t="str">
        <f>"333B"</f>
        <v>333B</v>
      </c>
      <c r="X5960" s="1" t="s">
        <v>109</v>
      </c>
    </row>
    <row r="5961" spans="1:24" x14ac:dyDescent="0.3">
      <c r="A5961" s="1" t="str">
        <f t="shared" si="1175"/>
        <v>59828</v>
      </c>
      <c r="B5961" s="1" t="s">
        <v>23</v>
      </c>
      <c r="C5961" s="1" t="s">
        <v>24</v>
      </c>
      <c r="D5961" s="1" t="str">
        <f t="shared" si="1173"/>
        <v>9801</v>
      </c>
      <c r="E5961" s="1" t="s">
        <v>25</v>
      </c>
      <c r="F5961" s="1" t="str">
        <f>"999472933"</f>
        <v>999472933</v>
      </c>
      <c r="G5961" s="1" t="s">
        <v>33</v>
      </c>
      <c r="H5961" s="1" t="str">
        <f t="shared" si="1172"/>
        <v>20220929</v>
      </c>
      <c r="I5961" s="1" t="str">
        <f>"083328"</f>
        <v>083328</v>
      </c>
      <c r="J5961" s="1" t="s">
        <v>27</v>
      </c>
      <c r="K5961" s="1" t="s">
        <v>28</v>
      </c>
      <c r="L5961" s="1" t="str">
        <f t="shared" si="1169"/>
        <v>20220929</v>
      </c>
      <c r="M5961" s="1" t="str">
        <f>"085557"</f>
        <v>085557</v>
      </c>
      <c r="N5961" s="1" t="s">
        <v>44</v>
      </c>
      <c r="O5961" s="1" t="s">
        <v>45</v>
      </c>
      <c r="P5961" s="1" t="s">
        <v>55</v>
      </c>
      <c r="Q5961" s="1">
        <v>25</v>
      </c>
      <c r="R5961" s="1">
        <v>25</v>
      </c>
      <c r="S5961" s="1">
        <v>0</v>
      </c>
      <c r="T5961" s="1">
        <v>0</v>
      </c>
      <c r="U5961" s="1">
        <v>0</v>
      </c>
      <c r="V5961" s="1" t="str">
        <f t="shared" si="1176"/>
        <v>里程去程</v>
      </c>
      <c r="W5961" s="1" t="str">
        <f>"2120"</f>
        <v>2120</v>
      </c>
      <c r="X5961" s="1" t="s">
        <v>35</v>
      </c>
    </row>
    <row r="5962" spans="1:24" x14ac:dyDescent="0.3">
      <c r="A5962" s="1" t="str">
        <f t="shared" si="1175"/>
        <v>59828</v>
      </c>
      <c r="B5962" s="1" t="s">
        <v>23</v>
      </c>
      <c r="C5962" s="1" t="s">
        <v>24</v>
      </c>
      <c r="D5962" s="1" t="str">
        <f t="shared" si="1173"/>
        <v>9801</v>
      </c>
      <c r="E5962" s="1" t="s">
        <v>25</v>
      </c>
      <c r="F5962" s="1" t="str">
        <f>"C112914406280400F700000000000000"</f>
        <v>C112914406280400F700000000000000</v>
      </c>
      <c r="G5962" s="1" t="s">
        <v>58</v>
      </c>
      <c r="H5962" s="1" t="str">
        <f t="shared" si="1172"/>
        <v>20220929</v>
      </c>
      <c r="I5962" s="1" t="str">
        <f>"083354"</f>
        <v>083354</v>
      </c>
      <c r="J5962" s="1" t="s">
        <v>27</v>
      </c>
      <c r="K5962" s="1" t="s">
        <v>28</v>
      </c>
      <c r="L5962" s="1" t="str">
        <f t="shared" si="1169"/>
        <v>20220929</v>
      </c>
      <c r="M5962" s="1" t="str">
        <f>"085548"</f>
        <v>085548</v>
      </c>
      <c r="N5962" s="1" t="s">
        <v>44</v>
      </c>
      <c r="O5962" s="1" t="s">
        <v>45</v>
      </c>
      <c r="P5962" s="1" t="s">
        <v>55</v>
      </c>
      <c r="Q5962" s="1">
        <v>25</v>
      </c>
      <c r="R5962" s="1">
        <v>25</v>
      </c>
      <c r="S5962" s="1">
        <v>0</v>
      </c>
      <c r="T5962" s="1">
        <v>0</v>
      </c>
      <c r="U5962" s="1">
        <v>0</v>
      </c>
      <c r="V5962" s="1" t="str">
        <f t="shared" si="1176"/>
        <v>里程去程</v>
      </c>
      <c r="W5962" s="1" t="str">
        <f>"0020"</f>
        <v>0020</v>
      </c>
      <c r="X5962" s="1" t="s">
        <v>29</v>
      </c>
    </row>
    <row r="5963" spans="1:24" x14ac:dyDescent="0.3">
      <c r="A5963" s="1" t="str">
        <f t="shared" si="1175"/>
        <v>59828</v>
      </c>
      <c r="B5963" s="1" t="s">
        <v>23</v>
      </c>
      <c r="C5963" s="1" t="s">
        <v>24</v>
      </c>
      <c r="D5963" s="1" t="str">
        <f t="shared" si="1173"/>
        <v>9801</v>
      </c>
      <c r="E5963" s="1" t="s">
        <v>25</v>
      </c>
      <c r="F5963" s="1" t="str">
        <f>"1404578225"</f>
        <v>1404578225</v>
      </c>
      <c r="G5963" s="1" t="s">
        <v>26</v>
      </c>
      <c r="H5963" s="1" t="str">
        <f t="shared" si="1172"/>
        <v>20220929</v>
      </c>
      <c r="I5963" s="1" t="str">
        <f>"093059"</f>
        <v>093059</v>
      </c>
      <c r="J5963" s="1" t="s">
        <v>27</v>
      </c>
      <c r="K5963" s="1" t="s">
        <v>28</v>
      </c>
      <c r="L5963" s="1" t="str">
        <f t="shared" si="1169"/>
        <v>20220929</v>
      </c>
      <c r="M5963" s="1" t="str">
        <f>"095550"</f>
        <v>095550</v>
      </c>
      <c r="N5963" s="1" t="s">
        <v>44</v>
      </c>
      <c r="O5963" s="1" t="s">
        <v>45</v>
      </c>
      <c r="P5963" s="1" t="s">
        <v>55</v>
      </c>
      <c r="Q5963" s="1">
        <v>13</v>
      </c>
      <c r="R5963" s="1">
        <v>0</v>
      </c>
      <c r="S5963" s="1">
        <v>13</v>
      </c>
      <c r="T5963" s="1">
        <v>0</v>
      </c>
      <c r="U5963" s="1">
        <v>0</v>
      </c>
      <c r="V5963" s="1" t="str">
        <f t="shared" si="1176"/>
        <v>里程去程</v>
      </c>
      <c r="W5963" s="1" t="str">
        <f>"0820"</f>
        <v>0820</v>
      </c>
      <c r="X5963" s="1" t="s">
        <v>35</v>
      </c>
    </row>
    <row r="5964" spans="1:24" x14ac:dyDescent="0.3">
      <c r="A5964" s="1" t="str">
        <f t="shared" si="1175"/>
        <v>59828</v>
      </c>
      <c r="B5964" s="1" t="s">
        <v>23</v>
      </c>
      <c r="C5964" s="1" t="s">
        <v>24</v>
      </c>
      <c r="D5964" s="1" t="str">
        <f t="shared" si="1173"/>
        <v>9801</v>
      </c>
      <c r="E5964" s="1" t="s">
        <v>25</v>
      </c>
      <c r="F5964" s="1" t="str">
        <f>"1279584657"</f>
        <v>1279584657</v>
      </c>
      <c r="G5964" s="1" t="s">
        <v>33</v>
      </c>
      <c r="H5964" s="1" t="str">
        <f t="shared" si="1172"/>
        <v>20220929</v>
      </c>
      <c r="I5964" s="1" t="str">
        <f>"093109"</f>
        <v>093109</v>
      </c>
      <c r="J5964" s="1" t="s">
        <v>27</v>
      </c>
      <c r="K5964" s="1" t="s">
        <v>28</v>
      </c>
      <c r="L5964" s="1" t="str">
        <f t="shared" si="1169"/>
        <v>20220929</v>
      </c>
      <c r="M5964" s="1" t="str">
        <f>"093357"</f>
        <v>093357</v>
      </c>
      <c r="N5964" s="1" t="s">
        <v>70</v>
      </c>
      <c r="O5964" s="1" t="s">
        <v>28</v>
      </c>
      <c r="P5964" s="1" t="s">
        <v>55</v>
      </c>
      <c r="Q5964" s="1">
        <v>25</v>
      </c>
      <c r="R5964" s="1">
        <v>0</v>
      </c>
      <c r="S5964" s="1">
        <v>25</v>
      </c>
      <c r="T5964" s="1">
        <v>0</v>
      </c>
      <c r="U5964" s="1">
        <v>0</v>
      </c>
      <c r="V5964" s="1" t="str">
        <f t="shared" si="1176"/>
        <v>里程去程</v>
      </c>
      <c r="W5964" s="1" t="str">
        <f>"0820"</f>
        <v>0820</v>
      </c>
      <c r="X5964" s="1" t="s">
        <v>35</v>
      </c>
    </row>
    <row r="5965" spans="1:24" x14ac:dyDescent="0.3">
      <c r="A5965" s="1" t="str">
        <f t="shared" si="1175"/>
        <v>59828</v>
      </c>
      <c r="B5965" s="1" t="s">
        <v>23</v>
      </c>
      <c r="C5965" s="1" t="s">
        <v>24</v>
      </c>
      <c r="D5965" s="1" t="str">
        <f t="shared" si="1173"/>
        <v>9801</v>
      </c>
      <c r="E5965" s="1" t="s">
        <v>25</v>
      </c>
      <c r="F5965" s="1" t="str">
        <f>"07DAC5829A88040043250D550015010F"</f>
        <v>07DAC5829A88040043250D550015010F</v>
      </c>
      <c r="G5965" s="1" t="s">
        <v>58</v>
      </c>
      <c r="H5965" s="1" t="str">
        <f t="shared" si="1172"/>
        <v>20220929</v>
      </c>
      <c r="I5965" s="1" t="str">
        <f>"093120"</f>
        <v>093120</v>
      </c>
      <c r="J5965" s="1" t="s">
        <v>27</v>
      </c>
      <c r="K5965" s="1" t="s">
        <v>28</v>
      </c>
      <c r="L5965" s="1" t="str">
        <f t="shared" ref="L5965:L5999" si="1177">"20220929"</f>
        <v>20220929</v>
      </c>
      <c r="M5965" s="1" t="str">
        <f>"094819"</f>
        <v>094819</v>
      </c>
      <c r="N5965" s="1" t="s">
        <v>56</v>
      </c>
      <c r="O5965" s="1" t="s">
        <v>45</v>
      </c>
      <c r="P5965" s="1" t="s">
        <v>55</v>
      </c>
      <c r="Q5965" s="1">
        <v>25</v>
      </c>
      <c r="R5965" s="1">
        <v>25</v>
      </c>
      <c r="S5965" s="1">
        <v>0</v>
      </c>
      <c r="T5965" s="1">
        <v>0</v>
      </c>
      <c r="U5965" s="1">
        <v>0</v>
      </c>
      <c r="V5965" s="1" t="str">
        <f t="shared" si="1176"/>
        <v>里程去程</v>
      </c>
      <c r="W5965" s="1" t="str">
        <f>"0020"</f>
        <v>0020</v>
      </c>
      <c r="X5965" s="1" t="s">
        <v>29</v>
      </c>
    </row>
    <row r="5966" spans="1:24" x14ac:dyDescent="0.3">
      <c r="A5966" s="1" t="str">
        <f t="shared" si="1175"/>
        <v>59828</v>
      </c>
      <c r="B5966" s="1" t="s">
        <v>23</v>
      </c>
      <c r="C5966" s="1" t="s">
        <v>24</v>
      </c>
      <c r="D5966" s="1" t="str">
        <f t="shared" si="1173"/>
        <v>9801</v>
      </c>
      <c r="E5966" s="1" t="s">
        <v>25</v>
      </c>
      <c r="F5966" s="1" t="str">
        <f>"021F1C1415880400C831002000000018"</f>
        <v>021F1C1415880400C831002000000018</v>
      </c>
      <c r="G5966" s="1" t="s">
        <v>26</v>
      </c>
      <c r="H5966" s="1" t="str">
        <f t="shared" si="1172"/>
        <v>20220929</v>
      </c>
      <c r="I5966" s="1" t="str">
        <f>"125252"</f>
        <v>125252</v>
      </c>
      <c r="J5966" s="1" t="s">
        <v>28</v>
      </c>
      <c r="K5966" s="1" t="s">
        <v>28</v>
      </c>
      <c r="L5966" s="1" t="str">
        <f t="shared" si="1177"/>
        <v>20220929</v>
      </c>
      <c r="M5966" s="1" t="str">
        <f>"132230"</f>
        <v>132230</v>
      </c>
      <c r="N5966" s="1" t="s">
        <v>52</v>
      </c>
      <c r="O5966" s="1" t="s">
        <v>52</v>
      </c>
      <c r="P5966" s="1" t="s">
        <v>55</v>
      </c>
      <c r="Q5966" s="1">
        <v>13</v>
      </c>
      <c r="R5966" s="1">
        <v>13</v>
      </c>
      <c r="S5966" s="1">
        <v>0</v>
      </c>
      <c r="T5966" s="1">
        <v>0</v>
      </c>
      <c r="U5966" s="1">
        <v>0</v>
      </c>
      <c r="V5966" s="1" t="str">
        <f t="shared" ref="V5966:V5974" si="1178">"里程返程"</f>
        <v>里程返程</v>
      </c>
      <c r="W5966" s="1" t="str">
        <f>"0020"</f>
        <v>0020</v>
      </c>
      <c r="X5966" s="1" t="s">
        <v>29</v>
      </c>
    </row>
    <row r="5967" spans="1:24" x14ac:dyDescent="0.3">
      <c r="A5967" s="1" t="str">
        <f t="shared" si="1175"/>
        <v>59828</v>
      </c>
      <c r="B5967" s="1" t="s">
        <v>23</v>
      </c>
      <c r="C5967" s="1" t="s">
        <v>24</v>
      </c>
      <c r="D5967" s="1" t="str">
        <f t="shared" si="1173"/>
        <v>9801</v>
      </c>
      <c r="E5967" s="1" t="s">
        <v>25</v>
      </c>
      <c r="F5967" s="1" t="str">
        <f>"E220D10211880400C834002000000015"</f>
        <v>E220D10211880400C834002000000015</v>
      </c>
      <c r="G5967" s="1" t="s">
        <v>74</v>
      </c>
      <c r="H5967" s="1" t="str">
        <f t="shared" si="1172"/>
        <v>20220929</v>
      </c>
      <c r="I5967" s="1" t="str">
        <f>"131037"</f>
        <v>131037</v>
      </c>
      <c r="J5967" s="1" t="s">
        <v>97</v>
      </c>
      <c r="K5967" s="1" t="s">
        <v>52</v>
      </c>
      <c r="L5967" s="1" t="str">
        <f t="shared" si="1177"/>
        <v>20220929</v>
      </c>
      <c r="M5967" s="1" t="str">
        <f>"131234"</f>
        <v>131234</v>
      </c>
      <c r="N5967" s="1" t="s">
        <v>65</v>
      </c>
      <c r="O5967" s="1" t="s">
        <v>52</v>
      </c>
      <c r="P5967" s="1" t="s">
        <v>68</v>
      </c>
      <c r="Q5967" s="1">
        <v>13</v>
      </c>
      <c r="R5967" s="1">
        <v>0</v>
      </c>
      <c r="S5967" s="1">
        <v>0</v>
      </c>
      <c r="T5967" s="1">
        <v>13</v>
      </c>
      <c r="U5967" s="1">
        <v>0</v>
      </c>
      <c r="V5967" s="1" t="str">
        <f t="shared" si="1178"/>
        <v>里程返程</v>
      </c>
      <c r="W5967" s="1" t="str">
        <f>"0020"</f>
        <v>0020</v>
      </c>
      <c r="X5967" s="1" t="s">
        <v>29</v>
      </c>
    </row>
    <row r="5968" spans="1:24" x14ac:dyDescent="0.3">
      <c r="A5968" s="1" t="str">
        <f t="shared" si="1175"/>
        <v>59828</v>
      </c>
      <c r="B5968" s="1" t="s">
        <v>23</v>
      </c>
      <c r="C5968" s="1" t="s">
        <v>24</v>
      </c>
      <c r="D5968" s="1" t="str">
        <f t="shared" si="1173"/>
        <v>9801</v>
      </c>
      <c r="E5968" s="1" t="s">
        <v>25</v>
      </c>
      <c r="F5968" s="1" t="str">
        <f>"1699467377"</f>
        <v>1699467377</v>
      </c>
      <c r="G5968" s="1" t="s">
        <v>33</v>
      </c>
      <c r="H5968" s="1" t="str">
        <f t="shared" si="1172"/>
        <v>20220929</v>
      </c>
      <c r="I5968" s="1" t="str">
        <f>"145146"</f>
        <v>145146</v>
      </c>
      <c r="J5968" s="1" t="s">
        <v>28</v>
      </c>
      <c r="K5968" s="1" t="s">
        <v>28</v>
      </c>
      <c r="L5968" s="1" t="str">
        <f t="shared" si="1177"/>
        <v>20220929</v>
      </c>
      <c r="M5968" s="1" t="str">
        <f>"152547"</f>
        <v>152547</v>
      </c>
      <c r="N5968" s="1" t="s">
        <v>52</v>
      </c>
      <c r="O5968" s="1" t="s">
        <v>52</v>
      </c>
      <c r="P5968" s="1" t="s">
        <v>55</v>
      </c>
      <c r="Q5968" s="1">
        <v>25</v>
      </c>
      <c r="R5968" s="1">
        <v>25</v>
      </c>
      <c r="S5968" s="1">
        <v>0</v>
      </c>
      <c r="T5968" s="1">
        <v>0</v>
      </c>
      <c r="U5968" s="1">
        <v>0</v>
      </c>
      <c r="V5968" s="1" t="str">
        <f t="shared" si="1178"/>
        <v>里程返程</v>
      </c>
      <c r="W5968" s="1" t="str">
        <f>"0120"</f>
        <v>0120</v>
      </c>
      <c r="X5968" s="1" t="s">
        <v>35</v>
      </c>
    </row>
    <row r="5969" spans="1:24" x14ac:dyDescent="0.3">
      <c r="A5969" s="1" t="str">
        <f t="shared" si="1175"/>
        <v>59828</v>
      </c>
      <c r="B5969" s="1" t="s">
        <v>23</v>
      </c>
      <c r="C5969" s="1" t="s">
        <v>24</v>
      </c>
      <c r="D5969" s="1" t="str">
        <f t="shared" si="1173"/>
        <v>9801</v>
      </c>
      <c r="E5969" s="1" t="s">
        <v>25</v>
      </c>
      <c r="F5969" s="1" t="str">
        <f>"B126CE6A332804001C00000000000000"</f>
        <v>B126CE6A332804001C00000000000000</v>
      </c>
      <c r="G5969" s="1" t="s">
        <v>58</v>
      </c>
      <c r="H5969" s="1" t="str">
        <f t="shared" si="1172"/>
        <v>20220929</v>
      </c>
      <c r="I5969" s="1" t="str">
        <f>"145918"</f>
        <v>145918</v>
      </c>
      <c r="J5969" s="1" t="s">
        <v>84</v>
      </c>
      <c r="K5969" s="1" t="s">
        <v>28</v>
      </c>
      <c r="L5969" s="1" t="str">
        <f t="shared" si="1177"/>
        <v>20220929</v>
      </c>
      <c r="M5969" s="1" t="str">
        <f>"150219"</f>
        <v>150219</v>
      </c>
      <c r="N5969" s="1" t="s">
        <v>83</v>
      </c>
      <c r="O5969" s="1" t="s">
        <v>52</v>
      </c>
      <c r="P5969" s="1" t="s">
        <v>55</v>
      </c>
      <c r="Q5969" s="1">
        <v>25</v>
      </c>
      <c r="R5969" s="1">
        <v>0</v>
      </c>
      <c r="S5969" s="1">
        <v>25</v>
      </c>
      <c r="T5969" s="1">
        <v>0</v>
      </c>
      <c r="U5969" s="1">
        <v>0</v>
      </c>
      <c r="V5969" s="1" t="str">
        <f t="shared" si="1178"/>
        <v>里程返程</v>
      </c>
      <c r="W5969" s="1" t="str">
        <f>"1120"</f>
        <v>1120</v>
      </c>
      <c r="X5969" s="1" t="s">
        <v>29</v>
      </c>
    </row>
    <row r="5970" spans="1:24" x14ac:dyDescent="0.3">
      <c r="A5970" s="1" t="str">
        <f t="shared" si="1175"/>
        <v>59828</v>
      </c>
      <c r="B5970" s="1" t="s">
        <v>23</v>
      </c>
      <c r="C5970" s="1" t="s">
        <v>24</v>
      </c>
      <c r="D5970" s="1" t="str">
        <f t="shared" si="1173"/>
        <v>9801</v>
      </c>
      <c r="E5970" s="1" t="s">
        <v>25</v>
      </c>
      <c r="F5970" s="1" t="str">
        <f>"D5C2F29B7E8804004327BBD200180B07"</f>
        <v>D5C2F29B7E8804004327BBD200180B07</v>
      </c>
      <c r="G5970" s="1" t="s">
        <v>59</v>
      </c>
      <c r="H5970" s="1" t="str">
        <f t="shared" si="1172"/>
        <v>20220929</v>
      </c>
      <c r="I5970" s="1" t="str">
        <f>"155034"</f>
        <v>155034</v>
      </c>
      <c r="J5970" s="1" t="s">
        <v>28</v>
      </c>
      <c r="K5970" s="1" t="s">
        <v>28</v>
      </c>
      <c r="L5970" s="1" t="str">
        <f t="shared" si="1177"/>
        <v>20220929</v>
      </c>
      <c r="M5970" s="1" t="str">
        <f>"160832"</f>
        <v>160832</v>
      </c>
      <c r="N5970" s="1" t="s">
        <v>69</v>
      </c>
      <c r="O5970" s="1" t="s">
        <v>52</v>
      </c>
      <c r="P5970" s="1" t="s">
        <v>55</v>
      </c>
      <c r="Q5970" s="1">
        <v>25</v>
      </c>
      <c r="R5970" s="1">
        <v>0</v>
      </c>
      <c r="S5970" s="1">
        <v>25</v>
      </c>
      <c r="T5970" s="1">
        <v>0</v>
      </c>
      <c r="U5970" s="1">
        <v>0</v>
      </c>
      <c r="V5970" s="1" t="str">
        <f t="shared" si="1178"/>
        <v>里程返程</v>
      </c>
      <c r="W5970" s="1" t="str">
        <f>"0620"</f>
        <v>0620</v>
      </c>
      <c r="X5970" s="1" t="s">
        <v>29</v>
      </c>
    </row>
    <row r="5971" spans="1:24" x14ac:dyDescent="0.3">
      <c r="A5971" s="1" t="str">
        <f t="shared" si="1175"/>
        <v>59828</v>
      </c>
      <c r="B5971" s="1" t="s">
        <v>23</v>
      </c>
      <c r="C5971" s="1" t="s">
        <v>24</v>
      </c>
      <c r="D5971" s="1" t="str">
        <f t="shared" si="1173"/>
        <v>9801</v>
      </c>
      <c r="E5971" s="1" t="s">
        <v>25</v>
      </c>
      <c r="F5971" s="1" t="str">
        <f>"82D5FB02AE880400C834002000000015"</f>
        <v>82D5FB02AE880400C834002000000015</v>
      </c>
      <c r="G5971" s="1" t="s">
        <v>26</v>
      </c>
      <c r="H5971" s="1" t="str">
        <f t="shared" si="1172"/>
        <v>20220929</v>
      </c>
      <c r="I5971" s="1" t="str">
        <f>"161731"</f>
        <v>161731</v>
      </c>
      <c r="J5971" s="1" t="s">
        <v>72</v>
      </c>
      <c r="K5971" s="1" t="s">
        <v>52</v>
      </c>
      <c r="L5971" s="1" t="str">
        <f t="shared" si="1177"/>
        <v>20220929</v>
      </c>
      <c r="M5971" s="1" t="str">
        <f>"162120"</f>
        <v>162120</v>
      </c>
      <c r="N5971" s="1" t="s">
        <v>51</v>
      </c>
      <c r="O5971" s="1" t="s">
        <v>52</v>
      </c>
      <c r="P5971" s="1" t="s">
        <v>68</v>
      </c>
      <c r="Q5971" s="1">
        <v>13</v>
      </c>
      <c r="R5971" s="1">
        <v>0</v>
      </c>
      <c r="S5971" s="1">
        <v>0</v>
      </c>
      <c r="T5971" s="1">
        <v>13</v>
      </c>
      <c r="U5971" s="1">
        <v>0</v>
      </c>
      <c r="V5971" s="1" t="str">
        <f t="shared" si="1178"/>
        <v>里程返程</v>
      </c>
      <c r="W5971" s="1" t="str">
        <f>"0020"</f>
        <v>0020</v>
      </c>
      <c r="X5971" s="1" t="s">
        <v>29</v>
      </c>
    </row>
    <row r="5972" spans="1:24" x14ac:dyDescent="0.3">
      <c r="A5972" s="1" t="str">
        <f t="shared" si="1175"/>
        <v>59828</v>
      </c>
      <c r="B5972" s="1" t="s">
        <v>23</v>
      </c>
      <c r="C5972" s="1" t="s">
        <v>24</v>
      </c>
      <c r="D5972" s="1" t="str">
        <f t="shared" si="1173"/>
        <v>9801</v>
      </c>
      <c r="E5972" s="1" t="s">
        <v>25</v>
      </c>
      <c r="F5972" s="1" t="str">
        <f>"7227E702B0880400C834002000000015"</f>
        <v>7227E702B0880400C834002000000015</v>
      </c>
      <c r="G5972" s="1" t="s">
        <v>74</v>
      </c>
      <c r="H5972" s="1" t="str">
        <f t="shared" si="1172"/>
        <v>20220929</v>
      </c>
      <c r="I5972" s="1" t="str">
        <f>"161915"</f>
        <v>161915</v>
      </c>
      <c r="J5972" s="1" t="s">
        <v>71</v>
      </c>
      <c r="K5972" s="1" t="s">
        <v>52</v>
      </c>
      <c r="L5972" s="1" t="str">
        <f t="shared" si="1177"/>
        <v>20220929</v>
      </c>
      <c r="M5972" s="1" t="str">
        <f>"162705"</f>
        <v>162705</v>
      </c>
      <c r="N5972" s="1" t="s">
        <v>52</v>
      </c>
      <c r="O5972" s="1" t="s">
        <v>52</v>
      </c>
      <c r="P5972" s="1" t="s">
        <v>68</v>
      </c>
      <c r="Q5972" s="1">
        <v>13</v>
      </c>
      <c r="R5972" s="1">
        <v>0</v>
      </c>
      <c r="S5972" s="1">
        <v>0</v>
      </c>
      <c r="T5972" s="1">
        <v>13</v>
      </c>
      <c r="U5972" s="1">
        <v>0</v>
      </c>
      <c r="V5972" s="1" t="str">
        <f t="shared" si="1178"/>
        <v>里程返程</v>
      </c>
      <c r="W5972" s="1" t="str">
        <f>"0020"</f>
        <v>0020</v>
      </c>
      <c r="X5972" s="1" t="s">
        <v>29</v>
      </c>
    </row>
    <row r="5973" spans="1:24" x14ac:dyDescent="0.3">
      <c r="A5973" s="1" t="str">
        <f t="shared" si="1175"/>
        <v>59828</v>
      </c>
      <c r="B5973" s="1" t="s">
        <v>23</v>
      </c>
      <c r="C5973" s="1" t="s">
        <v>24</v>
      </c>
      <c r="D5973" s="1" t="str">
        <f t="shared" si="1173"/>
        <v>9801</v>
      </c>
      <c r="E5973" s="1" t="s">
        <v>25</v>
      </c>
      <c r="F5973" s="1" t="str">
        <f>"1695105317"</f>
        <v>1695105317</v>
      </c>
      <c r="G5973" s="1" t="s">
        <v>33</v>
      </c>
      <c r="H5973" s="1" t="str">
        <f t="shared" si="1172"/>
        <v>20220929</v>
      </c>
      <c r="I5973" s="1" t="str">
        <f>"162811"</f>
        <v>162811</v>
      </c>
      <c r="J5973" s="1" t="s">
        <v>44</v>
      </c>
      <c r="K5973" s="1" t="s">
        <v>45</v>
      </c>
      <c r="L5973" s="1" t="str">
        <f t="shared" si="1177"/>
        <v>20220929</v>
      </c>
      <c r="M5973" s="1" t="str">
        <f>"164955"</f>
        <v>164955</v>
      </c>
      <c r="N5973" s="1" t="s">
        <v>28</v>
      </c>
      <c r="O5973" s="1" t="s">
        <v>28</v>
      </c>
      <c r="P5973" s="1" t="s">
        <v>55</v>
      </c>
      <c r="Q5973" s="1">
        <v>25</v>
      </c>
      <c r="R5973" s="1">
        <v>25</v>
      </c>
      <c r="S5973" s="1">
        <v>0</v>
      </c>
      <c r="T5973" s="1">
        <v>0</v>
      </c>
      <c r="U5973" s="1">
        <v>0</v>
      </c>
      <c r="V5973" s="1" t="str">
        <f t="shared" si="1178"/>
        <v>里程返程</v>
      </c>
      <c r="W5973" s="1" t="str">
        <f>"2020"</f>
        <v>2020</v>
      </c>
      <c r="X5973" s="1" t="s">
        <v>35</v>
      </c>
    </row>
    <row r="5974" spans="1:24" x14ac:dyDescent="0.3">
      <c r="A5974" s="1" t="str">
        <f t="shared" si="1175"/>
        <v>59828</v>
      </c>
      <c r="B5974" s="1" t="s">
        <v>23</v>
      </c>
      <c r="C5974" s="1" t="s">
        <v>24</v>
      </c>
      <c r="D5974" s="1" t="str">
        <f t="shared" si="1173"/>
        <v>9801</v>
      </c>
      <c r="E5974" s="1" t="s">
        <v>25</v>
      </c>
      <c r="F5974" s="1" t="str">
        <f>"C2C0BD02BD880400C834002000000015"</f>
        <v>C2C0BD02BD880400C834002000000015</v>
      </c>
      <c r="G5974" s="1" t="s">
        <v>74</v>
      </c>
      <c r="H5974" s="1" t="str">
        <f t="shared" si="1172"/>
        <v>20220929</v>
      </c>
      <c r="I5974" s="1" t="str">
        <f>"165618"</f>
        <v>165618</v>
      </c>
      <c r="J5974" s="1" t="s">
        <v>41</v>
      </c>
      <c r="K5974" s="1" t="s">
        <v>28</v>
      </c>
      <c r="L5974" s="1" t="str">
        <f t="shared" si="1177"/>
        <v>20220929</v>
      </c>
      <c r="M5974" s="1" t="str">
        <f>"170405"</f>
        <v>170405</v>
      </c>
      <c r="N5974" s="1" t="s">
        <v>67</v>
      </c>
      <c r="O5974" s="1" t="s">
        <v>52</v>
      </c>
      <c r="P5974" s="1" t="s">
        <v>68</v>
      </c>
      <c r="Q5974" s="1">
        <v>13</v>
      </c>
      <c r="R5974" s="1">
        <v>0</v>
      </c>
      <c r="S5974" s="1">
        <v>0</v>
      </c>
      <c r="T5974" s="1">
        <v>13</v>
      </c>
      <c r="U5974" s="1">
        <v>0</v>
      </c>
      <c r="V5974" s="1" t="str">
        <f t="shared" si="1178"/>
        <v>里程返程</v>
      </c>
      <c r="W5974" s="1" t="str">
        <f>"0020"</f>
        <v>0020</v>
      </c>
      <c r="X5974" s="1" t="s">
        <v>29</v>
      </c>
    </row>
    <row r="5975" spans="1:24" x14ac:dyDescent="0.3">
      <c r="A5975" s="1" t="str">
        <f t="shared" ref="A5975:A5999" si="1179">"59829"</f>
        <v>59829</v>
      </c>
      <c r="B5975" s="1" t="s">
        <v>47</v>
      </c>
      <c r="C5975" s="1" t="s">
        <v>48</v>
      </c>
      <c r="D5975" s="1" t="str">
        <f>"9805"</f>
        <v>9805</v>
      </c>
      <c r="E5975" s="1" t="s">
        <v>57</v>
      </c>
      <c r="F5975" s="1" t="str">
        <f>"904946181"</f>
        <v>904946181</v>
      </c>
      <c r="G5975" s="1" t="s">
        <v>33</v>
      </c>
      <c r="H5975" s="1" t="str">
        <f t="shared" si="1172"/>
        <v>20220929</v>
      </c>
      <c r="I5975" s="1" t="str">
        <f>"104101"</f>
        <v>104101</v>
      </c>
      <c r="J5975" s="1" t="s">
        <v>28</v>
      </c>
      <c r="K5975" s="1" t="s">
        <v>28</v>
      </c>
      <c r="L5975" s="1" t="str">
        <f t="shared" si="1177"/>
        <v>20220929</v>
      </c>
      <c r="M5975" s="1" t="str">
        <f>"105521"</f>
        <v>105521</v>
      </c>
      <c r="N5975" s="1" t="s">
        <v>62</v>
      </c>
      <c r="O5975" s="1" t="s">
        <v>28</v>
      </c>
      <c r="P5975" s="1" t="s">
        <v>55</v>
      </c>
      <c r="Q5975" s="1">
        <v>25</v>
      </c>
      <c r="R5975" s="1">
        <v>25</v>
      </c>
      <c r="S5975" s="1">
        <v>0</v>
      </c>
      <c r="T5975" s="1">
        <v>0</v>
      </c>
      <c r="U5975" s="1">
        <v>0</v>
      </c>
      <c r="V5975" s="1" t="str">
        <f t="shared" ref="V5975:V5989" si="1180">"里程去程"</f>
        <v>里程去程</v>
      </c>
      <c r="W5975" s="1" t="str">
        <f>"2020"</f>
        <v>2020</v>
      </c>
      <c r="X5975" s="1" t="s">
        <v>35</v>
      </c>
    </row>
    <row r="5976" spans="1:24" x14ac:dyDescent="0.3">
      <c r="A5976" s="1" t="str">
        <f t="shared" si="1179"/>
        <v>59829</v>
      </c>
      <c r="B5976" s="1" t="s">
        <v>47</v>
      </c>
      <c r="C5976" s="1" t="s">
        <v>48</v>
      </c>
      <c r="D5976" s="1" t="str">
        <f>"9805"</f>
        <v>9805</v>
      </c>
      <c r="E5976" s="1" t="s">
        <v>57</v>
      </c>
      <c r="F5976" s="1" t="str">
        <f>"F29BD102BA880400C834002000000015"</f>
        <v>F29BD102BA880400C834002000000015</v>
      </c>
      <c r="G5976" s="1" t="s">
        <v>26</v>
      </c>
      <c r="H5976" s="1" t="str">
        <f t="shared" si="1172"/>
        <v>20220929</v>
      </c>
      <c r="I5976" s="1" t="str">
        <f>"104103"</f>
        <v>104103</v>
      </c>
      <c r="J5976" s="1" t="s">
        <v>28</v>
      </c>
      <c r="K5976" s="1" t="s">
        <v>28</v>
      </c>
      <c r="L5976" s="1" t="str">
        <f t="shared" si="1177"/>
        <v>20220929</v>
      </c>
      <c r="M5976" s="1" t="str">
        <f>"105459"</f>
        <v>105459</v>
      </c>
      <c r="N5976" s="1" t="s">
        <v>62</v>
      </c>
      <c r="O5976" s="1" t="s">
        <v>28</v>
      </c>
      <c r="P5976" s="1" t="s">
        <v>68</v>
      </c>
      <c r="Q5976" s="1">
        <v>13</v>
      </c>
      <c r="R5976" s="1">
        <v>0</v>
      </c>
      <c r="S5976" s="1">
        <v>0</v>
      </c>
      <c r="T5976" s="1">
        <v>13</v>
      </c>
      <c r="U5976" s="1">
        <v>0</v>
      </c>
      <c r="V5976" s="1" t="str">
        <f t="shared" si="1180"/>
        <v>里程去程</v>
      </c>
      <c r="W5976" s="1" t="str">
        <f>"0020"</f>
        <v>0020</v>
      </c>
      <c r="X5976" s="1" t="s">
        <v>29</v>
      </c>
    </row>
    <row r="5977" spans="1:24" x14ac:dyDescent="0.3">
      <c r="A5977" s="1" t="str">
        <f t="shared" si="1179"/>
        <v>59829</v>
      </c>
      <c r="B5977" s="1" t="s">
        <v>47</v>
      </c>
      <c r="C5977" s="1" t="s">
        <v>48</v>
      </c>
      <c r="D5977" s="1" t="str">
        <f t="shared" ref="D5977:D5999" si="1181">"9801"</f>
        <v>9801</v>
      </c>
      <c r="E5977" s="1" t="s">
        <v>25</v>
      </c>
      <c r="F5977" s="1" t="str">
        <f>"1279584657"</f>
        <v>1279584657</v>
      </c>
      <c r="G5977" s="1" t="s">
        <v>33</v>
      </c>
      <c r="H5977" s="1" t="str">
        <f t="shared" si="1172"/>
        <v>20220929</v>
      </c>
      <c r="I5977" s="1" t="str">
        <f>"122024"</f>
        <v>122024</v>
      </c>
      <c r="J5977" s="1" t="s">
        <v>80</v>
      </c>
      <c r="K5977" s="1" t="s">
        <v>52</v>
      </c>
      <c r="L5977" s="1" t="str">
        <f t="shared" si="1177"/>
        <v>20220929</v>
      </c>
      <c r="M5977" s="1" t="str">
        <f>"123629"</f>
        <v>123629</v>
      </c>
      <c r="N5977" s="1" t="s">
        <v>70</v>
      </c>
      <c r="O5977" s="1" t="s">
        <v>28</v>
      </c>
      <c r="P5977" s="1" t="s">
        <v>55</v>
      </c>
      <c r="Q5977" s="1">
        <v>25</v>
      </c>
      <c r="R5977" s="1">
        <v>25</v>
      </c>
      <c r="S5977" s="1">
        <v>0</v>
      </c>
      <c r="T5977" s="1">
        <v>0</v>
      </c>
      <c r="U5977" s="1">
        <v>0</v>
      </c>
      <c r="V5977" s="1" t="str">
        <f t="shared" si="1180"/>
        <v>里程去程</v>
      </c>
      <c r="W5977" s="1" t="str">
        <f>"2020"</f>
        <v>2020</v>
      </c>
      <c r="X5977" s="1" t="s">
        <v>35</v>
      </c>
    </row>
    <row r="5978" spans="1:24" x14ac:dyDescent="0.3">
      <c r="A5978" s="1" t="str">
        <f t="shared" si="1179"/>
        <v>59829</v>
      </c>
      <c r="B5978" s="1" t="s">
        <v>47</v>
      </c>
      <c r="C5978" s="1" t="s">
        <v>48</v>
      </c>
      <c r="D5978" s="1" t="str">
        <f t="shared" si="1181"/>
        <v>9801</v>
      </c>
      <c r="E5978" s="1" t="s">
        <v>25</v>
      </c>
      <c r="F5978" s="1" t="str">
        <f>"3966369949"</f>
        <v>3966369949</v>
      </c>
      <c r="G5978" s="1" t="s">
        <v>33</v>
      </c>
      <c r="H5978" s="1" t="str">
        <f t="shared" ref="H5978:H5999" si="1182">"20220929"</f>
        <v>20220929</v>
      </c>
      <c r="I5978" s="1" t="str">
        <f>"122031"</f>
        <v>122031</v>
      </c>
      <c r="J5978" s="1" t="s">
        <v>80</v>
      </c>
      <c r="K5978" s="1" t="s">
        <v>52</v>
      </c>
      <c r="L5978" s="1" t="str">
        <f t="shared" si="1177"/>
        <v>20220929</v>
      </c>
      <c r="M5978" s="1" t="str">
        <f>"123625"</f>
        <v>123625</v>
      </c>
      <c r="N5978" s="1" t="s">
        <v>70</v>
      </c>
      <c r="O5978" s="1" t="s">
        <v>28</v>
      </c>
      <c r="P5978" s="1" t="s">
        <v>55</v>
      </c>
      <c r="Q5978" s="1">
        <v>25</v>
      </c>
      <c r="R5978" s="1">
        <v>25</v>
      </c>
      <c r="S5978" s="1">
        <v>0</v>
      </c>
      <c r="T5978" s="1">
        <v>0</v>
      </c>
      <c r="U5978" s="1">
        <v>0</v>
      </c>
      <c r="V5978" s="1" t="str">
        <f t="shared" si="1180"/>
        <v>里程去程</v>
      </c>
      <c r="W5978" s="1" t="str">
        <f>"2120"</f>
        <v>2120</v>
      </c>
      <c r="X5978" s="1" t="s">
        <v>35</v>
      </c>
    </row>
    <row r="5979" spans="1:24" x14ac:dyDescent="0.3">
      <c r="A5979" s="1" t="str">
        <f t="shared" si="1179"/>
        <v>59829</v>
      </c>
      <c r="B5979" s="1" t="s">
        <v>47</v>
      </c>
      <c r="C5979" s="1" t="s">
        <v>48</v>
      </c>
      <c r="D5979" s="1" t="str">
        <f t="shared" si="1181"/>
        <v>9801</v>
      </c>
      <c r="E5979" s="1" t="s">
        <v>25</v>
      </c>
      <c r="F5979" s="1" t="str">
        <f>"87AB983A8E280400F700000000000000"</f>
        <v>87AB983A8E280400F700000000000000</v>
      </c>
      <c r="G5979" s="1" t="s">
        <v>58</v>
      </c>
      <c r="H5979" s="1" t="str">
        <f t="shared" si="1182"/>
        <v>20220929</v>
      </c>
      <c r="I5979" s="1" t="str">
        <f>"122042"</f>
        <v>122042</v>
      </c>
      <c r="J5979" s="1" t="s">
        <v>80</v>
      </c>
      <c r="K5979" s="1" t="s">
        <v>52</v>
      </c>
      <c r="L5979" s="1" t="str">
        <f t="shared" si="1177"/>
        <v>20220929</v>
      </c>
      <c r="M5979" s="1" t="str">
        <f>"123632"</f>
        <v>123632</v>
      </c>
      <c r="N5979" s="1" t="s">
        <v>70</v>
      </c>
      <c r="O5979" s="1" t="s">
        <v>28</v>
      </c>
      <c r="P5979" s="1" t="s">
        <v>55</v>
      </c>
      <c r="Q5979" s="1">
        <v>25</v>
      </c>
      <c r="R5979" s="1">
        <v>25</v>
      </c>
      <c r="S5979" s="1">
        <v>0</v>
      </c>
      <c r="T5979" s="1">
        <v>0</v>
      </c>
      <c r="U5979" s="1">
        <v>0</v>
      </c>
      <c r="V5979" s="1" t="str">
        <f t="shared" si="1180"/>
        <v>里程去程</v>
      </c>
      <c r="W5979" s="1" t="str">
        <f t="shared" ref="W5979:W5988" si="1183">"0020"</f>
        <v>0020</v>
      </c>
      <c r="X5979" s="1" t="s">
        <v>29</v>
      </c>
    </row>
    <row r="5980" spans="1:24" x14ac:dyDescent="0.3">
      <c r="A5980" s="1" t="str">
        <f t="shared" si="1179"/>
        <v>59829</v>
      </c>
      <c r="B5980" s="1" t="s">
        <v>47</v>
      </c>
      <c r="C5980" s="1" t="s">
        <v>48</v>
      </c>
      <c r="D5980" s="1" t="str">
        <f t="shared" si="1181"/>
        <v>9801</v>
      </c>
      <c r="E5980" s="1" t="s">
        <v>25</v>
      </c>
      <c r="F5980" s="1" t="str">
        <f>"8227D00277880400C834002000000015"</f>
        <v>8227D00277880400C834002000000015</v>
      </c>
      <c r="G5980" s="1" t="s">
        <v>26</v>
      </c>
      <c r="H5980" s="1" t="str">
        <f t="shared" si="1182"/>
        <v>20220929</v>
      </c>
      <c r="I5980" s="1" t="str">
        <f>"122638"</f>
        <v>122638</v>
      </c>
      <c r="J5980" s="1" t="s">
        <v>78</v>
      </c>
      <c r="K5980" s="1" t="s">
        <v>52</v>
      </c>
      <c r="L5980" s="1" t="str">
        <f t="shared" si="1177"/>
        <v>20220929</v>
      </c>
      <c r="M5980" s="1" t="str">
        <f>"123621"</f>
        <v>123621</v>
      </c>
      <c r="N5980" s="1" t="s">
        <v>70</v>
      </c>
      <c r="O5980" s="1" t="s">
        <v>28</v>
      </c>
      <c r="P5980" s="1" t="s">
        <v>68</v>
      </c>
      <c r="Q5980" s="1">
        <v>13</v>
      </c>
      <c r="R5980" s="1">
        <v>0</v>
      </c>
      <c r="S5980" s="1">
        <v>0</v>
      </c>
      <c r="T5980" s="1">
        <v>13</v>
      </c>
      <c r="U5980" s="1">
        <v>0</v>
      </c>
      <c r="V5980" s="1" t="str">
        <f t="shared" si="1180"/>
        <v>里程去程</v>
      </c>
      <c r="W5980" s="1" t="str">
        <f t="shared" si="1183"/>
        <v>0020</v>
      </c>
      <c r="X5980" s="1" t="s">
        <v>29</v>
      </c>
    </row>
    <row r="5981" spans="1:24" x14ac:dyDescent="0.3">
      <c r="A5981" s="1" t="str">
        <f t="shared" si="1179"/>
        <v>59829</v>
      </c>
      <c r="B5981" s="1" t="s">
        <v>47</v>
      </c>
      <c r="C5981" s="1" t="s">
        <v>48</v>
      </c>
      <c r="D5981" s="1" t="str">
        <f t="shared" si="1181"/>
        <v>9801</v>
      </c>
      <c r="E5981" s="1" t="s">
        <v>25</v>
      </c>
      <c r="F5981" s="1" t="str">
        <f>"82D5FB02AE880400C834002000000015"</f>
        <v>82D5FB02AE880400C834002000000015</v>
      </c>
      <c r="G5981" s="1" t="s">
        <v>26</v>
      </c>
      <c r="H5981" s="1" t="str">
        <f t="shared" si="1182"/>
        <v>20220929</v>
      </c>
      <c r="I5981" s="1" t="str">
        <f>"130801"</f>
        <v>130801</v>
      </c>
      <c r="J5981" s="1" t="s">
        <v>51</v>
      </c>
      <c r="K5981" s="1" t="s">
        <v>52</v>
      </c>
      <c r="L5981" s="1" t="str">
        <f t="shared" si="1177"/>
        <v>20220929</v>
      </c>
      <c r="M5981" s="1" t="str">
        <f>"131232"</f>
        <v>131232</v>
      </c>
      <c r="N5981" s="1" t="s">
        <v>65</v>
      </c>
      <c r="O5981" s="1" t="s">
        <v>52</v>
      </c>
      <c r="P5981" s="1" t="s">
        <v>68</v>
      </c>
      <c r="Q5981" s="1">
        <v>13</v>
      </c>
      <c r="R5981" s="1">
        <v>0</v>
      </c>
      <c r="S5981" s="1">
        <v>0</v>
      </c>
      <c r="T5981" s="1">
        <v>13</v>
      </c>
      <c r="U5981" s="1">
        <v>0</v>
      </c>
      <c r="V5981" s="1" t="str">
        <f t="shared" si="1180"/>
        <v>里程去程</v>
      </c>
      <c r="W5981" s="1" t="str">
        <f t="shared" si="1183"/>
        <v>0020</v>
      </c>
      <c r="X5981" s="1" t="s">
        <v>29</v>
      </c>
    </row>
    <row r="5982" spans="1:24" x14ac:dyDescent="0.3">
      <c r="A5982" s="1" t="str">
        <f t="shared" si="1179"/>
        <v>59829</v>
      </c>
      <c r="B5982" s="1" t="s">
        <v>47</v>
      </c>
      <c r="C5982" s="1" t="s">
        <v>48</v>
      </c>
      <c r="D5982" s="1" t="str">
        <f t="shared" si="1181"/>
        <v>9801</v>
      </c>
      <c r="E5982" s="1" t="s">
        <v>25</v>
      </c>
      <c r="F5982" s="1" t="str">
        <f>"F27CE6026A880400C834002000000015"</f>
        <v>F27CE6026A880400C834002000000015</v>
      </c>
      <c r="G5982" s="1" t="s">
        <v>74</v>
      </c>
      <c r="H5982" s="1" t="str">
        <f t="shared" si="1182"/>
        <v>20220929</v>
      </c>
      <c r="I5982" s="1" t="str">
        <f>"145645"</f>
        <v>145645</v>
      </c>
      <c r="J5982" s="1" t="s">
        <v>52</v>
      </c>
      <c r="K5982" s="1" t="s">
        <v>52</v>
      </c>
      <c r="L5982" s="1" t="str">
        <f t="shared" si="1177"/>
        <v>20220929</v>
      </c>
      <c r="M5982" s="1" t="str">
        <f>"150543"</f>
        <v>150543</v>
      </c>
      <c r="N5982" s="1" t="s">
        <v>60</v>
      </c>
      <c r="O5982" s="1" t="s">
        <v>52</v>
      </c>
      <c r="P5982" s="1" t="s">
        <v>68</v>
      </c>
      <c r="Q5982" s="1">
        <v>13</v>
      </c>
      <c r="R5982" s="1">
        <v>0</v>
      </c>
      <c r="S5982" s="1">
        <v>0</v>
      </c>
      <c r="T5982" s="1">
        <v>13</v>
      </c>
      <c r="U5982" s="1">
        <v>0</v>
      </c>
      <c r="V5982" s="1" t="str">
        <f t="shared" si="1180"/>
        <v>里程去程</v>
      </c>
      <c r="W5982" s="1" t="str">
        <f t="shared" si="1183"/>
        <v>0020</v>
      </c>
      <c r="X5982" s="1" t="s">
        <v>29</v>
      </c>
    </row>
    <row r="5983" spans="1:24" x14ac:dyDescent="0.3">
      <c r="A5983" s="1" t="str">
        <f t="shared" si="1179"/>
        <v>59829</v>
      </c>
      <c r="B5983" s="1" t="s">
        <v>47</v>
      </c>
      <c r="C5983" s="1" t="s">
        <v>48</v>
      </c>
      <c r="D5983" s="1" t="str">
        <f t="shared" si="1181"/>
        <v>9801</v>
      </c>
      <c r="E5983" s="1" t="s">
        <v>25</v>
      </c>
      <c r="F5983" s="1" t="str">
        <f>"F25B1B03B1880400C834002000000015"</f>
        <v>F25B1B03B1880400C834002000000015</v>
      </c>
      <c r="G5983" s="1" t="s">
        <v>26</v>
      </c>
      <c r="H5983" s="1" t="str">
        <f t="shared" si="1182"/>
        <v>20220929</v>
      </c>
      <c r="I5983" s="1" t="str">
        <f>"150617"</f>
        <v>150617</v>
      </c>
      <c r="J5983" s="1" t="s">
        <v>60</v>
      </c>
      <c r="K5983" s="1" t="s">
        <v>52</v>
      </c>
      <c r="L5983" s="1" t="str">
        <f t="shared" si="1177"/>
        <v>20220929</v>
      </c>
      <c r="M5983" s="1" t="str">
        <f>"153542"</f>
        <v>153542</v>
      </c>
      <c r="N5983" s="1" t="s">
        <v>70</v>
      </c>
      <c r="O5983" s="1" t="s">
        <v>28</v>
      </c>
      <c r="P5983" s="1" t="s">
        <v>68</v>
      </c>
      <c r="Q5983" s="1">
        <v>13</v>
      </c>
      <c r="R5983" s="1">
        <v>0</v>
      </c>
      <c r="S5983" s="1">
        <v>0</v>
      </c>
      <c r="T5983" s="1">
        <v>13</v>
      </c>
      <c r="U5983" s="1">
        <v>0</v>
      </c>
      <c r="V5983" s="1" t="str">
        <f t="shared" si="1180"/>
        <v>里程去程</v>
      </c>
      <c r="W5983" s="1" t="str">
        <f t="shared" si="1183"/>
        <v>0020</v>
      </c>
      <c r="X5983" s="1" t="s">
        <v>29</v>
      </c>
    </row>
    <row r="5984" spans="1:24" x14ac:dyDescent="0.3">
      <c r="A5984" s="1" t="str">
        <f t="shared" si="1179"/>
        <v>59829</v>
      </c>
      <c r="B5984" s="1" t="s">
        <v>47</v>
      </c>
      <c r="C5984" s="1" t="s">
        <v>48</v>
      </c>
      <c r="D5984" s="1" t="str">
        <f t="shared" si="1181"/>
        <v>9801</v>
      </c>
      <c r="E5984" s="1" t="s">
        <v>25</v>
      </c>
      <c r="F5984" s="1" t="str">
        <f>"C2C0BD02BD880400C834002000000015"</f>
        <v>C2C0BD02BD880400C834002000000015</v>
      </c>
      <c r="G5984" s="1" t="s">
        <v>74</v>
      </c>
      <c r="H5984" s="1" t="str">
        <f t="shared" si="1182"/>
        <v>20220929</v>
      </c>
      <c r="I5984" s="1" t="str">
        <f>"152554"</f>
        <v>152554</v>
      </c>
      <c r="J5984" s="1" t="s">
        <v>67</v>
      </c>
      <c r="K5984" s="1" t="s">
        <v>52</v>
      </c>
      <c r="L5984" s="1" t="str">
        <f t="shared" si="1177"/>
        <v>20220929</v>
      </c>
      <c r="M5984" s="1" t="str">
        <f>"153417"</f>
        <v>153417</v>
      </c>
      <c r="N5984" s="1" t="s">
        <v>70</v>
      </c>
      <c r="O5984" s="1" t="s">
        <v>28</v>
      </c>
      <c r="P5984" s="1" t="s">
        <v>68</v>
      </c>
      <c r="Q5984" s="1">
        <v>13</v>
      </c>
      <c r="R5984" s="1">
        <v>0</v>
      </c>
      <c r="S5984" s="1">
        <v>0</v>
      </c>
      <c r="T5984" s="1">
        <v>13</v>
      </c>
      <c r="U5984" s="1">
        <v>0</v>
      </c>
      <c r="V5984" s="1" t="str">
        <f t="shared" si="1180"/>
        <v>里程去程</v>
      </c>
      <c r="W5984" s="1" t="str">
        <f t="shared" si="1183"/>
        <v>0020</v>
      </c>
      <c r="X5984" s="1" t="s">
        <v>29</v>
      </c>
    </row>
    <row r="5985" spans="1:24" x14ac:dyDescent="0.3">
      <c r="A5985" s="1" t="str">
        <f t="shared" si="1179"/>
        <v>59829</v>
      </c>
      <c r="B5985" s="1" t="s">
        <v>47</v>
      </c>
      <c r="C5985" s="1" t="s">
        <v>48</v>
      </c>
      <c r="D5985" s="1" t="str">
        <f t="shared" si="1181"/>
        <v>9801</v>
      </c>
      <c r="E5985" s="1" t="s">
        <v>25</v>
      </c>
      <c r="F5985" s="1" t="str">
        <f>"72BFE5022A880400C834002000000015"</f>
        <v>72BFE5022A880400C834002000000015</v>
      </c>
      <c r="G5985" s="1" t="s">
        <v>26</v>
      </c>
      <c r="H5985" s="1" t="str">
        <f t="shared" si="1182"/>
        <v>20220929</v>
      </c>
      <c r="I5985" s="1" t="str">
        <f>"153554"</f>
        <v>153554</v>
      </c>
      <c r="J5985" s="1" t="s">
        <v>27</v>
      </c>
      <c r="K5985" s="1" t="s">
        <v>28</v>
      </c>
      <c r="L5985" s="1" t="str">
        <f t="shared" si="1177"/>
        <v>20220929</v>
      </c>
      <c r="M5985" s="1" t="str">
        <f>"154906"</f>
        <v>154906</v>
      </c>
      <c r="N5985" s="1" t="s">
        <v>61</v>
      </c>
      <c r="O5985" s="1" t="s">
        <v>45</v>
      </c>
      <c r="P5985" s="1" t="s">
        <v>68</v>
      </c>
      <c r="Q5985" s="1">
        <v>13</v>
      </c>
      <c r="R5985" s="1">
        <v>0</v>
      </c>
      <c r="S5985" s="1">
        <v>0</v>
      </c>
      <c r="T5985" s="1">
        <v>13</v>
      </c>
      <c r="U5985" s="1">
        <v>0</v>
      </c>
      <c r="V5985" s="1" t="str">
        <f t="shared" si="1180"/>
        <v>里程去程</v>
      </c>
      <c r="W5985" s="1" t="str">
        <f t="shared" si="1183"/>
        <v>0020</v>
      </c>
      <c r="X5985" s="1" t="s">
        <v>29</v>
      </c>
    </row>
    <row r="5986" spans="1:24" x14ac:dyDescent="0.3">
      <c r="A5986" s="1" t="str">
        <f t="shared" si="1179"/>
        <v>59829</v>
      </c>
      <c r="B5986" s="1" t="s">
        <v>47</v>
      </c>
      <c r="C5986" s="1" t="s">
        <v>48</v>
      </c>
      <c r="D5986" s="1" t="str">
        <f t="shared" si="1181"/>
        <v>9801</v>
      </c>
      <c r="E5986" s="1" t="s">
        <v>25</v>
      </c>
      <c r="F5986" s="1" t="str">
        <f>"C2F219032A880400C834002000000015"</f>
        <v>C2F219032A880400C834002000000015</v>
      </c>
      <c r="G5986" s="1" t="s">
        <v>26</v>
      </c>
      <c r="H5986" s="1" t="str">
        <f t="shared" si="1182"/>
        <v>20220929</v>
      </c>
      <c r="I5986" s="1" t="str">
        <f>"160524"</f>
        <v>160524</v>
      </c>
      <c r="J5986" s="1" t="s">
        <v>86</v>
      </c>
      <c r="K5986" s="1" t="s">
        <v>52</v>
      </c>
      <c r="L5986" s="1" t="str">
        <f t="shared" si="1177"/>
        <v>20220929</v>
      </c>
      <c r="M5986" s="1" t="str">
        <f>"160950"</f>
        <v>160950</v>
      </c>
      <c r="N5986" s="1" t="s">
        <v>51</v>
      </c>
      <c r="O5986" s="1" t="s">
        <v>52</v>
      </c>
      <c r="P5986" s="1" t="s">
        <v>68</v>
      </c>
      <c r="Q5986" s="1">
        <v>13</v>
      </c>
      <c r="R5986" s="1">
        <v>0</v>
      </c>
      <c r="S5986" s="1">
        <v>0</v>
      </c>
      <c r="T5986" s="1">
        <v>13</v>
      </c>
      <c r="U5986" s="1">
        <v>0</v>
      </c>
      <c r="V5986" s="1" t="str">
        <f t="shared" si="1180"/>
        <v>里程去程</v>
      </c>
      <c r="W5986" s="1" t="str">
        <f t="shared" si="1183"/>
        <v>0020</v>
      </c>
      <c r="X5986" s="1" t="s">
        <v>29</v>
      </c>
    </row>
    <row r="5987" spans="1:24" x14ac:dyDescent="0.3">
      <c r="A5987" s="1" t="str">
        <f t="shared" si="1179"/>
        <v>59829</v>
      </c>
      <c r="B5987" s="1" t="s">
        <v>47</v>
      </c>
      <c r="C5987" s="1" t="s">
        <v>48</v>
      </c>
      <c r="D5987" s="1" t="str">
        <f t="shared" si="1181"/>
        <v>9801</v>
      </c>
      <c r="E5987" s="1" t="s">
        <v>25</v>
      </c>
      <c r="F5987" s="1" t="str">
        <f>"C2C219031A880400C834002000000015"</f>
        <v>C2C219031A880400C834002000000015</v>
      </c>
      <c r="G5987" s="1" t="s">
        <v>74</v>
      </c>
      <c r="H5987" s="1" t="str">
        <f t="shared" si="1182"/>
        <v>20220929</v>
      </c>
      <c r="I5987" s="1" t="str">
        <f>"160727"</f>
        <v>160727</v>
      </c>
      <c r="J5987" s="1" t="s">
        <v>60</v>
      </c>
      <c r="K5987" s="1" t="s">
        <v>52</v>
      </c>
      <c r="L5987" s="1" t="str">
        <f t="shared" si="1177"/>
        <v>20220929</v>
      </c>
      <c r="M5987" s="1" t="str">
        <f>"161916"</f>
        <v>161916</v>
      </c>
      <c r="N5987" s="1" t="s">
        <v>80</v>
      </c>
      <c r="O5987" s="1" t="s">
        <v>52</v>
      </c>
      <c r="P5987" s="1" t="s">
        <v>68</v>
      </c>
      <c r="Q5987" s="1">
        <v>13</v>
      </c>
      <c r="R5987" s="1">
        <v>0</v>
      </c>
      <c r="S5987" s="1">
        <v>0</v>
      </c>
      <c r="T5987" s="1">
        <v>13</v>
      </c>
      <c r="U5987" s="1">
        <v>0</v>
      </c>
      <c r="V5987" s="1" t="str">
        <f t="shared" si="1180"/>
        <v>里程去程</v>
      </c>
      <c r="W5987" s="1" t="str">
        <f t="shared" si="1183"/>
        <v>0020</v>
      </c>
      <c r="X5987" s="1" t="s">
        <v>29</v>
      </c>
    </row>
    <row r="5988" spans="1:24" x14ac:dyDescent="0.3">
      <c r="A5988" s="1" t="str">
        <f t="shared" si="1179"/>
        <v>59829</v>
      </c>
      <c r="B5988" s="1" t="s">
        <v>47</v>
      </c>
      <c r="C5988" s="1" t="s">
        <v>48</v>
      </c>
      <c r="D5988" s="1" t="str">
        <f t="shared" si="1181"/>
        <v>9801</v>
      </c>
      <c r="E5988" s="1" t="s">
        <v>25</v>
      </c>
      <c r="F5988" s="1" t="str">
        <f>"F2C64D0E77880400C806002000000018"</f>
        <v>F2C64D0E77880400C806002000000018</v>
      </c>
      <c r="G5988" s="1" t="s">
        <v>58</v>
      </c>
      <c r="H5988" s="1" t="str">
        <f t="shared" si="1182"/>
        <v>20220929</v>
      </c>
      <c r="I5988" s="1" t="str">
        <f>"160729"</f>
        <v>160729</v>
      </c>
      <c r="J5988" s="1" t="s">
        <v>60</v>
      </c>
      <c r="K5988" s="1" t="s">
        <v>52</v>
      </c>
      <c r="L5988" s="1" t="str">
        <f t="shared" si="1177"/>
        <v>20220929</v>
      </c>
      <c r="M5988" s="1" t="str">
        <f>"163504"</f>
        <v>163504</v>
      </c>
      <c r="N5988" s="1" t="s">
        <v>70</v>
      </c>
      <c r="O5988" s="1" t="s">
        <v>28</v>
      </c>
      <c r="P5988" s="1" t="s">
        <v>55</v>
      </c>
      <c r="Q5988" s="1">
        <v>25</v>
      </c>
      <c r="R5988" s="1">
        <v>25</v>
      </c>
      <c r="S5988" s="1">
        <v>0</v>
      </c>
      <c r="T5988" s="1">
        <v>0</v>
      </c>
      <c r="U5988" s="1">
        <v>0</v>
      </c>
      <c r="V5988" s="1" t="str">
        <f t="shared" si="1180"/>
        <v>里程去程</v>
      </c>
      <c r="W5988" s="1" t="str">
        <f t="shared" si="1183"/>
        <v>0020</v>
      </c>
      <c r="X5988" s="1" t="s">
        <v>29</v>
      </c>
    </row>
    <row r="5989" spans="1:24" x14ac:dyDescent="0.3">
      <c r="A5989" s="1" t="str">
        <f t="shared" si="1179"/>
        <v>59829</v>
      </c>
      <c r="B5989" s="1" t="s">
        <v>47</v>
      </c>
      <c r="C5989" s="1" t="s">
        <v>48</v>
      </c>
      <c r="D5989" s="1" t="str">
        <f t="shared" si="1181"/>
        <v>9801</v>
      </c>
      <c r="E5989" s="1" t="s">
        <v>25</v>
      </c>
      <c r="F5989" s="1" t="str">
        <f>"2620325231"</f>
        <v>2620325231</v>
      </c>
      <c r="G5989" s="1" t="s">
        <v>33</v>
      </c>
      <c r="H5989" s="1" t="str">
        <f t="shared" si="1182"/>
        <v>20220929</v>
      </c>
      <c r="I5989" s="1" t="str">
        <f>"163520"</f>
        <v>163520</v>
      </c>
      <c r="J5989" s="1" t="s">
        <v>27</v>
      </c>
      <c r="K5989" s="1" t="s">
        <v>28</v>
      </c>
      <c r="L5989" s="1" t="str">
        <f t="shared" si="1177"/>
        <v>20220929</v>
      </c>
      <c r="M5989" s="1" t="str">
        <f>"165611"</f>
        <v>165611</v>
      </c>
      <c r="N5989" s="1" t="s">
        <v>44</v>
      </c>
      <c r="O5989" s="1" t="s">
        <v>45</v>
      </c>
      <c r="P5989" s="1" t="s">
        <v>55</v>
      </c>
      <c r="Q5989" s="1">
        <v>25</v>
      </c>
      <c r="R5989" s="1">
        <v>0</v>
      </c>
      <c r="S5989" s="1">
        <v>25</v>
      </c>
      <c r="T5989" s="1">
        <v>0</v>
      </c>
      <c r="U5989" s="1">
        <v>0</v>
      </c>
      <c r="V5989" s="1" t="str">
        <f t="shared" si="1180"/>
        <v>里程去程</v>
      </c>
      <c r="W5989" s="1" t="str">
        <f>"0820"</f>
        <v>0820</v>
      </c>
      <c r="X5989" s="1" t="s">
        <v>35</v>
      </c>
    </row>
    <row r="5990" spans="1:24" x14ac:dyDescent="0.3">
      <c r="A5990" s="1" t="str">
        <f t="shared" si="1179"/>
        <v>59829</v>
      </c>
      <c r="B5990" s="1" t="s">
        <v>47</v>
      </c>
      <c r="C5990" s="1" t="s">
        <v>48</v>
      </c>
      <c r="D5990" s="1" t="str">
        <f t="shared" si="1181"/>
        <v>9801</v>
      </c>
      <c r="E5990" s="1" t="s">
        <v>25</v>
      </c>
      <c r="F5990" s="1" t="str">
        <f>"D5C2F29B7E8804004327BBD200180B07"</f>
        <v>D5C2F29B7E8804004327BBD200180B07</v>
      </c>
      <c r="G5990" s="1" t="s">
        <v>59</v>
      </c>
      <c r="H5990" s="1" t="str">
        <f t="shared" si="1182"/>
        <v>20220929</v>
      </c>
      <c r="I5990" s="1" t="str">
        <f>"172646"</f>
        <v>172646</v>
      </c>
      <c r="J5990" s="1" t="s">
        <v>44</v>
      </c>
      <c r="K5990" s="1" t="s">
        <v>45</v>
      </c>
      <c r="L5990" s="1" t="str">
        <f t="shared" si="1177"/>
        <v>20220929</v>
      </c>
      <c r="M5990" s="1" t="str">
        <f>"175616"</f>
        <v>175616</v>
      </c>
      <c r="N5990" s="1" t="s">
        <v>28</v>
      </c>
      <c r="O5990" s="1" t="s">
        <v>28</v>
      </c>
      <c r="P5990" s="1" t="s">
        <v>55</v>
      </c>
      <c r="Q5990" s="1">
        <v>25</v>
      </c>
      <c r="R5990" s="1">
        <v>25</v>
      </c>
      <c r="S5990" s="1">
        <v>0</v>
      </c>
      <c r="T5990" s="1">
        <v>0</v>
      </c>
      <c r="U5990" s="1">
        <v>0</v>
      </c>
      <c r="V5990" s="1" t="str">
        <f t="shared" ref="V5990:V5997" si="1184">"里程返程"</f>
        <v>里程返程</v>
      </c>
      <c r="W5990" s="1" t="str">
        <f t="shared" ref="W5990:W5996" si="1185">"0020"</f>
        <v>0020</v>
      </c>
      <c r="X5990" s="1" t="s">
        <v>29</v>
      </c>
    </row>
    <row r="5991" spans="1:24" x14ac:dyDescent="0.3">
      <c r="A5991" s="1" t="str">
        <f t="shared" si="1179"/>
        <v>59829</v>
      </c>
      <c r="B5991" s="1" t="s">
        <v>47</v>
      </c>
      <c r="C5991" s="1" t="s">
        <v>48</v>
      </c>
      <c r="D5991" s="1" t="str">
        <f t="shared" si="1181"/>
        <v>9801</v>
      </c>
      <c r="E5991" s="1" t="s">
        <v>25</v>
      </c>
      <c r="F5991" s="1" t="str">
        <f>"422AE7028D880400C834002000000015"</f>
        <v>422AE7028D880400C834002000000015</v>
      </c>
      <c r="G5991" s="1" t="s">
        <v>74</v>
      </c>
      <c r="H5991" s="1" t="str">
        <f t="shared" si="1182"/>
        <v>20220929</v>
      </c>
      <c r="I5991" s="1" t="str">
        <f>"172653"</f>
        <v>172653</v>
      </c>
      <c r="J5991" s="1" t="s">
        <v>44</v>
      </c>
      <c r="K5991" s="1" t="s">
        <v>45</v>
      </c>
      <c r="L5991" s="1" t="str">
        <f t="shared" si="1177"/>
        <v>20220929</v>
      </c>
      <c r="M5991" s="1" t="str">
        <f>"175652"</f>
        <v>175652</v>
      </c>
      <c r="N5991" s="1" t="s">
        <v>28</v>
      </c>
      <c r="O5991" s="1" t="s">
        <v>28</v>
      </c>
      <c r="P5991" s="1" t="s">
        <v>68</v>
      </c>
      <c r="Q5991" s="1">
        <v>13</v>
      </c>
      <c r="R5991" s="1">
        <v>0</v>
      </c>
      <c r="S5991" s="1">
        <v>0</v>
      </c>
      <c r="T5991" s="1">
        <v>13</v>
      </c>
      <c r="U5991" s="1">
        <v>0</v>
      </c>
      <c r="V5991" s="1" t="str">
        <f t="shared" si="1184"/>
        <v>里程返程</v>
      </c>
      <c r="W5991" s="1" t="str">
        <f t="shared" si="1185"/>
        <v>0020</v>
      </c>
      <c r="X5991" s="1" t="s">
        <v>29</v>
      </c>
    </row>
    <row r="5992" spans="1:24" x14ac:dyDescent="0.3">
      <c r="A5992" s="1" t="str">
        <f t="shared" si="1179"/>
        <v>59829</v>
      </c>
      <c r="B5992" s="1" t="s">
        <v>47</v>
      </c>
      <c r="C5992" s="1" t="s">
        <v>48</v>
      </c>
      <c r="D5992" s="1" t="str">
        <f t="shared" si="1181"/>
        <v>9801</v>
      </c>
      <c r="E5992" s="1" t="s">
        <v>25</v>
      </c>
      <c r="F5992" s="1" t="str">
        <f>"026A101860880400C814002000000019"</f>
        <v>026A101860880400C814002000000019</v>
      </c>
      <c r="G5992" s="1" t="s">
        <v>59</v>
      </c>
      <c r="H5992" s="1" t="str">
        <f t="shared" si="1182"/>
        <v>20220929</v>
      </c>
      <c r="I5992" s="1" t="str">
        <f>"172812"</f>
        <v>172812</v>
      </c>
      <c r="J5992" s="1" t="s">
        <v>44</v>
      </c>
      <c r="K5992" s="1" t="s">
        <v>45</v>
      </c>
      <c r="L5992" s="1" t="str">
        <f t="shared" si="1177"/>
        <v>20220929</v>
      </c>
      <c r="M5992" s="1" t="str">
        <f>"175645"</f>
        <v>175645</v>
      </c>
      <c r="N5992" s="1" t="s">
        <v>28</v>
      </c>
      <c r="O5992" s="1" t="s">
        <v>28</v>
      </c>
      <c r="P5992" s="1" t="s">
        <v>55</v>
      </c>
      <c r="Q5992" s="1">
        <v>25</v>
      </c>
      <c r="R5992" s="1">
        <v>25</v>
      </c>
      <c r="S5992" s="1">
        <v>0</v>
      </c>
      <c r="T5992" s="1">
        <v>0</v>
      </c>
      <c r="U5992" s="1">
        <v>0</v>
      </c>
      <c r="V5992" s="1" t="str">
        <f t="shared" si="1184"/>
        <v>里程返程</v>
      </c>
      <c r="W5992" s="1" t="str">
        <f t="shared" si="1185"/>
        <v>0020</v>
      </c>
      <c r="X5992" s="1" t="s">
        <v>29</v>
      </c>
    </row>
    <row r="5993" spans="1:24" x14ac:dyDescent="0.3">
      <c r="A5993" s="1" t="str">
        <f t="shared" si="1179"/>
        <v>59829</v>
      </c>
      <c r="B5993" s="1" t="s">
        <v>47</v>
      </c>
      <c r="C5993" s="1" t="s">
        <v>48</v>
      </c>
      <c r="D5993" s="1" t="str">
        <f t="shared" si="1181"/>
        <v>9801</v>
      </c>
      <c r="E5993" s="1" t="s">
        <v>25</v>
      </c>
      <c r="F5993" s="1" t="str">
        <f>"5270B90A91880400C810002000000016"</f>
        <v>5270B90A91880400C810002000000016</v>
      </c>
      <c r="G5993" s="1" t="s">
        <v>59</v>
      </c>
      <c r="H5993" s="1" t="str">
        <f t="shared" si="1182"/>
        <v>20220929</v>
      </c>
      <c r="I5993" s="1" t="str">
        <f>"172814"</f>
        <v>172814</v>
      </c>
      <c r="J5993" s="1" t="s">
        <v>44</v>
      </c>
      <c r="K5993" s="1" t="s">
        <v>45</v>
      </c>
      <c r="L5993" s="1" t="str">
        <f t="shared" si="1177"/>
        <v>20220929</v>
      </c>
      <c r="M5993" s="1" t="str">
        <f>"175643"</f>
        <v>175643</v>
      </c>
      <c r="N5993" s="1" t="s">
        <v>28</v>
      </c>
      <c r="O5993" s="1" t="s">
        <v>28</v>
      </c>
      <c r="P5993" s="1" t="s">
        <v>55</v>
      </c>
      <c r="Q5993" s="1">
        <v>25</v>
      </c>
      <c r="R5993" s="1">
        <v>25</v>
      </c>
      <c r="S5993" s="1">
        <v>0</v>
      </c>
      <c r="T5993" s="1">
        <v>0</v>
      </c>
      <c r="U5993" s="1">
        <v>0</v>
      </c>
      <c r="V5993" s="1" t="str">
        <f t="shared" si="1184"/>
        <v>里程返程</v>
      </c>
      <c r="W5993" s="1" t="str">
        <f t="shared" si="1185"/>
        <v>0020</v>
      </c>
      <c r="X5993" s="1" t="s">
        <v>29</v>
      </c>
    </row>
    <row r="5994" spans="1:24" x14ac:dyDescent="0.3">
      <c r="A5994" s="1" t="str">
        <f t="shared" si="1179"/>
        <v>59829</v>
      </c>
      <c r="B5994" s="1" t="s">
        <v>47</v>
      </c>
      <c r="C5994" s="1" t="s">
        <v>48</v>
      </c>
      <c r="D5994" s="1" t="str">
        <f t="shared" si="1181"/>
        <v>9801</v>
      </c>
      <c r="E5994" s="1" t="s">
        <v>25</v>
      </c>
      <c r="F5994" s="1" t="str">
        <f>"1A7640604C880400C18514D045004512"</f>
        <v>1A7640604C880400C18514D045004512</v>
      </c>
      <c r="G5994" s="1" t="s">
        <v>58</v>
      </c>
      <c r="H5994" s="1" t="str">
        <f t="shared" si="1182"/>
        <v>20220929</v>
      </c>
      <c r="I5994" s="1" t="str">
        <f>"173326"</f>
        <v>173326</v>
      </c>
      <c r="J5994" s="1" t="s">
        <v>44</v>
      </c>
      <c r="K5994" s="1" t="s">
        <v>45</v>
      </c>
      <c r="L5994" s="1" t="str">
        <f t="shared" si="1177"/>
        <v>20220929</v>
      </c>
      <c r="M5994" s="1" t="str">
        <f>"175638"</f>
        <v>175638</v>
      </c>
      <c r="N5994" s="1" t="s">
        <v>28</v>
      </c>
      <c r="O5994" s="1" t="s">
        <v>28</v>
      </c>
      <c r="P5994" s="1" t="s">
        <v>55</v>
      </c>
      <c r="Q5994" s="1">
        <v>25</v>
      </c>
      <c r="R5994" s="1">
        <v>25</v>
      </c>
      <c r="S5994" s="1">
        <v>0</v>
      </c>
      <c r="T5994" s="1">
        <v>0</v>
      </c>
      <c r="U5994" s="1">
        <v>0</v>
      </c>
      <c r="V5994" s="1" t="str">
        <f t="shared" si="1184"/>
        <v>里程返程</v>
      </c>
      <c r="W5994" s="1" t="str">
        <f t="shared" si="1185"/>
        <v>0020</v>
      </c>
      <c r="X5994" s="1" t="s">
        <v>29</v>
      </c>
    </row>
    <row r="5995" spans="1:24" x14ac:dyDescent="0.3">
      <c r="A5995" s="1" t="str">
        <f t="shared" si="1179"/>
        <v>59829</v>
      </c>
      <c r="B5995" s="1" t="s">
        <v>47</v>
      </c>
      <c r="C5995" s="1" t="s">
        <v>48</v>
      </c>
      <c r="D5995" s="1" t="str">
        <f t="shared" si="1181"/>
        <v>9801</v>
      </c>
      <c r="E5995" s="1" t="s">
        <v>25</v>
      </c>
      <c r="F5995" s="1" t="str">
        <f>"8531229D0B8804004327C06900160B07"</f>
        <v>8531229D0B8804004327C06900160B07</v>
      </c>
      <c r="G5995" s="1" t="s">
        <v>58</v>
      </c>
      <c r="H5995" s="1" t="str">
        <f t="shared" si="1182"/>
        <v>20220929</v>
      </c>
      <c r="I5995" s="1" t="str">
        <f>"173457"</f>
        <v>173457</v>
      </c>
      <c r="J5995" s="1" t="s">
        <v>100</v>
      </c>
      <c r="K5995" s="1" t="s">
        <v>45</v>
      </c>
      <c r="L5995" s="1" t="str">
        <f t="shared" si="1177"/>
        <v>20220929</v>
      </c>
      <c r="M5995" s="1" t="str">
        <f>"175649"</f>
        <v>175649</v>
      </c>
      <c r="N5995" s="1" t="s">
        <v>28</v>
      </c>
      <c r="O5995" s="1" t="s">
        <v>28</v>
      </c>
      <c r="P5995" s="1" t="s">
        <v>55</v>
      </c>
      <c r="Q5995" s="1">
        <v>25</v>
      </c>
      <c r="R5995" s="1">
        <v>25</v>
      </c>
      <c r="S5995" s="1">
        <v>0</v>
      </c>
      <c r="T5995" s="1">
        <v>0</v>
      </c>
      <c r="U5995" s="1">
        <v>0</v>
      </c>
      <c r="V5995" s="1" t="str">
        <f t="shared" si="1184"/>
        <v>里程返程</v>
      </c>
      <c r="W5995" s="1" t="str">
        <f t="shared" si="1185"/>
        <v>0020</v>
      </c>
      <c r="X5995" s="1" t="s">
        <v>29</v>
      </c>
    </row>
    <row r="5996" spans="1:24" x14ac:dyDescent="0.3">
      <c r="A5996" s="1" t="str">
        <f t="shared" si="1179"/>
        <v>59829</v>
      </c>
      <c r="B5996" s="1" t="s">
        <v>47</v>
      </c>
      <c r="C5996" s="1" t="s">
        <v>48</v>
      </c>
      <c r="D5996" s="1" t="str">
        <f t="shared" si="1181"/>
        <v>9801</v>
      </c>
      <c r="E5996" s="1" t="s">
        <v>25</v>
      </c>
      <c r="F5996" s="1" t="str">
        <f>"C289F405BA880400C838002000000015"</f>
        <v>C289F405BA880400C838002000000015</v>
      </c>
      <c r="G5996" s="1" t="s">
        <v>58</v>
      </c>
      <c r="H5996" s="1" t="str">
        <f t="shared" si="1182"/>
        <v>20220929</v>
      </c>
      <c r="I5996" s="1" t="str">
        <f>"173500"</f>
        <v>173500</v>
      </c>
      <c r="J5996" s="1" t="s">
        <v>100</v>
      </c>
      <c r="K5996" s="1" t="s">
        <v>45</v>
      </c>
      <c r="L5996" s="1" t="str">
        <f t="shared" si="1177"/>
        <v>20220929</v>
      </c>
      <c r="M5996" s="1" t="str">
        <f>"175641"</f>
        <v>175641</v>
      </c>
      <c r="N5996" s="1" t="s">
        <v>28</v>
      </c>
      <c r="O5996" s="1" t="s">
        <v>28</v>
      </c>
      <c r="P5996" s="1" t="s">
        <v>55</v>
      </c>
      <c r="Q5996" s="1">
        <v>25</v>
      </c>
      <c r="R5996" s="1">
        <v>25</v>
      </c>
      <c r="S5996" s="1">
        <v>0</v>
      </c>
      <c r="T5996" s="1">
        <v>0</v>
      </c>
      <c r="U5996" s="1">
        <v>0</v>
      </c>
      <c r="V5996" s="1" t="str">
        <f t="shared" si="1184"/>
        <v>里程返程</v>
      </c>
      <c r="W5996" s="1" t="str">
        <f t="shared" si="1185"/>
        <v>0020</v>
      </c>
      <c r="X5996" s="1" t="s">
        <v>29</v>
      </c>
    </row>
    <row r="5997" spans="1:24" x14ac:dyDescent="0.3">
      <c r="A5997" s="1" t="str">
        <f t="shared" si="1179"/>
        <v>59829</v>
      </c>
      <c r="B5997" s="1" t="s">
        <v>47</v>
      </c>
      <c r="C5997" s="1" t="s">
        <v>48</v>
      </c>
      <c r="D5997" s="1" t="str">
        <f t="shared" si="1181"/>
        <v>9801</v>
      </c>
      <c r="E5997" s="1" t="s">
        <v>25</v>
      </c>
      <c r="F5997" s="1" t="str">
        <f>"1253741233"</f>
        <v>1253741233</v>
      </c>
      <c r="G5997" s="1" t="s">
        <v>33</v>
      </c>
      <c r="H5997" s="1" t="str">
        <f t="shared" si="1182"/>
        <v>20220929</v>
      </c>
      <c r="I5997" s="1" t="str">
        <f>"185043"</f>
        <v>185043</v>
      </c>
      <c r="J5997" s="1" t="s">
        <v>28</v>
      </c>
      <c r="K5997" s="1" t="s">
        <v>28</v>
      </c>
      <c r="L5997" s="1" t="str">
        <f t="shared" si="1177"/>
        <v>20220929</v>
      </c>
      <c r="M5997" s="1" t="str">
        <f>"192147"</f>
        <v>192147</v>
      </c>
      <c r="N5997" s="1" t="s">
        <v>60</v>
      </c>
      <c r="O5997" s="1" t="s">
        <v>52</v>
      </c>
      <c r="P5997" s="1" t="s">
        <v>55</v>
      </c>
      <c r="Q5997" s="1">
        <v>25</v>
      </c>
      <c r="R5997" s="1">
        <v>25</v>
      </c>
      <c r="S5997" s="1">
        <v>0</v>
      </c>
      <c r="T5997" s="1">
        <v>0</v>
      </c>
      <c r="U5997" s="1">
        <v>0</v>
      </c>
      <c r="V5997" s="1" t="str">
        <f t="shared" si="1184"/>
        <v>里程返程</v>
      </c>
      <c r="W5997" s="1" t="str">
        <f>"0120"</f>
        <v>0120</v>
      </c>
      <c r="X5997" s="1" t="s">
        <v>35</v>
      </c>
    </row>
    <row r="5998" spans="1:24" x14ac:dyDescent="0.3">
      <c r="A5998" s="1" t="str">
        <f t="shared" si="1179"/>
        <v>59829</v>
      </c>
      <c r="B5998" s="1" t="s">
        <v>47</v>
      </c>
      <c r="C5998" s="1" t="s">
        <v>48</v>
      </c>
      <c r="D5998" s="1" t="str">
        <f t="shared" si="1181"/>
        <v>9801</v>
      </c>
      <c r="E5998" s="1" t="s">
        <v>25</v>
      </c>
      <c r="F5998" s="1" t="str">
        <f>"1073122117"</f>
        <v>1073122117</v>
      </c>
      <c r="G5998" s="1" t="s">
        <v>33</v>
      </c>
      <c r="H5998" s="1" t="str">
        <f t="shared" si="1182"/>
        <v>20220929</v>
      </c>
      <c r="I5998" s="1" t="str">
        <f>"203534"</f>
        <v>203534</v>
      </c>
      <c r="J5998" s="1" t="s">
        <v>28</v>
      </c>
      <c r="K5998" s="1" t="s">
        <v>28</v>
      </c>
      <c r="L5998" s="1" t="str">
        <f t="shared" si="1177"/>
        <v>20220929</v>
      </c>
      <c r="M5998" s="1" t="str">
        <f>"210023"</f>
        <v>210023</v>
      </c>
      <c r="N5998" s="1" t="s">
        <v>44</v>
      </c>
      <c r="O5998" s="1" t="s">
        <v>45</v>
      </c>
      <c r="P5998" s="1" t="s">
        <v>55</v>
      </c>
      <c r="Q5998" s="1">
        <v>25</v>
      </c>
      <c r="R5998" s="1">
        <v>0</v>
      </c>
      <c r="S5998" s="1">
        <v>25</v>
      </c>
      <c r="T5998" s="1">
        <v>0</v>
      </c>
      <c r="U5998" s="1">
        <v>0</v>
      </c>
      <c r="V5998" s="1" t="str">
        <f>"里程去程"</f>
        <v>里程去程</v>
      </c>
      <c r="W5998" s="1" t="str">
        <f>"0820"</f>
        <v>0820</v>
      </c>
      <c r="X5998" s="1" t="s">
        <v>35</v>
      </c>
    </row>
    <row r="5999" spans="1:24" x14ac:dyDescent="0.3">
      <c r="A5999" s="1" t="str">
        <f t="shared" si="1179"/>
        <v>59829</v>
      </c>
      <c r="B5999" s="1" t="s">
        <v>47</v>
      </c>
      <c r="C5999" s="1" t="s">
        <v>48</v>
      </c>
      <c r="D5999" s="1" t="str">
        <f t="shared" si="1181"/>
        <v>9801</v>
      </c>
      <c r="E5999" s="1" t="s">
        <v>25</v>
      </c>
      <c r="F5999" s="1" t="str">
        <f>"969321585"</f>
        <v>969321585</v>
      </c>
      <c r="G5999" s="1" t="s">
        <v>33</v>
      </c>
      <c r="H5999" s="1" t="str">
        <f t="shared" si="1182"/>
        <v>20220929</v>
      </c>
      <c r="I5999" s="1" t="str">
        <f>"203544"</f>
        <v>203544</v>
      </c>
      <c r="J5999" s="1" t="s">
        <v>28</v>
      </c>
      <c r="K5999" s="1" t="s">
        <v>28</v>
      </c>
      <c r="L5999" s="1" t="str">
        <f t="shared" si="1177"/>
        <v>20220929</v>
      </c>
      <c r="M5999" s="1" t="str">
        <f>"204819"</f>
        <v>204819</v>
      </c>
      <c r="N5999" s="1" t="s">
        <v>61</v>
      </c>
      <c r="O5999" s="1" t="s">
        <v>45</v>
      </c>
      <c r="P5999" s="1" t="s">
        <v>55</v>
      </c>
      <c r="Q5999" s="1">
        <v>25</v>
      </c>
      <c r="R5999" s="1">
        <v>25</v>
      </c>
      <c r="S5999" s="1">
        <v>0</v>
      </c>
      <c r="T5999" s="1">
        <v>0</v>
      </c>
      <c r="U5999" s="1">
        <v>0</v>
      </c>
      <c r="V5999" s="1" t="str">
        <f>"里程去程"</f>
        <v>里程去程</v>
      </c>
      <c r="W5999" s="1" t="str">
        <f>"0120"</f>
        <v>0120</v>
      </c>
      <c r="X5999" s="1" t="s">
        <v>35</v>
      </c>
    </row>
    <row r="6000" spans="1:24" x14ac:dyDescent="0.3">
      <c r="A6000" s="1" t="str">
        <f t="shared" ref="A6000:A6031" si="1186">"59809"</f>
        <v>59809</v>
      </c>
      <c r="B6000" s="1" t="s">
        <v>42</v>
      </c>
      <c r="C6000" s="1" t="s">
        <v>43</v>
      </c>
      <c r="D6000" s="1" t="str">
        <f t="shared" ref="D6000:D6014" si="1187">"9806"</f>
        <v>9806</v>
      </c>
      <c r="E6000" s="1" t="s">
        <v>49</v>
      </c>
      <c r="F6000" s="1" t="str">
        <f>"62C93D1680880400C814002000000019"</f>
        <v>62C93D1680880400C814002000000019</v>
      </c>
      <c r="G6000" s="1" t="s">
        <v>59</v>
      </c>
      <c r="H6000" s="1" t="str">
        <f t="shared" ref="H6000:H6063" si="1188">"20220930"</f>
        <v>20220930</v>
      </c>
      <c r="I6000" s="1" t="str">
        <f>"072951"</f>
        <v>072951</v>
      </c>
      <c r="J6000" s="1" t="s">
        <v>28</v>
      </c>
      <c r="K6000" s="1" t="s">
        <v>28</v>
      </c>
      <c r="L6000" s="1" t="str">
        <f t="shared" ref="L6000:L6031" si="1189">"20220930"</f>
        <v>20220930</v>
      </c>
      <c r="M6000" s="1" t="str">
        <f>"074008"</f>
        <v>074008</v>
      </c>
      <c r="N6000" s="1" t="s">
        <v>63</v>
      </c>
      <c r="O6000" s="1" t="s">
        <v>28</v>
      </c>
      <c r="P6000" s="1" t="s">
        <v>55</v>
      </c>
      <c r="Q6000" s="1">
        <v>25</v>
      </c>
      <c r="R6000" s="1">
        <v>0</v>
      </c>
      <c r="S6000" s="1">
        <v>25</v>
      </c>
      <c r="T6000" s="1">
        <v>0</v>
      </c>
      <c r="U6000" s="1">
        <v>0</v>
      </c>
      <c r="V6000" s="1" t="str">
        <f t="shared" ref="V6000:V6014" si="1190">"里程返程"</f>
        <v>里程返程</v>
      </c>
      <c r="W6000" s="1" t="str">
        <f>"0620"</f>
        <v>0620</v>
      </c>
      <c r="X6000" s="1" t="s">
        <v>29</v>
      </c>
    </row>
    <row r="6001" spans="1:24" x14ac:dyDescent="0.3">
      <c r="A6001" s="1" t="str">
        <f t="shared" si="1186"/>
        <v>59809</v>
      </c>
      <c r="B6001" s="1" t="s">
        <v>42</v>
      </c>
      <c r="C6001" s="1" t="s">
        <v>43</v>
      </c>
      <c r="D6001" s="1" t="str">
        <f t="shared" si="1187"/>
        <v>9806</v>
      </c>
      <c r="E6001" s="1" t="s">
        <v>49</v>
      </c>
      <c r="F6001" s="1" t="str">
        <f>"72993516C8880400C814002000000019"</f>
        <v>72993516C8880400C814002000000019</v>
      </c>
      <c r="G6001" s="1" t="s">
        <v>59</v>
      </c>
      <c r="H6001" s="1" t="str">
        <f t="shared" si="1188"/>
        <v>20220930</v>
      </c>
      <c r="I6001" s="1" t="str">
        <f>"072953"</f>
        <v>072953</v>
      </c>
      <c r="J6001" s="1" t="s">
        <v>28</v>
      </c>
      <c r="K6001" s="1" t="s">
        <v>28</v>
      </c>
      <c r="L6001" s="1" t="str">
        <f t="shared" si="1189"/>
        <v>20220930</v>
      </c>
      <c r="M6001" s="1" t="str">
        <f>"074011"</f>
        <v>074011</v>
      </c>
      <c r="N6001" s="1" t="s">
        <v>63</v>
      </c>
      <c r="O6001" s="1" t="s">
        <v>28</v>
      </c>
      <c r="P6001" s="1" t="s">
        <v>55</v>
      </c>
      <c r="Q6001" s="1">
        <v>25</v>
      </c>
      <c r="R6001" s="1">
        <v>0</v>
      </c>
      <c r="S6001" s="1">
        <v>25</v>
      </c>
      <c r="T6001" s="1">
        <v>0</v>
      </c>
      <c r="U6001" s="1">
        <v>0</v>
      </c>
      <c r="V6001" s="1" t="str">
        <f t="shared" si="1190"/>
        <v>里程返程</v>
      </c>
      <c r="W6001" s="1" t="str">
        <f>"0620"</f>
        <v>0620</v>
      </c>
      <c r="X6001" s="1" t="s">
        <v>29</v>
      </c>
    </row>
    <row r="6002" spans="1:24" x14ac:dyDescent="0.3">
      <c r="A6002" s="1" t="str">
        <f t="shared" si="1186"/>
        <v>59809</v>
      </c>
      <c r="B6002" s="1" t="s">
        <v>42</v>
      </c>
      <c r="C6002" s="1" t="s">
        <v>43</v>
      </c>
      <c r="D6002" s="1" t="str">
        <f t="shared" si="1187"/>
        <v>9806</v>
      </c>
      <c r="E6002" s="1" t="s">
        <v>49</v>
      </c>
      <c r="F6002" s="1" t="str">
        <f>"F238370AF7880400C810002000000016"</f>
        <v>F238370AF7880400C810002000000016</v>
      </c>
      <c r="G6002" s="1" t="s">
        <v>59</v>
      </c>
      <c r="H6002" s="1" t="str">
        <f t="shared" si="1188"/>
        <v>20220930</v>
      </c>
      <c r="I6002" s="1" t="str">
        <f>"072955"</f>
        <v>072955</v>
      </c>
      <c r="J6002" s="1" t="s">
        <v>28</v>
      </c>
      <c r="K6002" s="1" t="s">
        <v>28</v>
      </c>
      <c r="L6002" s="1" t="str">
        <f t="shared" si="1189"/>
        <v>20220930</v>
      </c>
      <c r="M6002" s="1" t="str">
        <f>"074021"</f>
        <v>074021</v>
      </c>
      <c r="N6002" s="1" t="s">
        <v>63</v>
      </c>
      <c r="O6002" s="1" t="s">
        <v>28</v>
      </c>
      <c r="P6002" s="1" t="s">
        <v>55</v>
      </c>
      <c r="Q6002" s="1">
        <v>25</v>
      </c>
      <c r="R6002" s="1">
        <v>0</v>
      </c>
      <c r="S6002" s="1">
        <v>25</v>
      </c>
      <c r="T6002" s="1">
        <v>0</v>
      </c>
      <c r="U6002" s="1">
        <v>0</v>
      </c>
      <c r="V6002" s="1" t="str">
        <f t="shared" si="1190"/>
        <v>里程返程</v>
      </c>
      <c r="W6002" s="1" t="str">
        <f>"0620"</f>
        <v>0620</v>
      </c>
      <c r="X6002" s="1" t="s">
        <v>29</v>
      </c>
    </row>
    <row r="6003" spans="1:24" x14ac:dyDescent="0.3">
      <c r="A6003" s="1" t="str">
        <f t="shared" si="1186"/>
        <v>59809</v>
      </c>
      <c r="B6003" s="1" t="s">
        <v>42</v>
      </c>
      <c r="C6003" s="1" t="s">
        <v>43</v>
      </c>
      <c r="D6003" s="1" t="str">
        <f t="shared" si="1187"/>
        <v>9806</v>
      </c>
      <c r="E6003" s="1" t="s">
        <v>49</v>
      </c>
      <c r="F6003" s="1" t="str">
        <f>"22C03B16CF880400C814002000000019"</f>
        <v>22C03B16CF880400C814002000000019</v>
      </c>
      <c r="G6003" s="1" t="s">
        <v>59</v>
      </c>
      <c r="H6003" s="1" t="str">
        <f t="shared" si="1188"/>
        <v>20220930</v>
      </c>
      <c r="I6003" s="1" t="str">
        <f>"072957"</f>
        <v>072957</v>
      </c>
      <c r="J6003" s="1" t="s">
        <v>28</v>
      </c>
      <c r="K6003" s="1" t="s">
        <v>28</v>
      </c>
      <c r="L6003" s="1" t="str">
        <f t="shared" si="1189"/>
        <v>20220930</v>
      </c>
      <c r="M6003" s="1" t="str">
        <f>"074004"</f>
        <v>074004</v>
      </c>
      <c r="N6003" s="1" t="s">
        <v>63</v>
      </c>
      <c r="O6003" s="1" t="s">
        <v>28</v>
      </c>
      <c r="P6003" s="1" t="s">
        <v>55</v>
      </c>
      <c r="Q6003" s="1">
        <v>25</v>
      </c>
      <c r="R6003" s="1">
        <v>0</v>
      </c>
      <c r="S6003" s="1">
        <v>25</v>
      </c>
      <c r="T6003" s="1">
        <v>0</v>
      </c>
      <c r="U6003" s="1">
        <v>0</v>
      </c>
      <c r="V6003" s="1" t="str">
        <f t="shared" si="1190"/>
        <v>里程返程</v>
      </c>
      <c r="W6003" s="1" t="str">
        <f>"0620"</f>
        <v>0620</v>
      </c>
      <c r="X6003" s="1" t="s">
        <v>29</v>
      </c>
    </row>
    <row r="6004" spans="1:24" x14ac:dyDescent="0.3">
      <c r="A6004" s="1" t="str">
        <f t="shared" si="1186"/>
        <v>59809</v>
      </c>
      <c r="B6004" s="1" t="s">
        <v>42</v>
      </c>
      <c r="C6004" s="1" t="s">
        <v>43</v>
      </c>
      <c r="D6004" s="1" t="str">
        <f t="shared" si="1187"/>
        <v>9806</v>
      </c>
      <c r="E6004" s="1" t="s">
        <v>49</v>
      </c>
      <c r="F6004" s="1" t="str">
        <f>"52083B1879880400C819002000000019"</f>
        <v>52083B1879880400C819002000000019</v>
      </c>
      <c r="G6004" s="1" t="s">
        <v>59</v>
      </c>
      <c r="H6004" s="1" t="str">
        <f t="shared" si="1188"/>
        <v>20220930</v>
      </c>
      <c r="I6004" s="1" t="str">
        <f>"072959"</f>
        <v>072959</v>
      </c>
      <c r="J6004" s="1" t="s">
        <v>28</v>
      </c>
      <c r="K6004" s="1" t="s">
        <v>28</v>
      </c>
      <c r="L6004" s="1" t="str">
        <f t="shared" si="1189"/>
        <v>20220930</v>
      </c>
      <c r="M6004" s="1" t="str">
        <f>"074001"</f>
        <v>074001</v>
      </c>
      <c r="N6004" s="1" t="s">
        <v>63</v>
      </c>
      <c r="O6004" s="1" t="s">
        <v>28</v>
      </c>
      <c r="P6004" s="1" t="s">
        <v>55</v>
      </c>
      <c r="Q6004" s="1">
        <v>25</v>
      </c>
      <c r="R6004" s="1">
        <v>0</v>
      </c>
      <c r="S6004" s="1">
        <v>25</v>
      </c>
      <c r="T6004" s="1">
        <v>0</v>
      </c>
      <c r="U6004" s="1">
        <v>0</v>
      </c>
      <c r="V6004" s="1" t="str">
        <f t="shared" si="1190"/>
        <v>里程返程</v>
      </c>
      <c r="W6004" s="1" t="str">
        <f>"0620"</f>
        <v>0620</v>
      </c>
      <c r="X6004" s="1" t="s">
        <v>29</v>
      </c>
    </row>
    <row r="6005" spans="1:24" x14ac:dyDescent="0.3">
      <c r="A6005" s="1" t="str">
        <f t="shared" si="1186"/>
        <v>59809</v>
      </c>
      <c r="B6005" s="1" t="s">
        <v>42</v>
      </c>
      <c r="C6005" s="1" t="s">
        <v>43</v>
      </c>
      <c r="D6005" s="1" t="str">
        <f t="shared" si="1187"/>
        <v>9806</v>
      </c>
      <c r="E6005" s="1" t="s">
        <v>49</v>
      </c>
      <c r="F6005" s="1" t="str">
        <f>"1055537829"</f>
        <v>1055537829</v>
      </c>
      <c r="G6005" s="1" t="s">
        <v>33</v>
      </c>
      <c r="H6005" s="1" t="str">
        <f t="shared" si="1188"/>
        <v>20220930</v>
      </c>
      <c r="I6005" s="1" t="str">
        <f>"073002"</f>
        <v>073002</v>
      </c>
      <c r="J6005" s="1" t="s">
        <v>28</v>
      </c>
      <c r="K6005" s="1" t="s">
        <v>28</v>
      </c>
      <c r="L6005" s="1" t="str">
        <f t="shared" si="1189"/>
        <v>20220930</v>
      </c>
      <c r="M6005" s="1" t="str">
        <f>"074019"</f>
        <v>074019</v>
      </c>
      <c r="N6005" s="1" t="s">
        <v>63</v>
      </c>
      <c r="O6005" s="1" t="s">
        <v>28</v>
      </c>
      <c r="P6005" s="1" t="s">
        <v>55</v>
      </c>
      <c r="Q6005" s="1">
        <v>25</v>
      </c>
      <c r="R6005" s="1">
        <v>0</v>
      </c>
      <c r="S6005" s="1">
        <v>25</v>
      </c>
      <c r="T6005" s="1">
        <v>0</v>
      </c>
      <c r="U6005" s="1">
        <v>0</v>
      </c>
      <c r="V6005" s="1" t="str">
        <f t="shared" si="1190"/>
        <v>里程返程</v>
      </c>
      <c r="W6005" s="1" t="str">
        <f>"0820"</f>
        <v>0820</v>
      </c>
      <c r="X6005" s="1" t="s">
        <v>35</v>
      </c>
    </row>
    <row r="6006" spans="1:24" x14ac:dyDescent="0.3">
      <c r="A6006" s="1" t="str">
        <f t="shared" si="1186"/>
        <v>59809</v>
      </c>
      <c r="B6006" s="1" t="s">
        <v>42</v>
      </c>
      <c r="C6006" s="1" t="s">
        <v>43</v>
      </c>
      <c r="D6006" s="1" t="str">
        <f t="shared" si="1187"/>
        <v>9806</v>
      </c>
      <c r="E6006" s="1" t="s">
        <v>49</v>
      </c>
      <c r="F6006" s="1" t="str">
        <f>"1845872357"</f>
        <v>1845872357</v>
      </c>
      <c r="G6006" s="1" t="s">
        <v>33</v>
      </c>
      <c r="H6006" s="1" t="str">
        <f t="shared" si="1188"/>
        <v>20220930</v>
      </c>
      <c r="I6006" s="1" t="str">
        <f>"073004"</f>
        <v>073004</v>
      </c>
      <c r="J6006" s="1" t="s">
        <v>28</v>
      </c>
      <c r="K6006" s="1" t="s">
        <v>28</v>
      </c>
      <c r="L6006" s="1" t="str">
        <f t="shared" si="1189"/>
        <v>20220930</v>
      </c>
      <c r="M6006" s="1" t="str">
        <f>"074024"</f>
        <v>074024</v>
      </c>
      <c r="N6006" s="1" t="s">
        <v>63</v>
      </c>
      <c r="O6006" s="1" t="s">
        <v>28</v>
      </c>
      <c r="P6006" s="1" t="s">
        <v>55</v>
      </c>
      <c r="Q6006" s="1">
        <v>25</v>
      </c>
      <c r="R6006" s="1">
        <v>0</v>
      </c>
      <c r="S6006" s="1">
        <v>25</v>
      </c>
      <c r="T6006" s="1">
        <v>0</v>
      </c>
      <c r="U6006" s="1">
        <v>0</v>
      </c>
      <c r="V6006" s="1" t="str">
        <f t="shared" si="1190"/>
        <v>里程返程</v>
      </c>
      <c r="W6006" s="1" t="str">
        <f>"0820"</f>
        <v>0820</v>
      </c>
      <c r="X6006" s="1" t="s">
        <v>35</v>
      </c>
    </row>
    <row r="6007" spans="1:24" x14ac:dyDescent="0.3">
      <c r="A6007" s="1" t="str">
        <f t="shared" si="1186"/>
        <v>59809</v>
      </c>
      <c r="B6007" s="1" t="s">
        <v>42</v>
      </c>
      <c r="C6007" s="1" t="s">
        <v>43</v>
      </c>
      <c r="D6007" s="1" t="str">
        <f t="shared" si="1187"/>
        <v>9806</v>
      </c>
      <c r="E6007" s="1" t="s">
        <v>49</v>
      </c>
      <c r="F6007" s="1" t="str">
        <f>"1697487813"</f>
        <v>1697487813</v>
      </c>
      <c r="G6007" s="1" t="s">
        <v>33</v>
      </c>
      <c r="H6007" s="1" t="str">
        <f t="shared" si="1188"/>
        <v>20220930</v>
      </c>
      <c r="I6007" s="1" t="str">
        <f>"073007"</f>
        <v>073007</v>
      </c>
      <c r="J6007" s="1" t="s">
        <v>28</v>
      </c>
      <c r="K6007" s="1" t="s">
        <v>28</v>
      </c>
      <c r="L6007" s="1" t="str">
        <f t="shared" si="1189"/>
        <v>20220930</v>
      </c>
      <c r="M6007" s="1" t="str">
        <f>"074709"</f>
        <v>074709</v>
      </c>
      <c r="N6007" s="1" t="s">
        <v>99</v>
      </c>
      <c r="O6007" s="1" t="s">
        <v>28</v>
      </c>
      <c r="P6007" s="1" t="s">
        <v>55</v>
      </c>
      <c r="Q6007" s="1">
        <v>25</v>
      </c>
      <c r="R6007" s="1">
        <v>0</v>
      </c>
      <c r="S6007" s="1">
        <v>25</v>
      </c>
      <c r="T6007" s="1">
        <v>0</v>
      </c>
      <c r="U6007" s="1">
        <v>0</v>
      </c>
      <c r="V6007" s="1" t="str">
        <f t="shared" si="1190"/>
        <v>里程返程</v>
      </c>
      <c r="W6007" s="1" t="str">
        <f>"0820"</f>
        <v>0820</v>
      </c>
      <c r="X6007" s="1" t="s">
        <v>35</v>
      </c>
    </row>
    <row r="6008" spans="1:24" x14ac:dyDescent="0.3">
      <c r="A6008" s="1" t="str">
        <f t="shared" si="1186"/>
        <v>59809</v>
      </c>
      <c r="B6008" s="1" t="s">
        <v>42</v>
      </c>
      <c r="C6008" s="1" t="s">
        <v>111</v>
      </c>
      <c r="D6008" s="1" t="str">
        <f t="shared" si="1187"/>
        <v>9806</v>
      </c>
      <c r="E6008" s="1" t="s">
        <v>49</v>
      </c>
      <c r="F6008" s="1" t="str">
        <f>"7511161863006423"</f>
        <v>7511161863006423</v>
      </c>
      <c r="G6008" s="1" t="s">
        <v>33</v>
      </c>
      <c r="H6008" s="1" t="str">
        <f t="shared" si="1188"/>
        <v>20220930</v>
      </c>
      <c r="I6008" s="1" t="str">
        <f>"073009"</f>
        <v>073009</v>
      </c>
      <c r="J6008" s="1" t="s">
        <v>28</v>
      </c>
      <c r="K6008" s="1" t="s">
        <v>28</v>
      </c>
      <c r="L6008" s="1" t="str">
        <f t="shared" si="1189"/>
        <v>20220930</v>
      </c>
      <c r="M6008" s="1" t="str">
        <f>"074705"</f>
        <v>074705</v>
      </c>
      <c r="N6008" s="1" t="s">
        <v>99</v>
      </c>
      <c r="O6008" s="1" t="s">
        <v>28</v>
      </c>
      <c r="P6008" s="1" t="s">
        <v>55</v>
      </c>
      <c r="Q6008" s="1">
        <v>25</v>
      </c>
      <c r="R6008" s="1">
        <v>25</v>
      </c>
      <c r="S6008" s="1">
        <v>0</v>
      </c>
      <c r="T6008" s="1">
        <v>0</v>
      </c>
      <c r="U6008" s="1">
        <v>0</v>
      </c>
      <c r="V6008" s="1" t="str">
        <f t="shared" si="1190"/>
        <v>里程返程</v>
      </c>
      <c r="W6008" s="1" t="str">
        <f>"088B"</f>
        <v>088B</v>
      </c>
      <c r="X6008" s="1" t="s">
        <v>109</v>
      </c>
    </row>
    <row r="6009" spans="1:24" x14ac:dyDescent="0.3">
      <c r="A6009" s="1" t="str">
        <f t="shared" si="1186"/>
        <v>59809</v>
      </c>
      <c r="B6009" s="1" t="s">
        <v>42</v>
      </c>
      <c r="C6009" s="1" t="s">
        <v>43</v>
      </c>
      <c r="D6009" s="1" t="str">
        <f t="shared" si="1187"/>
        <v>9806</v>
      </c>
      <c r="E6009" s="1" t="s">
        <v>49</v>
      </c>
      <c r="F6009" s="1" t="str">
        <f>"651205381"</f>
        <v>651205381</v>
      </c>
      <c r="G6009" s="1" t="s">
        <v>33</v>
      </c>
      <c r="H6009" s="1" t="str">
        <f t="shared" si="1188"/>
        <v>20220930</v>
      </c>
      <c r="I6009" s="1" t="str">
        <f>"073011"</f>
        <v>073011</v>
      </c>
      <c r="J6009" s="1" t="s">
        <v>28</v>
      </c>
      <c r="K6009" s="1" t="s">
        <v>28</v>
      </c>
      <c r="L6009" s="1" t="str">
        <f t="shared" si="1189"/>
        <v>20220930</v>
      </c>
      <c r="M6009" s="1" t="str">
        <f>"074711"</f>
        <v>074711</v>
      </c>
      <c r="N6009" s="1" t="s">
        <v>99</v>
      </c>
      <c r="O6009" s="1" t="s">
        <v>28</v>
      </c>
      <c r="P6009" s="1" t="s">
        <v>55</v>
      </c>
      <c r="Q6009" s="1">
        <v>25</v>
      </c>
      <c r="R6009" s="1">
        <v>0</v>
      </c>
      <c r="S6009" s="1">
        <v>25</v>
      </c>
      <c r="T6009" s="1">
        <v>0</v>
      </c>
      <c r="U6009" s="1">
        <v>0</v>
      </c>
      <c r="V6009" s="1" t="str">
        <f t="shared" si="1190"/>
        <v>里程返程</v>
      </c>
      <c r="W6009" s="1" t="str">
        <f>"0820"</f>
        <v>0820</v>
      </c>
      <c r="X6009" s="1" t="s">
        <v>35</v>
      </c>
    </row>
    <row r="6010" spans="1:24" x14ac:dyDescent="0.3">
      <c r="A6010" s="1" t="str">
        <f t="shared" si="1186"/>
        <v>59809</v>
      </c>
      <c r="B6010" s="1" t="s">
        <v>42</v>
      </c>
      <c r="C6010" s="1" t="s">
        <v>43</v>
      </c>
      <c r="D6010" s="1" t="str">
        <f t="shared" si="1187"/>
        <v>9806</v>
      </c>
      <c r="E6010" s="1" t="s">
        <v>49</v>
      </c>
      <c r="F6010" s="1" t="str">
        <f>"5294A50063880400C801002000000015"</f>
        <v>5294A50063880400C801002000000015</v>
      </c>
      <c r="G6010" s="1" t="s">
        <v>58</v>
      </c>
      <c r="H6010" s="1" t="str">
        <f t="shared" si="1188"/>
        <v>20220930</v>
      </c>
      <c r="I6010" s="1" t="str">
        <f>"073013"</f>
        <v>073013</v>
      </c>
      <c r="J6010" s="1" t="s">
        <v>28</v>
      </c>
      <c r="K6010" s="1" t="s">
        <v>28</v>
      </c>
      <c r="L6010" s="1" t="str">
        <f t="shared" si="1189"/>
        <v>20220930</v>
      </c>
      <c r="M6010" s="1" t="str">
        <f>"074716"</f>
        <v>074716</v>
      </c>
      <c r="N6010" s="1" t="s">
        <v>99</v>
      </c>
      <c r="O6010" s="1" t="s">
        <v>28</v>
      </c>
      <c r="P6010" s="1" t="s">
        <v>55</v>
      </c>
      <c r="Q6010" s="1">
        <v>25</v>
      </c>
      <c r="R6010" s="1">
        <v>0</v>
      </c>
      <c r="S6010" s="1">
        <v>25</v>
      </c>
      <c r="T6010" s="1">
        <v>0</v>
      </c>
      <c r="U6010" s="1">
        <v>0</v>
      </c>
      <c r="V6010" s="1" t="str">
        <f t="shared" si="1190"/>
        <v>里程返程</v>
      </c>
      <c r="W6010" s="1" t="str">
        <f>"0620"</f>
        <v>0620</v>
      </c>
      <c r="X6010" s="1" t="s">
        <v>29</v>
      </c>
    </row>
    <row r="6011" spans="1:24" x14ac:dyDescent="0.3">
      <c r="A6011" s="1" t="str">
        <f t="shared" si="1186"/>
        <v>59809</v>
      </c>
      <c r="B6011" s="1" t="s">
        <v>42</v>
      </c>
      <c r="C6011" s="1" t="s">
        <v>43</v>
      </c>
      <c r="D6011" s="1" t="str">
        <f t="shared" si="1187"/>
        <v>9806</v>
      </c>
      <c r="E6011" s="1" t="s">
        <v>49</v>
      </c>
      <c r="F6011" s="1" t="str">
        <f>"538267473"</f>
        <v>538267473</v>
      </c>
      <c r="G6011" s="1" t="s">
        <v>33</v>
      </c>
      <c r="H6011" s="1" t="str">
        <f t="shared" si="1188"/>
        <v>20220930</v>
      </c>
      <c r="I6011" s="1" t="str">
        <f>"073024"</f>
        <v>073024</v>
      </c>
      <c r="J6011" s="1" t="s">
        <v>28</v>
      </c>
      <c r="K6011" s="1" t="s">
        <v>28</v>
      </c>
      <c r="L6011" s="1" t="str">
        <f t="shared" si="1189"/>
        <v>20220930</v>
      </c>
      <c r="M6011" s="1" t="str">
        <f>"074713"</f>
        <v>074713</v>
      </c>
      <c r="N6011" s="1" t="s">
        <v>99</v>
      </c>
      <c r="O6011" s="1" t="s">
        <v>28</v>
      </c>
      <c r="P6011" s="1" t="s">
        <v>55</v>
      </c>
      <c r="Q6011" s="1">
        <v>25</v>
      </c>
      <c r="R6011" s="1">
        <v>0</v>
      </c>
      <c r="S6011" s="1">
        <v>25</v>
      </c>
      <c r="T6011" s="1">
        <v>0</v>
      </c>
      <c r="U6011" s="1">
        <v>0</v>
      </c>
      <c r="V6011" s="1" t="str">
        <f t="shared" si="1190"/>
        <v>里程返程</v>
      </c>
      <c r="W6011" s="1" t="str">
        <f>"0820"</f>
        <v>0820</v>
      </c>
      <c r="X6011" s="1" t="s">
        <v>35</v>
      </c>
    </row>
    <row r="6012" spans="1:24" x14ac:dyDescent="0.3">
      <c r="A6012" s="1" t="str">
        <f t="shared" si="1186"/>
        <v>59809</v>
      </c>
      <c r="B6012" s="1" t="s">
        <v>42</v>
      </c>
      <c r="C6012" s="1" t="s">
        <v>43</v>
      </c>
      <c r="D6012" s="1" t="str">
        <f t="shared" si="1187"/>
        <v>9806</v>
      </c>
      <c r="E6012" s="1" t="s">
        <v>49</v>
      </c>
      <c r="F6012" s="1" t="str">
        <f>"1236476789"</f>
        <v>1236476789</v>
      </c>
      <c r="G6012" s="1" t="s">
        <v>26</v>
      </c>
      <c r="H6012" s="1" t="str">
        <f t="shared" si="1188"/>
        <v>20220930</v>
      </c>
      <c r="I6012" s="1" t="str">
        <f>"073027"</f>
        <v>073027</v>
      </c>
      <c r="J6012" s="1" t="s">
        <v>28</v>
      </c>
      <c r="K6012" s="1" t="s">
        <v>28</v>
      </c>
      <c r="L6012" s="1" t="str">
        <f t="shared" si="1189"/>
        <v>20220930</v>
      </c>
      <c r="M6012" s="1" t="str">
        <f>"075125"</f>
        <v>075125</v>
      </c>
      <c r="N6012" s="1" t="s">
        <v>50</v>
      </c>
      <c r="O6012" s="1" t="s">
        <v>50</v>
      </c>
      <c r="P6012" s="1" t="s">
        <v>55</v>
      </c>
      <c r="Q6012" s="1">
        <v>13</v>
      </c>
      <c r="R6012" s="1">
        <v>13</v>
      </c>
      <c r="S6012" s="1">
        <v>0</v>
      </c>
      <c r="T6012" s="1">
        <v>0</v>
      </c>
      <c r="U6012" s="1">
        <v>0</v>
      </c>
      <c r="V6012" s="1" t="str">
        <f t="shared" si="1190"/>
        <v>里程返程</v>
      </c>
      <c r="W6012" s="1" t="str">
        <f>"0820"</f>
        <v>0820</v>
      </c>
      <c r="X6012" s="1" t="s">
        <v>35</v>
      </c>
    </row>
    <row r="6013" spans="1:24" x14ac:dyDescent="0.3">
      <c r="A6013" s="1" t="str">
        <f t="shared" si="1186"/>
        <v>59809</v>
      </c>
      <c r="B6013" s="1" t="s">
        <v>42</v>
      </c>
      <c r="C6013" s="1" t="s">
        <v>43</v>
      </c>
      <c r="D6013" s="1" t="str">
        <f t="shared" si="1187"/>
        <v>9806</v>
      </c>
      <c r="E6013" s="1" t="s">
        <v>49</v>
      </c>
      <c r="F6013" s="1" t="str">
        <f>"B211E70246880400C834002000000015"</f>
        <v>B211E70246880400C834002000000015</v>
      </c>
      <c r="G6013" s="1" t="s">
        <v>74</v>
      </c>
      <c r="H6013" s="1" t="str">
        <f t="shared" si="1188"/>
        <v>20220930</v>
      </c>
      <c r="I6013" s="1" t="str">
        <f>"073537"</f>
        <v>073537</v>
      </c>
      <c r="J6013" s="1" t="s">
        <v>101</v>
      </c>
      <c r="K6013" s="1" t="s">
        <v>28</v>
      </c>
      <c r="L6013" s="1" t="str">
        <f t="shared" si="1189"/>
        <v>20220930</v>
      </c>
      <c r="M6013" s="1" t="str">
        <f>"074720"</f>
        <v>074720</v>
      </c>
      <c r="N6013" s="1" t="s">
        <v>99</v>
      </c>
      <c r="O6013" s="1" t="s">
        <v>28</v>
      </c>
      <c r="P6013" s="1" t="s">
        <v>68</v>
      </c>
      <c r="Q6013" s="1">
        <v>13</v>
      </c>
      <c r="R6013" s="1">
        <v>0</v>
      </c>
      <c r="S6013" s="1">
        <v>0</v>
      </c>
      <c r="T6013" s="1">
        <v>13</v>
      </c>
      <c r="U6013" s="1">
        <v>0</v>
      </c>
      <c r="V6013" s="1" t="str">
        <f t="shared" si="1190"/>
        <v>里程返程</v>
      </c>
      <c r="W6013" s="1" t="str">
        <f>"0020"</f>
        <v>0020</v>
      </c>
      <c r="X6013" s="1" t="s">
        <v>29</v>
      </c>
    </row>
    <row r="6014" spans="1:24" x14ac:dyDescent="0.3">
      <c r="A6014" s="1" t="str">
        <f t="shared" si="1186"/>
        <v>59809</v>
      </c>
      <c r="B6014" s="1" t="s">
        <v>42</v>
      </c>
      <c r="C6014" s="1" t="s">
        <v>43</v>
      </c>
      <c r="D6014" s="1" t="str">
        <f t="shared" si="1187"/>
        <v>9806</v>
      </c>
      <c r="E6014" s="1" t="s">
        <v>49</v>
      </c>
      <c r="F6014" s="1" t="str">
        <f>"1202E702F5880400C834002000000015"</f>
        <v>1202E702F5880400C834002000000015</v>
      </c>
      <c r="G6014" s="1" t="s">
        <v>74</v>
      </c>
      <c r="H6014" s="1" t="str">
        <f t="shared" si="1188"/>
        <v>20220930</v>
      </c>
      <c r="I6014" s="1" t="str">
        <f>"073540"</f>
        <v>073540</v>
      </c>
      <c r="J6014" s="1" t="s">
        <v>101</v>
      </c>
      <c r="K6014" s="1" t="s">
        <v>28</v>
      </c>
      <c r="L6014" s="1" t="str">
        <f t="shared" si="1189"/>
        <v>20220930</v>
      </c>
      <c r="M6014" s="1" t="str">
        <f>"074729"</f>
        <v>074729</v>
      </c>
      <c r="N6014" s="1" t="s">
        <v>99</v>
      </c>
      <c r="O6014" s="1" t="s">
        <v>28</v>
      </c>
      <c r="P6014" s="1" t="s">
        <v>68</v>
      </c>
      <c r="Q6014" s="1">
        <v>13</v>
      </c>
      <c r="R6014" s="1">
        <v>0</v>
      </c>
      <c r="S6014" s="1">
        <v>0</v>
      </c>
      <c r="T6014" s="1">
        <v>13</v>
      </c>
      <c r="U6014" s="1">
        <v>0</v>
      </c>
      <c r="V6014" s="1" t="str">
        <f t="shared" si="1190"/>
        <v>里程返程</v>
      </c>
      <c r="W6014" s="1" t="str">
        <f>"0020"</f>
        <v>0020</v>
      </c>
      <c r="X6014" s="1" t="s">
        <v>29</v>
      </c>
    </row>
    <row r="6015" spans="1:24" x14ac:dyDescent="0.3">
      <c r="A6015" s="1" t="str">
        <f t="shared" si="1186"/>
        <v>59809</v>
      </c>
      <c r="B6015" s="1" t="s">
        <v>42</v>
      </c>
      <c r="C6015" s="1" t="s">
        <v>43</v>
      </c>
      <c r="D6015" s="1" t="str">
        <f t="shared" ref="D6015:D6027" si="1191">"9803"</f>
        <v>9803</v>
      </c>
      <c r="E6015" s="1" t="s">
        <v>32</v>
      </c>
      <c r="F6015" s="1" t="str">
        <f>"C2C2011819880400C814002000000019"</f>
        <v>C2C2011819880400C814002000000019</v>
      </c>
      <c r="G6015" s="1" t="s">
        <v>58</v>
      </c>
      <c r="H6015" s="1" t="str">
        <f t="shared" si="1188"/>
        <v>20220930</v>
      </c>
      <c r="I6015" s="1" t="str">
        <f>"081540"</f>
        <v>081540</v>
      </c>
      <c r="J6015" s="1" t="s">
        <v>28</v>
      </c>
      <c r="K6015" s="1" t="s">
        <v>28</v>
      </c>
      <c r="L6015" s="1" t="str">
        <f t="shared" si="1189"/>
        <v>20220930</v>
      </c>
      <c r="M6015" s="1" t="str">
        <f>"083303"</f>
        <v>083303</v>
      </c>
      <c r="N6015" s="1" t="s">
        <v>34</v>
      </c>
      <c r="O6015" s="1" t="s">
        <v>34</v>
      </c>
      <c r="P6015" s="1" t="s">
        <v>55</v>
      </c>
      <c r="Q6015" s="1">
        <v>25</v>
      </c>
      <c r="R6015" s="1">
        <v>25</v>
      </c>
      <c r="S6015" s="1">
        <v>0</v>
      </c>
      <c r="T6015" s="1">
        <v>0</v>
      </c>
      <c r="U6015" s="1">
        <v>0</v>
      </c>
      <c r="V6015" s="1" t="str">
        <f t="shared" ref="V6015:V6027" si="1192">"里程去程"</f>
        <v>里程去程</v>
      </c>
      <c r="W6015" s="1" t="str">
        <f>"0020"</f>
        <v>0020</v>
      </c>
      <c r="X6015" s="1" t="s">
        <v>29</v>
      </c>
    </row>
    <row r="6016" spans="1:24" x14ac:dyDescent="0.3">
      <c r="A6016" s="1" t="str">
        <f t="shared" si="1186"/>
        <v>59809</v>
      </c>
      <c r="B6016" s="1" t="s">
        <v>42</v>
      </c>
      <c r="C6016" s="1" t="s">
        <v>43</v>
      </c>
      <c r="D6016" s="1" t="str">
        <f t="shared" si="1191"/>
        <v>9803</v>
      </c>
      <c r="E6016" s="1" t="s">
        <v>32</v>
      </c>
      <c r="F6016" s="1" t="str">
        <f>"1011291493"</f>
        <v>1011291493</v>
      </c>
      <c r="G6016" s="1" t="s">
        <v>33</v>
      </c>
      <c r="H6016" s="1" t="str">
        <f t="shared" si="1188"/>
        <v>20220930</v>
      </c>
      <c r="I6016" s="1" t="str">
        <f>"081551"</f>
        <v>081551</v>
      </c>
      <c r="J6016" s="1" t="s">
        <v>28</v>
      </c>
      <c r="K6016" s="1" t="s">
        <v>28</v>
      </c>
      <c r="L6016" s="1" t="str">
        <f t="shared" si="1189"/>
        <v>20220930</v>
      </c>
      <c r="M6016" s="1" t="str">
        <f>"083252"</f>
        <v>083252</v>
      </c>
      <c r="N6016" s="1" t="s">
        <v>34</v>
      </c>
      <c r="O6016" s="1" t="s">
        <v>34</v>
      </c>
      <c r="P6016" s="1" t="s">
        <v>55</v>
      </c>
      <c r="Q6016" s="1">
        <v>25</v>
      </c>
      <c r="R6016" s="1">
        <v>25</v>
      </c>
      <c r="S6016" s="1">
        <v>0</v>
      </c>
      <c r="T6016" s="1">
        <v>0</v>
      </c>
      <c r="U6016" s="1">
        <v>0</v>
      </c>
      <c r="V6016" s="1" t="str">
        <f t="shared" si="1192"/>
        <v>里程去程</v>
      </c>
      <c r="W6016" s="1" t="str">
        <f>"0820"</f>
        <v>0820</v>
      </c>
      <c r="X6016" s="1" t="s">
        <v>35</v>
      </c>
    </row>
    <row r="6017" spans="1:24" x14ac:dyDescent="0.3">
      <c r="A6017" s="1" t="str">
        <f t="shared" si="1186"/>
        <v>59809</v>
      </c>
      <c r="B6017" s="1" t="s">
        <v>42</v>
      </c>
      <c r="C6017" s="1" t="s">
        <v>43</v>
      </c>
      <c r="D6017" s="1" t="str">
        <f t="shared" si="1191"/>
        <v>9803</v>
      </c>
      <c r="E6017" s="1" t="s">
        <v>32</v>
      </c>
      <c r="F6017" s="1" t="str">
        <f>"803570357"</f>
        <v>803570357</v>
      </c>
      <c r="G6017" s="1" t="s">
        <v>33</v>
      </c>
      <c r="H6017" s="1" t="str">
        <f t="shared" si="1188"/>
        <v>20220930</v>
      </c>
      <c r="I6017" s="1" t="str">
        <f>"081608"</f>
        <v>081608</v>
      </c>
      <c r="J6017" s="1" t="s">
        <v>28</v>
      </c>
      <c r="K6017" s="1" t="s">
        <v>28</v>
      </c>
      <c r="L6017" s="1" t="str">
        <f t="shared" si="1189"/>
        <v>20220930</v>
      </c>
      <c r="M6017" s="1" t="str">
        <f>"083313"</f>
        <v>083313</v>
      </c>
      <c r="N6017" s="1" t="s">
        <v>34</v>
      </c>
      <c r="O6017" s="1" t="s">
        <v>34</v>
      </c>
      <c r="P6017" s="1" t="s">
        <v>55</v>
      </c>
      <c r="Q6017" s="1">
        <v>25</v>
      </c>
      <c r="R6017" s="1">
        <v>25</v>
      </c>
      <c r="S6017" s="1">
        <v>0</v>
      </c>
      <c r="T6017" s="1">
        <v>0</v>
      </c>
      <c r="U6017" s="1">
        <v>0</v>
      </c>
      <c r="V6017" s="1" t="str">
        <f t="shared" si="1192"/>
        <v>里程去程</v>
      </c>
      <c r="W6017" s="1" t="str">
        <f>"0620"</f>
        <v>0620</v>
      </c>
      <c r="X6017" s="1" t="s">
        <v>35</v>
      </c>
    </row>
    <row r="6018" spans="1:24" x14ac:dyDescent="0.3">
      <c r="A6018" s="1" t="str">
        <f t="shared" si="1186"/>
        <v>59809</v>
      </c>
      <c r="B6018" s="1" t="s">
        <v>42</v>
      </c>
      <c r="C6018" s="1" t="s">
        <v>43</v>
      </c>
      <c r="D6018" s="1" t="str">
        <f t="shared" si="1191"/>
        <v>9803</v>
      </c>
      <c r="E6018" s="1" t="s">
        <v>32</v>
      </c>
      <c r="F6018" s="1" t="str">
        <f>"4EB4A8CA988804004885145555902010"</f>
        <v>4EB4A8CA988804004885145555902010</v>
      </c>
      <c r="G6018" s="1" t="s">
        <v>58</v>
      </c>
      <c r="H6018" s="1" t="str">
        <f t="shared" si="1188"/>
        <v>20220930</v>
      </c>
      <c r="I6018" s="1" t="str">
        <f>"081611"</f>
        <v>081611</v>
      </c>
      <c r="J6018" s="1" t="s">
        <v>28</v>
      </c>
      <c r="K6018" s="1" t="s">
        <v>28</v>
      </c>
      <c r="L6018" s="1" t="str">
        <f t="shared" si="1189"/>
        <v>20220930</v>
      </c>
      <c r="M6018" s="1" t="str">
        <f>"083310"</f>
        <v>083310</v>
      </c>
      <c r="N6018" s="1" t="s">
        <v>34</v>
      </c>
      <c r="O6018" s="1" t="s">
        <v>34</v>
      </c>
      <c r="P6018" s="1" t="s">
        <v>55</v>
      </c>
      <c r="Q6018" s="1">
        <v>25</v>
      </c>
      <c r="R6018" s="1">
        <v>25</v>
      </c>
      <c r="S6018" s="1">
        <v>0</v>
      </c>
      <c r="T6018" s="1">
        <v>0</v>
      </c>
      <c r="U6018" s="1">
        <v>0</v>
      </c>
      <c r="V6018" s="1" t="str">
        <f t="shared" si="1192"/>
        <v>里程去程</v>
      </c>
      <c r="W6018" s="1" t="str">
        <f>"0020"</f>
        <v>0020</v>
      </c>
      <c r="X6018" s="1" t="s">
        <v>29</v>
      </c>
    </row>
    <row r="6019" spans="1:24" x14ac:dyDescent="0.3">
      <c r="A6019" s="1" t="str">
        <f t="shared" si="1186"/>
        <v>59809</v>
      </c>
      <c r="B6019" s="1" t="s">
        <v>42</v>
      </c>
      <c r="C6019" s="1" t="s">
        <v>43</v>
      </c>
      <c r="D6019" s="1" t="str">
        <f t="shared" si="1191"/>
        <v>9803</v>
      </c>
      <c r="E6019" s="1" t="s">
        <v>32</v>
      </c>
      <c r="F6019" s="1" t="str">
        <f>"1595558928"</f>
        <v>1595558928</v>
      </c>
      <c r="G6019" s="1" t="s">
        <v>33</v>
      </c>
      <c r="H6019" s="1" t="str">
        <f t="shared" si="1188"/>
        <v>20220930</v>
      </c>
      <c r="I6019" s="1" t="str">
        <f>"081619"</f>
        <v>081619</v>
      </c>
      <c r="J6019" s="1" t="s">
        <v>28</v>
      </c>
      <c r="K6019" s="1" t="s">
        <v>28</v>
      </c>
      <c r="L6019" s="1" t="str">
        <f t="shared" si="1189"/>
        <v>20220930</v>
      </c>
      <c r="M6019" s="1" t="str">
        <f>"083243"</f>
        <v>083243</v>
      </c>
      <c r="N6019" s="1" t="s">
        <v>34</v>
      </c>
      <c r="O6019" s="1" t="s">
        <v>34</v>
      </c>
      <c r="P6019" s="1" t="s">
        <v>55</v>
      </c>
      <c r="Q6019" s="1">
        <v>25</v>
      </c>
      <c r="R6019" s="1">
        <v>25</v>
      </c>
      <c r="S6019" s="1">
        <v>0</v>
      </c>
      <c r="T6019" s="1">
        <v>0</v>
      </c>
      <c r="U6019" s="1">
        <v>0</v>
      </c>
      <c r="V6019" s="1" t="str">
        <f t="shared" si="1192"/>
        <v>里程去程</v>
      </c>
      <c r="W6019" s="1" t="str">
        <f>"0620"</f>
        <v>0620</v>
      </c>
      <c r="X6019" s="1" t="s">
        <v>35</v>
      </c>
    </row>
    <row r="6020" spans="1:24" x14ac:dyDescent="0.3">
      <c r="A6020" s="1" t="str">
        <f t="shared" si="1186"/>
        <v>59809</v>
      </c>
      <c r="B6020" s="1" t="s">
        <v>42</v>
      </c>
      <c r="C6020" s="1" t="s">
        <v>43</v>
      </c>
      <c r="D6020" s="1" t="str">
        <f t="shared" si="1191"/>
        <v>9803</v>
      </c>
      <c r="E6020" s="1" t="s">
        <v>32</v>
      </c>
      <c r="F6020" s="1" t="str">
        <f>"411F805D838804004325C3F900170C0F"</f>
        <v>411F805D838804004325C3F900170C0F</v>
      </c>
      <c r="G6020" s="1" t="s">
        <v>58</v>
      </c>
      <c r="H6020" s="1" t="str">
        <f t="shared" si="1188"/>
        <v>20220930</v>
      </c>
      <c r="I6020" s="1" t="str">
        <f>"094723"</f>
        <v>094723</v>
      </c>
      <c r="J6020" s="1" t="s">
        <v>28</v>
      </c>
      <c r="K6020" s="1" t="s">
        <v>28</v>
      </c>
      <c r="L6020" s="1" t="str">
        <f t="shared" si="1189"/>
        <v>20220930</v>
      </c>
      <c r="M6020" s="1" t="str">
        <f>"100903"</f>
        <v>100903</v>
      </c>
      <c r="N6020" s="1" t="s">
        <v>34</v>
      </c>
      <c r="O6020" s="1" t="s">
        <v>34</v>
      </c>
      <c r="P6020" s="1" t="s">
        <v>55</v>
      </c>
      <c r="Q6020" s="1">
        <v>25</v>
      </c>
      <c r="R6020" s="1">
        <v>25</v>
      </c>
      <c r="S6020" s="1">
        <v>0</v>
      </c>
      <c r="T6020" s="1">
        <v>0</v>
      </c>
      <c r="U6020" s="1">
        <v>0</v>
      </c>
      <c r="V6020" s="1" t="str">
        <f t="shared" si="1192"/>
        <v>里程去程</v>
      </c>
      <c r="W6020" s="1" t="str">
        <f>"0020"</f>
        <v>0020</v>
      </c>
      <c r="X6020" s="1" t="s">
        <v>29</v>
      </c>
    </row>
    <row r="6021" spans="1:24" x14ac:dyDescent="0.3">
      <c r="A6021" s="1" t="str">
        <f t="shared" si="1186"/>
        <v>59809</v>
      </c>
      <c r="B6021" s="1" t="s">
        <v>42</v>
      </c>
      <c r="C6021" s="1" t="s">
        <v>43</v>
      </c>
      <c r="D6021" s="1" t="str">
        <f t="shared" si="1191"/>
        <v>9803</v>
      </c>
      <c r="E6021" s="1" t="s">
        <v>32</v>
      </c>
      <c r="F6021" s="1" t="str">
        <f>"F2B10A0049880400C831002000000014"</f>
        <v>F2B10A0049880400C831002000000014</v>
      </c>
      <c r="G6021" s="1" t="s">
        <v>59</v>
      </c>
      <c r="H6021" s="1" t="str">
        <f t="shared" si="1188"/>
        <v>20220930</v>
      </c>
      <c r="I6021" s="1" t="str">
        <f>"094727"</f>
        <v>094727</v>
      </c>
      <c r="J6021" s="1" t="s">
        <v>28</v>
      </c>
      <c r="K6021" s="1" t="s">
        <v>28</v>
      </c>
      <c r="L6021" s="1" t="str">
        <f t="shared" si="1189"/>
        <v>20220930</v>
      </c>
      <c r="M6021" s="1" t="str">
        <f>"100907"</f>
        <v>100907</v>
      </c>
      <c r="N6021" s="1" t="s">
        <v>34</v>
      </c>
      <c r="O6021" s="1" t="s">
        <v>34</v>
      </c>
      <c r="P6021" s="1" t="s">
        <v>55</v>
      </c>
      <c r="Q6021" s="1">
        <v>25</v>
      </c>
      <c r="R6021" s="1">
        <v>25</v>
      </c>
      <c r="S6021" s="1">
        <v>0</v>
      </c>
      <c r="T6021" s="1">
        <v>0</v>
      </c>
      <c r="U6021" s="1">
        <v>0</v>
      </c>
      <c r="V6021" s="1" t="str">
        <f t="shared" si="1192"/>
        <v>里程去程</v>
      </c>
      <c r="W6021" s="1" t="str">
        <f>"0020"</f>
        <v>0020</v>
      </c>
      <c r="X6021" s="1" t="s">
        <v>29</v>
      </c>
    </row>
    <row r="6022" spans="1:24" x14ac:dyDescent="0.3">
      <c r="A6022" s="1" t="str">
        <f t="shared" si="1186"/>
        <v>59809</v>
      </c>
      <c r="B6022" s="1" t="s">
        <v>42</v>
      </c>
      <c r="C6022" s="1" t="s">
        <v>43</v>
      </c>
      <c r="D6022" s="1" t="str">
        <f t="shared" si="1191"/>
        <v>9803</v>
      </c>
      <c r="E6022" s="1" t="s">
        <v>32</v>
      </c>
      <c r="F6022" s="1" t="str">
        <f>"1360670529"</f>
        <v>1360670529</v>
      </c>
      <c r="G6022" s="1" t="s">
        <v>33</v>
      </c>
      <c r="H6022" s="1" t="str">
        <f t="shared" si="1188"/>
        <v>20220930</v>
      </c>
      <c r="I6022" s="1" t="str">
        <f>"094734"</f>
        <v>094734</v>
      </c>
      <c r="J6022" s="1" t="s">
        <v>28</v>
      </c>
      <c r="K6022" s="1" t="s">
        <v>28</v>
      </c>
      <c r="L6022" s="1" t="str">
        <f t="shared" si="1189"/>
        <v>20220930</v>
      </c>
      <c r="M6022" s="1" t="str">
        <f>"100914"</f>
        <v>100914</v>
      </c>
      <c r="N6022" s="1" t="s">
        <v>34</v>
      </c>
      <c r="O6022" s="1" t="s">
        <v>34</v>
      </c>
      <c r="P6022" s="1" t="s">
        <v>55</v>
      </c>
      <c r="Q6022" s="1">
        <v>25</v>
      </c>
      <c r="R6022" s="1">
        <v>25</v>
      </c>
      <c r="S6022" s="1">
        <v>0</v>
      </c>
      <c r="T6022" s="1">
        <v>0</v>
      </c>
      <c r="U6022" s="1">
        <v>0</v>
      </c>
      <c r="V6022" s="1" t="str">
        <f t="shared" si="1192"/>
        <v>里程去程</v>
      </c>
      <c r="W6022" s="1" t="str">
        <f>"0620"</f>
        <v>0620</v>
      </c>
      <c r="X6022" s="1" t="s">
        <v>35</v>
      </c>
    </row>
    <row r="6023" spans="1:24" x14ac:dyDescent="0.3">
      <c r="A6023" s="1" t="str">
        <f t="shared" si="1186"/>
        <v>59809</v>
      </c>
      <c r="B6023" s="1" t="s">
        <v>42</v>
      </c>
      <c r="C6023" s="1" t="s">
        <v>43</v>
      </c>
      <c r="D6023" s="1" t="str">
        <f t="shared" si="1191"/>
        <v>9803</v>
      </c>
      <c r="E6023" s="1" t="s">
        <v>32</v>
      </c>
      <c r="F6023" s="1" t="str">
        <f>"1609690865"</f>
        <v>1609690865</v>
      </c>
      <c r="G6023" s="1" t="s">
        <v>33</v>
      </c>
      <c r="H6023" s="1" t="str">
        <f t="shared" si="1188"/>
        <v>20220930</v>
      </c>
      <c r="I6023" s="1" t="str">
        <f>"094743"</f>
        <v>094743</v>
      </c>
      <c r="J6023" s="1" t="s">
        <v>28</v>
      </c>
      <c r="K6023" s="1" t="s">
        <v>28</v>
      </c>
      <c r="L6023" s="1" t="str">
        <f t="shared" si="1189"/>
        <v>20220930</v>
      </c>
      <c r="M6023" s="1" t="str">
        <f>"100919"</f>
        <v>100919</v>
      </c>
      <c r="N6023" s="1" t="s">
        <v>34</v>
      </c>
      <c r="O6023" s="1" t="s">
        <v>34</v>
      </c>
      <c r="P6023" s="1" t="s">
        <v>55</v>
      </c>
      <c r="Q6023" s="1">
        <v>25</v>
      </c>
      <c r="R6023" s="1">
        <v>25</v>
      </c>
      <c r="S6023" s="1">
        <v>0</v>
      </c>
      <c r="T6023" s="1">
        <v>0</v>
      </c>
      <c r="U6023" s="1">
        <v>0</v>
      </c>
      <c r="V6023" s="1" t="str">
        <f t="shared" si="1192"/>
        <v>里程去程</v>
      </c>
      <c r="W6023" s="1" t="str">
        <f>"0820"</f>
        <v>0820</v>
      </c>
      <c r="X6023" s="1" t="s">
        <v>35</v>
      </c>
    </row>
    <row r="6024" spans="1:24" x14ac:dyDescent="0.3">
      <c r="A6024" s="1" t="str">
        <f t="shared" si="1186"/>
        <v>59809</v>
      </c>
      <c r="B6024" s="1" t="s">
        <v>42</v>
      </c>
      <c r="C6024" s="1" t="s">
        <v>43</v>
      </c>
      <c r="D6024" s="1" t="str">
        <f t="shared" si="1191"/>
        <v>9803</v>
      </c>
      <c r="E6024" s="1" t="s">
        <v>32</v>
      </c>
      <c r="F6024" s="1" t="str">
        <f>"987891765"</f>
        <v>987891765</v>
      </c>
      <c r="G6024" s="1" t="s">
        <v>33</v>
      </c>
      <c r="H6024" s="1" t="str">
        <f t="shared" si="1188"/>
        <v>20220930</v>
      </c>
      <c r="I6024" s="1" t="str">
        <f>"094746"</f>
        <v>094746</v>
      </c>
      <c r="J6024" s="1" t="s">
        <v>28</v>
      </c>
      <c r="K6024" s="1" t="s">
        <v>28</v>
      </c>
      <c r="L6024" s="1" t="str">
        <f t="shared" si="1189"/>
        <v>20220930</v>
      </c>
      <c r="M6024" s="1" t="str">
        <f>"100911"</f>
        <v>100911</v>
      </c>
      <c r="N6024" s="1" t="s">
        <v>34</v>
      </c>
      <c r="O6024" s="1" t="s">
        <v>34</v>
      </c>
      <c r="P6024" s="1" t="s">
        <v>55</v>
      </c>
      <c r="Q6024" s="1">
        <v>25</v>
      </c>
      <c r="R6024" s="1">
        <v>25</v>
      </c>
      <c r="S6024" s="1">
        <v>0</v>
      </c>
      <c r="T6024" s="1">
        <v>0</v>
      </c>
      <c r="U6024" s="1">
        <v>0</v>
      </c>
      <c r="V6024" s="1" t="str">
        <f t="shared" si="1192"/>
        <v>里程去程</v>
      </c>
      <c r="W6024" s="1" t="str">
        <f>"1420"</f>
        <v>1420</v>
      </c>
      <c r="X6024" s="1" t="s">
        <v>35</v>
      </c>
    </row>
    <row r="6025" spans="1:24" x14ac:dyDescent="0.3">
      <c r="A6025" s="1" t="str">
        <f t="shared" si="1186"/>
        <v>59809</v>
      </c>
      <c r="B6025" s="1" t="s">
        <v>42</v>
      </c>
      <c r="C6025" s="1" t="s">
        <v>43</v>
      </c>
      <c r="D6025" s="1" t="str">
        <f t="shared" si="1191"/>
        <v>9803</v>
      </c>
      <c r="E6025" s="1" t="s">
        <v>32</v>
      </c>
      <c r="F6025" s="1" t="str">
        <f>"E248CF1772880400C814002000000019"</f>
        <v>E248CF1772880400C814002000000019</v>
      </c>
      <c r="G6025" s="1" t="s">
        <v>58</v>
      </c>
      <c r="H6025" s="1" t="str">
        <f t="shared" si="1188"/>
        <v>20220930</v>
      </c>
      <c r="I6025" s="1" t="str">
        <f>"095031"</f>
        <v>095031</v>
      </c>
      <c r="J6025" s="1" t="s">
        <v>28</v>
      </c>
      <c r="K6025" s="1" t="s">
        <v>28</v>
      </c>
      <c r="L6025" s="1" t="str">
        <f t="shared" si="1189"/>
        <v>20220930</v>
      </c>
      <c r="M6025" s="1" t="str">
        <f>"100929"</f>
        <v>100929</v>
      </c>
      <c r="N6025" s="1" t="s">
        <v>34</v>
      </c>
      <c r="O6025" s="1" t="s">
        <v>34</v>
      </c>
      <c r="P6025" s="1" t="s">
        <v>55</v>
      </c>
      <c r="Q6025" s="1">
        <v>25</v>
      </c>
      <c r="R6025" s="1">
        <v>25</v>
      </c>
      <c r="S6025" s="1">
        <v>0</v>
      </c>
      <c r="T6025" s="1">
        <v>0</v>
      </c>
      <c r="U6025" s="1">
        <v>0</v>
      </c>
      <c r="V6025" s="1" t="str">
        <f t="shared" si="1192"/>
        <v>里程去程</v>
      </c>
      <c r="W6025" s="1" t="str">
        <f>"0020"</f>
        <v>0020</v>
      </c>
      <c r="X6025" s="1" t="s">
        <v>29</v>
      </c>
    </row>
    <row r="6026" spans="1:24" x14ac:dyDescent="0.3">
      <c r="A6026" s="1" t="str">
        <f t="shared" si="1186"/>
        <v>59809</v>
      </c>
      <c r="B6026" s="1" t="s">
        <v>42</v>
      </c>
      <c r="C6026" s="1" t="s">
        <v>43</v>
      </c>
      <c r="D6026" s="1" t="str">
        <f t="shared" si="1191"/>
        <v>9803</v>
      </c>
      <c r="E6026" s="1" t="s">
        <v>32</v>
      </c>
      <c r="F6026" s="1" t="str">
        <f>"1789855061"</f>
        <v>1789855061</v>
      </c>
      <c r="G6026" s="1" t="s">
        <v>33</v>
      </c>
      <c r="H6026" s="1" t="str">
        <f t="shared" si="1188"/>
        <v>20220930</v>
      </c>
      <c r="I6026" s="1" t="str">
        <f>"095041"</f>
        <v>095041</v>
      </c>
      <c r="J6026" s="1" t="s">
        <v>28</v>
      </c>
      <c r="K6026" s="1" t="s">
        <v>28</v>
      </c>
      <c r="L6026" s="1" t="str">
        <f t="shared" si="1189"/>
        <v>20220930</v>
      </c>
      <c r="M6026" s="1" t="str">
        <f>"100923"</f>
        <v>100923</v>
      </c>
      <c r="N6026" s="1" t="s">
        <v>34</v>
      </c>
      <c r="O6026" s="1" t="s">
        <v>34</v>
      </c>
      <c r="P6026" s="1" t="s">
        <v>55</v>
      </c>
      <c r="Q6026" s="1">
        <v>25</v>
      </c>
      <c r="R6026" s="1">
        <v>25</v>
      </c>
      <c r="S6026" s="1">
        <v>0</v>
      </c>
      <c r="T6026" s="1">
        <v>0</v>
      </c>
      <c r="U6026" s="1">
        <v>0</v>
      </c>
      <c r="V6026" s="1" t="str">
        <f t="shared" si="1192"/>
        <v>里程去程</v>
      </c>
      <c r="W6026" s="1" t="str">
        <f>"0920"</f>
        <v>0920</v>
      </c>
      <c r="X6026" s="1" t="s">
        <v>35</v>
      </c>
    </row>
    <row r="6027" spans="1:24" x14ac:dyDescent="0.3">
      <c r="A6027" s="1" t="str">
        <f t="shared" si="1186"/>
        <v>59809</v>
      </c>
      <c r="B6027" s="1" t="s">
        <v>42</v>
      </c>
      <c r="C6027" s="1" t="s">
        <v>43</v>
      </c>
      <c r="D6027" s="1" t="str">
        <f t="shared" si="1191"/>
        <v>9803</v>
      </c>
      <c r="E6027" s="1" t="s">
        <v>32</v>
      </c>
      <c r="F6027" s="1" t="str">
        <f>"22CB1607F8880400C838002000000015"</f>
        <v>22CB1607F8880400C838002000000015</v>
      </c>
      <c r="G6027" s="1" t="s">
        <v>58</v>
      </c>
      <c r="H6027" s="1" t="str">
        <f t="shared" si="1188"/>
        <v>20220930</v>
      </c>
      <c r="I6027" s="1" t="str">
        <f>"095050"</f>
        <v>095050</v>
      </c>
      <c r="J6027" s="1" t="s">
        <v>28</v>
      </c>
      <c r="K6027" s="1" t="s">
        <v>28</v>
      </c>
      <c r="L6027" s="1" t="str">
        <f t="shared" si="1189"/>
        <v>20220930</v>
      </c>
      <c r="M6027" s="1" t="str">
        <f>"100857"</f>
        <v>100857</v>
      </c>
      <c r="N6027" s="1" t="s">
        <v>34</v>
      </c>
      <c r="O6027" s="1" t="s">
        <v>34</v>
      </c>
      <c r="P6027" s="1" t="s">
        <v>55</v>
      </c>
      <c r="Q6027" s="1">
        <v>25</v>
      </c>
      <c r="R6027" s="1">
        <v>0</v>
      </c>
      <c r="S6027" s="1">
        <v>25</v>
      </c>
      <c r="T6027" s="1">
        <v>0</v>
      </c>
      <c r="U6027" s="1">
        <v>0</v>
      </c>
      <c r="V6027" s="1" t="str">
        <f t="shared" si="1192"/>
        <v>里程去程</v>
      </c>
      <c r="W6027" s="1" t="str">
        <f>"0620"</f>
        <v>0620</v>
      </c>
      <c r="X6027" s="1" t="s">
        <v>29</v>
      </c>
    </row>
    <row r="6028" spans="1:24" x14ac:dyDescent="0.3">
      <c r="A6028" s="1" t="str">
        <f t="shared" si="1186"/>
        <v>59809</v>
      </c>
      <c r="B6028" s="1" t="s">
        <v>42</v>
      </c>
      <c r="C6028" s="1" t="s">
        <v>43</v>
      </c>
      <c r="D6028" s="1" t="str">
        <f>"9805"</f>
        <v>9805</v>
      </c>
      <c r="E6028" s="1" t="s">
        <v>57</v>
      </c>
      <c r="F6028" s="1" t="str">
        <f>"73DADB443688040046B994D54D203509"</f>
        <v>73DADB443688040046B994D54D203509</v>
      </c>
      <c r="G6028" s="1" t="s">
        <v>64</v>
      </c>
      <c r="H6028" s="1" t="str">
        <f t="shared" si="1188"/>
        <v>20220930</v>
      </c>
      <c r="I6028" s="1" t="str">
        <f>"130701"</f>
        <v>130701</v>
      </c>
      <c r="J6028" s="1" t="s">
        <v>52</v>
      </c>
      <c r="K6028" s="1" t="s">
        <v>52</v>
      </c>
      <c r="L6028" s="1" t="str">
        <f t="shared" si="1189"/>
        <v>20220930</v>
      </c>
      <c r="M6028" s="1" t="str">
        <f>"132802"</f>
        <v>132802</v>
      </c>
      <c r="N6028" s="1" t="s">
        <v>28</v>
      </c>
      <c r="O6028" s="1" t="s">
        <v>28</v>
      </c>
      <c r="P6028" s="1" t="s">
        <v>55</v>
      </c>
      <c r="Q6028" s="1">
        <v>13</v>
      </c>
      <c r="R6028" s="1">
        <v>13</v>
      </c>
      <c r="S6028" s="1">
        <v>0</v>
      </c>
      <c r="T6028" s="1">
        <v>0</v>
      </c>
      <c r="U6028" s="1">
        <v>0</v>
      </c>
      <c r="V6028" s="1" t="str">
        <f>"里程返程"</f>
        <v>里程返程</v>
      </c>
      <c r="W6028" s="1" t="str">
        <f>"0020"</f>
        <v>0020</v>
      </c>
      <c r="X6028" s="1" t="s">
        <v>29</v>
      </c>
    </row>
    <row r="6029" spans="1:24" x14ac:dyDescent="0.3">
      <c r="A6029" s="1" t="str">
        <f t="shared" si="1186"/>
        <v>59809</v>
      </c>
      <c r="B6029" s="1" t="s">
        <v>42</v>
      </c>
      <c r="C6029" s="1" t="s">
        <v>43</v>
      </c>
      <c r="D6029" s="1" t="str">
        <f>"9805"</f>
        <v>9805</v>
      </c>
      <c r="E6029" s="1" t="s">
        <v>57</v>
      </c>
      <c r="F6029" s="1" t="str">
        <f>"5BF7A88E8A880400464D46134D101009"</f>
        <v>5BF7A88E8A880400464D46134D101009</v>
      </c>
      <c r="G6029" s="1" t="s">
        <v>82</v>
      </c>
      <c r="H6029" s="1" t="str">
        <f t="shared" si="1188"/>
        <v>20220930</v>
      </c>
      <c r="I6029" s="1" t="str">
        <f>"130703"</f>
        <v>130703</v>
      </c>
      <c r="J6029" s="1" t="s">
        <v>52</v>
      </c>
      <c r="K6029" s="1" t="s">
        <v>52</v>
      </c>
      <c r="L6029" s="1" t="str">
        <f t="shared" si="1189"/>
        <v>20220930</v>
      </c>
      <c r="M6029" s="1" t="str">
        <f>"132804"</f>
        <v>132804</v>
      </c>
      <c r="N6029" s="1" t="s">
        <v>28</v>
      </c>
      <c r="O6029" s="1" t="s">
        <v>28</v>
      </c>
      <c r="P6029" s="1" t="s">
        <v>55</v>
      </c>
      <c r="Q6029" s="1">
        <v>13</v>
      </c>
      <c r="R6029" s="1">
        <v>13</v>
      </c>
      <c r="S6029" s="1">
        <v>0</v>
      </c>
      <c r="T6029" s="1">
        <v>0</v>
      </c>
      <c r="U6029" s="1">
        <v>0</v>
      </c>
      <c r="V6029" s="1" t="str">
        <f>"里程返程"</f>
        <v>里程返程</v>
      </c>
      <c r="W6029" s="1" t="str">
        <f>"0020"</f>
        <v>0020</v>
      </c>
      <c r="X6029" s="1" t="s">
        <v>29</v>
      </c>
    </row>
    <row r="6030" spans="1:24" x14ac:dyDescent="0.3">
      <c r="A6030" s="1" t="str">
        <f t="shared" si="1186"/>
        <v>59809</v>
      </c>
      <c r="B6030" s="1" t="s">
        <v>42</v>
      </c>
      <c r="C6030" s="1" t="s">
        <v>43</v>
      </c>
      <c r="D6030" s="1" t="str">
        <f>"9805"</f>
        <v>9805</v>
      </c>
      <c r="E6030" s="1" t="s">
        <v>57</v>
      </c>
      <c r="F6030" s="1" t="str">
        <f>"B1850655672804001C00000000000000"</f>
        <v>B1850655672804001C00000000000000</v>
      </c>
      <c r="G6030" s="1" t="s">
        <v>58</v>
      </c>
      <c r="H6030" s="1" t="str">
        <f t="shared" si="1188"/>
        <v>20220930</v>
      </c>
      <c r="I6030" s="1" t="str">
        <f>"130706"</f>
        <v>130706</v>
      </c>
      <c r="J6030" s="1" t="s">
        <v>52</v>
      </c>
      <c r="K6030" s="1" t="s">
        <v>52</v>
      </c>
      <c r="L6030" s="1" t="str">
        <f t="shared" si="1189"/>
        <v>20220930</v>
      </c>
      <c r="M6030" s="1" t="str">
        <f>"132807"</f>
        <v>132807</v>
      </c>
      <c r="N6030" s="1" t="s">
        <v>28</v>
      </c>
      <c r="O6030" s="1" t="s">
        <v>28</v>
      </c>
      <c r="P6030" s="1" t="s">
        <v>55</v>
      </c>
      <c r="Q6030" s="1">
        <v>25</v>
      </c>
      <c r="R6030" s="1">
        <v>25</v>
      </c>
      <c r="S6030" s="1">
        <v>0</v>
      </c>
      <c r="T6030" s="1">
        <v>0</v>
      </c>
      <c r="U6030" s="1">
        <v>0</v>
      </c>
      <c r="V6030" s="1" t="str">
        <f>"里程返程"</f>
        <v>里程返程</v>
      </c>
      <c r="W6030" s="1" t="str">
        <f>"0020"</f>
        <v>0020</v>
      </c>
      <c r="X6030" s="1" t="s">
        <v>29</v>
      </c>
    </row>
    <row r="6031" spans="1:24" x14ac:dyDescent="0.3">
      <c r="A6031" s="1" t="str">
        <f t="shared" si="1186"/>
        <v>59809</v>
      </c>
      <c r="B6031" s="1" t="s">
        <v>42</v>
      </c>
      <c r="C6031" s="1" t="s">
        <v>43</v>
      </c>
      <c r="D6031" s="1" t="str">
        <f>"9805"</f>
        <v>9805</v>
      </c>
      <c r="E6031" s="1" t="s">
        <v>57</v>
      </c>
      <c r="F6031" s="1" t="str">
        <f>"814324357"</f>
        <v>814324357</v>
      </c>
      <c r="G6031" s="1" t="s">
        <v>33</v>
      </c>
      <c r="H6031" s="1" t="str">
        <f t="shared" si="1188"/>
        <v>20220930</v>
      </c>
      <c r="I6031" s="1" t="str">
        <f>"130926"</f>
        <v>130926</v>
      </c>
      <c r="J6031" s="1" t="s">
        <v>52</v>
      </c>
      <c r="K6031" s="1" t="s">
        <v>52</v>
      </c>
      <c r="L6031" s="1" t="str">
        <f t="shared" si="1189"/>
        <v>20220930</v>
      </c>
      <c r="M6031" s="1" t="str">
        <f>"132820"</f>
        <v>132820</v>
      </c>
      <c r="N6031" s="1" t="s">
        <v>28</v>
      </c>
      <c r="O6031" s="1" t="s">
        <v>28</v>
      </c>
      <c r="P6031" s="1" t="s">
        <v>55</v>
      </c>
      <c r="Q6031" s="1">
        <v>25</v>
      </c>
      <c r="R6031" s="1">
        <v>25</v>
      </c>
      <c r="S6031" s="1">
        <v>0</v>
      </c>
      <c r="T6031" s="1">
        <v>0</v>
      </c>
      <c r="U6031" s="1">
        <v>0</v>
      </c>
      <c r="V6031" s="1" t="str">
        <f>"里程返程"</f>
        <v>里程返程</v>
      </c>
      <c r="W6031" s="1" t="str">
        <f>"2120"</f>
        <v>2120</v>
      </c>
      <c r="X6031" s="1" t="s">
        <v>35</v>
      </c>
    </row>
    <row r="6032" spans="1:24" x14ac:dyDescent="0.3">
      <c r="A6032" s="1" t="str">
        <f t="shared" ref="A6032:A6062" si="1193">"59809"</f>
        <v>59809</v>
      </c>
      <c r="B6032" s="1" t="s">
        <v>42</v>
      </c>
      <c r="C6032" s="1" t="s">
        <v>43</v>
      </c>
      <c r="D6032" s="1" t="str">
        <f t="shared" ref="D6032:D6044" si="1194">"9803"</f>
        <v>9803</v>
      </c>
      <c r="E6032" s="1" t="s">
        <v>32</v>
      </c>
      <c r="F6032" s="1" t="str">
        <f>"44232353"</f>
        <v>44232353</v>
      </c>
      <c r="G6032" s="1" t="s">
        <v>33</v>
      </c>
      <c r="H6032" s="1" t="str">
        <f t="shared" si="1188"/>
        <v>20220930</v>
      </c>
      <c r="I6032" s="1" t="str">
        <f>"132852"</f>
        <v>132852</v>
      </c>
      <c r="J6032" s="1" t="s">
        <v>28</v>
      </c>
      <c r="K6032" s="1" t="s">
        <v>28</v>
      </c>
      <c r="L6032" s="1" t="str">
        <f t="shared" ref="L6032:L6063" si="1195">"20220930"</f>
        <v>20220930</v>
      </c>
      <c r="M6032" s="1" t="str">
        <f>"133808"</f>
        <v>133808</v>
      </c>
      <c r="N6032" s="1" t="s">
        <v>46</v>
      </c>
      <c r="O6032" s="1" t="s">
        <v>28</v>
      </c>
      <c r="P6032" s="1" t="s">
        <v>55</v>
      </c>
      <c r="Q6032" s="1">
        <v>25</v>
      </c>
      <c r="R6032" s="1">
        <v>25</v>
      </c>
      <c r="S6032" s="1">
        <v>0</v>
      </c>
      <c r="T6032" s="1">
        <v>0</v>
      </c>
      <c r="U6032" s="1">
        <v>0</v>
      </c>
      <c r="V6032" s="1" t="str">
        <f t="shared" ref="V6032:V6042" si="1196">"里程去程"</f>
        <v>里程去程</v>
      </c>
      <c r="W6032" s="1" t="str">
        <f>"2320"</f>
        <v>2320</v>
      </c>
      <c r="X6032" s="1" t="s">
        <v>35</v>
      </c>
    </row>
    <row r="6033" spans="1:24" x14ac:dyDescent="0.3">
      <c r="A6033" s="1" t="str">
        <f t="shared" si="1193"/>
        <v>59809</v>
      </c>
      <c r="B6033" s="1" t="s">
        <v>42</v>
      </c>
      <c r="C6033" s="1" t="s">
        <v>43</v>
      </c>
      <c r="D6033" s="1" t="str">
        <f t="shared" si="1194"/>
        <v>9803</v>
      </c>
      <c r="E6033" s="1" t="s">
        <v>32</v>
      </c>
      <c r="F6033" s="1" t="str">
        <f>"1075684785"</f>
        <v>1075684785</v>
      </c>
      <c r="G6033" s="1" t="s">
        <v>33</v>
      </c>
      <c r="H6033" s="1" t="str">
        <f t="shared" si="1188"/>
        <v>20220930</v>
      </c>
      <c r="I6033" s="1" t="str">
        <f>"132854"</f>
        <v>132854</v>
      </c>
      <c r="J6033" s="1" t="s">
        <v>28</v>
      </c>
      <c r="K6033" s="1" t="s">
        <v>28</v>
      </c>
      <c r="L6033" s="1" t="str">
        <f t="shared" si="1195"/>
        <v>20220930</v>
      </c>
      <c r="M6033" s="1" t="str">
        <f>"133807"</f>
        <v>133807</v>
      </c>
      <c r="N6033" s="1" t="s">
        <v>46</v>
      </c>
      <c r="O6033" s="1" t="s">
        <v>28</v>
      </c>
      <c r="P6033" s="1" t="s">
        <v>55</v>
      </c>
      <c r="Q6033" s="1">
        <v>25</v>
      </c>
      <c r="R6033" s="1">
        <v>25</v>
      </c>
      <c r="S6033" s="1">
        <v>0</v>
      </c>
      <c r="T6033" s="1">
        <v>0</v>
      </c>
      <c r="U6033" s="1">
        <v>0</v>
      </c>
      <c r="V6033" s="1" t="str">
        <f t="shared" si="1196"/>
        <v>里程去程</v>
      </c>
      <c r="W6033" s="1" t="str">
        <f>"0120"</f>
        <v>0120</v>
      </c>
      <c r="X6033" s="1" t="s">
        <v>35</v>
      </c>
    </row>
    <row r="6034" spans="1:24" x14ac:dyDescent="0.3">
      <c r="A6034" s="1" t="str">
        <f t="shared" si="1193"/>
        <v>59809</v>
      </c>
      <c r="B6034" s="1" t="s">
        <v>42</v>
      </c>
      <c r="C6034" s="1" t="s">
        <v>43</v>
      </c>
      <c r="D6034" s="1" t="str">
        <f t="shared" si="1194"/>
        <v>9803</v>
      </c>
      <c r="E6034" s="1" t="s">
        <v>32</v>
      </c>
      <c r="F6034" s="1" t="str">
        <f>"1687886325"</f>
        <v>1687886325</v>
      </c>
      <c r="G6034" s="1" t="s">
        <v>33</v>
      </c>
      <c r="H6034" s="1" t="str">
        <f t="shared" si="1188"/>
        <v>20220930</v>
      </c>
      <c r="I6034" s="1" t="str">
        <f>"132858"</f>
        <v>132858</v>
      </c>
      <c r="J6034" s="1" t="s">
        <v>28</v>
      </c>
      <c r="K6034" s="1" t="s">
        <v>28</v>
      </c>
      <c r="L6034" s="1" t="str">
        <f t="shared" si="1195"/>
        <v>20220930</v>
      </c>
      <c r="M6034" s="1" t="str">
        <f>"134723"</f>
        <v>134723</v>
      </c>
      <c r="N6034" s="1" t="s">
        <v>34</v>
      </c>
      <c r="O6034" s="1" t="s">
        <v>34</v>
      </c>
      <c r="P6034" s="1" t="s">
        <v>55</v>
      </c>
      <c r="Q6034" s="1">
        <v>25</v>
      </c>
      <c r="R6034" s="1">
        <v>0</v>
      </c>
      <c r="S6034" s="1">
        <v>25</v>
      </c>
      <c r="T6034" s="1">
        <v>0</v>
      </c>
      <c r="U6034" s="1">
        <v>0</v>
      </c>
      <c r="V6034" s="1" t="str">
        <f t="shared" si="1196"/>
        <v>里程去程</v>
      </c>
      <c r="W6034" s="1" t="str">
        <f>"0820"</f>
        <v>0820</v>
      </c>
      <c r="X6034" s="1" t="s">
        <v>35</v>
      </c>
    </row>
    <row r="6035" spans="1:24" x14ac:dyDescent="0.3">
      <c r="A6035" s="1" t="str">
        <f t="shared" si="1193"/>
        <v>59809</v>
      </c>
      <c r="B6035" s="1" t="s">
        <v>42</v>
      </c>
      <c r="C6035" s="1" t="s">
        <v>43</v>
      </c>
      <c r="D6035" s="1" t="str">
        <f t="shared" si="1194"/>
        <v>9803</v>
      </c>
      <c r="E6035" s="1" t="s">
        <v>32</v>
      </c>
      <c r="F6035" s="1" t="str">
        <f>"400157809"</f>
        <v>400157809</v>
      </c>
      <c r="G6035" s="1" t="s">
        <v>33</v>
      </c>
      <c r="H6035" s="1" t="str">
        <f t="shared" si="1188"/>
        <v>20220930</v>
      </c>
      <c r="I6035" s="1" t="str">
        <f>"132900"</f>
        <v>132900</v>
      </c>
      <c r="J6035" s="1" t="s">
        <v>28</v>
      </c>
      <c r="K6035" s="1" t="s">
        <v>28</v>
      </c>
      <c r="L6035" s="1" t="str">
        <f t="shared" si="1195"/>
        <v>20220930</v>
      </c>
      <c r="M6035" s="1" t="str">
        <f>"134720"</f>
        <v>134720</v>
      </c>
      <c r="N6035" s="1" t="s">
        <v>34</v>
      </c>
      <c r="O6035" s="1" t="s">
        <v>34</v>
      </c>
      <c r="P6035" s="1" t="s">
        <v>55</v>
      </c>
      <c r="Q6035" s="1">
        <v>25</v>
      </c>
      <c r="R6035" s="1">
        <v>0</v>
      </c>
      <c r="S6035" s="1">
        <v>25</v>
      </c>
      <c r="T6035" s="1">
        <v>0</v>
      </c>
      <c r="U6035" s="1">
        <v>0</v>
      </c>
      <c r="V6035" s="1" t="str">
        <f t="shared" si="1196"/>
        <v>里程去程</v>
      </c>
      <c r="W6035" s="1" t="str">
        <f>"0820"</f>
        <v>0820</v>
      </c>
      <c r="X6035" s="1" t="s">
        <v>35</v>
      </c>
    </row>
    <row r="6036" spans="1:24" x14ac:dyDescent="0.3">
      <c r="A6036" s="1" t="str">
        <f t="shared" si="1193"/>
        <v>59809</v>
      </c>
      <c r="B6036" s="1" t="s">
        <v>42</v>
      </c>
      <c r="C6036" s="1" t="s">
        <v>43</v>
      </c>
      <c r="D6036" s="1" t="str">
        <f t="shared" si="1194"/>
        <v>9803</v>
      </c>
      <c r="E6036" s="1" t="s">
        <v>32</v>
      </c>
      <c r="F6036" s="1" t="str">
        <f>"1689338085"</f>
        <v>1689338085</v>
      </c>
      <c r="G6036" s="1" t="s">
        <v>33</v>
      </c>
      <c r="H6036" s="1" t="str">
        <f t="shared" si="1188"/>
        <v>20220930</v>
      </c>
      <c r="I6036" s="1" t="str">
        <f>"132903"</f>
        <v>132903</v>
      </c>
      <c r="J6036" s="1" t="s">
        <v>28</v>
      </c>
      <c r="K6036" s="1" t="s">
        <v>28</v>
      </c>
      <c r="L6036" s="1" t="str">
        <f t="shared" si="1195"/>
        <v>20220930</v>
      </c>
      <c r="M6036" s="1" t="str">
        <f>"134743"</f>
        <v>134743</v>
      </c>
      <c r="N6036" s="1" t="s">
        <v>34</v>
      </c>
      <c r="O6036" s="1" t="s">
        <v>34</v>
      </c>
      <c r="P6036" s="1" t="s">
        <v>55</v>
      </c>
      <c r="Q6036" s="1">
        <v>25</v>
      </c>
      <c r="R6036" s="1">
        <v>25</v>
      </c>
      <c r="S6036" s="1">
        <v>0</v>
      </c>
      <c r="T6036" s="1">
        <v>0</v>
      </c>
      <c r="U6036" s="1">
        <v>0</v>
      </c>
      <c r="V6036" s="1" t="str">
        <f t="shared" si="1196"/>
        <v>里程去程</v>
      </c>
      <c r="W6036" s="1" t="str">
        <f>"0020"</f>
        <v>0020</v>
      </c>
      <c r="X6036" s="1" t="s">
        <v>35</v>
      </c>
    </row>
    <row r="6037" spans="1:24" x14ac:dyDescent="0.3">
      <c r="A6037" s="1" t="str">
        <f t="shared" si="1193"/>
        <v>59809</v>
      </c>
      <c r="B6037" s="1" t="s">
        <v>42</v>
      </c>
      <c r="C6037" s="1" t="s">
        <v>43</v>
      </c>
      <c r="D6037" s="1" t="str">
        <f t="shared" si="1194"/>
        <v>9803</v>
      </c>
      <c r="E6037" s="1" t="s">
        <v>32</v>
      </c>
      <c r="F6037" s="1" t="str">
        <f>"730248469"</f>
        <v>730248469</v>
      </c>
      <c r="G6037" s="1" t="s">
        <v>33</v>
      </c>
      <c r="H6037" s="1" t="str">
        <f t="shared" si="1188"/>
        <v>20220930</v>
      </c>
      <c r="I6037" s="1" t="str">
        <f>"132906"</f>
        <v>132906</v>
      </c>
      <c r="J6037" s="1" t="s">
        <v>28</v>
      </c>
      <c r="K6037" s="1" t="s">
        <v>28</v>
      </c>
      <c r="L6037" s="1" t="str">
        <f t="shared" si="1195"/>
        <v>20220930</v>
      </c>
      <c r="M6037" s="1" t="str">
        <f>"134750"</f>
        <v>134750</v>
      </c>
      <c r="N6037" s="1" t="s">
        <v>34</v>
      </c>
      <c r="O6037" s="1" t="s">
        <v>34</v>
      </c>
      <c r="P6037" s="1" t="s">
        <v>55</v>
      </c>
      <c r="Q6037" s="1">
        <v>25</v>
      </c>
      <c r="R6037" s="1">
        <v>0</v>
      </c>
      <c r="S6037" s="1">
        <v>25</v>
      </c>
      <c r="T6037" s="1">
        <v>0</v>
      </c>
      <c r="U6037" s="1">
        <v>0</v>
      </c>
      <c r="V6037" s="1" t="str">
        <f t="shared" si="1196"/>
        <v>里程去程</v>
      </c>
      <c r="W6037" s="1" t="str">
        <f>"0820"</f>
        <v>0820</v>
      </c>
      <c r="X6037" s="1" t="s">
        <v>35</v>
      </c>
    </row>
    <row r="6038" spans="1:24" x14ac:dyDescent="0.3">
      <c r="A6038" s="1" t="str">
        <f t="shared" si="1193"/>
        <v>59809</v>
      </c>
      <c r="B6038" s="1" t="s">
        <v>42</v>
      </c>
      <c r="C6038" s="1" t="s">
        <v>43</v>
      </c>
      <c r="D6038" s="1" t="str">
        <f t="shared" si="1194"/>
        <v>9803</v>
      </c>
      <c r="E6038" s="1" t="s">
        <v>32</v>
      </c>
      <c r="F6038" s="1" t="str">
        <f>"1008791585"</f>
        <v>1008791585</v>
      </c>
      <c r="G6038" s="1" t="s">
        <v>33</v>
      </c>
      <c r="H6038" s="1" t="str">
        <f t="shared" si="1188"/>
        <v>20220930</v>
      </c>
      <c r="I6038" s="1" t="str">
        <f>"132911"</f>
        <v>132911</v>
      </c>
      <c r="J6038" s="1" t="s">
        <v>28</v>
      </c>
      <c r="K6038" s="1" t="s">
        <v>28</v>
      </c>
      <c r="L6038" s="1" t="str">
        <f t="shared" si="1195"/>
        <v>20220930</v>
      </c>
      <c r="M6038" s="1" t="str">
        <f>"134725"</f>
        <v>134725</v>
      </c>
      <c r="N6038" s="1" t="s">
        <v>34</v>
      </c>
      <c r="O6038" s="1" t="s">
        <v>34</v>
      </c>
      <c r="P6038" s="1" t="s">
        <v>55</v>
      </c>
      <c r="Q6038" s="1">
        <v>25</v>
      </c>
      <c r="R6038" s="1">
        <v>25</v>
      </c>
      <c r="S6038" s="1">
        <v>0</v>
      </c>
      <c r="T6038" s="1">
        <v>0</v>
      </c>
      <c r="U6038" s="1">
        <v>0</v>
      </c>
      <c r="V6038" s="1" t="str">
        <f t="shared" si="1196"/>
        <v>里程去程</v>
      </c>
      <c r="W6038" s="1" t="str">
        <f>"1420"</f>
        <v>1420</v>
      </c>
      <c r="X6038" s="1" t="s">
        <v>35</v>
      </c>
    </row>
    <row r="6039" spans="1:24" x14ac:dyDescent="0.3">
      <c r="A6039" s="1" t="str">
        <f t="shared" si="1193"/>
        <v>59809</v>
      </c>
      <c r="B6039" s="1" t="s">
        <v>42</v>
      </c>
      <c r="C6039" s="1" t="s">
        <v>43</v>
      </c>
      <c r="D6039" s="1" t="str">
        <f t="shared" si="1194"/>
        <v>9803</v>
      </c>
      <c r="E6039" s="1" t="s">
        <v>32</v>
      </c>
      <c r="F6039" s="1" t="str">
        <f>"1019653797"</f>
        <v>1019653797</v>
      </c>
      <c r="G6039" s="1" t="s">
        <v>33</v>
      </c>
      <c r="H6039" s="1" t="str">
        <f t="shared" si="1188"/>
        <v>20220930</v>
      </c>
      <c r="I6039" s="1" t="str">
        <f>"132921"</f>
        <v>132921</v>
      </c>
      <c r="J6039" s="1" t="s">
        <v>28</v>
      </c>
      <c r="K6039" s="1" t="s">
        <v>28</v>
      </c>
      <c r="L6039" s="1" t="str">
        <f t="shared" si="1195"/>
        <v>20220930</v>
      </c>
      <c r="M6039" s="1" t="str">
        <f>"134731"</f>
        <v>134731</v>
      </c>
      <c r="N6039" s="1" t="s">
        <v>34</v>
      </c>
      <c r="O6039" s="1" t="s">
        <v>34</v>
      </c>
      <c r="P6039" s="1" t="s">
        <v>55</v>
      </c>
      <c r="Q6039" s="1">
        <v>25</v>
      </c>
      <c r="R6039" s="1">
        <v>25</v>
      </c>
      <c r="S6039" s="1">
        <v>0</v>
      </c>
      <c r="T6039" s="1">
        <v>0</v>
      </c>
      <c r="U6039" s="1">
        <v>0</v>
      </c>
      <c r="V6039" s="1" t="str">
        <f t="shared" si="1196"/>
        <v>里程去程</v>
      </c>
      <c r="W6039" s="1" t="str">
        <f>"1420"</f>
        <v>1420</v>
      </c>
      <c r="X6039" s="1" t="s">
        <v>35</v>
      </c>
    </row>
    <row r="6040" spans="1:24" x14ac:dyDescent="0.3">
      <c r="A6040" s="1" t="str">
        <f t="shared" si="1193"/>
        <v>59809</v>
      </c>
      <c r="B6040" s="1" t="s">
        <v>42</v>
      </c>
      <c r="C6040" s="1" t="s">
        <v>43</v>
      </c>
      <c r="D6040" s="1" t="str">
        <f t="shared" si="1194"/>
        <v>9803</v>
      </c>
      <c r="E6040" s="1" t="s">
        <v>32</v>
      </c>
      <c r="F6040" s="1" t="str">
        <f>"90871909"</f>
        <v>90871909</v>
      </c>
      <c r="G6040" s="1" t="s">
        <v>33</v>
      </c>
      <c r="H6040" s="1" t="str">
        <f t="shared" si="1188"/>
        <v>20220930</v>
      </c>
      <c r="I6040" s="1" t="str">
        <f>"132936"</f>
        <v>132936</v>
      </c>
      <c r="J6040" s="1" t="s">
        <v>28</v>
      </c>
      <c r="K6040" s="1" t="s">
        <v>28</v>
      </c>
      <c r="L6040" s="1" t="str">
        <f t="shared" si="1195"/>
        <v>20220930</v>
      </c>
      <c r="M6040" s="1" t="str">
        <f>"134715"</f>
        <v>134715</v>
      </c>
      <c r="N6040" s="1" t="s">
        <v>34</v>
      </c>
      <c r="O6040" s="1" t="s">
        <v>34</v>
      </c>
      <c r="P6040" s="1" t="s">
        <v>55</v>
      </c>
      <c r="Q6040" s="1">
        <v>25</v>
      </c>
      <c r="R6040" s="1">
        <v>0</v>
      </c>
      <c r="S6040" s="1">
        <v>25</v>
      </c>
      <c r="T6040" s="1">
        <v>0</v>
      </c>
      <c r="U6040" s="1">
        <v>0</v>
      </c>
      <c r="V6040" s="1" t="str">
        <f t="shared" si="1196"/>
        <v>里程去程</v>
      </c>
      <c r="W6040" s="1" t="str">
        <f>"0820"</f>
        <v>0820</v>
      </c>
      <c r="X6040" s="1" t="s">
        <v>35</v>
      </c>
    </row>
    <row r="6041" spans="1:24" x14ac:dyDescent="0.3">
      <c r="A6041" s="1" t="str">
        <f t="shared" si="1193"/>
        <v>59809</v>
      </c>
      <c r="B6041" s="1" t="s">
        <v>42</v>
      </c>
      <c r="C6041" s="1" t="s">
        <v>43</v>
      </c>
      <c r="D6041" s="1" t="str">
        <f t="shared" si="1194"/>
        <v>9803</v>
      </c>
      <c r="E6041" s="1" t="s">
        <v>32</v>
      </c>
      <c r="F6041" s="1" t="str">
        <f>"169368277"</f>
        <v>169368277</v>
      </c>
      <c r="G6041" s="1" t="s">
        <v>33</v>
      </c>
      <c r="H6041" s="1" t="str">
        <f t="shared" si="1188"/>
        <v>20220930</v>
      </c>
      <c r="I6041" s="1" t="str">
        <f>"132943"</f>
        <v>132943</v>
      </c>
      <c r="J6041" s="1" t="s">
        <v>28</v>
      </c>
      <c r="K6041" s="1" t="s">
        <v>28</v>
      </c>
      <c r="L6041" s="1" t="str">
        <f t="shared" si="1195"/>
        <v>20220930</v>
      </c>
      <c r="M6041" s="1" t="str">
        <f>"134710"</f>
        <v>134710</v>
      </c>
      <c r="N6041" s="1" t="s">
        <v>34</v>
      </c>
      <c r="O6041" s="1" t="s">
        <v>34</v>
      </c>
      <c r="P6041" s="1" t="s">
        <v>55</v>
      </c>
      <c r="Q6041" s="1">
        <v>25</v>
      </c>
      <c r="R6041" s="1">
        <v>0</v>
      </c>
      <c r="S6041" s="1">
        <v>25</v>
      </c>
      <c r="T6041" s="1">
        <v>0</v>
      </c>
      <c r="U6041" s="1">
        <v>0</v>
      </c>
      <c r="V6041" s="1" t="str">
        <f t="shared" si="1196"/>
        <v>里程去程</v>
      </c>
      <c r="W6041" s="1" t="str">
        <f>"0820"</f>
        <v>0820</v>
      </c>
      <c r="X6041" s="1" t="s">
        <v>35</v>
      </c>
    </row>
    <row r="6042" spans="1:24" x14ac:dyDescent="0.3">
      <c r="A6042" s="1" t="str">
        <f t="shared" si="1193"/>
        <v>59809</v>
      </c>
      <c r="B6042" s="1" t="s">
        <v>42</v>
      </c>
      <c r="C6042" s="1" t="s">
        <v>43</v>
      </c>
      <c r="D6042" s="1" t="str">
        <f t="shared" si="1194"/>
        <v>9803</v>
      </c>
      <c r="E6042" s="1" t="s">
        <v>32</v>
      </c>
      <c r="F6042" s="1" t="str">
        <f>"673998351"</f>
        <v>673998351</v>
      </c>
      <c r="G6042" s="1" t="s">
        <v>33</v>
      </c>
      <c r="H6042" s="1" t="str">
        <f t="shared" si="1188"/>
        <v>20220930</v>
      </c>
      <c r="I6042" s="1" t="str">
        <f>"132953"</f>
        <v>132953</v>
      </c>
      <c r="J6042" s="1" t="s">
        <v>28</v>
      </c>
      <c r="K6042" s="1" t="s">
        <v>28</v>
      </c>
      <c r="L6042" s="1" t="str">
        <f t="shared" si="1195"/>
        <v>20220930</v>
      </c>
      <c r="M6042" s="1" t="str">
        <f>"134728"</f>
        <v>134728</v>
      </c>
      <c r="N6042" s="1" t="s">
        <v>34</v>
      </c>
      <c r="O6042" s="1" t="s">
        <v>34</v>
      </c>
      <c r="P6042" s="1" t="s">
        <v>55</v>
      </c>
      <c r="Q6042" s="1">
        <v>25</v>
      </c>
      <c r="R6042" s="1">
        <v>25</v>
      </c>
      <c r="S6042" s="1">
        <v>0</v>
      </c>
      <c r="T6042" s="1">
        <v>0</v>
      </c>
      <c r="U6042" s="1">
        <v>0</v>
      </c>
      <c r="V6042" s="1" t="str">
        <f t="shared" si="1196"/>
        <v>里程去程</v>
      </c>
      <c r="W6042" s="1" t="str">
        <f>"0120"</f>
        <v>0120</v>
      </c>
      <c r="X6042" s="1" t="s">
        <v>35</v>
      </c>
    </row>
    <row r="6043" spans="1:24" x14ac:dyDescent="0.3">
      <c r="A6043" s="1" t="str">
        <f t="shared" si="1193"/>
        <v>59809</v>
      </c>
      <c r="B6043" s="1" t="s">
        <v>42</v>
      </c>
      <c r="C6043" s="1" t="s">
        <v>43</v>
      </c>
      <c r="D6043" s="1" t="str">
        <f t="shared" si="1194"/>
        <v>9803</v>
      </c>
      <c r="E6043" s="1" t="s">
        <v>32</v>
      </c>
      <c r="F6043" s="1" t="str">
        <f>"3201553251"</f>
        <v>3201553251</v>
      </c>
      <c r="G6043" s="1" t="s">
        <v>33</v>
      </c>
      <c r="H6043" s="1" t="str">
        <f t="shared" si="1188"/>
        <v>20220930</v>
      </c>
      <c r="I6043" s="1" t="str">
        <f>"135900"</f>
        <v>135900</v>
      </c>
      <c r="J6043" s="1" t="s">
        <v>34</v>
      </c>
      <c r="K6043" s="1" t="s">
        <v>34</v>
      </c>
      <c r="L6043" s="1" t="str">
        <f t="shared" si="1195"/>
        <v>20220930</v>
      </c>
      <c r="M6043" s="1" t="str">
        <f>"142626"</f>
        <v>142626</v>
      </c>
      <c r="N6043" s="1" t="s">
        <v>28</v>
      </c>
      <c r="O6043" s="1" t="s">
        <v>28</v>
      </c>
      <c r="P6043" s="1" t="s">
        <v>55</v>
      </c>
      <c r="Q6043" s="1">
        <v>25</v>
      </c>
      <c r="R6043" s="1">
        <v>25</v>
      </c>
      <c r="S6043" s="1">
        <v>0</v>
      </c>
      <c r="T6043" s="1">
        <v>0</v>
      </c>
      <c r="U6043" s="1">
        <v>0</v>
      </c>
      <c r="V6043" s="1" t="str">
        <f>"里程返程"</f>
        <v>里程返程</v>
      </c>
      <c r="W6043" s="1" t="str">
        <f>"2020"</f>
        <v>2020</v>
      </c>
      <c r="X6043" s="1" t="s">
        <v>35</v>
      </c>
    </row>
    <row r="6044" spans="1:24" x14ac:dyDescent="0.3">
      <c r="A6044" s="1" t="str">
        <f t="shared" si="1193"/>
        <v>59809</v>
      </c>
      <c r="B6044" s="1" t="s">
        <v>42</v>
      </c>
      <c r="C6044" s="1" t="s">
        <v>43</v>
      </c>
      <c r="D6044" s="1" t="str">
        <f t="shared" si="1194"/>
        <v>9803</v>
      </c>
      <c r="E6044" s="1" t="s">
        <v>32</v>
      </c>
      <c r="F6044" s="1" t="str">
        <f>"1834142592"</f>
        <v>1834142592</v>
      </c>
      <c r="G6044" s="1" t="s">
        <v>33</v>
      </c>
      <c r="H6044" s="1" t="str">
        <f t="shared" si="1188"/>
        <v>20220930</v>
      </c>
      <c r="I6044" s="1" t="str">
        <f>"135916"</f>
        <v>135916</v>
      </c>
      <c r="J6044" s="1" t="s">
        <v>34</v>
      </c>
      <c r="K6044" s="1" t="s">
        <v>34</v>
      </c>
      <c r="L6044" s="1" t="str">
        <f t="shared" si="1195"/>
        <v>20220930</v>
      </c>
      <c r="M6044" s="1" t="str">
        <f>"142615"</f>
        <v>142615</v>
      </c>
      <c r="N6044" s="1" t="s">
        <v>28</v>
      </c>
      <c r="O6044" s="1" t="s">
        <v>28</v>
      </c>
      <c r="P6044" s="1" t="s">
        <v>55</v>
      </c>
      <c r="Q6044" s="1">
        <v>25</v>
      </c>
      <c r="R6044" s="1">
        <v>25</v>
      </c>
      <c r="S6044" s="1">
        <v>0</v>
      </c>
      <c r="T6044" s="1">
        <v>0</v>
      </c>
      <c r="U6044" s="1">
        <v>0</v>
      </c>
      <c r="V6044" s="1" t="str">
        <f>"里程返程"</f>
        <v>里程返程</v>
      </c>
      <c r="W6044" s="1" t="str">
        <f>"2020"</f>
        <v>2020</v>
      </c>
      <c r="X6044" s="1" t="s">
        <v>35</v>
      </c>
    </row>
    <row r="6045" spans="1:24" x14ac:dyDescent="0.3">
      <c r="A6045" s="1" t="str">
        <f t="shared" si="1193"/>
        <v>59809</v>
      </c>
      <c r="B6045" s="1" t="s">
        <v>42</v>
      </c>
      <c r="C6045" s="1" t="s">
        <v>43</v>
      </c>
      <c r="D6045" s="1" t="str">
        <f>"9805"</f>
        <v>9805</v>
      </c>
      <c r="E6045" s="1" t="s">
        <v>57</v>
      </c>
      <c r="F6045" s="1" t="str">
        <f>"1891541035"</f>
        <v>1891541035</v>
      </c>
      <c r="G6045" s="1" t="s">
        <v>33</v>
      </c>
      <c r="H6045" s="1" t="str">
        <f t="shared" si="1188"/>
        <v>20220930</v>
      </c>
      <c r="I6045" s="1" t="str">
        <f>"151932"</f>
        <v>151932</v>
      </c>
      <c r="J6045" s="1" t="s">
        <v>28</v>
      </c>
      <c r="K6045" s="1" t="s">
        <v>28</v>
      </c>
      <c r="L6045" s="1" t="str">
        <f t="shared" si="1195"/>
        <v>20220930</v>
      </c>
      <c r="M6045" s="1" t="str">
        <f>"153402"</f>
        <v>153402</v>
      </c>
      <c r="N6045" s="1" t="s">
        <v>56</v>
      </c>
      <c r="O6045" s="1" t="s">
        <v>28</v>
      </c>
      <c r="P6045" s="1" t="s">
        <v>55</v>
      </c>
      <c r="Q6045" s="1">
        <v>25</v>
      </c>
      <c r="R6045" s="1">
        <v>25</v>
      </c>
      <c r="S6045" s="1">
        <v>0</v>
      </c>
      <c r="T6045" s="1">
        <v>0</v>
      </c>
      <c r="U6045" s="1">
        <v>0</v>
      </c>
      <c r="V6045" s="1" t="str">
        <f>"里程去程"</f>
        <v>里程去程</v>
      </c>
      <c r="W6045" s="1" t="str">
        <f>"0820"</f>
        <v>0820</v>
      </c>
      <c r="X6045" s="1" t="s">
        <v>35</v>
      </c>
    </row>
    <row r="6046" spans="1:24" x14ac:dyDescent="0.3">
      <c r="A6046" s="1" t="str">
        <f t="shared" si="1193"/>
        <v>59809</v>
      </c>
      <c r="B6046" s="1" t="s">
        <v>42</v>
      </c>
      <c r="C6046" s="1" t="s">
        <v>43</v>
      </c>
      <c r="D6046" s="1" t="str">
        <f t="shared" ref="D6046:D6052" si="1197">"9803"</f>
        <v>9803</v>
      </c>
      <c r="E6046" s="1" t="s">
        <v>32</v>
      </c>
      <c r="F6046" s="1" t="str">
        <f>"814273137"</f>
        <v>814273137</v>
      </c>
      <c r="G6046" s="1" t="s">
        <v>74</v>
      </c>
      <c r="H6046" s="1" t="str">
        <f t="shared" si="1188"/>
        <v>20220930</v>
      </c>
      <c r="I6046" s="1" t="str">
        <f>"160119"</f>
        <v>160119</v>
      </c>
      <c r="J6046" s="1" t="s">
        <v>28</v>
      </c>
      <c r="K6046" s="1" t="s">
        <v>28</v>
      </c>
      <c r="L6046" s="1" t="str">
        <f t="shared" si="1195"/>
        <v>20220930</v>
      </c>
      <c r="M6046" s="1" t="str">
        <f>"161743"</f>
        <v>161743</v>
      </c>
      <c r="N6046" s="1" t="s">
        <v>34</v>
      </c>
      <c r="O6046" s="1" t="s">
        <v>34</v>
      </c>
      <c r="P6046" s="1" t="s">
        <v>55</v>
      </c>
      <c r="Q6046" s="1">
        <v>13</v>
      </c>
      <c r="R6046" s="1">
        <v>0</v>
      </c>
      <c r="S6046" s="1">
        <v>13</v>
      </c>
      <c r="T6046" s="1">
        <v>0</v>
      </c>
      <c r="U6046" s="1">
        <v>0</v>
      </c>
      <c r="V6046" s="1" t="str">
        <f>"里程去程"</f>
        <v>里程去程</v>
      </c>
      <c r="W6046" s="1" t="str">
        <f>"0820"</f>
        <v>0820</v>
      </c>
      <c r="X6046" s="1" t="s">
        <v>35</v>
      </c>
    </row>
    <row r="6047" spans="1:24" x14ac:dyDescent="0.3">
      <c r="A6047" s="1" t="str">
        <f t="shared" si="1193"/>
        <v>59809</v>
      </c>
      <c r="B6047" s="1" t="s">
        <v>42</v>
      </c>
      <c r="C6047" s="1" t="s">
        <v>43</v>
      </c>
      <c r="D6047" s="1" t="str">
        <f t="shared" si="1197"/>
        <v>9803</v>
      </c>
      <c r="E6047" s="1" t="s">
        <v>32</v>
      </c>
      <c r="F6047" s="1" t="str">
        <f>"832138609"</f>
        <v>832138609</v>
      </c>
      <c r="G6047" s="1" t="s">
        <v>102</v>
      </c>
      <c r="H6047" s="1" t="str">
        <f t="shared" si="1188"/>
        <v>20220930</v>
      </c>
      <c r="I6047" s="1" t="str">
        <f>"160121"</f>
        <v>160121</v>
      </c>
      <c r="J6047" s="1" t="s">
        <v>28</v>
      </c>
      <c r="K6047" s="1" t="s">
        <v>28</v>
      </c>
      <c r="L6047" s="1" t="str">
        <f t="shared" si="1195"/>
        <v>20220930</v>
      </c>
      <c r="M6047" s="1" t="str">
        <f>"161746"</f>
        <v>161746</v>
      </c>
      <c r="N6047" s="1" t="s">
        <v>34</v>
      </c>
      <c r="O6047" s="1" t="s">
        <v>34</v>
      </c>
      <c r="P6047" s="1" t="s">
        <v>55</v>
      </c>
      <c r="Q6047" s="1">
        <v>13</v>
      </c>
      <c r="R6047" s="1">
        <v>0</v>
      </c>
      <c r="S6047" s="1">
        <v>13</v>
      </c>
      <c r="T6047" s="1">
        <v>0</v>
      </c>
      <c r="U6047" s="1">
        <v>0</v>
      </c>
      <c r="V6047" s="1" t="str">
        <f>"里程去程"</f>
        <v>里程去程</v>
      </c>
      <c r="W6047" s="1" t="str">
        <f>"0820"</f>
        <v>0820</v>
      </c>
      <c r="X6047" s="1" t="s">
        <v>35</v>
      </c>
    </row>
    <row r="6048" spans="1:24" x14ac:dyDescent="0.3">
      <c r="A6048" s="1" t="str">
        <f t="shared" si="1193"/>
        <v>59809</v>
      </c>
      <c r="B6048" s="1" t="s">
        <v>42</v>
      </c>
      <c r="C6048" s="1" t="s">
        <v>43</v>
      </c>
      <c r="D6048" s="1" t="str">
        <f t="shared" si="1197"/>
        <v>9803</v>
      </c>
      <c r="E6048" s="1" t="s">
        <v>32</v>
      </c>
      <c r="F6048" s="1" t="str">
        <f>"929BE602ED880400C834002000000015"</f>
        <v>929BE602ED880400C834002000000015</v>
      </c>
      <c r="G6048" s="1" t="s">
        <v>74</v>
      </c>
      <c r="H6048" s="1" t="str">
        <f t="shared" si="1188"/>
        <v>20220930</v>
      </c>
      <c r="I6048" s="1" t="str">
        <f>"160128"</f>
        <v>160128</v>
      </c>
      <c r="J6048" s="1" t="s">
        <v>28</v>
      </c>
      <c r="K6048" s="1" t="s">
        <v>28</v>
      </c>
      <c r="L6048" s="1" t="str">
        <f t="shared" si="1195"/>
        <v>20220930</v>
      </c>
      <c r="M6048" s="1" t="str">
        <f>"161006"</f>
        <v>161006</v>
      </c>
      <c r="N6048" s="1" t="s">
        <v>46</v>
      </c>
      <c r="O6048" s="1" t="s">
        <v>28</v>
      </c>
      <c r="P6048" s="1" t="s">
        <v>68</v>
      </c>
      <c r="Q6048" s="1">
        <v>13</v>
      </c>
      <c r="R6048" s="1">
        <v>0</v>
      </c>
      <c r="S6048" s="1">
        <v>0</v>
      </c>
      <c r="T6048" s="1">
        <v>13</v>
      </c>
      <c r="U6048" s="1">
        <v>0</v>
      </c>
      <c r="V6048" s="1" t="str">
        <f>"里程去程"</f>
        <v>里程去程</v>
      </c>
      <c r="W6048" s="1" t="str">
        <f>"0020"</f>
        <v>0020</v>
      </c>
      <c r="X6048" s="1" t="s">
        <v>29</v>
      </c>
    </row>
    <row r="6049" spans="1:24" x14ac:dyDescent="0.3">
      <c r="A6049" s="1" t="str">
        <f t="shared" si="1193"/>
        <v>59809</v>
      </c>
      <c r="B6049" s="1" t="s">
        <v>42</v>
      </c>
      <c r="C6049" s="1" t="s">
        <v>43</v>
      </c>
      <c r="D6049" s="1" t="str">
        <f t="shared" si="1197"/>
        <v>9803</v>
      </c>
      <c r="E6049" s="1" t="s">
        <v>32</v>
      </c>
      <c r="F6049" s="1" t="str">
        <f>"422D72160B880400C814002000000019"</f>
        <v>422D72160B880400C814002000000019</v>
      </c>
      <c r="G6049" s="1" t="s">
        <v>82</v>
      </c>
      <c r="H6049" s="1" t="str">
        <f t="shared" si="1188"/>
        <v>20220930</v>
      </c>
      <c r="I6049" s="1" t="str">
        <f>"163010"</f>
        <v>163010</v>
      </c>
      <c r="J6049" s="1" t="s">
        <v>34</v>
      </c>
      <c r="K6049" s="1" t="s">
        <v>34</v>
      </c>
      <c r="L6049" s="1" t="str">
        <f t="shared" si="1195"/>
        <v>20220930</v>
      </c>
      <c r="M6049" s="1" t="str">
        <f>"165735"</f>
        <v>165735</v>
      </c>
      <c r="N6049" s="1" t="s">
        <v>28</v>
      </c>
      <c r="O6049" s="1" t="s">
        <v>28</v>
      </c>
      <c r="P6049" s="1" t="s">
        <v>55</v>
      </c>
      <c r="Q6049" s="1">
        <v>13</v>
      </c>
      <c r="R6049" s="1">
        <v>13</v>
      </c>
      <c r="S6049" s="1">
        <v>0</v>
      </c>
      <c r="T6049" s="1">
        <v>0</v>
      </c>
      <c r="U6049" s="1">
        <v>0</v>
      </c>
      <c r="V6049" s="1" t="str">
        <f>"里程返程"</f>
        <v>里程返程</v>
      </c>
      <c r="W6049" s="1" t="str">
        <f>"0020"</f>
        <v>0020</v>
      </c>
      <c r="X6049" s="1" t="s">
        <v>29</v>
      </c>
    </row>
    <row r="6050" spans="1:24" x14ac:dyDescent="0.3">
      <c r="A6050" s="1" t="str">
        <f t="shared" si="1193"/>
        <v>59809</v>
      </c>
      <c r="B6050" s="1" t="s">
        <v>42</v>
      </c>
      <c r="C6050" s="1" t="s">
        <v>43</v>
      </c>
      <c r="D6050" s="1" t="str">
        <f t="shared" si="1197"/>
        <v>9803</v>
      </c>
      <c r="E6050" s="1" t="s">
        <v>32</v>
      </c>
      <c r="F6050" s="1" t="str">
        <f>"820312188B880400C814002000000019"</f>
        <v>820312188B880400C814002000000019</v>
      </c>
      <c r="G6050" s="1" t="s">
        <v>66</v>
      </c>
      <c r="H6050" s="1" t="str">
        <f t="shared" si="1188"/>
        <v>20220930</v>
      </c>
      <c r="I6050" s="1" t="str">
        <f>"163012"</f>
        <v>163012</v>
      </c>
      <c r="J6050" s="1" t="s">
        <v>34</v>
      </c>
      <c r="K6050" s="1" t="s">
        <v>34</v>
      </c>
      <c r="L6050" s="1" t="str">
        <f t="shared" si="1195"/>
        <v>20220930</v>
      </c>
      <c r="M6050" s="1" t="str">
        <f>"165737"</f>
        <v>165737</v>
      </c>
      <c r="N6050" s="1" t="s">
        <v>28</v>
      </c>
      <c r="O6050" s="1" t="s">
        <v>28</v>
      </c>
      <c r="P6050" s="1" t="s">
        <v>55</v>
      </c>
      <c r="Q6050" s="1">
        <v>13</v>
      </c>
      <c r="R6050" s="1">
        <v>13</v>
      </c>
      <c r="S6050" s="1">
        <v>0</v>
      </c>
      <c r="T6050" s="1">
        <v>0</v>
      </c>
      <c r="U6050" s="1">
        <v>0</v>
      </c>
      <c r="V6050" s="1" t="str">
        <f>"里程返程"</f>
        <v>里程返程</v>
      </c>
      <c r="W6050" s="1" t="str">
        <f>"0020"</f>
        <v>0020</v>
      </c>
      <c r="X6050" s="1" t="s">
        <v>29</v>
      </c>
    </row>
    <row r="6051" spans="1:24" x14ac:dyDescent="0.3">
      <c r="A6051" s="1" t="str">
        <f t="shared" si="1193"/>
        <v>59809</v>
      </c>
      <c r="B6051" s="1" t="s">
        <v>42</v>
      </c>
      <c r="C6051" s="1" t="s">
        <v>43</v>
      </c>
      <c r="D6051" s="1" t="str">
        <f t="shared" si="1197"/>
        <v>9803</v>
      </c>
      <c r="E6051" s="1" t="s">
        <v>32</v>
      </c>
      <c r="F6051" s="1" t="str">
        <f>"814273137"</f>
        <v>814273137</v>
      </c>
      <c r="G6051" s="1" t="s">
        <v>74</v>
      </c>
      <c r="H6051" s="1" t="str">
        <f t="shared" si="1188"/>
        <v>20220930</v>
      </c>
      <c r="I6051" s="1" t="str">
        <f>"163018"</f>
        <v>163018</v>
      </c>
      <c r="J6051" s="1" t="s">
        <v>34</v>
      </c>
      <c r="K6051" s="1" t="s">
        <v>34</v>
      </c>
      <c r="L6051" s="1" t="str">
        <f t="shared" si="1195"/>
        <v>20220930</v>
      </c>
      <c r="M6051" s="1" t="str">
        <f>"165759"</f>
        <v>165759</v>
      </c>
      <c r="N6051" s="1" t="s">
        <v>28</v>
      </c>
      <c r="O6051" s="1" t="s">
        <v>28</v>
      </c>
      <c r="P6051" s="1" t="s">
        <v>55</v>
      </c>
      <c r="Q6051" s="1">
        <v>13</v>
      </c>
      <c r="R6051" s="1">
        <v>13</v>
      </c>
      <c r="S6051" s="1">
        <v>0</v>
      </c>
      <c r="T6051" s="1">
        <v>0</v>
      </c>
      <c r="U6051" s="1">
        <v>0</v>
      </c>
      <c r="V6051" s="1" t="str">
        <f>"里程返程"</f>
        <v>里程返程</v>
      </c>
      <c r="W6051" s="1" t="str">
        <f>"2020"</f>
        <v>2020</v>
      </c>
      <c r="X6051" s="1" t="s">
        <v>35</v>
      </c>
    </row>
    <row r="6052" spans="1:24" x14ac:dyDescent="0.3">
      <c r="A6052" s="1" t="str">
        <f t="shared" si="1193"/>
        <v>59809</v>
      </c>
      <c r="B6052" s="1" t="s">
        <v>42</v>
      </c>
      <c r="C6052" s="1" t="s">
        <v>43</v>
      </c>
      <c r="D6052" s="1" t="str">
        <f t="shared" si="1197"/>
        <v>9803</v>
      </c>
      <c r="E6052" s="1" t="s">
        <v>32</v>
      </c>
      <c r="F6052" s="1" t="str">
        <f>"832138609"</f>
        <v>832138609</v>
      </c>
      <c r="G6052" s="1" t="s">
        <v>102</v>
      </c>
      <c r="H6052" s="1" t="str">
        <f t="shared" si="1188"/>
        <v>20220930</v>
      </c>
      <c r="I6052" s="1" t="str">
        <f>"163024"</f>
        <v>163024</v>
      </c>
      <c r="J6052" s="1" t="s">
        <v>34</v>
      </c>
      <c r="K6052" s="1" t="s">
        <v>34</v>
      </c>
      <c r="L6052" s="1" t="str">
        <f t="shared" si="1195"/>
        <v>20220930</v>
      </c>
      <c r="M6052" s="1" t="str">
        <f>"165803"</f>
        <v>165803</v>
      </c>
      <c r="N6052" s="1" t="s">
        <v>28</v>
      </c>
      <c r="O6052" s="1" t="s">
        <v>28</v>
      </c>
      <c r="P6052" s="1" t="s">
        <v>55</v>
      </c>
      <c r="Q6052" s="1">
        <v>13</v>
      </c>
      <c r="R6052" s="1">
        <v>13</v>
      </c>
      <c r="S6052" s="1">
        <v>0</v>
      </c>
      <c r="T6052" s="1">
        <v>0</v>
      </c>
      <c r="U6052" s="1">
        <v>0</v>
      </c>
      <c r="V6052" s="1" t="str">
        <f>"里程返程"</f>
        <v>里程返程</v>
      </c>
      <c r="W6052" s="1" t="str">
        <f>"2020"</f>
        <v>2020</v>
      </c>
      <c r="X6052" s="1" t="s">
        <v>35</v>
      </c>
    </row>
    <row r="6053" spans="1:24" x14ac:dyDescent="0.3">
      <c r="A6053" s="1" t="str">
        <f t="shared" si="1193"/>
        <v>59809</v>
      </c>
      <c r="B6053" s="1" t="s">
        <v>42</v>
      </c>
      <c r="C6053" s="1" t="s">
        <v>43</v>
      </c>
      <c r="D6053" s="1" t="str">
        <f>"9806"</f>
        <v>9806</v>
      </c>
      <c r="E6053" s="1" t="s">
        <v>49</v>
      </c>
      <c r="F6053" s="1" t="str">
        <f>"C287F609BA880400C810002000000016"</f>
        <v>C287F609BA880400C810002000000016</v>
      </c>
      <c r="G6053" s="1" t="s">
        <v>59</v>
      </c>
      <c r="H6053" s="1" t="str">
        <f t="shared" si="1188"/>
        <v>20220930</v>
      </c>
      <c r="I6053" s="1" t="str">
        <f>"172528"</f>
        <v>172528</v>
      </c>
      <c r="J6053" s="1" t="s">
        <v>76</v>
      </c>
      <c r="K6053" s="1" t="s">
        <v>28</v>
      </c>
      <c r="L6053" s="1" t="str">
        <f t="shared" si="1195"/>
        <v>20220930</v>
      </c>
      <c r="M6053" s="1" t="str">
        <f>"174035"</f>
        <v>174035</v>
      </c>
      <c r="N6053" s="1" t="s">
        <v>28</v>
      </c>
      <c r="O6053" s="1" t="s">
        <v>28</v>
      </c>
      <c r="P6053" s="1" t="s">
        <v>55</v>
      </c>
      <c r="Q6053" s="1">
        <v>25</v>
      </c>
      <c r="R6053" s="1">
        <v>25</v>
      </c>
      <c r="S6053" s="1">
        <v>0</v>
      </c>
      <c r="T6053" s="1">
        <v>0</v>
      </c>
      <c r="U6053" s="1">
        <v>0</v>
      </c>
      <c r="V6053" s="1" t="str">
        <f>"里程去程"</f>
        <v>里程去程</v>
      </c>
      <c r="W6053" s="1" t="str">
        <f>"0020"</f>
        <v>0020</v>
      </c>
      <c r="X6053" s="1" t="s">
        <v>29</v>
      </c>
    </row>
    <row r="6054" spans="1:24" x14ac:dyDescent="0.3">
      <c r="A6054" s="1" t="str">
        <f t="shared" si="1193"/>
        <v>59809</v>
      </c>
      <c r="B6054" s="1" t="s">
        <v>42</v>
      </c>
      <c r="C6054" s="1" t="s">
        <v>43</v>
      </c>
      <c r="D6054" s="1" t="str">
        <f>"9806"</f>
        <v>9806</v>
      </c>
      <c r="E6054" s="1" t="s">
        <v>49</v>
      </c>
      <c r="F6054" s="1" t="str">
        <f>"428FC21B14880400C822002000000021"</f>
        <v>428FC21B14880400C822002000000021</v>
      </c>
      <c r="G6054" s="1" t="s">
        <v>58</v>
      </c>
      <c r="H6054" s="1" t="str">
        <f t="shared" si="1188"/>
        <v>20220930</v>
      </c>
      <c r="I6054" s="1" t="str">
        <f>"172532"</f>
        <v>172532</v>
      </c>
      <c r="J6054" s="1" t="s">
        <v>76</v>
      </c>
      <c r="K6054" s="1" t="s">
        <v>28</v>
      </c>
      <c r="L6054" s="1" t="str">
        <f t="shared" si="1195"/>
        <v>20220930</v>
      </c>
      <c r="M6054" s="1" t="str">
        <f>"174039"</f>
        <v>174039</v>
      </c>
      <c r="N6054" s="1" t="s">
        <v>28</v>
      </c>
      <c r="O6054" s="1" t="s">
        <v>28</v>
      </c>
      <c r="P6054" s="1" t="s">
        <v>55</v>
      </c>
      <c r="Q6054" s="1">
        <v>25</v>
      </c>
      <c r="R6054" s="1">
        <v>25</v>
      </c>
      <c r="S6054" s="1">
        <v>0</v>
      </c>
      <c r="T6054" s="1">
        <v>0</v>
      </c>
      <c r="U6054" s="1">
        <v>0</v>
      </c>
      <c r="V6054" s="1" t="str">
        <f>"里程去程"</f>
        <v>里程去程</v>
      </c>
      <c r="W6054" s="1" t="str">
        <f>"0020"</f>
        <v>0020</v>
      </c>
      <c r="X6054" s="1" t="s">
        <v>29</v>
      </c>
    </row>
    <row r="6055" spans="1:24" x14ac:dyDescent="0.3">
      <c r="A6055" s="1" t="str">
        <f t="shared" si="1193"/>
        <v>59809</v>
      </c>
      <c r="B6055" s="1" t="s">
        <v>42</v>
      </c>
      <c r="C6055" s="1" t="s">
        <v>43</v>
      </c>
      <c r="D6055" s="1" t="str">
        <f>"9806"</f>
        <v>9806</v>
      </c>
      <c r="E6055" s="1" t="s">
        <v>49</v>
      </c>
      <c r="F6055" s="1" t="str">
        <f>"02A2F00959880400C810002000000016"</f>
        <v>02A2F00959880400C810002000000016</v>
      </c>
      <c r="G6055" s="1" t="s">
        <v>59</v>
      </c>
      <c r="H6055" s="1" t="str">
        <f t="shared" si="1188"/>
        <v>20220930</v>
      </c>
      <c r="I6055" s="1" t="str">
        <f>"172537"</f>
        <v>172537</v>
      </c>
      <c r="J6055" s="1" t="s">
        <v>76</v>
      </c>
      <c r="K6055" s="1" t="s">
        <v>28</v>
      </c>
      <c r="L6055" s="1" t="str">
        <f t="shared" si="1195"/>
        <v>20220930</v>
      </c>
      <c r="M6055" s="1" t="str">
        <f>"174033"</f>
        <v>174033</v>
      </c>
      <c r="N6055" s="1" t="s">
        <v>28</v>
      </c>
      <c r="O6055" s="1" t="s">
        <v>28</v>
      </c>
      <c r="P6055" s="1" t="s">
        <v>55</v>
      </c>
      <c r="Q6055" s="1">
        <v>25</v>
      </c>
      <c r="R6055" s="1">
        <v>25</v>
      </c>
      <c r="S6055" s="1">
        <v>0</v>
      </c>
      <c r="T6055" s="1">
        <v>0</v>
      </c>
      <c r="U6055" s="1">
        <v>0</v>
      </c>
      <c r="V6055" s="1" t="str">
        <f>"里程去程"</f>
        <v>里程去程</v>
      </c>
      <c r="W6055" s="1" t="str">
        <f>"0020"</f>
        <v>0020</v>
      </c>
      <c r="X6055" s="1" t="s">
        <v>29</v>
      </c>
    </row>
    <row r="6056" spans="1:24" x14ac:dyDescent="0.3">
      <c r="A6056" s="1" t="str">
        <f t="shared" si="1193"/>
        <v>59809</v>
      </c>
      <c r="B6056" s="1" t="s">
        <v>42</v>
      </c>
      <c r="C6056" s="1" t="s">
        <v>43</v>
      </c>
      <c r="D6056" s="1" t="str">
        <f t="shared" ref="D6056:D6062" si="1198">"9803"</f>
        <v>9803</v>
      </c>
      <c r="E6056" s="1" t="s">
        <v>32</v>
      </c>
      <c r="F6056" s="1" t="str">
        <f>"3761198535"</f>
        <v>3761198535</v>
      </c>
      <c r="G6056" s="1" t="s">
        <v>33</v>
      </c>
      <c r="H6056" s="1" t="str">
        <f t="shared" si="1188"/>
        <v>20220930</v>
      </c>
      <c r="I6056" s="1" t="str">
        <f>"180707"</f>
        <v>180707</v>
      </c>
      <c r="J6056" s="1" t="s">
        <v>34</v>
      </c>
      <c r="K6056" s="1" t="s">
        <v>34</v>
      </c>
      <c r="L6056" s="1" t="str">
        <f t="shared" si="1195"/>
        <v>20220930</v>
      </c>
      <c r="M6056" s="1" t="str">
        <f>"183824"</f>
        <v>183824</v>
      </c>
      <c r="N6056" s="1" t="s">
        <v>28</v>
      </c>
      <c r="O6056" s="1" t="s">
        <v>28</v>
      </c>
      <c r="P6056" s="1" t="s">
        <v>55</v>
      </c>
      <c r="Q6056" s="1">
        <v>25</v>
      </c>
      <c r="R6056" s="1">
        <v>25</v>
      </c>
      <c r="S6056" s="1">
        <v>0</v>
      </c>
      <c r="T6056" s="1">
        <v>0</v>
      </c>
      <c r="U6056" s="1">
        <v>0</v>
      </c>
      <c r="V6056" s="1" t="str">
        <f t="shared" ref="V6056:V6064" si="1199">"里程返程"</f>
        <v>里程返程</v>
      </c>
      <c r="W6056" s="1" t="str">
        <f>"0220"</f>
        <v>0220</v>
      </c>
      <c r="X6056" s="1" t="s">
        <v>35</v>
      </c>
    </row>
    <row r="6057" spans="1:24" x14ac:dyDescent="0.3">
      <c r="A6057" s="1" t="str">
        <f t="shared" si="1193"/>
        <v>59809</v>
      </c>
      <c r="B6057" s="1" t="s">
        <v>42</v>
      </c>
      <c r="C6057" s="1" t="s">
        <v>43</v>
      </c>
      <c r="D6057" s="1" t="str">
        <f t="shared" si="1198"/>
        <v>9803</v>
      </c>
      <c r="E6057" s="1" t="s">
        <v>32</v>
      </c>
      <c r="F6057" s="1" t="str">
        <f>"995439889"</f>
        <v>995439889</v>
      </c>
      <c r="G6057" s="1" t="s">
        <v>33</v>
      </c>
      <c r="H6057" s="1" t="str">
        <f t="shared" si="1188"/>
        <v>20220930</v>
      </c>
      <c r="I6057" s="1" t="str">
        <f>"180721"</f>
        <v>180721</v>
      </c>
      <c r="J6057" s="1" t="s">
        <v>34</v>
      </c>
      <c r="K6057" s="1" t="s">
        <v>34</v>
      </c>
      <c r="L6057" s="1" t="str">
        <f t="shared" si="1195"/>
        <v>20220930</v>
      </c>
      <c r="M6057" s="1" t="str">
        <f>"183829"</f>
        <v>183829</v>
      </c>
      <c r="N6057" s="1" t="s">
        <v>28</v>
      </c>
      <c r="O6057" s="1" t="s">
        <v>28</v>
      </c>
      <c r="P6057" s="1" t="s">
        <v>55</v>
      </c>
      <c r="Q6057" s="1">
        <v>25</v>
      </c>
      <c r="R6057" s="1">
        <v>25</v>
      </c>
      <c r="S6057" s="1">
        <v>0</v>
      </c>
      <c r="T6057" s="1">
        <v>0</v>
      </c>
      <c r="U6057" s="1">
        <v>0</v>
      </c>
      <c r="V6057" s="1" t="str">
        <f t="shared" si="1199"/>
        <v>里程返程</v>
      </c>
      <c r="W6057" s="1" t="str">
        <f>"0220"</f>
        <v>0220</v>
      </c>
      <c r="X6057" s="1" t="s">
        <v>35</v>
      </c>
    </row>
    <row r="6058" spans="1:24" x14ac:dyDescent="0.3">
      <c r="A6058" s="1" t="str">
        <f t="shared" si="1193"/>
        <v>59809</v>
      </c>
      <c r="B6058" s="1" t="s">
        <v>42</v>
      </c>
      <c r="C6058" s="1" t="s">
        <v>43</v>
      </c>
      <c r="D6058" s="1" t="str">
        <f t="shared" si="1198"/>
        <v>9803</v>
      </c>
      <c r="E6058" s="1" t="s">
        <v>32</v>
      </c>
      <c r="F6058" s="1" t="str">
        <f>"1709069061"</f>
        <v>1709069061</v>
      </c>
      <c r="G6058" s="1" t="s">
        <v>33</v>
      </c>
      <c r="H6058" s="1" t="str">
        <f t="shared" si="1188"/>
        <v>20220930</v>
      </c>
      <c r="I6058" s="1" t="str">
        <f>"180822"</f>
        <v>180822</v>
      </c>
      <c r="J6058" s="1" t="s">
        <v>34</v>
      </c>
      <c r="K6058" s="1" t="s">
        <v>34</v>
      </c>
      <c r="L6058" s="1" t="str">
        <f t="shared" si="1195"/>
        <v>20220930</v>
      </c>
      <c r="M6058" s="1" t="str">
        <f>"182713"</f>
        <v>182713</v>
      </c>
      <c r="N6058" s="1" t="s">
        <v>46</v>
      </c>
      <c r="O6058" s="1" t="s">
        <v>28</v>
      </c>
      <c r="P6058" s="1" t="s">
        <v>55</v>
      </c>
      <c r="Q6058" s="1">
        <v>25</v>
      </c>
      <c r="R6058" s="1">
        <v>25</v>
      </c>
      <c r="S6058" s="1">
        <v>0</v>
      </c>
      <c r="T6058" s="1">
        <v>0</v>
      </c>
      <c r="U6058" s="1">
        <v>0</v>
      </c>
      <c r="V6058" s="1" t="str">
        <f t="shared" si="1199"/>
        <v>里程返程</v>
      </c>
      <c r="W6058" s="1" t="str">
        <f>"2020"</f>
        <v>2020</v>
      </c>
      <c r="X6058" s="1" t="s">
        <v>35</v>
      </c>
    </row>
    <row r="6059" spans="1:24" x14ac:dyDescent="0.3">
      <c r="A6059" s="1" t="str">
        <f t="shared" si="1193"/>
        <v>59809</v>
      </c>
      <c r="B6059" s="1" t="s">
        <v>42</v>
      </c>
      <c r="C6059" s="1" t="s">
        <v>43</v>
      </c>
      <c r="D6059" s="1" t="str">
        <f t="shared" si="1198"/>
        <v>9803</v>
      </c>
      <c r="E6059" s="1" t="s">
        <v>32</v>
      </c>
      <c r="F6059" s="1" t="str">
        <f>"771964F3F98804004326A03B000E0211"</f>
        <v>771964F3F98804004326A03B000E0211</v>
      </c>
      <c r="G6059" s="1" t="s">
        <v>58</v>
      </c>
      <c r="H6059" s="1" t="str">
        <f t="shared" si="1188"/>
        <v>20220930</v>
      </c>
      <c r="I6059" s="1" t="str">
        <f>"181407"</f>
        <v>181407</v>
      </c>
      <c r="J6059" s="1" t="s">
        <v>73</v>
      </c>
      <c r="K6059" s="1" t="s">
        <v>28</v>
      </c>
      <c r="L6059" s="1" t="str">
        <f t="shared" si="1195"/>
        <v>20220930</v>
      </c>
      <c r="M6059" s="1" t="str">
        <f>"183112"</f>
        <v>183112</v>
      </c>
      <c r="N6059" s="1" t="s">
        <v>92</v>
      </c>
      <c r="O6059" s="1" t="s">
        <v>28</v>
      </c>
      <c r="P6059" s="1" t="s">
        <v>55</v>
      </c>
      <c r="Q6059" s="1">
        <v>25</v>
      </c>
      <c r="R6059" s="1">
        <v>0</v>
      </c>
      <c r="S6059" s="1">
        <v>25</v>
      </c>
      <c r="T6059" s="1">
        <v>0</v>
      </c>
      <c r="U6059" s="1">
        <v>0</v>
      </c>
      <c r="V6059" s="1" t="str">
        <f t="shared" si="1199"/>
        <v>里程返程</v>
      </c>
      <c r="W6059" s="1" t="str">
        <f>"1120"</f>
        <v>1120</v>
      </c>
      <c r="X6059" s="1" t="s">
        <v>29</v>
      </c>
    </row>
    <row r="6060" spans="1:24" x14ac:dyDescent="0.3">
      <c r="A6060" s="1" t="str">
        <f t="shared" si="1193"/>
        <v>59809</v>
      </c>
      <c r="B6060" s="1" t="s">
        <v>42</v>
      </c>
      <c r="C6060" s="1" t="s">
        <v>43</v>
      </c>
      <c r="D6060" s="1" t="str">
        <f t="shared" si="1198"/>
        <v>9803</v>
      </c>
      <c r="E6060" s="1" t="s">
        <v>32</v>
      </c>
      <c r="F6060" s="1" t="str">
        <f>"677ED845848804004328380000100208"</f>
        <v>677ED845848804004328380000100208</v>
      </c>
      <c r="G6060" s="1" t="s">
        <v>58</v>
      </c>
      <c r="H6060" s="1" t="str">
        <f t="shared" si="1188"/>
        <v>20220930</v>
      </c>
      <c r="I6060" s="1" t="str">
        <f>"181412"</f>
        <v>181412</v>
      </c>
      <c r="J6060" s="1" t="s">
        <v>73</v>
      </c>
      <c r="K6060" s="1" t="s">
        <v>28</v>
      </c>
      <c r="L6060" s="1" t="str">
        <f t="shared" si="1195"/>
        <v>20220930</v>
      </c>
      <c r="M6060" s="1" t="str">
        <f>"183104"</f>
        <v>183104</v>
      </c>
      <c r="N6060" s="1" t="s">
        <v>92</v>
      </c>
      <c r="O6060" s="1" t="s">
        <v>28</v>
      </c>
      <c r="P6060" s="1" t="s">
        <v>55</v>
      </c>
      <c r="Q6060" s="1">
        <v>25</v>
      </c>
      <c r="R6060" s="1">
        <v>0</v>
      </c>
      <c r="S6060" s="1">
        <v>25</v>
      </c>
      <c r="T6060" s="1">
        <v>0</v>
      </c>
      <c r="U6060" s="1">
        <v>0</v>
      </c>
      <c r="V6060" s="1" t="str">
        <f t="shared" si="1199"/>
        <v>里程返程</v>
      </c>
      <c r="W6060" s="1" t="str">
        <f>"1120"</f>
        <v>1120</v>
      </c>
      <c r="X6060" s="1" t="s">
        <v>29</v>
      </c>
    </row>
    <row r="6061" spans="1:24" x14ac:dyDescent="0.3">
      <c r="A6061" s="1" t="str">
        <f t="shared" si="1193"/>
        <v>59809</v>
      </c>
      <c r="B6061" s="1" t="s">
        <v>42</v>
      </c>
      <c r="C6061" s="1" t="s">
        <v>43</v>
      </c>
      <c r="D6061" s="1" t="str">
        <f t="shared" si="1198"/>
        <v>9803</v>
      </c>
      <c r="E6061" s="1" t="s">
        <v>32</v>
      </c>
      <c r="F6061" s="1" t="str">
        <f>"32A8A01A20880400C816002000000021"</f>
        <v>32A8A01A20880400C816002000000021</v>
      </c>
      <c r="G6061" s="1" t="s">
        <v>26</v>
      </c>
      <c r="H6061" s="1" t="str">
        <f t="shared" si="1188"/>
        <v>20220930</v>
      </c>
      <c r="I6061" s="1" t="str">
        <f>"181413"</f>
        <v>181413</v>
      </c>
      <c r="J6061" s="1" t="s">
        <v>73</v>
      </c>
      <c r="K6061" s="1" t="s">
        <v>28</v>
      </c>
      <c r="L6061" s="1" t="str">
        <f t="shared" si="1195"/>
        <v>20220930</v>
      </c>
      <c r="M6061" s="1" t="str">
        <f>"183101"</f>
        <v>183101</v>
      </c>
      <c r="N6061" s="1" t="s">
        <v>92</v>
      </c>
      <c r="O6061" s="1" t="s">
        <v>28</v>
      </c>
      <c r="P6061" s="1" t="s">
        <v>55</v>
      </c>
      <c r="Q6061" s="1">
        <v>13</v>
      </c>
      <c r="R6061" s="1">
        <v>0</v>
      </c>
      <c r="S6061" s="1">
        <v>13</v>
      </c>
      <c r="T6061" s="1">
        <v>0</v>
      </c>
      <c r="U6061" s="1">
        <v>0</v>
      </c>
      <c r="V6061" s="1" t="str">
        <f t="shared" si="1199"/>
        <v>里程返程</v>
      </c>
      <c r="W6061" s="1" t="str">
        <f>"1120"</f>
        <v>1120</v>
      </c>
      <c r="X6061" s="1" t="s">
        <v>29</v>
      </c>
    </row>
    <row r="6062" spans="1:24" x14ac:dyDescent="0.3">
      <c r="A6062" s="1" t="str">
        <f t="shared" si="1193"/>
        <v>59809</v>
      </c>
      <c r="B6062" s="1" t="s">
        <v>42</v>
      </c>
      <c r="C6062" s="1" t="s">
        <v>43</v>
      </c>
      <c r="D6062" s="1" t="str">
        <f t="shared" si="1198"/>
        <v>9803</v>
      </c>
      <c r="E6062" s="1" t="s">
        <v>32</v>
      </c>
      <c r="F6062" s="1" t="str">
        <f>"C2174E168D880400C814002000000019"</f>
        <v>C2174E168D880400C814002000000019</v>
      </c>
      <c r="G6062" s="1" t="s">
        <v>26</v>
      </c>
      <c r="H6062" s="1" t="str">
        <f t="shared" si="1188"/>
        <v>20220930</v>
      </c>
      <c r="I6062" s="1" t="str">
        <f>"181421"</f>
        <v>181421</v>
      </c>
      <c r="J6062" s="1" t="s">
        <v>73</v>
      </c>
      <c r="K6062" s="1" t="s">
        <v>28</v>
      </c>
      <c r="L6062" s="1" t="str">
        <f t="shared" si="1195"/>
        <v>20220930</v>
      </c>
      <c r="M6062" s="1" t="str">
        <f>"183108"</f>
        <v>183108</v>
      </c>
      <c r="N6062" s="1" t="s">
        <v>92</v>
      </c>
      <c r="O6062" s="1" t="s">
        <v>28</v>
      </c>
      <c r="P6062" s="1" t="s">
        <v>55</v>
      </c>
      <c r="Q6062" s="1">
        <v>13</v>
      </c>
      <c r="R6062" s="1">
        <v>0</v>
      </c>
      <c r="S6062" s="1">
        <v>13</v>
      </c>
      <c r="T6062" s="1">
        <v>0</v>
      </c>
      <c r="U6062" s="1">
        <v>0</v>
      </c>
      <c r="V6062" s="1" t="str">
        <f t="shared" si="1199"/>
        <v>里程返程</v>
      </c>
      <c r="W6062" s="1" t="str">
        <f>"1120"</f>
        <v>1120</v>
      </c>
      <c r="X6062" s="1" t="s">
        <v>29</v>
      </c>
    </row>
    <row r="6063" spans="1:24" x14ac:dyDescent="0.3">
      <c r="A6063" s="1" t="str">
        <f t="shared" ref="A6063:A6100" si="1200">"59820"</f>
        <v>59820</v>
      </c>
      <c r="B6063" s="1" t="s">
        <v>53</v>
      </c>
      <c r="C6063" s="1" t="s">
        <v>54</v>
      </c>
      <c r="D6063" s="1" t="str">
        <f>"9806"</f>
        <v>9806</v>
      </c>
      <c r="E6063" s="1" t="s">
        <v>49</v>
      </c>
      <c r="F6063" s="1" t="str">
        <f>"5270B90A91880400C810002000000016"</f>
        <v>5270B90A91880400C810002000000016</v>
      </c>
      <c r="G6063" s="1" t="s">
        <v>59</v>
      </c>
      <c r="H6063" s="1" t="str">
        <f t="shared" si="1188"/>
        <v>20220930</v>
      </c>
      <c r="I6063" s="1" t="str">
        <f>"064703"</f>
        <v>064703</v>
      </c>
      <c r="J6063" s="1" t="s">
        <v>28</v>
      </c>
      <c r="K6063" s="1" t="s">
        <v>28</v>
      </c>
      <c r="L6063" s="1" t="str">
        <f t="shared" si="1195"/>
        <v>20220930</v>
      </c>
      <c r="M6063" s="1" t="str">
        <f>"065752"</f>
        <v>065752</v>
      </c>
      <c r="N6063" s="1" t="s">
        <v>63</v>
      </c>
      <c r="O6063" s="1" t="s">
        <v>28</v>
      </c>
      <c r="P6063" s="1" t="s">
        <v>55</v>
      </c>
      <c r="Q6063" s="1">
        <v>25</v>
      </c>
      <c r="R6063" s="1">
        <v>0</v>
      </c>
      <c r="S6063" s="1">
        <v>25</v>
      </c>
      <c r="T6063" s="1">
        <v>0</v>
      </c>
      <c r="U6063" s="1">
        <v>0</v>
      </c>
      <c r="V6063" s="1" t="str">
        <f t="shared" si="1199"/>
        <v>里程返程</v>
      </c>
      <c r="W6063" s="1" t="str">
        <f>"0620"</f>
        <v>0620</v>
      </c>
      <c r="X6063" s="1" t="s">
        <v>29</v>
      </c>
    </row>
    <row r="6064" spans="1:24" x14ac:dyDescent="0.3">
      <c r="A6064" s="1" t="str">
        <f t="shared" si="1200"/>
        <v>59820</v>
      </c>
      <c r="B6064" s="1" t="s">
        <v>53</v>
      </c>
      <c r="C6064" s="1" t="s">
        <v>54</v>
      </c>
      <c r="D6064" s="1" t="str">
        <f>"9806"</f>
        <v>9806</v>
      </c>
      <c r="E6064" s="1" t="s">
        <v>49</v>
      </c>
      <c r="F6064" s="1" t="str">
        <f>"1695105317"</f>
        <v>1695105317</v>
      </c>
      <c r="G6064" s="1" t="s">
        <v>33</v>
      </c>
      <c r="H6064" s="1" t="str">
        <f t="shared" ref="H6064:H6127" si="1201">"20220930"</f>
        <v>20220930</v>
      </c>
      <c r="I6064" s="1" t="str">
        <f>"064706"</f>
        <v>064706</v>
      </c>
      <c r="J6064" s="1" t="s">
        <v>28</v>
      </c>
      <c r="K6064" s="1" t="s">
        <v>28</v>
      </c>
      <c r="L6064" s="1" t="str">
        <f t="shared" ref="L6064:L6095" si="1202">"20220930"</f>
        <v>20220930</v>
      </c>
      <c r="M6064" s="1" t="str">
        <f>"070338"</f>
        <v>070338</v>
      </c>
      <c r="N6064" s="1" t="s">
        <v>99</v>
      </c>
      <c r="O6064" s="1" t="s">
        <v>28</v>
      </c>
      <c r="P6064" s="1" t="s">
        <v>55</v>
      </c>
      <c r="Q6064" s="1">
        <v>25</v>
      </c>
      <c r="R6064" s="1">
        <v>0</v>
      </c>
      <c r="S6064" s="1">
        <v>25</v>
      </c>
      <c r="T6064" s="1">
        <v>0</v>
      </c>
      <c r="U6064" s="1">
        <v>0</v>
      </c>
      <c r="V6064" s="1" t="str">
        <f t="shared" si="1199"/>
        <v>里程返程</v>
      </c>
      <c r="W6064" s="1" t="str">
        <f>"0820"</f>
        <v>0820</v>
      </c>
      <c r="X6064" s="1" t="s">
        <v>35</v>
      </c>
    </row>
    <row r="6065" spans="1:24" x14ac:dyDescent="0.3">
      <c r="A6065" s="1" t="str">
        <f t="shared" si="1200"/>
        <v>59820</v>
      </c>
      <c r="B6065" s="1" t="s">
        <v>53</v>
      </c>
      <c r="C6065" s="1" t="s">
        <v>54</v>
      </c>
      <c r="D6065" s="1" t="str">
        <f t="shared" ref="D6065:D6095" si="1203">"9803"</f>
        <v>9803</v>
      </c>
      <c r="E6065" s="1" t="s">
        <v>32</v>
      </c>
      <c r="F6065" s="1" t="str">
        <f>"748249041"</f>
        <v>748249041</v>
      </c>
      <c r="G6065" s="1" t="s">
        <v>33</v>
      </c>
      <c r="H6065" s="1" t="str">
        <f t="shared" si="1201"/>
        <v>20220930</v>
      </c>
      <c r="I6065" s="1" t="str">
        <f>"083030"</f>
        <v>083030</v>
      </c>
      <c r="J6065" s="1" t="s">
        <v>28</v>
      </c>
      <c r="K6065" s="1" t="s">
        <v>28</v>
      </c>
      <c r="L6065" s="1" t="str">
        <f t="shared" si="1202"/>
        <v>20220930</v>
      </c>
      <c r="M6065" s="1" t="str">
        <f>"084629"</f>
        <v>084629</v>
      </c>
      <c r="N6065" s="1" t="s">
        <v>34</v>
      </c>
      <c r="O6065" s="1" t="s">
        <v>34</v>
      </c>
      <c r="P6065" s="1" t="s">
        <v>55</v>
      </c>
      <c r="Q6065" s="1">
        <v>25</v>
      </c>
      <c r="R6065" s="1">
        <v>25</v>
      </c>
      <c r="S6065" s="1">
        <v>0</v>
      </c>
      <c r="T6065" s="1">
        <v>0</v>
      </c>
      <c r="U6065" s="1">
        <v>0</v>
      </c>
      <c r="V6065" s="1" t="str">
        <f t="shared" ref="V6065:V6073" si="1204">"里程去程"</f>
        <v>里程去程</v>
      </c>
      <c r="W6065" s="1" t="str">
        <f>"0120"</f>
        <v>0120</v>
      </c>
      <c r="X6065" s="1" t="s">
        <v>35</v>
      </c>
    </row>
    <row r="6066" spans="1:24" x14ac:dyDescent="0.3">
      <c r="A6066" s="1" t="str">
        <f t="shared" si="1200"/>
        <v>59820</v>
      </c>
      <c r="B6066" s="1" t="s">
        <v>53</v>
      </c>
      <c r="C6066" s="1" t="s">
        <v>54</v>
      </c>
      <c r="D6066" s="1" t="str">
        <f t="shared" si="1203"/>
        <v>9803</v>
      </c>
      <c r="E6066" s="1" t="s">
        <v>32</v>
      </c>
      <c r="F6066" s="1" t="str">
        <f>"3762595591"</f>
        <v>3762595591</v>
      </c>
      <c r="G6066" s="1" t="s">
        <v>33</v>
      </c>
      <c r="H6066" s="1" t="str">
        <f t="shared" si="1201"/>
        <v>20220930</v>
      </c>
      <c r="I6066" s="1" t="str">
        <f>"102744"</f>
        <v>102744</v>
      </c>
      <c r="J6066" s="1" t="s">
        <v>28</v>
      </c>
      <c r="K6066" s="1" t="s">
        <v>28</v>
      </c>
      <c r="L6066" s="1" t="str">
        <f t="shared" si="1202"/>
        <v>20220930</v>
      </c>
      <c r="M6066" s="1" t="str">
        <f>"104654"</f>
        <v>104654</v>
      </c>
      <c r="N6066" s="1" t="s">
        <v>34</v>
      </c>
      <c r="O6066" s="1" t="s">
        <v>34</v>
      </c>
      <c r="P6066" s="1" t="s">
        <v>55</v>
      </c>
      <c r="Q6066" s="1">
        <v>25</v>
      </c>
      <c r="R6066" s="1">
        <v>25</v>
      </c>
      <c r="S6066" s="1">
        <v>0</v>
      </c>
      <c r="T6066" s="1">
        <v>0</v>
      </c>
      <c r="U6066" s="1">
        <v>0</v>
      </c>
      <c r="V6066" s="1" t="str">
        <f t="shared" si="1204"/>
        <v>里程去程</v>
      </c>
      <c r="W6066" s="1" t="str">
        <f>"0820"</f>
        <v>0820</v>
      </c>
      <c r="X6066" s="1" t="s">
        <v>35</v>
      </c>
    </row>
    <row r="6067" spans="1:24" x14ac:dyDescent="0.3">
      <c r="A6067" s="1" t="str">
        <f t="shared" si="1200"/>
        <v>59820</v>
      </c>
      <c r="B6067" s="1" t="s">
        <v>53</v>
      </c>
      <c r="C6067" s="1" t="s">
        <v>54</v>
      </c>
      <c r="D6067" s="1" t="str">
        <f t="shared" si="1203"/>
        <v>9803</v>
      </c>
      <c r="E6067" s="1" t="s">
        <v>32</v>
      </c>
      <c r="F6067" s="1" t="str">
        <f>"A24D0000EF880400C831002000000014"</f>
        <v>A24D0000EF880400C831002000000014</v>
      </c>
      <c r="G6067" s="1" t="s">
        <v>58</v>
      </c>
      <c r="H6067" s="1" t="str">
        <f t="shared" si="1201"/>
        <v>20220930</v>
      </c>
      <c r="I6067" s="1" t="str">
        <f>"102752"</f>
        <v>102752</v>
      </c>
      <c r="J6067" s="1" t="s">
        <v>28</v>
      </c>
      <c r="K6067" s="1" t="s">
        <v>28</v>
      </c>
      <c r="L6067" s="1" t="str">
        <f t="shared" si="1202"/>
        <v>20220930</v>
      </c>
      <c r="M6067" s="1" t="str">
        <f>"104647"</f>
        <v>104647</v>
      </c>
      <c r="N6067" s="1" t="s">
        <v>34</v>
      </c>
      <c r="O6067" s="1" t="s">
        <v>34</v>
      </c>
      <c r="P6067" s="1" t="s">
        <v>55</v>
      </c>
      <c r="Q6067" s="1">
        <v>25</v>
      </c>
      <c r="R6067" s="1">
        <v>25</v>
      </c>
      <c r="S6067" s="1">
        <v>0</v>
      </c>
      <c r="T6067" s="1">
        <v>0</v>
      </c>
      <c r="U6067" s="1">
        <v>0</v>
      </c>
      <c r="V6067" s="1" t="str">
        <f t="shared" si="1204"/>
        <v>里程去程</v>
      </c>
      <c r="W6067" s="1" t="str">
        <f>"0020"</f>
        <v>0020</v>
      </c>
      <c r="X6067" s="1" t="s">
        <v>29</v>
      </c>
    </row>
    <row r="6068" spans="1:24" x14ac:dyDescent="0.3">
      <c r="A6068" s="1" t="str">
        <f t="shared" si="1200"/>
        <v>59820</v>
      </c>
      <c r="B6068" s="1" t="s">
        <v>53</v>
      </c>
      <c r="C6068" s="1" t="s">
        <v>54</v>
      </c>
      <c r="D6068" s="1" t="str">
        <f t="shared" si="1203"/>
        <v>9803</v>
      </c>
      <c r="E6068" s="1" t="s">
        <v>32</v>
      </c>
      <c r="F6068" s="1" t="str">
        <f>"1220393525"</f>
        <v>1220393525</v>
      </c>
      <c r="G6068" s="1" t="s">
        <v>38</v>
      </c>
      <c r="H6068" s="1" t="str">
        <f t="shared" si="1201"/>
        <v>20220930</v>
      </c>
      <c r="I6068" s="1" t="str">
        <f>"113006"</f>
        <v>113006</v>
      </c>
      <c r="J6068" s="1" t="s">
        <v>28</v>
      </c>
      <c r="K6068" s="1" t="s">
        <v>28</v>
      </c>
      <c r="L6068" s="1" t="str">
        <f t="shared" si="1202"/>
        <v>20220930</v>
      </c>
      <c r="M6068" s="1" t="str">
        <f>"114808"</f>
        <v>114808</v>
      </c>
      <c r="N6068" s="1" t="s">
        <v>34</v>
      </c>
      <c r="O6068" s="1" t="s">
        <v>34</v>
      </c>
      <c r="P6068" s="1" t="s">
        <v>55</v>
      </c>
      <c r="Q6068" s="1">
        <v>25</v>
      </c>
      <c r="R6068" s="1">
        <v>25</v>
      </c>
      <c r="S6068" s="1">
        <v>0</v>
      </c>
      <c r="T6068" s="1">
        <v>0</v>
      </c>
      <c r="U6068" s="1">
        <v>0</v>
      </c>
      <c r="V6068" s="1" t="str">
        <f t="shared" si="1204"/>
        <v>里程去程</v>
      </c>
      <c r="W6068" s="1" t="str">
        <f>"0220"</f>
        <v>0220</v>
      </c>
      <c r="X6068" s="1" t="s">
        <v>35</v>
      </c>
    </row>
    <row r="6069" spans="1:24" x14ac:dyDescent="0.3">
      <c r="A6069" s="1" t="str">
        <f t="shared" si="1200"/>
        <v>59820</v>
      </c>
      <c r="B6069" s="1" t="s">
        <v>53</v>
      </c>
      <c r="C6069" s="1" t="s">
        <v>54</v>
      </c>
      <c r="D6069" s="1" t="str">
        <f t="shared" si="1203"/>
        <v>9803</v>
      </c>
      <c r="E6069" s="1" t="s">
        <v>32</v>
      </c>
      <c r="F6069" s="1" t="str">
        <f>"1605126405"</f>
        <v>1605126405</v>
      </c>
      <c r="G6069" s="1" t="s">
        <v>33</v>
      </c>
      <c r="H6069" s="1" t="str">
        <f t="shared" si="1201"/>
        <v>20220930</v>
      </c>
      <c r="I6069" s="1" t="str">
        <f>"113011"</f>
        <v>113011</v>
      </c>
      <c r="J6069" s="1" t="s">
        <v>28</v>
      </c>
      <c r="K6069" s="1" t="s">
        <v>28</v>
      </c>
      <c r="L6069" s="1" t="str">
        <f t="shared" si="1202"/>
        <v>20220930</v>
      </c>
      <c r="M6069" s="1" t="str">
        <f>"114816"</f>
        <v>114816</v>
      </c>
      <c r="N6069" s="1" t="s">
        <v>34</v>
      </c>
      <c r="O6069" s="1" t="s">
        <v>34</v>
      </c>
      <c r="P6069" s="1" t="s">
        <v>55</v>
      </c>
      <c r="Q6069" s="1">
        <v>25</v>
      </c>
      <c r="R6069" s="1">
        <v>0</v>
      </c>
      <c r="S6069" s="1">
        <v>25</v>
      </c>
      <c r="T6069" s="1">
        <v>0</v>
      </c>
      <c r="U6069" s="1">
        <v>0</v>
      </c>
      <c r="V6069" s="1" t="str">
        <f t="shared" si="1204"/>
        <v>里程去程</v>
      </c>
      <c r="W6069" s="1" t="str">
        <f>"0820"</f>
        <v>0820</v>
      </c>
      <c r="X6069" s="1" t="s">
        <v>35</v>
      </c>
    </row>
    <row r="6070" spans="1:24" x14ac:dyDescent="0.3">
      <c r="A6070" s="1" t="str">
        <f t="shared" si="1200"/>
        <v>59820</v>
      </c>
      <c r="B6070" s="1" t="s">
        <v>53</v>
      </c>
      <c r="C6070" s="1" t="s">
        <v>54</v>
      </c>
      <c r="D6070" s="1" t="str">
        <f t="shared" si="1203"/>
        <v>9803</v>
      </c>
      <c r="E6070" s="1" t="s">
        <v>32</v>
      </c>
      <c r="F6070" s="1" t="str">
        <f>"1118260021"</f>
        <v>1118260021</v>
      </c>
      <c r="G6070" s="1" t="s">
        <v>33</v>
      </c>
      <c r="H6070" s="1" t="str">
        <f t="shared" si="1201"/>
        <v>20220930</v>
      </c>
      <c r="I6070" s="1" t="str">
        <f>"113024"</f>
        <v>113024</v>
      </c>
      <c r="J6070" s="1" t="s">
        <v>28</v>
      </c>
      <c r="K6070" s="1" t="s">
        <v>28</v>
      </c>
      <c r="L6070" s="1" t="str">
        <f t="shared" si="1202"/>
        <v>20220930</v>
      </c>
      <c r="M6070" s="1" t="str">
        <f>"114757"</f>
        <v>114757</v>
      </c>
      <c r="N6070" s="1" t="s">
        <v>34</v>
      </c>
      <c r="O6070" s="1" t="s">
        <v>34</v>
      </c>
      <c r="P6070" s="1" t="s">
        <v>55</v>
      </c>
      <c r="Q6070" s="1">
        <v>25</v>
      </c>
      <c r="R6070" s="1">
        <v>25</v>
      </c>
      <c r="S6070" s="1">
        <v>0</v>
      </c>
      <c r="T6070" s="1">
        <v>0</v>
      </c>
      <c r="U6070" s="1">
        <v>0</v>
      </c>
      <c r="V6070" s="1" t="str">
        <f t="shared" si="1204"/>
        <v>里程去程</v>
      </c>
      <c r="W6070" s="1" t="str">
        <f>"2320"</f>
        <v>2320</v>
      </c>
      <c r="X6070" s="1" t="s">
        <v>35</v>
      </c>
    </row>
    <row r="6071" spans="1:24" x14ac:dyDescent="0.3">
      <c r="A6071" s="1" t="str">
        <f t="shared" si="1200"/>
        <v>59820</v>
      </c>
      <c r="B6071" s="1" t="s">
        <v>53</v>
      </c>
      <c r="C6071" s="1" t="s">
        <v>54</v>
      </c>
      <c r="D6071" s="1" t="str">
        <f t="shared" si="1203"/>
        <v>9803</v>
      </c>
      <c r="E6071" s="1" t="s">
        <v>32</v>
      </c>
      <c r="F6071" s="1" t="str">
        <f>"651623695"</f>
        <v>651623695</v>
      </c>
      <c r="G6071" s="1" t="s">
        <v>33</v>
      </c>
      <c r="H6071" s="1" t="str">
        <f t="shared" si="1201"/>
        <v>20220930</v>
      </c>
      <c r="I6071" s="1" t="str">
        <f>"113029"</f>
        <v>113029</v>
      </c>
      <c r="J6071" s="1" t="s">
        <v>28</v>
      </c>
      <c r="K6071" s="1" t="s">
        <v>28</v>
      </c>
      <c r="L6071" s="1" t="str">
        <f t="shared" si="1202"/>
        <v>20220930</v>
      </c>
      <c r="M6071" s="1" t="str">
        <f>"114746"</f>
        <v>114746</v>
      </c>
      <c r="N6071" s="1" t="s">
        <v>34</v>
      </c>
      <c r="O6071" s="1" t="s">
        <v>34</v>
      </c>
      <c r="P6071" s="1" t="s">
        <v>55</v>
      </c>
      <c r="Q6071" s="1">
        <v>25</v>
      </c>
      <c r="R6071" s="1">
        <v>25</v>
      </c>
      <c r="S6071" s="1">
        <v>0</v>
      </c>
      <c r="T6071" s="1">
        <v>0</v>
      </c>
      <c r="U6071" s="1">
        <v>0</v>
      </c>
      <c r="V6071" s="1" t="str">
        <f t="shared" si="1204"/>
        <v>里程去程</v>
      </c>
      <c r="W6071" s="1" t="str">
        <f>"0120"</f>
        <v>0120</v>
      </c>
      <c r="X6071" s="1" t="s">
        <v>35</v>
      </c>
    </row>
    <row r="6072" spans="1:24" x14ac:dyDescent="0.3">
      <c r="A6072" s="1" t="str">
        <f t="shared" si="1200"/>
        <v>59820</v>
      </c>
      <c r="B6072" s="1" t="s">
        <v>53</v>
      </c>
      <c r="C6072" s="1" t="s">
        <v>54</v>
      </c>
      <c r="D6072" s="1" t="str">
        <f t="shared" si="1203"/>
        <v>9803</v>
      </c>
      <c r="E6072" s="1" t="s">
        <v>32</v>
      </c>
      <c r="F6072" s="1" t="str">
        <f>"1081990645"</f>
        <v>1081990645</v>
      </c>
      <c r="G6072" s="1" t="s">
        <v>33</v>
      </c>
      <c r="H6072" s="1" t="str">
        <f t="shared" si="1201"/>
        <v>20220930</v>
      </c>
      <c r="I6072" s="1" t="str">
        <f>"113031"</f>
        <v>113031</v>
      </c>
      <c r="J6072" s="1" t="s">
        <v>28</v>
      </c>
      <c r="K6072" s="1" t="s">
        <v>28</v>
      </c>
      <c r="L6072" s="1" t="str">
        <f t="shared" si="1202"/>
        <v>20220930</v>
      </c>
      <c r="M6072" s="1" t="str">
        <f>"114803"</f>
        <v>114803</v>
      </c>
      <c r="N6072" s="1" t="s">
        <v>34</v>
      </c>
      <c r="O6072" s="1" t="s">
        <v>34</v>
      </c>
      <c r="P6072" s="1" t="s">
        <v>55</v>
      </c>
      <c r="Q6072" s="1">
        <v>25</v>
      </c>
      <c r="R6072" s="1">
        <v>25</v>
      </c>
      <c r="S6072" s="1">
        <v>0</v>
      </c>
      <c r="T6072" s="1">
        <v>0</v>
      </c>
      <c r="U6072" s="1">
        <v>0</v>
      </c>
      <c r="V6072" s="1" t="str">
        <f t="shared" si="1204"/>
        <v>里程去程</v>
      </c>
      <c r="W6072" s="1" t="str">
        <f>"0620"</f>
        <v>0620</v>
      </c>
      <c r="X6072" s="1" t="s">
        <v>35</v>
      </c>
    </row>
    <row r="6073" spans="1:24" x14ac:dyDescent="0.3">
      <c r="A6073" s="1" t="str">
        <f t="shared" si="1200"/>
        <v>59820</v>
      </c>
      <c r="B6073" s="1" t="s">
        <v>53</v>
      </c>
      <c r="C6073" s="1" t="s">
        <v>54</v>
      </c>
      <c r="D6073" s="1" t="str">
        <f t="shared" si="1203"/>
        <v>9803</v>
      </c>
      <c r="E6073" s="1" t="s">
        <v>32</v>
      </c>
      <c r="F6073" s="1" t="str">
        <f>"1269977313"</f>
        <v>1269977313</v>
      </c>
      <c r="G6073" s="1" t="s">
        <v>33</v>
      </c>
      <c r="H6073" s="1" t="str">
        <f t="shared" si="1201"/>
        <v>20220930</v>
      </c>
      <c r="I6073" s="1" t="str">
        <f>"113847"</f>
        <v>113847</v>
      </c>
      <c r="J6073" s="1" t="s">
        <v>79</v>
      </c>
      <c r="K6073" s="1" t="s">
        <v>28</v>
      </c>
      <c r="L6073" s="1" t="str">
        <f t="shared" si="1202"/>
        <v>20220930</v>
      </c>
      <c r="M6073" s="1" t="str">
        <f>"114805"</f>
        <v>114805</v>
      </c>
      <c r="N6073" s="1" t="s">
        <v>34</v>
      </c>
      <c r="O6073" s="1" t="s">
        <v>34</v>
      </c>
      <c r="P6073" s="1" t="s">
        <v>55</v>
      </c>
      <c r="Q6073" s="1">
        <v>25</v>
      </c>
      <c r="R6073" s="1">
        <v>25</v>
      </c>
      <c r="S6073" s="1">
        <v>0</v>
      </c>
      <c r="T6073" s="1">
        <v>0</v>
      </c>
      <c r="U6073" s="1">
        <v>0</v>
      </c>
      <c r="V6073" s="1" t="str">
        <f t="shared" si="1204"/>
        <v>里程去程</v>
      </c>
      <c r="W6073" s="1" t="str">
        <f>"2120"</f>
        <v>2120</v>
      </c>
      <c r="X6073" s="1" t="s">
        <v>35</v>
      </c>
    </row>
    <row r="6074" spans="1:24" x14ac:dyDescent="0.3">
      <c r="A6074" s="1" t="str">
        <f t="shared" si="1200"/>
        <v>59820</v>
      </c>
      <c r="B6074" s="1" t="s">
        <v>53</v>
      </c>
      <c r="C6074" s="1" t="s">
        <v>54</v>
      </c>
      <c r="D6074" s="1" t="str">
        <f t="shared" si="1203"/>
        <v>9803</v>
      </c>
      <c r="E6074" s="1" t="s">
        <v>32</v>
      </c>
      <c r="F6074" s="1" t="str">
        <f>"11F5C567462804001C00000000000000"</f>
        <v>11F5C567462804001C00000000000000</v>
      </c>
      <c r="G6074" s="1" t="s">
        <v>58</v>
      </c>
      <c r="H6074" s="1" t="str">
        <f t="shared" si="1201"/>
        <v>20220930</v>
      </c>
      <c r="I6074" s="1" t="str">
        <f>"120005"</f>
        <v>120005</v>
      </c>
      <c r="J6074" s="1" t="s">
        <v>34</v>
      </c>
      <c r="K6074" s="1" t="s">
        <v>34</v>
      </c>
      <c r="L6074" s="1" t="str">
        <f t="shared" si="1202"/>
        <v>20220930</v>
      </c>
      <c r="M6074" s="1" t="str">
        <f>"122722"</f>
        <v>122722</v>
      </c>
      <c r="N6074" s="1" t="s">
        <v>28</v>
      </c>
      <c r="O6074" s="1" t="s">
        <v>28</v>
      </c>
      <c r="P6074" s="1" t="s">
        <v>55</v>
      </c>
      <c r="Q6074" s="1">
        <v>25</v>
      </c>
      <c r="R6074" s="1">
        <v>25</v>
      </c>
      <c r="S6074" s="1">
        <v>0</v>
      </c>
      <c r="T6074" s="1">
        <v>0</v>
      </c>
      <c r="U6074" s="1">
        <v>0</v>
      </c>
      <c r="V6074" s="1" t="str">
        <f>"里程返程"</f>
        <v>里程返程</v>
      </c>
      <c r="W6074" s="1" t="str">
        <f>"0020"</f>
        <v>0020</v>
      </c>
      <c r="X6074" s="1" t="s">
        <v>29</v>
      </c>
    </row>
    <row r="6075" spans="1:24" x14ac:dyDescent="0.3">
      <c r="A6075" s="1" t="str">
        <f t="shared" si="1200"/>
        <v>59820</v>
      </c>
      <c r="B6075" s="1" t="s">
        <v>53</v>
      </c>
      <c r="C6075" s="1" t="s">
        <v>54</v>
      </c>
      <c r="D6075" s="1" t="str">
        <f t="shared" si="1203"/>
        <v>9803</v>
      </c>
      <c r="E6075" s="1" t="s">
        <v>32</v>
      </c>
      <c r="F6075" s="1" t="str">
        <f>"235293717"</f>
        <v>235293717</v>
      </c>
      <c r="G6075" s="1" t="s">
        <v>33</v>
      </c>
      <c r="H6075" s="1" t="str">
        <f t="shared" si="1201"/>
        <v>20220930</v>
      </c>
      <c r="I6075" s="1" t="str">
        <f>"120010"</f>
        <v>120010</v>
      </c>
      <c r="J6075" s="1" t="s">
        <v>34</v>
      </c>
      <c r="K6075" s="1" t="s">
        <v>34</v>
      </c>
      <c r="L6075" s="1" t="str">
        <f t="shared" si="1202"/>
        <v>20220930</v>
      </c>
      <c r="M6075" s="1" t="str">
        <f>"122727"</f>
        <v>122727</v>
      </c>
      <c r="N6075" s="1" t="s">
        <v>28</v>
      </c>
      <c r="O6075" s="1" t="s">
        <v>28</v>
      </c>
      <c r="P6075" s="1" t="s">
        <v>55</v>
      </c>
      <c r="Q6075" s="1">
        <v>25</v>
      </c>
      <c r="R6075" s="1">
        <v>25</v>
      </c>
      <c r="S6075" s="1">
        <v>0</v>
      </c>
      <c r="T6075" s="1">
        <v>0</v>
      </c>
      <c r="U6075" s="1">
        <v>0</v>
      </c>
      <c r="V6075" s="1" t="str">
        <f>"里程返程"</f>
        <v>里程返程</v>
      </c>
      <c r="W6075" s="1" t="str">
        <f>"0320"</f>
        <v>0320</v>
      </c>
      <c r="X6075" s="1" t="s">
        <v>35</v>
      </c>
    </row>
    <row r="6076" spans="1:24" x14ac:dyDescent="0.3">
      <c r="A6076" s="1" t="str">
        <f t="shared" si="1200"/>
        <v>59820</v>
      </c>
      <c r="B6076" s="1" t="s">
        <v>53</v>
      </c>
      <c r="C6076" s="1" t="s">
        <v>54</v>
      </c>
      <c r="D6076" s="1" t="str">
        <f t="shared" si="1203"/>
        <v>9803</v>
      </c>
      <c r="E6076" s="1" t="s">
        <v>32</v>
      </c>
      <c r="F6076" s="1" t="str">
        <f>"880470469"</f>
        <v>880470469</v>
      </c>
      <c r="G6076" s="1" t="s">
        <v>33</v>
      </c>
      <c r="H6076" s="1" t="str">
        <f t="shared" si="1201"/>
        <v>20220930</v>
      </c>
      <c r="I6076" s="1" t="str">
        <f>"122812"</f>
        <v>122812</v>
      </c>
      <c r="J6076" s="1" t="s">
        <v>28</v>
      </c>
      <c r="K6076" s="1" t="s">
        <v>28</v>
      </c>
      <c r="L6076" s="1" t="str">
        <f t="shared" si="1202"/>
        <v>20220930</v>
      </c>
      <c r="M6076" s="1" t="str">
        <f>"124648"</f>
        <v>124648</v>
      </c>
      <c r="N6076" s="1" t="s">
        <v>34</v>
      </c>
      <c r="O6076" s="1" t="s">
        <v>34</v>
      </c>
      <c r="P6076" s="1" t="s">
        <v>55</v>
      </c>
      <c r="Q6076" s="1">
        <v>25</v>
      </c>
      <c r="R6076" s="1">
        <v>25</v>
      </c>
      <c r="S6076" s="1">
        <v>0</v>
      </c>
      <c r="T6076" s="1">
        <v>0</v>
      </c>
      <c r="U6076" s="1">
        <v>0</v>
      </c>
      <c r="V6076" s="1" t="str">
        <f t="shared" ref="V6076:V6088" si="1205">"里程去程"</f>
        <v>里程去程</v>
      </c>
      <c r="W6076" s="1" t="str">
        <f>"0320"</f>
        <v>0320</v>
      </c>
      <c r="X6076" s="1" t="s">
        <v>35</v>
      </c>
    </row>
    <row r="6077" spans="1:24" x14ac:dyDescent="0.3">
      <c r="A6077" s="1" t="str">
        <f t="shared" si="1200"/>
        <v>59820</v>
      </c>
      <c r="B6077" s="1" t="s">
        <v>53</v>
      </c>
      <c r="C6077" s="1" t="s">
        <v>54</v>
      </c>
      <c r="D6077" s="1" t="str">
        <f t="shared" si="1203"/>
        <v>9803</v>
      </c>
      <c r="E6077" s="1" t="s">
        <v>32</v>
      </c>
      <c r="F6077" s="1" t="str">
        <f>"758407061"</f>
        <v>758407061</v>
      </c>
      <c r="G6077" s="1" t="s">
        <v>33</v>
      </c>
      <c r="H6077" s="1" t="str">
        <f t="shared" si="1201"/>
        <v>20220930</v>
      </c>
      <c r="I6077" s="1" t="str">
        <f>"122816"</f>
        <v>122816</v>
      </c>
      <c r="J6077" s="1" t="s">
        <v>28</v>
      </c>
      <c r="K6077" s="1" t="s">
        <v>28</v>
      </c>
      <c r="L6077" s="1" t="str">
        <f t="shared" si="1202"/>
        <v>20220930</v>
      </c>
      <c r="M6077" s="1" t="str">
        <f>"124605"</f>
        <v>124605</v>
      </c>
      <c r="N6077" s="1" t="s">
        <v>34</v>
      </c>
      <c r="O6077" s="1" t="s">
        <v>34</v>
      </c>
      <c r="P6077" s="1" t="s">
        <v>55</v>
      </c>
      <c r="Q6077" s="1">
        <v>25</v>
      </c>
      <c r="R6077" s="1">
        <v>25</v>
      </c>
      <c r="S6077" s="1">
        <v>0</v>
      </c>
      <c r="T6077" s="1">
        <v>0</v>
      </c>
      <c r="U6077" s="1">
        <v>0</v>
      </c>
      <c r="V6077" s="1" t="str">
        <f t="shared" si="1205"/>
        <v>里程去程</v>
      </c>
      <c r="W6077" s="1" t="str">
        <f>"1120"</f>
        <v>1120</v>
      </c>
      <c r="X6077" s="1" t="s">
        <v>35</v>
      </c>
    </row>
    <row r="6078" spans="1:24" x14ac:dyDescent="0.3">
      <c r="A6078" s="1" t="str">
        <f t="shared" si="1200"/>
        <v>59820</v>
      </c>
      <c r="B6078" s="1" t="s">
        <v>53</v>
      </c>
      <c r="C6078" s="1" t="s">
        <v>54</v>
      </c>
      <c r="D6078" s="1" t="str">
        <f t="shared" si="1203"/>
        <v>9803</v>
      </c>
      <c r="E6078" s="1" t="s">
        <v>32</v>
      </c>
      <c r="F6078" s="1" t="str">
        <f>"5717153012040347"</f>
        <v>5717153012040347</v>
      </c>
      <c r="G6078" s="1" t="s">
        <v>33</v>
      </c>
      <c r="H6078" s="1" t="str">
        <f t="shared" si="1201"/>
        <v>20220930</v>
      </c>
      <c r="I6078" s="1" t="str">
        <f>"122823"</f>
        <v>122823</v>
      </c>
      <c r="J6078" s="1" t="s">
        <v>28</v>
      </c>
      <c r="K6078" s="1" t="s">
        <v>28</v>
      </c>
      <c r="L6078" s="1" t="str">
        <f t="shared" si="1202"/>
        <v>20220930</v>
      </c>
      <c r="M6078" s="1" t="str">
        <f>"124719"</f>
        <v>124719</v>
      </c>
      <c r="N6078" s="1" t="s">
        <v>34</v>
      </c>
      <c r="O6078" s="1" t="s">
        <v>34</v>
      </c>
      <c r="P6078" s="1" t="s">
        <v>55</v>
      </c>
      <c r="Q6078" s="1">
        <v>25</v>
      </c>
      <c r="R6078" s="1">
        <v>25</v>
      </c>
      <c r="S6078" s="1">
        <v>0</v>
      </c>
      <c r="T6078" s="1">
        <v>0</v>
      </c>
      <c r="U6078" s="1">
        <v>0</v>
      </c>
      <c r="V6078" s="1" t="str">
        <f t="shared" si="1205"/>
        <v>里程去程</v>
      </c>
      <c r="W6078" s="1" t="str">
        <f>"013B"</f>
        <v>013B</v>
      </c>
      <c r="X6078" s="1" t="s">
        <v>109</v>
      </c>
    </row>
    <row r="6079" spans="1:24" x14ac:dyDescent="0.3">
      <c r="A6079" s="1" t="str">
        <f t="shared" si="1200"/>
        <v>59820</v>
      </c>
      <c r="B6079" s="1" t="s">
        <v>53</v>
      </c>
      <c r="C6079" s="1" t="s">
        <v>54</v>
      </c>
      <c r="D6079" s="1" t="str">
        <f t="shared" si="1203"/>
        <v>9803</v>
      </c>
      <c r="E6079" s="1" t="s">
        <v>32</v>
      </c>
      <c r="F6079" s="1" t="str">
        <f>"924754129"</f>
        <v>924754129</v>
      </c>
      <c r="G6079" s="1" t="s">
        <v>33</v>
      </c>
      <c r="H6079" s="1" t="str">
        <f t="shared" si="1201"/>
        <v>20220930</v>
      </c>
      <c r="I6079" s="1" t="str">
        <f>"122829"</f>
        <v>122829</v>
      </c>
      <c r="J6079" s="1" t="s">
        <v>28</v>
      </c>
      <c r="K6079" s="1" t="s">
        <v>28</v>
      </c>
      <c r="L6079" s="1" t="str">
        <f t="shared" si="1202"/>
        <v>20220930</v>
      </c>
      <c r="M6079" s="1" t="str">
        <f>"124729"</f>
        <v>124729</v>
      </c>
      <c r="N6079" s="1" t="s">
        <v>34</v>
      </c>
      <c r="O6079" s="1" t="s">
        <v>34</v>
      </c>
      <c r="P6079" s="1" t="s">
        <v>55</v>
      </c>
      <c r="Q6079" s="1">
        <v>25</v>
      </c>
      <c r="R6079" s="1">
        <v>25</v>
      </c>
      <c r="S6079" s="1">
        <v>0</v>
      </c>
      <c r="T6079" s="1">
        <v>0</v>
      </c>
      <c r="U6079" s="1">
        <v>0</v>
      </c>
      <c r="V6079" s="1" t="str">
        <f t="shared" si="1205"/>
        <v>里程去程</v>
      </c>
      <c r="W6079" s="1" t="str">
        <f>"0320"</f>
        <v>0320</v>
      </c>
      <c r="X6079" s="1" t="s">
        <v>35</v>
      </c>
    </row>
    <row r="6080" spans="1:24" x14ac:dyDescent="0.3">
      <c r="A6080" s="1" t="str">
        <f t="shared" si="1200"/>
        <v>59820</v>
      </c>
      <c r="B6080" s="1" t="s">
        <v>53</v>
      </c>
      <c r="C6080" s="1" t="s">
        <v>54</v>
      </c>
      <c r="D6080" s="1" t="str">
        <f t="shared" si="1203"/>
        <v>9803</v>
      </c>
      <c r="E6080" s="1" t="s">
        <v>32</v>
      </c>
      <c r="F6080" s="1" t="str">
        <f>"290998248"</f>
        <v>290998248</v>
      </c>
      <c r="G6080" s="1" t="s">
        <v>33</v>
      </c>
      <c r="H6080" s="1" t="str">
        <f t="shared" si="1201"/>
        <v>20220930</v>
      </c>
      <c r="I6080" s="1" t="str">
        <f>"122833"</f>
        <v>122833</v>
      </c>
      <c r="J6080" s="1" t="s">
        <v>28</v>
      </c>
      <c r="K6080" s="1" t="s">
        <v>28</v>
      </c>
      <c r="L6080" s="1" t="str">
        <f t="shared" si="1202"/>
        <v>20220930</v>
      </c>
      <c r="M6080" s="1" t="str">
        <f>"124731"</f>
        <v>124731</v>
      </c>
      <c r="N6080" s="1" t="s">
        <v>34</v>
      </c>
      <c r="O6080" s="1" t="s">
        <v>34</v>
      </c>
      <c r="P6080" s="1" t="s">
        <v>55</v>
      </c>
      <c r="Q6080" s="1">
        <v>25</v>
      </c>
      <c r="R6080" s="1">
        <v>0</v>
      </c>
      <c r="S6080" s="1">
        <v>25</v>
      </c>
      <c r="T6080" s="1">
        <v>0</v>
      </c>
      <c r="U6080" s="1">
        <v>0</v>
      </c>
      <c r="V6080" s="1" t="str">
        <f t="shared" si="1205"/>
        <v>里程去程</v>
      </c>
      <c r="W6080" s="1" t="str">
        <f>"0820"</f>
        <v>0820</v>
      </c>
      <c r="X6080" s="1" t="s">
        <v>35</v>
      </c>
    </row>
    <row r="6081" spans="1:24" x14ac:dyDescent="0.3">
      <c r="A6081" s="1" t="str">
        <f t="shared" si="1200"/>
        <v>59820</v>
      </c>
      <c r="B6081" s="1" t="s">
        <v>53</v>
      </c>
      <c r="C6081" s="1" t="s">
        <v>54</v>
      </c>
      <c r="D6081" s="1" t="str">
        <f t="shared" si="1203"/>
        <v>9803</v>
      </c>
      <c r="E6081" s="1" t="s">
        <v>32</v>
      </c>
      <c r="F6081" s="1" t="str">
        <f>"1211146449"</f>
        <v>1211146449</v>
      </c>
      <c r="G6081" s="1" t="s">
        <v>33</v>
      </c>
      <c r="H6081" s="1" t="str">
        <f t="shared" si="1201"/>
        <v>20220930</v>
      </c>
      <c r="I6081" s="1" t="str">
        <f>"122835"</f>
        <v>122835</v>
      </c>
      <c r="J6081" s="1" t="s">
        <v>28</v>
      </c>
      <c r="K6081" s="1" t="s">
        <v>28</v>
      </c>
      <c r="L6081" s="1" t="str">
        <f t="shared" si="1202"/>
        <v>20220930</v>
      </c>
      <c r="M6081" s="1" t="str">
        <f>"124619"</f>
        <v>124619</v>
      </c>
      <c r="N6081" s="1" t="s">
        <v>34</v>
      </c>
      <c r="O6081" s="1" t="s">
        <v>34</v>
      </c>
      <c r="P6081" s="1" t="s">
        <v>55</v>
      </c>
      <c r="Q6081" s="1">
        <v>25</v>
      </c>
      <c r="R6081" s="1">
        <v>25</v>
      </c>
      <c r="S6081" s="1">
        <v>0</v>
      </c>
      <c r="T6081" s="1">
        <v>0</v>
      </c>
      <c r="U6081" s="1">
        <v>0</v>
      </c>
      <c r="V6081" s="1" t="str">
        <f t="shared" si="1205"/>
        <v>里程去程</v>
      </c>
      <c r="W6081" s="1" t="str">
        <f>"0820"</f>
        <v>0820</v>
      </c>
      <c r="X6081" s="1" t="s">
        <v>35</v>
      </c>
    </row>
    <row r="6082" spans="1:24" x14ac:dyDescent="0.3">
      <c r="A6082" s="1" t="str">
        <f t="shared" si="1200"/>
        <v>59820</v>
      </c>
      <c r="B6082" s="1" t="s">
        <v>53</v>
      </c>
      <c r="C6082" s="1" t="s">
        <v>54</v>
      </c>
      <c r="D6082" s="1" t="str">
        <f t="shared" si="1203"/>
        <v>9803</v>
      </c>
      <c r="E6082" s="1" t="s">
        <v>32</v>
      </c>
      <c r="F6082" s="1" t="str">
        <f>"3773169086"</f>
        <v>3773169086</v>
      </c>
      <c r="G6082" s="1" t="s">
        <v>33</v>
      </c>
      <c r="H6082" s="1" t="str">
        <f t="shared" si="1201"/>
        <v>20220930</v>
      </c>
      <c r="I6082" s="1" t="str">
        <f>"122837"</f>
        <v>122837</v>
      </c>
      <c r="J6082" s="1" t="s">
        <v>28</v>
      </c>
      <c r="K6082" s="1" t="s">
        <v>28</v>
      </c>
      <c r="L6082" s="1" t="str">
        <f t="shared" si="1202"/>
        <v>20220930</v>
      </c>
      <c r="M6082" s="1" t="str">
        <f>"124654"</f>
        <v>124654</v>
      </c>
      <c r="N6082" s="1" t="s">
        <v>34</v>
      </c>
      <c r="O6082" s="1" t="s">
        <v>34</v>
      </c>
      <c r="P6082" s="1" t="s">
        <v>55</v>
      </c>
      <c r="Q6082" s="1">
        <v>25</v>
      </c>
      <c r="R6082" s="1">
        <v>25</v>
      </c>
      <c r="S6082" s="1">
        <v>0</v>
      </c>
      <c r="T6082" s="1">
        <v>0</v>
      </c>
      <c r="U6082" s="1">
        <v>0</v>
      </c>
      <c r="V6082" s="1" t="str">
        <f t="shared" si="1205"/>
        <v>里程去程</v>
      </c>
      <c r="W6082" s="1" t="str">
        <f>"0820"</f>
        <v>0820</v>
      </c>
      <c r="X6082" s="1" t="s">
        <v>35</v>
      </c>
    </row>
    <row r="6083" spans="1:24" x14ac:dyDescent="0.3">
      <c r="A6083" s="1" t="str">
        <f t="shared" si="1200"/>
        <v>59820</v>
      </c>
      <c r="B6083" s="1" t="s">
        <v>53</v>
      </c>
      <c r="C6083" s="1" t="s">
        <v>54</v>
      </c>
      <c r="D6083" s="1" t="str">
        <f t="shared" si="1203"/>
        <v>9803</v>
      </c>
      <c r="E6083" s="1" t="s">
        <v>32</v>
      </c>
      <c r="F6083" s="1" t="str">
        <f>"1125111365"</f>
        <v>1125111365</v>
      </c>
      <c r="G6083" s="1" t="s">
        <v>33</v>
      </c>
      <c r="H6083" s="1" t="str">
        <f t="shared" si="1201"/>
        <v>20220930</v>
      </c>
      <c r="I6083" s="1" t="str">
        <f>"122842"</f>
        <v>122842</v>
      </c>
      <c r="J6083" s="1" t="s">
        <v>28</v>
      </c>
      <c r="K6083" s="1" t="s">
        <v>28</v>
      </c>
      <c r="L6083" s="1" t="str">
        <f t="shared" si="1202"/>
        <v>20220930</v>
      </c>
      <c r="M6083" s="1" t="str">
        <f>"124658"</f>
        <v>124658</v>
      </c>
      <c r="N6083" s="1" t="s">
        <v>34</v>
      </c>
      <c r="O6083" s="1" t="s">
        <v>34</v>
      </c>
      <c r="P6083" s="1" t="s">
        <v>55</v>
      </c>
      <c r="Q6083" s="1">
        <v>25</v>
      </c>
      <c r="R6083" s="1">
        <v>25</v>
      </c>
      <c r="S6083" s="1">
        <v>0</v>
      </c>
      <c r="T6083" s="1">
        <v>0</v>
      </c>
      <c r="U6083" s="1">
        <v>0</v>
      </c>
      <c r="V6083" s="1" t="str">
        <f t="shared" si="1205"/>
        <v>里程去程</v>
      </c>
      <c r="W6083" s="1" t="str">
        <f>"0820"</f>
        <v>0820</v>
      </c>
      <c r="X6083" s="1" t="s">
        <v>35</v>
      </c>
    </row>
    <row r="6084" spans="1:24" x14ac:dyDescent="0.3">
      <c r="A6084" s="1" t="str">
        <f t="shared" si="1200"/>
        <v>59820</v>
      </c>
      <c r="B6084" s="1" t="s">
        <v>53</v>
      </c>
      <c r="C6084" s="1" t="s">
        <v>54</v>
      </c>
      <c r="D6084" s="1" t="str">
        <f t="shared" si="1203"/>
        <v>9803</v>
      </c>
      <c r="E6084" s="1" t="s">
        <v>32</v>
      </c>
      <c r="F6084" s="1" t="str">
        <f>"C2A85B0F3E880400C820002000000018"</f>
        <v>C2A85B0F3E880400C820002000000018</v>
      </c>
      <c r="G6084" s="1" t="s">
        <v>58</v>
      </c>
      <c r="H6084" s="1" t="str">
        <f t="shared" si="1201"/>
        <v>20220930</v>
      </c>
      <c r="I6084" s="1" t="str">
        <f>"122846"</f>
        <v>122846</v>
      </c>
      <c r="J6084" s="1" t="s">
        <v>28</v>
      </c>
      <c r="K6084" s="1" t="s">
        <v>28</v>
      </c>
      <c r="L6084" s="1" t="str">
        <f t="shared" si="1202"/>
        <v>20220930</v>
      </c>
      <c r="M6084" s="1" t="str">
        <f>"124723"</f>
        <v>124723</v>
      </c>
      <c r="N6084" s="1" t="s">
        <v>34</v>
      </c>
      <c r="O6084" s="1" t="s">
        <v>34</v>
      </c>
      <c r="P6084" s="1" t="s">
        <v>55</v>
      </c>
      <c r="Q6084" s="1">
        <v>25</v>
      </c>
      <c r="R6084" s="1">
        <v>25</v>
      </c>
      <c r="S6084" s="1">
        <v>0</v>
      </c>
      <c r="T6084" s="1">
        <v>0</v>
      </c>
      <c r="U6084" s="1">
        <v>0</v>
      </c>
      <c r="V6084" s="1" t="str">
        <f t="shared" si="1205"/>
        <v>里程去程</v>
      </c>
      <c r="W6084" s="1" t="str">
        <f>"0020"</f>
        <v>0020</v>
      </c>
      <c r="X6084" s="1" t="s">
        <v>29</v>
      </c>
    </row>
    <row r="6085" spans="1:24" x14ac:dyDescent="0.3">
      <c r="A6085" s="1" t="str">
        <f t="shared" si="1200"/>
        <v>59820</v>
      </c>
      <c r="B6085" s="1" t="s">
        <v>53</v>
      </c>
      <c r="C6085" s="1" t="s">
        <v>54</v>
      </c>
      <c r="D6085" s="1" t="str">
        <f t="shared" si="1203"/>
        <v>9803</v>
      </c>
      <c r="E6085" s="1" t="s">
        <v>32</v>
      </c>
      <c r="F6085" s="1" t="str">
        <f>"401771953"</f>
        <v>401771953</v>
      </c>
      <c r="G6085" s="1" t="s">
        <v>33</v>
      </c>
      <c r="H6085" s="1" t="str">
        <f t="shared" si="1201"/>
        <v>20220930</v>
      </c>
      <c r="I6085" s="1" t="str">
        <f>"122850"</f>
        <v>122850</v>
      </c>
      <c r="J6085" s="1" t="s">
        <v>28</v>
      </c>
      <c r="K6085" s="1" t="s">
        <v>28</v>
      </c>
      <c r="L6085" s="1" t="str">
        <f t="shared" si="1202"/>
        <v>20220930</v>
      </c>
      <c r="M6085" s="1" t="str">
        <f>"124644"</f>
        <v>124644</v>
      </c>
      <c r="N6085" s="1" t="s">
        <v>34</v>
      </c>
      <c r="O6085" s="1" t="s">
        <v>34</v>
      </c>
      <c r="P6085" s="1" t="s">
        <v>55</v>
      </c>
      <c r="Q6085" s="1">
        <v>25</v>
      </c>
      <c r="R6085" s="1">
        <v>25</v>
      </c>
      <c r="S6085" s="1">
        <v>0</v>
      </c>
      <c r="T6085" s="1">
        <v>0</v>
      </c>
      <c r="U6085" s="1">
        <v>0</v>
      </c>
      <c r="V6085" s="1" t="str">
        <f t="shared" si="1205"/>
        <v>里程去程</v>
      </c>
      <c r="W6085" s="1" t="str">
        <f>"1620"</f>
        <v>1620</v>
      </c>
      <c r="X6085" s="1" t="s">
        <v>35</v>
      </c>
    </row>
    <row r="6086" spans="1:24" x14ac:dyDescent="0.3">
      <c r="A6086" s="1" t="str">
        <f t="shared" si="1200"/>
        <v>59820</v>
      </c>
      <c r="B6086" s="1" t="s">
        <v>53</v>
      </c>
      <c r="C6086" s="1" t="s">
        <v>54</v>
      </c>
      <c r="D6086" s="1" t="str">
        <f t="shared" si="1203"/>
        <v>9803</v>
      </c>
      <c r="E6086" s="1" t="s">
        <v>32</v>
      </c>
      <c r="F6086" s="1" t="str">
        <f>"922E7A0DCB880400C848002000000017"</f>
        <v>922E7A0DCB880400C848002000000017</v>
      </c>
      <c r="G6086" s="1" t="s">
        <v>58</v>
      </c>
      <c r="H6086" s="1" t="str">
        <f t="shared" si="1201"/>
        <v>20220930</v>
      </c>
      <c r="I6086" s="1" t="str">
        <f>"122857"</f>
        <v>122857</v>
      </c>
      <c r="J6086" s="1" t="s">
        <v>28</v>
      </c>
      <c r="K6086" s="1" t="s">
        <v>28</v>
      </c>
      <c r="L6086" s="1" t="str">
        <f t="shared" si="1202"/>
        <v>20220930</v>
      </c>
      <c r="M6086" s="1" t="str">
        <f>"124740"</f>
        <v>124740</v>
      </c>
      <c r="N6086" s="1" t="s">
        <v>34</v>
      </c>
      <c r="O6086" s="1" t="s">
        <v>34</v>
      </c>
      <c r="P6086" s="1" t="s">
        <v>55</v>
      </c>
      <c r="Q6086" s="1">
        <v>25</v>
      </c>
      <c r="R6086" s="1">
        <v>0</v>
      </c>
      <c r="S6086" s="1">
        <v>25</v>
      </c>
      <c r="T6086" s="1">
        <v>0</v>
      </c>
      <c r="U6086" s="1">
        <v>0</v>
      </c>
      <c r="V6086" s="1" t="str">
        <f t="shared" si="1205"/>
        <v>里程去程</v>
      </c>
      <c r="W6086" s="1" t="str">
        <f>"1120"</f>
        <v>1120</v>
      </c>
      <c r="X6086" s="1" t="s">
        <v>29</v>
      </c>
    </row>
    <row r="6087" spans="1:24" x14ac:dyDescent="0.3">
      <c r="A6087" s="1" t="str">
        <f t="shared" si="1200"/>
        <v>59820</v>
      </c>
      <c r="B6087" s="1" t="s">
        <v>53</v>
      </c>
      <c r="C6087" s="1" t="s">
        <v>54</v>
      </c>
      <c r="D6087" s="1" t="str">
        <f t="shared" si="1203"/>
        <v>9803</v>
      </c>
      <c r="E6087" s="1" t="s">
        <v>32</v>
      </c>
      <c r="F6087" s="1" t="str">
        <f>"B5E82807723802000000000021274400"</f>
        <v>B5E82807723802000000000021274400</v>
      </c>
      <c r="G6087" s="1" t="s">
        <v>58</v>
      </c>
      <c r="H6087" s="1" t="str">
        <f t="shared" si="1201"/>
        <v>20220930</v>
      </c>
      <c r="I6087" s="1" t="str">
        <f>"123014"</f>
        <v>123014</v>
      </c>
      <c r="J6087" s="1" t="s">
        <v>28</v>
      </c>
      <c r="K6087" s="1" t="s">
        <v>28</v>
      </c>
      <c r="L6087" s="1" t="str">
        <f t="shared" si="1202"/>
        <v>20220930</v>
      </c>
      <c r="M6087" s="1" t="str">
        <f>"124651"</f>
        <v>124651</v>
      </c>
      <c r="N6087" s="1" t="s">
        <v>34</v>
      </c>
      <c r="O6087" s="1" t="s">
        <v>34</v>
      </c>
      <c r="P6087" s="1" t="s">
        <v>55</v>
      </c>
      <c r="Q6087" s="1">
        <v>25</v>
      </c>
      <c r="R6087" s="1">
        <v>0</v>
      </c>
      <c r="S6087" s="1">
        <v>25</v>
      </c>
      <c r="T6087" s="1">
        <v>0</v>
      </c>
      <c r="U6087" s="1">
        <v>0</v>
      </c>
      <c r="V6087" s="1" t="str">
        <f t="shared" si="1205"/>
        <v>里程去程</v>
      </c>
      <c r="W6087" s="1" t="str">
        <f>"0620"</f>
        <v>0620</v>
      </c>
      <c r="X6087" s="1" t="s">
        <v>29</v>
      </c>
    </row>
    <row r="6088" spans="1:24" x14ac:dyDescent="0.3">
      <c r="A6088" s="1" t="str">
        <f t="shared" si="1200"/>
        <v>59820</v>
      </c>
      <c r="B6088" s="1" t="s">
        <v>53</v>
      </c>
      <c r="C6088" s="1" t="s">
        <v>54</v>
      </c>
      <c r="D6088" s="1" t="str">
        <f t="shared" si="1203"/>
        <v>9803</v>
      </c>
      <c r="E6088" s="1" t="s">
        <v>32</v>
      </c>
      <c r="F6088" s="1" t="str">
        <f>"7311170772001901"</f>
        <v>7311170772001901</v>
      </c>
      <c r="G6088" s="1" t="s">
        <v>33</v>
      </c>
      <c r="H6088" s="1" t="str">
        <f t="shared" si="1201"/>
        <v>20220930</v>
      </c>
      <c r="I6088" s="1" t="str">
        <f>"123052"</f>
        <v>123052</v>
      </c>
      <c r="J6088" s="1" t="s">
        <v>28</v>
      </c>
      <c r="K6088" s="1" t="s">
        <v>28</v>
      </c>
      <c r="L6088" s="1" t="str">
        <f t="shared" si="1202"/>
        <v>20220930</v>
      </c>
      <c r="M6088" s="1" t="str">
        <f>"124709"</f>
        <v>124709</v>
      </c>
      <c r="N6088" s="1" t="s">
        <v>34</v>
      </c>
      <c r="O6088" s="1" t="s">
        <v>34</v>
      </c>
      <c r="P6088" s="1" t="s">
        <v>55</v>
      </c>
      <c r="Q6088" s="1">
        <v>25</v>
      </c>
      <c r="R6088" s="1">
        <v>25</v>
      </c>
      <c r="S6088" s="1">
        <v>0</v>
      </c>
      <c r="T6088" s="1">
        <v>0</v>
      </c>
      <c r="U6088" s="1">
        <v>0</v>
      </c>
      <c r="V6088" s="1" t="str">
        <f t="shared" si="1205"/>
        <v>里程去程</v>
      </c>
      <c r="W6088" s="1" t="str">
        <f>"0E3B"</f>
        <v>0E3B</v>
      </c>
      <c r="X6088" s="1" t="s">
        <v>109</v>
      </c>
    </row>
    <row r="6089" spans="1:24" x14ac:dyDescent="0.3">
      <c r="A6089" s="1" t="str">
        <f t="shared" si="1200"/>
        <v>59820</v>
      </c>
      <c r="B6089" s="1" t="s">
        <v>53</v>
      </c>
      <c r="C6089" s="1" t="s">
        <v>54</v>
      </c>
      <c r="D6089" s="1" t="str">
        <f t="shared" si="1203"/>
        <v>9803</v>
      </c>
      <c r="E6089" s="1" t="s">
        <v>32</v>
      </c>
      <c r="F6089" s="1" t="str">
        <f>"277364080"</f>
        <v>277364080</v>
      </c>
      <c r="G6089" s="1" t="s">
        <v>33</v>
      </c>
      <c r="H6089" s="1" t="str">
        <f t="shared" si="1201"/>
        <v>20220930</v>
      </c>
      <c r="I6089" s="1" t="str">
        <f>"125949"</f>
        <v>125949</v>
      </c>
      <c r="J6089" s="1" t="s">
        <v>34</v>
      </c>
      <c r="K6089" s="1" t="s">
        <v>34</v>
      </c>
      <c r="L6089" s="1" t="str">
        <f t="shared" si="1202"/>
        <v>20220930</v>
      </c>
      <c r="M6089" s="1" t="str">
        <f>"132818"</f>
        <v>132818</v>
      </c>
      <c r="N6089" s="1" t="s">
        <v>28</v>
      </c>
      <c r="O6089" s="1" t="s">
        <v>28</v>
      </c>
      <c r="P6089" s="1" t="s">
        <v>55</v>
      </c>
      <c r="Q6089" s="1">
        <v>25</v>
      </c>
      <c r="R6089" s="1">
        <v>25</v>
      </c>
      <c r="S6089" s="1">
        <v>0</v>
      </c>
      <c r="T6089" s="1">
        <v>0</v>
      </c>
      <c r="U6089" s="1">
        <v>0</v>
      </c>
      <c r="V6089" s="1" t="str">
        <f>"里程返程"</f>
        <v>里程返程</v>
      </c>
      <c r="W6089" s="1" t="str">
        <f>"2020"</f>
        <v>2020</v>
      </c>
      <c r="X6089" s="1" t="s">
        <v>35</v>
      </c>
    </row>
    <row r="6090" spans="1:24" x14ac:dyDescent="0.3">
      <c r="A6090" s="1" t="str">
        <f t="shared" si="1200"/>
        <v>59820</v>
      </c>
      <c r="B6090" s="1" t="s">
        <v>53</v>
      </c>
      <c r="C6090" s="1" t="s">
        <v>54</v>
      </c>
      <c r="D6090" s="1" t="str">
        <f t="shared" si="1203"/>
        <v>9803</v>
      </c>
      <c r="E6090" s="1" t="s">
        <v>32</v>
      </c>
      <c r="F6090" s="1" t="str">
        <f>"100225489"</f>
        <v>100225489</v>
      </c>
      <c r="G6090" s="1" t="s">
        <v>33</v>
      </c>
      <c r="H6090" s="1" t="str">
        <f t="shared" si="1201"/>
        <v>20220930</v>
      </c>
      <c r="I6090" s="1" t="str">
        <f>"125955"</f>
        <v>125955</v>
      </c>
      <c r="J6090" s="1" t="s">
        <v>34</v>
      </c>
      <c r="K6090" s="1" t="s">
        <v>34</v>
      </c>
      <c r="L6090" s="1" t="str">
        <f t="shared" si="1202"/>
        <v>20220930</v>
      </c>
      <c r="M6090" s="1" t="str">
        <f>"132813"</f>
        <v>132813</v>
      </c>
      <c r="N6090" s="1" t="s">
        <v>28</v>
      </c>
      <c r="O6090" s="1" t="s">
        <v>28</v>
      </c>
      <c r="P6090" s="1" t="s">
        <v>55</v>
      </c>
      <c r="Q6090" s="1">
        <v>25</v>
      </c>
      <c r="R6090" s="1">
        <v>25</v>
      </c>
      <c r="S6090" s="1">
        <v>0</v>
      </c>
      <c r="T6090" s="1">
        <v>0</v>
      </c>
      <c r="U6090" s="1">
        <v>0</v>
      </c>
      <c r="V6090" s="1" t="str">
        <f>"里程返程"</f>
        <v>里程返程</v>
      </c>
      <c r="W6090" s="1" t="str">
        <f>"2020"</f>
        <v>2020</v>
      </c>
      <c r="X6090" s="1" t="s">
        <v>35</v>
      </c>
    </row>
    <row r="6091" spans="1:24" x14ac:dyDescent="0.3">
      <c r="A6091" s="1" t="str">
        <f t="shared" si="1200"/>
        <v>59820</v>
      </c>
      <c r="B6091" s="1" t="s">
        <v>53</v>
      </c>
      <c r="C6091" s="1" t="s">
        <v>54</v>
      </c>
      <c r="D6091" s="1" t="str">
        <f t="shared" si="1203"/>
        <v>9803</v>
      </c>
      <c r="E6091" s="1" t="s">
        <v>32</v>
      </c>
      <c r="F6091" s="1" t="str">
        <f>"422D72160B880400C814002000000019"</f>
        <v>422D72160B880400C814002000000019</v>
      </c>
      <c r="G6091" s="1" t="s">
        <v>82</v>
      </c>
      <c r="H6091" s="1" t="str">
        <f t="shared" si="1201"/>
        <v>20220930</v>
      </c>
      <c r="I6091" s="1" t="str">
        <f>"153751"</f>
        <v>153751</v>
      </c>
      <c r="J6091" s="1" t="s">
        <v>28</v>
      </c>
      <c r="K6091" s="1" t="s">
        <v>28</v>
      </c>
      <c r="L6091" s="1" t="str">
        <f t="shared" si="1202"/>
        <v>20220930</v>
      </c>
      <c r="M6091" s="1" t="str">
        <f>"155650"</f>
        <v>155650</v>
      </c>
      <c r="N6091" s="1" t="s">
        <v>34</v>
      </c>
      <c r="O6091" s="1" t="s">
        <v>34</v>
      </c>
      <c r="P6091" s="1" t="s">
        <v>55</v>
      </c>
      <c r="Q6091" s="1">
        <v>13</v>
      </c>
      <c r="R6091" s="1">
        <v>0</v>
      </c>
      <c r="S6091" s="1">
        <v>13</v>
      </c>
      <c r="T6091" s="1">
        <v>0</v>
      </c>
      <c r="U6091" s="1">
        <v>0</v>
      </c>
      <c r="V6091" s="1" t="str">
        <f>"里程去程"</f>
        <v>里程去程</v>
      </c>
      <c r="W6091" s="1" t="str">
        <f>"1120"</f>
        <v>1120</v>
      </c>
      <c r="X6091" s="1" t="s">
        <v>29</v>
      </c>
    </row>
    <row r="6092" spans="1:24" x14ac:dyDescent="0.3">
      <c r="A6092" s="1" t="str">
        <f t="shared" si="1200"/>
        <v>59820</v>
      </c>
      <c r="B6092" s="1" t="s">
        <v>53</v>
      </c>
      <c r="C6092" s="1" t="s">
        <v>54</v>
      </c>
      <c r="D6092" s="1" t="str">
        <f t="shared" si="1203"/>
        <v>9803</v>
      </c>
      <c r="E6092" s="1" t="s">
        <v>32</v>
      </c>
      <c r="F6092" s="1" t="str">
        <f>"820312188B880400C814002000000019"</f>
        <v>820312188B880400C814002000000019</v>
      </c>
      <c r="G6092" s="1" t="s">
        <v>66</v>
      </c>
      <c r="H6092" s="1" t="str">
        <f t="shared" si="1201"/>
        <v>20220930</v>
      </c>
      <c r="I6092" s="1" t="str">
        <f>"153752"</f>
        <v>153752</v>
      </c>
      <c r="J6092" s="1" t="s">
        <v>28</v>
      </c>
      <c r="K6092" s="1" t="s">
        <v>28</v>
      </c>
      <c r="L6092" s="1" t="str">
        <f t="shared" si="1202"/>
        <v>20220930</v>
      </c>
      <c r="M6092" s="1" t="str">
        <f>"155652"</f>
        <v>155652</v>
      </c>
      <c r="N6092" s="1" t="s">
        <v>34</v>
      </c>
      <c r="O6092" s="1" t="s">
        <v>34</v>
      </c>
      <c r="P6092" s="1" t="s">
        <v>55</v>
      </c>
      <c r="Q6092" s="1">
        <v>13</v>
      </c>
      <c r="R6092" s="1">
        <v>0</v>
      </c>
      <c r="S6092" s="1">
        <v>13</v>
      </c>
      <c r="T6092" s="1">
        <v>0</v>
      </c>
      <c r="U6092" s="1">
        <v>0</v>
      </c>
      <c r="V6092" s="1" t="str">
        <f>"里程去程"</f>
        <v>里程去程</v>
      </c>
      <c r="W6092" s="1" t="str">
        <f>"1120"</f>
        <v>1120</v>
      </c>
      <c r="X6092" s="1" t="s">
        <v>29</v>
      </c>
    </row>
    <row r="6093" spans="1:24" x14ac:dyDescent="0.3">
      <c r="A6093" s="1" t="str">
        <f t="shared" si="1200"/>
        <v>59820</v>
      </c>
      <c r="B6093" s="1" t="s">
        <v>53</v>
      </c>
      <c r="C6093" s="1" t="s">
        <v>54</v>
      </c>
      <c r="D6093" s="1" t="str">
        <f t="shared" si="1203"/>
        <v>9803</v>
      </c>
      <c r="E6093" s="1" t="s">
        <v>32</v>
      </c>
      <c r="F6093" s="1" t="str">
        <f>"84C7EAD77E880400C813002000000021"</f>
        <v>84C7EAD77E880400C813002000000021</v>
      </c>
      <c r="G6093" s="1" t="s">
        <v>59</v>
      </c>
      <c r="H6093" s="1" t="str">
        <f t="shared" si="1201"/>
        <v>20220930</v>
      </c>
      <c r="I6093" s="1" t="str">
        <f>"153806"</f>
        <v>153806</v>
      </c>
      <c r="J6093" s="1" t="s">
        <v>28</v>
      </c>
      <c r="K6093" s="1" t="s">
        <v>28</v>
      </c>
      <c r="L6093" s="1" t="str">
        <f t="shared" si="1202"/>
        <v>20220930</v>
      </c>
      <c r="M6093" s="1" t="str">
        <f>"154219"</f>
        <v>154219</v>
      </c>
      <c r="N6093" s="1" t="s">
        <v>28</v>
      </c>
      <c r="O6093" s="1" t="s">
        <v>28</v>
      </c>
      <c r="P6093" s="1" t="s">
        <v>55</v>
      </c>
      <c r="Q6093" s="1">
        <v>25</v>
      </c>
      <c r="R6093" s="1">
        <v>0</v>
      </c>
      <c r="S6093" s="1">
        <v>25</v>
      </c>
      <c r="T6093" s="1">
        <v>0</v>
      </c>
      <c r="U6093" s="1">
        <v>0</v>
      </c>
      <c r="V6093" s="1" t="str">
        <f>"里程去程"</f>
        <v>里程去程</v>
      </c>
      <c r="W6093" s="1" t="str">
        <f>"0620"</f>
        <v>0620</v>
      </c>
      <c r="X6093" s="1" t="s">
        <v>29</v>
      </c>
    </row>
    <row r="6094" spans="1:24" x14ac:dyDescent="0.3">
      <c r="A6094" s="1" t="str">
        <f t="shared" si="1200"/>
        <v>59820</v>
      </c>
      <c r="B6094" s="1" t="s">
        <v>53</v>
      </c>
      <c r="C6094" s="1" t="s">
        <v>54</v>
      </c>
      <c r="D6094" s="1" t="str">
        <f t="shared" si="1203"/>
        <v>9803</v>
      </c>
      <c r="E6094" s="1" t="s">
        <v>32</v>
      </c>
      <c r="F6094" s="1" t="str">
        <f>"314969361"</f>
        <v>314969361</v>
      </c>
      <c r="G6094" s="1" t="s">
        <v>33</v>
      </c>
      <c r="H6094" s="1" t="str">
        <f t="shared" si="1201"/>
        <v>20220930</v>
      </c>
      <c r="I6094" s="1" t="str">
        <f>"173046"</f>
        <v>173046</v>
      </c>
      <c r="J6094" s="1" t="s">
        <v>34</v>
      </c>
      <c r="K6094" s="1" t="s">
        <v>34</v>
      </c>
      <c r="L6094" s="1" t="str">
        <f t="shared" si="1202"/>
        <v>20220930</v>
      </c>
      <c r="M6094" s="1" t="str">
        <f>"175826"</f>
        <v>175826</v>
      </c>
      <c r="N6094" s="1" t="s">
        <v>28</v>
      </c>
      <c r="O6094" s="1" t="s">
        <v>28</v>
      </c>
      <c r="P6094" s="1" t="s">
        <v>55</v>
      </c>
      <c r="Q6094" s="1">
        <v>25</v>
      </c>
      <c r="R6094" s="1">
        <v>25</v>
      </c>
      <c r="S6094" s="1">
        <v>0</v>
      </c>
      <c r="T6094" s="1">
        <v>0</v>
      </c>
      <c r="U6094" s="1">
        <v>0</v>
      </c>
      <c r="V6094" s="1" t="str">
        <f t="shared" ref="V6094:V6100" si="1206">"里程返程"</f>
        <v>里程返程</v>
      </c>
      <c r="W6094" s="1" t="str">
        <f>"2020"</f>
        <v>2020</v>
      </c>
      <c r="X6094" s="1" t="s">
        <v>35</v>
      </c>
    </row>
    <row r="6095" spans="1:24" x14ac:dyDescent="0.3">
      <c r="A6095" s="1" t="str">
        <f t="shared" si="1200"/>
        <v>59820</v>
      </c>
      <c r="B6095" s="1" t="s">
        <v>53</v>
      </c>
      <c r="C6095" s="1" t="s">
        <v>54</v>
      </c>
      <c r="D6095" s="1" t="str">
        <f t="shared" si="1203"/>
        <v>9803</v>
      </c>
      <c r="E6095" s="1" t="s">
        <v>32</v>
      </c>
      <c r="F6095" s="1" t="str">
        <f>"5317162034222749"</f>
        <v>5317162034222749</v>
      </c>
      <c r="G6095" s="1" t="s">
        <v>33</v>
      </c>
      <c r="H6095" s="1" t="str">
        <f t="shared" si="1201"/>
        <v>20220930</v>
      </c>
      <c r="I6095" s="1" t="str">
        <f>"173049"</f>
        <v>173049</v>
      </c>
      <c r="J6095" s="1" t="s">
        <v>34</v>
      </c>
      <c r="K6095" s="1" t="s">
        <v>34</v>
      </c>
      <c r="L6095" s="1" t="str">
        <f t="shared" si="1202"/>
        <v>20220930</v>
      </c>
      <c r="M6095" s="1" t="str">
        <f>"175815"</f>
        <v>175815</v>
      </c>
      <c r="N6095" s="1" t="s">
        <v>28</v>
      </c>
      <c r="O6095" s="1" t="s">
        <v>28</v>
      </c>
      <c r="P6095" s="1" t="s">
        <v>55</v>
      </c>
      <c r="Q6095" s="1">
        <v>25</v>
      </c>
      <c r="R6095" s="1">
        <v>25</v>
      </c>
      <c r="S6095" s="1">
        <v>0</v>
      </c>
      <c r="T6095" s="1">
        <v>0</v>
      </c>
      <c r="U6095" s="1">
        <v>0</v>
      </c>
      <c r="V6095" s="1" t="str">
        <f t="shared" si="1206"/>
        <v>里程返程</v>
      </c>
      <c r="W6095" s="1" t="str">
        <f>"3B8B"</f>
        <v>3B8B</v>
      </c>
      <c r="X6095" s="1" t="s">
        <v>109</v>
      </c>
    </row>
    <row r="6096" spans="1:24" x14ac:dyDescent="0.3">
      <c r="A6096" s="1" t="str">
        <f t="shared" si="1200"/>
        <v>59820</v>
      </c>
      <c r="B6096" s="1" t="s">
        <v>53</v>
      </c>
      <c r="C6096" s="1" t="s">
        <v>54</v>
      </c>
      <c r="D6096" s="1" t="str">
        <f t="shared" ref="D6096:D6101" si="1207">"9805"</f>
        <v>9805</v>
      </c>
      <c r="E6096" s="1" t="s">
        <v>57</v>
      </c>
      <c r="F6096" s="1" t="str">
        <f>"1817601313"</f>
        <v>1817601313</v>
      </c>
      <c r="G6096" s="1" t="s">
        <v>33</v>
      </c>
      <c r="H6096" s="1" t="str">
        <f t="shared" si="1201"/>
        <v>20220930</v>
      </c>
      <c r="I6096" s="1" t="str">
        <f>"181542"</f>
        <v>181542</v>
      </c>
      <c r="J6096" s="1" t="s">
        <v>52</v>
      </c>
      <c r="K6096" s="1" t="s">
        <v>52</v>
      </c>
      <c r="L6096" s="1" t="str">
        <f t="shared" ref="L6096:L6127" si="1208">"20220930"</f>
        <v>20220930</v>
      </c>
      <c r="M6096" s="1" t="str">
        <f>"183833"</f>
        <v>183833</v>
      </c>
      <c r="N6096" s="1" t="s">
        <v>28</v>
      </c>
      <c r="O6096" s="1" t="s">
        <v>28</v>
      </c>
      <c r="P6096" s="1" t="s">
        <v>55</v>
      </c>
      <c r="Q6096" s="1">
        <v>25</v>
      </c>
      <c r="R6096" s="1">
        <v>0</v>
      </c>
      <c r="S6096" s="1">
        <v>25</v>
      </c>
      <c r="T6096" s="1">
        <v>0</v>
      </c>
      <c r="U6096" s="1">
        <v>0</v>
      </c>
      <c r="V6096" s="1" t="str">
        <f t="shared" si="1206"/>
        <v>里程返程</v>
      </c>
      <c r="W6096" s="1" t="str">
        <f>"2120"</f>
        <v>2120</v>
      </c>
      <c r="X6096" s="1" t="s">
        <v>35</v>
      </c>
    </row>
    <row r="6097" spans="1:24" x14ac:dyDescent="0.3">
      <c r="A6097" s="1" t="str">
        <f t="shared" si="1200"/>
        <v>59820</v>
      </c>
      <c r="B6097" s="1" t="s">
        <v>53</v>
      </c>
      <c r="C6097" s="1" t="s">
        <v>54</v>
      </c>
      <c r="D6097" s="1" t="str">
        <f t="shared" si="1207"/>
        <v>9805</v>
      </c>
      <c r="E6097" s="1" t="s">
        <v>57</v>
      </c>
      <c r="F6097" s="1" t="str">
        <f>"1661928145"</f>
        <v>1661928145</v>
      </c>
      <c r="G6097" s="1" t="s">
        <v>33</v>
      </c>
      <c r="H6097" s="1" t="str">
        <f t="shared" si="1201"/>
        <v>20220930</v>
      </c>
      <c r="I6097" s="1" t="str">
        <f>"181551"</f>
        <v>181551</v>
      </c>
      <c r="J6097" s="1" t="s">
        <v>52</v>
      </c>
      <c r="K6097" s="1" t="s">
        <v>52</v>
      </c>
      <c r="L6097" s="1" t="str">
        <f t="shared" si="1208"/>
        <v>20220930</v>
      </c>
      <c r="M6097" s="1" t="str">
        <f>"183841"</f>
        <v>183841</v>
      </c>
      <c r="N6097" s="1" t="s">
        <v>28</v>
      </c>
      <c r="O6097" s="1" t="s">
        <v>28</v>
      </c>
      <c r="P6097" s="1" t="s">
        <v>55</v>
      </c>
      <c r="Q6097" s="1">
        <v>25</v>
      </c>
      <c r="R6097" s="1">
        <v>0</v>
      </c>
      <c r="S6097" s="1">
        <v>25</v>
      </c>
      <c r="T6097" s="1">
        <v>0</v>
      </c>
      <c r="U6097" s="1">
        <v>0</v>
      </c>
      <c r="V6097" s="1" t="str">
        <f t="shared" si="1206"/>
        <v>里程返程</v>
      </c>
      <c r="W6097" s="1" t="str">
        <f>"2120"</f>
        <v>2120</v>
      </c>
      <c r="X6097" s="1" t="s">
        <v>35</v>
      </c>
    </row>
    <row r="6098" spans="1:24" x14ac:dyDescent="0.3">
      <c r="A6098" s="1" t="str">
        <f t="shared" si="1200"/>
        <v>59820</v>
      </c>
      <c r="B6098" s="1" t="s">
        <v>53</v>
      </c>
      <c r="C6098" s="1" t="s">
        <v>54</v>
      </c>
      <c r="D6098" s="1" t="str">
        <f t="shared" si="1207"/>
        <v>9805</v>
      </c>
      <c r="E6098" s="1" t="s">
        <v>57</v>
      </c>
      <c r="F6098" s="1" t="str">
        <f>"1740634037"</f>
        <v>1740634037</v>
      </c>
      <c r="G6098" s="1" t="s">
        <v>33</v>
      </c>
      <c r="H6098" s="1" t="str">
        <f t="shared" si="1201"/>
        <v>20220930</v>
      </c>
      <c r="I6098" s="1" t="str">
        <f>"181613"</f>
        <v>181613</v>
      </c>
      <c r="J6098" s="1" t="s">
        <v>52</v>
      </c>
      <c r="K6098" s="1" t="s">
        <v>52</v>
      </c>
      <c r="L6098" s="1" t="str">
        <f t="shared" si="1208"/>
        <v>20220930</v>
      </c>
      <c r="M6098" s="1" t="str">
        <f>"183829"</f>
        <v>183829</v>
      </c>
      <c r="N6098" s="1" t="s">
        <v>28</v>
      </c>
      <c r="O6098" s="1" t="s">
        <v>28</v>
      </c>
      <c r="P6098" s="1" t="s">
        <v>55</v>
      </c>
      <c r="Q6098" s="1">
        <v>25</v>
      </c>
      <c r="R6098" s="1">
        <v>25</v>
      </c>
      <c r="S6098" s="1">
        <v>0</v>
      </c>
      <c r="T6098" s="1">
        <v>0</v>
      </c>
      <c r="U6098" s="1">
        <v>0</v>
      </c>
      <c r="V6098" s="1" t="str">
        <f t="shared" si="1206"/>
        <v>里程返程</v>
      </c>
      <c r="W6098" s="1" t="str">
        <f>"0820"</f>
        <v>0820</v>
      </c>
      <c r="X6098" s="1" t="s">
        <v>35</v>
      </c>
    </row>
    <row r="6099" spans="1:24" x14ac:dyDescent="0.3">
      <c r="A6099" s="1" t="str">
        <f t="shared" si="1200"/>
        <v>59820</v>
      </c>
      <c r="B6099" s="1" t="s">
        <v>53</v>
      </c>
      <c r="C6099" s="1" t="s">
        <v>54</v>
      </c>
      <c r="D6099" s="1" t="str">
        <f t="shared" si="1207"/>
        <v>9805</v>
      </c>
      <c r="E6099" s="1" t="s">
        <v>57</v>
      </c>
      <c r="F6099" s="1" t="str">
        <f>"E220D10211880400C834002000000015"</f>
        <v>E220D10211880400C834002000000015</v>
      </c>
      <c r="G6099" s="1" t="s">
        <v>74</v>
      </c>
      <c r="H6099" s="1" t="str">
        <f t="shared" si="1201"/>
        <v>20220930</v>
      </c>
      <c r="I6099" s="1" t="str">
        <f>"182437"</f>
        <v>182437</v>
      </c>
      <c r="J6099" s="1" t="s">
        <v>62</v>
      </c>
      <c r="K6099" s="1" t="s">
        <v>28</v>
      </c>
      <c r="L6099" s="1" t="str">
        <f t="shared" si="1208"/>
        <v>20220930</v>
      </c>
      <c r="M6099" s="1" t="str">
        <f>"183211"</f>
        <v>183211</v>
      </c>
      <c r="N6099" s="1" t="s">
        <v>92</v>
      </c>
      <c r="O6099" s="1" t="s">
        <v>28</v>
      </c>
      <c r="P6099" s="1" t="s">
        <v>68</v>
      </c>
      <c r="Q6099" s="1">
        <v>13</v>
      </c>
      <c r="R6099" s="1">
        <v>0</v>
      </c>
      <c r="S6099" s="1">
        <v>0</v>
      </c>
      <c r="T6099" s="1">
        <v>13</v>
      </c>
      <c r="U6099" s="1">
        <v>0</v>
      </c>
      <c r="V6099" s="1" t="str">
        <f t="shared" si="1206"/>
        <v>里程返程</v>
      </c>
      <c r="W6099" s="1" t="str">
        <f>"0020"</f>
        <v>0020</v>
      </c>
      <c r="X6099" s="1" t="s">
        <v>29</v>
      </c>
    </row>
    <row r="6100" spans="1:24" x14ac:dyDescent="0.3">
      <c r="A6100" s="1" t="str">
        <f t="shared" si="1200"/>
        <v>59820</v>
      </c>
      <c r="B6100" s="1" t="s">
        <v>53</v>
      </c>
      <c r="C6100" s="1" t="s">
        <v>54</v>
      </c>
      <c r="D6100" s="1" t="str">
        <f t="shared" si="1207"/>
        <v>9805</v>
      </c>
      <c r="E6100" s="1" t="s">
        <v>57</v>
      </c>
      <c r="F6100" s="1" t="str">
        <f>"D5BDCF09AE180200D200000C22400417"</f>
        <v>D5BDCF09AE180200D200000C22400417</v>
      </c>
      <c r="G6100" s="1" t="s">
        <v>58</v>
      </c>
      <c r="H6100" s="1" t="str">
        <f t="shared" si="1201"/>
        <v>20220930</v>
      </c>
      <c r="I6100" s="1" t="str">
        <f>"182816"</f>
        <v>182816</v>
      </c>
      <c r="J6100" s="1" t="s">
        <v>103</v>
      </c>
      <c r="K6100" s="1" t="s">
        <v>28</v>
      </c>
      <c r="L6100" s="1" t="str">
        <f t="shared" si="1208"/>
        <v>20220930</v>
      </c>
      <c r="M6100" s="1" t="str">
        <f>"183820"</f>
        <v>183820</v>
      </c>
      <c r="N6100" s="1" t="s">
        <v>28</v>
      </c>
      <c r="O6100" s="1" t="s">
        <v>28</v>
      </c>
      <c r="P6100" s="1" t="s">
        <v>55</v>
      </c>
      <c r="Q6100" s="1">
        <v>25</v>
      </c>
      <c r="R6100" s="1">
        <v>25</v>
      </c>
      <c r="S6100" s="1">
        <v>0</v>
      </c>
      <c r="T6100" s="1">
        <v>0</v>
      </c>
      <c r="U6100" s="1">
        <v>0</v>
      </c>
      <c r="V6100" s="1" t="str">
        <f t="shared" si="1206"/>
        <v>里程返程</v>
      </c>
      <c r="W6100" s="1" t="str">
        <f>"0020"</f>
        <v>0020</v>
      </c>
      <c r="X6100" s="1" t="s">
        <v>29</v>
      </c>
    </row>
    <row r="6101" spans="1:24" x14ac:dyDescent="0.3">
      <c r="A6101" s="1" t="str">
        <f t="shared" ref="A6101:A6137" si="1209">"59822"</f>
        <v>59822</v>
      </c>
      <c r="B6101" s="1" t="s">
        <v>39</v>
      </c>
      <c r="C6101" s="1" t="s">
        <v>40</v>
      </c>
      <c r="D6101" s="1" t="str">
        <f t="shared" si="1207"/>
        <v>9805</v>
      </c>
      <c r="E6101" s="1" t="s">
        <v>57</v>
      </c>
      <c r="F6101" s="1" t="str">
        <f>"F29BD102BA880400C834002000000015"</f>
        <v>F29BD102BA880400C834002000000015</v>
      </c>
      <c r="G6101" s="1" t="s">
        <v>26</v>
      </c>
      <c r="H6101" s="1" t="str">
        <f t="shared" si="1201"/>
        <v>20220930</v>
      </c>
      <c r="I6101" s="1" t="str">
        <f>"103502"</f>
        <v>103502</v>
      </c>
      <c r="J6101" s="1" t="s">
        <v>28</v>
      </c>
      <c r="K6101" s="1" t="s">
        <v>28</v>
      </c>
      <c r="L6101" s="1" t="str">
        <f t="shared" si="1208"/>
        <v>20220930</v>
      </c>
      <c r="M6101" s="1" t="str">
        <f>"105300"</f>
        <v>105300</v>
      </c>
      <c r="N6101" s="1" t="s">
        <v>62</v>
      </c>
      <c r="O6101" s="1" t="s">
        <v>28</v>
      </c>
      <c r="P6101" s="1" t="s">
        <v>68</v>
      </c>
      <c r="Q6101" s="1">
        <v>13</v>
      </c>
      <c r="R6101" s="1">
        <v>0</v>
      </c>
      <c r="S6101" s="1">
        <v>0</v>
      </c>
      <c r="T6101" s="1">
        <v>13</v>
      </c>
      <c r="U6101" s="1">
        <v>0</v>
      </c>
      <c r="V6101" s="1" t="str">
        <f t="shared" ref="V6101:V6122" si="1210">"里程去程"</f>
        <v>里程去程</v>
      </c>
      <c r="W6101" s="1" t="str">
        <f>"0020"</f>
        <v>0020</v>
      </c>
      <c r="X6101" s="1" t="s">
        <v>29</v>
      </c>
    </row>
    <row r="6102" spans="1:24" x14ac:dyDescent="0.3">
      <c r="A6102" s="1" t="str">
        <f t="shared" si="1209"/>
        <v>59822</v>
      </c>
      <c r="B6102" s="1" t="s">
        <v>39</v>
      </c>
      <c r="C6102" s="1" t="s">
        <v>40</v>
      </c>
      <c r="D6102" s="1" t="str">
        <f t="shared" ref="D6102:D6133" si="1211">"9801"</f>
        <v>9801</v>
      </c>
      <c r="E6102" s="1" t="s">
        <v>25</v>
      </c>
      <c r="F6102" s="1" t="str">
        <f>"42AFE60209880400C834002000000015"</f>
        <v>42AFE60209880400C834002000000015</v>
      </c>
      <c r="G6102" s="1" t="s">
        <v>74</v>
      </c>
      <c r="H6102" s="1" t="str">
        <f t="shared" si="1201"/>
        <v>20220930</v>
      </c>
      <c r="I6102" s="1" t="str">
        <f>"105623"</f>
        <v>105623</v>
      </c>
      <c r="J6102" s="1" t="s">
        <v>52</v>
      </c>
      <c r="K6102" s="1" t="s">
        <v>52</v>
      </c>
      <c r="L6102" s="1" t="str">
        <f t="shared" si="1208"/>
        <v>20220930</v>
      </c>
      <c r="M6102" s="1" t="str">
        <f>"111841"</f>
        <v>111841</v>
      </c>
      <c r="N6102" s="1" t="s">
        <v>80</v>
      </c>
      <c r="O6102" s="1" t="s">
        <v>52</v>
      </c>
      <c r="P6102" s="1" t="s">
        <v>68</v>
      </c>
      <c r="Q6102" s="1">
        <v>13</v>
      </c>
      <c r="R6102" s="1">
        <v>0</v>
      </c>
      <c r="S6102" s="1">
        <v>0</v>
      </c>
      <c r="T6102" s="1">
        <v>13</v>
      </c>
      <c r="U6102" s="1">
        <v>0</v>
      </c>
      <c r="V6102" s="1" t="str">
        <f t="shared" si="1210"/>
        <v>里程去程</v>
      </c>
      <c r="W6102" s="1" t="str">
        <f>"0020"</f>
        <v>0020</v>
      </c>
      <c r="X6102" s="1" t="s">
        <v>29</v>
      </c>
    </row>
    <row r="6103" spans="1:24" x14ac:dyDescent="0.3">
      <c r="A6103" s="1" t="str">
        <f t="shared" si="1209"/>
        <v>59822</v>
      </c>
      <c r="B6103" s="1" t="s">
        <v>39</v>
      </c>
      <c r="C6103" s="1" t="s">
        <v>40</v>
      </c>
      <c r="D6103" s="1" t="str">
        <f t="shared" si="1211"/>
        <v>9801</v>
      </c>
      <c r="E6103" s="1" t="s">
        <v>25</v>
      </c>
      <c r="F6103" s="1" t="str">
        <f>"1526871937"</f>
        <v>1526871937</v>
      </c>
      <c r="G6103" s="1" t="s">
        <v>33</v>
      </c>
      <c r="H6103" s="1" t="str">
        <f t="shared" si="1201"/>
        <v>20220930</v>
      </c>
      <c r="I6103" s="1" t="str">
        <f>"122344"</f>
        <v>122344</v>
      </c>
      <c r="J6103" s="1" t="s">
        <v>67</v>
      </c>
      <c r="K6103" s="1" t="s">
        <v>52</v>
      </c>
      <c r="L6103" s="1" t="str">
        <f t="shared" si="1208"/>
        <v>20220930</v>
      </c>
      <c r="M6103" s="1" t="str">
        <f>"123147"</f>
        <v>123147</v>
      </c>
      <c r="N6103" s="1" t="s">
        <v>70</v>
      </c>
      <c r="O6103" s="1" t="s">
        <v>28</v>
      </c>
      <c r="P6103" s="1" t="s">
        <v>55</v>
      </c>
      <c r="Q6103" s="1">
        <v>25</v>
      </c>
      <c r="R6103" s="1">
        <v>25</v>
      </c>
      <c r="S6103" s="1">
        <v>0</v>
      </c>
      <c r="T6103" s="1">
        <v>0</v>
      </c>
      <c r="U6103" s="1">
        <v>0</v>
      </c>
      <c r="V6103" s="1" t="str">
        <f t="shared" si="1210"/>
        <v>里程去程</v>
      </c>
      <c r="W6103" s="1" t="str">
        <f>"2020"</f>
        <v>2020</v>
      </c>
      <c r="X6103" s="1" t="s">
        <v>35</v>
      </c>
    </row>
    <row r="6104" spans="1:24" x14ac:dyDescent="0.3">
      <c r="A6104" s="1" t="str">
        <f t="shared" si="1209"/>
        <v>59822</v>
      </c>
      <c r="B6104" s="1" t="s">
        <v>39</v>
      </c>
      <c r="C6104" s="1" t="s">
        <v>40</v>
      </c>
      <c r="D6104" s="1" t="str">
        <f t="shared" si="1211"/>
        <v>9801</v>
      </c>
      <c r="E6104" s="1" t="s">
        <v>25</v>
      </c>
      <c r="F6104" s="1" t="str">
        <f>"1C066E691D8804004741355145104307"</f>
        <v>1C066E691D8804004741355145104307</v>
      </c>
      <c r="G6104" s="1" t="s">
        <v>59</v>
      </c>
      <c r="H6104" s="1" t="str">
        <f t="shared" si="1201"/>
        <v>20220930</v>
      </c>
      <c r="I6104" s="1" t="str">
        <f>"123158"</f>
        <v>123158</v>
      </c>
      <c r="J6104" s="1" t="s">
        <v>27</v>
      </c>
      <c r="K6104" s="1" t="s">
        <v>28</v>
      </c>
      <c r="L6104" s="1" t="str">
        <f t="shared" si="1208"/>
        <v>20220930</v>
      </c>
      <c r="M6104" s="1" t="str">
        <f>"124816"</f>
        <v>124816</v>
      </c>
      <c r="N6104" s="1" t="s">
        <v>75</v>
      </c>
      <c r="O6104" s="1" t="s">
        <v>45</v>
      </c>
      <c r="P6104" s="1" t="s">
        <v>55</v>
      </c>
      <c r="Q6104" s="1">
        <v>25</v>
      </c>
      <c r="R6104" s="1">
        <v>0</v>
      </c>
      <c r="S6104" s="1">
        <v>25</v>
      </c>
      <c r="T6104" s="1">
        <v>0</v>
      </c>
      <c r="U6104" s="1">
        <v>0</v>
      </c>
      <c r="V6104" s="1" t="str">
        <f t="shared" si="1210"/>
        <v>里程去程</v>
      </c>
      <c r="W6104" s="1" t="str">
        <f>"0620"</f>
        <v>0620</v>
      </c>
      <c r="X6104" s="1" t="s">
        <v>29</v>
      </c>
    </row>
    <row r="6105" spans="1:24" x14ac:dyDescent="0.3">
      <c r="A6105" s="1" t="str">
        <f t="shared" si="1209"/>
        <v>59822</v>
      </c>
      <c r="B6105" s="1" t="s">
        <v>39</v>
      </c>
      <c r="C6105" s="1" t="s">
        <v>40</v>
      </c>
      <c r="D6105" s="1" t="str">
        <f t="shared" si="1211"/>
        <v>9801</v>
      </c>
      <c r="E6105" s="1" t="s">
        <v>25</v>
      </c>
      <c r="F6105" s="1" t="str">
        <f>"3022637810"</f>
        <v>3022637810</v>
      </c>
      <c r="G6105" s="1" t="s">
        <v>33</v>
      </c>
      <c r="H6105" s="1" t="str">
        <f t="shared" si="1201"/>
        <v>20220930</v>
      </c>
      <c r="I6105" s="1" t="str">
        <f>"123202"</f>
        <v>123202</v>
      </c>
      <c r="J6105" s="1" t="s">
        <v>27</v>
      </c>
      <c r="K6105" s="1" t="s">
        <v>28</v>
      </c>
      <c r="L6105" s="1" t="str">
        <f t="shared" si="1208"/>
        <v>20220930</v>
      </c>
      <c r="M6105" s="1" t="str">
        <f>"124812"</f>
        <v>124812</v>
      </c>
      <c r="N6105" s="1" t="s">
        <v>75</v>
      </c>
      <c r="O6105" s="1" t="s">
        <v>45</v>
      </c>
      <c r="P6105" s="1" t="s">
        <v>55</v>
      </c>
      <c r="Q6105" s="1">
        <v>25</v>
      </c>
      <c r="R6105" s="1">
        <v>25</v>
      </c>
      <c r="S6105" s="1">
        <v>0</v>
      </c>
      <c r="T6105" s="1">
        <v>0</v>
      </c>
      <c r="U6105" s="1">
        <v>0</v>
      </c>
      <c r="V6105" s="1" t="str">
        <f t="shared" si="1210"/>
        <v>里程去程</v>
      </c>
      <c r="W6105" s="1" t="str">
        <f>"2020"</f>
        <v>2020</v>
      </c>
      <c r="X6105" s="1" t="s">
        <v>35</v>
      </c>
    </row>
    <row r="6106" spans="1:24" x14ac:dyDescent="0.3">
      <c r="A6106" s="1" t="str">
        <f t="shared" si="1209"/>
        <v>59822</v>
      </c>
      <c r="B6106" s="1" t="s">
        <v>39</v>
      </c>
      <c r="C6106" s="1" t="s">
        <v>40</v>
      </c>
      <c r="D6106" s="1" t="str">
        <f t="shared" si="1211"/>
        <v>9801</v>
      </c>
      <c r="E6106" s="1" t="s">
        <v>25</v>
      </c>
      <c r="F6106" s="1" t="str">
        <f>"1107735781"</f>
        <v>1107735781</v>
      </c>
      <c r="G6106" s="1" t="s">
        <v>33</v>
      </c>
      <c r="H6106" s="1" t="str">
        <f t="shared" si="1201"/>
        <v>20220930</v>
      </c>
      <c r="I6106" s="1" t="str">
        <f>"123213"</f>
        <v>123213</v>
      </c>
      <c r="J6106" s="1" t="s">
        <v>27</v>
      </c>
      <c r="K6106" s="1" t="s">
        <v>28</v>
      </c>
      <c r="L6106" s="1" t="str">
        <f t="shared" si="1208"/>
        <v>20220930</v>
      </c>
      <c r="M6106" s="1" t="str">
        <f>"125551"</f>
        <v>125551</v>
      </c>
      <c r="N6106" s="1" t="s">
        <v>44</v>
      </c>
      <c r="O6106" s="1" t="s">
        <v>45</v>
      </c>
      <c r="P6106" s="1" t="s">
        <v>55</v>
      </c>
      <c r="Q6106" s="1">
        <v>25</v>
      </c>
      <c r="R6106" s="1">
        <v>25</v>
      </c>
      <c r="S6106" s="1">
        <v>0</v>
      </c>
      <c r="T6106" s="1">
        <v>0</v>
      </c>
      <c r="U6106" s="1">
        <v>0</v>
      </c>
      <c r="V6106" s="1" t="str">
        <f t="shared" si="1210"/>
        <v>里程去程</v>
      </c>
      <c r="W6106" s="1" t="str">
        <f>"1c20"</f>
        <v>1c20</v>
      </c>
      <c r="X6106" s="1" t="s">
        <v>35</v>
      </c>
    </row>
    <row r="6107" spans="1:24" x14ac:dyDescent="0.3">
      <c r="A6107" s="1" t="str">
        <f t="shared" si="1209"/>
        <v>59822</v>
      </c>
      <c r="B6107" s="1" t="s">
        <v>39</v>
      </c>
      <c r="C6107" s="1" t="s">
        <v>40</v>
      </c>
      <c r="D6107" s="1" t="str">
        <f t="shared" si="1211"/>
        <v>9801</v>
      </c>
      <c r="E6107" s="1" t="s">
        <v>25</v>
      </c>
      <c r="F6107" s="1" t="str">
        <f>"1053002693"</f>
        <v>1053002693</v>
      </c>
      <c r="G6107" s="1" t="s">
        <v>38</v>
      </c>
      <c r="H6107" s="1" t="str">
        <f t="shared" si="1201"/>
        <v>20220930</v>
      </c>
      <c r="I6107" s="1" t="str">
        <f>"123336"</f>
        <v>123336</v>
      </c>
      <c r="J6107" s="1" t="s">
        <v>27</v>
      </c>
      <c r="K6107" s="1" t="s">
        <v>28</v>
      </c>
      <c r="L6107" s="1" t="str">
        <f t="shared" si="1208"/>
        <v>20220930</v>
      </c>
      <c r="M6107" s="1" t="str">
        <f>"125300"</f>
        <v>125300</v>
      </c>
      <c r="N6107" s="1" t="s">
        <v>44</v>
      </c>
      <c r="O6107" s="1" t="s">
        <v>45</v>
      </c>
      <c r="P6107" s="1" t="s">
        <v>55</v>
      </c>
      <c r="Q6107" s="1">
        <v>25</v>
      </c>
      <c r="R6107" s="1">
        <v>25</v>
      </c>
      <c r="S6107" s="1">
        <v>0</v>
      </c>
      <c r="T6107" s="1">
        <v>0</v>
      </c>
      <c r="U6107" s="1">
        <v>0</v>
      </c>
      <c r="V6107" s="1" t="str">
        <f t="shared" si="1210"/>
        <v>里程去程</v>
      </c>
      <c r="W6107" s="1" t="str">
        <f>"0320"</f>
        <v>0320</v>
      </c>
      <c r="X6107" s="1" t="s">
        <v>35</v>
      </c>
    </row>
    <row r="6108" spans="1:24" x14ac:dyDescent="0.3">
      <c r="A6108" s="1" t="str">
        <f t="shared" si="1209"/>
        <v>59822</v>
      </c>
      <c r="B6108" s="1" t="s">
        <v>39</v>
      </c>
      <c r="C6108" s="1" t="s">
        <v>40</v>
      </c>
      <c r="D6108" s="1" t="str">
        <f t="shared" si="1211"/>
        <v>9801</v>
      </c>
      <c r="E6108" s="1" t="s">
        <v>25</v>
      </c>
      <c r="F6108" s="1" t="str">
        <f>"F25B1B03B1880400C834002000000015"</f>
        <v>F25B1B03B1880400C834002000000015</v>
      </c>
      <c r="G6108" s="1" t="s">
        <v>26</v>
      </c>
      <c r="H6108" s="1" t="str">
        <f t="shared" si="1201"/>
        <v>20220930</v>
      </c>
      <c r="I6108" s="1" t="str">
        <f>"130547"</f>
        <v>130547</v>
      </c>
      <c r="J6108" s="1" t="s">
        <v>60</v>
      </c>
      <c r="K6108" s="1" t="s">
        <v>52</v>
      </c>
      <c r="L6108" s="1" t="str">
        <f t="shared" si="1208"/>
        <v>20220930</v>
      </c>
      <c r="M6108" s="1" t="str">
        <f>"132927"</f>
        <v>132927</v>
      </c>
      <c r="N6108" s="1" t="s">
        <v>70</v>
      </c>
      <c r="O6108" s="1" t="s">
        <v>28</v>
      </c>
      <c r="P6108" s="1" t="s">
        <v>68</v>
      </c>
      <c r="Q6108" s="1">
        <v>13</v>
      </c>
      <c r="R6108" s="1">
        <v>0</v>
      </c>
      <c r="S6108" s="1">
        <v>0</v>
      </c>
      <c r="T6108" s="1">
        <v>13</v>
      </c>
      <c r="U6108" s="1">
        <v>0</v>
      </c>
      <c r="V6108" s="1" t="str">
        <f t="shared" si="1210"/>
        <v>里程去程</v>
      </c>
      <c r="W6108" s="1" t="str">
        <f>"0020"</f>
        <v>0020</v>
      </c>
      <c r="X6108" s="1" t="s">
        <v>29</v>
      </c>
    </row>
    <row r="6109" spans="1:24" x14ac:dyDescent="0.3">
      <c r="A6109" s="1" t="str">
        <f t="shared" si="1209"/>
        <v>59822</v>
      </c>
      <c r="B6109" s="1" t="s">
        <v>39</v>
      </c>
      <c r="C6109" s="1" t="s">
        <v>40</v>
      </c>
      <c r="D6109" s="1" t="str">
        <f t="shared" si="1211"/>
        <v>9801</v>
      </c>
      <c r="E6109" s="1" t="s">
        <v>25</v>
      </c>
      <c r="F6109" s="1" t="str">
        <f>"1483052321"</f>
        <v>1483052321</v>
      </c>
      <c r="G6109" s="1" t="s">
        <v>33</v>
      </c>
      <c r="H6109" s="1" t="str">
        <f t="shared" si="1201"/>
        <v>20220930</v>
      </c>
      <c r="I6109" s="1" t="str">
        <f>"133531"</f>
        <v>133531</v>
      </c>
      <c r="J6109" s="1" t="s">
        <v>27</v>
      </c>
      <c r="K6109" s="1" t="s">
        <v>28</v>
      </c>
      <c r="L6109" s="1" t="str">
        <f t="shared" si="1208"/>
        <v>20220930</v>
      </c>
      <c r="M6109" s="1" t="str">
        <f>"135256"</f>
        <v>135256</v>
      </c>
      <c r="N6109" s="1" t="s">
        <v>100</v>
      </c>
      <c r="O6109" s="1" t="s">
        <v>45</v>
      </c>
      <c r="P6109" s="1" t="s">
        <v>55</v>
      </c>
      <c r="Q6109" s="1">
        <v>25</v>
      </c>
      <c r="R6109" s="1">
        <v>25</v>
      </c>
      <c r="S6109" s="1">
        <v>0</v>
      </c>
      <c r="T6109" s="1">
        <v>0</v>
      </c>
      <c r="U6109" s="1">
        <v>0</v>
      </c>
      <c r="V6109" s="1" t="str">
        <f t="shared" si="1210"/>
        <v>里程去程</v>
      </c>
      <c r="W6109" s="1" t="str">
        <f>"0120"</f>
        <v>0120</v>
      </c>
      <c r="X6109" s="1" t="s">
        <v>35</v>
      </c>
    </row>
    <row r="6110" spans="1:24" x14ac:dyDescent="0.3">
      <c r="A6110" s="1" t="str">
        <f t="shared" si="1209"/>
        <v>59822</v>
      </c>
      <c r="B6110" s="1" t="s">
        <v>39</v>
      </c>
      <c r="C6110" s="1" t="s">
        <v>40</v>
      </c>
      <c r="D6110" s="1" t="str">
        <f t="shared" si="1211"/>
        <v>9801</v>
      </c>
      <c r="E6110" s="1" t="s">
        <v>25</v>
      </c>
      <c r="F6110" s="1" t="str">
        <f>"1257864449"</f>
        <v>1257864449</v>
      </c>
      <c r="G6110" s="1" t="s">
        <v>33</v>
      </c>
      <c r="H6110" s="1" t="str">
        <f t="shared" si="1201"/>
        <v>20220930</v>
      </c>
      <c r="I6110" s="1" t="str">
        <f>"133554"</f>
        <v>133554</v>
      </c>
      <c r="J6110" s="1" t="s">
        <v>27</v>
      </c>
      <c r="K6110" s="1" t="s">
        <v>28</v>
      </c>
      <c r="L6110" s="1" t="str">
        <f t="shared" si="1208"/>
        <v>20220930</v>
      </c>
      <c r="M6110" s="1" t="str">
        <f>"135146"</f>
        <v>135146</v>
      </c>
      <c r="N6110" s="1" t="s">
        <v>100</v>
      </c>
      <c r="O6110" s="1" t="s">
        <v>45</v>
      </c>
      <c r="P6110" s="1" t="s">
        <v>55</v>
      </c>
      <c r="Q6110" s="1">
        <v>25</v>
      </c>
      <c r="R6110" s="1">
        <v>25</v>
      </c>
      <c r="S6110" s="1">
        <v>0</v>
      </c>
      <c r="T6110" s="1">
        <v>0</v>
      </c>
      <c r="U6110" s="1">
        <v>0</v>
      </c>
      <c r="V6110" s="1" t="str">
        <f t="shared" si="1210"/>
        <v>里程去程</v>
      </c>
      <c r="W6110" s="1" t="str">
        <f>"1420"</f>
        <v>1420</v>
      </c>
      <c r="X6110" s="1" t="s">
        <v>35</v>
      </c>
    </row>
    <row r="6111" spans="1:24" x14ac:dyDescent="0.3">
      <c r="A6111" s="1" t="str">
        <f t="shared" si="1209"/>
        <v>59822</v>
      </c>
      <c r="B6111" s="1" t="s">
        <v>39</v>
      </c>
      <c r="C6111" s="1" t="s">
        <v>40</v>
      </c>
      <c r="D6111" s="1" t="str">
        <f t="shared" si="1211"/>
        <v>9801</v>
      </c>
      <c r="E6111" s="1" t="s">
        <v>25</v>
      </c>
      <c r="F6111" s="1" t="str">
        <f>"F27CE6026A880400C834002000000015"</f>
        <v>F27CE6026A880400C834002000000015</v>
      </c>
      <c r="G6111" s="1" t="s">
        <v>74</v>
      </c>
      <c r="H6111" s="1" t="str">
        <f t="shared" si="1201"/>
        <v>20220930</v>
      </c>
      <c r="I6111" s="1" t="str">
        <f>"145644"</f>
        <v>145644</v>
      </c>
      <c r="J6111" s="1" t="s">
        <v>52</v>
      </c>
      <c r="K6111" s="1" t="s">
        <v>52</v>
      </c>
      <c r="L6111" s="1" t="str">
        <f t="shared" si="1208"/>
        <v>20220930</v>
      </c>
      <c r="M6111" s="1" t="str">
        <f>"150640"</f>
        <v>150640</v>
      </c>
      <c r="N6111" s="1" t="s">
        <v>60</v>
      </c>
      <c r="O6111" s="1" t="s">
        <v>52</v>
      </c>
      <c r="P6111" s="1" t="s">
        <v>68</v>
      </c>
      <c r="Q6111" s="1">
        <v>13</v>
      </c>
      <c r="R6111" s="1">
        <v>0</v>
      </c>
      <c r="S6111" s="1">
        <v>0</v>
      </c>
      <c r="T6111" s="1">
        <v>13</v>
      </c>
      <c r="U6111" s="1">
        <v>0</v>
      </c>
      <c r="V6111" s="1" t="str">
        <f t="shared" si="1210"/>
        <v>里程去程</v>
      </c>
      <c r="W6111" s="1" t="str">
        <f>"0020"</f>
        <v>0020</v>
      </c>
      <c r="X6111" s="1" t="s">
        <v>29</v>
      </c>
    </row>
    <row r="6112" spans="1:24" x14ac:dyDescent="0.3">
      <c r="A6112" s="1" t="str">
        <f t="shared" si="1209"/>
        <v>59822</v>
      </c>
      <c r="B6112" s="1" t="s">
        <v>39</v>
      </c>
      <c r="C6112" s="1" t="s">
        <v>40</v>
      </c>
      <c r="D6112" s="1" t="str">
        <f t="shared" si="1211"/>
        <v>9801</v>
      </c>
      <c r="E6112" s="1" t="s">
        <v>25</v>
      </c>
      <c r="F6112" s="1" t="str">
        <f>"C2F219032A880400C834002000000015"</f>
        <v>C2F219032A880400C834002000000015</v>
      </c>
      <c r="G6112" s="1" t="s">
        <v>26</v>
      </c>
      <c r="H6112" s="1" t="str">
        <f t="shared" si="1201"/>
        <v>20220930</v>
      </c>
      <c r="I6112" s="1" t="str">
        <f>"150448"</f>
        <v>150448</v>
      </c>
      <c r="J6112" s="1" t="s">
        <v>86</v>
      </c>
      <c r="K6112" s="1" t="s">
        <v>52</v>
      </c>
      <c r="L6112" s="1" t="str">
        <f t="shared" si="1208"/>
        <v>20220930</v>
      </c>
      <c r="M6112" s="1" t="str">
        <f>"150846"</f>
        <v>150846</v>
      </c>
      <c r="N6112" s="1" t="s">
        <v>51</v>
      </c>
      <c r="O6112" s="1" t="s">
        <v>52</v>
      </c>
      <c r="P6112" s="1" t="s">
        <v>68</v>
      </c>
      <c r="Q6112" s="1">
        <v>13</v>
      </c>
      <c r="R6112" s="1">
        <v>0</v>
      </c>
      <c r="S6112" s="1">
        <v>0</v>
      </c>
      <c r="T6112" s="1">
        <v>13</v>
      </c>
      <c r="U6112" s="1">
        <v>0</v>
      </c>
      <c r="V6112" s="1" t="str">
        <f t="shared" si="1210"/>
        <v>里程去程</v>
      </c>
      <c r="W6112" s="1" t="str">
        <f>"0020"</f>
        <v>0020</v>
      </c>
      <c r="X6112" s="1" t="s">
        <v>29</v>
      </c>
    </row>
    <row r="6113" spans="1:24" x14ac:dyDescent="0.3">
      <c r="A6113" s="1" t="str">
        <f t="shared" si="1209"/>
        <v>59822</v>
      </c>
      <c r="B6113" s="1" t="s">
        <v>39</v>
      </c>
      <c r="C6113" s="1" t="s">
        <v>40</v>
      </c>
      <c r="D6113" s="1" t="str">
        <f t="shared" si="1211"/>
        <v>9801</v>
      </c>
      <c r="E6113" s="1" t="s">
        <v>25</v>
      </c>
      <c r="F6113" s="1" t="str">
        <f>"814142689"</f>
        <v>814142689</v>
      </c>
      <c r="G6113" s="1" t="s">
        <v>26</v>
      </c>
      <c r="H6113" s="1" t="str">
        <f t="shared" si="1201"/>
        <v>20220930</v>
      </c>
      <c r="I6113" s="1" t="str">
        <f>"151617"</f>
        <v>151617</v>
      </c>
      <c r="J6113" s="1" t="s">
        <v>80</v>
      </c>
      <c r="K6113" s="1" t="s">
        <v>52</v>
      </c>
      <c r="L6113" s="1" t="str">
        <f t="shared" si="1208"/>
        <v>20220930</v>
      </c>
      <c r="M6113" s="1" t="str">
        <f>"153119"</f>
        <v>153119</v>
      </c>
      <c r="N6113" s="1" t="s">
        <v>70</v>
      </c>
      <c r="O6113" s="1" t="s">
        <v>28</v>
      </c>
      <c r="P6113" s="1" t="s">
        <v>55</v>
      </c>
      <c r="Q6113" s="1">
        <v>13</v>
      </c>
      <c r="R6113" s="1">
        <v>13</v>
      </c>
      <c r="S6113" s="1">
        <v>0</v>
      </c>
      <c r="T6113" s="1">
        <v>0</v>
      </c>
      <c r="U6113" s="1">
        <v>0</v>
      </c>
      <c r="V6113" s="1" t="str">
        <f t="shared" si="1210"/>
        <v>里程去程</v>
      </c>
      <c r="W6113" s="1" t="str">
        <f>"2120"</f>
        <v>2120</v>
      </c>
      <c r="X6113" s="1" t="s">
        <v>35</v>
      </c>
    </row>
    <row r="6114" spans="1:24" x14ac:dyDescent="0.3">
      <c r="A6114" s="1" t="str">
        <f t="shared" si="1209"/>
        <v>59822</v>
      </c>
      <c r="B6114" s="1" t="s">
        <v>39</v>
      </c>
      <c r="C6114" s="1" t="s">
        <v>40</v>
      </c>
      <c r="D6114" s="1" t="str">
        <f t="shared" si="1211"/>
        <v>9801</v>
      </c>
      <c r="E6114" s="1" t="s">
        <v>25</v>
      </c>
      <c r="F6114" s="1" t="str">
        <f>"888690417"</f>
        <v>888690417</v>
      </c>
      <c r="G6114" s="1" t="s">
        <v>26</v>
      </c>
      <c r="H6114" s="1" t="str">
        <f t="shared" si="1201"/>
        <v>20220930</v>
      </c>
      <c r="I6114" s="1" t="str">
        <f>"151619"</f>
        <v>151619</v>
      </c>
      <c r="J6114" s="1" t="s">
        <v>80</v>
      </c>
      <c r="K6114" s="1" t="s">
        <v>52</v>
      </c>
      <c r="L6114" s="1" t="str">
        <f t="shared" si="1208"/>
        <v>20220930</v>
      </c>
      <c r="M6114" s="1" t="str">
        <f>"153117"</f>
        <v>153117</v>
      </c>
      <c r="N6114" s="1" t="s">
        <v>70</v>
      </c>
      <c r="O6114" s="1" t="s">
        <v>28</v>
      </c>
      <c r="P6114" s="1" t="s">
        <v>55</v>
      </c>
      <c r="Q6114" s="1">
        <v>13</v>
      </c>
      <c r="R6114" s="1">
        <v>13</v>
      </c>
      <c r="S6114" s="1">
        <v>0</v>
      </c>
      <c r="T6114" s="1">
        <v>0</v>
      </c>
      <c r="U6114" s="1">
        <v>0</v>
      </c>
      <c r="V6114" s="1" t="str">
        <f t="shared" si="1210"/>
        <v>里程去程</v>
      </c>
      <c r="W6114" s="1" t="str">
        <f>"2120"</f>
        <v>2120</v>
      </c>
      <c r="X6114" s="1" t="s">
        <v>35</v>
      </c>
    </row>
    <row r="6115" spans="1:24" x14ac:dyDescent="0.3">
      <c r="A6115" s="1" t="str">
        <f t="shared" si="1209"/>
        <v>59822</v>
      </c>
      <c r="B6115" s="1" t="s">
        <v>39</v>
      </c>
      <c r="C6115" s="1" t="s">
        <v>40</v>
      </c>
      <c r="D6115" s="1" t="str">
        <f t="shared" si="1211"/>
        <v>9801</v>
      </c>
      <c r="E6115" s="1" t="s">
        <v>25</v>
      </c>
      <c r="F6115" s="1" t="str">
        <f>"02B06702D7880400C821002000000015"</f>
        <v>02B06702D7880400C821002000000015</v>
      </c>
      <c r="G6115" s="1" t="s">
        <v>59</v>
      </c>
      <c r="H6115" s="1" t="str">
        <f t="shared" si="1201"/>
        <v>20220930</v>
      </c>
      <c r="I6115" s="1" t="str">
        <f>"152333"</f>
        <v>152333</v>
      </c>
      <c r="J6115" s="1" t="s">
        <v>78</v>
      </c>
      <c r="K6115" s="1" t="s">
        <v>52</v>
      </c>
      <c r="L6115" s="1" t="str">
        <f t="shared" si="1208"/>
        <v>20220930</v>
      </c>
      <c r="M6115" s="1" t="str">
        <f>"153125"</f>
        <v>153125</v>
      </c>
      <c r="N6115" s="1" t="s">
        <v>70</v>
      </c>
      <c r="O6115" s="1" t="s">
        <v>28</v>
      </c>
      <c r="P6115" s="1" t="s">
        <v>55</v>
      </c>
      <c r="Q6115" s="1">
        <v>25</v>
      </c>
      <c r="R6115" s="1">
        <v>25</v>
      </c>
      <c r="S6115" s="1">
        <v>0</v>
      </c>
      <c r="T6115" s="1">
        <v>0</v>
      </c>
      <c r="U6115" s="1">
        <v>0</v>
      </c>
      <c r="V6115" s="1" t="str">
        <f t="shared" si="1210"/>
        <v>里程去程</v>
      </c>
      <c r="W6115" s="1" t="str">
        <f>"0020"</f>
        <v>0020</v>
      </c>
      <c r="X6115" s="1" t="s">
        <v>29</v>
      </c>
    </row>
    <row r="6116" spans="1:24" x14ac:dyDescent="0.3">
      <c r="A6116" s="1" t="str">
        <f t="shared" si="1209"/>
        <v>59822</v>
      </c>
      <c r="B6116" s="1" t="s">
        <v>39</v>
      </c>
      <c r="C6116" s="1" t="s">
        <v>40</v>
      </c>
      <c r="D6116" s="1" t="str">
        <f t="shared" si="1211"/>
        <v>9801</v>
      </c>
      <c r="E6116" s="1" t="s">
        <v>25</v>
      </c>
      <c r="F6116" s="1" t="str">
        <f>"3390944744"</f>
        <v>3390944744</v>
      </c>
      <c r="G6116" s="1" t="s">
        <v>33</v>
      </c>
      <c r="H6116" s="1" t="str">
        <f t="shared" si="1201"/>
        <v>20220930</v>
      </c>
      <c r="I6116" s="1" t="str">
        <f>"153140"</f>
        <v>153140</v>
      </c>
      <c r="J6116" s="1" t="s">
        <v>27</v>
      </c>
      <c r="K6116" s="1" t="s">
        <v>28</v>
      </c>
      <c r="L6116" s="1" t="str">
        <f t="shared" si="1208"/>
        <v>20220930</v>
      </c>
      <c r="M6116" s="1" t="str">
        <f>"155448"</f>
        <v>155448</v>
      </c>
      <c r="N6116" s="1" t="s">
        <v>100</v>
      </c>
      <c r="O6116" s="1" t="s">
        <v>45</v>
      </c>
      <c r="P6116" s="1" t="s">
        <v>55</v>
      </c>
      <c r="Q6116" s="1">
        <v>25</v>
      </c>
      <c r="R6116" s="1">
        <v>25</v>
      </c>
      <c r="S6116" s="1">
        <v>0</v>
      </c>
      <c r="T6116" s="1">
        <v>0</v>
      </c>
      <c r="U6116" s="1">
        <v>0</v>
      </c>
      <c r="V6116" s="1" t="str">
        <f t="shared" si="1210"/>
        <v>里程去程</v>
      </c>
      <c r="W6116" s="1" t="str">
        <f>"0120"</f>
        <v>0120</v>
      </c>
      <c r="X6116" s="1" t="s">
        <v>35</v>
      </c>
    </row>
    <row r="6117" spans="1:24" x14ac:dyDescent="0.3">
      <c r="A6117" s="1" t="str">
        <f t="shared" si="1209"/>
        <v>59822</v>
      </c>
      <c r="B6117" s="1" t="s">
        <v>39</v>
      </c>
      <c r="C6117" s="1" t="s">
        <v>40</v>
      </c>
      <c r="D6117" s="1" t="str">
        <f t="shared" si="1211"/>
        <v>9801</v>
      </c>
      <c r="E6117" s="1" t="s">
        <v>25</v>
      </c>
      <c r="F6117" s="1" t="str">
        <f>"587340785"</f>
        <v>587340785</v>
      </c>
      <c r="G6117" s="1" t="s">
        <v>33</v>
      </c>
      <c r="H6117" s="1" t="str">
        <f t="shared" si="1201"/>
        <v>20220930</v>
      </c>
      <c r="I6117" s="1" t="str">
        <f>"153144"</f>
        <v>153144</v>
      </c>
      <c r="J6117" s="1" t="s">
        <v>27</v>
      </c>
      <c r="K6117" s="1" t="s">
        <v>28</v>
      </c>
      <c r="L6117" s="1" t="str">
        <f t="shared" si="1208"/>
        <v>20220930</v>
      </c>
      <c r="M6117" s="1" t="str">
        <f>"155548"</f>
        <v>155548</v>
      </c>
      <c r="N6117" s="1" t="s">
        <v>44</v>
      </c>
      <c r="O6117" s="1" t="s">
        <v>45</v>
      </c>
      <c r="P6117" s="1" t="s">
        <v>55</v>
      </c>
      <c r="Q6117" s="1">
        <v>25</v>
      </c>
      <c r="R6117" s="1">
        <v>25</v>
      </c>
      <c r="S6117" s="1">
        <v>0</v>
      </c>
      <c r="T6117" s="1">
        <v>0</v>
      </c>
      <c r="U6117" s="1">
        <v>0</v>
      </c>
      <c r="V6117" s="1" t="str">
        <f t="shared" si="1210"/>
        <v>里程去程</v>
      </c>
      <c r="W6117" s="1" t="str">
        <f>"2320"</f>
        <v>2320</v>
      </c>
      <c r="X6117" s="1" t="s">
        <v>35</v>
      </c>
    </row>
    <row r="6118" spans="1:24" x14ac:dyDescent="0.3">
      <c r="A6118" s="1" t="str">
        <f t="shared" si="1209"/>
        <v>59822</v>
      </c>
      <c r="B6118" s="1" t="s">
        <v>39</v>
      </c>
      <c r="C6118" s="1" t="s">
        <v>40</v>
      </c>
      <c r="D6118" s="1" t="str">
        <f t="shared" si="1211"/>
        <v>9801</v>
      </c>
      <c r="E6118" s="1" t="s">
        <v>25</v>
      </c>
      <c r="F6118" s="1" t="str">
        <f>"599915089"</f>
        <v>599915089</v>
      </c>
      <c r="G6118" s="1" t="s">
        <v>33</v>
      </c>
      <c r="H6118" s="1" t="str">
        <f t="shared" si="1201"/>
        <v>20220930</v>
      </c>
      <c r="I6118" s="1" t="str">
        <f>"160847"</f>
        <v>160847</v>
      </c>
      <c r="J6118" s="1" t="s">
        <v>60</v>
      </c>
      <c r="K6118" s="1" t="s">
        <v>52</v>
      </c>
      <c r="L6118" s="1" t="str">
        <f t="shared" si="1208"/>
        <v>20220930</v>
      </c>
      <c r="M6118" s="1" t="str">
        <f>"161857"</f>
        <v>161857</v>
      </c>
      <c r="N6118" s="1" t="s">
        <v>97</v>
      </c>
      <c r="O6118" s="1" t="s">
        <v>52</v>
      </c>
      <c r="P6118" s="1" t="s">
        <v>55</v>
      </c>
      <c r="Q6118" s="1">
        <v>25</v>
      </c>
      <c r="R6118" s="1">
        <v>25</v>
      </c>
      <c r="S6118" s="1">
        <v>0</v>
      </c>
      <c r="T6118" s="1">
        <v>0</v>
      </c>
      <c r="U6118" s="1">
        <v>0</v>
      </c>
      <c r="V6118" s="1" t="str">
        <f t="shared" si="1210"/>
        <v>里程去程</v>
      </c>
      <c r="W6118" s="1" t="str">
        <f>"1420"</f>
        <v>1420</v>
      </c>
      <c r="X6118" s="1" t="s">
        <v>35</v>
      </c>
    </row>
    <row r="6119" spans="1:24" x14ac:dyDescent="0.3">
      <c r="A6119" s="1" t="str">
        <f t="shared" si="1209"/>
        <v>59822</v>
      </c>
      <c r="B6119" s="1" t="s">
        <v>39</v>
      </c>
      <c r="C6119" s="1" t="s">
        <v>40</v>
      </c>
      <c r="D6119" s="1" t="str">
        <f t="shared" si="1211"/>
        <v>9801</v>
      </c>
      <c r="E6119" s="1" t="s">
        <v>25</v>
      </c>
      <c r="F6119" s="1" t="str">
        <f>"894153189"</f>
        <v>894153189</v>
      </c>
      <c r="G6119" s="1" t="s">
        <v>33</v>
      </c>
      <c r="H6119" s="1" t="str">
        <f t="shared" si="1201"/>
        <v>20220930</v>
      </c>
      <c r="I6119" s="1" t="str">
        <f>"161557"</f>
        <v>161557</v>
      </c>
      <c r="J6119" s="1" t="s">
        <v>72</v>
      </c>
      <c r="K6119" s="1" t="s">
        <v>52</v>
      </c>
      <c r="L6119" s="1" t="str">
        <f t="shared" si="1208"/>
        <v>20220930</v>
      </c>
      <c r="M6119" s="1" t="str">
        <f>"163637"</f>
        <v>163637</v>
      </c>
      <c r="N6119" s="1" t="s">
        <v>70</v>
      </c>
      <c r="O6119" s="1" t="s">
        <v>28</v>
      </c>
      <c r="P6119" s="1" t="s">
        <v>55</v>
      </c>
      <c r="Q6119" s="1">
        <v>25</v>
      </c>
      <c r="R6119" s="1">
        <v>25</v>
      </c>
      <c r="S6119" s="1">
        <v>0</v>
      </c>
      <c r="T6119" s="1">
        <v>0</v>
      </c>
      <c r="U6119" s="1">
        <v>0</v>
      </c>
      <c r="V6119" s="1" t="str">
        <f t="shared" si="1210"/>
        <v>里程去程</v>
      </c>
      <c r="W6119" s="1" t="str">
        <f>"2120"</f>
        <v>2120</v>
      </c>
      <c r="X6119" s="1" t="s">
        <v>35</v>
      </c>
    </row>
    <row r="6120" spans="1:24" x14ac:dyDescent="0.3">
      <c r="A6120" s="1" t="str">
        <f t="shared" si="1209"/>
        <v>59822</v>
      </c>
      <c r="B6120" s="1" t="s">
        <v>39</v>
      </c>
      <c r="C6120" s="1" t="s">
        <v>40</v>
      </c>
      <c r="D6120" s="1" t="str">
        <f t="shared" si="1211"/>
        <v>9801</v>
      </c>
      <c r="E6120" s="1" t="s">
        <v>25</v>
      </c>
      <c r="F6120" s="1" t="str">
        <f>"512378177"</f>
        <v>512378177</v>
      </c>
      <c r="G6120" s="1" t="s">
        <v>33</v>
      </c>
      <c r="H6120" s="1" t="str">
        <f t="shared" si="1201"/>
        <v>20220930</v>
      </c>
      <c r="I6120" s="1" t="str">
        <f>"163650"</f>
        <v>163650</v>
      </c>
      <c r="J6120" s="1" t="s">
        <v>27</v>
      </c>
      <c r="K6120" s="1" t="s">
        <v>28</v>
      </c>
      <c r="L6120" s="1" t="str">
        <f t="shared" si="1208"/>
        <v>20220930</v>
      </c>
      <c r="M6120" s="1" t="str">
        <f>"164908"</f>
        <v>164908</v>
      </c>
      <c r="N6120" s="1" t="s">
        <v>61</v>
      </c>
      <c r="O6120" s="1" t="s">
        <v>45</v>
      </c>
      <c r="P6120" s="1" t="s">
        <v>55</v>
      </c>
      <c r="Q6120" s="1">
        <v>25</v>
      </c>
      <c r="R6120" s="1">
        <v>0</v>
      </c>
      <c r="S6120" s="1">
        <v>25</v>
      </c>
      <c r="T6120" s="1">
        <v>0</v>
      </c>
      <c r="U6120" s="1">
        <v>0</v>
      </c>
      <c r="V6120" s="1" t="str">
        <f t="shared" si="1210"/>
        <v>里程去程</v>
      </c>
      <c r="W6120" s="1" t="str">
        <f>"0820"</f>
        <v>0820</v>
      </c>
      <c r="X6120" s="1" t="s">
        <v>35</v>
      </c>
    </row>
    <row r="6121" spans="1:24" x14ac:dyDescent="0.3">
      <c r="A6121" s="1" t="str">
        <f t="shared" si="1209"/>
        <v>59822</v>
      </c>
      <c r="B6121" s="1" t="s">
        <v>39</v>
      </c>
      <c r="C6121" s="1" t="s">
        <v>40</v>
      </c>
      <c r="D6121" s="1" t="str">
        <f t="shared" si="1211"/>
        <v>9801</v>
      </c>
      <c r="E6121" s="1" t="s">
        <v>25</v>
      </c>
      <c r="F6121" s="1" t="str">
        <f>"71F12961C82804001C00000000000000"</f>
        <v>71F12961C82804001C00000000000000</v>
      </c>
      <c r="G6121" s="1" t="s">
        <v>58</v>
      </c>
      <c r="H6121" s="1" t="str">
        <f t="shared" si="1201"/>
        <v>20220930</v>
      </c>
      <c r="I6121" s="1" t="str">
        <f>"163657"</f>
        <v>163657</v>
      </c>
      <c r="J6121" s="1" t="s">
        <v>27</v>
      </c>
      <c r="K6121" s="1" t="s">
        <v>28</v>
      </c>
      <c r="L6121" s="1" t="str">
        <f t="shared" si="1208"/>
        <v>20220930</v>
      </c>
      <c r="M6121" s="1" t="str">
        <f>"165200"</f>
        <v>165200</v>
      </c>
      <c r="N6121" s="1" t="s">
        <v>75</v>
      </c>
      <c r="O6121" s="1" t="s">
        <v>45</v>
      </c>
      <c r="P6121" s="1" t="s">
        <v>55</v>
      </c>
      <c r="Q6121" s="1">
        <v>25</v>
      </c>
      <c r="R6121" s="1">
        <v>0</v>
      </c>
      <c r="S6121" s="1">
        <v>25</v>
      </c>
      <c r="T6121" s="1">
        <v>0</v>
      </c>
      <c r="U6121" s="1">
        <v>0</v>
      </c>
      <c r="V6121" s="1" t="str">
        <f t="shared" si="1210"/>
        <v>里程去程</v>
      </c>
      <c r="W6121" s="1" t="str">
        <f>"0620"</f>
        <v>0620</v>
      </c>
      <c r="X6121" s="1" t="s">
        <v>29</v>
      </c>
    </row>
    <row r="6122" spans="1:24" x14ac:dyDescent="0.3">
      <c r="A6122" s="1" t="str">
        <f t="shared" si="1209"/>
        <v>59822</v>
      </c>
      <c r="B6122" s="1" t="s">
        <v>39</v>
      </c>
      <c r="C6122" s="1" t="s">
        <v>40</v>
      </c>
      <c r="D6122" s="1" t="str">
        <f t="shared" si="1211"/>
        <v>9801</v>
      </c>
      <c r="E6122" s="1" t="s">
        <v>25</v>
      </c>
      <c r="F6122" s="1" t="str">
        <f>"1511848370"</f>
        <v>1511848370</v>
      </c>
      <c r="G6122" s="1" t="s">
        <v>33</v>
      </c>
      <c r="H6122" s="1" t="str">
        <f t="shared" si="1201"/>
        <v>20220930</v>
      </c>
      <c r="I6122" s="1" t="str">
        <f>"163701"</f>
        <v>163701</v>
      </c>
      <c r="J6122" s="1" t="s">
        <v>27</v>
      </c>
      <c r="K6122" s="1" t="s">
        <v>28</v>
      </c>
      <c r="L6122" s="1" t="str">
        <f t="shared" si="1208"/>
        <v>20220930</v>
      </c>
      <c r="M6122" s="1" t="str">
        <f>"164944"</f>
        <v>164944</v>
      </c>
      <c r="N6122" s="1" t="s">
        <v>56</v>
      </c>
      <c r="O6122" s="1" t="s">
        <v>45</v>
      </c>
      <c r="P6122" s="1" t="s">
        <v>55</v>
      </c>
      <c r="Q6122" s="1">
        <v>25</v>
      </c>
      <c r="R6122" s="1">
        <v>25</v>
      </c>
      <c r="S6122" s="1">
        <v>0</v>
      </c>
      <c r="T6122" s="1">
        <v>0</v>
      </c>
      <c r="U6122" s="1">
        <v>0</v>
      </c>
      <c r="V6122" s="1" t="str">
        <f t="shared" si="1210"/>
        <v>里程去程</v>
      </c>
      <c r="W6122" s="1" t="str">
        <f>"0820"</f>
        <v>0820</v>
      </c>
      <c r="X6122" s="1" t="s">
        <v>35</v>
      </c>
    </row>
    <row r="6123" spans="1:24" x14ac:dyDescent="0.3">
      <c r="A6123" s="1" t="str">
        <f t="shared" si="1209"/>
        <v>59822</v>
      </c>
      <c r="B6123" s="1" t="s">
        <v>39</v>
      </c>
      <c r="C6123" s="1" t="s">
        <v>40</v>
      </c>
      <c r="D6123" s="1" t="str">
        <f t="shared" si="1211"/>
        <v>9801</v>
      </c>
      <c r="E6123" s="1" t="s">
        <v>25</v>
      </c>
      <c r="F6123" s="1" t="str">
        <f>"1693096529"</f>
        <v>1693096529</v>
      </c>
      <c r="G6123" s="1" t="s">
        <v>33</v>
      </c>
      <c r="H6123" s="1" t="str">
        <f t="shared" si="1201"/>
        <v>20220930</v>
      </c>
      <c r="I6123" s="1" t="str">
        <f>"172753"</f>
        <v>172753</v>
      </c>
      <c r="J6123" s="1" t="s">
        <v>44</v>
      </c>
      <c r="K6123" s="1" t="s">
        <v>45</v>
      </c>
      <c r="L6123" s="1" t="str">
        <f t="shared" si="1208"/>
        <v>20220930</v>
      </c>
      <c r="M6123" s="1" t="str">
        <f>"175219"</f>
        <v>175219</v>
      </c>
      <c r="N6123" s="1" t="s">
        <v>28</v>
      </c>
      <c r="O6123" s="1" t="s">
        <v>28</v>
      </c>
      <c r="P6123" s="1" t="s">
        <v>55</v>
      </c>
      <c r="Q6123" s="1">
        <v>25</v>
      </c>
      <c r="R6123" s="1">
        <v>25</v>
      </c>
      <c r="S6123" s="1">
        <v>0</v>
      </c>
      <c r="T6123" s="1">
        <v>0</v>
      </c>
      <c r="U6123" s="1">
        <v>0</v>
      </c>
      <c r="V6123" s="1" t="str">
        <f t="shared" ref="V6123:V6135" si="1212">"里程返程"</f>
        <v>里程返程</v>
      </c>
      <c r="W6123" s="1" t="str">
        <f>"0020"</f>
        <v>0020</v>
      </c>
      <c r="X6123" s="1" t="s">
        <v>35</v>
      </c>
    </row>
    <row r="6124" spans="1:24" x14ac:dyDescent="0.3">
      <c r="A6124" s="1" t="str">
        <f t="shared" si="1209"/>
        <v>59822</v>
      </c>
      <c r="B6124" s="1" t="s">
        <v>39</v>
      </c>
      <c r="C6124" s="1" t="s">
        <v>40</v>
      </c>
      <c r="D6124" s="1" t="str">
        <f t="shared" si="1211"/>
        <v>9801</v>
      </c>
      <c r="E6124" s="1" t="s">
        <v>25</v>
      </c>
      <c r="F6124" s="1" t="str">
        <f>"422AE7028D880400C834002000000015"</f>
        <v>422AE7028D880400C834002000000015</v>
      </c>
      <c r="G6124" s="1" t="s">
        <v>74</v>
      </c>
      <c r="H6124" s="1" t="str">
        <f t="shared" si="1201"/>
        <v>20220930</v>
      </c>
      <c r="I6124" s="1" t="str">
        <f>"172756"</f>
        <v>172756</v>
      </c>
      <c r="J6124" s="1" t="s">
        <v>44</v>
      </c>
      <c r="K6124" s="1" t="s">
        <v>45</v>
      </c>
      <c r="L6124" s="1" t="str">
        <f t="shared" si="1208"/>
        <v>20220930</v>
      </c>
      <c r="M6124" s="1" t="str">
        <f>"175223"</f>
        <v>175223</v>
      </c>
      <c r="N6124" s="1" t="s">
        <v>28</v>
      </c>
      <c r="O6124" s="1" t="s">
        <v>28</v>
      </c>
      <c r="P6124" s="1" t="s">
        <v>68</v>
      </c>
      <c r="Q6124" s="1">
        <v>13</v>
      </c>
      <c r="R6124" s="1">
        <v>0</v>
      </c>
      <c r="S6124" s="1">
        <v>0</v>
      </c>
      <c r="T6124" s="1">
        <v>13</v>
      </c>
      <c r="U6124" s="1">
        <v>0</v>
      </c>
      <c r="V6124" s="1" t="str">
        <f t="shared" si="1212"/>
        <v>里程返程</v>
      </c>
      <c r="W6124" s="1" t="str">
        <f>"0020"</f>
        <v>0020</v>
      </c>
      <c r="X6124" s="1" t="s">
        <v>29</v>
      </c>
    </row>
    <row r="6125" spans="1:24" x14ac:dyDescent="0.3">
      <c r="A6125" s="1" t="str">
        <f t="shared" si="1209"/>
        <v>59822</v>
      </c>
      <c r="B6125" s="1" t="s">
        <v>39</v>
      </c>
      <c r="C6125" s="1" t="s">
        <v>40</v>
      </c>
      <c r="D6125" s="1" t="str">
        <f t="shared" si="1211"/>
        <v>9801</v>
      </c>
      <c r="E6125" s="1" t="s">
        <v>25</v>
      </c>
      <c r="F6125" s="1" t="str">
        <f>"1716882117"</f>
        <v>1716882117</v>
      </c>
      <c r="G6125" s="1" t="s">
        <v>96</v>
      </c>
      <c r="H6125" s="1" t="str">
        <f t="shared" si="1201"/>
        <v>20220930</v>
      </c>
      <c r="I6125" s="1" t="str">
        <f>"173035"</f>
        <v>173035</v>
      </c>
      <c r="J6125" s="1" t="s">
        <v>44</v>
      </c>
      <c r="K6125" s="1" t="s">
        <v>45</v>
      </c>
      <c r="L6125" s="1" t="str">
        <f t="shared" si="1208"/>
        <v>20220930</v>
      </c>
      <c r="M6125" s="1" t="str">
        <f>"175231"</f>
        <v>175231</v>
      </c>
      <c r="N6125" s="1" t="s">
        <v>28</v>
      </c>
      <c r="O6125" s="1" t="s">
        <v>28</v>
      </c>
      <c r="P6125" s="1" t="s">
        <v>55</v>
      </c>
      <c r="Q6125" s="1">
        <v>13</v>
      </c>
      <c r="R6125" s="1">
        <v>0</v>
      </c>
      <c r="S6125" s="1">
        <v>13</v>
      </c>
      <c r="T6125" s="1">
        <v>0</v>
      </c>
      <c r="U6125" s="1">
        <v>0</v>
      </c>
      <c r="V6125" s="1" t="str">
        <f t="shared" si="1212"/>
        <v>里程返程</v>
      </c>
      <c r="W6125" s="1" t="str">
        <f>"2120"</f>
        <v>2120</v>
      </c>
      <c r="X6125" s="1" t="s">
        <v>35</v>
      </c>
    </row>
    <row r="6126" spans="1:24" x14ac:dyDescent="0.3">
      <c r="A6126" s="1" t="str">
        <f t="shared" si="1209"/>
        <v>59822</v>
      </c>
      <c r="B6126" s="1" t="s">
        <v>39</v>
      </c>
      <c r="C6126" s="1" t="s">
        <v>40</v>
      </c>
      <c r="D6126" s="1" t="str">
        <f t="shared" si="1211"/>
        <v>9801</v>
      </c>
      <c r="E6126" s="1" t="s">
        <v>25</v>
      </c>
      <c r="F6126" s="1" t="str">
        <f>"32FDBC0271880400C834002000000015"</f>
        <v>32FDBC0271880400C834002000000015</v>
      </c>
      <c r="G6126" s="1" t="s">
        <v>26</v>
      </c>
      <c r="H6126" s="1" t="str">
        <f t="shared" si="1201"/>
        <v>20220930</v>
      </c>
      <c r="I6126" s="1" t="str">
        <f>"175246"</f>
        <v>175246</v>
      </c>
      <c r="J6126" s="1" t="s">
        <v>28</v>
      </c>
      <c r="K6126" s="1" t="s">
        <v>28</v>
      </c>
      <c r="L6126" s="1" t="str">
        <f t="shared" si="1208"/>
        <v>20220930</v>
      </c>
      <c r="M6126" s="1" t="str">
        <f>"181229"</f>
        <v>181229</v>
      </c>
      <c r="N6126" s="1" t="s">
        <v>80</v>
      </c>
      <c r="O6126" s="1" t="s">
        <v>52</v>
      </c>
      <c r="P6126" s="1" t="s">
        <v>68</v>
      </c>
      <c r="Q6126" s="1">
        <v>13</v>
      </c>
      <c r="R6126" s="1">
        <v>0</v>
      </c>
      <c r="S6126" s="1">
        <v>0</v>
      </c>
      <c r="T6126" s="1">
        <v>13</v>
      </c>
      <c r="U6126" s="1">
        <v>0</v>
      </c>
      <c r="V6126" s="1" t="str">
        <f t="shared" si="1212"/>
        <v>里程返程</v>
      </c>
      <c r="W6126" s="1" t="str">
        <f>"0020"</f>
        <v>0020</v>
      </c>
      <c r="X6126" s="1" t="s">
        <v>29</v>
      </c>
    </row>
    <row r="6127" spans="1:24" x14ac:dyDescent="0.3">
      <c r="A6127" s="1" t="str">
        <f t="shared" si="1209"/>
        <v>59822</v>
      </c>
      <c r="B6127" s="1" t="s">
        <v>39</v>
      </c>
      <c r="C6127" s="1" t="s">
        <v>40</v>
      </c>
      <c r="D6127" s="1" t="str">
        <f t="shared" si="1211"/>
        <v>9801</v>
      </c>
      <c r="E6127" s="1" t="s">
        <v>25</v>
      </c>
      <c r="F6127" s="1" t="str">
        <f>"02B3D10262880400C834002000000015"</f>
        <v>02B3D10262880400C834002000000015</v>
      </c>
      <c r="G6127" s="1" t="s">
        <v>26</v>
      </c>
      <c r="H6127" s="1" t="str">
        <f t="shared" si="1201"/>
        <v>20220930</v>
      </c>
      <c r="I6127" s="1" t="str">
        <f>"175252"</f>
        <v>175252</v>
      </c>
      <c r="J6127" s="1" t="s">
        <v>28</v>
      </c>
      <c r="K6127" s="1" t="s">
        <v>28</v>
      </c>
      <c r="L6127" s="1" t="str">
        <f t="shared" si="1208"/>
        <v>20220930</v>
      </c>
      <c r="M6127" s="1" t="str">
        <f>"181225"</f>
        <v>181225</v>
      </c>
      <c r="N6127" s="1" t="s">
        <v>80</v>
      </c>
      <c r="O6127" s="1" t="s">
        <v>52</v>
      </c>
      <c r="P6127" s="1" t="s">
        <v>68</v>
      </c>
      <c r="Q6127" s="1">
        <v>13</v>
      </c>
      <c r="R6127" s="1">
        <v>0</v>
      </c>
      <c r="S6127" s="1">
        <v>0</v>
      </c>
      <c r="T6127" s="1">
        <v>13</v>
      </c>
      <c r="U6127" s="1">
        <v>0</v>
      </c>
      <c r="V6127" s="1" t="str">
        <f t="shared" si="1212"/>
        <v>里程返程</v>
      </c>
      <c r="W6127" s="1" t="str">
        <f>"0020"</f>
        <v>0020</v>
      </c>
      <c r="X6127" s="1" t="s">
        <v>29</v>
      </c>
    </row>
    <row r="6128" spans="1:24" x14ac:dyDescent="0.3">
      <c r="A6128" s="1" t="str">
        <f t="shared" si="1209"/>
        <v>59822</v>
      </c>
      <c r="B6128" s="1" t="s">
        <v>39</v>
      </c>
      <c r="C6128" s="1" t="s">
        <v>40</v>
      </c>
      <c r="D6128" s="1" t="str">
        <f t="shared" si="1211"/>
        <v>9801</v>
      </c>
      <c r="E6128" s="1" t="s">
        <v>25</v>
      </c>
      <c r="F6128" s="1" t="str">
        <f>"1273109835"</f>
        <v>1273109835</v>
      </c>
      <c r="G6128" s="1" t="s">
        <v>33</v>
      </c>
      <c r="H6128" s="1" t="str">
        <f t="shared" ref="H6128:H6191" si="1213">"20220930"</f>
        <v>20220930</v>
      </c>
      <c r="I6128" s="1" t="str">
        <f>"175256"</f>
        <v>175256</v>
      </c>
      <c r="J6128" s="1" t="s">
        <v>28</v>
      </c>
      <c r="K6128" s="1" t="s">
        <v>28</v>
      </c>
      <c r="L6128" s="1" t="str">
        <f t="shared" ref="L6128:L6161" si="1214">"20220930"</f>
        <v>20220930</v>
      </c>
      <c r="M6128" s="1" t="str">
        <f>"181451"</f>
        <v>181451</v>
      </c>
      <c r="N6128" s="1" t="s">
        <v>65</v>
      </c>
      <c r="O6128" s="1" t="s">
        <v>52</v>
      </c>
      <c r="P6128" s="1" t="s">
        <v>55</v>
      </c>
      <c r="Q6128" s="1">
        <v>25</v>
      </c>
      <c r="R6128" s="1">
        <v>25</v>
      </c>
      <c r="S6128" s="1">
        <v>0</v>
      </c>
      <c r="T6128" s="1">
        <v>0</v>
      </c>
      <c r="U6128" s="1">
        <v>0</v>
      </c>
      <c r="V6128" s="1" t="str">
        <f t="shared" si="1212"/>
        <v>里程返程</v>
      </c>
      <c r="W6128" s="1" t="str">
        <f>"0120"</f>
        <v>0120</v>
      </c>
      <c r="X6128" s="1" t="s">
        <v>35</v>
      </c>
    </row>
    <row r="6129" spans="1:24" x14ac:dyDescent="0.3">
      <c r="A6129" s="1" t="str">
        <f t="shared" si="1209"/>
        <v>59822</v>
      </c>
      <c r="B6129" s="1" t="s">
        <v>39</v>
      </c>
      <c r="C6129" s="1" t="s">
        <v>40</v>
      </c>
      <c r="D6129" s="1" t="str">
        <f t="shared" si="1211"/>
        <v>9801</v>
      </c>
      <c r="E6129" s="1" t="s">
        <v>25</v>
      </c>
      <c r="F6129" s="1" t="str">
        <f>"1638081237"</f>
        <v>1638081237</v>
      </c>
      <c r="G6129" s="1" t="s">
        <v>33</v>
      </c>
      <c r="H6129" s="1" t="str">
        <f t="shared" si="1213"/>
        <v>20220930</v>
      </c>
      <c r="I6129" s="1" t="str">
        <f>"175259"</f>
        <v>175259</v>
      </c>
      <c r="J6129" s="1" t="s">
        <v>28</v>
      </c>
      <c r="K6129" s="1" t="s">
        <v>28</v>
      </c>
      <c r="L6129" s="1" t="str">
        <f t="shared" si="1214"/>
        <v>20220930</v>
      </c>
      <c r="M6129" s="1" t="str">
        <f>"181448"</f>
        <v>181448</v>
      </c>
      <c r="N6129" s="1" t="s">
        <v>65</v>
      </c>
      <c r="O6129" s="1" t="s">
        <v>52</v>
      </c>
      <c r="P6129" s="1" t="s">
        <v>55</v>
      </c>
      <c r="Q6129" s="1">
        <v>25</v>
      </c>
      <c r="R6129" s="1">
        <v>25</v>
      </c>
      <c r="S6129" s="1">
        <v>0</v>
      </c>
      <c r="T6129" s="1">
        <v>0</v>
      </c>
      <c r="U6129" s="1">
        <v>0</v>
      </c>
      <c r="V6129" s="1" t="str">
        <f t="shared" si="1212"/>
        <v>里程返程</v>
      </c>
      <c r="W6129" s="1" t="str">
        <f>"0120"</f>
        <v>0120</v>
      </c>
      <c r="X6129" s="1" t="s">
        <v>35</v>
      </c>
    </row>
    <row r="6130" spans="1:24" x14ac:dyDescent="0.3">
      <c r="A6130" s="1" t="str">
        <f t="shared" si="1209"/>
        <v>59822</v>
      </c>
      <c r="B6130" s="1" t="s">
        <v>39</v>
      </c>
      <c r="C6130" s="1" t="s">
        <v>40</v>
      </c>
      <c r="D6130" s="1" t="str">
        <f t="shared" si="1211"/>
        <v>9801</v>
      </c>
      <c r="E6130" s="1" t="s">
        <v>25</v>
      </c>
      <c r="F6130" s="1" t="str">
        <f>"1072679217"</f>
        <v>1072679217</v>
      </c>
      <c r="G6130" s="1" t="s">
        <v>33</v>
      </c>
      <c r="H6130" s="1" t="str">
        <f t="shared" si="1213"/>
        <v>20220930</v>
      </c>
      <c r="I6130" s="1" t="str">
        <f>"183358"</f>
        <v>183358</v>
      </c>
      <c r="J6130" s="1" t="s">
        <v>44</v>
      </c>
      <c r="K6130" s="1" t="s">
        <v>45</v>
      </c>
      <c r="L6130" s="1" t="str">
        <f t="shared" si="1214"/>
        <v>20220930</v>
      </c>
      <c r="M6130" s="1" t="str">
        <f>"185302"</f>
        <v>185302</v>
      </c>
      <c r="N6130" s="1" t="s">
        <v>28</v>
      </c>
      <c r="O6130" s="1" t="s">
        <v>28</v>
      </c>
      <c r="P6130" s="1" t="s">
        <v>55</v>
      </c>
      <c r="Q6130" s="1">
        <v>25</v>
      </c>
      <c r="R6130" s="1">
        <v>25</v>
      </c>
      <c r="S6130" s="1">
        <v>0</v>
      </c>
      <c r="T6130" s="1">
        <v>0</v>
      </c>
      <c r="U6130" s="1">
        <v>0</v>
      </c>
      <c r="V6130" s="1" t="str">
        <f t="shared" si="1212"/>
        <v>里程返程</v>
      </c>
      <c r="W6130" s="1" t="str">
        <f>"2020"</f>
        <v>2020</v>
      </c>
      <c r="X6130" s="1" t="s">
        <v>35</v>
      </c>
    </row>
    <row r="6131" spans="1:24" x14ac:dyDescent="0.3">
      <c r="A6131" s="1" t="str">
        <f t="shared" si="1209"/>
        <v>59822</v>
      </c>
      <c r="B6131" s="1" t="s">
        <v>39</v>
      </c>
      <c r="C6131" s="1" t="s">
        <v>40</v>
      </c>
      <c r="D6131" s="1" t="str">
        <f t="shared" si="1211"/>
        <v>9801</v>
      </c>
      <c r="E6131" s="1" t="s">
        <v>25</v>
      </c>
      <c r="F6131" s="1" t="str">
        <f>"3921423709"</f>
        <v>3921423709</v>
      </c>
      <c r="G6131" s="1" t="s">
        <v>33</v>
      </c>
      <c r="H6131" s="1" t="str">
        <f t="shared" si="1213"/>
        <v>20220930</v>
      </c>
      <c r="I6131" s="1" t="str">
        <f>"185313"</f>
        <v>185313</v>
      </c>
      <c r="J6131" s="1" t="s">
        <v>28</v>
      </c>
      <c r="K6131" s="1" t="s">
        <v>28</v>
      </c>
      <c r="L6131" s="1" t="str">
        <f t="shared" si="1214"/>
        <v>20220930</v>
      </c>
      <c r="M6131" s="1" t="str">
        <f>"190547"</f>
        <v>190547</v>
      </c>
      <c r="N6131" s="1" t="s">
        <v>69</v>
      </c>
      <c r="O6131" s="1" t="s">
        <v>52</v>
      </c>
      <c r="P6131" s="1" t="s">
        <v>55</v>
      </c>
      <c r="Q6131" s="1">
        <v>25</v>
      </c>
      <c r="R6131" s="1">
        <v>0</v>
      </c>
      <c r="S6131" s="1">
        <v>25</v>
      </c>
      <c r="T6131" s="1">
        <v>0</v>
      </c>
      <c r="U6131" s="1">
        <v>0</v>
      </c>
      <c r="V6131" s="1" t="str">
        <f t="shared" si="1212"/>
        <v>里程返程</v>
      </c>
      <c r="W6131" s="1" t="str">
        <f>"0820"</f>
        <v>0820</v>
      </c>
      <c r="X6131" s="1" t="s">
        <v>35</v>
      </c>
    </row>
    <row r="6132" spans="1:24" x14ac:dyDescent="0.3">
      <c r="A6132" s="1" t="str">
        <f t="shared" si="1209"/>
        <v>59822</v>
      </c>
      <c r="B6132" s="1" t="s">
        <v>39</v>
      </c>
      <c r="C6132" s="1" t="s">
        <v>40</v>
      </c>
      <c r="D6132" s="1" t="str">
        <f t="shared" si="1211"/>
        <v>9801</v>
      </c>
      <c r="E6132" s="1" t="s">
        <v>25</v>
      </c>
      <c r="F6132" s="1" t="str">
        <f>"3815364483"</f>
        <v>3815364483</v>
      </c>
      <c r="G6132" s="1" t="s">
        <v>33</v>
      </c>
      <c r="H6132" s="1" t="str">
        <f t="shared" si="1213"/>
        <v>20220930</v>
      </c>
      <c r="I6132" s="1" t="str">
        <f>"185316"</f>
        <v>185316</v>
      </c>
      <c r="J6132" s="1" t="s">
        <v>28</v>
      </c>
      <c r="K6132" s="1" t="s">
        <v>28</v>
      </c>
      <c r="L6132" s="1" t="str">
        <f t="shared" si="1214"/>
        <v>20220930</v>
      </c>
      <c r="M6132" s="1" t="str">
        <f>"191350"</f>
        <v>191350</v>
      </c>
      <c r="N6132" s="1" t="s">
        <v>65</v>
      </c>
      <c r="O6132" s="1" t="s">
        <v>52</v>
      </c>
      <c r="P6132" s="1" t="s">
        <v>55</v>
      </c>
      <c r="Q6132" s="1">
        <v>25</v>
      </c>
      <c r="R6132" s="1">
        <v>25</v>
      </c>
      <c r="S6132" s="1">
        <v>0</v>
      </c>
      <c r="T6132" s="1">
        <v>0</v>
      </c>
      <c r="U6132" s="1">
        <v>0</v>
      </c>
      <c r="V6132" s="1" t="str">
        <f t="shared" si="1212"/>
        <v>里程返程</v>
      </c>
      <c r="W6132" s="1" t="str">
        <f>"1420"</f>
        <v>1420</v>
      </c>
      <c r="X6132" s="1" t="s">
        <v>35</v>
      </c>
    </row>
    <row r="6133" spans="1:24" x14ac:dyDescent="0.3">
      <c r="A6133" s="1" t="str">
        <f t="shared" si="1209"/>
        <v>59822</v>
      </c>
      <c r="B6133" s="1" t="s">
        <v>39</v>
      </c>
      <c r="C6133" s="1" t="s">
        <v>40</v>
      </c>
      <c r="D6133" s="1" t="str">
        <f t="shared" si="1211"/>
        <v>9801</v>
      </c>
      <c r="E6133" s="1" t="s">
        <v>25</v>
      </c>
      <c r="F6133" s="1" t="str">
        <f>"155910513"</f>
        <v>155910513</v>
      </c>
      <c r="G6133" s="1" t="s">
        <v>33</v>
      </c>
      <c r="H6133" s="1" t="str">
        <f t="shared" si="1213"/>
        <v>20220930</v>
      </c>
      <c r="I6133" s="1" t="str">
        <f>"185333"</f>
        <v>185333</v>
      </c>
      <c r="J6133" s="1" t="s">
        <v>28</v>
      </c>
      <c r="K6133" s="1" t="s">
        <v>28</v>
      </c>
      <c r="L6133" s="1" t="str">
        <f t="shared" si="1214"/>
        <v>20220930</v>
      </c>
      <c r="M6133" s="1" t="str">
        <f>"192415"</f>
        <v>192415</v>
      </c>
      <c r="N6133" s="1" t="s">
        <v>52</v>
      </c>
      <c r="O6133" s="1" t="s">
        <v>52</v>
      </c>
      <c r="P6133" s="1" t="s">
        <v>55</v>
      </c>
      <c r="Q6133" s="1">
        <v>25</v>
      </c>
      <c r="R6133" s="1">
        <v>25</v>
      </c>
      <c r="S6133" s="1">
        <v>0</v>
      </c>
      <c r="T6133" s="1">
        <v>0</v>
      </c>
      <c r="U6133" s="1">
        <v>0</v>
      </c>
      <c r="V6133" s="1" t="str">
        <f t="shared" si="1212"/>
        <v>里程返程</v>
      </c>
      <c r="W6133" s="1" t="str">
        <f>"0120"</f>
        <v>0120</v>
      </c>
      <c r="X6133" s="1" t="s">
        <v>35</v>
      </c>
    </row>
    <row r="6134" spans="1:24" x14ac:dyDescent="0.3">
      <c r="A6134" s="1" t="str">
        <f t="shared" si="1209"/>
        <v>59822</v>
      </c>
      <c r="B6134" s="1" t="s">
        <v>39</v>
      </c>
      <c r="C6134" s="1" t="s">
        <v>40</v>
      </c>
      <c r="D6134" s="1" t="str">
        <f t="shared" ref="D6134:D6156" si="1215">"9801"</f>
        <v>9801</v>
      </c>
      <c r="E6134" s="1" t="s">
        <v>25</v>
      </c>
      <c r="F6134" s="1" t="str">
        <f>"A10A1F2E9A280400F700000000000000"</f>
        <v>A10A1F2E9A280400F700000000000000</v>
      </c>
      <c r="G6134" s="1" t="s">
        <v>58</v>
      </c>
      <c r="H6134" s="1" t="str">
        <f t="shared" si="1213"/>
        <v>20220930</v>
      </c>
      <c r="I6134" s="1" t="str">
        <f>"185421"</f>
        <v>185421</v>
      </c>
      <c r="J6134" s="1" t="s">
        <v>28</v>
      </c>
      <c r="K6134" s="1" t="s">
        <v>28</v>
      </c>
      <c r="L6134" s="1" t="str">
        <f t="shared" si="1214"/>
        <v>20220930</v>
      </c>
      <c r="M6134" s="1" t="str">
        <f>"192019"</f>
        <v>192019</v>
      </c>
      <c r="N6134" s="1" t="s">
        <v>60</v>
      </c>
      <c r="O6134" s="1" t="s">
        <v>52</v>
      </c>
      <c r="P6134" s="1" t="s">
        <v>55</v>
      </c>
      <c r="Q6134" s="1">
        <v>25</v>
      </c>
      <c r="R6134" s="1">
        <v>25</v>
      </c>
      <c r="S6134" s="1">
        <v>0</v>
      </c>
      <c r="T6134" s="1">
        <v>0</v>
      </c>
      <c r="U6134" s="1">
        <v>0</v>
      </c>
      <c r="V6134" s="1" t="str">
        <f t="shared" si="1212"/>
        <v>里程返程</v>
      </c>
      <c r="W6134" s="1" t="str">
        <f>"0020"</f>
        <v>0020</v>
      </c>
      <c r="X6134" s="1" t="s">
        <v>29</v>
      </c>
    </row>
    <row r="6135" spans="1:24" x14ac:dyDescent="0.3">
      <c r="A6135" s="1" t="str">
        <f t="shared" si="1209"/>
        <v>59822</v>
      </c>
      <c r="B6135" s="1" t="s">
        <v>39</v>
      </c>
      <c r="C6135" s="1" t="s">
        <v>40</v>
      </c>
      <c r="D6135" s="1" t="str">
        <f t="shared" si="1215"/>
        <v>9801</v>
      </c>
      <c r="E6135" s="1" t="s">
        <v>25</v>
      </c>
      <c r="F6135" s="1" t="str">
        <f>"1111777909"</f>
        <v>1111777909</v>
      </c>
      <c r="G6135" s="1" t="s">
        <v>38</v>
      </c>
      <c r="H6135" s="1" t="str">
        <f t="shared" si="1213"/>
        <v>20220930</v>
      </c>
      <c r="I6135" s="1" t="str">
        <f>"185437"</f>
        <v>185437</v>
      </c>
      <c r="J6135" s="1" t="s">
        <v>28</v>
      </c>
      <c r="K6135" s="1" t="s">
        <v>28</v>
      </c>
      <c r="L6135" s="1" t="str">
        <f t="shared" si="1214"/>
        <v>20220930</v>
      </c>
      <c r="M6135" s="1" t="str">
        <f>"192419"</f>
        <v>192419</v>
      </c>
      <c r="N6135" s="1" t="s">
        <v>52</v>
      </c>
      <c r="O6135" s="1" t="s">
        <v>52</v>
      </c>
      <c r="P6135" s="1" t="s">
        <v>55</v>
      </c>
      <c r="Q6135" s="1">
        <v>25</v>
      </c>
      <c r="R6135" s="1">
        <v>0</v>
      </c>
      <c r="S6135" s="1">
        <v>25</v>
      </c>
      <c r="T6135" s="1">
        <v>0</v>
      </c>
      <c r="U6135" s="1">
        <v>0</v>
      </c>
      <c r="V6135" s="1" t="str">
        <f t="shared" si="1212"/>
        <v>里程返程</v>
      </c>
      <c r="W6135" s="1" t="str">
        <f>"0820"</f>
        <v>0820</v>
      </c>
      <c r="X6135" s="1" t="s">
        <v>35</v>
      </c>
    </row>
    <row r="6136" spans="1:24" x14ac:dyDescent="0.3">
      <c r="A6136" s="1" t="str">
        <f t="shared" si="1209"/>
        <v>59822</v>
      </c>
      <c r="B6136" s="1" t="s">
        <v>39</v>
      </c>
      <c r="C6136" s="1" t="s">
        <v>40</v>
      </c>
      <c r="D6136" s="1" t="str">
        <f t="shared" si="1215"/>
        <v>9801</v>
      </c>
      <c r="E6136" s="1" t="s">
        <v>25</v>
      </c>
      <c r="F6136" s="1" t="str">
        <f>"E293E60295880400C834002000000015"</f>
        <v>E293E60295880400C834002000000015</v>
      </c>
      <c r="G6136" s="1" t="s">
        <v>74</v>
      </c>
      <c r="H6136" s="1" t="str">
        <f t="shared" si="1213"/>
        <v>20220930</v>
      </c>
      <c r="I6136" s="1" t="str">
        <f>"200249"</f>
        <v>200249</v>
      </c>
      <c r="J6136" s="1" t="s">
        <v>52</v>
      </c>
      <c r="K6136" s="1" t="s">
        <v>52</v>
      </c>
      <c r="L6136" s="1" t="str">
        <f t="shared" si="1214"/>
        <v>20220930</v>
      </c>
      <c r="M6136" s="1" t="str">
        <f>"201647"</f>
        <v>201647</v>
      </c>
      <c r="N6136" s="1" t="s">
        <v>80</v>
      </c>
      <c r="O6136" s="1" t="s">
        <v>52</v>
      </c>
      <c r="P6136" s="1" t="s">
        <v>68</v>
      </c>
      <c r="Q6136" s="1">
        <v>13</v>
      </c>
      <c r="R6136" s="1">
        <v>0</v>
      </c>
      <c r="S6136" s="1">
        <v>0</v>
      </c>
      <c r="T6136" s="1">
        <v>13</v>
      </c>
      <c r="U6136" s="1">
        <v>0</v>
      </c>
      <c r="V6136" s="1" t="str">
        <f>"里程去程"</f>
        <v>里程去程</v>
      </c>
      <c r="W6136" s="1" t="str">
        <f>"0020"</f>
        <v>0020</v>
      </c>
      <c r="X6136" s="1" t="s">
        <v>29</v>
      </c>
    </row>
    <row r="6137" spans="1:24" x14ac:dyDescent="0.3">
      <c r="A6137" s="1" t="str">
        <f t="shared" si="1209"/>
        <v>59822</v>
      </c>
      <c r="B6137" s="1" t="s">
        <v>39</v>
      </c>
      <c r="C6137" s="1" t="s">
        <v>40</v>
      </c>
      <c r="D6137" s="1" t="str">
        <f t="shared" si="1215"/>
        <v>9801</v>
      </c>
      <c r="E6137" s="1" t="s">
        <v>25</v>
      </c>
      <c r="F6137" s="1" t="str">
        <f>"C2C219031A880400C834002000000015"</f>
        <v>C2C219031A880400C834002000000015</v>
      </c>
      <c r="G6137" s="1" t="s">
        <v>74</v>
      </c>
      <c r="H6137" s="1" t="str">
        <f t="shared" si="1213"/>
        <v>20220930</v>
      </c>
      <c r="I6137" s="1" t="str">
        <f>"200303"</f>
        <v>200303</v>
      </c>
      <c r="J6137" s="1" t="s">
        <v>52</v>
      </c>
      <c r="K6137" s="1" t="s">
        <v>52</v>
      </c>
      <c r="L6137" s="1" t="str">
        <f t="shared" si="1214"/>
        <v>20220930</v>
      </c>
      <c r="M6137" s="1" t="str">
        <f>"201653"</f>
        <v>201653</v>
      </c>
      <c r="N6137" s="1" t="s">
        <v>80</v>
      </c>
      <c r="O6137" s="1" t="s">
        <v>52</v>
      </c>
      <c r="P6137" s="1" t="s">
        <v>68</v>
      </c>
      <c r="Q6137" s="1">
        <v>13</v>
      </c>
      <c r="R6137" s="1">
        <v>0</v>
      </c>
      <c r="S6137" s="1">
        <v>0</v>
      </c>
      <c r="T6137" s="1">
        <v>13</v>
      </c>
      <c r="U6137" s="1">
        <v>0</v>
      </c>
      <c r="V6137" s="1" t="str">
        <f>"里程去程"</f>
        <v>里程去程</v>
      </c>
      <c r="W6137" s="1" t="str">
        <f>"0020"</f>
        <v>0020</v>
      </c>
      <c r="X6137" s="1" t="s">
        <v>29</v>
      </c>
    </row>
    <row r="6138" spans="1:24" x14ac:dyDescent="0.3">
      <c r="A6138" s="1" t="str">
        <f t="shared" ref="A6138:A6181" si="1216">"59825"</f>
        <v>59825</v>
      </c>
      <c r="B6138" s="1" t="s">
        <v>30</v>
      </c>
      <c r="C6138" s="1" t="s">
        <v>31</v>
      </c>
      <c r="D6138" s="1" t="str">
        <f t="shared" si="1215"/>
        <v>9801</v>
      </c>
      <c r="E6138" s="1" t="s">
        <v>25</v>
      </c>
      <c r="F6138" s="1" t="str">
        <f>"F29BD102BA880400C834002000000015"</f>
        <v>F29BD102BA880400C834002000000015</v>
      </c>
      <c r="G6138" s="1" t="s">
        <v>26</v>
      </c>
      <c r="H6138" s="1" t="str">
        <f t="shared" si="1213"/>
        <v>20220930</v>
      </c>
      <c r="I6138" s="1" t="str">
        <f>"083346"</f>
        <v>083346</v>
      </c>
      <c r="J6138" s="1" t="s">
        <v>44</v>
      </c>
      <c r="K6138" s="1" t="s">
        <v>45</v>
      </c>
      <c r="L6138" s="1" t="str">
        <f t="shared" si="1214"/>
        <v>20220930</v>
      </c>
      <c r="M6138" s="1" t="str">
        <f>"085403"</f>
        <v>085403</v>
      </c>
      <c r="N6138" s="1" t="s">
        <v>28</v>
      </c>
      <c r="O6138" s="1" t="s">
        <v>28</v>
      </c>
      <c r="P6138" s="1" t="s">
        <v>68</v>
      </c>
      <c r="Q6138" s="1">
        <v>13</v>
      </c>
      <c r="R6138" s="1">
        <v>0</v>
      </c>
      <c r="S6138" s="1">
        <v>0</v>
      </c>
      <c r="T6138" s="1">
        <v>13</v>
      </c>
      <c r="U6138" s="1">
        <v>0</v>
      </c>
      <c r="V6138" s="1" t="str">
        <f t="shared" ref="V6138:V6156" si="1217">"里程返程"</f>
        <v>里程返程</v>
      </c>
      <c r="W6138" s="1" t="str">
        <f>"0020"</f>
        <v>0020</v>
      </c>
      <c r="X6138" s="1" t="s">
        <v>29</v>
      </c>
    </row>
    <row r="6139" spans="1:24" x14ac:dyDescent="0.3">
      <c r="A6139" s="1" t="str">
        <f t="shared" si="1216"/>
        <v>59825</v>
      </c>
      <c r="B6139" s="1" t="s">
        <v>30</v>
      </c>
      <c r="C6139" s="1" t="s">
        <v>31</v>
      </c>
      <c r="D6139" s="1" t="str">
        <f t="shared" si="1215"/>
        <v>9801</v>
      </c>
      <c r="E6139" s="1" t="s">
        <v>25</v>
      </c>
      <c r="F6139" s="1" t="str">
        <f>"22E11A03DA880400C834002000000015"</f>
        <v>22E11A03DA880400C834002000000015</v>
      </c>
      <c r="G6139" s="1" t="s">
        <v>26</v>
      </c>
      <c r="H6139" s="1" t="str">
        <f t="shared" si="1213"/>
        <v>20220930</v>
      </c>
      <c r="I6139" s="1" t="str">
        <f>"083546"</f>
        <v>083546</v>
      </c>
      <c r="J6139" s="1" t="s">
        <v>100</v>
      </c>
      <c r="K6139" s="1" t="s">
        <v>45</v>
      </c>
      <c r="L6139" s="1" t="str">
        <f t="shared" si="1214"/>
        <v>20220930</v>
      </c>
      <c r="M6139" s="1" t="str">
        <f>"092212"</f>
        <v>092212</v>
      </c>
      <c r="N6139" s="1" t="s">
        <v>60</v>
      </c>
      <c r="O6139" s="1" t="s">
        <v>52</v>
      </c>
      <c r="P6139" s="1" t="s">
        <v>68</v>
      </c>
      <c r="Q6139" s="1">
        <v>25</v>
      </c>
      <c r="R6139" s="1">
        <v>0</v>
      </c>
      <c r="S6139" s="1">
        <v>0</v>
      </c>
      <c r="T6139" s="1">
        <v>25</v>
      </c>
      <c r="U6139" s="1">
        <v>0</v>
      </c>
      <c r="V6139" s="1" t="str">
        <f t="shared" si="1217"/>
        <v>里程返程</v>
      </c>
      <c r="W6139" s="1" t="str">
        <f>"0020"</f>
        <v>0020</v>
      </c>
      <c r="X6139" s="1" t="s">
        <v>29</v>
      </c>
    </row>
    <row r="6140" spans="1:24" x14ac:dyDescent="0.3">
      <c r="A6140" s="1" t="str">
        <f t="shared" si="1216"/>
        <v>59825</v>
      </c>
      <c r="B6140" s="1" t="s">
        <v>30</v>
      </c>
      <c r="C6140" s="1" t="s">
        <v>31</v>
      </c>
      <c r="D6140" s="1" t="str">
        <f t="shared" si="1215"/>
        <v>9801</v>
      </c>
      <c r="E6140" s="1" t="s">
        <v>25</v>
      </c>
      <c r="F6140" s="1" t="str">
        <f>"6932EB0FBF8804004326A4E6000E0211"</f>
        <v>6932EB0FBF8804004326A4E6000E0211</v>
      </c>
      <c r="G6140" s="1" t="s">
        <v>58</v>
      </c>
      <c r="H6140" s="1" t="str">
        <f t="shared" si="1213"/>
        <v>20220930</v>
      </c>
      <c r="I6140" s="1" t="str">
        <f>"092639"</f>
        <v>092639</v>
      </c>
      <c r="J6140" s="1" t="s">
        <v>44</v>
      </c>
      <c r="K6140" s="1" t="s">
        <v>45</v>
      </c>
      <c r="L6140" s="1" t="str">
        <f t="shared" si="1214"/>
        <v>20220930</v>
      </c>
      <c r="M6140" s="1" t="str">
        <f>"095258"</f>
        <v>095258</v>
      </c>
      <c r="N6140" s="1" t="s">
        <v>28</v>
      </c>
      <c r="O6140" s="1" t="s">
        <v>28</v>
      </c>
      <c r="P6140" s="1" t="s">
        <v>55</v>
      </c>
      <c r="Q6140" s="1">
        <v>25</v>
      </c>
      <c r="R6140" s="1">
        <v>0</v>
      </c>
      <c r="S6140" s="1">
        <v>25</v>
      </c>
      <c r="T6140" s="1">
        <v>0</v>
      </c>
      <c r="U6140" s="1">
        <v>0</v>
      </c>
      <c r="V6140" s="1" t="str">
        <f t="shared" si="1217"/>
        <v>里程返程</v>
      </c>
      <c r="W6140" s="1" t="str">
        <f>"1120"</f>
        <v>1120</v>
      </c>
      <c r="X6140" s="1" t="s">
        <v>29</v>
      </c>
    </row>
    <row r="6141" spans="1:24" x14ac:dyDescent="0.3">
      <c r="A6141" s="1" t="str">
        <f t="shared" si="1216"/>
        <v>59825</v>
      </c>
      <c r="B6141" s="1" t="s">
        <v>30</v>
      </c>
      <c r="C6141" s="1" t="s">
        <v>31</v>
      </c>
      <c r="D6141" s="1" t="str">
        <f t="shared" si="1215"/>
        <v>9801</v>
      </c>
      <c r="E6141" s="1" t="s">
        <v>25</v>
      </c>
      <c r="F6141" s="1" t="str">
        <f>"A239F5056B880400C838002000000015"</f>
        <v>A239F5056B880400C838002000000015</v>
      </c>
      <c r="G6141" s="1" t="s">
        <v>26</v>
      </c>
      <c r="H6141" s="1" t="str">
        <f t="shared" si="1213"/>
        <v>20220930</v>
      </c>
      <c r="I6141" s="1" t="str">
        <f>"100330"</f>
        <v>100330</v>
      </c>
      <c r="J6141" s="1" t="s">
        <v>67</v>
      </c>
      <c r="K6141" s="1" t="s">
        <v>52</v>
      </c>
      <c r="L6141" s="1" t="str">
        <f t="shared" si="1214"/>
        <v>20220930</v>
      </c>
      <c r="M6141" s="1" t="str">
        <f>"102253"</f>
        <v>102253</v>
      </c>
      <c r="N6141" s="1" t="s">
        <v>52</v>
      </c>
      <c r="O6141" s="1" t="s">
        <v>52</v>
      </c>
      <c r="P6141" s="1" t="s">
        <v>68</v>
      </c>
      <c r="Q6141" s="1">
        <v>13</v>
      </c>
      <c r="R6141" s="1">
        <v>0</v>
      </c>
      <c r="S6141" s="1">
        <v>0</v>
      </c>
      <c r="T6141" s="1">
        <v>13</v>
      </c>
      <c r="U6141" s="1">
        <v>0</v>
      </c>
      <c r="V6141" s="1" t="str">
        <f t="shared" si="1217"/>
        <v>里程返程</v>
      </c>
      <c r="W6141" s="1" t="str">
        <f>"0020"</f>
        <v>0020</v>
      </c>
      <c r="X6141" s="1" t="s">
        <v>29</v>
      </c>
    </row>
    <row r="6142" spans="1:24" x14ac:dyDescent="0.3">
      <c r="A6142" s="1" t="str">
        <f t="shared" si="1216"/>
        <v>59825</v>
      </c>
      <c r="B6142" s="1" t="s">
        <v>30</v>
      </c>
      <c r="C6142" s="1" t="s">
        <v>31</v>
      </c>
      <c r="D6142" s="1" t="str">
        <f t="shared" si="1215"/>
        <v>9801</v>
      </c>
      <c r="E6142" s="1" t="s">
        <v>25</v>
      </c>
      <c r="F6142" s="1" t="str">
        <f>"72D54502E0880400C821002000000015"</f>
        <v>72D54502E0880400C821002000000015</v>
      </c>
      <c r="G6142" s="1" t="s">
        <v>26</v>
      </c>
      <c r="H6142" s="1" t="str">
        <f t="shared" si="1213"/>
        <v>20220930</v>
      </c>
      <c r="I6142" s="1" t="str">
        <f>"100333"</f>
        <v>100333</v>
      </c>
      <c r="J6142" s="1" t="s">
        <v>67</v>
      </c>
      <c r="K6142" s="1" t="s">
        <v>52</v>
      </c>
      <c r="L6142" s="1" t="str">
        <f t="shared" si="1214"/>
        <v>20220930</v>
      </c>
      <c r="M6142" s="1" t="str">
        <f>"102250"</f>
        <v>102250</v>
      </c>
      <c r="N6142" s="1" t="s">
        <v>52</v>
      </c>
      <c r="O6142" s="1" t="s">
        <v>52</v>
      </c>
      <c r="P6142" s="1" t="s">
        <v>68</v>
      </c>
      <c r="Q6142" s="1">
        <v>13</v>
      </c>
      <c r="R6142" s="1">
        <v>0</v>
      </c>
      <c r="S6142" s="1">
        <v>0</v>
      </c>
      <c r="T6142" s="1">
        <v>13</v>
      </c>
      <c r="U6142" s="1">
        <v>0</v>
      </c>
      <c r="V6142" s="1" t="str">
        <f t="shared" si="1217"/>
        <v>里程返程</v>
      </c>
      <c r="W6142" s="1" t="str">
        <f>"0020"</f>
        <v>0020</v>
      </c>
      <c r="X6142" s="1" t="s">
        <v>29</v>
      </c>
    </row>
    <row r="6143" spans="1:24" x14ac:dyDescent="0.3">
      <c r="A6143" s="1" t="str">
        <f t="shared" si="1216"/>
        <v>59825</v>
      </c>
      <c r="B6143" s="1" t="s">
        <v>30</v>
      </c>
      <c r="C6143" s="1" t="s">
        <v>31</v>
      </c>
      <c r="D6143" s="1" t="str">
        <f t="shared" si="1215"/>
        <v>9801</v>
      </c>
      <c r="E6143" s="1" t="s">
        <v>25</v>
      </c>
      <c r="F6143" s="1" t="str">
        <f>"A239F5056B880400C838002000000015"</f>
        <v>A239F5056B880400C838002000000015</v>
      </c>
      <c r="G6143" s="1" t="s">
        <v>26</v>
      </c>
      <c r="H6143" s="1" t="str">
        <f t="shared" si="1213"/>
        <v>20220930</v>
      </c>
      <c r="I6143" s="1" t="str">
        <f>"102434"</f>
        <v>102434</v>
      </c>
      <c r="J6143" s="1" t="s">
        <v>44</v>
      </c>
      <c r="K6143" s="1" t="s">
        <v>45</v>
      </c>
      <c r="L6143" s="1" t="str">
        <f t="shared" si="1214"/>
        <v>20220930</v>
      </c>
      <c r="M6143" s="1" t="str">
        <f>"103607"</f>
        <v>103607</v>
      </c>
      <c r="N6143" s="1" t="s">
        <v>91</v>
      </c>
      <c r="O6143" s="1" t="s">
        <v>45</v>
      </c>
      <c r="P6143" s="1" t="s">
        <v>68</v>
      </c>
      <c r="Q6143" s="1">
        <v>13</v>
      </c>
      <c r="R6143" s="1">
        <v>0</v>
      </c>
      <c r="S6143" s="1">
        <v>0</v>
      </c>
      <c r="T6143" s="1">
        <v>13</v>
      </c>
      <c r="U6143" s="1">
        <v>0</v>
      </c>
      <c r="V6143" s="1" t="str">
        <f t="shared" si="1217"/>
        <v>里程返程</v>
      </c>
      <c r="W6143" s="1" t="str">
        <f>"0020"</f>
        <v>0020</v>
      </c>
      <c r="X6143" s="1" t="s">
        <v>29</v>
      </c>
    </row>
    <row r="6144" spans="1:24" x14ac:dyDescent="0.3">
      <c r="A6144" s="1" t="str">
        <f t="shared" si="1216"/>
        <v>59825</v>
      </c>
      <c r="B6144" s="1" t="s">
        <v>30</v>
      </c>
      <c r="C6144" s="1" t="s">
        <v>31</v>
      </c>
      <c r="D6144" s="1" t="str">
        <f t="shared" si="1215"/>
        <v>9801</v>
      </c>
      <c r="E6144" s="1" t="s">
        <v>25</v>
      </c>
      <c r="F6144" s="1" t="str">
        <f>"72D54502E0880400C821002000000015"</f>
        <v>72D54502E0880400C821002000000015</v>
      </c>
      <c r="G6144" s="1" t="s">
        <v>26</v>
      </c>
      <c r="H6144" s="1" t="str">
        <f t="shared" si="1213"/>
        <v>20220930</v>
      </c>
      <c r="I6144" s="1" t="str">
        <f>"102437"</f>
        <v>102437</v>
      </c>
      <c r="J6144" s="1" t="s">
        <v>44</v>
      </c>
      <c r="K6144" s="1" t="s">
        <v>45</v>
      </c>
      <c r="L6144" s="1" t="str">
        <f t="shared" si="1214"/>
        <v>20220930</v>
      </c>
      <c r="M6144" s="1" t="str">
        <f>"103558"</f>
        <v>103558</v>
      </c>
      <c r="N6144" s="1" t="s">
        <v>91</v>
      </c>
      <c r="O6144" s="1" t="s">
        <v>45</v>
      </c>
      <c r="P6144" s="1" t="s">
        <v>68</v>
      </c>
      <c r="Q6144" s="1">
        <v>13</v>
      </c>
      <c r="R6144" s="1">
        <v>0</v>
      </c>
      <c r="S6144" s="1">
        <v>0</v>
      </c>
      <c r="T6144" s="1">
        <v>13</v>
      </c>
      <c r="U6144" s="1">
        <v>0</v>
      </c>
      <c r="V6144" s="1" t="str">
        <f t="shared" si="1217"/>
        <v>里程返程</v>
      </c>
      <c r="W6144" s="1" t="str">
        <f>"0020"</f>
        <v>0020</v>
      </c>
      <c r="X6144" s="1" t="s">
        <v>29</v>
      </c>
    </row>
    <row r="6145" spans="1:24" x14ac:dyDescent="0.3">
      <c r="A6145" s="1" t="str">
        <f t="shared" si="1216"/>
        <v>59825</v>
      </c>
      <c r="B6145" s="1" t="s">
        <v>30</v>
      </c>
      <c r="C6145" s="1" t="s">
        <v>31</v>
      </c>
      <c r="D6145" s="1" t="str">
        <f t="shared" si="1215"/>
        <v>9801</v>
      </c>
      <c r="E6145" s="1" t="s">
        <v>25</v>
      </c>
      <c r="F6145" s="1" t="str">
        <f>"2620325231"</f>
        <v>2620325231</v>
      </c>
      <c r="G6145" s="1" t="s">
        <v>33</v>
      </c>
      <c r="H6145" s="1" t="str">
        <f t="shared" si="1213"/>
        <v>20220930</v>
      </c>
      <c r="I6145" s="1" t="str">
        <f>"102445"</f>
        <v>102445</v>
      </c>
      <c r="J6145" s="1" t="s">
        <v>44</v>
      </c>
      <c r="K6145" s="1" t="s">
        <v>45</v>
      </c>
      <c r="L6145" s="1" t="str">
        <f t="shared" si="1214"/>
        <v>20220930</v>
      </c>
      <c r="M6145" s="1" t="str">
        <f>"105058"</f>
        <v>105058</v>
      </c>
      <c r="N6145" s="1" t="s">
        <v>28</v>
      </c>
      <c r="O6145" s="1" t="s">
        <v>28</v>
      </c>
      <c r="P6145" s="1" t="s">
        <v>55</v>
      </c>
      <c r="Q6145" s="1">
        <v>25</v>
      </c>
      <c r="R6145" s="1">
        <v>25</v>
      </c>
      <c r="S6145" s="1">
        <v>0</v>
      </c>
      <c r="T6145" s="1">
        <v>0</v>
      </c>
      <c r="U6145" s="1">
        <v>0</v>
      </c>
      <c r="V6145" s="1" t="str">
        <f t="shared" si="1217"/>
        <v>里程返程</v>
      </c>
      <c r="W6145" s="1" t="str">
        <f>"2020"</f>
        <v>2020</v>
      </c>
      <c r="X6145" s="1" t="s">
        <v>35</v>
      </c>
    </row>
    <row r="6146" spans="1:24" x14ac:dyDescent="0.3">
      <c r="A6146" s="1" t="str">
        <f t="shared" si="1216"/>
        <v>59825</v>
      </c>
      <c r="B6146" s="1" t="s">
        <v>30</v>
      </c>
      <c r="C6146" s="1" t="s">
        <v>31</v>
      </c>
      <c r="D6146" s="1" t="str">
        <f t="shared" si="1215"/>
        <v>9801</v>
      </c>
      <c r="E6146" s="1" t="s">
        <v>25</v>
      </c>
      <c r="F6146" s="1" t="str">
        <f>"1674332065"</f>
        <v>1674332065</v>
      </c>
      <c r="G6146" s="1" t="s">
        <v>33</v>
      </c>
      <c r="H6146" s="1" t="str">
        <f t="shared" si="1213"/>
        <v>20220930</v>
      </c>
      <c r="I6146" s="1" t="str">
        <f>"102947"</f>
        <v>102947</v>
      </c>
      <c r="J6146" s="1" t="s">
        <v>44</v>
      </c>
      <c r="K6146" s="1" t="s">
        <v>45</v>
      </c>
      <c r="L6146" s="1" t="str">
        <f t="shared" si="1214"/>
        <v>20220930</v>
      </c>
      <c r="M6146" s="1" t="str">
        <f>"104424"</f>
        <v>104424</v>
      </c>
      <c r="N6146" s="1" t="s">
        <v>79</v>
      </c>
      <c r="O6146" s="1" t="s">
        <v>45</v>
      </c>
      <c r="P6146" s="1" t="s">
        <v>55</v>
      </c>
      <c r="Q6146" s="1">
        <v>25</v>
      </c>
      <c r="R6146" s="1">
        <v>25</v>
      </c>
      <c r="S6146" s="1">
        <v>0</v>
      </c>
      <c r="T6146" s="1">
        <v>0</v>
      </c>
      <c r="U6146" s="1">
        <v>0</v>
      </c>
      <c r="V6146" s="1" t="str">
        <f t="shared" si="1217"/>
        <v>里程返程</v>
      </c>
      <c r="W6146" s="1" t="str">
        <f>"2020"</f>
        <v>2020</v>
      </c>
      <c r="X6146" s="1" t="s">
        <v>35</v>
      </c>
    </row>
    <row r="6147" spans="1:24" x14ac:dyDescent="0.3">
      <c r="A6147" s="1" t="str">
        <f t="shared" si="1216"/>
        <v>59825</v>
      </c>
      <c r="B6147" s="1" t="s">
        <v>30</v>
      </c>
      <c r="C6147" s="1" t="s">
        <v>31</v>
      </c>
      <c r="D6147" s="1" t="str">
        <f t="shared" si="1215"/>
        <v>9801</v>
      </c>
      <c r="E6147" s="1" t="s">
        <v>25</v>
      </c>
      <c r="F6147" s="1" t="str">
        <f>"2920694728"</f>
        <v>2920694728</v>
      </c>
      <c r="G6147" s="1" t="s">
        <v>33</v>
      </c>
      <c r="H6147" s="1" t="str">
        <f t="shared" si="1213"/>
        <v>20220930</v>
      </c>
      <c r="I6147" s="1" t="str">
        <f>"103817"</f>
        <v>103817</v>
      </c>
      <c r="J6147" s="1" t="s">
        <v>75</v>
      </c>
      <c r="K6147" s="1" t="s">
        <v>45</v>
      </c>
      <c r="L6147" s="1" t="str">
        <f t="shared" si="1214"/>
        <v>20220930</v>
      </c>
      <c r="M6147" s="1" t="str">
        <f>"105111"</f>
        <v>105111</v>
      </c>
      <c r="N6147" s="1" t="s">
        <v>28</v>
      </c>
      <c r="O6147" s="1" t="s">
        <v>28</v>
      </c>
      <c r="P6147" s="1" t="s">
        <v>55</v>
      </c>
      <c r="Q6147" s="1">
        <v>25</v>
      </c>
      <c r="R6147" s="1">
        <v>25</v>
      </c>
      <c r="S6147" s="1">
        <v>0</v>
      </c>
      <c r="T6147" s="1">
        <v>0</v>
      </c>
      <c r="U6147" s="1">
        <v>0</v>
      </c>
      <c r="V6147" s="1" t="str">
        <f t="shared" si="1217"/>
        <v>里程返程</v>
      </c>
      <c r="W6147" s="1" t="str">
        <f>"2020"</f>
        <v>2020</v>
      </c>
      <c r="X6147" s="1" t="s">
        <v>35</v>
      </c>
    </row>
    <row r="6148" spans="1:24" x14ac:dyDescent="0.3">
      <c r="A6148" s="1" t="str">
        <f t="shared" si="1216"/>
        <v>59825</v>
      </c>
      <c r="B6148" s="1" t="s">
        <v>30</v>
      </c>
      <c r="C6148" s="1" t="s">
        <v>31</v>
      </c>
      <c r="D6148" s="1" t="str">
        <f t="shared" si="1215"/>
        <v>9801</v>
      </c>
      <c r="E6148" s="1" t="s">
        <v>25</v>
      </c>
      <c r="F6148" s="1" t="str">
        <f>"2920654280"</f>
        <v>2920654280</v>
      </c>
      <c r="G6148" s="1" t="s">
        <v>33</v>
      </c>
      <c r="H6148" s="1" t="str">
        <f t="shared" si="1213"/>
        <v>20220930</v>
      </c>
      <c r="I6148" s="1" t="str">
        <f>"103820"</f>
        <v>103820</v>
      </c>
      <c r="J6148" s="1" t="s">
        <v>75</v>
      </c>
      <c r="K6148" s="1" t="s">
        <v>45</v>
      </c>
      <c r="L6148" s="1" t="str">
        <f t="shared" si="1214"/>
        <v>20220930</v>
      </c>
      <c r="M6148" s="1" t="str">
        <f>"105107"</f>
        <v>105107</v>
      </c>
      <c r="N6148" s="1" t="s">
        <v>28</v>
      </c>
      <c r="O6148" s="1" t="s">
        <v>28</v>
      </c>
      <c r="P6148" s="1" t="s">
        <v>55</v>
      </c>
      <c r="Q6148" s="1">
        <v>25</v>
      </c>
      <c r="R6148" s="1">
        <v>25</v>
      </c>
      <c r="S6148" s="1">
        <v>0</v>
      </c>
      <c r="T6148" s="1">
        <v>0</v>
      </c>
      <c r="U6148" s="1">
        <v>0</v>
      </c>
      <c r="V6148" s="1" t="str">
        <f t="shared" si="1217"/>
        <v>里程返程</v>
      </c>
      <c r="W6148" s="1" t="str">
        <f>"2020"</f>
        <v>2020</v>
      </c>
      <c r="X6148" s="1" t="s">
        <v>35</v>
      </c>
    </row>
    <row r="6149" spans="1:24" x14ac:dyDescent="0.3">
      <c r="A6149" s="1" t="str">
        <f t="shared" si="1216"/>
        <v>59825</v>
      </c>
      <c r="B6149" s="1" t="s">
        <v>30</v>
      </c>
      <c r="C6149" s="1" t="s">
        <v>31</v>
      </c>
      <c r="D6149" s="1" t="str">
        <f t="shared" si="1215"/>
        <v>9801</v>
      </c>
      <c r="E6149" s="1" t="s">
        <v>25</v>
      </c>
      <c r="F6149" s="1" t="str">
        <f>"2920700360"</f>
        <v>2920700360</v>
      </c>
      <c r="G6149" s="1" t="s">
        <v>33</v>
      </c>
      <c r="H6149" s="1" t="str">
        <f t="shared" si="1213"/>
        <v>20220930</v>
      </c>
      <c r="I6149" s="1" t="str">
        <f>"103823"</f>
        <v>103823</v>
      </c>
      <c r="J6149" s="1" t="s">
        <v>75</v>
      </c>
      <c r="K6149" s="1" t="s">
        <v>45</v>
      </c>
      <c r="L6149" s="1" t="str">
        <f t="shared" si="1214"/>
        <v>20220930</v>
      </c>
      <c r="M6149" s="1" t="str">
        <f>"105115"</f>
        <v>105115</v>
      </c>
      <c r="N6149" s="1" t="s">
        <v>28</v>
      </c>
      <c r="O6149" s="1" t="s">
        <v>28</v>
      </c>
      <c r="P6149" s="1" t="s">
        <v>55</v>
      </c>
      <c r="Q6149" s="1">
        <v>25</v>
      </c>
      <c r="R6149" s="1">
        <v>25</v>
      </c>
      <c r="S6149" s="1">
        <v>0</v>
      </c>
      <c r="T6149" s="1">
        <v>0</v>
      </c>
      <c r="U6149" s="1">
        <v>0</v>
      </c>
      <c r="V6149" s="1" t="str">
        <f t="shared" si="1217"/>
        <v>里程返程</v>
      </c>
      <c r="W6149" s="1" t="str">
        <f>"2020"</f>
        <v>2020</v>
      </c>
      <c r="X6149" s="1" t="s">
        <v>35</v>
      </c>
    </row>
    <row r="6150" spans="1:24" x14ac:dyDescent="0.3">
      <c r="A6150" s="1" t="str">
        <f t="shared" si="1216"/>
        <v>59825</v>
      </c>
      <c r="B6150" s="1" t="s">
        <v>30</v>
      </c>
      <c r="C6150" s="1" t="s">
        <v>31</v>
      </c>
      <c r="D6150" s="1" t="str">
        <f t="shared" si="1215"/>
        <v>9801</v>
      </c>
      <c r="E6150" s="1" t="s">
        <v>25</v>
      </c>
      <c r="F6150" s="1" t="str">
        <f>"138789841"</f>
        <v>138789841</v>
      </c>
      <c r="G6150" s="1" t="s">
        <v>33</v>
      </c>
      <c r="H6150" s="1" t="str">
        <f t="shared" si="1213"/>
        <v>20220930</v>
      </c>
      <c r="I6150" s="1" t="str">
        <f>"104454"</f>
        <v>104454</v>
      </c>
      <c r="J6150" s="1" t="s">
        <v>79</v>
      </c>
      <c r="K6150" s="1" t="s">
        <v>45</v>
      </c>
      <c r="L6150" s="1" t="str">
        <f t="shared" si="1214"/>
        <v>20220930</v>
      </c>
      <c r="M6150" s="1" t="str">
        <f>"105103"</f>
        <v>105103</v>
      </c>
      <c r="N6150" s="1" t="s">
        <v>28</v>
      </c>
      <c r="O6150" s="1" t="s">
        <v>28</v>
      </c>
      <c r="P6150" s="1" t="s">
        <v>55</v>
      </c>
      <c r="Q6150" s="1">
        <v>25</v>
      </c>
      <c r="R6150" s="1">
        <v>25</v>
      </c>
      <c r="S6150" s="1">
        <v>0</v>
      </c>
      <c r="T6150" s="1">
        <v>0</v>
      </c>
      <c r="U6150" s="1">
        <v>0</v>
      </c>
      <c r="V6150" s="1" t="str">
        <f t="shared" si="1217"/>
        <v>里程返程</v>
      </c>
      <c r="W6150" s="1" t="str">
        <f>"2120"</f>
        <v>2120</v>
      </c>
      <c r="X6150" s="1" t="s">
        <v>35</v>
      </c>
    </row>
    <row r="6151" spans="1:24" x14ac:dyDescent="0.3">
      <c r="A6151" s="1" t="str">
        <f t="shared" si="1216"/>
        <v>59825</v>
      </c>
      <c r="B6151" s="1" t="s">
        <v>30</v>
      </c>
      <c r="C6151" s="1" t="s">
        <v>31</v>
      </c>
      <c r="D6151" s="1" t="str">
        <f t="shared" si="1215"/>
        <v>9801</v>
      </c>
      <c r="E6151" s="1" t="s">
        <v>25</v>
      </c>
      <c r="F6151" s="1" t="str">
        <f>"F25B1B03B1880400C834002000000015"</f>
        <v>F25B1B03B1880400C834002000000015</v>
      </c>
      <c r="G6151" s="1" t="s">
        <v>26</v>
      </c>
      <c r="H6151" s="1" t="str">
        <f t="shared" si="1213"/>
        <v>20220930</v>
      </c>
      <c r="I6151" s="1" t="str">
        <f>"105224"</f>
        <v>105224</v>
      </c>
      <c r="J6151" s="1" t="s">
        <v>28</v>
      </c>
      <c r="K6151" s="1" t="s">
        <v>28</v>
      </c>
      <c r="L6151" s="1" t="str">
        <f t="shared" si="1214"/>
        <v>20220930</v>
      </c>
      <c r="M6151" s="1" t="str">
        <f>"111835"</f>
        <v>111835</v>
      </c>
      <c r="N6151" s="1" t="s">
        <v>60</v>
      </c>
      <c r="O6151" s="1" t="s">
        <v>52</v>
      </c>
      <c r="P6151" s="1" t="s">
        <v>68</v>
      </c>
      <c r="Q6151" s="1">
        <v>13</v>
      </c>
      <c r="R6151" s="1">
        <v>0</v>
      </c>
      <c r="S6151" s="1">
        <v>0</v>
      </c>
      <c r="T6151" s="1">
        <v>13</v>
      </c>
      <c r="U6151" s="1">
        <v>0</v>
      </c>
      <c r="V6151" s="1" t="str">
        <f t="shared" si="1217"/>
        <v>里程返程</v>
      </c>
      <c r="W6151" s="1" t="str">
        <f>"0020"</f>
        <v>0020</v>
      </c>
      <c r="X6151" s="1" t="s">
        <v>29</v>
      </c>
    </row>
    <row r="6152" spans="1:24" x14ac:dyDescent="0.3">
      <c r="A6152" s="1" t="str">
        <f t="shared" si="1216"/>
        <v>59825</v>
      </c>
      <c r="B6152" s="1" t="s">
        <v>30</v>
      </c>
      <c r="C6152" s="1" t="s">
        <v>31</v>
      </c>
      <c r="D6152" s="1" t="str">
        <f t="shared" si="1215"/>
        <v>9801</v>
      </c>
      <c r="E6152" s="1" t="s">
        <v>25</v>
      </c>
      <c r="F6152" s="1" t="str">
        <f>"32780D0344880400C834002000000015"</f>
        <v>32780D0344880400C834002000000015</v>
      </c>
      <c r="G6152" s="1" t="s">
        <v>26</v>
      </c>
      <c r="H6152" s="1" t="str">
        <f t="shared" si="1213"/>
        <v>20220930</v>
      </c>
      <c r="I6152" s="1" t="str">
        <f>"112904"</f>
        <v>112904</v>
      </c>
      <c r="J6152" s="1" t="s">
        <v>44</v>
      </c>
      <c r="K6152" s="1" t="s">
        <v>45</v>
      </c>
      <c r="L6152" s="1" t="str">
        <f t="shared" si="1214"/>
        <v>20220930</v>
      </c>
      <c r="M6152" s="1" t="str">
        <f>"115455"</f>
        <v>115455</v>
      </c>
      <c r="N6152" s="1" t="s">
        <v>95</v>
      </c>
      <c r="O6152" s="1" t="s">
        <v>28</v>
      </c>
      <c r="P6152" s="1" t="s">
        <v>68</v>
      </c>
      <c r="Q6152" s="1">
        <v>13</v>
      </c>
      <c r="R6152" s="1">
        <v>0</v>
      </c>
      <c r="S6152" s="1">
        <v>0</v>
      </c>
      <c r="T6152" s="1">
        <v>13</v>
      </c>
      <c r="U6152" s="1">
        <v>0</v>
      </c>
      <c r="V6152" s="1" t="str">
        <f t="shared" si="1217"/>
        <v>里程返程</v>
      </c>
      <c r="W6152" s="1" t="str">
        <f>"0020"</f>
        <v>0020</v>
      </c>
      <c r="X6152" s="1" t="s">
        <v>29</v>
      </c>
    </row>
    <row r="6153" spans="1:24" x14ac:dyDescent="0.3">
      <c r="A6153" s="1" t="str">
        <f t="shared" si="1216"/>
        <v>59825</v>
      </c>
      <c r="B6153" s="1" t="s">
        <v>30</v>
      </c>
      <c r="C6153" s="1" t="s">
        <v>31</v>
      </c>
      <c r="D6153" s="1" t="str">
        <f t="shared" si="1215"/>
        <v>9801</v>
      </c>
      <c r="E6153" s="1" t="s">
        <v>25</v>
      </c>
      <c r="F6153" s="1" t="str">
        <f>"A239F5056B880400C838002000000015"</f>
        <v>A239F5056B880400C838002000000015</v>
      </c>
      <c r="G6153" s="1" t="s">
        <v>26</v>
      </c>
      <c r="H6153" s="1" t="str">
        <f t="shared" si="1213"/>
        <v>20220930</v>
      </c>
      <c r="I6153" s="1" t="str">
        <f>"114004"</f>
        <v>114004</v>
      </c>
      <c r="J6153" s="1" t="s">
        <v>91</v>
      </c>
      <c r="K6153" s="1" t="s">
        <v>45</v>
      </c>
      <c r="L6153" s="1" t="str">
        <f t="shared" si="1214"/>
        <v>20220930</v>
      </c>
      <c r="M6153" s="1" t="str">
        <f>"120809"</f>
        <v>120809</v>
      </c>
      <c r="N6153" s="1" t="s">
        <v>67</v>
      </c>
      <c r="O6153" s="1" t="s">
        <v>52</v>
      </c>
      <c r="P6153" s="1" t="s">
        <v>68</v>
      </c>
      <c r="Q6153" s="1">
        <v>25</v>
      </c>
      <c r="R6153" s="1">
        <v>0</v>
      </c>
      <c r="S6153" s="1">
        <v>0</v>
      </c>
      <c r="T6153" s="1">
        <v>25</v>
      </c>
      <c r="U6153" s="1">
        <v>0</v>
      </c>
      <c r="V6153" s="1" t="str">
        <f t="shared" si="1217"/>
        <v>里程返程</v>
      </c>
      <c r="W6153" s="1" t="str">
        <f>"0020"</f>
        <v>0020</v>
      </c>
      <c r="X6153" s="1" t="s">
        <v>29</v>
      </c>
    </row>
    <row r="6154" spans="1:24" x14ac:dyDescent="0.3">
      <c r="A6154" s="1" t="str">
        <f t="shared" si="1216"/>
        <v>59825</v>
      </c>
      <c r="B6154" s="1" t="s">
        <v>30</v>
      </c>
      <c r="C6154" s="1" t="s">
        <v>31</v>
      </c>
      <c r="D6154" s="1" t="str">
        <f t="shared" si="1215"/>
        <v>9801</v>
      </c>
      <c r="E6154" s="1" t="s">
        <v>25</v>
      </c>
      <c r="F6154" s="1" t="str">
        <f>"72D54502E0880400C821002000000015"</f>
        <v>72D54502E0880400C821002000000015</v>
      </c>
      <c r="G6154" s="1" t="s">
        <v>26</v>
      </c>
      <c r="H6154" s="1" t="str">
        <f t="shared" si="1213"/>
        <v>20220930</v>
      </c>
      <c r="I6154" s="1" t="str">
        <f>"114008"</f>
        <v>114008</v>
      </c>
      <c r="J6154" s="1" t="s">
        <v>91</v>
      </c>
      <c r="K6154" s="1" t="s">
        <v>45</v>
      </c>
      <c r="L6154" s="1" t="str">
        <f t="shared" si="1214"/>
        <v>20220930</v>
      </c>
      <c r="M6154" s="1" t="str">
        <f>"120805"</f>
        <v>120805</v>
      </c>
      <c r="N6154" s="1" t="s">
        <v>67</v>
      </c>
      <c r="O6154" s="1" t="s">
        <v>52</v>
      </c>
      <c r="P6154" s="1" t="s">
        <v>68</v>
      </c>
      <c r="Q6154" s="1">
        <v>25</v>
      </c>
      <c r="R6154" s="1">
        <v>0</v>
      </c>
      <c r="S6154" s="1">
        <v>0</v>
      </c>
      <c r="T6154" s="1">
        <v>25</v>
      </c>
      <c r="U6154" s="1">
        <v>0</v>
      </c>
      <c r="V6154" s="1" t="str">
        <f t="shared" si="1217"/>
        <v>里程返程</v>
      </c>
      <c r="W6154" s="1" t="str">
        <f>"0020"</f>
        <v>0020</v>
      </c>
      <c r="X6154" s="1" t="s">
        <v>29</v>
      </c>
    </row>
    <row r="6155" spans="1:24" x14ac:dyDescent="0.3">
      <c r="A6155" s="1" t="str">
        <f t="shared" si="1216"/>
        <v>59825</v>
      </c>
      <c r="B6155" s="1" t="s">
        <v>30</v>
      </c>
      <c r="C6155" s="1" t="s">
        <v>31</v>
      </c>
      <c r="D6155" s="1" t="str">
        <f t="shared" si="1215"/>
        <v>9801</v>
      </c>
      <c r="E6155" s="1" t="s">
        <v>25</v>
      </c>
      <c r="F6155" s="1" t="str">
        <f>"02B06702D7880400C821002000000015"</f>
        <v>02B06702D7880400C821002000000015</v>
      </c>
      <c r="G6155" s="1" t="s">
        <v>59</v>
      </c>
      <c r="H6155" s="1" t="str">
        <f t="shared" si="1213"/>
        <v>20220930</v>
      </c>
      <c r="I6155" s="1" t="str">
        <f>"115620"</f>
        <v>115620</v>
      </c>
      <c r="J6155" s="1" t="s">
        <v>28</v>
      </c>
      <c r="K6155" s="1" t="s">
        <v>28</v>
      </c>
      <c r="L6155" s="1" t="str">
        <f t="shared" si="1214"/>
        <v>20220930</v>
      </c>
      <c r="M6155" s="1" t="str">
        <f>"123010"</f>
        <v>123010</v>
      </c>
      <c r="N6155" s="1" t="s">
        <v>52</v>
      </c>
      <c r="O6155" s="1" t="s">
        <v>52</v>
      </c>
      <c r="P6155" s="1" t="s">
        <v>55</v>
      </c>
      <c r="Q6155" s="1">
        <v>25</v>
      </c>
      <c r="R6155" s="1">
        <v>0</v>
      </c>
      <c r="S6155" s="1">
        <v>25</v>
      </c>
      <c r="T6155" s="1">
        <v>0</v>
      </c>
      <c r="U6155" s="1">
        <v>0</v>
      </c>
      <c r="V6155" s="1" t="str">
        <f t="shared" si="1217"/>
        <v>里程返程</v>
      </c>
      <c r="W6155" s="1" t="str">
        <f>"0620"</f>
        <v>0620</v>
      </c>
      <c r="X6155" s="1" t="s">
        <v>29</v>
      </c>
    </row>
    <row r="6156" spans="1:24" x14ac:dyDescent="0.3">
      <c r="A6156" s="1" t="str">
        <f t="shared" si="1216"/>
        <v>59825</v>
      </c>
      <c r="B6156" s="1" t="s">
        <v>30</v>
      </c>
      <c r="C6156" s="1" t="s">
        <v>31</v>
      </c>
      <c r="D6156" s="1" t="str">
        <f t="shared" si="1215"/>
        <v>9801</v>
      </c>
      <c r="E6156" s="1" t="s">
        <v>25</v>
      </c>
      <c r="F6156" s="1" t="str">
        <f>"B0FDEB9C3A880400C08E1E9049800113"</f>
        <v>B0FDEB9C3A880400C08E1E9049800113</v>
      </c>
      <c r="G6156" s="1" t="s">
        <v>58</v>
      </c>
      <c r="H6156" s="1" t="str">
        <f t="shared" si="1213"/>
        <v>20220930</v>
      </c>
      <c r="I6156" s="1" t="str">
        <f>"115626"</f>
        <v>115626</v>
      </c>
      <c r="J6156" s="1" t="s">
        <v>28</v>
      </c>
      <c r="K6156" s="1" t="s">
        <v>28</v>
      </c>
      <c r="L6156" s="1" t="str">
        <f t="shared" si="1214"/>
        <v>20220930</v>
      </c>
      <c r="M6156" s="1" t="str">
        <f>"122140"</f>
        <v>122140</v>
      </c>
      <c r="N6156" s="1" t="s">
        <v>65</v>
      </c>
      <c r="O6156" s="1" t="s">
        <v>52</v>
      </c>
      <c r="P6156" s="1" t="s">
        <v>55</v>
      </c>
      <c r="Q6156" s="1">
        <v>25</v>
      </c>
      <c r="R6156" s="1">
        <v>25</v>
      </c>
      <c r="S6156" s="1">
        <v>0</v>
      </c>
      <c r="T6156" s="1">
        <v>0</v>
      </c>
      <c r="U6156" s="1">
        <v>0</v>
      </c>
      <c r="V6156" s="1" t="str">
        <f t="shared" si="1217"/>
        <v>里程返程</v>
      </c>
      <c r="W6156" s="1" t="str">
        <f>"0020"</f>
        <v>0020</v>
      </c>
      <c r="X6156" s="1" t="s">
        <v>29</v>
      </c>
    </row>
    <row r="6157" spans="1:24" x14ac:dyDescent="0.3">
      <c r="A6157" s="1" t="str">
        <f t="shared" si="1216"/>
        <v>59825</v>
      </c>
      <c r="B6157" s="1" t="s">
        <v>30</v>
      </c>
      <c r="C6157" s="1" t="s">
        <v>31</v>
      </c>
      <c r="D6157" s="1" t="str">
        <f t="shared" ref="D6157:D6162" si="1218">"9805"</f>
        <v>9805</v>
      </c>
      <c r="E6157" s="1" t="s">
        <v>57</v>
      </c>
      <c r="F6157" s="1" t="str">
        <f>"375920228"</f>
        <v>375920228</v>
      </c>
      <c r="G6157" s="1" t="s">
        <v>33</v>
      </c>
      <c r="H6157" s="1" t="str">
        <f t="shared" si="1213"/>
        <v>20220930</v>
      </c>
      <c r="I6157" s="1" t="str">
        <f>"142732"</f>
        <v>142732</v>
      </c>
      <c r="J6157" s="1" t="s">
        <v>28</v>
      </c>
      <c r="K6157" s="1" t="s">
        <v>28</v>
      </c>
      <c r="L6157" s="1" t="str">
        <f t="shared" si="1214"/>
        <v>20220930</v>
      </c>
      <c r="M6157" s="1" t="str">
        <f>"144304"</f>
        <v>144304</v>
      </c>
      <c r="N6157" s="1" t="s">
        <v>56</v>
      </c>
      <c r="O6157" s="1" t="s">
        <v>28</v>
      </c>
      <c r="P6157" s="1" t="s">
        <v>55</v>
      </c>
      <c r="Q6157" s="1">
        <v>25</v>
      </c>
      <c r="R6157" s="1">
        <v>0</v>
      </c>
      <c r="S6157" s="1">
        <v>25</v>
      </c>
      <c r="T6157" s="1">
        <v>0</v>
      </c>
      <c r="U6157" s="1">
        <v>0</v>
      </c>
      <c r="V6157" s="1" t="str">
        <f t="shared" ref="V6157:V6164" si="1219">"里程去程"</f>
        <v>里程去程</v>
      </c>
      <c r="W6157" s="1" t="str">
        <f>"0820"</f>
        <v>0820</v>
      </c>
      <c r="X6157" s="1" t="s">
        <v>35</v>
      </c>
    </row>
    <row r="6158" spans="1:24" x14ac:dyDescent="0.3">
      <c r="A6158" s="1" t="str">
        <f t="shared" si="1216"/>
        <v>59825</v>
      </c>
      <c r="B6158" s="1" t="s">
        <v>30</v>
      </c>
      <c r="C6158" s="1" t="s">
        <v>31</v>
      </c>
      <c r="D6158" s="1" t="str">
        <f t="shared" si="1218"/>
        <v>9805</v>
      </c>
      <c r="E6158" s="1" t="s">
        <v>57</v>
      </c>
      <c r="F6158" s="1" t="str">
        <f>"A14B2A33F38804004325B8B800130B0F"</f>
        <v>A14B2A33F38804004325B8B800130B0F</v>
      </c>
      <c r="G6158" s="1" t="s">
        <v>64</v>
      </c>
      <c r="H6158" s="1" t="str">
        <f t="shared" si="1213"/>
        <v>20220930</v>
      </c>
      <c r="I6158" s="1" t="str">
        <f>"142738"</f>
        <v>142738</v>
      </c>
      <c r="J6158" s="1" t="s">
        <v>28</v>
      </c>
      <c r="K6158" s="1" t="s">
        <v>28</v>
      </c>
      <c r="L6158" s="1" t="str">
        <f t="shared" si="1214"/>
        <v>20220930</v>
      </c>
      <c r="M6158" s="1" t="str">
        <f>"144457"</f>
        <v>144457</v>
      </c>
      <c r="N6158" s="1" t="s">
        <v>62</v>
      </c>
      <c r="O6158" s="1" t="s">
        <v>28</v>
      </c>
      <c r="P6158" s="1" t="s">
        <v>55</v>
      </c>
      <c r="Q6158" s="1">
        <v>13</v>
      </c>
      <c r="R6158" s="1">
        <v>0</v>
      </c>
      <c r="S6158" s="1">
        <v>13</v>
      </c>
      <c r="T6158" s="1">
        <v>0</v>
      </c>
      <c r="U6158" s="1">
        <v>0</v>
      </c>
      <c r="V6158" s="1" t="str">
        <f t="shared" si="1219"/>
        <v>里程去程</v>
      </c>
      <c r="W6158" s="1" t="str">
        <f>"1120"</f>
        <v>1120</v>
      </c>
      <c r="X6158" s="1" t="s">
        <v>29</v>
      </c>
    </row>
    <row r="6159" spans="1:24" x14ac:dyDescent="0.3">
      <c r="A6159" s="1" t="str">
        <f t="shared" si="1216"/>
        <v>59825</v>
      </c>
      <c r="B6159" s="1" t="s">
        <v>30</v>
      </c>
      <c r="C6159" s="1" t="s">
        <v>31</v>
      </c>
      <c r="D6159" s="1" t="str">
        <f t="shared" si="1218"/>
        <v>9805</v>
      </c>
      <c r="E6159" s="1" t="s">
        <v>57</v>
      </c>
      <c r="F6159" s="1" t="str">
        <f>"1642631237"</f>
        <v>1642631237</v>
      </c>
      <c r="G6159" s="1" t="s">
        <v>26</v>
      </c>
      <c r="H6159" s="1" t="str">
        <f t="shared" si="1213"/>
        <v>20220930</v>
      </c>
      <c r="I6159" s="1" t="str">
        <f>"143034"</f>
        <v>143034</v>
      </c>
      <c r="J6159" s="1" t="s">
        <v>28</v>
      </c>
      <c r="K6159" s="1" t="s">
        <v>28</v>
      </c>
      <c r="L6159" s="1" t="str">
        <f t="shared" si="1214"/>
        <v>20220930</v>
      </c>
      <c r="M6159" s="1" t="str">
        <f>"144341"</f>
        <v>144341</v>
      </c>
      <c r="N6159" s="1" t="s">
        <v>56</v>
      </c>
      <c r="O6159" s="1" t="s">
        <v>28</v>
      </c>
      <c r="P6159" s="1" t="s">
        <v>55</v>
      </c>
      <c r="Q6159" s="1">
        <v>13</v>
      </c>
      <c r="R6159" s="1">
        <v>13</v>
      </c>
      <c r="S6159" s="1">
        <v>0</v>
      </c>
      <c r="T6159" s="1">
        <v>0</v>
      </c>
      <c r="U6159" s="1">
        <v>0</v>
      </c>
      <c r="V6159" s="1" t="str">
        <f t="shared" si="1219"/>
        <v>里程去程</v>
      </c>
      <c r="W6159" s="1" t="str">
        <f>"0c20"</f>
        <v>0c20</v>
      </c>
      <c r="X6159" s="1" t="s">
        <v>35</v>
      </c>
    </row>
    <row r="6160" spans="1:24" x14ac:dyDescent="0.3">
      <c r="A6160" s="1" t="str">
        <f t="shared" si="1216"/>
        <v>59825</v>
      </c>
      <c r="B6160" s="1" t="s">
        <v>30</v>
      </c>
      <c r="C6160" s="1" t="s">
        <v>31</v>
      </c>
      <c r="D6160" s="1" t="str">
        <f t="shared" si="1218"/>
        <v>9805</v>
      </c>
      <c r="E6160" s="1" t="s">
        <v>57</v>
      </c>
      <c r="F6160" s="1" t="str">
        <f>"404934545"</f>
        <v>404934545</v>
      </c>
      <c r="G6160" s="1" t="s">
        <v>26</v>
      </c>
      <c r="H6160" s="1" t="str">
        <f t="shared" si="1213"/>
        <v>20220930</v>
      </c>
      <c r="I6160" s="1" t="str">
        <f>"143040"</f>
        <v>143040</v>
      </c>
      <c r="J6160" s="1" t="s">
        <v>28</v>
      </c>
      <c r="K6160" s="1" t="s">
        <v>28</v>
      </c>
      <c r="L6160" s="1" t="str">
        <f t="shared" si="1214"/>
        <v>20220930</v>
      </c>
      <c r="M6160" s="1" t="str">
        <f>"144349"</f>
        <v>144349</v>
      </c>
      <c r="N6160" s="1" t="s">
        <v>56</v>
      </c>
      <c r="O6160" s="1" t="s">
        <v>28</v>
      </c>
      <c r="P6160" s="1" t="s">
        <v>55</v>
      </c>
      <c r="Q6160" s="1">
        <v>13</v>
      </c>
      <c r="R6160" s="1">
        <v>13</v>
      </c>
      <c r="S6160" s="1">
        <v>0</v>
      </c>
      <c r="T6160" s="1">
        <v>0</v>
      </c>
      <c r="U6160" s="1">
        <v>0</v>
      </c>
      <c r="V6160" s="1" t="str">
        <f t="shared" si="1219"/>
        <v>里程去程</v>
      </c>
      <c r="W6160" s="1" t="str">
        <f>"0820"</f>
        <v>0820</v>
      </c>
      <c r="X6160" s="1" t="s">
        <v>35</v>
      </c>
    </row>
    <row r="6161" spans="1:24" x14ac:dyDescent="0.3">
      <c r="A6161" s="1" t="str">
        <f t="shared" si="1216"/>
        <v>59825</v>
      </c>
      <c r="B6161" s="1" t="s">
        <v>30</v>
      </c>
      <c r="C6161" s="1" t="s">
        <v>31</v>
      </c>
      <c r="D6161" s="1" t="str">
        <f t="shared" si="1218"/>
        <v>9805</v>
      </c>
      <c r="E6161" s="1" t="s">
        <v>57</v>
      </c>
      <c r="F6161" s="1" t="str">
        <f>"250782735"</f>
        <v>250782735</v>
      </c>
      <c r="G6161" s="1" t="s">
        <v>26</v>
      </c>
      <c r="H6161" s="1" t="str">
        <f t="shared" si="1213"/>
        <v>20220930</v>
      </c>
      <c r="I6161" s="1" t="str">
        <f>"143055"</f>
        <v>143055</v>
      </c>
      <c r="J6161" s="1" t="s">
        <v>28</v>
      </c>
      <c r="K6161" s="1" t="s">
        <v>28</v>
      </c>
      <c r="L6161" s="1" t="str">
        <f t="shared" si="1214"/>
        <v>20220930</v>
      </c>
      <c r="M6161" s="1" t="str">
        <f>"144324"</f>
        <v>144324</v>
      </c>
      <c r="N6161" s="1" t="s">
        <v>56</v>
      </c>
      <c r="O6161" s="1" t="s">
        <v>28</v>
      </c>
      <c r="P6161" s="1" t="s">
        <v>55</v>
      </c>
      <c r="Q6161" s="1">
        <v>13</v>
      </c>
      <c r="R6161" s="1">
        <v>13</v>
      </c>
      <c r="S6161" s="1">
        <v>0</v>
      </c>
      <c r="T6161" s="1">
        <v>0</v>
      </c>
      <c r="U6161" s="1">
        <v>0</v>
      </c>
      <c r="V6161" s="1" t="str">
        <f t="shared" si="1219"/>
        <v>里程去程</v>
      </c>
      <c r="W6161" s="1" t="str">
        <f>"0820"</f>
        <v>0820</v>
      </c>
      <c r="X6161" s="1" t="s">
        <v>35</v>
      </c>
    </row>
    <row r="6162" spans="1:24" x14ac:dyDescent="0.3">
      <c r="A6162" s="1" t="str">
        <f t="shared" si="1216"/>
        <v>59825</v>
      </c>
      <c r="B6162" s="1" t="s">
        <v>30</v>
      </c>
      <c r="C6162" s="1" t="s">
        <v>31</v>
      </c>
      <c r="D6162" s="1" t="str">
        <f t="shared" si="1218"/>
        <v>9805</v>
      </c>
      <c r="E6162" s="1" t="s">
        <v>57</v>
      </c>
      <c r="F6162" s="1" t="str">
        <f>"1305112737"</f>
        <v>1305112737</v>
      </c>
      <c r="G6162" s="1" t="s">
        <v>26</v>
      </c>
      <c r="H6162" s="1" t="str">
        <f t="shared" si="1213"/>
        <v>20220930</v>
      </c>
      <c r="I6162" s="1" t="str">
        <f>"144357"</f>
        <v>144357</v>
      </c>
      <c r="J6162" s="1" t="s">
        <v>56</v>
      </c>
      <c r="K6162" s="1" t="s">
        <v>28</v>
      </c>
      <c r="L6162" s="1" t="str">
        <f>""</f>
        <v/>
      </c>
      <c r="M6162" s="1" t="str">
        <f>""</f>
        <v/>
      </c>
      <c r="P6162" s="1" t="s">
        <v>88</v>
      </c>
      <c r="Q6162" s="1">
        <v>13</v>
      </c>
      <c r="R6162" s="1">
        <v>13</v>
      </c>
      <c r="S6162" s="1">
        <v>0</v>
      </c>
      <c r="T6162" s="1">
        <v>0</v>
      </c>
      <c r="U6162" s="1">
        <v>0</v>
      </c>
      <c r="V6162" s="1" t="str">
        <f t="shared" si="1219"/>
        <v>里程去程</v>
      </c>
      <c r="W6162" s="1" t="str">
        <f>"0120"</f>
        <v>0120</v>
      </c>
      <c r="X6162" s="1" t="s">
        <v>35</v>
      </c>
    </row>
    <row r="6163" spans="1:24" x14ac:dyDescent="0.3">
      <c r="A6163" s="1" t="str">
        <f t="shared" si="1216"/>
        <v>59825</v>
      </c>
      <c r="B6163" s="1" t="s">
        <v>30</v>
      </c>
      <c r="C6163" s="1" t="s">
        <v>31</v>
      </c>
      <c r="D6163" s="1" t="str">
        <f t="shared" ref="D6163:D6175" si="1220">"9803"</f>
        <v>9803</v>
      </c>
      <c r="E6163" s="1" t="s">
        <v>32</v>
      </c>
      <c r="F6163" s="1" t="str">
        <f>"302570641"</f>
        <v>302570641</v>
      </c>
      <c r="G6163" s="1" t="s">
        <v>33</v>
      </c>
      <c r="H6163" s="1" t="str">
        <f t="shared" si="1213"/>
        <v>20220930</v>
      </c>
      <c r="I6163" s="1" t="str">
        <f>"151233"</f>
        <v>151233</v>
      </c>
      <c r="J6163" s="1" t="s">
        <v>28</v>
      </c>
      <c r="K6163" s="1" t="s">
        <v>28</v>
      </c>
      <c r="L6163" s="1" t="str">
        <f t="shared" ref="L6163:L6194" si="1221">"20220930"</f>
        <v>20220930</v>
      </c>
      <c r="M6163" s="1" t="str">
        <f>"153117"</f>
        <v>153117</v>
      </c>
      <c r="N6163" s="1" t="s">
        <v>34</v>
      </c>
      <c r="O6163" s="1" t="s">
        <v>34</v>
      </c>
      <c r="P6163" s="1" t="s">
        <v>55</v>
      </c>
      <c r="Q6163" s="1">
        <v>25</v>
      </c>
      <c r="R6163" s="1">
        <v>25</v>
      </c>
      <c r="S6163" s="1">
        <v>0</v>
      </c>
      <c r="T6163" s="1">
        <v>0</v>
      </c>
      <c r="U6163" s="1">
        <v>0</v>
      </c>
      <c r="V6163" s="1" t="str">
        <f t="shared" si="1219"/>
        <v>里程去程</v>
      </c>
      <c r="W6163" s="1" t="str">
        <f>"0820"</f>
        <v>0820</v>
      </c>
      <c r="X6163" s="1" t="s">
        <v>35</v>
      </c>
    </row>
    <row r="6164" spans="1:24" x14ac:dyDescent="0.3">
      <c r="A6164" s="1" t="str">
        <f t="shared" si="1216"/>
        <v>59825</v>
      </c>
      <c r="B6164" s="1" t="s">
        <v>30</v>
      </c>
      <c r="C6164" s="1" t="s">
        <v>31</v>
      </c>
      <c r="D6164" s="1" t="str">
        <f t="shared" si="1220"/>
        <v>9803</v>
      </c>
      <c r="E6164" s="1" t="s">
        <v>32</v>
      </c>
      <c r="F6164" s="1" t="str">
        <f>"1709069061"</f>
        <v>1709069061</v>
      </c>
      <c r="G6164" s="1" t="s">
        <v>33</v>
      </c>
      <c r="H6164" s="1" t="str">
        <f t="shared" si="1213"/>
        <v>20220930</v>
      </c>
      <c r="I6164" s="1" t="str">
        <f>"152140"</f>
        <v>152140</v>
      </c>
      <c r="J6164" s="1" t="s">
        <v>46</v>
      </c>
      <c r="K6164" s="1" t="s">
        <v>28</v>
      </c>
      <c r="L6164" s="1" t="str">
        <f t="shared" si="1221"/>
        <v>20220930</v>
      </c>
      <c r="M6164" s="1" t="str">
        <f>"153055"</f>
        <v>153055</v>
      </c>
      <c r="N6164" s="1" t="s">
        <v>34</v>
      </c>
      <c r="O6164" s="1" t="s">
        <v>34</v>
      </c>
      <c r="P6164" s="1" t="s">
        <v>55</v>
      </c>
      <c r="Q6164" s="1">
        <v>25</v>
      </c>
      <c r="R6164" s="1">
        <v>25</v>
      </c>
      <c r="S6164" s="1">
        <v>0</v>
      </c>
      <c r="T6164" s="1">
        <v>0</v>
      </c>
      <c r="U6164" s="1">
        <v>0</v>
      </c>
      <c r="V6164" s="1" t="str">
        <f t="shared" si="1219"/>
        <v>里程去程</v>
      </c>
      <c r="W6164" s="1" t="str">
        <f>"2020"</f>
        <v>2020</v>
      </c>
      <c r="X6164" s="1" t="s">
        <v>35</v>
      </c>
    </row>
    <row r="6165" spans="1:24" x14ac:dyDescent="0.3">
      <c r="A6165" s="1" t="str">
        <f t="shared" si="1216"/>
        <v>59825</v>
      </c>
      <c r="B6165" s="1" t="s">
        <v>30</v>
      </c>
      <c r="C6165" s="1" t="s">
        <v>31</v>
      </c>
      <c r="D6165" s="1" t="str">
        <f t="shared" si="1220"/>
        <v>9803</v>
      </c>
      <c r="E6165" s="1" t="s">
        <v>32</v>
      </c>
      <c r="F6165" s="1" t="str">
        <f>"951356117"</f>
        <v>951356117</v>
      </c>
      <c r="G6165" s="1" t="s">
        <v>38</v>
      </c>
      <c r="H6165" s="1" t="str">
        <f t="shared" si="1213"/>
        <v>20220930</v>
      </c>
      <c r="I6165" s="1" t="str">
        <f>"153153"</f>
        <v>153153</v>
      </c>
      <c r="J6165" s="1" t="s">
        <v>34</v>
      </c>
      <c r="K6165" s="1" t="s">
        <v>34</v>
      </c>
      <c r="L6165" s="1" t="str">
        <f t="shared" si="1221"/>
        <v>20220930</v>
      </c>
      <c r="M6165" s="1" t="str">
        <f>"160933"</f>
        <v>160933</v>
      </c>
      <c r="N6165" s="1" t="s">
        <v>28</v>
      </c>
      <c r="O6165" s="1" t="s">
        <v>28</v>
      </c>
      <c r="P6165" s="1" t="s">
        <v>55</v>
      </c>
      <c r="Q6165" s="1">
        <v>25</v>
      </c>
      <c r="R6165" s="1">
        <v>25</v>
      </c>
      <c r="S6165" s="1">
        <v>0</v>
      </c>
      <c r="T6165" s="1">
        <v>0</v>
      </c>
      <c r="U6165" s="1">
        <v>0</v>
      </c>
      <c r="V6165" s="1" t="str">
        <f t="shared" ref="V6165:V6175" si="1222">"里程返程"</f>
        <v>里程返程</v>
      </c>
      <c r="W6165" s="1" t="str">
        <f>"2020"</f>
        <v>2020</v>
      </c>
      <c r="X6165" s="1" t="s">
        <v>35</v>
      </c>
    </row>
    <row r="6166" spans="1:24" x14ac:dyDescent="0.3">
      <c r="A6166" s="1" t="str">
        <f t="shared" si="1216"/>
        <v>59825</v>
      </c>
      <c r="B6166" s="1" t="s">
        <v>30</v>
      </c>
      <c r="C6166" s="1" t="s">
        <v>31</v>
      </c>
      <c r="D6166" s="1" t="str">
        <f t="shared" si="1220"/>
        <v>9803</v>
      </c>
      <c r="E6166" s="1" t="s">
        <v>32</v>
      </c>
      <c r="F6166" s="1" t="str">
        <f>"645616737"</f>
        <v>645616737</v>
      </c>
      <c r="G6166" s="1" t="s">
        <v>33</v>
      </c>
      <c r="H6166" s="1" t="str">
        <f t="shared" si="1213"/>
        <v>20220930</v>
      </c>
      <c r="I6166" s="1" t="str">
        <f>"153157"</f>
        <v>153157</v>
      </c>
      <c r="J6166" s="1" t="s">
        <v>34</v>
      </c>
      <c r="K6166" s="1" t="s">
        <v>34</v>
      </c>
      <c r="L6166" s="1" t="str">
        <f t="shared" si="1221"/>
        <v>20220930</v>
      </c>
      <c r="M6166" s="1" t="str">
        <f>"160901"</f>
        <v>160901</v>
      </c>
      <c r="N6166" s="1" t="s">
        <v>28</v>
      </c>
      <c r="O6166" s="1" t="s">
        <v>28</v>
      </c>
      <c r="P6166" s="1" t="s">
        <v>55</v>
      </c>
      <c r="Q6166" s="1">
        <v>25</v>
      </c>
      <c r="R6166" s="1">
        <v>25</v>
      </c>
      <c r="S6166" s="1">
        <v>0</v>
      </c>
      <c r="T6166" s="1">
        <v>0</v>
      </c>
      <c r="U6166" s="1">
        <v>0</v>
      </c>
      <c r="V6166" s="1" t="str">
        <f t="shared" si="1222"/>
        <v>里程返程</v>
      </c>
      <c r="W6166" s="1" t="str">
        <f>"2020"</f>
        <v>2020</v>
      </c>
      <c r="X6166" s="1" t="s">
        <v>35</v>
      </c>
    </row>
    <row r="6167" spans="1:24" x14ac:dyDescent="0.3">
      <c r="A6167" s="1" t="str">
        <f t="shared" si="1216"/>
        <v>59825</v>
      </c>
      <c r="B6167" s="1" t="s">
        <v>30</v>
      </c>
      <c r="C6167" s="1" t="s">
        <v>31</v>
      </c>
      <c r="D6167" s="1" t="str">
        <f t="shared" si="1220"/>
        <v>9803</v>
      </c>
      <c r="E6167" s="1" t="s">
        <v>32</v>
      </c>
      <c r="F6167" s="1" t="str">
        <f>"8287461655880400C814002000000019"</f>
        <v>8287461655880400C814002000000019</v>
      </c>
      <c r="G6167" s="1" t="s">
        <v>58</v>
      </c>
      <c r="H6167" s="1" t="str">
        <f t="shared" si="1213"/>
        <v>20220930</v>
      </c>
      <c r="I6167" s="1" t="str">
        <f>"153200"</f>
        <v>153200</v>
      </c>
      <c r="J6167" s="1" t="s">
        <v>34</v>
      </c>
      <c r="K6167" s="1" t="s">
        <v>34</v>
      </c>
      <c r="L6167" s="1" t="str">
        <f t="shared" si="1221"/>
        <v>20220930</v>
      </c>
      <c r="M6167" s="1" t="str">
        <f>"160829"</f>
        <v>160829</v>
      </c>
      <c r="N6167" s="1" t="s">
        <v>28</v>
      </c>
      <c r="O6167" s="1" t="s">
        <v>28</v>
      </c>
      <c r="P6167" s="1" t="s">
        <v>55</v>
      </c>
      <c r="Q6167" s="1">
        <v>25</v>
      </c>
      <c r="R6167" s="1">
        <v>25</v>
      </c>
      <c r="S6167" s="1">
        <v>0</v>
      </c>
      <c r="T6167" s="1">
        <v>0</v>
      </c>
      <c r="U6167" s="1">
        <v>0</v>
      </c>
      <c r="V6167" s="1" t="str">
        <f t="shared" si="1222"/>
        <v>里程返程</v>
      </c>
      <c r="W6167" s="1" t="str">
        <f>"0020"</f>
        <v>0020</v>
      </c>
      <c r="X6167" s="1" t="s">
        <v>29</v>
      </c>
    </row>
    <row r="6168" spans="1:24" x14ac:dyDescent="0.3">
      <c r="A6168" s="1" t="str">
        <f t="shared" si="1216"/>
        <v>59825</v>
      </c>
      <c r="B6168" s="1" t="s">
        <v>30</v>
      </c>
      <c r="C6168" s="1" t="s">
        <v>31</v>
      </c>
      <c r="D6168" s="1" t="str">
        <f t="shared" si="1220"/>
        <v>9803</v>
      </c>
      <c r="E6168" s="1" t="s">
        <v>32</v>
      </c>
      <c r="F6168" s="1" t="str">
        <f>"1773017269"</f>
        <v>1773017269</v>
      </c>
      <c r="G6168" s="1" t="s">
        <v>33</v>
      </c>
      <c r="H6168" s="1" t="str">
        <f t="shared" si="1213"/>
        <v>20220930</v>
      </c>
      <c r="I6168" s="1" t="str">
        <f>"153205"</f>
        <v>153205</v>
      </c>
      <c r="J6168" s="1" t="s">
        <v>34</v>
      </c>
      <c r="K6168" s="1" t="s">
        <v>34</v>
      </c>
      <c r="L6168" s="1" t="str">
        <f t="shared" si="1221"/>
        <v>20220930</v>
      </c>
      <c r="M6168" s="1" t="str">
        <f>"160856"</f>
        <v>160856</v>
      </c>
      <c r="N6168" s="1" t="s">
        <v>28</v>
      </c>
      <c r="O6168" s="1" t="s">
        <v>28</v>
      </c>
      <c r="P6168" s="1" t="s">
        <v>55</v>
      </c>
      <c r="Q6168" s="1">
        <v>25</v>
      </c>
      <c r="R6168" s="1">
        <v>25</v>
      </c>
      <c r="S6168" s="1">
        <v>0</v>
      </c>
      <c r="T6168" s="1">
        <v>0</v>
      </c>
      <c r="U6168" s="1">
        <v>0</v>
      </c>
      <c r="V6168" s="1" t="str">
        <f t="shared" si="1222"/>
        <v>里程返程</v>
      </c>
      <c r="W6168" s="1" t="str">
        <f>"2020"</f>
        <v>2020</v>
      </c>
      <c r="X6168" s="1" t="s">
        <v>35</v>
      </c>
    </row>
    <row r="6169" spans="1:24" x14ac:dyDescent="0.3">
      <c r="A6169" s="1" t="str">
        <f t="shared" si="1216"/>
        <v>59825</v>
      </c>
      <c r="B6169" s="1" t="s">
        <v>30</v>
      </c>
      <c r="C6169" s="1" t="s">
        <v>31</v>
      </c>
      <c r="D6169" s="1" t="str">
        <f t="shared" si="1220"/>
        <v>9803</v>
      </c>
      <c r="E6169" s="1" t="s">
        <v>32</v>
      </c>
      <c r="F6169" s="1" t="str">
        <f>"1467409121"</f>
        <v>1467409121</v>
      </c>
      <c r="G6169" s="1" t="s">
        <v>33</v>
      </c>
      <c r="H6169" s="1" t="str">
        <f t="shared" si="1213"/>
        <v>20220930</v>
      </c>
      <c r="I6169" s="1" t="str">
        <f>"153208"</f>
        <v>153208</v>
      </c>
      <c r="J6169" s="1" t="s">
        <v>34</v>
      </c>
      <c r="K6169" s="1" t="s">
        <v>34</v>
      </c>
      <c r="L6169" s="1" t="str">
        <f t="shared" si="1221"/>
        <v>20220930</v>
      </c>
      <c r="M6169" s="1" t="str">
        <f>"160903"</f>
        <v>160903</v>
      </c>
      <c r="N6169" s="1" t="s">
        <v>28</v>
      </c>
      <c r="O6169" s="1" t="s">
        <v>28</v>
      </c>
      <c r="P6169" s="1" t="s">
        <v>55</v>
      </c>
      <c r="Q6169" s="1">
        <v>25</v>
      </c>
      <c r="R6169" s="1">
        <v>25</v>
      </c>
      <c r="S6169" s="1">
        <v>0</v>
      </c>
      <c r="T6169" s="1">
        <v>0</v>
      </c>
      <c r="U6169" s="1">
        <v>0</v>
      </c>
      <c r="V6169" s="1" t="str">
        <f t="shared" si="1222"/>
        <v>里程返程</v>
      </c>
      <c r="W6169" s="1" t="str">
        <f>"2120"</f>
        <v>2120</v>
      </c>
      <c r="X6169" s="1" t="s">
        <v>35</v>
      </c>
    </row>
    <row r="6170" spans="1:24" x14ac:dyDescent="0.3">
      <c r="A6170" s="1" t="str">
        <f t="shared" si="1216"/>
        <v>59825</v>
      </c>
      <c r="B6170" s="1" t="s">
        <v>30</v>
      </c>
      <c r="C6170" s="1" t="s">
        <v>31</v>
      </c>
      <c r="D6170" s="1" t="str">
        <f t="shared" si="1220"/>
        <v>9803</v>
      </c>
      <c r="E6170" s="1" t="s">
        <v>32</v>
      </c>
      <c r="F6170" s="1" t="str">
        <f>"302999329"</f>
        <v>302999329</v>
      </c>
      <c r="G6170" s="1" t="s">
        <v>33</v>
      </c>
      <c r="H6170" s="1" t="str">
        <f t="shared" si="1213"/>
        <v>20220930</v>
      </c>
      <c r="I6170" s="1" t="str">
        <f>"153213"</f>
        <v>153213</v>
      </c>
      <c r="J6170" s="1" t="s">
        <v>34</v>
      </c>
      <c r="K6170" s="1" t="s">
        <v>34</v>
      </c>
      <c r="L6170" s="1" t="str">
        <f t="shared" si="1221"/>
        <v>20220930</v>
      </c>
      <c r="M6170" s="1" t="str">
        <f>"160919"</f>
        <v>160919</v>
      </c>
      <c r="N6170" s="1" t="s">
        <v>28</v>
      </c>
      <c r="O6170" s="1" t="s">
        <v>28</v>
      </c>
      <c r="P6170" s="1" t="s">
        <v>55</v>
      </c>
      <c r="Q6170" s="1">
        <v>25</v>
      </c>
      <c r="R6170" s="1">
        <v>25</v>
      </c>
      <c r="S6170" s="1">
        <v>0</v>
      </c>
      <c r="T6170" s="1">
        <v>0</v>
      </c>
      <c r="U6170" s="1">
        <v>0</v>
      </c>
      <c r="V6170" s="1" t="str">
        <f t="shared" si="1222"/>
        <v>里程返程</v>
      </c>
      <c r="W6170" s="1" t="str">
        <f>"0220"</f>
        <v>0220</v>
      </c>
      <c r="X6170" s="1" t="s">
        <v>35</v>
      </c>
    </row>
    <row r="6171" spans="1:24" x14ac:dyDescent="0.3">
      <c r="A6171" s="1" t="str">
        <f t="shared" si="1216"/>
        <v>59825</v>
      </c>
      <c r="B6171" s="1" t="s">
        <v>30</v>
      </c>
      <c r="C6171" s="1" t="s">
        <v>31</v>
      </c>
      <c r="D6171" s="1" t="str">
        <f t="shared" si="1220"/>
        <v>9803</v>
      </c>
      <c r="E6171" s="1" t="s">
        <v>32</v>
      </c>
      <c r="F6171" s="1" t="str">
        <f>"82B5C212E728040080CEBCD765212818"</f>
        <v>82B5C212E728040080CEBCD765212818</v>
      </c>
      <c r="G6171" s="1" t="s">
        <v>59</v>
      </c>
      <c r="H6171" s="1" t="str">
        <f t="shared" si="1213"/>
        <v>20220930</v>
      </c>
      <c r="I6171" s="1" t="str">
        <f>"153220"</f>
        <v>153220</v>
      </c>
      <c r="J6171" s="1" t="s">
        <v>34</v>
      </c>
      <c r="K6171" s="1" t="s">
        <v>34</v>
      </c>
      <c r="L6171" s="1" t="str">
        <f t="shared" si="1221"/>
        <v>20220930</v>
      </c>
      <c r="M6171" s="1" t="str">
        <f>"160821"</f>
        <v>160821</v>
      </c>
      <c r="N6171" s="1" t="s">
        <v>28</v>
      </c>
      <c r="O6171" s="1" t="s">
        <v>28</v>
      </c>
      <c r="P6171" s="1" t="s">
        <v>55</v>
      </c>
      <c r="Q6171" s="1">
        <v>25</v>
      </c>
      <c r="R6171" s="1">
        <v>25</v>
      </c>
      <c r="S6171" s="1">
        <v>0</v>
      </c>
      <c r="T6171" s="1">
        <v>0</v>
      </c>
      <c r="U6171" s="1">
        <v>0</v>
      </c>
      <c r="V6171" s="1" t="str">
        <f t="shared" si="1222"/>
        <v>里程返程</v>
      </c>
      <c r="W6171" s="1" t="str">
        <f>"0020"</f>
        <v>0020</v>
      </c>
      <c r="X6171" s="1" t="s">
        <v>29</v>
      </c>
    </row>
    <row r="6172" spans="1:24" x14ac:dyDescent="0.3">
      <c r="A6172" s="1" t="str">
        <f t="shared" si="1216"/>
        <v>59825</v>
      </c>
      <c r="B6172" s="1" t="s">
        <v>30</v>
      </c>
      <c r="C6172" s="1" t="s">
        <v>31</v>
      </c>
      <c r="D6172" s="1" t="str">
        <f t="shared" si="1220"/>
        <v>9803</v>
      </c>
      <c r="E6172" s="1" t="s">
        <v>32</v>
      </c>
      <c r="F6172" s="1" t="str">
        <f>"F557900A38180200D200000C22400417"</f>
        <v>F557900A38180200D200000C22400417</v>
      </c>
      <c r="G6172" s="1" t="s">
        <v>58</v>
      </c>
      <c r="H6172" s="1" t="str">
        <f t="shared" si="1213"/>
        <v>20220930</v>
      </c>
      <c r="I6172" s="1" t="str">
        <f>"153226"</f>
        <v>153226</v>
      </c>
      <c r="J6172" s="1" t="s">
        <v>34</v>
      </c>
      <c r="K6172" s="1" t="s">
        <v>34</v>
      </c>
      <c r="L6172" s="1" t="str">
        <f t="shared" si="1221"/>
        <v>20220930</v>
      </c>
      <c r="M6172" s="1" t="str">
        <f>"160914"</f>
        <v>160914</v>
      </c>
      <c r="N6172" s="1" t="s">
        <v>28</v>
      </c>
      <c r="O6172" s="1" t="s">
        <v>28</v>
      </c>
      <c r="P6172" s="1" t="s">
        <v>55</v>
      </c>
      <c r="Q6172" s="1">
        <v>25</v>
      </c>
      <c r="R6172" s="1">
        <v>25</v>
      </c>
      <c r="S6172" s="1">
        <v>0</v>
      </c>
      <c r="T6172" s="1">
        <v>0</v>
      </c>
      <c r="U6172" s="1">
        <v>0</v>
      </c>
      <c r="V6172" s="1" t="str">
        <f t="shared" si="1222"/>
        <v>里程返程</v>
      </c>
      <c r="W6172" s="1" t="str">
        <f>"0020"</f>
        <v>0020</v>
      </c>
      <c r="X6172" s="1" t="s">
        <v>29</v>
      </c>
    </row>
    <row r="6173" spans="1:24" x14ac:dyDescent="0.3">
      <c r="A6173" s="1" t="str">
        <f t="shared" si="1216"/>
        <v>59825</v>
      </c>
      <c r="B6173" s="1" t="s">
        <v>30</v>
      </c>
      <c r="C6173" s="1" t="s">
        <v>31</v>
      </c>
      <c r="D6173" s="1" t="str">
        <f t="shared" si="1220"/>
        <v>9803</v>
      </c>
      <c r="E6173" s="1" t="s">
        <v>32</v>
      </c>
      <c r="F6173" s="1" t="str">
        <f>"645689905"</f>
        <v>645689905</v>
      </c>
      <c r="G6173" s="1" t="s">
        <v>33</v>
      </c>
      <c r="H6173" s="1" t="str">
        <f t="shared" si="1213"/>
        <v>20220930</v>
      </c>
      <c r="I6173" s="1" t="str">
        <f>"153235"</f>
        <v>153235</v>
      </c>
      <c r="J6173" s="1" t="s">
        <v>34</v>
      </c>
      <c r="K6173" s="1" t="s">
        <v>34</v>
      </c>
      <c r="L6173" s="1" t="str">
        <f t="shared" si="1221"/>
        <v>20220930</v>
      </c>
      <c r="M6173" s="1" t="str">
        <f>"160907"</f>
        <v>160907</v>
      </c>
      <c r="N6173" s="1" t="s">
        <v>28</v>
      </c>
      <c r="O6173" s="1" t="s">
        <v>28</v>
      </c>
      <c r="P6173" s="1" t="s">
        <v>55</v>
      </c>
      <c r="Q6173" s="1">
        <v>25</v>
      </c>
      <c r="R6173" s="1">
        <v>25</v>
      </c>
      <c r="S6173" s="1">
        <v>0</v>
      </c>
      <c r="T6173" s="1">
        <v>0</v>
      </c>
      <c r="U6173" s="1">
        <v>0</v>
      </c>
      <c r="V6173" s="1" t="str">
        <f t="shared" si="1222"/>
        <v>里程返程</v>
      </c>
      <c r="W6173" s="1" t="str">
        <f>"0620"</f>
        <v>0620</v>
      </c>
      <c r="X6173" s="1" t="s">
        <v>35</v>
      </c>
    </row>
    <row r="6174" spans="1:24" x14ac:dyDescent="0.3">
      <c r="A6174" s="1" t="str">
        <f t="shared" si="1216"/>
        <v>59825</v>
      </c>
      <c r="B6174" s="1" t="s">
        <v>30</v>
      </c>
      <c r="C6174" s="1" t="s">
        <v>31</v>
      </c>
      <c r="D6174" s="1" t="str">
        <f t="shared" si="1220"/>
        <v>9803</v>
      </c>
      <c r="E6174" s="1" t="s">
        <v>32</v>
      </c>
      <c r="F6174" s="1" t="str">
        <f>"809133141"</f>
        <v>809133141</v>
      </c>
      <c r="G6174" s="1" t="s">
        <v>33</v>
      </c>
      <c r="H6174" s="1" t="str">
        <f t="shared" si="1213"/>
        <v>20220930</v>
      </c>
      <c r="I6174" s="1" t="str">
        <f>"153251"</f>
        <v>153251</v>
      </c>
      <c r="J6174" s="1" t="s">
        <v>34</v>
      </c>
      <c r="K6174" s="1" t="s">
        <v>34</v>
      </c>
      <c r="L6174" s="1" t="str">
        <f t="shared" si="1221"/>
        <v>20220930</v>
      </c>
      <c r="M6174" s="1" t="str">
        <f>"160941"</f>
        <v>160941</v>
      </c>
      <c r="N6174" s="1" t="s">
        <v>28</v>
      </c>
      <c r="O6174" s="1" t="s">
        <v>28</v>
      </c>
      <c r="P6174" s="1" t="s">
        <v>55</v>
      </c>
      <c r="Q6174" s="1">
        <v>25</v>
      </c>
      <c r="R6174" s="1">
        <v>25</v>
      </c>
      <c r="S6174" s="1">
        <v>0</v>
      </c>
      <c r="T6174" s="1">
        <v>0</v>
      </c>
      <c r="U6174" s="1">
        <v>0</v>
      </c>
      <c r="V6174" s="1" t="str">
        <f t="shared" si="1222"/>
        <v>里程返程</v>
      </c>
      <c r="W6174" s="1" t="str">
        <f>"2020"</f>
        <v>2020</v>
      </c>
      <c r="X6174" s="1" t="s">
        <v>35</v>
      </c>
    </row>
    <row r="6175" spans="1:24" x14ac:dyDescent="0.3">
      <c r="A6175" s="1" t="str">
        <f t="shared" si="1216"/>
        <v>59825</v>
      </c>
      <c r="B6175" s="1" t="s">
        <v>30</v>
      </c>
      <c r="C6175" s="1" t="s">
        <v>31</v>
      </c>
      <c r="D6175" s="1" t="str">
        <f t="shared" si="1220"/>
        <v>9803</v>
      </c>
      <c r="E6175" s="1" t="s">
        <v>32</v>
      </c>
      <c r="F6175" s="1" t="str">
        <f>"207393125"</f>
        <v>207393125</v>
      </c>
      <c r="G6175" s="1" t="s">
        <v>33</v>
      </c>
      <c r="H6175" s="1" t="str">
        <f t="shared" si="1213"/>
        <v>20220930</v>
      </c>
      <c r="I6175" s="1" t="str">
        <f>"153955"</f>
        <v>153955</v>
      </c>
      <c r="J6175" s="1" t="s">
        <v>34</v>
      </c>
      <c r="K6175" s="1" t="s">
        <v>34</v>
      </c>
      <c r="L6175" s="1" t="str">
        <f t="shared" si="1221"/>
        <v>20220930</v>
      </c>
      <c r="M6175" s="1" t="str">
        <f>"160847"</f>
        <v>160847</v>
      </c>
      <c r="N6175" s="1" t="s">
        <v>28</v>
      </c>
      <c r="O6175" s="1" t="s">
        <v>28</v>
      </c>
      <c r="P6175" s="1" t="s">
        <v>55</v>
      </c>
      <c r="Q6175" s="1">
        <v>25</v>
      </c>
      <c r="R6175" s="1">
        <v>25</v>
      </c>
      <c r="S6175" s="1">
        <v>0</v>
      </c>
      <c r="T6175" s="1">
        <v>0</v>
      </c>
      <c r="U6175" s="1">
        <v>0</v>
      </c>
      <c r="V6175" s="1" t="str">
        <f t="shared" si="1222"/>
        <v>里程返程</v>
      </c>
      <c r="W6175" s="1" t="str">
        <f>"0820"</f>
        <v>0820</v>
      </c>
      <c r="X6175" s="1" t="s">
        <v>35</v>
      </c>
    </row>
    <row r="6176" spans="1:24" x14ac:dyDescent="0.3">
      <c r="A6176" s="1" t="str">
        <f t="shared" si="1216"/>
        <v>59825</v>
      </c>
      <c r="B6176" s="1" t="s">
        <v>30</v>
      </c>
      <c r="C6176" s="1" t="s">
        <v>31</v>
      </c>
      <c r="D6176" s="1" t="str">
        <f>"9806"</f>
        <v>9806</v>
      </c>
      <c r="E6176" s="1" t="s">
        <v>49</v>
      </c>
      <c r="F6176" s="1" t="str">
        <f>"538267473"</f>
        <v>538267473</v>
      </c>
      <c r="G6176" s="1" t="s">
        <v>33</v>
      </c>
      <c r="H6176" s="1" t="str">
        <f t="shared" si="1213"/>
        <v>20220930</v>
      </c>
      <c r="I6176" s="1" t="str">
        <f>"163903"</f>
        <v>163903</v>
      </c>
      <c r="J6176" s="1" t="s">
        <v>76</v>
      </c>
      <c r="K6176" s="1" t="s">
        <v>28</v>
      </c>
      <c r="L6176" s="1" t="str">
        <f t="shared" si="1221"/>
        <v>20220930</v>
      </c>
      <c r="M6176" s="1" t="str">
        <f>"165134"</f>
        <v>165134</v>
      </c>
      <c r="N6176" s="1" t="s">
        <v>28</v>
      </c>
      <c r="O6176" s="1" t="s">
        <v>28</v>
      </c>
      <c r="P6176" s="1" t="s">
        <v>55</v>
      </c>
      <c r="Q6176" s="1">
        <v>25</v>
      </c>
      <c r="R6176" s="1">
        <v>25</v>
      </c>
      <c r="S6176" s="1">
        <v>0</v>
      </c>
      <c r="T6176" s="1">
        <v>0</v>
      </c>
      <c r="U6176" s="1">
        <v>0</v>
      </c>
      <c r="V6176" s="1" t="str">
        <f>"里程去程"</f>
        <v>里程去程</v>
      </c>
      <c r="W6176" s="1" t="str">
        <f>"2020"</f>
        <v>2020</v>
      </c>
      <c r="X6176" s="1" t="s">
        <v>35</v>
      </c>
    </row>
    <row r="6177" spans="1:24" x14ac:dyDescent="0.3">
      <c r="A6177" s="1" t="str">
        <f t="shared" si="1216"/>
        <v>59825</v>
      </c>
      <c r="B6177" s="1" t="s">
        <v>30</v>
      </c>
      <c r="C6177" s="1" t="s">
        <v>110</v>
      </c>
      <c r="D6177" s="1" t="str">
        <f>"9806"</f>
        <v>9806</v>
      </c>
      <c r="E6177" s="1" t="s">
        <v>49</v>
      </c>
      <c r="F6177" s="1" t="str">
        <f>"7511180449005009"</f>
        <v>7511180449005009</v>
      </c>
      <c r="G6177" s="1" t="s">
        <v>33</v>
      </c>
      <c r="H6177" s="1" t="str">
        <f t="shared" si="1213"/>
        <v>20220930</v>
      </c>
      <c r="I6177" s="1" t="str">
        <f>"163905"</f>
        <v>163905</v>
      </c>
      <c r="J6177" s="1" t="s">
        <v>76</v>
      </c>
      <c r="K6177" s="1" t="s">
        <v>28</v>
      </c>
      <c r="L6177" s="1" t="str">
        <f t="shared" si="1221"/>
        <v>20220930</v>
      </c>
      <c r="M6177" s="1" t="str">
        <f>"165131"</f>
        <v>165131</v>
      </c>
      <c r="N6177" s="1" t="s">
        <v>28</v>
      </c>
      <c r="O6177" s="1" t="s">
        <v>28</v>
      </c>
      <c r="P6177" s="1" t="s">
        <v>55</v>
      </c>
      <c r="Q6177" s="1">
        <v>25</v>
      </c>
      <c r="R6177" s="1">
        <v>25</v>
      </c>
      <c r="S6177" s="1">
        <v>0</v>
      </c>
      <c r="T6177" s="1">
        <v>0</v>
      </c>
      <c r="U6177" s="1">
        <v>0</v>
      </c>
      <c r="V6177" s="1" t="str">
        <f>"里程去程"</f>
        <v>里程去程</v>
      </c>
      <c r="W6177" s="1" t="str">
        <f>"0C3B"</f>
        <v>0C3B</v>
      </c>
      <c r="X6177" s="1" t="s">
        <v>109</v>
      </c>
    </row>
    <row r="6178" spans="1:24" x14ac:dyDescent="0.3">
      <c r="A6178" s="1" t="str">
        <f t="shared" si="1216"/>
        <v>59825</v>
      </c>
      <c r="B6178" s="1" t="s">
        <v>30</v>
      </c>
      <c r="C6178" s="1" t="s">
        <v>31</v>
      </c>
      <c r="D6178" s="1" t="str">
        <f>"9806"</f>
        <v>9806</v>
      </c>
      <c r="E6178" s="1" t="s">
        <v>49</v>
      </c>
      <c r="F6178" s="1" t="str">
        <f>"1695105317"</f>
        <v>1695105317</v>
      </c>
      <c r="G6178" s="1" t="s">
        <v>33</v>
      </c>
      <c r="H6178" s="1" t="str">
        <f t="shared" si="1213"/>
        <v>20220930</v>
      </c>
      <c r="I6178" s="1" t="str">
        <f>"163920"</f>
        <v>163920</v>
      </c>
      <c r="J6178" s="1" t="s">
        <v>76</v>
      </c>
      <c r="K6178" s="1" t="s">
        <v>28</v>
      </c>
      <c r="L6178" s="1" t="str">
        <f t="shared" si="1221"/>
        <v>20220930</v>
      </c>
      <c r="M6178" s="1" t="str">
        <f>"165136"</f>
        <v>165136</v>
      </c>
      <c r="N6178" s="1" t="s">
        <v>28</v>
      </c>
      <c r="O6178" s="1" t="s">
        <v>28</v>
      </c>
      <c r="P6178" s="1" t="s">
        <v>55</v>
      </c>
      <c r="Q6178" s="1">
        <v>25</v>
      </c>
      <c r="R6178" s="1">
        <v>25</v>
      </c>
      <c r="S6178" s="1">
        <v>0</v>
      </c>
      <c r="T6178" s="1">
        <v>0</v>
      </c>
      <c r="U6178" s="1">
        <v>0</v>
      </c>
      <c r="V6178" s="1" t="str">
        <f>"里程去程"</f>
        <v>里程去程</v>
      </c>
      <c r="W6178" s="1" t="str">
        <f>"2020"</f>
        <v>2020</v>
      </c>
      <c r="X6178" s="1" t="s">
        <v>35</v>
      </c>
    </row>
    <row r="6179" spans="1:24" x14ac:dyDescent="0.3">
      <c r="A6179" s="1" t="str">
        <f t="shared" si="1216"/>
        <v>59825</v>
      </c>
      <c r="B6179" s="1" t="s">
        <v>30</v>
      </c>
      <c r="C6179" s="1" t="s">
        <v>31</v>
      </c>
      <c r="D6179" s="1" t="str">
        <f>"9801"</f>
        <v>9801</v>
      </c>
      <c r="E6179" s="1" t="s">
        <v>25</v>
      </c>
      <c r="F6179" s="1" t="str">
        <f>"1498612385"</f>
        <v>1498612385</v>
      </c>
      <c r="G6179" s="1" t="s">
        <v>33</v>
      </c>
      <c r="H6179" s="1" t="str">
        <f t="shared" si="1213"/>
        <v>20220930</v>
      </c>
      <c r="I6179" s="1" t="str">
        <f>"192428"</f>
        <v>192428</v>
      </c>
      <c r="J6179" s="1" t="s">
        <v>85</v>
      </c>
      <c r="K6179" s="1" t="s">
        <v>28</v>
      </c>
      <c r="L6179" s="1" t="str">
        <f t="shared" si="1221"/>
        <v>20220930</v>
      </c>
      <c r="M6179" s="1" t="str">
        <f>"193808"</f>
        <v>193808</v>
      </c>
      <c r="N6179" s="1" t="s">
        <v>67</v>
      </c>
      <c r="O6179" s="1" t="s">
        <v>52</v>
      </c>
      <c r="P6179" s="1" t="s">
        <v>55</v>
      </c>
      <c r="Q6179" s="1">
        <v>25</v>
      </c>
      <c r="R6179" s="1">
        <v>0</v>
      </c>
      <c r="S6179" s="1">
        <v>25</v>
      </c>
      <c r="T6179" s="1">
        <v>0</v>
      </c>
      <c r="U6179" s="1">
        <v>0</v>
      </c>
      <c r="V6179" s="1" t="str">
        <f t="shared" ref="V6179:V6195" si="1223">"里程返程"</f>
        <v>里程返程</v>
      </c>
      <c r="W6179" s="1" t="str">
        <f>"0820"</f>
        <v>0820</v>
      </c>
      <c r="X6179" s="1" t="s">
        <v>35</v>
      </c>
    </row>
    <row r="6180" spans="1:24" x14ac:dyDescent="0.3">
      <c r="A6180" s="1" t="str">
        <f t="shared" si="1216"/>
        <v>59825</v>
      </c>
      <c r="B6180" s="1" t="s">
        <v>30</v>
      </c>
      <c r="C6180" s="1" t="s">
        <v>31</v>
      </c>
      <c r="D6180" s="1" t="str">
        <f>"9805"</f>
        <v>9805</v>
      </c>
      <c r="E6180" s="1" t="s">
        <v>57</v>
      </c>
      <c r="F6180" s="1" t="str">
        <f>"1718648917"</f>
        <v>1718648917</v>
      </c>
      <c r="G6180" s="1" t="s">
        <v>38</v>
      </c>
      <c r="H6180" s="1" t="str">
        <f t="shared" si="1213"/>
        <v>20220930</v>
      </c>
      <c r="I6180" s="1" t="str">
        <f>"195942"</f>
        <v>195942</v>
      </c>
      <c r="J6180" s="1" t="s">
        <v>52</v>
      </c>
      <c r="K6180" s="1" t="s">
        <v>52</v>
      </c>
      <c r="L6180" s="1" t="str">
        <f t="shared" si="1221"/>
        <v>20220930</v>
      </c>
      <c r="M6180" s="1" t="str">
        <f>"202036"</f>
        <v>202036</v>
      </c>
      <c r="N6180" s="1" t="s">
        <v>28</v>
      </c>
      <c r="O6180" s="1" t="s">
        <v>28</v>
      </c>
      <c r="P6180" s="1" t="s">
        <v>55</v>
      </c>
      <c r="Q6180" s="1">
        <v>25</v>
      </c>
      <c r="R6180" s="1">
        <v>25</v>
      </c>
      <c r="S6180" s="1">
        <v>0</v>
      </c>
      <c r="T6180" s="1">
        <v>0</v>
      </c>
      <c r="U6180" s="1">
        <v>0</v>
      </c>
      <c r="V6180" s="1" t="str">
        <f t="shared" si="1223"/>
        <v>里程返程</v>
      </c>
      <c r="W6180" s="1" t="str">
        <f>"2120"</f>
        <v>2120</v>
      </c>
      <c r="X6180" s="1" t="s">
        <v>35</v>
      </c>
    </row>
    <row r="6181" spans="1:24" x14ac:dyDescent="0.3">
      <c r="A6181" s="1" t="str">
        <f t="shared" si="1216"/>
        <v>59825</v>
      </c>
      <c r="B6181" s="1" t="s">
        <v>30</v>
      </c>
      <c r="C6181" s="1" t="s">
        <v>31</v>
      </c>
      <c r="D6181" s="1" t="str">
        <f>"9805"</f>
        <v>9805</v>
      </c>
      <c r="E6181" s="1" t="s">
        <v>57</v>
      </c>
      <c r="F6181" s="1" t="str">
        <f>"1704733937"</f>
        <v>1704733937</v>
      </c>
      <c r="G6181" s="1" t="s">
        <v>33</v>
      </c>
      <c r="H6181" s="1" t="str">
        <f t="shared" si="1213"/>
        <v>20220930</v>
      </c>
      <c r="I6181" s="1" t="str">
        <f>"195949"</f>
        <v>195949</v>
      </c>
      <c r="J6181" s="1" t="s">
        <v>52</v>
      </c>
      <c r="K6181" s="1" t="s">
        <v>52</v>
      </c>
      <c r="L6181" s="1" t="str">
        <f t="shared" si="1221"/>
        <v>20220930</v>
      </c>
      <c r="M6181" s="1" t="str">
        <f>"202053"</f>
        <v>202053</v>
      </c>
      <c r="N6181" s="1" t="s">
        <v>28</v>
      </c>
      <c r="O6181" s="1" t="s">
        <v>28</v>
      </c>
      <c r="P6181" s="1" t="s">
        <v>55</v>
      </c>
      <c r="Q6181" s="1">
        <v>25</v>
      </c>
      <c r="R6181" s="1">
        <v>25</v>
      </c>
      <c r="S6181" s="1">
        <v>0</v>
      </c>
      <c r="T6181" s="1">
        <v>0</v>
      </c>
      <c r="U6181" s="1">
        <v>0</v>
      </c>
      <c r="V6181" s="1" t="str">
        <f t="shared" si="1223"/>
        <v>里程返程</v>
      </c>
      <c r="W6181" s="1" t="str">
        <f>"2020"</f>
        <v>2020</v>
      </c>
      <c r="X6181" s="1" t="s">
        <v>35</v>
      </c>
    </row>
    <row r="6182" spans="1:24" x14ac:dyDescent="0.3">
      <c r="A6182" s="1" t="str">
        <f t="shared" ref="A6182:A6217" si="1224">"59828"</f>
        <v>59828</v>
      </c>
      <c r="B6182" s="1" t="s">
        <v>23</v>
      </c>
      <c r="C6182" s="1" t="s">
        <v>24</v>
      </c>
      <c r="D6182" s="1" t="str">
        <f t="shared" ref="D6182:D6217" si="1225">"9801"</f>
        <v>9801</v>
      </c>
      <c r="E6182" s="1" t="s">
        <v>25</v>
      </c>
      <c r="F6182" s="1" t="str">
        <f>"1433875745"</f>
        <v>1433875745</v>
      </c>
      <c r="G6182" s="1" t="s">
        <v>33</v>
      </c>
      <c r="H6182" s="1" t="str">
        <f t="shared" si="1213"/>
        <v>20220930</v>
      </c>
      <c r="I6182" s="1" t="str">
        <f>"061125"</f>
        <v>061125</v>
      </c>
      <c r="J6182" s="1" t="s">
        <v>79</v>
      </c>
      <c r="K6182" s="1" t="s">
        <v>45</v>
      </c>
      <c r="L6182" s="1" t="str">
        <f t="shared" si="1221"/>
        <v>20220930</v>
      </c>
      <c r="M6182" s="1" t="str">
        <f>"061814"</f>
        <v>061814</v>
      </c>
      <c r="N6182" s="1" t="s">
        <v>28</v>
      </c>
      <c r="O6182" s="1" t="s">
        <v>28</v>
      </c>
      <c r="P6182" s="1" t="s">
        <v>55</v>
      </c>
      <c r="Q6182" s="1">
        <v>25</v>
      </c>
      <c r="R6182" s="1">
        <v>25</v>
      </c>
      <c r="S6182" s="1">
        <v>0</v>
      </c>
      <c r="T6182" s="1">
        <v>0</v>
      </c>
      <c r="U6182" s="1">
        <v>0</v>
      </c>
      <c r="V6182" s="1" t="str">
        <f t="shared" si="1223"/>
        <v>里程返程</v>
      </c>
      <c r="W6182" s="1" t="str">
        <f>"1920"</f>
        <v>1920</v>
      </c>
      <c r="X6182" s="1" t="s">
        <v>35</v>
      </c>
    </row>
    <row r="6183" spans="1:24" x14ac:dyDescent="0.3">
      <c r="A6183" s="1" t="str">
        <f t="shared" si="1224"/>
        <v>59828</v>
      </c>
      <c r="B6183" s="1" t="s">
        <v>23</v>
      </c>
      <c r="C6183" s="1" t="s">
        <v>24</v>
      </c>
      <c r="D6183" s="1" t="str">
        <f t="shared" si="1225"/>
        <v>9801</v>
      </c>
      <c r="E6183" s="1" t="s">
        <v>25</v>
      </c>
      <c r="F6183" s="1" t="str">
        <f>"1752749445"</f>
        <v>1752749445</v>
      </c>
      <c r="G6183" s="1" t="s">
        <v>33</v>
      </c>
      <c r="H6183" s="1" t="str">
        <f t="shared" si="1213"/>
        <v>20220930</v>
      </c>
      <c r="I6183" s="1" t="str">
        <f>"063333"</f>
        <v>063333</v>
      </c>
      <c r="J6183" s="1" t="s">
        <v>28</v>
      </c>
      <c r="K6183" s="1" t="s">
        <v>28</v>
      </c>
      <c r="L6183" s="1" t="str">
        <f t="shared" si="1221"/>
        <v>20220930</v>
      </c>
      <c r="M6183" s="1" t="str">
        <f>"065244"</f>
        <v>065244</v>
      </c>
      <c r="N6183" s="1" t="s">
        <v>72</v>
      </c>
      <c r="O6183" s="1" t="s">
        <v>52</v>
      </c>
      <c r="P6183" s="1" t="s">
        <v>55</v>
      </c>
      <c r="Q6183" s="1">
        <v>25</v>
      </c>
      <c r="R6183" s="1">
        <v>0</v>
      </c>
      <c r="S6183" s="1">
        <v>25</v>
      </c>
      <c r="T6183" s="1">
        <v>0</v>
      </c>
      <c r="U6183" s="1">
        <v>0</v>
      </c>
      <c r="V6183" s="1" t="str">
        <f t="shared" si="1223"/>
        <v>里程返程</v>
      </c>
      <c r="W6183" s="1" t="str">
        <f>"0820"</f>
        <v>0820</v>
      </c>
      <c r="X6183" s="1" t="s">
        <v>35</v>
      </c>
    </row>
    <row r="6184" spans="1:24" x14ac:dyDescent="0.3">
      <c r="A6184" s="1" t="str">
        <f t="shared" si="1224"/>
        <v>59828</v>
      </c>
      <c r="B6184" s="1" t="s">
        <v>23</v>
      </c>
      <c r="C6184" s="1" t="s">
        <v>24</v>
      </c>
      <c r="D6184" s="1" t="str">
        <f t="shared" si="1225"/>
        <v>9801</v>
      </c>
      <c r="E6184" s="1" t="s">
        <v>25</v>
      </c>
      <c r="F6184" s="1" t="str">
        <f>"D2EDC500FA880400C801002000000015"</f>
        <v>D2EDC500FA880400C801002000000015</v>
      </c>
      <c r="G6184" s="1" t="s">
        <v>58</v>
      </c>
      <c r="H6184" s="1" t="str">
        <f t="shared" si="1213"/>
        <v>20220930</v>
      </c>
      <c r="I6184" s="1" t="str">
        <f>"063337"</f>
        <v>063337</v>
      </c>
      <c r="J6184" s="1" t="s">
        <v>28</v>
      </c>
      <c r="K6184" s="1" t="s">
        <v>28</v>
      </c>
      <c r="L6184" s="1" t="str">
        <f t="shared" si="1221"/>
        <v>20220930</v>
      </c>
      <c r="M6184" s="1" t="str">
        <f>"070205"</f>
        <v>070205</v>
      </c>
      <c r="N6184" s="1" t="s">
        <v>52</v>
      </c>
      <c r="O6184" s="1" t="s">
        <v>52</v>
      </c>
      <c r="P6184" s="1" t="s">
        <v>55</v>
      </c>
      <c r="Q6184" s="1">
        <v>25</v>
      </c>
      <c r="R6184" s="1">
        <v>25</v>
      </c>
      <c r="S6184" s="1">
        <v>0</v>
      </c>
      <c r="T6184" s="1">
        <v>0</v>
      </c>
      <c r="U6184" s="1">
        <v>0</v>
      </c>
      <c r="V6184" s="1" t="str">
        <f t="shared" si="1223"/>
        <v>里程返程</v>
      </c>
      <c r="W6184" s="1" t="str">
        <f>"0020"</f>
        <v>0020</v>
      </c>
      <c r="X6184" s="1" t="s">
        <v>29</v>
      </c>
    </row>
    <row r="6185" spans="1:24" x14ac:dyDescent="0.3">
      <c r="A6185" s="1" t="str">
        <f t="shared" si="1224"/>
        <v>59828</v>
      </c>
      <c r="B6185" s="1" t="s">
        <v>23</v>
      </c>
      <c r="C6185" s="1" t="s">
        <v>24</v>
      </c>
      <c r="D6185" s="1" t="str">
        <f t="shared" si="1225"/>
        <v>9801</v>
      </c>
      <c r="E6185" s="1" t="s">
        <v>25</v>
      </c>
      <c r="F6185" s="1" t="str">
        <f>"026A101860880400C814002000000019"</f>
        <v>026A101860880400C814002000000019</v>
      </c>
      <c r="G6185" s="1" t="s">
        <v>59</v>
      </c>
      <c r="H6185" s="1" t="str">
        <f t="shared" si="1213"/>
        <v>20220930</v>
      </c>
      <c r="I6185" s="1" t="str">
        <f>"063436"</f>
        <v>063436</v>
      </c>
      <c r="J6185" s="1" t="s">
        <v>28</v>
      </c>
      <c r="K6185" s="1" t="s">
        <v>28</v>
      </c>
      <c r="L6185" s="1" t="str">
        <f t="shared" si="1221"/>
        <v>20220930</v>
      </c>
      <c r="M6185" s="1" t="str">
        <f>"065332"</f>
        <v>065332</v>
      </c>
      <c r="N6185" s="1" t="s">
        <v>71</v>
      </c>
      <c r="O6185" s="1" t="s">
        <v>52</v>
      </c>
      <c r="P6185" s="1" t="s">
        <v>55</v>
      </c>
      <c r="Q6185" s="1">
        <v>25</v>
      </c>
      <c r="R6185" s="1">
        <v>0</v>
      </c>
      <c r="S6185" s="1">
        <v>25</v>
      </c>
      <c r="T6185" s="1">
        <v>0</v>
      </c>
      <c r="U6185" s="1">
        <v>0</v>
      </c>
      <c r="V6185" s="1" t="str">
        <f t="shared" si="1223"/>
        <v>里程返程</v>
      </c>
      <c r="W6185" s="1" t="str">
        <f>"0620"</f>
        <v>0620</v>
      </c>
      <c r="X6185" s="1" t="s">
        <v>29</v>
      </c>
    </row>
    <row r="6186" spans="1:24" x14ac:dyDescent="0.3">
      <c r="A6186" s="1" t="str">
        <f t="shared" si="1224"/>
        <v>59828</v>
      </c>
      <c r="B6186" s="1" t="s">
        <v>23</v>
      </c>
      <c r="C6186" s="1" t="s">
        <v>24</v>
      </c>
      <c r="D6186" s="1" t="str">
        <f t="shared" si="1225"/>
        <v>9801</v>
      </c>
      <c r="E6186" s="1" t="s">
        <v>25</v>
      </c>
      <c r="F6186" s="1" t="str">
        <f>"E2191918FA880400C819002000000019"</f>
        <v>E2191918FA880400C819002000000019</v>
      </c>
      <c r="G6186" s="1" t="s">
        <v>59</v>
      </c>
      <c r="H6186" s="1" t="str">
        <f t="shared" si="1213"/>
        <v>20220930</v>
      </c>
      <c r="I6186" s="1" t="str">
        <f>"063438"</f>
        <v>063438</v>
      </c>
      <c r="J6186" s="1" t="s">
        <v>28</v>
      </c>
      <c r="K6186" s="1" t="s">
        <v>28</v>
      </c>
      <c r="L6186" s="1" t="str">
        <f t="shared" si="1221"/>
        <v>20220930</v>
      </c>
      <c r="M6186" s="1" t="str">
        <f>"065328"</f>
        <v>065328</v>
      </c>
      <c r="N6186" s="1" t="s">
        <v>71</v>
      </c>
      <c r="O6186" s="1" t="s">
        <v>52</v>
      </c>
      <c r="P6186" s="1" t="s">
        <v>55</v>
      </c>
      <c r="Q6186" s="1">
        <v>25</v>
      </c>
      <c r="R6186" s="1">
        <v>0</v>
      </c>
      <c r="S6186" s="1">
        <v>25</v>
      </c>
      <c r="T6186" s="1">
        <v>0</v>
      </c>
      <c r="U6186" s="1">
        <v>0</v>
      </c>
      <c r="V6186" s="1" t="str">
        <f t="shared" si="1223"/>
        <v>里程返程</v>
      </c>
      <c r="W6186" s="1" t="str">
        <f>"0620"</f>
        <v>0620</v>
      </c>
      <c r="X6186" s="1" t="s">
        <v>29</v>
      </c>
    </row>
    <row r="6187" spans="1:24" x14ac:dyDescent="0.3">
      <c r="A6187" s="1" t="str">
        <f t="shared" si="1224"/>
        <v>59828</v>
      </c>
      <c r="B6187" s="1" t="s">
        <v>23</v>
      </c>
      <c r="C6187" s="1" t="s">
        <v>24</v>
      </c>
      <c r="D6187" s="1" t="str">
        <f t="shared" si="1225"/>
        <v>9801</v>
      </c>
      <c r="E6187" s="1" t="s">
        <v>25</v>
      </c>
      <c r="F6187" s="1" t="str">
        <f>"C2C219031A880400C834002000000015"</f>
        <v>C2C219031A880400C834002000000015</v>
      </c>
      <c r="G6187" s="1" t="s">
        <v>74</v>
      </c>
      <c r="H6187" s="1" t="str">
        <f t="shared" si="1213"/>
        <v>20220930</v>
      </c>
      <c r="I6187" s="1" t="str">
        <f>"065651"</f>
        <v>065651</v>
      </c>
      <c r="J6187" s="1" t="s">
        <v>60</v>
      </c>
      <c r="K6187" s="1" t="s">
        <v>52</v>
      </c>
      <c r="L6187" s="1" t="str">
        <f t="shared" si="1221"/>
        <v>20220930</v>
      </c>
      <c r="M6187" s="1" t="str">
        <f>"070147"</f>
        <v>070147</v>
      </c>
      <c r="N6187" s="1" t="s">
        <v>52</v>
      </c>
      <c r="O6187" s="1" t="s">
        <v>52</v>
      </c>
      <c r="P6187" s="1" t="s">
        <v>68</v>
      </c>
      <c r="Q6187" s="1">
        <v>13</v>
      </c>
      <c r="R6187" s="1">
        <v>0</v>
      </c>
      <c r="S6187" s="1">
        <v>0</v>
      </c>
      <c r="T6187" s="1">
        <v>13</v>
      </c>
      <c r="U6187" s="1">
        <v>0</v>
      </c>
      <c r="V6187" s="1" t="str">
        <f t="shared" si="1223"/>
        <v>里程返程</v>
      </c>
      <c r="W6187" s="1" t="str">
        <f>"0020"</f>
        <v>0020</v>
      </c>
      <c r="X6187" s="1" t="s">
        <v>29</v>
      </c>
    </row>
    <row r="6188" spans="1:24" x14ac:dyDescent="0.3">
      <c r="A6188" s="1" t="str">
        <f t="shared" si="1224"/>
        <v>59828</v>
      </c>
      <c r="B6188" s="1" t="s">
        <v>23</v>
      </c>
      <c r="C6188" s="1" t="s">
        <v>24</v>
      </c>
      <c r="D6188" s="1" t="str">
        <f t="shared" si="1225"/>
        <v>9801</v>
      </c>
      <c r="E6188" s="1" t="s">
        <v>25</v>
      </c>
      <c r="F6188" s="1" t="str">
        <f>"922B1A03A0880400C834002000000015"</f>
        <v>922B1A03A0880400C834002000000015</v>
      </c>
      <c r="G6188" s="1" t="s">
        <v>26</v>
      </c>
      <c r="H6188" s="1" t="str">
        <f t="shared" si="1213"/>
        <v>20220930</v>
      </c>
      <c r="I6188" s="1" t="str">
        <f>"072323"</f>
        <v>072323</v>
      </c>
      <c r="J6188" s="1" t="s">
        <v>28</v>
      </c>
      <c r="K6188" s="1" t="s">
        <v>28</v>
      </c>
      <c r="L6188" s="1" t="str">
        <f t="shared" si="1221"/>
        <v>20220930</v>
      </c>
      <c r="M6188" s="1" t="str">
        <f>"074517"</f>
        <v>074517</v>
      </c>
      <c r="N6188" s="1" t="s">
        <v>65</v>
      </c>
      <c r="O6188" s="1" t="s">
        <v>52</v>
      </c>
      <c r="P6188" s="1" t="s">
        <v>68</v>
      </c>
      <c r="Q6188" s="1">
        <v>13</v>
      </c>
      <c r="R6188" s="1">
        <v>0</v>
      </c>
      <c r="S6188" s="1">
        <v>0</v>
      </c>
      <c r="T6188" s="1">
        <v>13</v>
      </c>
      <c r="U6188" s="1">
        <v>0</v>
      </c>
      <c r="V6188" s="1" t="str">
        <f t="shared" si="1223"/>
        <v>里程返程</v>
      </c>
      <c r="W6188" s="1" t="str">
        <f>"0020"</f>
        <v>0020</v>
      </c>
      <c r="X6188" s="1" t="s">
        <v>29</v>
      </c>
    </row>
    <row r="6189" spans="1:24" x14ac:dyDescent="0.3">
      <c r="A6189" s="1" t="str">
        <f t="shared" si="1224"/>
        <v>59828</v>
      </c>
      <c r="B6189" s="1" t="s">
        <v>23</v>
      </c>
      <c r="C6189" s="1" t="s">
        <v>24</v>
      </c>
      <c r="D6189" s="1" t="str">
        <f t="shared" si="1225"/>
        <v>9801</v>
      </c>
      <c r="E6189" s="1" t="s">
        <v>25</v>
      </c>
      <c r="F6189" s="1" t="str">
        <f>"82730F18E6880400C814002000000019"</f>
        <v>82730F18E6880400C814002000000019</v>
      </c>
      <c r="G6189" s="1" t="s">
        <v>59</v>
      </c>
      <c r="H6189" s="1" t="str">
        <f t="shared" si="1213"/>
        <v>20220930</v>
      </c>
      <c r="I6189" s="1" t="str">
        <f>"072325"</f>
        <v>072325</v>
      </c>
      <c r="J6189" s="1" t="s">
        <v>28</v>
      </c>
      <c r="K6189" s="1" t="s">
        <v>28</v>
      </c>
      <c r="L6189" s="1" t="str">
        <f t="shared" si="1221"/>
        <v>20220930</v>
      </c>
      <c r="M6189" s="1" t="str">
        <f>"074723"</f>
        <v>074723</v>
      </c>
      <c r="N6189" s="1" t="s">
        <v>72</v>
      </c>
      <c r="O6189" s="1" t="s">
        <v>52</v>
      </c>
      <c r="P6189" s="1" t="s">
        <v>55</v>
      </c>
      <c r="Q6189" s="1">
        <v>25</v>
      </c>
      <c r="R6189" s="1">
        <v>0</v>
      </c>
      <c r="S6189" s="1">
        <v>25</v>
      </c>
      <c r="T6189" s="1">
        <v>0</v>
      </c>
      <c r="U6189" s="1">
        <v>0</v>
      </c>
      <c r="V6189" s="1" t="str">
        <f t="shared" si="1223"/>
        <v>里程返程</v>
      </c>
      <c r="W6189" s="1" t="str">
        <f>"0620"</f>
        <v>0620</v>
      </c>
      <c r="X6189" s="1" t="s">
        <v>29</v>
      </c>
    </row>
    <row r="6190" spans="1:24" x14ac:dyDescent="0.3">
      <c r="A6190" s="1" t="str">
        <f t="shared" si="1224"/>
        <v>59828</v>
      </c>
      <c r="B6190" s="1" t="s">
        <v>23</v>
      </c>
      <c r="C6190" s="1" t="s">
        <v>24</v>
      </c>
      <c r="D6190" s="1" t="str">
        <f t="shared" si="1225"/>
        <v>9801</v>
      </c>
      <c r="E6190" s="1" t="s">
        <v>25</v>
      </c>
      <c r="F6190" s="1" t="str">
        <f>"F282E40195880400C821002000000015"</f>
        <v>F282E40195880400C821002000000015</v>
      </c>
      <c r="G6190" s="1" t="s">
        <v>58</v>
      </c>
      <c r="H6190" s="1" t="str">
        <f t="shared" si="1213"/>
        <v>20220930</v>
      </c>
      <c r="I6190" s="1" t="str">
        <f>"072331"</f>
        <v>072331</v>
      </c>
      <c r="J6190" s="1" t="s">
        <v>28</v>
      </c>
      <c r="K6190" s="1" t="s">
        <v>28</v>
      </c>
      <c r="L6190" s="1" t="str">
        <f t="shared" si="1221"/>
        <v>20220930</v>
      </c>
      <c r="M6190" s="1" t="str">
        <f>"074520"</f>
        <v>074520</v>
      </c>
      <c r="N6190" s="1" t="s">
        <v>65</v>
      </c>
      <c r="O6190" s="1" t="s">
        <v>52</v>
      </c>
      <c r="P6190" s="1" t="s">
        <v>55</v>
      </c>
      <c r="Q6190" s="1">
        <v>25</v>
      </c>
      <c r="R6190" s="1">
        <v>0</v>
      </c>
      <c r="S6190" s="1">
        <v>25</v>
      </c>
      <c r="T6190" s="1">
        <v>0</v>
      </c>
      <c r="U6190" s="1">
        <v>0</v>
      </c>
      <c r="V6190" s="1" t="str">
        <f t="shared" si="1223"/>
        <v>里程返程</v>
      </c>
      <c r="W6190" s="1" t="str">
        <f>"0620"</f>
        <v>0620</v>
      </c>
      <c r="X6190" s="1" t="s">
        <v>29</v>
      </c>
    </row>
    <row r="6191" spans="1:24" x14ac:dyDescent="0.3">
      <c r="A6191" s="1" t="str">
        <f t="shared" si="1224"/>
        <v>59828</v>
      </c>
      <c r="B6191" s="1" t="s">
        <v>23</v>
      </c>
      <c r="C6191" s="1" t="s">
        <v>24</v>
      </c>
      <c r="D6191" s="1" t="str">
        <f t="shared" si="1225"/>
        <v>9801</v>
      </c>
      <c r="E6191" s="1" t="s">
        <v>25</v>
      </c>
      <c r="F6191" s="1" t="str">
        <f>"1204061808880400C814002000000019"</f>
        <v>1204061808880400C814002000000019</v>
      </c>
      <c r="G6191" s="1" t="s">
        <v>59</v>
      </c>
      <c r="H6191" s="1" t="str">
        <f t="shared" si="1213"/>
        <v>20220930</v>
      </c>
      <c r="I6191" s="1" t="str">
        <f>"072337"</f>
        <v>072337</v>
      </c>
      <c r="J6191" s="1" t="s">
        <v>28</v>
      </c>
      <c r="K6191" s="1" t="s">
        <v>28</v>
      </c>
      <c r="L6191" s="1" t="str">
        <f t="shared" si="1221"/>
        <v>20220930</v>
      </c>
      <c r="M6191" s="1" t="str">
        <f>"074728"</f>
        <v>074728</v>
      </c>
      <c r="N6191" s="1" t="s">
        <v>72</v>
      </c>
      <c r="O6191" s="1" t="s">
        <v>52</v>
      </c>
      <c r="P6191" s="1" t="s">
        <v>55</v>
      </c>
      <c r="Q6191" s="1">
        <v>25</v>
      </c>
      <c r="R6191" s="1">
        <v>0</v>
      </c>
      <c r="S6191" s="1">
        <v>25</v>
      </c>
      <c r="T6191" s="1">
        <v>0</v>
      </c>
      <c r="U6191" s="1">
        <v>0</v>
      </c>
      <c r="V6191" s="1" t="str">
        <f t="shared" si="1223"/>
        <v>里程返程</v>
      </c>
      <c r="W6191" s="1" t="str">
        <f>"0620"</f>
        <v>0620</v>
      </c>
      <c r="X6191" s="1" t="s">
        <v>29</v>
      </c>
    </row>
    <row r="6192" spans="1:24" x14ac:dyDescent="0.3">
      <c r="A6192" s="1" t="str">
        <f t="shared" si="1224"/>
        <v>59828</v>
      </c>
      <c r="B6192" s="1" t="s">
        <v>23</v>
      </c>
      <c r="C6192" s="1" t="s">
        <v>24</v>
      </c>
      <c r="D6192" s="1" t="str">
        <f t="shared" si="1225"/>
        <v>9801</v>
      </c>
      <c r="E6192" s="1" t="s">
        <v>25</v>
      </c>
      <c r="F6192" s="1" t="str">
        <f>"62F00B1881880400C814002000000019"</f>
        <v>62F00B1881880400C814002000000019</v>
      </c>
      <c r="G6192" s="1" t="s">
        <v>59</v>
      </c>
      <c r="H6192" s="1" t="str">
        <f t="shared" ref="H6192:H6217" si="1226">"20220930"</f>
        <v>20220930</v>
      </c>
      <c r="I6192" s="1" t="str">
        <f>"072341"</f>
        <v>072341</v>
      </c>
      <c r="J6192" s="1" t="s">
        <v>28</v>
      </c>
      <c r="K6192" s="1" t="s">
        <v>28</v>
      </c>
      <c r="L6192" s="1" t="str">
        <f t="shared" si="1221"/>
        <v>20220930</v>
      </c>
      <c r="M6192" s="1" t="str">
        <f>"074726"</f>
        <v>074726</v>
      </c>
      <c r="N6192" s="1" t="s">
        <v>72</v>
      </c>
      <c r="O6192" s="1" t="s">
        <v>52</v>
      </c>
      <c r="P6192" s="1" t="s">
        <v>55</v>
      </c>
      <c r="Q6192" s="1">
        <v>25</v>
      </c>
      <c r="R6192" s="1">
        <v>0</v>
      </c>
      <c r="S6192" s="1">
        <v>25</v>
      </c>
      <c r="T6192" s="1">
        <v>0</v>
      </c>
      <c r="U6192" s="1">
        <v>0</v>
      </c>
      <c r="V6192" s="1" t="str">
        <f t="shared" si="1223"/>
        <v>里程返程</v>
      </c>
      <c r="W6192" s="1" t="str">
        <f>"0620"</f>
        <v>0620</v>
      </c>
      <c r="X6192" s="1" t="s">
        <v>29</v>
      </c>
    </row>
    <row r="6193" spans="1:24" x14ac:dyDescent="0.3">
      <c r="A6193" s="1" t="str">
        <f t="shared" si="1224"/>
        <v>59828</v>
      </c>
      <c r="B6193" s="1" t="s">
        <v>23</v>
      </c>
      <c r="C6193" s="1" t="s">
        <v>24</v>
      </c>
      <c r="D6193" s="1" t="str">
        <f t="shared" si="1225"/>
        <v>9801</v>
      </c>
      <c r="E6193" s="1" t="s">
        <v>25</v>
      </c>
      <c r="F6193" s="1" t="str">
        <f>"825D0C18CB880400C814002000000019"</f>
        <v>825D0C18CB880400C814002000000019</v>
      </c>
      <c r="G6193" s="1" t="s">
        <v>59</v>
      </c>
      <c r="H6193" s="1" t="str">
        <f t="shared" si="1226"/>
        <v>20220930</v>
      </c>
      <c r="I6193" s="1" t="str">
        <f>"072344"</f>
        <v>072344</v>
      </c>
      <c r="J6193" s="1" t="s">
        <v>28</v>
      </c>
      <c r="K6193" s="1" t="s">
        <v>28</v>
      </c>
      <c r="L6193" s="1" t="str">
        <f t="shared" si="1221"/>
        <v>20220930</v>
      </c>
      <c r="M6193" s="1" t="str">
        <f>"075846"</f>
        <v>075846</v>
      </c>
      <c r="N6193" s="1" t="s">
        <v>52</v>
      </c>
      <c r="O6193" s="1" t="s">
        <v>52</v>
      </c>
      <c r="P6193" s="1" t="s">
        <v>55</v>
      </c>
      <c r="Q6193" s="1">
        <v>25</v>
      </c>
      <c r="R6193" s="1">
        <v>0</v>
      </c>
      <c r="S6193" s="1">
        <v>25</v>
      </c>
      <c r="T6193" s="1">
        <v>0</v>
      </c>
      <c r="U6193" s="1">
        <v>0</v>
      </c>
      <c r="V6193" s="1" t="str">
        <f t="shared" si="1223"/>
        <v>里程返程</v>
      </c>
      <c r="W6193" s="1" t="str">
        <f>"0620"</f>
        <v>0620</v>
      </c>
      <c r="X6193" s="1" t="s">
        <v>29</v>
      </c>
    </row>
    <row r="6194" spans="1:24" x14ac:dyDescent="0.3">
      <c r="A6194" s="1" t="str">
        <f t="shared" si="1224"/>
        <v>59828</v>
      </c>
      <c r="B6194" s="1" t="s">
        <v>23</v>
      </c>
      <c r="C6194" s="1" t="s">
        <v>24</v>
      </c>
      <c r="D6194" s="1" t="str">
        <f t="shared" si="1225"/>
        <v>9801</v>
      </c>
      <c r="E6194" s="1" t="s">
        <v>25</v>
      </c>
      <c r="F6194" s="1" t="str">
        <f>"1759959808"</f>
        <v>1759959808</v>
      </c>
      <c r="G6194" s="1" t="s">
        <v>33</v>
      </c>
      <c r="H6194" s="1" t="str">
        <f t="shared" si="1226"/>
        <v>20220930</v>
      </c>
      <c r="I6194" s="1" t="str">
        <f>"074159"</f>
        <v>074159</v>
      </c>
      <c r="J6194" s="1" t="s">
        <v>80</v>
      </c>
      <c r="K6194" s="1" t="s">
        <v>52</v>
      </c>
      <c r="L6194" s="1" t="str">
        <f t="shared" si="1221"/>
        <v>20220930</v>
      </c>
      <c r="M6194" s="1" t="str">
        <f>"075345"</f>
        <v>075345</v>
      </c>
      <c r="N6194" s="1" t="s">
        <v>60</v>
      </c>
      <c r="O6194" s="1" t="s">
        <v>52</v>
      </c>
      <c r="P6194" s="1" t="s">
        <v>55</v>
      </c>
      <c r="Q6194" s="1">
        <v>25</v>
      </c>
      <c r="R6194" s="1">
        <v>25</v>
      </c>
      <c r="S6194" s="1">
        <v>0</v>
      </c>
      <c r="T6194" s="1">
        <v>0</v>
      </c>
      <c r="U6194" s="1">
        <v>0</v>
      </c>
      <c r="V6194" s="1" t="str">
        <f t="shared" si="1223"/>
        <v>里程返程</v>
      </c>
      <c r="W6194" s="1" t="str">
        <f>"2020"</f>
        <v>2020</v>
      </c>
      <c r="X6194" s="1" t="s">
        <v>35</v>
      </c>
    </row>
    <row r="6195" spans="1:24" x14ac:dyDescent="0.3">
      <c r="A6195" s="1" t="str">
        <f t="shared" si="1224"/>
        <v>59828</v>
      </c>
      <c r="B6195" s="1" t="s">
        <v>23</v>
      </c>
      <c r="C6195" s="1" t="s">
        <v>24</v>
      </c>
      <c r="D6195" s="1" t="str">
        <f t="shared" si="1225"/>
        <v>9801</v>
      </c>
      <c r="E6195" s="1" t="s">
        <v>25</v>
      </c>
      <c r="F6195" s="1" t="str">
        <f>"C2F219032A880400C834002000000015"</f>
        <v>C2F219032A880400C834002000000015</v>
      </c>
      <c r="G6195" s="1" t="s">
        <v>26</v>
      </c>
      <c r="H6195" s="1" t="str">
        <f t="shared" si="1226"/>
        <v>20220930</v>
      </c>
      <c r="I6195" s="1" t="str">
        <f>"075059"</f>
        <v>075059</v>
      </c>
      <c r="J6195" s="1" t="s">
        <v>51</v>
      </c>
      <c r="K6195" s="1" t="s">
        <v>52</v>
      </c>
      <c r="L6195" s="1" t="str">
        <f t="shared" ref="L6195:L6217" si="1227">"20220930"</f>
        <v>20220930</v>
      </c>
      <c r="M6195" s="1" t="str">
        <f>"075603"</f>
        <v>075603</v>
      </c>
      <c r="N6195" s="1" t="s">
        <v>86</v>
      </c>
      <c r="O6195" s="1" t="s">
        <v>52</v>
      </c>
      <c r="P6195" s="1" t="s">
        <v>68</v>
      </c>
      <c r="Q6195" s="1">
        <v>13</v>
      </c>
      <c r="R6195" s="1">
        <v>0</v>
      </c>
      <c r="S6195" s="1">
        <v>0</v>
      </c>
      <c r="T6195" s="1">
        <v>13</v>
      </c>
      <c r="U6195" s="1">
        <v>0</v>
      </c>
      <c r="V6195" s="1" t="str">
        <f t="shared" si="1223"/>
        <v>里程返程</v>
      </c>
      <c r="W6195" s="1" t="str">
        <f>"0020"</f>
        <v>0020</v>
      </c>
      <c r="X6195" s="1" t="s">
        <v>29</v>
      </c>
    </row>
    <row r="6196" spans="1:24" x14ac:dyDescent="0.3">
      <c r="A6196" s="1" t="str">
        <f t="shared" si="1224"/>
        <v>59828</v>
      </c>
      <c r="B6196" s="1" t="s">
        <v>23</v>
      </c>
      <c r="C6196" s="1" t="s">
        <v>24</v>
      </c>
      <c r="D6196" s="1" t="str">
        <f t="shared" si="1225"/>
        <v>9801</v>
      </c>
      <c r="E6196" s="1" t="s">
        <v>25</v>
      </c>
      <c r="F6196" s="1" t="str">
        <f>"1674332065"</f>
        <v>1674332065</v>
      </c>
      <c r="G6196" s="1" t="s">
        <v>33</v>
      </c>
      <c r="H6196" s="1" t="str">
        <f t="shared" si="1226"/>
        <v>20220930</v>
      </c>
      <c r="I6196" s="1" t="str">
        <f>"083330"</f>
        <v>083330</v>
      </c>
      <c r="J6196" s="1" t="s">
        <v>27</v>
      </c>
      <c r="K6196" s="1" t="s">
        <v>28</v>
      </c>
      <c r="L6196" s="1" t="str">
        <f t="shared" si="1227"/>
        <v>20220930</v>
      </c>
      <c r="M6196" s="1" t="str">
        <f>"085502"</f>
        <v>085502</v>
      </c>
      <c r="N6196" s="1" t="s">
        <v>44</v>
      </c>
      <c r="O6196" s="1" t="s">
        <v>45</v>
      </c>
      <c r="P6196" s="1" t="s">
        <v>55</v>
      </c>
      <c r="Q6196" s="1">
        <v>25</v>
      </c>
      <c r="R6196" s="1">
        <v>0</v>
      </c>
      <c r="S6196" s="1">
        <v>25</v>
      </c>
      <c r="T6196" s="1">
        <v>0</v>
      </c>
      <c r="U6196" s="1">
        <v>0</v>
      </c>
      <c r="V6196" s="1" t="str">
        <f>"里程去程"</f>
        <v>里程去程</v>
      </c>
      <c r="W6196" s="1" t="str">
        <f>"0820"</f>
        <v>0820</v>
      </c>
      <c r="X6196" s="1" t="s">
        <v>35</v>
      </c>
    </row>
    <row r="6197" spans="1:24" x14ac:dyDescent="0.3">
      <c r="A6197" s="1" t="str">
        <f t="shared" si="1224"/>
        <v>59828</v>
      </c>
      <c r="B6197" s="1" t="s">
        <v>23</v>
      </c>
      <c r="C6197" s="1" t="s">
        <v>24</v>
      </c>
      <c r="D6197" s="1" t="str">
        <f t="shared" si="1225"/>
        <v>9801</v>
      </c>
      <c r="E6197" s="1" t="s">
        <v>25</v>
      </c>
      <c r="F6197" s="1" t="str">
        <f>"2077336044"</f>
        <v>2077336044</v>
      </c>
      <c r="G6197" s="1" t="s">
        <v>33</v>
      </c>
      <c r="H6197" s="1" t="str">
        <f t="shared" si="1226"/>
        <v>20220930</v>
      </c>
      <c r="I6197" s="1" t="str">
        <f>"090615"</f>
        <v>090615</v>
      </c>
      <c r="J6197" s="1" t="s">
        <v>60</v>
      </c>
      <c r="K6197" s="1" t="s">
        <v>52</v>
      </c>
      <c r="L6197" s="1" t="str">
        <f t="shared" si="1227"/>
        <v>20220930</v>
      </c>
      <c r="M6197" s="1" t="str">
        <f>"093206"</f>
        <v>093206</v>
      </c>
      <c r="N6197" s="1" t="s">
        <v>70</v>
      </c>
      <c r="O6197" s="1" t="s">
        <v>28</v>
      </c>
      <c r="P6197" s="1" t="s">
        <v>55</v>
      </c>
      <c r="Q6197" s="1">
        <v>25</v>
      </c>
      <c r="R6197" s="1">
        <v>25</v>
      </c>
      <c r="S6197" s="1">
        <v>0</v>
      </c>
      <c r="T6197" s="1">
        <v>0</v>
      </c>
      <c r="U6197" s="1">
        <v>0</v>
      </c>
      <c r="V6197" s="1" t="str">
        <f>"里程去程"</f>
        <v>里程去程</v>
      </c>
      <c r="W6197" s="1" t="str">
        <f>"0620"</f>
        <v>0620</v>
      </c>
      <c r="X6197" s="1" t="s">
        <v>35</v>
      </c>
    </row>
    <row r="6198" spans="1:24" x14ac:dyDescent="0.3">
      <c r="A6198" s="1" t="str">
        <f t="shared" si="1224"/>
        <v>59828</v>
      </c>
      <c r="B6198" s="1" t="s">
        <v>23</v>
      </c>
      <c r="C6198" s="1" t="s">
        <v>24</v>
      </c>
      <c r="D6198" s="1" t="str">
        <f t="shared" si="1225"/>
        <v>9801</v>
      </c>
      <c r="E6198" s="1" t="s">
        <v>25</v>
      </c>
      <c r="F6198" s="1" t="str">
        <f>"32780D0344880400C834002000000015"</f>
        <v>32780D0344880400C834002000000015</v>
      </c>
      <c r="G6198" s="1" t="s">
        <v>26</v>
      </c>
      <c r="H6198" s="1" t="str">
        <f t="shared" si="1226"/>
        <v>20220930</v>
      </c>
      <c r="I6198" s="1" t="str">
        <f>"093710"</f>
        <v>093710</v>
      </c>
      <c r="J6198" s="1" t="s">
        <v>27</v>
      </c>
      <c r="K6198" s="1" t="s">
        <v>28</v>
      </c>
      <c r="L6198" s="1" t="str">
        <f t="shared" si="1227"/>
        <v>20220930</v>
      </c>
      <c r="M6198" s="1" t="str">
        <f>"094807"</f>
        <v>094807</v>
      </c>
      <c r="N6198" s="1" t="s">
        <v>56</v>
      </c>
      <c r="O6198" s="1" t="s">
        <v>45</v>
      </c>
      <c r="P6198" s="1" t="s">
        <v>68</v>
      </c>
      <c r="Q6198" s="1">
        <v>13</v>
      </c>
      <c r="R6198" s="1">
        <v>0</v>
      </c>
      <c r="S6198" s="1">
        <v>0</v>
      </c>
      <c r="T6198" s="1">
        <v>13</v>
      </c>
      <c r="U6198" s="1">
        <v>0</v>
      </c>
      <c r="V6198" s="1" t="str">
        <f>"里程去程"</f>
        <v>里程去程</v>
      </c>
      <c r="W6198" s="1" t="str">
        <f>"0020"</f>
        <v>0020</v>
      </c>
      <c r="X6198" s="1" t="s">
        <v>29</v>
      </c>
    </row>
    <row r="6199" spans="1:24" x14ac:dyDescent="0.3">
      <c r="A6199" s="1" t="str">
        <f t="shared" si="1224"/>
        <v>59828</v>
      </c>
      <c r="B6199" s="1" t="s">
        <v>23</v>
      </c>
      <c r="C6199" s="1" t="s">
        <v>24</v>
      </c>
      <c r="D6199" s="1" t="str">
        <f t="shared" si="1225"/>
        <v>9801</v>
      </c>
      <c r="E6199" s="1" t="s">
        <v>25</v>
      </c>
      <c r="F6199" s="1" t="str">
        <f>"1078844401"</f>
        <v>1078844401</v>
      </c>
      <c r="G6199" s="1" t="s">
        <v>33</v>
      </c>
      <c r="H6199" s="1" t="str">
        <f t="shared" si="1226"/>
        <v>20220930</v>
      </c>
      <c r="I6199" s="1" t="str">
        <f>"125256"</f>
        <v>125256</v>
      </c>
      <c r="J6199" s="1" t="s">
        <v>28</v>
      </c>
      <c r="K6199" s="1" t="s">
        <v>28</v>
      </c>
      <c r="L6199" s="1" t="str">
        <f t="shared" si="1227"/>
        <v>20220930</v>
      </c>
      <c r="M6199" s="1" t="str">
        <f>"125857"</f>
        <v>125857</v>
      </c>
      <c r="N6199" s="1" t="s">
        <v>84</v>
      </c>
      <c r="O6199" s="1" t="s">
        <v>28</v>
      </c>
      <c r="P6199" s="1" t="s">
        <v>55</v>
      </c>
      <c r="Q6199" s="1">
        <v>25</v>
      </c>
      <c r="R6199" s="1">
        <v>25</v>
      </c>
      <c r="S6199" s="1">
        <v>0</v>
      </c>
      <c r="T6199" s="1">
        <v>0</v>
      </c>
      <c r="U6199" s="1">
        <v>0</v>
      </c>
      <c r="V6199" s="1" t="str">
        <f t="shared" ref="V6199:V6217" si="1228">"里程返程"</f>
        <v>里程返程</v>
      </c>
      <c r="W6199" s="1" t="str">
        <f>"0320"</f>
        <v>0320</v>
      </c>
      <c r="X6199" s="1" t="s">
        <v>35</v>
      </c>
    </row>
    <row r="6200" spans="1:24" x14ac:dyDescent="0.3">
      <c r="A6200" s="1" t="str">
        <f t="shared" si="1224"/>
        <v>59828</v>
      </c>
      <c r="B6200" s="1" t="s">
        <v>23</v>
      </c>
      <c r="C6200" s="1" t="s">
        <v>24</v>
      </c>
      <c r="D6200" s="1" t="str">
        <f t="shared" si="1225"/>
        <v>9801</v>
      </c>
      <c r="E6200" s="1" t="s">
        <v>25</v>
      </c>
      <c r="F6200" s="1" t="str">
        <f>"01D5CD352C280400F700000000000000"</f>
        <v>01D5CD352C280400F700000000000000</v>
      </c>
      <c r="G6200" s="1" t="s">
        <v>58</v>
      </c>
      <c r="H6200" s="1" t="str">
        <f t="shared" si="1226"/>
        <v>20220930</v>
      </c>
      <c r="I6200" s="1" t="str">
        <f>"125258"</f>
        <v>125258</v>
      </c>
      <c r="J6200" s="1" t="s">
        <v>28</v>
      </c>
      <c r="K6200" s="1" t="s">
        <v>28</v>
      </c>
      <c r="L6200" s="1" t="str">
        <f t="shared" si="1227"/>
        <v>20220930</v>
      </c>
      <c r="M6200" s="1" t="str">
        <f>"132225"</f>
        <v>132225</v>
      </c>
      <c r="N6200" s="1" t="s">
        <v>52</v>
      </c>
      <c r="O6200" s="1" t="s">
        <v>52</v>
      </c>
      <c r="P6200" s="1" t="s">
        <v>55</v>
      </c>
      <c r="Q6200" s="1">
        <v>25</v>
      </c>
      <c r="R6200" s="1">
        <v>0</v>
      </c>
      <c r="S6200" s="1">
        <v>25</v>
      </c>
      <c r="T6200" s="1">
        <v>0</v>
      </c>
      <c r="U6200" s="1">
        <v>0</v>
      </c>
      <c r="V6200" s="1" t="str">
        <f t="shared" si="1228"/>
        <v>里程返程</v>
      </c>
      <c r="W6200" s="1" t="str">
        <f>"0620"</f>
        <v>0620</v>
      </c>
      <c r="X6200" s="1" t="s">
        <v>29</v>
      </c>
    </row>
    <row r="6201" spans="1:24" x14ac:dyDescent="0.3">
      <c r="A6201" s="1" t="str">
        <f t="shared" si="1224"/>
        <v>59828</v>
      </c>
      <c r="B6201" s="1" t="s">
        <v>23</v>
      </c>
      <c r="C6201" s="1" t="s">
        <v>24</v>
      </c>
      <c r="D6201" s="1" t="str">
        <f t="shared" si="1225"/>
        <v>9801</v>
      </c>
      <c r="E6201" s="1" t="s">
        <v>25</v>
      </c>
      <c r="F6201" s="1" t="str">
        <f>"1502052193"</f>
        <v>1502052193</v>
      </c>
      <c r="G6201" s="1" t="s">
        <v>33</v>
      </c>
      <c r="H6201" s="1" t="str">
        <f t="shared" si="1226"/>
        <v>20220930</v>
      </c>
      <c r="I6201" s="1" t="str">
        <f>"125307"</f>
        <v>125307</v>
      </c>
      <c r="J6201" s="1" t="s">
        <v>28</v>
      </c>
      <c r="K6201" s="1" t="s">
        <v>28</v>
      </c>
      <c r="L6201" s="1" t="str">
        <f t="shared" si="1227"/>
        <v>20220930</v>
      </c>
      <c r="M6201" s="1" t="str">
        <f>"125904"</f>
        <v>125904</v>
      </c>
      <c r="N6201" s="1" t="s">
        <v>84</v>
      </c>
      <c r="O6201" s="1" t="s">
        <v>28</v>
      </c>
      <c r="P6201" s="1" t="s">
        <v>55</v>
      </c>
      <c r="Q6201" s="1">
        <v>25</v>
      </c>
      <c r="R6201" s="1">
        <v>25</v>
      </c>
      <c r="S6201" s="1">
        <v>0</v>
      </c>
      <c r="T6201" s="1">
        <v>0</v>
      </c>
      <c r="U6201" s="1">
        <v>0</v>
      </c>
      <c r="V6201" s="1" t="str">
        <f t="shared" si="1228"/>
        <v>里程返程</v>
      </c>
      <c r="W6201" s="1" t="str">
        <f>"0320"</f>
        <v>0320</v>
      </c>
      <c r="X6201" s="1" t="s">
        <v>35</v>
      </c>
    </row>
    <row r="6202" spans="1:24" x14ac:dyDescent="0.3">
      <c r="A6202" s="1" t="str">
        <f t="shared" si="1224"/>
        <v>59828</v>
      </c>
      <c r="B6202" s="1" t="s">
        <v>23</v>
      </c>
      <c r="C6202" s="1" t="s">
        <v>24</v>
      </c>
      <c r="D6202" s="1" t="str">
        <f t="shared" si="1225"/>
        <v>9801</v>
      </c>
      <c r="E6202" s="1" t="s">
        <v>25</v>
      </c>
      <c r="F6202" s="1" t="str">
        <f>"E1332F5CA12804001C00000000000000"</f>
        <v>E1332F5CA12804001C00000000000000</v>
      </c>
      <c r="G6202" s="1" t="s">
        <v>58</v>
      </c>
      <c r="H6202" s="1" t="str">
        <f t="shared" si="1226"/>
        <v>20220930</v>
      </c>
      <c r="I6202" s="1" t="str">
        <f>"125358"</f>
        <v>125358</v>
      </c>
      <c r="J6202" s="1" t="s">
        <v>28</v>
      </c>
      <c r="K6202" s="1" t="s">
        <v>28</v>
      </c>
      <c r="L6202" s="1" t="str">
        <f t="shared" si="1227"/>
        <v>20220930</v>
      </c>
      <c r="M6202" s="1" t="str">
        <f>"131405"</f>
        <v>131405</v>
      </c>
      <c r="N6202" s="1" t="s">
        <v>72</v>
      </c>
      <c r="O6202" s="1" t="s">
        <v>52</v>
      </c>
      <c r="P6202" s="1" t="s">
        <v>55</v>
      </c>
      <c r="Q6202" s="1">
        <v>25</v>
      </c>
      <c r="R6202" s="1">
        <v>25</v>
      </c>
      <c r="S6202" s="1">
        <v>0</v>
      </c>
      <c r="T6202" s="1">
        <v>0</v>
      </c>
      <c r="U6202" s="1">
        <v>0</v>
      </c>
      <c r="V6202" s="1" t="str">
        <f t="shared" si="1228"/>
        <v>里程返程</v>
      </c>
      <c r="W6202" s="1" t="str">
        <f>"0020"</f>
        <v>0020</v>
      </c>
      <c r="X6202" s="1" t="s">
        <v>29</v>
      </c>
    </row>
    <row r="6203" spans="1:24" x14ac:dyDescent="0.3">
      <c r="A6203" s="1" t="str">
        <f t="shared" si="1224"/>
        <v>59828</v>
      </c>
      <c r="B6203" s="1" t="s">
        <v>23</v>
      </c>
      <c r="C6203" s="1" t="s">
        <v>24</v>
      </c>
      <c r="D6203" s="1" t="str">
        <f t="shared" si="1225"/>
        <v>9801</v>
      </c>
      <c r="E6203" s="1" t="s">
        <v>25</v>
      </c>
      <c r="F6203" s="1" t="str">
        <f>"E220D10211880400C834002000000015"</f>
        <v>E220D10211880400C834002000000015</v>
      </c>
      <c r="G6203" s="1" t="s">
        <v>74</v>
      </c>
      <c r="H6203" s="1" t="str">
        <f t="shared" si="1226"/>
        <v>20220930</v>
      </c>
      <c r="I6203" s="1" t="str">
        <f>"131026"</f>
        <v>131026</v>
      </c>
      <c r="J6203" s="1" t="s">
        <v>97</v>
      </c>
      <c r="K6203" s="1" t="s">
        <v>52</v>
      </c>
      <c r="L6203" s="1" t="str">
        <f t="shared" si="1227"/>
        <v>20220930</v>
      </c>
      <c r="M6203" s="1" t="str">
        <f>"131232"</f>
        <v>131232</v>
      </c>
      <c r="N6203" s="1" t="s">
        <v>65</v>
      </c>
      <c r="O6203" s="1" t="s">
        <v>52</v>
      </c>
      <c r="P6203" s="1" t="s">
        <v>68</v>
      </c>
      <c r="Q6203" s="1">
        <v>13</v>
      </c>
      <c r="R6203" s="1">
        <v>0</v>
      </c>
      <c r="S6203" s="1">
        <v>0</v>
      </c>
      <c r="T6203" s="1">
        <v>13</v>
      </c>
      <c r="U6203" s="1">
        <v>0</v>
      </c>
      <c r="V6203" s="1" t="str">
        <f t="shared" si="1228"/>
        <v>里程返程</v>
      </c>
      <c r="W6203" s="1" t="str">
        <f>"0020"</f>
        <v>0020</v>
      </c>
      <c r="X6203" s="1" t="s">
        <v>29</v>
      </c>
    </row>
    <row r="6204" spans="1:24" x14ac:dyDescent="0.3">
      <c r="A6204" s="1" t="str">
        <f t="shared" si="1224"/>
        <v>59828</v>
      </c>
      <c r="B6204" s="1" t="s">
        <v>23</v>
      </c>
      <c r="C6204" s="1" t="s">
        <v>24</v>
      </c>
      <c r="D6204" s="1" t="str">
        <f t="shared" si="1225"/>
        <v>9801</v>
      </c>
      <c r="E6204" s="1" t="s">
        <v>25</v>
      </c>
      <c r="F6204" s="1" t="str">
        <f>"1031215125"</f>
        <v>1031215125</v>
      </c>
      <c r="G6204" s="1" t="s">
        <v>33</v>
      </c>
      <c r="H6204" s="1" t="str">
        <f t="shared" si="1226"/>
        <v>20220930</v>
      </c>
      <c r="I6204" s="1" t="str">
        <f>"144345"</f>
        <v>144345</v>
      </c>
      <c r="J6204" s="1" t="s">
        <v>45</v>
      </c>
      <c r="K6204" s="1" t="s">
        <v>45</v>
      </c>
      <c r="L6204" s="1" t="str">
        <f t="shared" si="1227"/>
        <v>20220930</v>
      </c>
      <c r="M6204" s="1" t="str">
        <f>"145113"</f>
        <v>145113</v>
      </c>
      <c r="N6204" s="1" t="s">
        <v>28</v>
      </c>
      <c r="O6204" s="1" t="s">
        <v>28</v>
      </c>
      <c r="P6204" s="1" t="s">
        <v>55</v>
      </c>
      <c r="Q6204" s="1">
        <v>25</v>
      </c>
      <c r="R6204" s="1">
        <v>25</v>
      </c>
      <c r="S6204" s="1">
        <v>0</v>
      </c>
      <c r="T6204" s="1">
        <v>0</v>
      </c>
      <c r="U6204" s="1">
        <v>0</v>
      </c>
      <c r="V6204" s="1" t="str">
        <f t="shared" si="1228"/>
        <v>里程返程</v>
      </c>
      <c r="W6204" s="1" t="str">
        <f>"2120"</f>
        <v>2120</v>
      </c>
      <c r="X6204" s="1" t="s">
        <v>35</v>
      </c>
    </row>
    <row r="6205" spans="1:24" x14ac:dyDescent="0.3">
      <c r="A6205" s="1" t="str">
        <f t="shared" si="1224"/>
        <v>59828</v>
      </c>
      <c r="B6205" s="1" t="s">
        <v>23</v>
      </c>
      <c r="C6205" s="1" t="s">
        <v>24</v>
      </c>
      <c r="D6205" s="1" t="str">
        <f t="shared" si="1225"/>
        <v>9801</v>
      </c>
      <c r="E6205" s="1" t="s">
        <v>25</v>
      </c>
      <c r="F6205" s="1" t="str">
        <f>"FA4C8281B5880400C185149965804512"</f>
        <v>FA4C8281B5880400C185149965804512</v>
      </c>
      <c r="G6205" s="1" t="s">
        <v>58</v>
      </c>
      <c r="H6205" s="1" t="str">
        <f t="shared" si="1226"/>
        <v>20220930</v>
      </c>
      <c r="I6205" s="1" t="str">
        <f>"145122"</f>
        <v>145122</v>
      </c>
      <c r="J6205" s="1" t="s">
        <v>28</v>
      </c>
      <c r="K6205" s="1" t="s">
        <v>28</v>
      </c>
      <c r="L6205" s="1" t="str">
        <f t="shared" si="1227"/>
        <v>20220930</v>
      </c>
      <c r="M6205" s="1" t="str">
        <f>"150514"</f>
        <v>150514</v>
      </c>
      <c r="N6205" s="1" t="s">
        <v>67</v>
      </c>
      <c r="O6205" s="1" t="s">
        <v>52</v>
      </c>
      <c r="P6205" s="1" t="s">
        <v>55</v>
      </c>
      <c r="Q6205" s="1">
        <v>25</v>
      </c>
      <c r="R6205" s="1">
        <v>0</v>
      </c>
      <c r="S6205" s="1">
        <v>25</v>
      </c>
      <c r="T6205" s="1">
        <v>0</v>
      </c>
      <c r="U6205" s="1">
        <v>0</v>
      </c>
      <c r="V6205" s="1" t="str">
        <f t="shared" si="1228"/>
        <v>里程返程</v>
      </c>
      <c r="W6205" s="1" t="str">
        <f>"0620"</f>
        <v>0620</v>
      </c>
      <c r="X6205" s="1" t="s">
        <v>29</v>
      </c>
    </row>
    <row r="6206" spans="1:24" x14ac:dyDescent="0.3">
      <c r="A6206" s="1" t="str">
        <f t="shared" si="1224"/>
        <v>59828</v>
      </c>
      <c r="B6206" s="1" t="s">
        <v>23</v>
      </c>
      <c r="C6206" s="1" t="s">
        <v>24</v>
      </c>
      <c r="D6206" s="1" t="str">
        <f t="shared" si="1225"/>
        <v>9801</v>
      </c>
      <c r="E6206" s="1" t="s">
        <v>25</v>
      </c>
      <c r="F6206" s="1" t="str">
        <f>"C112914406280400F700000000000000"</f>
        <v>C112914406280400F700000000000000</v>
      </c>
      <c r="G6206" s="1" t="s">
        <v>58</v>
      </c>
      <c r="H6206" s="1" t="str">
        <f t="shared" si="1226"/>
        <v>20220930</v>
      </c>
      <c r="I6206" s="1" t="str">
        <f>"152947"</f>
        <v>152947</v>
      </c>
      <c r="J6206" s="1" t="s">
        <v>44</v>
      </c>
      <c r="K6206" s="1" t="s">
        <v>45</v>
      </c>
      <c r="L6206" s="1" t="str">
        <f t="shared" si="1227"/>
        <v>20220930</v>
      </c>
      <c r="M6206" s="1" t="str">
        <f>"154923"</f>
        <v>154923</v>
      </c>
      <c r="N6206" s="1" t="s">
        <v>28</v>
      </c>
      <c r="O6206" s="1" t="s">
        <v>28</v>
      </c>
      <c r="P6206" s="1" t="s">
        <v>55</v>
      </c>
      <c r="Q6206" s="1">
        <v>25</v>
      </c>
      <c r="R6206" s="1">
        <v>25</v>
      </c>
      <c r="S6206" s="1">
        <v>0</v>
      </c>
      <c r="T6206" s="1">
        <v>0</v>
      </c>
      <c r="U6206" s="1">
        <v>0</v>
      </c>
      <c r="V6206" s="1" t="str">
        <f t="shared" si="1228"/>
        <v>里程返程</v>
      </c>
      <c r="W6206" s="1" t="str">
        <f>"0020"</f>
        <v>0020</v>
      </c>
      <c r="X6206" s="1" t="s">
        <v>29</v>
      </c>
    </row>
    <row r="6207" spans="1:24" x14ac:dyDescent="0.3">
      <c r="A6207" s="1" t="str">
        <f t="shared" si="1224"/>
        <v>59828</v>
      </c>
      <c r="B6207" s="1" t="s">
        <v>23</v>
      </c>
      <c r="C6207" s="1" t="s">
        <v>24</v>
      </c>
      <c r="D6207" s="1" t="str">
        <f t="shared" si="1225"/>
        <v>9801</v>
      </c>
      <c r="E6207" s="1" t="s">
        <v>25</v>
      </c>
      <c r="F6207" s="1" t="str">
        <f>"6280E61A1E880400C817002000000021"</f>
        <v>6280E61A1E880400C817002000000021</v>
      </c>
      <c r="G6207" s="1" t="s">
        <v>58</v>
      </c>
      <c r="H6207" s="1" t="str">
        <f t="shared" si="1226"/>
        <v>20220930</v>
      </c>
      <c r="I6207" s="1" t="str">
        <f>"152952"</f>
        <v>152952</v>
      </c>
      <c r="J6207" s="1" t="s">
        <v>44</v>
      </c>
      <c r="K6207" s="1" t="s">
        <v>45</v>
      </c>
      <c r="L6207" s="1" t="str">
        <f t="shared" si="1227"/>
        <v>20220930</v>
      </c>
      <c r="M6207" s="1" t="str">
        <f>"154919"</f>
        <v>154919</v>
      </c>
      <c r="N6207" s="1" t="s">
        <v>28</v>
      </c>
      <c r="O6207" s="1" t="s">
        <v>28</v>
      </c>
      <c r="P6207" s="1" t="s">
        <v>55</v>
      </c>
      <c r="Q6207" s="1">
        <v>25</v>
      </c>
      <c r="R6207" s="1">
        <v>25</v>
      </c>
      <c r="S6207" s="1">
        <v>0</v>
      </c>
      <c r="T6207" s="1">
        <v>0</v>
      </c>
      <c r="U6207" s="1">
        <v>0</v>
      </c>
      <c r="V6207" s="1" t="str">
        <f t="shared" si="1228"/>
        <v>里程返程</v>
      </c>
      <c r="W6207" s="1" t="str">
        <f>"0020"</f>
        <v>0020</v>
      </c>
      <c r="X6207" s="1" t="s">
        <v>29</v>
      </c>
    </row>
    <row r="6208" spans="1:24" x14ac:dyDescent="0.3">
      <c r="A6208" s="1" t="str">
        <f t="shared" si="1224"/>
        <v>59828</v>
      </c>
      <c r="B6208" s="1" t="s">
        <v>23</v>
      </c>
      <c r="C6208" s="1" t="s">
        <v>24</v>
      </c>
      <c r="D6208" s="1" t="str">
        <f t="shared" si="1225"/>
        <v>9801</v>
      </c>
      <c r="E6208" s="1" t="s">
        <v>25</v>
      </c>
      <c r="F6208" s="1" t="str">
        <f>"1455194161"</f>
        <v>1455194161</v>
      </c>
      <c r="G6208" s="1" t="s">
        <v>33</v>
      </c>
      <c r="H6208" s="1" t="str">
        <f t="shared" si="1226"/>
        <v>20220930</v>
      </c>
      <c r="I6208" s="1" t="str">
        <f>"154941"</f>
        <v>154941</v>
      </c>
      <c r="J6208" s="1" t="s">
        <v>28</v>
      </c>
      <c r="K6208" s="1" t="s">
        <v>28</v>
      </c>
      <c r="L6208" s="1" t="str">
        <f t="shared" si="1227"/>
        <v>20220930</v>
      </c>
      <c r="M6208" s="1" t="str">
        <f>"162347"</f>
        <v>162347</v>
      </c>
      <c r="N6208" s="1" t="s">
        <v>51</v>
      </c>
      <c r="O6208" s="1" t="s">
        <v>52</v>
      </c>
      <c r="P6208" s="1" t="s">
        <v>55</v>
      </c>
      <c r="Q6208" s="1">
        <v>25</v>
      </c>
      <c r="R6208" s="1">
        <v>25</v>
      </c>
      <c r="S6208" s="1">
        <v>0</v>
      </c>
      <c r="T6208" s="1">
        <v>0</v>
      </c>
      <c r="U6208" s="1">
        <v>0</v>
      </c>
      <c r="V6208" s="1" t="str">
        <f t="shared" si="1228"/>
        <v>里程返程</v>
      </c>
      <c r="W6208" s="1" t="str">
        <f>"1320"</f>
        <v>1320</v>
      </c>
      <c r="X6208" s="1" t="s">
        <v>35</v>
      </c>
    </row>
    <row r="6209" spans="1:24" x14ac:dyDescent="0.3">
      <c r="A6209" s="1" t="str">
        <f t="shared" si="1224"/>
        <v>59828</v>
      </c>
      <c r="B6209" s="1" t="s">
        <v>23</v>
      </c>
      <c r="C6209" s="1" t="s">
        <v>24</v>
      </c>
      <c r="D6209" s="1" t="str">
        <f t="shared" si="1225"/>
        <v>9801</v>
      </c>
      <c r="E6209" s="1" t="s">
        <v>25</v>
      </c>
      <c r="F6209" s="1" t="str">
        <f>"1228273745"</f>
        <v>1228273745</v>
      </c>
      <c r="G6209" s="1" t="s">
        <v>33</v>
      </c>
      <c r="H6209" s="1" t="str">
        <f t="shared" si="1226"/>
        <v>20220930</v>
      </c>
      <c r="I6209" s="1" t="str">
        <f>"154948"</f>
        <v>154948</v>
      </c>
      <c r="J6209" s="1" t="s">
        <v>28</v>
      </c>
      <c r="K6209" s="1" t="s">
        <v>28</v>
      </c>
      <c r="L6209" s="1" t="str">
        <f t="shared" si="1227"/>
        <v>20220930</v>
      </c>
      <c r="M6209" s="1" t="str">
        <f>"162344"</f>
        <v>162344</v>
      </c>
      <c r="N6209" s="1" t="s">
        <v>51</v>
      </c>
      <c r="O6209" s="1" t="s">
        <v>52</v>
      </c>
      <c r="P6209" s="1" t="s">
        <v>55</v>
      </c>
      <c r="Q6209" s="1">
        <v>25</v>
      </c>
      <c r="R6209" s="1">
        <v>25</v>
      </c>
      <c r="S6209" s="1">
        <v>0</v>
      </c>
      <c r="T6209" s="1">
        <v>0</v>
      </c>
      <c r="U6209" s="1">
        <v>0</v>
      </c>
      <c r="V6209" s="1" t="str">
        <f t="shared" si="1228"/>
        <v>里程返程</v>
      </c>
      <c r="W6209" s="1" t="str">
        <f>"0820"</f>
        <v>0820</v>
      </c>
      <c r="X6209" s="1" t="s">
        <v>35</v>
      </c>
    </row>
    <row r="6210" spans="1:24" x14ac:dyDescent="0.3">
      <c r="A6210" s="1" t="str">
        <f t="shared" si="1224"/>
        <v>59828</v>
      </c>
      <c r="B6210" s="1" t="s">
        <v>23</v>
      </c>
      <c r="C6210" s="1" t="s">
        <v>24</v>
      </c>
      <c r="D6210" s="1" t="str">
        <f t="shared" si="1225"/>
        <v>9801</v>
      </c>
      <c r="E6210" s="1" t="s">
        <v>25</v>
      </c>
      <c r="F6210" s="1" t="str">
        <f>"1070523683"</f>
        <v>1070523683</v>
      </c>
      <c r="G6210" s="1" t="s">
        <v>33</v>
      </c>
      <c r="H6210" s="1" t="str">
        <f t="shared" si="1226"/>
        <v>20220930</v>
      </c>
      <c r="I6210" s="1" t="str">
        <f>"155318"</f>
        <v>155318</v>
      </c>
      <c r="J6210" s="1" t="s">
        <v>28</v>
      </c>
      <c r="K6210" s="1" t="s">
        <v>28</v>
      </c>
      <c r="L6210" s="1" t="str">
        <f t="shared" si="1227"/>
        <v>20220930</v>
      </c>
      <c r="M6210" s="1" t="str">
        <f>"161748"</f>
        <v>161748</v>
      </c>
      <c r="N6210" s="1" t="s">
        <v>65</v>
      </c>
      <c r="O6210" s="1" t="s">
        <v>52</v>
      </c>
      <c r="P6210" s="1" t="s">
        <v>55</v>
      </c>
      <c r="Q6210" s="1">
        <v>25</v>
      </c>
      <c r="R6210" s="1">
        <v>0</v>
      </c>
      <c r="S6210" s="1">
        <v>25</v>
      </c>
      <c r="T6210" s="1">
        <v>0</v>
      </c>
      <c r="U6210" s="1">
        <v>0</v>
      </c>
      <c r="V6210" s="1" t="str">
        <f t="shared" si="1228"/>
        <v>里程返程</v>
      </c>
      <c r="W6210" s="1" t="str">
        <f>"0820"</f>
        <v>0820</v>
      </c>
      <c r="X6210" s="1" t="s">
        <v>35</v>
      </c>
    </row>
    <row r="6211" spans="1:24" x14ac:dyDescent="0.3">
      <c r="A6211" s="1" t="str">
        <f t="shared" si="1224"/>
        <v>59828</v>
      </c>
      <c r="B6211" s="1" t="s">
        <v>23</v>
      </c>
      <c r="C6211" s="1" t="s">
        <v>24</v>
      </c>
      <c r="D6211" s="1" t="str">
        <f t="shared" si="1225"/>
        <v>9801</v>
      </c>
      <c r="E6211" s="1" t="s">
        <v>25</v>
      </c>
      <c r="F6211" s="1" t="str">
        <f>"1172405141"</f>
        <v>1172405141</v>
      </c>
      <c r="G6211" s="1" t="s">
        <v>33</v>
      </c>
      <c r="H6211" s="1" t="str">
        <f t="shared" si="1226"/>
        <v>20220930</v>
      </c>
      <c r="I6211" s="1" t="str">
        <f>"155530"</f>
        <v>155530</v>
      </c>
      <c r="J6211" s="1" t="s">
        <v>28</v>
      </c>
      <c r="K6211" s="1" t="s">
        <v>28</v>
      </c>
      <c r="L6211" s="1" t="str">
        <f t="shared" si="1227"/>
        <v>20220930</v>
      </c>
      <c r="M6211" s="1" t="str">
        <f>"161752"</f>
        <v>161752</v>
      </c>
      <c r="N6211" s="1" t="s">
        <v>65</v>
      </c>
      <c r="O6211" s="1" t="s">
        <v>52</v>
      </c>
      <c r="P6211" s="1" t="s">
        <v>55</v>
      </c>
      <c r="Q6211" s="1">
        <v>25</v>
      </c>
      <c r="R6211" s="1">
        <v>25</v>
      </c>
      <c r="S6211" s="1">
        <v>0</v>
      </c>
      <c r="T6211" s="1">
        <v>0</v>
      </c>
      <c r="U6211" s="1">
        <v>0</v>
      </c>
      <c r="V6211" s="1" t="str">
        <f t="shared" si="1228"/>
        <v>里程返程</v>
      </c>
      <c r="W6211" s="1" t="str">
        <f>"0e20"</f>
        <v>0e20</v>
      </c>
      <c r="X6211" s="1" t="s">
        <v>35</v>
      </c>
    </row>
    <row r="6212" spans="1:24" x14ac:dyDescent="0.3">
      <c r="A6212" s="1" t="str">
        <f t="shared" si="1224"/>
        <v>59828</v>
      </c>
      <c r="B6212" s="1" t="s">
        <v>23</v>
      </c>
      <c r="C6212" s="1" t="s">
        <v>24</v>
      </c>
      <c r="D6212" s="1" t="str">
        <f t="shared" si="1225"/>
        <v>9801</v>
      </c>
      <c r="E6212" s="1" t="s">
        <v>25</v>
      </c>
      <c r="F6212" s="1" t="str">
        <f>"42AFE60209880400C834002000000015"</f>
        <v>42AFE60209880400C834002000000015</v>
      </c>
      <c r="G6212" s="1" t="s">
        <v>74</v>
      </c>
      <c r="H6212" s="1" t="str">
        <f t="shared" si="1226"/>
        <v>20220930</v>
      </c>
      <c r="I6212" s="1" t="str">
        <f>"161328"</f>
        <v>161328</v>
      </c>
      <c r="J6212" s="1" t="s">
        <v>80</v>
      </c>
      <c r="K6212" s="1" t="s">
        <v>52</v>
      </c>
      <c r="L6212" s="1" t="str">
        <f t="shared" si="1227"/>
        <v>20220930</v>
      </c>
      <c r="M6212" s="1" t="str">
        <f>"162833"</f>
        <v>162833</v>
      </c>
      <c r="N6212" s="1" t="s">
        <v>52</v>
      </c>
      <c r="O6212" s="1" t="s">
        <v>52</v>
      </c>
      <c r="P6212" s="1" t="s">
        <v>68</v>
      </c>
      <c r="Q6212" s="1">
        <v>13</v>
      </c>
      <c r="R6212" s="1">
        <v>0</v>
      </c>
      <c r="S6212" s="1">
        <v>0</v>
      </c>
      <c r="T6212" s="1">
        <v>13</v>
      </c>
      <c r="U6212" s="1">
        <v>0</v>
      </c>
      <c r="V6212" s="1" t="str">
        <f t="shared" si="1228"/>
        <v>里程返程</v>
      </c>
      <c r="W6212" s="1" t="str">
        <f>"0020"</f>
        <v>0020</v>
      </c>
      <c r="X6212" s="1" t="s">
        <v>29</v>
      </c>
    </row>
    <row r="6213" spans="1:24" x14ac:dyDescent="0.3">
      <c r="A6213" s="1" t="str">
        <f t="shared" si="1224"/>
        <v>59828</v>
      </c>
      <c r="B6213" s="1" t="s">
        <v>23</v>
      </c>
      <c r="C6213" s="1" t="s">
        <v>24</v>
      </c>
      <c r="D6213" s="1" t="str">
        <f t="shared" si="1225"/>
        <v>9801</v>
      </c>
      <c r="E6213" s="1" t="s">
        <v>25</v>
      </c>
      <c r="F6213" s="1" t="str">
        <f>"1C066E691D8804004741355145104307"</f>
        <v>1C066E691D8804004741355145104307</v>
      </c>
      <c r="G6213" s="1" t="s">
        <v>59</v>
      </c>
      <c r="H6213" s="1" t="str">
        <f t="shared" si="1226"/>
        <v>20220930</v>
      </c>
      <c r="I6213" s="1" t="str">
        <f>"163900"</f>
        <v>163900</v>
      </c>
      <c r="J6213" s="1" t="s">
        <v>75</v>
      </c>
      <c r="K6213" s="1" t="s">
        <v>45</v>
      </c>
      <c r="L6213" s="1" t="str">
        <f t="shared" si="1227"/>
        <v>20220930</v>
      </c>
      <c r="M6213" s="1" t="str">
        <f>"165247"</f>
        <v>165247</v>
      </c>
      <c r="N6213" s="1" t="s">
        <v>28</v>
      </c>
      <c r="O6213" s="1" t="s">
        <v>28</v>
      </c>
      <c r="P6213" s="1" t="s">
        <v>55</v>
      </c>
      <c r="Q6213" s="1">
        <v>25</v>
      </c>
      <c r="R6213" s="1">
        <v>25</v>
      </c>
      <c r="S6213" s="1">
        <v>0</v>
      </c>
      <c r="T6213" s="1">
        <v>0</v>
      </c>
      <c r="U6213" s="1">
        <v>0</v>
      </c>
      <c r="V6213" s="1" t="str">
        <f t="shared" si="1228"/>
        <v>里程返程</v>
      </c>
      <c r="W6213" s="1" t="str">
        <f>"0020"</f>
        <v>0020</v>
      </c>
      <c r="X6213" s="1" t="s">
        <v>29</v>
      </c>
    </row>
    <row r="6214" spans="1:24" x14ac:dyDescent="0.3">
      <c r="A6214" s="1" t="str">
        <f t="shared" si="1224"/>
        <v>59828</v>
      </c>
      <c r="B6214" s="1" t="s">
        <v>23</v>
      </c>
      <c r="C6214" s="1" t="s">
        <v>24</v>
      </c>
      <c r="D6214" s="1" t="str">
        <f t="shared" si="1225"/>
        <v>9801</v>
      </c>
      <c r="E6214" s="1" t="s">
        <v>25</v>
      </c>
      <c r="F6214" s="1" t="str">
        <f>"540148081"</f>
        <v>540148081</v>
      </c>
      <c r="G6214" s="1" t="s">
        <v>74</v>
      </c>
      <c r="H6214" s="1" t="str">
        <f t="shared" si="1226"/>
        <v>20220930</v>
      </c>
      <c r="I6214" s="1" t="str">
        <f>"164224"</f>
        <v>164224</v>
      </c>
      <c r="J6214" s="1" t="s">
        <v>61</v>
      </c>
      <c r="K6214" s="1" t="s">
        <v>45</v>
      </c>
      <c r="L6214" s="1" t="str">
        <f t="shared" si="1227"/>
        <v>20220930</v>
      </c>
      <c r="M6214" s="1" t="str">
        <f>"165243"</f>
        <v>165243</v>
      </c>
      <c r="N6214" s="1" t="s">
        <v>28</v>
      </c>
      <c r="O6214" s="1" t="s">
        <v>28</v>
      </c>
      <c r="P6214" s="1" t="s">
        <v>55</v>
      </c>
      <c r="Q6214" s="1">
        <v>13</v>
      </c>
      <c r="R6214" s="1">
        <v>13</v>
      </c>
      <c r="S6214" s="1">
        <v>0</v>
      </c>
      <c r="T6214" s="1">
        <v>0</v>
      </c>
      <c r="U6214" s="1">
        <v>0</v>
      </c>
      <c r="V6214" s="1" t="str">
        <f t="shared" si="1228"/>
        <v>里程返程</v>
      </c>
      <c r="W6214" s="1" t="str">
        <f>"2120"</f>
        <v>2120</v>
      </c>
      <c r="X6214" s="1" t="s">
        <v>35</v>
      </c>
    </row>
    <row r="6215" spans="1:24" x14ac:dyDescent="0.3">
      <c r="A6215" s="1" t="str">
        <f t="shared" si="1224"/>
        <v>59828</v>
      </c>
      <c r="B6215" s="1" t="s">
        <v>23</v>
      </c>
      <c r="C6215" s="1" t="s">
        <v>24</v>
      </c>
      <c r="D6215" s="1" t="str">
        <f t="shared" si="1225"/>
        <v>9801</v>
      </c>
      <c r="E6215" s="1" t="s">
        <v>25</v>
      </c>
      <c r="F6215" s="1" t="str">
        <f>"E293E60295880400C834002000000015"</f>
        <v>E293E60295880400C834002000000015</v>
      </c>
      <c r="G6215" s="1" t="s">
        <v>74</v>
      </c>
      <c r="H6215" s="1" t="str">
        <f t="shared" si="1226"/>
        <v>20220930</v>
      </c>
      <c r="I6215" s="1" t="str">
        <f>"171338"</f>
        <v>171338</v>
      </c>
      <c r="J6215" s="1" t="s">
        <v>80</v>
      </c>
      <c r="K6215" s="1" t="s">
        <v>52</v>
      </c>
      <c r="L6215" s="1" t="str">
        <f t="shared" si="1227"/>
        <v>20220930</v>
      </c>
      <c r="M6215" s="1" t="str">
        <f>"171626"</f>
        <v>171626</v>
      </c>
      <c r="N6215" s="1" t="s">
        <v>65</v>
      </c>
      <c r="O6215" s="1" t="s">
        <v>52</v>
      </c>
      <c r="P6215" s="1" t="s">
        <v>68</v>
      </c>
      <c r="Q6215" s="1">
        <v>13</v>
      </c>
      <c r="R6215" s="1">
        <v>0</v>
      </c>
      <c r="S6215" s="1">
        <v>0</v>
      </c>
      <c r="T6215" s="1">
        <v>13</v>
      </c>
      <c r="U6215" s="1">
        <v>0</v>
      </c>
      <c r="V6215" s="1" t="str">
        <f t="shared" si="1228"/>
        <v>里程返程</v>
      </c>
      <c r="W6215" s="1" t="str">
        <f>"0020"</f>
        <v>0020</v>
      </c>
      <c r="X6215" s="1" t="s">
        <v>29</v>
      </c>
    </row>
    <row r="6216" spans="1:24" x14ac:dyDescent="0.3">
      <c r="A6216" s="1" t="str">
        <f t="shared" si="1224"/>
        <v>59828</v>
      </c>
      <c r="B6216" s="1" t="s">
        <v>23</v>
      </c>
      <c r="C6216" s="1" t="s">
        <v>24</v>
      </c>
      <c r="D6216" s="1" t="str">
        <f t="shared" si="1225"/>
        <v>9801</v>
      </c>
      <c r="E6216" s="1" t="s">
        <v>25</v>
      </c>
      <c r="F6216" s="1" t="str">
        <f>"C2C219031A880400C834002000000015"</f>
        <v>C2C219031A880400C834002000000015</v>
      </c>
      <c r="G6216" s="1" t="s">
        <v>74</v>
      </c>
      <c r="H6216" s="1" t="str">
        <f t="shared" si="1226"/>
        <v>20220930</v>
      </c>
      <c r="I6216" s="1" t="str">
        <f>"171345"</f>
        <v>171345</v>
      </c>
      <c r="J6216" s="1" t="s">
        <v>80</v>
      </c>
      <c r="K6216" s="1" t="s">
        <v>52</v>
      </c>
      <c r="L6216" s="1" t="str">
        <f t="shared" si="1227"/>
        <v>20220930</v>
      </c>
      <c r="M6216" s="1" t="str">
        <f>"171629"</f>
        <v>171629</v>
      </c>
      <c r="N6216" s="1" t="s">
        <v>65</v>
      </c>
      <c r="O6216" s="1" t="s">
        <v>52</v>
      </c>
      <c r="P6216" s="1" t="s">
        <v>68</v>
      </c>
      <c r="Q6216" s="1">
        <v>13</v>
      </c>
      <c r="R6216" s="1">
        <v>0</v>
      </c>
      <c r="S6216" s="1">
        <v>0</v>
      </c>
      <c r="T6216" s="1">
        <v>13</v>
      </c>
      <c r="U6216" s="1">
        <v>0</v>
      </c>
      <c r="V6216" s="1" t="str">
        <f t="shared" si="1228"/>
        <v>里程返程</v>
      </c>
      <c r="W6216" s="1" t="str">
        <f>"0020"</f>
        <v>0020</v>
      </c>
      <c r="X6216" s="1" t="s">
        <v>29</v>
      </c>
    </row>
    <row r="6217" spans="1:24" x14ac:dyDescent="0.3">
      <c r="A6217" s="1" t="str">
        <f t="shared" si="1224"/>
        <v>59828</v>
      </c>
      <c r="B6217" s="1" t="s">
        <v>23</v>
      </c>
      <c r="C6217" s="1" t="s">
        <v>24</v>
      </c>
      <c r="D6217" s="1" t="str">
        <f t="shared" si="1225"/>
        <v>9801</v>
      </c>
      <c r="E6217" s="1" t="s">
        <v>25</v>
      </c>
      <c r="F6217" s="1" t="str">
        <f>"7227E702B0880400C834002000000015"</f>
        <v>7227E702B0880400C834002000000015</v>
      </c>
      <c r="G6217" s="1" t="s">
        <v>74</v>
      </c>
      <c r="H6217" s="1" t="str">
        <f t="shared" si="1226"/>
        <v>20220930</v>
      </c>
      <c r="I6217" s="1" t="str">
        <f>"171351"</f>
        <v>171351</v>
      </c>
      <c r="J6217" s="1" t="s">
        <v>80</v>
      </c>
      <c r="K6217" s="1" t="s">
        <v>52</v>
      </c>
      <c r="L6217" s="1" t="str">
        <f t="shared" si="1227"/>
        <v>20220930</v>
      </c>
      <c r="M6217" s="1" t="str">
        <f>"172631"</f>
        <v>172631</v>
      </c>
      <c r="N6217" s="1" t="s">
        <v>52</v>
      </c>
      <c r="O6217" s="1" t="s">
        <v>52</v>
      </c>
      <c r="P6217" s="1" t="s">
        <v>68</v>
      </c>
      <c r="Q6217" s="1">
        <v>13</v>
      </c>
      <c r="R6217" s="1">
        <v>0</v>
      </c>
      <c r="S6217" s="1">
        <v>0</v>
      </c>
      <c r="T6217" s="1">
        <v>13</v>
      </c>
      <c r="U6217" s="1">
        <v>0</v>
      </c>
      <c r="V6217" s="1" t="str">
        <f t="shared" si="1228"/>
        <v>里程返程</v>
      </c>
      <c r="W6217" s="1" t="str">
        <f>"0020"</f>
        <v>0020</v>
      </c>
      <c r="X6217" s="1" t="s">
        <v>29</v>
      </c>
    </row>
  </sheetData>
  <sortState ref="A2:X6217">
    <sortCondition ref="H2:H6217"/>
    <sortCondition ref="A2:A6217"/>
    <sortCondition ref="I2:I6217"/>
  </sortState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990"/>
  <sheetViews>
    <sheetView topLeftCell="B1" workbookViewId="0">
      <selection activeCell="T12" sqref="T12"/>
    </sheetView>
  </sheetViews>
  <sheetFormatPr defaultRowHeight="13.8" x14ac:dyDescent="0.3"/>
  <cols>
    <col min="1" max="16384" width="8.88671875" style="1"/>
  </cols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12</v>
      </c>
      <c r="K1" s="1" t="s">
        <v>13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11</v>
      </c>
      <c r="Q1" s="1" t="s">
        <v>7</v>
      </c>
      <c r="R1" s="1" t="s">
        <v>8</v>
      </c>
      <c r="S1" s="1" t="s">
        <v>14</v>
      </c>
      <c r="T1" s="1" t="s">
        <v>116</v>
      </c>
      <c r="U1" s="1" t="s">
        <v>19</v>
      </c>
      <c r="V1" s="1" t="s">
        <v>20</v>
      </c>
      <c r="W1" s="1" t="s">
        <v>22</v>
      </c>
    </row>
    <row r="2" spans="1:23" x14ac:dyDescent="0.3">
      <c r="A2" s="1" t="str">
        <f t="shared" ref="A2:A40" si="0">"59820"</f>
        <v>59820</v>
      </c>
      <c r="B2" s="1" t="s">
        <v>53</v>
      </c>
      <c r="C2" s="1" t="s">
        <v>54</v>
      </c>
      <c r="D2" s="1" t="str">
        <f t="shared" ref="D2:D65" si="1">"9801"</f>
        <v>9801</v>
      </c>
      <c r="E2" s="1" t="s">
        <v>25</v>
      </c>
      <c r="F2" s="1" t="str">
        <f>"1646990673"</f>
        <v>1646990673</v>
      </c>
      <c r="G2" s="1" t="s">
        <v>33</v>
      </c>
      <c r="H2" s="1" t="str">
        <f t="shared" ref="H2:H46" si="2">"20220901"</f>
        <v>20220901</v>
      </c>
      <c r="I2" s="1" t="str">
        <f>"113036"</f>
        <v>113036</v>
      </c>
      <c r="J2" s="1" t="s">
        <v>27</v>
      </c>
      <c r="K2" s="1" t="s">
        <v>28</v>
      </c>
      <c r="L2" s="1" t="str">
        <f t="shared" ref="L2:L46" si="3">"20220901"</f>
        <v>20220901</v>
      </c>
      <c r="M2" s="1" t="str">
        <f>"114942"</f>
        <v>114942</v>
      </c>
      <c r="N2" s="1" t="s">
        <v>75</v>
      </c>
      <c r="O2" s="1" t="s">
        <v>45</v>
      </c>
      <c r="P2" s="1" t="s">
        <v>55</v>
      </c>
      <c r="Q2" s="1">
        <v>25</v>
      </c>
      <c r="R2" s="1">
        <v>25</v>
      </c>
      <c r="S2" s="1">
        <v>0</v>
      </c>
      <c r="T2" s="1">
        <v>0</v>
      </c>
      <c r="U2" s="1">
        <v>0</v>
      </c>
      <c r="V2" s="1" t="str">
        <f t="shared" ref="V2:V65" si="4">"里程去程"</f>
        <v>里程去程</v>
      </c>
      <c r="W2" s="1" t="s">
        <v>35</v>
      </c>
    </row>
    <row r="3" spans="1:23" x14ac:dyDescent="0.3">
      <c r="A3" s="1" t="str">
        <f t="shared" si="0"/>
        <v>59820</v>
      </c>
      <c r="B3" s="1" t="s">
        <v>53</v>
      </c>
      <c r="C3" s="1" t="s">
        <v>54</v>
      </c>
      <c r="D3" s="1" t="str">
        <f t="shared" si="1"/>
        <v>9801</v>
      </c>
      <c r="E3" s="1" t="s">
        <v>25</v>
      </c>
      <c r="F3" s="1" t="str">
        <f>"1741533957"</f>
        <v>1741533957</v>
      </c>
      <c r="G3" s="1" t="s">
        <v>74</v>
      </c>
      <c r="H3" s="1" t="str">
        <f t="shared" si="2"/>
        <v>20220901</v>
      </c>
      <c r="I3" s="1" t="str">
        <f>"113339"</f>
        <v>113339</v>
      </c>
      <c r="J3" s="1" t="s">
        <v>27</v>
      </c>
      <c r="K3" s="1" t="s">
        <v>28</v>
      </c>
      <c r="L3" s="1" t="str">
        <f t="shared" si="3"/>
        <v>20220901</v>
      </c>
      <c r="M3" s="1" t="str">
        <f>"115907"</f>
        <v>115907</v>
      </c>
      <c r="N3" s="1" t="s">
        <v>44</v>
      </c>
      <c r="O3" s="1" t="s">
        <v>45</v>
      </c>
      <c r="P3" s="1" t="s">
        <v>55</v>
      </c>
      <c r="Q3" s="1">
        <v>13</v>
      </c>
      <c r="R3" s="1">
        <v>13</v>
      </c>
      <c r="S3" s="1">
        <v>0</v>
      </c>
      <c r="T3" s="1">
        <v>0</v>
      </c>
      <c r="U3" s="1">
        <v>0</v>
      </c>
      <c r="V3" s="1" t="str">
        <f t="shared" si="4"/>
        <v>里程去程</v>
      </c>
      <c r="W3" s="1" t="s">
        <v>35</v>
      </c>
    </row>
    <row r="4" spans="1:23" x14ac:dyDescent="0.3">
      <c r="A4" s="1" t="str">
        <f t="shared" si="0"/>
        <v>59820</v>
      </c>
      <c r="B4" s="1" t="s">
        <v>53</v>
      </c>
      <c r="C4" s="1" t="s">
        <v>54</v>
      </c>
      <c r="D4" s="1" t="str">
        <f t="shared" si="1"/>
        <v>9801</v>
      </c>
      <c r="E4" s="1" t="s">
        <v>25</v>
      </c>
      <c r="F4" s="1" t="str">
        <f>"1748169525"</f>
        <v>1748169525</v>
      </c>
      <c r="G4" s="1" t="s">
        <v>33</v>
      </c>
      <c r="H4" s="1" t="str">
        <f t="shared" si="2"/>
        <v>20220901</v>
      </c>
      <c r="I4" s="1" t="str">
        <f>"114715"</f>
        <v>114715</v>
      </c>
      <c r="J4" s="1" t="s">
        <v>61</v>
      </c>
      <c r="K4" s="1" t="s">
        <v>45</v>
      </c>
      <c r="L4" s="1" t="str">
        <f t="shared" si="3"/>
        <v>20220901</v>
      </c>
      <c r="M4" s="1" t="str">
        <f>"114731"</f>
        <v>114731</v>
      </c>
      <c r="N4" s="1" t="s">
        <v>75</v>
      </c>
      <c r="O4" s="1" t="s">
        <v>45</v>
      </c>
      <c r="P4" s="1" t="s">
        <v>55</v>
      </c>
      <c r="Q4" s="1">
        <v>25</v>
      </c>
      <c r="R4" s="1">
        <v>25</v>
      </c>
      <c r="S4" s="1">
        <v>0</v>
      </c>
      <c r="T4" s="1">
        <v>0</v>
      </c>
      <c r="U4" s="1">
        <v>0</v>
      </c>
      <c r="V4" s="1" t="str">
        <f t="shared" si="4"/>
        <v>里程去程</v>
      </c>
      <c r="W4" s="1" t="s">
        <v>35</v>
      </c>
    </row>
    <row r="5" spans="1:23" x14ac:dyDescent="0.3">
      <c r="A5" s="1" t="str">
        <f t="shared" si="0"/>
        <v>59820</v>
      </c>
      <c r="B5" s="1" t="s">
        <v>53</v>
      </c>
      <c r="C5" s="1" t="s">
        <v>54</v>
      </c>
      <c r="D5" s="1" t="str">
        <f t="shared" si="1"/>
        <v>9801</v>
      </c>
      <c r="E5" s="1" t="s">
        <v>25</v>
      </c>
      <c r="F5" s="1" t="str">
        <f>"32780D0344880400C834002000000015"</f>
        <v>32780D0344880400C834002000000015</v>
      </c>
      <c r="G5" s="1" t="s">
        <v>26</v>
      </c>
      <c r="H5" s="1" t="str">
        <f t="shared" si="2"/>
        <v>20220901</v>
      </c>
      <c r="I5" s="1" t="str">
        <f>"115953"</f>
        <v>115953</v>
      </c>
      <c r="J5" s="1" t="s">
        <v>52</v>
      </c>
      <c r="K5" s="1" t="s">
        <v>52</v>
      </c>
      <c r="L5" s="1" t="str">
        <f t="shared" si="3"/>
        <v>20220901</v>
      </c>
      <c r="M5" s="1" t="str">
        <f>"123024"</f>
        <v>123024</v>
      </c>
      <c r="N5" s="1" t="s">
        <v>70</v>
      </c>
      <c r="O5" s="1" t="s">
        <v>28</v>
      </c>
      <c r="P5" s="1" t="s">
        <v>68</v>
      </c>
      <c r="Q5" s="1">
        <v>13</v>
      </c>
      <c r="R5" s="1">
        <v>0</v>
      </c>
      <c r="S5" s="1">
        <v>0</v>
      </c>
      <c r="T5" s="1">
        <v>13</v>
      </c>
      <c r="U5" s="1">
        <v>0</v>
      </c>
      <c r="V5" s="1" t="str">
        <f t="shared" si="4"/>
        <v>里程去程</v>
      </c>
      <c r="W5" s="1" t="s">
        <v>29</v>
      </c>
    </row>
    <row r="6" spans="1:23" x14ac:dyDescent="0.3">
      <c r="A6" s="1" t="str">
        <f t="shared" si="0"/>
        <v>59820</v>
      </c>
      <c r="B6" s="1" t="s">
        <v>53</v>
      </c>
      <c r="C6" s="1" t="s">
        <v>54</v>
      </c>
      <c r="D6" s="1" t="str">
        <f t="shared" si="1"/>
        <v>9801</v>
      </c>
      <c r="E6" s="1" t="s">
        <v>25</v>
      </c>
      <c r="F6" s="1" t="str">
        <f>"F25B1B03B1880400C834002000000015"</f>
        <v>F25B1B03B1880400C834002000000015</v>
      </c>
      <c r="G6" s="1" t="s">
        <v>26</v>
      </c>
      <c r="H6" s="1" t="str">
        <f t="shared" si="2"/>
        <v>20220901</v>
      </c>
      <c r="I6" s="1" t="str">
        <f>"120624"</f>
        <v>120624</v>
      </c>
      <c r="J6" s="1" t="s">
        <v>60</v>
      </c>
      <c r="K6" s="1" t="s">
        <v>52</v>
      </c>
      <c r="L6" s="1" t="str">
        <f t="shared" si="3"/>
        <v>20220901</v>
      </c>
      <c r="M6" s="1" t="str">
        <f>"123148"</f>
        <v>123148</v>
      </c>
      <c r="N6" s="1" t="s">
        <v>70</v>
      </c>
      <c r="O6" s="1" t="s">
        <v>28</v>
      </c>
      <c r="P6" s="1" t="s">
        <v>68</v>
      </c>
      <c r="Q6" s="1">
        <v>13</v>
      </c>
      <c r="R6" s="1">
        <v>0</v>
      </c>
      <c r="S6" s="1">
        <v>0</v>
      </c>
      <c r="T6" s="1">
        <v>13</v>
      </c>
      <c r="U6" s="1">
        <v>0</v>
      </c>
      <c r="V6" s="1" t="str">
        <f t="shared" si="4"/>
        <v>里程去程</v>
      </c>
      <c r="W6" s="1" t="s">
        <v>29</v>
      </c>
    </row>
    <row r="7" spans="1:23" x14ac:dyDescent="0.3">
      <c r="A7" s="1" t="str">
        <f t="shared" si="0"/>
        <v>59820</v>
      </c>
      <c r="B7" s="1" t="s">
        <v>53</v>
      </c>
      <c r="C7" s="1" t="s">
        <v>54</v>
      </c>
      <c r="D7" s="1" t="str">
        <f t="shared" si="1"/>
        <v>9801</v>
      </c>
      <c r="E7" s="1" t="s">
        <v>25</v>
      </c>
      <c r="F7" s="1" t="str">
        <f>"2AFA6262D0880400C18514D045304512"</f>
        <v>2AFA6262D0880400C18514D045304512</v>
      </c>
      <c r="G7" s="1" t="s">
        <v>59</v>
      </c>
      <c r="H7" s="1" t="str">
        <f t="shared" si="2"/>
        <v>20220901</v>
      </c>
      <c r="I7" s="1" t="str">
        <f>"120626"</f>
        <v>120626</v>
      </c>
      <c r="J7" s="1" t="s">
        <v>60</v>
      </c>
      <c r="K7" s="1" t="s">
        <v>52</v>
      </c>
      <c r="L7" s="1" t="str">
        <f t="shared" si="3"/>
        <v>20220901</v>
      </c>
      <c r="M7" s="1" t="str">
        <f>"123153"</f>
        <v>123153</v>
      </c>
      <c r="N7" s="1" t="s">
        <v>70</v>
      </c>
      <c r="O7" s="1" t="s">
        <v>28</v>
      </c>
      <c r="P7" s="1" t="s">
        <v>55</v>
      </c>
      <c r="Q7" s="1">
        <v>25</v>
      </c>
      <c r="R7" s="1">
        <v>25</v>
      </c>
      <c r="S7" s="1">
        <v>0</v>
      </c>
      <c r="T7" s="1">
        <v>0</v>
      </c>
      <c r="U7" s="1">
        <v>0</v>
      </c>
      <c r="V7" s="1" t="str">
        <f t="shared" si="4"/>
        <v>里程去程</v>
      </c>
      <c r="W7" s="1" t="s">
        <v>29</v>
      </c>
    </row>
    <row r="8" spans="1:23" x14ac:dyDescent="0.3">
      <c r="A8" s="1" t="str">
        <f t="shared" si="0"/>
        <v>59820</v>
      </c>
      <c r="B8" s="1" t="s">
        <v>53</v>
      </c>
      <c r="C8" s="1" t="s">
        <v>54</v>
      </c>
      <c r="D8" s="1" t="str">
        <f t="shared" si="1"/>
        <v>9801</v>
      </c>
      <c r="E8" s="1" t="s">
        <v>25</v>
      </c>
      <c r="F8" s="1" t="str">
        <f>"4251460257880400C821002000000015"</f>
        <v>4251460257880400C821002000000015</v>
      </c>
      <c r="G8" s="1" t="s">
        <v>26</v>
      </c>
      <c r="H8" s="1" t="str">
        <f t="shared" si="2"/>
        <v>20220901</v>
      </c>
      <c r="I8" s="1" t="str">
        <f>"121901"</f>
        <v>121901</v>
      </c>
      <c r="J8" s="1" t="s">
        <v>69</v>
      </c>
      <c r="K8" s="1" t="s">
        <v>52</v>
      </c>
      <c r="L8" s="1" t="str">
        <f t="shared" si="3"/>
        <v>20220901</v>
      </c>
      <c r="M8" s="1" t="str">
        <f>"122429"</f>
        <v>122429</v>
      </c>
      <c r="N8" s="1" t="s">
        <v>83</v>
      </c>
      <c r="O8" s="1" t="s">
        <v>52</v>
      </c>
      <c r="P8" s="1" t="s">
        <v>68</v>
      </c>
      <c r="Q8" s="1">
        <v>13</v>
      </c>
      <c r="R8" s="1">
        <v>0</v>
      </c>
      <c r="S8" s="1">
        <v>0</v>
      </c>
      <c r="T8" s="1">
        <v>13</v>
      </c>
      <c r="U8" s="1">
        <v>0</v>
      </c>
      <c r="V8" s="1" t="str">
        <f t="shared" si="4"/>
        <v>里程去程</v>
      </c>
      <c r="W8" s="1" t="s">
        <v>29</v>
      </c>
    </row>
    <row r="9" spans="1:23" x14ac:dyDescent="0.3">
      <c r="A9" s="1" t="str">
        <f t="shared" si="0"/>
        <v>59820</v>
      </c>
      <c r="B9" s="1" t="s">
        <v>53</v>
      </c>
      <c r="C9" s="1" t="s">
        <v>54</v>
      </c>
      <c r="D9" s="1" t="str">
        <f t="shared" si="1"/>
        <v>9801</v>
      </c>
      <c r="E9" s="1" t="s">
        <v>25</v>
      </c>
      <c r="F9" s="1" t="str">
        <f>"1202279493"</f>
        <v>1202279493</v>
      </c>
      <c r="G9" s="1" t="s">
        <v>38</v>
      </c>
      <c r="H9" s="1" t="str">
        <f t="shared" si="2"/>
        <v>20220901</v>
      </c>
      <c r="I9" s="1" t="str">
        <f>"121906"</f>
        <v>121906</v>
      </c>
      <c r="J9" s="1" t="s">
        <v>69</v>
      </c>
      <c r="K9" s="1" t="s">
        <v>52</v>
      </c>
      <c r="L9" s="1" t="str">
        <f t="shared" si="3"/>
        <v>20220901</v>
      </c>
      <c r="M9" s="1" t="str">
        <f>"123200"</f>
        <v>123200</v>
      </c>
      <c r="N9" s="1" t="s">
        <v>70</v>
      </c>
      <c r="O9" s="1" t="s">
        <v>28</v>
      </c>
      <c r="P9" s="1" t="s">
        <v>55</v>
      </c>
      <c r="Q9" s="1">
        <v>25</v>
      </c>
      <c r="R9" s="1">
        <v>25</v>
      </c>
      <c r="S9" s="1">
        <v>0</v>
      </c>
      <c r="T9" s="1">
        <v>0</v>
      </c>
      <c r="U9" s="1">
        <v>0</v>
      </c>
      <c r="V9" s="1" t="str">
        <f t="shared" si="4"/>
        <v>里程去程</v>
      </c>
      <c r="W9" s="1" t="s">
        <v>35</v>
      </c>
    </row>
    <row r="10" spans="1:23" x14ac:dyDescent="0.3">
      <c r="A10" s="1" t="str">
        <f t="shared" si="0"/>
        <v>59820</v>
      </c>
      <c r="B10" s="1" t="s">
        <v>53</v>
      </c>
      <c r="C10" s="1" t="s">
        <v>54</v>
      </c>
      <c r="D10" s="1" t="str">
        <f t="shared" si="1"/>
        <v>9801</v>
      </c>
      <c r="E10" s="1" t="s">
        <v>25</v>
      </c>
      <c r="F10" s="1" t="str">
        <f>"8227D00277880400C834002000000015"</f>
        <v>8227D00277880400C834002000000015</v>
      </c>
      <c r="G10" s="1" t="s">
        <v>117</v>
      </c>
      <c r="H10" s="1" t="str">
        <f t="shared" si="2"/>
        <v>20220901</v>
      </c>
      <c r="I10" s="1" t="str">
        <f>"122212"</f>
        <v>122212</v>
      </c>
      <c r="J10" s="1" t="s">
        <v>67</v>
      </c>
      <c r="K10" s="1" t="s">
        <v>52</v>
      </c>
      <c r="L10" s="1" t="str">
        <f t="shared" si="3"/>
        <v>20220901</v>
      </c>
      <c r="M10" s="1" t="str">
        <f>"123141"</f>
        <v>123141</v>
      </c>
      <c r="N10" s="1" t="s">
        <v>70</v>
      </c>
      <c r="O10" s="1" t="s">
        <v>28</v>
      </c>
      <c r="P10" s="1" t="s">
        <v>68</v>
      </c>
      <c r="Q10" s="1">
        <v>13</v>
      </c>
      <c r="R10" s="1">
        <v>0</v>
      </c>
      <c r="S10" s="1">
        <v>0</v>
      </c>
      <c r="T10" s="1">
        <v>13</v>
      </c>
      <c r="U10" s="1">
        <v>0</v>
      </c>
      <c r="V10" s="1" t="str">
        <f t="shared" si="4"/>
        <v>里程去程</v>
      </c>
      <c r="W10" s="1" t="s">
        <v>29</v>
      </c>
    </row>
    <row r="11" spans="1:23" x14ac:dyDescent="0.3">
      <c r="A11" s="1" t="str">
        <f t="shared" si="0"/>
        <v>59820</v>
      </c>
      <c r="B11" s="1" t="s">
        <v>53</v>
      </c>
      <c r="C11" s="1" t="s">
        <v>54</v>
      </c>
      <c r="D11" s="1" t="str">
        <f t="shared" si="1"/>
        <v>9801</v>
      </c>
      <c r="E11" s="1" t="s">
        <v>25</v>
      </c>
      <c r="F11" s="1" t="str">
        <f>"F2F7D002D7880400C834002000000015"</f>
        <v>F2F7D002D7880400C834002000000015</v>
      </c>
      <c r="G11" s="1" t="s">
        <v>74</v>
      </c>
      <c r="H11" s="1" t="str">
        <f t="shared" si="2"/>
        <v>20220901</v>
      </c>
      <c r="I11" s="1" t="str">
        <f>"122219"</f>
        <v>122219</v>
      </c>
      <c r="J11" s="1" t="s">
        <v>67</v>
      </c>
      <c r="K11" s="1" t="s">
        <v>52</v>
      </c>
      <c r="L11" s="1" t="str">
        <f t="shared" si="3"/>
        <v>20220901</v>
      </c>
      <c r="M11" s="1" t="str">
        <f>"125435"</f>
        <v>125435</v>
      </c>
      <c r="N11" s="1" t="s">
        <v>44</v>
      </c>
      <c r="O11" s="1" t="s">
        <v>45</v>
      </c>
      <c r="P11" s="1" t="s">
        <v>68</v>
      </c>
      <c r="Q11" s="1">
        <v>25</v>
      </c>
      <c r="R11" s="1">
        <v>0</v>
      </c>
      <c r="S11" s="1">
        <v>0</v>
      </c>
      <c r="T11" s="1">
        <v>25</v>
      </c>
      <c r="U11" s="1">
        <v>0</v>
      </c>
      <c r="V11" s="1" t="str">
        <f t="shared" si="4"/>
        <v>里程去程</v>
      </c>
      <c r="W11" s="1" t="s">
        <v>29</v>
      </c>
    </row>
    <row r="12" spans="1:23" x14ac:dyDescent="0.3">
      <c r="A12" s="1" t="str">
        <f t="shared" si="0"/>
        <v>59820</v>
      </c>
      <c r="B12" s="1" t="s">
        <v>53</v>
      </c>
      <c r="C12" s="1" t="s">
        <v>54</v>
      </c>
      <c r="D12" s="1" t="str">
        <f t="shared" si="1"/>
        <v>9801</v>
      </c>
      <c r="E12" s="1" t="s">
        <v>25</v>
      </c>
      <c r="F12" s="1" t="str">
        <f>"11FF5F03B288040043252B4B0019050F"</f>
        <v>11FF5F03B288040043252B4B0019050F</v>
      </c>
      <c r="G12" s="1" t="s">
        <v>26</v>
      </c>
      <c r="H12" s="1" t="str">
        <f t="shared" si="2"/>
        <v>20220901</v>
      </c>
      <c r="I12" s="1" t="str">
        <f>"123213"</f>
        <v>123213</v>
      </c>
      <c r="J12" s="1" t="s">
        <v>27</v>
      </c>
      <c r="K12" s="1" t="s">
        <v>28</v>
      </c>
      <c r="L12" s="1" t="str">
        <f t="shared" si="3"/>
        <v>20220901</v>
      </c>
      <c r="M12" s="1" t="str">
        <f>"125302"</f>
        <v>125302</v>
      </c>
      <c r="N12" s="1" t="s">
        <v>44</v>
      </c>
      <c r="O12" s="1" t="s">
        <v>45</v>
      </c>
      <c r="P12" s="1" t="s">
        <v>55</v>
      </c>
      <c r="Q12" s="1">
        <v>13</v>
      </c>
      <c r="R12" s="1">
        <v>0</v>
      </c>
      <c r="S12" s="1">
        <v>13</v>
      </c>
      <c r="T12" s="1">
        <v>0</v>
      </c>
      <c r="U12" s="1">
        <v>0</v>
      </c>
      <c r="V12" s="1" t="str">
        <f t="shared" si="4"/>
        <v>里程去程</v>
      </c>
      <c r="W12" s="1" t="s">
        <v>29</v>
      </c>
    </row>
    <row r="13" spans="1:23" x14ac:dyDescent="0.3">
      <c r="A13" s="1" t="str">
        <f t="shared" si="0"/>
        <v>59820</v>
      </c>
      <c r="B13" s="1" t="s">
        <v>53</v>
      </c>
      <c r="C13" s="1" t="s">
        <v>54</v>
      </c>
      <c r="D13" s="1" t="str">
        <f t="shared" si="1"/>
        <v>9801</v>
      </c>
      <c r="E13" s="1" t="s">
        <v>25</v>
      </c>
      <c r="F13" s="1" t="str">
        <f>"C5A9C109A4180200D200000C22400417"</f>
        <v>C5A9C109A4180200D200000C22400417</v>
      </c>
      <c r="G13" s="1" t="s">
        <v>58</v>
      </c>
      <c r="H13" s="1" t="str">
        <f t="shared" si="2"/>
        <v>20220901</v>
      </c>
      <c r="I13" s="1" t="str">
        <f>"123218"</f>
        <v>123218</v>
      </c>
      <c r="J13" s="1" t="s">
        <v>27</v>
      </c>
      <c r="K13" s="1" t="s">
        <v>28</v>
      </c>
      <c r="L13" s="1" t="str">
        <f t="shared" si="3"/>
        <v>20220901</v>
      </c>
      <c r="M13" s="1" t="str">
        <f>"125259"</f>
        <v>125259</v>
      </c>
      <c r="N13" s="1" t="s">
        <v>44</v>
      </c>
      <c r="O13" s="1" t="s">
        <v>45</v>
      </c>
      <c r="P13" s="1" t="s">
        <v>55</v>
      </c>
      <c r="Q13" s="1">
        <v>25</v>
      </c>
      <c r="R13" s="1">
        <v>0</v>
      </c>
      <c r="S13" s="1">
        <v>25</v>
      </c>
      <c r="T13" s="1">
        <v>0</v>
      </c>
      <c r="U13" s="1">
        <v>0</v>
      </c>
      <c r="V13" s="1" t="str">
        <f t="shared" si="4"/>
        <v>里程去程</v>
      </c>
      <c r="W13" s="1" t="s">
        <v>29</v>
      </c>
    </row>
    <row r="14" spans="1:23" x14ac:dyDescent="0.3">
      <c r="A14" s="1" t="str">
        <f t="shared" si="0"/>
        <v>59820</v>
      </c>
      <c r="B14" s="1" t="s">
        <v>53</v>
      </c>
      <c r="C14" s="1" t="s">
        <v>54</v>
      </c>
      <c r="D14" s="1" t="str">
        <f t="shared" si="1"/>
        <v>9801</v>
      </c>
      <c r="E14" s="1" t="s">
        <v>25</v>
      </c>
      <c r="F14" s="1" t="str">
        <f>"3233A113B3880400C831002000000018"</f>
        <v>3233A113B3880400C831002000000018</v>
      </c>
      <c r="G14" s="1" t="s">
        <v>58</v>
      </c>
      <c r="H14" s="1" t="str">
        <f t="shared" si="2"/>
        <v>20220901</v>
      </c>
      <c r="I14" s="1" t="str">
        <f>"123224"</f>
        <v>123224</v>
      </c>
      <c r="J14" s="1" t="s">
        <v>27</v>
      </c>
      <c r="K14" s="1" t="s">
        <v>28</v>
      </c>
      <c r="L14" s="1" t="str">
        <f t="shared" si="3"/>
        <v>20220901</v>
      </c>
      <c r="M14" s="1" t="str">
        <f>"125601"</f>
        <v>125601</v>
      </c>
      <c r="N14" s="1" t="s">
        <v>44</v>
      </c>
      <c r="O14" s="1" t="s">
        <v>45</v>
      </c>
      <c r="P14" s="1" t="s">
        <v>55</v>
      </c>
      <c r="Q14" s="1">
        <v>25</v>
      </c>
      <c r="R14" s="1">
        <v>25</v>
      </c>
      <c r="S14" s="1">
        <v>0</v>
      </c>
      <c r="T14" s="1">
        <v>0</v>
      </c>
      <c r="U14" s="1">
        <v>0</v>
      </c>
      <c r="V14" s="1" t="str">
        <f t="shared" si="4"/>
        <v>里程去程</v>
      </c>
      <c r="W14" s="1" t="s">
        <v>29</v>
      </c>
    </row>
    <row r="15" spans="1:23" x14ac:dyDescent="0.3">
      <c r="A15" s="1" t="str">
        <f t="shared" si="0"/>
        <v>59820</v>
      </c>
      <c r="B15" s="1" t="s">
        <v>53</v>
      </c>
      <c r="C15" s="1" t="s">
        <v>54</v>
      </c>
      <c r="D15" s="1" t="str">
        <f t="shared" si="1"/>
        <v>9801</v>
      </c>
      <c r="E15" s="1" t="s">
        <v>25</v>
      </c>
      <c r="F15" s="1" t="str">
        <f>"4076263894"</f>
        <v>4076263894</v>
      </c>
      <c r="G15" s="1" t="s">
        <v>33</v>
      </c>
      <c r="H15" s="1" t="str">
        <f t="shared" si="2"/>
        <v>20220901</v>
      </c>
      <c r="I15" s="1" t="str">
        <f>"123230"</f>
        <v>123230</v>
      </c>
      <c r="J15" s="1" t="s">
        <v>27</v>
      </c>
      <c r="K15" s="1" t="s">
        <v>28</v>
      </c>
      <c r="L15" s="1" t="str">
        <f t="shared" si="3"/>
        <v>20220901</v>
      </c>
      <c r="M15" s="1" t="str">
        <f>"125557"</f>
        <v>125557</v>
      </c>
      <c r="N15" s="1" t="s">
        <v>44</v>
      </c>
      <c r="O15" s="1" t="s">
        <v>45</v>
      </c>
      <c r="P15" s="1" t="s">
        <v>55</v>
      </c>
      <c r="Q15" s="1">
        <v>25</v>
      </c>
      <c r="R15" s="1">
        <v>25</v>
      </c>
      <c r="S15" s="1">
        <v>0</v>
      </c>
      <c r="T15" s="1">
        <v>0</v>
      </c>
      <c r="U15" s="1">
        <v>0</v>
      </c>
      <c r="V15" s="1" t="str">
        <f t="shared" si="4"/>
        <v>里程去程</v>
      </c>
      <c r="W15" s="1" t="s">
        <v>35</v>
      </c>
    </row>
    <row r="16" spans="1:23" x14ac:dyDescent="0.3">
      <c r="A16" s="1" t="str">
        <f t="shared" si="0"/>
        <v>59820</v>
      </c>
      <c r="B16" s="1" t="s">
        <v>53</v>
      </c>
      <c r="C16" s="1" t="s">
        <v>54</v>
      </c>
      <c r="D16" s="1" t="str">
        <f t="shared" si="1"/>
        <v>9801</v>
      </c>
      <c r="E16" s="1" t="s">
        <v>25</v>
      </c>
      <c r="F16" s="1" t="str">
        <f>"1355985425"</f>
        <v>1355985425</v>
      </c>
      <c r="G16" s="1" t="s">
        <v>38</v>
      </c>
      <c r="H16" s="1" t="str">
        <f t="shared" si="2"/>
        <v>20220901</v>
      </c>
      <c r="I16" s="1" t="str">
        <f>"123238"</f>
        <v>123238</v>
      </c>
      <c r="J16" s="1" t="s">
        <v>27</v>
      </c>
      <c r="K16" s="1" t="s">
        <v>28</v>
      </c>
      <c r="L16" s="1" t="str">
        <f t="shared" si="3"/>
        <v>20220901</v>
      </c>
      <c r="M16" s="1" t="str">
        <f>"125606"</f>
        <v>125606</v>
      </c>
      <c r="N16" s="1" t="s">
        <v>44</v>
      </c>
      <c r="O16" s="1" t="s">
        <v>45</v>
      </c>
      <c r="P16" s="1" t="s">
        <v>55</v>
      </c>
      <c r="Q16" s="1">
        <v>25</v>
      </c>
      <c r="R16" s="1">
        <v>25</v>
      </c>
      <c r="S16" s="1">
        <v>0</v>
      </c>
      <c r="T16" s="1">
        <v>0</v>
      </c>
      <c r="U16" s="1">
        <v>0</v>
      </c>
      <c r="V16" s="1" t="str">
        <f t="shared" si="4"/>
        <v>里程去程</v>
      </c>
      <c r="W16" s="1" t="s">
        <v>35</v>
      </c>
    </row>
    <row r="17" spans="1:23" x14ac:dyDescent="0.3">
      <c r="A17" s="1" t="str">
        <f t="shared" si="0"/>
        <v>59820</v>
      </c>
      <c r="B17" s="1" t="s">
        <v>53</v>
      </c>
      <c r="C17" s="1" t="s">
        <v>54</v>
      </c>
      <c r="D17" s="1" t="str">
        <f t="shared" si="1"/>
        <v>9801</v>
      </c>
      <c r="E17" s="1" t="s">
        <v>25</v>
      </c>
      <c r="F17" s="1" t="str">
        <f>"3676907178"</f>
        <v>3676907178</v>
      </c>
      <c r="G17" s="1" t="s">
        <v>33</v>
      </c>
      <c r="H17" s="1" t="str">
        <f t="shared" si="2"/>
        <v>20220901</v>
      </c>
      <c r="I17" s="1" t="str">
        <f>"123248"</f>
        <v>123248</v>
      </c>
      <c r="J17" s="1" t="s">
        <v>27</v>
      </c>
      <c r="K17" s="1" t="s">
        <v>28</v>
      </c>
      <c r="L17" s="1" t="str">
        <f t="shared" si="3"/>
        <v>20220901</v>
      </c>
      <c r="M17" s="1" t="str">
        <f>"125459"</f>
        <v>125459</v>
      </c>
      <c r="N17" s="1" t="s">
        <v>44</v>
      </c>
      <c r="O17" s="1" t="s">
        <v>45</v>
      </c>
      <c r="P17" s="1" t="s">
        <v>55</v>
      </c>
      <c r="Q17" s="1">
        <v>25</v>
      </c>
      <c r="R17" s="1">
        <v>25</v>
      </c>
      <c r="S17" s="1">
        <v>0</v>
      </c>
      <c r="T17" s="1">
        <v>0</v>
      </c>
      <c r="U17" s="1">
        <v>0</v>
      </c>
      <c r="V17" s="1" t="str">
        <f t="shared" si="4"/>
        <v>里程去程</v>
      </c>
      <c r="W17" s="1" t="s">
        <v>35</v>
      </c>
    </row>
    <row r="18" spans="1:23" x14ac:dyDescent="0.3">
      <c r="A18" s="1" t="str">
        <f t="shared" si="0"/>
        <v>59820</v>
      </c>
      <c r="B18" s="1" t="s">
        <v>53</v>
      </c>
      <c r="C18" s="1" t="s">
        <v>54</v>
      </c>
      <c r="D18" s="1" t="str">
        <f t="shared" si="1"/>
        <v>9801</v>
      </c>
      <c r="E18" s="1" t="s">
        <v>25</v>
      </c>
      <c r="F18" s="1" t="str">
        <f>"1402001489"</f>
        <v>1402001489</v>
      </c>
      <c r="G18" s="1" t="s">
        <v>33</v>
      </c>
      <c r="H18" s="1" t="str">
        <f t="shared" si="2"/>
        <v>20220901</v>
      </c>
      <c r="I18" s="1" t="str">
        <f>"123259"</f>
        <v>123259</v>
      </c>
      <c r="J18" s="1" t="s">
        <v>27</v>
      </c>
      <c r="K18" s="1" t="s">
        <v>28</v>
      </c>
      <c r="L18" s="1" t="str">
        <f t="shared" si="3"/>
        <v>20220901</v>
      </c>
      <c r="M18" s="1" t="str">
        <f>"124814"</f>
        <v>124814</v>
      </c>
      <c r="N18" s="1" t="s">
        <v>75</v>
      </c>
      <c r="O18" s="1" t="s">
        <v>45</v>
      </c>
      <c r="P18" s="1" t="s">
        <v>55</v>
      </c>
      <c r="Q18" s="1">
        <v>25</v>
      </c>
      <c r="R18" s="1">
        <v>25</v>
      </c>
      <c r="S18" s="1">
        <v>0</v>
      </c>
      <c r="T18" s="1">
        <v>0</v>
      </c>
      <c r="U18" s="1">
        <v>0</v>
      </c>
      <c r="V18" s="1" t="str">
        <f t="shared" si="4"/>
        <v>里程去程</v>
      </c>
      <c r="W18" s="1" t="s">
        <v>35</v>
      </c>
    </row>
    <row r="19" spans="1:23" x14ac:dyDescent="0.3">
      <c r="A19" s="1" t="str">
        <f t="shared" si="0"/>
        <v>59820</v>
      </c>
      <c r="B19" s="1" t="s">
        <v>53</v>
      </c>
      <c r="C19" s="1" t="s">
        <v>54</v>
      </c>
      <c r="D19" s="1" t="str">
        <f t="shared" si="1"/>
        <v>9801</v>
      </c>
      <c r="E19" s="1" t="s">
        <v>25</v>
      </c>
      <c r="F19" s="1" t="str">
        <f>"2046566160"</f>
        <v>2046566160</v>
      </c>
      <c r="G19" s="1" t="s">
        <v>33</v>
      </c>
      <c r="H19" s="1" t="str">
        <f t="shared" si="2"/>
        <v>20220901</v>
      </c>
      <c r="I19" s="1" t="str">
        <f>"123308"</f>
        <v>123308</v>
      </c>
      <c r="J19" s="1" t="s">
        <v>27</v>
      </c>
      <c r="K19" s="1" t="s">
        <v>28</v>
      </c>
      <c r="L19" s="1" t="str">
        <f t="shared" si="3"/>
        <v>20220901</v>
      </c>
      <c r="M19" s="1" t="str">
        <f>"125308"</f>
        <v>125308</v>
      </c>
      <c r="N19" s="1" t="s">
        <v>44</v>
      </c>
      <c r="O19" s="1" t="s">
        <v>45</v>
      </c>
      <c r="P19" s="1" t="s">
        <v>55</v>
      </c>
      <c r="Q19" s="1">
        <v>25</v>
      </c>
      <c r="R19" s="1">
        <v>25</v>
      </c>
      <c r="S19" s="1">
        <v>0</v>
      </c>
      <c r="T19" s="1">
        <v>0</v>
      </c>
      <c r="U19" s="1">
        <v>0</v>
      </c>
      <c r="V19" s="1" t="str">
        <f t="shared" si="4"/>
        <v>里程去程</v>
      </c>
      <c r="W19" s="1" t="s">
        <v>35</v>
      </c>
    </row>
    <row r="20" spans="1:23" x14ac:dyDescent="0.3">
      <c r="A20" s="1" t="str">
        <f t="shared" si="0"/>
        <v>59820</v>
      </c>
      <c r="B20" s="1" t="s">
        <v>53</v>
      </c>
      <c r="C20" s="1" t="s">
        <v>54</v>
      </c>
      <c r="D20" s="1" t="str">
        <f t="shared" si="1"/>
        <v>9801</v>
      </c>
      <c r="E20" s="1" t="s">
        <v>25</v>
      </c>
      <c r="F20" s="1" t="str">
        <f>"F2F7D002D7880400C834002000000015"</f>
        <v>F2F7D002D7880400C834002000000015</v>
      </c>
      <c r="G20" s="1" t="s">
        <v>74</v>
      </c>
      <c r="H20" s="1" t="str">
        <f t="shared" si="2"/>
        <v>20220901</v>
      </c>
      <c r="I20" s="1" t="str">
        <f>"125628"</f>
        <v>125628</v>
      </c>
      <c r="J20" s="1" t="s">
        <v>52</v>
      </c>
      <c r="K20" s="1" t="s">
        <v>52</v>
      </c>
      <c r="L20" s="1" t="str">
        <f t="shared" si="3"/>
        <v>20220901</v>
      </c>
      <c r="M20" s="1" t="str">
        <f>"130646"</f>
        <v>130646</v>
      </c>
      <c r="N20" s="1" t="s">
        <v>60</v>
      </c>
      <c r="O20" s="1" t="s">
        <v>52</v>
      </c>
      <c r="P20" s="1" t="s">
        <v>68</v>
      </c>
      <c r="Q20" s="1">
        <v>13</v>
      </c>
      <c r="R20" s="1">
        <v>0</v>
      </c>
      <c r="S20" s="1">
        <v>0</v>
      </c>
      <c r="T20" s="1">
        <v>13</v>
      </c>
      <c r="U20" s="1">
        <v>0</v>
      </c>
      <c r="V20" s="1" t="str">
        <f t="shared" si="4"/>
        <v>里程去程</v>
      </c>
      <c r="W20" s="1" t="s">
        <v>29</v>
      </c>
    </row>
    <row r="21" spans="1:23" x14ac:dyDescent="0.3">
      <c r="A21" s="1" t="str">
        <f t="shared" si="0"/>
        <v>59820</v>
      </c>
      <c r="B21" s="1" t="s">
        <v>53</v>
      </c>
      <c r="C21" s="1" t="s">
        <v>54</v>
      </c>
      <c r="D21" s="1" t="str">
        <f t="shared" si="1"/>
        <v>9801</v>
      </c>
      <c r="E21" s="1" t="s">
        <v>25</v>
      </c>
      <c r="F21" s="1" t="str">
        <f>"1253959941"</f>
        <v>1253959941</v>
      </c>
      <c r="G21" s="1" t="s">
        <v>33</v>
      </c>
      <c r="H21" s="1" t="str">
        <f t="shared" si="2"/>
        <v>20220901</v>
      </c>
      <c r="I21" s="1" t="str">
        <f>"131534"</f>
        <v>131534</v>
      </c>
      <c r="J21" s="1" t="s">
        <v>97</v>
      </c>
      <c r="K21" s="1" t="s">
        <v>52</v>
      </c>
      <c r="L21" s="1" t="str">
        <f t="shared" si="3"/>
        <v>20220901</v>
      </c>
      <c r="M21" s="1" t="str">
        <f>"133137"</f>
        <v>133137</v>
      </c>
      <c r="N21" s="1" t="s">
        <v>70</v>
      </c>
      <c r="O21" s="1" t="s">
        <v>28</v>
      </c>
      <c r="P21" s="1" t="s">
        <v>55</v>
      </c>
      <c r="Q21" s="1">
        <v>25</v>
      </c>
      <c r="R21" s="1">
        <v>25</v>
      </c>
      <c r="S21" s="1">
        <v>0</v>
      </c>
      <c r="T21" s="1">
        <v>0</v>
      </c>
      <c r="U21" s="1">
        <v>0</v>
      </c>
      <c r="V21" s="1" t="str">
        <f t="shared" si="4"/>
        <v>里程去程</v>
      </c>
      <c r="W21" s="1" t="s">
        <v>35</v>
      </c>
    </row>
    <row r="22" spans="1:23" x14ac:dyDescent="0.3">
      <c r="A22" s="1" t="str">
        <f t="shared" si="0"/>
        <v>59820</v>
      </c>
      <c r="B22" s="1" t="s">
        <v>53</v>
      </c>
      <c r="C22" s="1" t="s">
        <v>54</v>
      </c>
      <c r="D22" s="1" t="str">
        <f t="shared" si="1"/>
        <v>9801</v>
      </c>
      <c r="E22" s="1" t="s">
        <v>25</v>
      </c>
      <c r="F22" s="1" t="str">
        <f>"7311210436000944"</f>
        <v>7311210436000944</v>
      </c>
      <c r="G22" s="1" t="s">
        <v>33</v>
      </c>
      <c r="H22" s="1" t="str">
        <f t="shared" si="2"/>
        <v>20220901</v>
      </c>
      <c r="I22" s="1" t="str">
        <f>"131536"</f>
        <v>131536</v>
      </c>
      <c r="J22" s="1" t="s">
        <v>97</v>
      </c>
      <c r="K22" s="1" t="s">
        <v>52</v>
      </c>
      <c r="L22" s="1" t="str">
        <f t="shared" si="3"/>
        <v>20220901</v>
      </c>
      <c r="M22" s="1" t="str">
        <f>"133146"</f>
        <v>133146</v>
      </c>
      <c r="N22" s="1" t="s">
        <v>70</v>
      </c>
      <c r="O22" s="1" t="s">
        <v>28</v>
      </c>
      <c r="P22" s="1" t="s">
        <v>55</v>
      </c>
      <c r="Q22" s="1">
        <v>25</v>
      </c>
      <c r="R22" s="1">
        <v>25</v>
      </c>
      <c r="S22" s="1">
        <v>0</v>
      </c>
      <c r="T22" s="1">
        <v>0</v>
      </c>
      <c r="U22" s="1">
        <v>0</v>
      </c>
      <c r="V22" s="1" t="str">
        <f t="shared" si="4"/>
        <v>里程去程</v>
      </c>
      <c r="W22" s="1" t="s">
        <v>109</v>
      </c>
    </row>
    <row r="23" spans="1:23" x14ac:dyDescent="0.3">
      <c r="A23" s="1" t="str">
        <f t="shared" si="0"/>
        <v>59820</v>
      </c>
      <c r="B23" s="1" t="s">
        <v>53</v>
      </c>
      <c r="C23" s="1" t="s">
        <v>54</v>
      </c>
      <c r="D23" s="1" t="str">
        <f t="shared" si="1"/>
        <v>9801</v>
      </c>
      <c r="E23" s="1" t="s">
        <v>25</v>
      </c>
      <c r="F23" s="1" t="str">
        <f>"52E24113E228040080CED9985D913018"</f>
        <v>52E24113E228040080CED9985D913018</v>
      </c>
      <c r="G23" s="1" t="s">
        <v>58</v>
      </c>
      <c r="H23" s="1" t="str">
        <f t="shared" si="2"/>
        <v>20220901</v>
      </c>
      <c r="I23" s="1" t="str">
        <f>"131538"</f>
        <v>131538</v>
      </c>
      <c r="J23" s="1" t="s">
        <v>97</v>
      </c>
      <c r="K23" s="1" t="s">
        <v>52</v>
      </c>
      <c r="L23" s="1" t="str">
        <f t="shared" si="3"/>
        <v>20220901</v>
      </c>
      <c r="M23" s="1" t="str">
        <f>"133142"</f>
        <v>133142</v>
      </c>
      <c r="N23" s="1" t="s">
        <v>70</v>
      </c>
      <c r="O23" s="1" t="s">
        <v>28</v>
      </c>
      <c r="P23" s="1" t="s">
        <v>55</v>
      </c>
      <c r="Q23" s="1">
        <v>25</v>
      </c>
      <c r="R23" s="1">
        <v>25</v>
      </c>
      <c r="S23" s="1">
        <v>0</v>
      </c>
      <c r="T23" s="1">
        <v>0</v>
      </c>
      <c r="U23" s="1">
        <v>0</v>
      </c>
      <c r="V23" s="1" t="str">
        <f t="shared" si="4"/>
        <v>里程去程</v>
      </c>
      <c r="W23" s="1" t="s">
        <v>29</v>
      </c>
    </row>
    <row r="24" spans="1:23" x14ac:dyDescent="0.3">
      <c r="A24" s="1" t="str">
        <f t="shared" si="0"/>
        <v>59820</v>
      </c>
      <c r="B24" s="1" t="s">
        <v>53</v>
      </c>
      <c r="C24" s="1" t="s">
        <v>54</v>
      </c>
      <c r="D24" s="1" t="str">
        <f t="shared" si="1"/>
        <v>9801</v>
      </c>
      <c r="E24" s="1" t="s">
        <v>25</v>
      </c>
      <c r="F24" s="1" t="str">
        <f>"7AA9B0D5B68804004755641951101408"</f>
        <v>7AA9B0D5B68804004755641951101408</v>
      </c>
      <c r="G24" s="1" t="s">
        <v>82</v>
      </c>
      <c r="H24" s="1" t="str">
        <f t="shared" si="2"/>
        <v>20220901</v>
      </c>
      <c r="I24" s="1" t="str">
        <f>"134410"</f>
        <v>134410</v>
      </c>
      <c r="J24" s="1" t="s">
        <v>45</v>
      </c>
      <c r="K24" s="1" t="s">
        <v>45</v>
      </c>
      <c r="L24" s="1" t="str">
        <f t="shared" si="3"/>
        <v>20220901</v>
      </c>
      <c r="M24" s="1" t="str">
        <f>"135600"</f>
        <v>135600</v>
      </c>
      <c r="N24" s="1" t="s">
        <v>44</v>
      </c>
      <c r="O24" s="1" t="s">
        <v>45</v>
      </c>
      <c r="P24" s="1" t="s">
        <v>55</v>
      </c>
      <c r="Q24" s="1">
        <v>13</v>
      </c>
      <c r="R24" s="1">
        <v>0</v>
      </c>
      <c r="S24" s="1">
        <v>13</v>
      </c>
      <c r="T24" s="1">
        <v>0</v>
      </c>
      <c r="U24" s="1">
        <v>0</v>
      </c>
      <c r="V24" s="1" t="str">
        <f t="shared" si="4"/>
        <v>里程去程</v>
      </c>
      <c r="W24" s="1" t="s">
        <v>29</v>
      </c>
    </row>
    <row r="25" spans="1:23" x14ac:dyDescent="0.3">
      <c r="A25" s="1" t="str">
        <f t="shared" si="0"/>
        <v>59820</v>
      </c>
      <c r="B25" s="1" t="s">
        <v>53</v>
      </c>
      <c r="C25" s="1" t="s">
        <v>54</v>
      </c>
      <c r="D25" s="1" t="str">
        <f t="shared" si="1"/>
        <v>9801</v>
      </c>
      <c r="E25" s="1" t="s">
        <v>25</v>
      </c>
      <c r="F25" s="1" t="str">
        <f>"AA1D80DCEB880400474D949455101208"</f>
        <v>AA1D80DCEB880400474D949455101208</v>
      </c>
      <c r="G25" s="1" t="s">
        <v>66</v>
      </c>
      <c r="H25" s="1" t="str">
        <f t="shared" si="2"/>
        <v>20220901</v>
      </c>
      <c r="I25" s="1" t="str">
        <f>"134411"</f>
        <v>134411</v>
      </c>
      <c r="J25" s="1" t="s">
        <v>45</v>
      </c>
      <c r="K25" s="1" t="s">
        <v>45</v>
      </c>
      <c r="L25" s="1" t="str">
        <f t="shared" si="3"/>
        <v>20220901</v>
      </c>
      <c r="M25" s="1" t="str">
        <f>"135603"</f>
        <v>135603</v>
      </c>
      <c r="N25" s="1" t="s">
        <v>44</v>
      </c>
      <c r="O25" s="1" t="s">
        <v>45</v>
      </c>
      <c r="P25" s="1" t="s">
        <v>55</v>
      </c>
      <c r="Q25" s="1">
        <v>13</v>
      </c>
      <c r="R25" s="1">
        <v>0</v>
      </c>
      <c r="S25" s="1">
        <v>13</v>
      </c>
      <c r="T25" s="1">
        <v>0</v>
      </c>
      <c r="U25" s="1">
        <v>0</v>
      </c>
      <c r="V25" s="1" t="str">
        <f t="shared" si="4"/>
        <v>里程去程</v>
      </c>
      <c r="W25" s="1" t="s">
        <v>29</v>
      </c>
    </row>
    <row r="26" spans="1:23" x14ac:dyDescent="0.3">
      <c r="A26" s="1" t="str">
        <f t="shared" si="0"/>
        <v>59820</v>
      </c>
      <c r="B26" s="1" t="s">
        <v>53</v>
      </c>
      <c r="C26" s="1" t="s">
        <v>54</v>
      </c>
      <c r="D26" s="1" t="str">
        <f t="shared" si="1"/>
        <v>9801</v>
      </c>
      <c r="E26" s="1" t="s">
        <v>25</v>
      </c>
      <c r="F26" s="1" t="str">
        <f>"F27CE6026A880400C834002000000015"</f>
        <v>F27CE6026A880400C834002000000015</v>
      </c>
      <c r="G26" s="1" t="s">
        <v>74</v>
      </c>
      <c r="H26" s="1" t="str">
        <f t="shared" si="2"/>
        <v>20220901</v>
      </c>
      <c r="I26" s="1" t="str">
        <f>"145615"</f>
        <v>145615</v>
      </c>
      <c r="J26" s="1" t="s">
        <v>52</v>
      </c>
      <c r="K26" s="1" t="s">
        <v>52</v>
      </c>
      <c r="L26" s="1" t="str">
        <f t="shared" si="3"/>
        <v>20220901</v>
      </c>
      <c r="M26" s="1" t="str">
        <f>"150524"</f>
        <v>150524</v>
      </c>
      <c r="N26" s="1" t="s">
        <v>60</v>
      </c>
      <c r="O26" s="1" t="s">
        <v>52</v>
      </c>
      <c r="P26" s="1" t="s">
        <v>68</v>
      </c>
      <c r="Q26" s="1">
        <v>13</v>
      </c>
      <c r="R26" s="1">
        <v>0</v>
      </c>
      <c r="S26" s="1">
        <v>0</v>
      </c>
      <c r="T26" s="1">
        <v>13</v>
      </c>
      <c r="U26" s="1">
        <v>0</v>
      </c>
      <c r="V26" s="1" t="str">
        <f t="shared" si="4"/>
        <v>里程去程</v>
      </c>
      <c r="W26" s="1" t="s">
        <v>29</v>
      </c>
    </row>
    <row r="27" spans="1:23" x14ac:dyDescent="0.3">
      <c r="A27" s="1" t="str">
        <f t="shared" si="0"/>
        <v>59820</v>
      </c>
      <c r="B27" s="1" t="s">
        <v>53</v>
      </c>
      <c r="C27" s="1" t="s">
        <v>54</v>
      </c>
      <c r="D27" s="1" t="str">
        <f t="shared" si="1"/>
        <v>9801</v>
      </c>
      <c r="E27" s="1" t="s">
        <v>25</v>
      </c>
      <c r="F27" s="1" t="str">
        <f>"F2C64D0E77880400C806002000000018"</f>
        <v>F2C64D0E77880400C806002000000018</v>
      </c>
      <c r="G27" s="1" t="s">
        <v>58</v>
      </c>
      <c r="H27" s="1" t="str">
        <f t="shared" si="2"/>
        <v>20220901</v>
      </c>
      <c r="I27" s="1" t="str">
        <f>"160714"</f>
        <v>160714</v>
      </c>
      <c r="J27" s="1" t="s">
        <v>60</v>
      </c>
      <c r="K27" s="1" t="s">
        <v>52</v>
      </c>
      <c r="L27" s="1" t="str">
        <f t="shared" si="3"/>
        <v>20220901</v>
      </c>
      <c r="M27" s="1" t="str">
        <f>"163646"</f>
        <v>163646</v>
      </c>
      <c r="N27" s="1" t="s">
        <v>70</v>
      </c>
      <c r="O27" s="1" t="s">
        <v>28</v>
      </c>
      <c r="P27" s="1" t="s">
        <v>55</v>
      </c>
      <c r="Q27" s="1">
        <v>25</v>
      </c>
      <c r="R27" s="1">
        <v>25</v>
      </c>
      <c r="S27" s="1">
        <v>0</v>
      </c>
      <c r="T27" s="1">
        <v>0</v>
      </c>
      <c r="U27" s="1">
        <v>0</v>
      </c>
      <c r="V27" s="1" t="str">
        <f t="shared" si="4"/>
        <v>里程去程</v>
      </c>
      <c r="W27" s="1" t="s">
        <v>29</v>
      </c>
    </row>
    <row r="28" spans="1:23" x14ac:dyDescent="0.3">
      <c r="A28" s="1" t="str">
        <f t="shared" si="0"/>
        <v>59820</v>
      </c>
      <c r="B28" s="1" t="s">
        <v>53</v>
      </c>
      <c r="C28" s="1" t="s">
        <v>54</v>
      </c>
      <c r="D28" s="1" t="str">
        <f t="shared" si="1"/>
        <v>9801</v>
      </c>
      <c r="E28" s="1" t="s">
        <v>25</v>
      </c>
      <c r="F28" s="1" t="str">
        <f>"F2F7D002D7880400C834002000000015"</f>
        <v>F2F7D002D7880400C834002000000015</v>
      </c>
      <c r="G28" s="1" t="s">
        <v>74</v>
      </c>
      <c r="H28" s="1" t="str">
        <f t="shared" si="2"/>
        <v>20220901</v>
      </c>
      <c r="I28" s="1" t="str">
        <f>"160716"</f>
        <v>160716</v>
      </c>
      <c r="J28" s="1" t="s">
        <v>60</v>
      </c>
      <c r="K28" s="1" t="s">
        <v>52</v>
      </c>
      <c r="L28" s="1" t="str">
        <f t="shared" si="3"/>
        <v>20220901</v>
      </c>
      <c r="M28" s="1" t="str">
        <f>"162553"</f>
        <v>162553</v>
      </c>
      <c r="N28" s="1" t="s">
        <v>78</v>
      </c>
      <c r="O28" s="1" t="s">
        <v>52</v>
      </c>
      <c r="P28" s="1" t="s">
        <v>68</v>
      </c>
      <c r="Q28" s="1">
        <v>13</v>
      </c>
      <c r="R28" s="1">
        <v>0</v>
      </c>
      <c r="S28" s="1">
        <v>0</v>
      </c>
      <c r="T28" s="1">
        <v>13</v>
      </c>
      <c r="U28" s="1">
        <v>0</v>
      </c>
      <c r="V28" s="1" t="str">
        <f t="shared" si="4"/>
        <v>里程去程</v>
      </c>
      <c r="W28" s="1" t="s">
        <v>29</v>
      </c>
    </row>
    <row r="29" spans="1:23" x14ac:dyDescent="0.3">
      <c r="A29" s="1" t="str">
        <f t="shared" si="0"/>
        <v>59820</v>
      </c>
      <c r="B29" s="1" t="s">
        <v>53</v>
      </c>
      <c r="C29" s="1" t="s">
        <v>54</v>
      </c>
      <c r="D29" s="1" t="str">
        <f t="shared" si="1"/>
        <v>9801</v>
      </c>
      <c r="E29" s="1" t="s">
        <v>25</v>
      </c>
      <c r="F29" s="1" t="str">
        <f>"1175079957"</f>
        <v>1175079957</v>
      </c>
      <c r="G29" s="1" t="s">
        <v>38</v>
      </c>
      <c r="H29" s="1" t="str">
        <f t="shared" si="2"/>
        <v>20220901</v>
      </c>
      <c r="I29" s="1" t="str">
        <f>"161218"</f>
        <v>161218</v>
      </c>
      <c r="J29" s="1" t="s">
        <v>72</v>
      </c>
      <c r="K29" s="1" t="s">
        <v>52</v>
      </c>
      <c r="L29" s="1" t="str">
        <f t="shared" si="3"/>
        <v>20220901</v>
      </c>
      <c r="M29" s="1" t="str">
        <f>"163642"</f>
        <v>163642</v>
      </c>
      <c r="N29" s="1" t="s">
        <v>70</v>
      </c>
      <c r="O29" s="1" t="s">
        <v>28</v>
      </c>
      <c r="P29" s="1" t="s">
        <v>55</v>
      </c>
      <c r="Q29" s="1">
        <v>25</v>
      </c>
      <c r="R29" s="1">
        <v>25</v>
      </c>
      <c r="S29" s="1">
        <v>0</v>
      </c>
      <c r="T29" s="1">
        <v>0</v>
      </c>
      <c r="U29" s="1">
        <v>0</v>
      </c>
      <c r="V29" s="1" t="str">
        <f t="shared" si="4"/>
        <v>里程去程</v>
      </c>
      <c r="W29" s="1" t="s">
        <v>35</v>
      </c>
    </row>
    <row r="30" spans="1:23" x14ac:dyDescent="0.3">
      <c r="A30" s="1" t="str">
        <f t="shared" si="0"/>
        <v>59820</v>
      </c>
      <c r="B30" s="1" t="s">
        <v>53</v>
      </c>
      <c r="C30" s="1" t="s">
        <v>54</v>
      </c>
      <c r="D30" s="1" t="str">
        <f t="shared" si="1"/>
        <v>9801</v>
      </c>
      <c r="E30" s="1" t="s">
        <v>25</v>
      </c>
      <c r="F30" s="1" t="str">
        <f>"72BFE5022A880400C834002000000015"</f>
        <v>72BFE5022A880400C834002000000015</v>
      </c>
      <c r="G30" s="1" t="s">
        <v>26</v>
      </c>
      <c r="H30" s="1" t="str">
        <f t="shared" si="2"/>
        <v>20220901</v>
      </c>
      <c r="I30" s="1" t="str">
        <f>"163656"</f>
        <v>163656</v>
      </c>
      <c r="J30" s="1" t="s">
        <v>27</v>
      </c>
      <c r="K30" s="1" t="s">
        <v>28</v>
      </c>
      <c r="L30" s="1" t="str">
        <f t="shared" si="3"/>
        <v>20220901</v>
      </c>
      <c r="M30" s="1" t="str">
        <f>"165335"</f>
        <v>165335</v>
      </c>
      <c r="N30" s="1" t="s">
        <v>61</v>
      </c>
      <c r="O30" s="1" t="s">
        <v>45</v>
      </c>
      <c r="P30" s="1" t="s">
        <v>68</v>
      </c>
      <c r="Q30" s="1">
        <v>13</v>
      </c>
      <c r="R30" s="1">
        <v>0</v>
      </c>
      <c r="S30" s="1">
        <v>0</v>
      </c>
      <c r="T30" s="1">
        <v>13</v>
      </c>
      <c r="U30" s="1">
        <v>0</v>
      </c>
      <c r="V30" s="1" t="str">
        <f t="shared" si="4"/>
        <v>里程去程</v>
      </c>
      <c r="W30" s="1" t="s">
        <v>29</v>
      </c>
    </row>
    <row r="31" spans="1:23" x14ac:dyDescent="0.3">
      <c r="A31" s="1" t="str">
        <f t="shared" si="0"/>
        <v>59820</v>
      </c>
      <c r="B31" s="1" t="s">
        <v>53</v>
      </c>
      <c r="C31" s="1" t="s">
        <v>54</v>
      </c>
      <c r="D31" s="1" t="str">
        <f t="shared" si="1"/>
        <v>9801</v>
      </c>
      <c r="E31" s="1" t="s">
        <v>25</v>
      </c>
      <c r="F31" s="1" t="str">
        <f>"989079681"</f>
        <v>989079681</v>
      </c>
      <c r="G31" s="1" t="s">
        <v>33</v>
      </c>
      <c r="H31" s="1" t="str">
        <f t="shared" si="2"/>
        <v>20220901</v>
      </c>
      <c r="I31" s="1" t="str">
        <f>"163700"</f>
        <v>163700</v>
      </c>
      <c r="J31" s="1" t="s">
        <v>27</v>
      </c>
      <c r="K31" s="1" t="s">
        <v>28</v>
      </c>
      <c r="L31" s="1" t="str">
        <f t="shared" si="3"/>
        <v>20220901</v>
      </c>
      <c r="M31" s="1" t="str">
        <f>"165559"</f>
        <v>165559</v>
      </c>
      <c r="N31" s="1" t="s">
        <v>75</v>
      </c>
      <c r="O31" s="1" t="s">
        <v>45</v>
      </c>
      <c r="P31" s="1" t="s">
        <v>55</v>
      </c>
      <c r="Q31" s="1">
        <v>25</v>
      </c>
      <c r="R31" s="1">
        <v>25</v>
      </c>
      <c r="S31" s="1">
        <v>0</v>
      </c>
      <c r="T31" s="1">
        <v>0</v>
      </c>
      <c r="U31" s="1">
        <v>0</v>
      </c>
      <c r="V31" s="1" t="str">
        <f t="shared" si="4"/>
        <v>里程去程</v>
      </c>
      <c r="W31" s="1" t="s">
        <v>35</v>
      </c>
    </row>
    <row r="32" spans="1:23" x14ac:dyDescent="0.3">
      <c r="A32" s="1" t="str">
        <f t="shared" si="0"/>
        <v>59820</v>
      </c>
      <c r="B32" s="1" t="s">
        <v>53</v>
      </c>
      <c r="C32" s="1" t="s">
        <v>54</v>
      </c>
      <c r="D32" s="1" t="str">
        <f t="shared" si="1"/>
        <v>9801</v>
      </c>
      <c r="E32" s="1" t="s">
        <v>25</v>
      </c>
      <c r="F32" s="1" t="str">
        <f>"3758511495"</f>
        <v>3758511495</v>
      </c>
      <c r="G32" s="1" t="s">
        <v>33</v>
      </c>
      <c r="H32" s="1" t="str">
        <f t="shared" si="2"/>
        <v>20220901</v>
      </c>
      <c r="I32" s="1" t="str">
        <f>"163703"</f>
        <v>163703</v>
      </c>
      <c r="J32" s="1" t="s">
        <v>27</v>
      </c>
      <c r="K32" s="1" t="s">
        <v>28</v>
      </c>
      <c r="L32" s="1" t="str">
        <f t="shared" si="3"/>
        <v>20220901</v>
      </c>
      <c r="M32" s="1" t="str">
        <f>"165555"</f>
        <v>165555</v>
      </c>
      <c r="N32" s="1" t="s">
        <v>75</v>
      </c>
      <c r="O32" s="1" t="s">
        <v>45</v>
      </c>
      <c r="P32" s="1" t="s">
        <v>55</v>
      </c>
      <c r="Q32" s="1">
        <v>25</v>
      </c>
      <c r="R32" s="1">
        <v>25</v>
      </c>
      <c r="S32" s="1">
        <v>0</v>
      </c>
      <c r="T32" s="1">
        <v>0</v>
      </c>
      <c r="U32" s="1">
        <v>0</v>
      </c>
      <c r="V32" s="1" t="str">
        <f t="shared" si="4"/>
        <v>里程去程</v>
      </c>
      <c r="W32" s="1" t="s">
        <v>35</v>
      </c>
    </row>
    <row r="33" spans="1:23" x14ac:dyDescent="0.3">
      <c r="A33" s="1" t="str">
        <f t="shared" si="0"/>
        <v>59820</v>
      </c>
      <c r="B33" s="1" t="s">
        <v>53</v>
      </c>
      <c r="C33" s="1" t="s">
        <v>54</v>
      </c>
      <c r="D33" s="1" t="str">
        <f t="shared" si="1"/>
        <v>9801</v>
      </c>
      <c r="E33" s="1" t="s">
        <v>25</v>
      </c>
      <c r="F33" s="1" t="str">
        <f>"1462855841"</f>
        <v>1462855841</v>
      </c>
      <c r="G33" s="1" t="s">
        <v>33</v>
      </c>
      <c r="H33" s="1" t="str">
        <f t="shared" si="2"/>
        <v>20220901</v>
      </c>
      <c r="I33" s="1" t="str">
        <f>"163710"</f>
        <v>163710</v>
      </c>
      <c r="J33" s="1" t="s">
        <v>27</v>
      </c>
      <c r="K33" s="1" t="s">
        <v>28</v>
      </c>
      <c r="L33" s="1" t="str">
        <f t="shared" si="3"/>
        <v>20220901</v>
      </c>
      <c r="M33" s="1" t="str">
        <f>"170402"</f>
        <v>170402</v>
      </c>
      <c r="N33" s="1" t="s">
        <v>44</v>
      </c>
      <c r="O33" s="1" t="s">
        <v>45</v>
      </c>
      <c r="P33" s="1" t="s">
        <v>55</v>
      </c>
      <c r="Q33" s="1">
        <v>25</v>
      </c>
      <c r="R33" s="1">
        <v>0</v>
      </c>
      <c r="S33" s="1">
        <v>25</v>
      </c>
      <c r="T33" s="1">
        <v>0</v>
      </c>
      <c r="U33" s="1">
        <v>0</v>
      </c>
      <c r="V33" s="1" t="str">
        <f t="shared" si="4"/>
        <v>里程去程</v>
      </c>
      <c r="W33" s="1" t="s">
        <v>35</v>
      </c>
    </row>
    <row r="34" spans="1:23" x14ac:dyDescent="0.3">
      <c r="A34" s="1" t="str">
        <f t="shared" si="0"/>
        <v>59820</v>
      </c>
      <c r="B34" s="1" t="s">
        <v>53</v>
      </c>
      <c r="C34" s="1" t="s">
        <v>54</v>
      </c>
      <c r="D34" s="1" t="str">
        <f t="shared" si="1"/>
        <v>9801</v>
      </c>
      <c r="E34" s="1" t="s">
        <v>25</v>
      </c>
      <c r="F34" s="1" t="str">
        <f>"212686689"</f>
        <v>212686689</v>
      </c>
      <c r="G34" s="1" t="s">
        <v>33</v>
      </c>
      <c r="H34" s="1" t="str">
        <f t="shared" si="2"/>
        <v>20220901</v>
      </c>
      <c r="I34" s="1" t="str">
        <f>"163742"</f>
        <v>163742</v>
      </c>
      <c r="J34" s="1" t="s">
        <v>27</v>
      </c>
      <c r="K34" s="1" t="s">
        <v>28</v>
      </c>
      <c r="L34" s="1" t="str">
        <f t="shared" si="3"/>
        <v>20220901</v>
      </c>
      <c r="M34" s="1" t="str">
        <f>"170148"</f>
        <v>170148</v>
      </c>
      <c r="N34" s="1" t="s">
        <v>44</v>
      </c>
      <c r="O34" s="1" t="s">
        <v>45</v>
      </c>
      <c r="P34" s="1" t="s">
        <v>55</v>
      </c>
      <c r="Q34" s="1">
        <v>25</v>
      </c>
      <c r="R34" s="1">
        <v>25</v>
      </c>
      <c r="S34" s="1">
        <v>0</v>
      </c>
      <c r="T34" s="1">
        <v>0</v>
      </c>
      <c r="U34" s="1">
        <v>0</v>
      </c>
      <c r="V34" s="1" t="str">
        <f t="shared" si="4"/>
        <v>里程去程</v>
      </c>
      <c r="W34" s="1" t="s">
        <v>35</v>
      </c>
    </row>
    <row r="35" spans="1:23" x14ac:dyDescent="0.3">
      <c r="A35" s="1" t="str">
        <f t="shared" si="0"/>
        <v>59820</v>
      </c>
      <c r="B35" s="1" t="s">
        <v>53</v>
      </c>
      <c r="C35" s="1" t="s">
        <v>54</v>
      </c>
      <c r="D35" s="1" t="str">
        <f t="shared" si="1"/>
        <v>9801</v>
      </c>
      <c r="E35" s="1" t="s">
        <v>25</v>
      </c>
      <c r="F35" s="1" t="str">
        <f>"1276011541"</f>
        <v>1276011541</v>
      </c>
      <c r="G35" s="1" t="s">
        <v>33</v>
      </c>
      <c r="H35" s="1" t="str">
        <f t="shared" si="2"/>
        <v>20220901</v>
      </c>
      <c r="I35" s="1" t="str">
        <f>"163800"</f>
        <v>163800</v>
      </c>
      <c r="J35" s="1" t="s">
        <v>27</v>
      </c>
      <c r="K35" s="1" t="s">
        <v>28</v>
      </c>
      <c r="L35" s="1" t="str">
        <f t="shared" si="3"/>
        <v>20220901</v>
      </c>
      <c r="M35" s="1" t="str">
        <f>"170353"</f>
        <v>170353</v>
      </c>
      <c r="N35" s="1" t="s">
        <v>44</v>
      </c>
      <c r="O35" s="1" t="s">
        <v>45</v>
      </c>
      <c r="P35" s="1" t="s">
        <v>55</v>
      </c>
      <c r="Q35" s="1">
        <v>25</v>
      </c>
      <c r="R35" s="1">
        <v>25</v>
      </c>
      <c r="S35" s="1">
        <v>0</v>
      </c>
      <c r="T35" s="1">
        <v>0</v>
      </c>
      <c r="U35" s="1">
        <v>0</v>
      </c>
      <c r="V35" s="1" t="str">
        <f t="shared" si="4"/>
        <v>里程去程</v>
      </c>
      <c r="W35" s="1" t="s">
        <v>35</v>
      </c>
    </row>
    <row r="36" spans="1:23" x14ac:dyDescent="0.3">
      <c r="A36" s="1" t="str">
        <f t="shared" si="0"/>
        <v>59820</v>
      </c>
      <c r="B36" s="1" t="s">
        <v>53</v>
      </c>
      <c r="C36" s="1" t="s">
        <v>54</v>
      </c>
      <c r="D36" s="1" t="str">
        <f t="shared" si="1"/>
        <v>9801</v>
      </c>
      <c r="E36" s="1" t="s">
        <v>25</v>
      </c>
      <c r="F36" s="1" t="str">
        <f>"1733504017"</f>
        <v>1733504017</v>
      </c>
      <c r="G36" s="1" t="s">
        <v>26</v>
      </c>
      <c r="H36" s="1" t="str">
        <f t="shared" si="2"/>
        <v>20220901</v>
      </c>
      <c r="I36" s="1" t="str">
        <f>"163809"</f>
        <v>163809</v>
      </c>
      <c r="J36" s="1" t="s">
        <v>27</v>
      </c>
      <c r="K36" s="1" t="s">
        <v>28</v>
      </c>
      <c r="L36" s="1" t="str">
        <f t="shared" si="3"/>
        <v>20220901</v>
      </c>
      <c r="M36" s="1" t="str">
        <f>"170357"</f>
        <v>170357</v>
      </c>
      <c r="N36" s="1" t="s">
        <v>44</v>
      </c>
      <c r="O36" s="1" t="s">
        <v>45</v>
      </c>
      <c r="P36" s="1" t="s">
        <v>55</v>
      </c>
      <c r="Q36" s="1">
        <v>13</v>
      </c>
      <c r="R36" s="1">
        <v>13</v>
      </c>
      <c r="S36" s="1">
        <v>0</v>
      </c>
      <c r="T36" s="1">
        <v>0</v>
      </c>
      <c r="U36" s="1">
        <v>0</v>
      </c>
      <c r="V36" s="1" t="str">
        <f t="shared" si="4"/>
        <v>里程去程</v>
      </c>
      <c r="W36" s="1" t="s">
        <v>35</v>
      </c>
    </row>
    <row r="37" spans="1:23" x14ac:dyDescent="0.3">
      <c r="A37" s="1" t="str">
        <f t="shared" si="0"/>
        <v>59820</v>
      </c>
      <c r="B37" s="1" t="s">
        <v>53</v>
      </c>
      <c r="C37" s="1" t="s">
        <v>54</v>
      </c>
      <c r="D37" s="1" t="str">
        <f t="shared" si="1"/>
        <v>9801</v>
      </c>
      <c r="E37" s="1" t="s">
        <v>25</v>
      </c>
      <c r="F37" s="1" t="str">
        <f>"2508078050"</f>
        <v>2508078050</v>
      </c>
      <c r="G37" s="1" t="s">
        <v>33</v>
      </c>
      <c r="H37" s="1" t="str">
        <f t="shared" si="2"/>
        <v>20220901</v>
      </c>
      <c r="I37" s="1" t="str">
        <f>"163833"</f>
        <v>163833</v>
      </c>
      <c r="J37" s="1" t="s">
        <v>27</v>
      </c>
      <c r="K37" s="1" t="s">
        <v>28</v>
      </c>
      <c r="L37" s="1" t="str">
        <f t="shared" si="3"/>
        <v>20220901</v>
      </c>
      <c r="M37" s="1" t="str">
        <f>"170349"</f>
        <v>170349</v>
      </c>
      <c r="N37" s="1" t="s">
        <v>44</v>
      </c>
      <c r="O37" s="1" t="s">
        <v>45</v>
      </c>
      <c r="P37" s="1" t="s">
        <v>55</v>
      </c>
      <c r="Q37" s="1">
        <v>25</v>
      </c>
      <c r="R37" s="1">
        <v>0</v>
      </c>
      <c r="S37" s="1">
        <v>25</v>
      </c>
      <c r="T37" s="1">
        <v>0</v>
      </c>
      <c r="U37" s="1">
        <v>0</v>
      </c>
      <c r="V37" s="1" t="str">
        <f t="shared" si="4"/>
        <v>里程去程</v>
      </c>
      <c r="W37" s="1" t="s">
        <v>35</v>
      </c>
    </row>
    <row r="38" spans="1:23" x14ac:dyDescent="0.3">
      <c r="A38" s="1" t="str">
        <f t="shared" si="0"/>
        <v>59820</v>
      </c>
      <c r="B38" s="1" t="s">
        <v>53</v>
      </c>
      <c r="C38" s="1" t="s">
        <v>54</v>
      </c>
      <c r="D38" s="1" t="str">
        <f t="shared" si="1"/>
        <v>9801</v>
      </c>
      <c r="E38" s="1" t="s">
        <v>25</v>
      </c>
      <c r="F38" s="1" t="str">
        <f>"148116485"</f>
        <v>148116485</v>
      </c>
      <c r="G38" s="1" t="s">
        <v>33</v>
      </c>
      <c r="H38" s="1" t="str">
        <f t="shared" si="2"/>
        <v>20220901</v>
      </c>
      <c r="I38" s="1" t="str">
        <f>"163837"</f>
        <v>163837</v>
      </c>
      <c r="J38" s="1" t="s">
        <v>27</v>
      </c>
      <c r="K38" s="1" t="s">
        <v>28</v>
      </c>
      <c r="L38" s="1" t="str">
        <f t="shared" si="3"/>
        <v>20220901</v>
      </c>
      <c r="M38" s="1" t="str">
        <f>"170346"</f>
        <v>170346</v>
      </c>
      <c r="N38" s="1" t="s">
        <v>44</v>
      </c>
      <c r="O38" s="1" t="s">
        <v>45</v>
      </c>
      <c r="P38" s="1" t="s">
        <v>55</v>
      </c>
      <c r="Q38" s="1">
        <v>25</v>
      </c>
      <c r="R38" s="1">
        <v>0</v>
      </c>
      <c r="S38" s="1">
        <v>25</v>
      </c>
      <c r="T38" s="1">
        <v>0</v>
      </c>
      <c r="U38" s="1">
        <v>0</v>
      </c>
      <c r="V38" s="1" t="str">
        <f t="shared" si="4"/>
        <v>里程去程</v>
      </c>
      <c r="W38" s="1" t="s">
        <v>35</v>
      </c>
    </row>
    <row r="39" spans="1:23" x14ac:dyDescent="0.3">
      <c r="A39" s="1" t="str">
        <f t="shared" si="0"/>
        <v>59820</v>
      </c>
      <c r="B39" s="1" t="s">
        <v>53</v>
      </c>
      <c r="C39" s="1" t="s">
        <v>54</v>
      </c>
      <c r="D39" s="1" t="str">
        <f t="shared" si="1"/>
        <v>9801</v>
      </c>
      <c r="E39" s="1" t="s">
        <v>25</v>
      </c>
      <c r="F39" s="1" t="str">
        <f>"894153189"</f>
        <v>894153189</v>
      </c>
      <c r="G39" s="1" t="s">
        <v>33</v>
      </c>
      <c r="H39" s="1" t="str">
        <f t="shared" si="2"/>
        <v>20220901</v>
      </c>
      <c r="I39" s="1" t="str">
        <f>"201053"</f>
        <v>201053</v>
      </c>
      <c r="J39" s="1" t="s">
        <v>72</v>
      </c>
      <c r="K39" s="1" t="s">
        <v>52</v>
      </c>
      <c r="L39" s="1" t="str">
        <f t="shared" si="3"/>
        <v>20220901</v>
      </c>
      <c r="M39" s="1" t="str">
        <f>"203226"</f>
        <v>203226</v>
      </c>
      <c r="N39" s="1" t="s">
        <v>70</v>
      </c>
      <c r="O39" s="1" t="s">
        <v>28</v>
      </c>
      <c r="P39" s="1" t="s">
        <v>55</v>
      </c>
      <c r="Q39" s="1">
        <v>25</v>
      </c>
      <c r="R39" s="1">
        <v>25</v>
      </c>
      <c r="S39" s="1">
        <v>0</v>
      </c>
      <c r="T39" s="1">
        <v>0</v>
      </c>
      <c r="U39" s="1">
        <v>0</v>
      </c>
      <c r="V39" s="1" t="str">
        <f t="shared" si="4"/>
        <v>里程去程</v>
      </c>
      <c r="W39" s="1" t="s">
        <v>35</v>
      </c>
    </row>
    <row r="40" spans="1:23" x14ac:dyDescent="0.3">
      <c r="A40" s="1" t="str">
        <f t="shared" si="0"/>
        <v>59820</v>
      </c>
      <c r="B40" s="1" t="s">
        <v>53</v>
      </c>
      <c r="C40" s="1" t="s">
        <v>54</v>
      </c>
      <c r="D40" s="1" t="str">
        <f t="shared" si="1"/>
        <v>9801</v>
      </c>
      <c r="E40" s="1" t="s">
        <v>25</v>
      </c>
      <c r="F40" s="1" t="str">
        <f>"1071069425"</f>
        <v>1071069425</v>
      </c>
      <c r="G40" s="1" t="s">
        <v>33</v>
      </c>
      <c r="H40" s="1" t="str">
        <f t="shared" si="2"/>
        <v>20220901</v>
      </c>
      <c r="I40" s="1" t="str">
        <f>"203357"</f>
        <v>203357</v>
      </c>
      <c r="J40" s="1" t="s">
        <v>27</v>
      </c>
      <c r="K40" s="1" t="s">
        <v>28</v>
      </c>
      <c r="L40" s="1" t="str">
        <f t="shared" si="3"/>
        <v>20220901</v>
      </c>
      <c r="M40" s="1" t="str">
        <f>"204617"</f>
        <v>204617</v>
      </c>
      <c r="N40" s="1" t="s">
        <v>56</v>
      </c>
      <c r="O40" s="1" t="s">
        <v>45</v>
      </c>
      <c r="P40" s="1" t="s">
        <v>55</v>
      </c>
      <c r="Q40" s="1">
        <v>25</v>
      </c>
      <c r="R40" s="1">
        <v>25</v>
      </c>
      <c r="S40" s="1">
        <v>0</v>
      </c>
      <c r="T40" s="1">
        <v>0</v>
      </c>
      <c r="U40" s="1">
        <v>0</v>
      </c>
      <c r="V40" s="1" t="str">
        <f t="shared" si="4"/>
        <v>里程去程</v>
      </c>
      <c r="W40" s="1" t="s">
        <v>35</v>
      </c>
    </row>
    <row r="41" spans="1:23" x14ac:dyDescent="0.3">
      <c r="A41" s="1" t="str">
        <f t="shared" ref="A41:A46" si="5">"59822"</f>
        <v>59822</v>
      </c>
      <c r="B41" s="1" t="s">
        <v>39</v>
      </c>
      <c r="C41" s="1" t="s">
        <v>40</v>
      </c>
      <c r="D41" s="1" t="str">
        <f t="shared" si="1"/>
        <v>9801</v>
      </c>
      <c r="E41" s="1" t="s">
        <v>25</v>
      </c>
      <c r="F41" s="1" t="str">
        <f>"82D5FB02AE880400C834002000000015"</f>
        <v>82D5FB02AE880400C834002000000015</v>
      </c>
      <c r="G41" s="1" t="s">
        <v>26</v>
      </c>
      <c r="H41" s="1" t="str">
        <f t="shared" si="2"/>
        <v>20220901</v>
      </c>
      <c r="I41" s="1" t="str">
        <f>"080948"</f>
        <v>080948</v>
      </c>
      <c r="J41" s="1" t="s">
        <v>51</v>
      </c>
      <c r="K41" s="1" t="s">
        <v>52</v>
      </c>
      <c r="L41" s="1" t="str">
        <f t="shared" si="3"/>
        <v>20220901</v>
      </c>
      <c r="M41" s="1" t="str">
        <f>"085717"</f>
        <v>085717</v>
      </c>
      <c r="N41" s="1" t="s">
        <v>44</v>
      </c>
      <c r="O41" s="1" t="s">
        <v>45</v>
      </c>
      <c r="P41" s="1" t="s">
        <v>68</v>
      </c>
      <c r="Q41" s="1">
        <v>25</v>
      </c>
      <c r="R41" s="1">
        <v>0</v>
      </c>
      <c r="S41" s="1">
        <v>0</v>
      </c>
      <c r="T41" s="1">
        <v>25</v>
      </c>
      <c r="U41" s="1">
        <v>0</v>
      </c>
      <c r="V41" s="1" t="str">
        <f t="shared" si="4"/>
        <v>里程去程</v>
      </c>
      <c r="W41" s="1" t="s">
        <v>29</v>
      </c>
    </row>
    <row r="42" spans="1:23" x14ac:dyDescent="0.3">
      <c r="A42" s="1" t="str">
        <f t="shared" si="5"/>
        <v>59822</v>
      </c>
      <c r="B42" s="1" t="s">
        <v>39</v>
      </c>
      <c r="C42" s="1" t="s">
        <v>40</v>
      </c>
      <c r="D42" s="1" t="str">
        <f t="shared" si="1"/>
        <v>9801</v>
      </c>
      <c r="E42" s="1" t="s">
        <v>25</v>
      </c>
      <c r="F42" s="1" t="str">
        <f>"F276E60260880400C834002000000015"</f>
        <v>F276E60260880400C834002000000015</v>
      </c>
      <c r="G42" s="1" t="s">
        <v>74</v>
      </c>
      <c r="H42" s="1" t="str">
        <f t="shared" si="2"/>
        <v>20220901</v>
      </c>
      <c r="I42" s="1" t="str">
        <f>"082706"</f>
        <v>082706</v>
      </c>
      <c r="J42" s="1" t="s">
        <v>83</v>
      </c>
      <c r="K42" s="1" t="s">
        <v>52</v>
      </c>
      <c r="L42" s="1" t="str">
        <f t="shared" si="3"/>
        <v>20220901</v>
      </c>
      <c r="M42" s="1" t="str">
        <f>"082824"</f>
        <v>082824</v>
      </c>
      <c r="N42" s="1" t="s">
        <v>84</v>
      </c>
      <c r="O42" s="1" t="s">
        <v>28</v>
      </c>
      <c r="P42" s="1" t="s">
        <v>68</v>
      </c>
      <c r="Q42" s="1">
        <v>13</v>
      </c>
      <c r="R42" s="1">
        <v>0</v>
      </c>
      <c r="S42" s="1">
        <v>0</v>
      </c>
      <c r="T42" s="1">
        <v>13</v>
      </c>
      <c r="U42" s="1">
        <v>0</v>
      </c>
      <c r="V42" s="1" t="str">
        <f t="shared" si="4"/>
        <v>里程去程</v>
      </c>
      <c r="W42" s="1" t="s">
        <v>29</v>
      </c>
    </row>
    <row r="43" spans="1:23" x14ac:dyDescent="0.3">
      <c r="A43" s="1" t="str">
        <f t="shared" si="5"/>
        <v>59822</v>
      </c>
      <c r="B43" s="1" t="s">
        <v>39</v>
      </c>
      <c r="C43" s="1" t="s">
        <v>40</v>
      </c>
      <c r="D43" s="1" t="str">
        <f t="shared" si="1"/>
        <v>9801</v>
      </c>
      <c r="E43" s="1" t="s">
        <v>25</v>
      </c>
      <c r="F43" s="1" t="str">
        <f>"82D5FB02AE880400C834002000000015"</f>
        <v>82D5FB02AE880400C834002000000015</v>
      </c>
      <c r="G43" s="1" t="s">
        <v>26</v>
      </c>
      <c r="H43" s="1" t="str">
        <f t="shared" si="2"/>
        <v>20220901</v>
      </c>
      <c r="I43" s="1" t="str">
        <f>"085755"</f>
        <v>085755</v>
      </c>
      <c r="J43" s="1" t="s">
        <v>52</v>
      </c>
      <c r="K43" s="1" t="s">
        <v>52</v>
      </c>
      <c r="L43" s="1" t="str">
        <f t="shared" si="3"/>
        <v>20220901</v>
      </c>
      <c r="M43" s="1" t="str">
        <f>"091555"</f>
        <v>091555</v>
      </c>
      <c r="N43" s="1" t="s">
        <v>65</v>
      </c>
      <c r="O43" s="1" t="s">
        <v>52</v>
      </c>
      <c r="P43" s="1" t="s">
        <v>68</v>
      </c>
      <c r="Q43" s="1">
        <v>13</v>
      </c>
      <c r="R43" s="1">
        <v>0</v>
      </c>
      <c r="S43" s="1">
        <v>0</v>
      </c>
      <c r="T43" s="1">
        <v>13</v>
      </c>
      <c r="U43" s="1">
        <v>0</v>
      </c>
      <c r="V43" s="1" t="str">
        <f t="shared" si="4"/>
        <v>里程去程</v>
      </c>
      <c r="W43" s="1" t="s">
        <v>29</v>
      </c>
    </row>
    <row r="44" spans="1:23" x14ac:dyDescent="0.3">
      <c r="A44" s="1" t="str">
        <f t="shared" si="5"/>
        <v>59822</v>
      </c>
      <c r="B44" s="1" t="s">
        <v>39</v>
      </c>
      <c r="C44" s="1" t="s">
        <v>40</v>
      </c>
      <c r="D44" s="1" t="str">
        <f t="shared" si="1"/>
        <v>9801</v>
      </c>
      <c r="E44" s="1" t="s">
        <v>25</v>
      </c>
      <c r="F44" s="1" t="str">
        <f>"7311210436000944"</f>
        <v>7311210436000944</v>
      </c>
      <c r="G44" s="1" t="s">
        <v>33</v>
      </c>
      <c r="H44" s="1" t="str">
        <f t="shared" si="2"/>
        <v>20220901</v>
      </c>
      <c r="I44" s="1" t="str">
        <f>"093440"</f>
        <v>093440</v>
      </c>
      <c r="J44" s="1" t="s">
        <v>27</v>
      </c>
      <c r="K44" s="1" t="s">
        <v>28</v>
      </c>
      <c r="L44" s="1" t="str">
        <f t="shared" si="3"/>
        <v>20220901</v>
      </c>
      <c r="M44" s="1" t="str">
        <f>"094421"</f>
        <v>094421</v>
      </c>
      <c r="N44" s="1" t="s">
        <v>79</v>
      </c>
      <c r="O44" s="1" t="s">
        <v>45</v>
      </c>
      <c r="P44" s="1" t="s">
        <v>55</v>
      </c>
      <c r="Q44" s="1">
        <v>25</v>
      </c>
      <c r="R44" s="1">
        <v>25</v>
      </c>
      <c r="S44" s="1">
        <v>0</v>
      </c>
      <c r="T44" s="1">
        <v>0</v>
      </c>
      <c r="U44" s="1">
        <v>0</v>
      </c>
      <c r="V44" s="1" t="str">
        <f t="shared" si="4"/>
        <v>里程去程</v>
      </c>
      <c r="W44" s="1" t="s">
        <v>109</v>
      </c>
    </row>
    <row r="45" spans="1:23" x14ac:dyDescent="0.3">
      <c r="A45" s="1" t="str">
        <f t="shared" si="5"/>
        <v>59822</v>
      </c>
      <c r="B45" s="1" t="s">
        <v>39</v>
      </c>
      <c r="C45" s="1" t="s">
        <v>40</v>
      </c>
      <c r="D45" s="1" t="str">
        <f t="shared" si="1"/>
        <v>9801</v>
      </c>
      <c r="E45" s="1" t="s">
        <v>25</v>
      </c>
      <c r="F45" s="1" t="str">
        <f>"52E24113E228040080CED9985D913018"</f>
        <v>52E24113E228040080CED9985D913018</v>
      </c>
      <c r="G45" s="1" t="s">
        <v>58</v>
      </c>
      <c r="H45" s="1" t="str">
        <f t="shared" si="2"/>
        <v>20220901</v>
      </c>
      <c r="I45" s="1" t="str">
        <f>"093443"</f>
        <v>093443</v>
      </c>
      <c r="J45" s="1" t="s">
        <v>27</v>
      </c>
      <c r="K45" s="1" t="s">
        <v>28</v>
      </c>
      <c r="L45" s="1" t="str">
        <f t="shared" si="3"/>
        <v>20220901</v>
      </c>
      <c r="M45" s="1" t="str">
        <f>"094424"</f>
        <v>094424</v>
      </c>
      <c r="N45" s="1" t="s">
        <v>79</v>
      </c>
      <c r="O45" s="1" t="s">
        <v>45</v>
      </c>
      <c r="P45" s="1" t="s">
        <v>55</v>
      </c>
      <c r="Q45" s="1">
        <v>25</v>
      </c>
      <c r="R45" s="1">
        <v>25</v>
      </c>
      <c r="S45" s="1">
        <v>0</v>
      </c>
      <c r="T45" s="1">
        <v>0</v>
      </c>
      <c r="U45" s="1">
        <v>0</v>
      </c>
      <c r="V45" s="1" t="str">
        <f t="shared" si="4"/>
        <v>里程去程</v>
      </c>
      <c r="W45" s="1" t="s">
        <v>29</v>
      </c>
    </row>
    <row r="46" spans="1:23" x14ac:dyDescent="0.3">
      <c r="A46" s="1" t="str">
        <f t="shared" si="5"/>
        <v>59822</v>
      </c>
      <c r="B46" s="1" t="s">
        <v>39</v>
      </c>
      <c r="C46" s="1" t="s">
        <v>40</v>
      </c>
      <c r="D46" s="1" t="str">
        <f t="shared" si="1"/>
        <v>9801</v>
      </c>
      <c r="E46" s="1" t="s">
        <v>25</v>
      </c>
      <c r="F46" s="1" t="str">
        <f>"1253959941"</f>
        <v>1253959941</v>
      </c>
      <c r="G46" s="1" t="s">
        <v>33</v>
      </c>
      <c r="H46" s="1" t="str">
        <f t="shared" si="2"/>
        <v>20220901</v>
      </c>
      <c r="I46" s="1" t="str">
        <f>"093448"</f>
        <v>093448</v>
      </c>
      <c r="J46" s="1" t="s">
        <v>27</v>
      </c>
      <c r="K46" s="1" t="s">
        <v>28</v>
      </c>
      <c r="L46" s="1" t="str">
        <f t="shared" si="3"/>
        <v>20220901</v>
      </c>
      <c r="M46" s="1" t="str">
        <f>"094419"</f>
        <v>094419</v>
      </c>
      <c r="N46" s="1" t="s">
        <v>79</v>
      </c>
      <c r="O46" s="1" t="s">
        <v>45</v>
      </c>
      <c r="P46" s="1" t="s">
        <v>55</v>
      </c>
      <c r="Q46" s="1">
        <v>25</v>
      </c>
      <c r="R46" s="1">
        <v>25</v>
      </c>
      <c r="S46" s="1">
        <v>0</v>
      </c>
      <c r="T46" s="1">
        <v>0</v>
      </c>
      <c r="U46" s="1">
        <v>0</v>
      </c>
      <c r="V46" s="1" t="str">
        <f t="shared" si="4"/>
        <v>里程去程</v>
      </c>
      <c r="W46" s="1" t="s">
        <v>35</v>
      </c>
    </row>
    <row r="47" spans="1:23" x14ac:dyDescent="0.3">
      <c r="A47" s="1" t="str">
        <f t="shared" ref="A47:A68" si="6">"59820"</f>
        <v>59820</v>
      </c>
      <c r="B47" s="1" t="s">
        <v>53</v>
      </c>
      <c r="C47" s="1" t="s">
        <v>54</v>
      </c>
      <c r="D47" s="1" t="str">
        <f t="shared" si="1"/>
        <v>9801</v>
      </c>
      <c r="E47" s="1" t="s">
        <v>25</v>
      </c>
      <c r="F47" s="1" t="str">
        <f>"42AFE60209880400C834002000000015"</f>
        <v>42AFE60209880400C834002000000015</v>
      </c>
      <c r="G47" s="1" t="s">
        <v>74</v>
      </c>
      <c r="H47" s="1" t="str">
        <f t="shared" ref="H47:H73" si="7">"20220902"</f>
        <v>20220902</v>
      </c>
      <c r="I47" s="1" t="str">
        <f>"105645"</f>
        <v>105645</v>
      </c>
      <c r="J47" s="1" t="s">
        <v>52</v>
      </c>
      <c r="K47" s="1" t="s">
        <v>52</v>
      </c>
      <c r="L47" s="1" t="str">
        <f t="shared" ref="L47:L73" si="8">"20220902"</f>
        <v>20220902</v>
      </c>
      <c r="M47" s="1" t="str">
        <f>"111540"</f>
        <v>111540</v>
      </c>
      <c r="N47" s="1" t="s">
        <v>80</v>
      </c>
      <c r="O47" s="1" t="s">
        <v>52</v>
      </c>
      <c r="P47" s="1" t="s">
        <v>68</v>
      </c>
      <c r="Q47" s="1">
        <v>13</v>
      </c>
      <c r="R47" s="1">
        <v>0</v>
      </c>
      <c r="S47" s="1">
        <v>0</v>
      </c>
      <c r="T47" s="1">
        <v>13</v>
      </c>
      <c r="U47" s="1">
        <v>0</v>
      </c>
      <c r="V47" s="1" t="str">
        <f t="shared" si="4"/>
        <v>里程去程</v>
      </c>
      <c r="W47" s="1" t="s">
        <v>29</v>
      </c>
    </row>
    <row r="48" spans="1:23" x14ac:dyDescent="0.3">
      <c r="A48" s="1" t="str">
        <f t="shared" si="6"/>
        <v>59820</v>
      </c>
      <c r="B48" s="1" t="s">
        <v>53</v>
      </c>
      <c r="C48" s="1" t="s">
        <v>54</v>
      </c>
      <c r="D48" s="1" t="str">
        <f t="shared" si="1"/>
        <v>9801</v>
      </c>
      <c r="E48" s="1" t="s">
        <v>25</v>
      </c>
      <c r="F48" s="1" t="str">
        <f>"529E1903D6880400C834002000000015"</f>
        <v>529E1903D6880400C834002000000015</v>
      </c>
      <c r="G48" s="1" t="s">
        <v>26</v>
      </c>
      <c r="H48" s="1" t="str">
        <f t="shared" si="7"/>
        <v>20220902</v>
      </c>
      <c r="I48" s="1" t="str">
        <f>"110608"</f>
        <v>110608</v>
      </c>
      <c r="J48" s="1" t="s">
        <v>60</v>
      </c>
      <c r="K48" s="1" t="s">
        <v>52</v>
      </c>
      <c r="L48" s="1" t="str">
        <f t="shared" si="8"/>
        <v>20220902</v>
      </c>
      <c r="M48" s="1" t="str">
        <f>"113302"</f>
        <v>113302</v>
      </c>
      <c r="N48" s="1" t="s">
        <v>70</v>
      </c>
      <c r="O48" s="1" t="s">
        <v>28</v>
      </c>
      <c r="P48" s="1" t="s">
        <v>68</v>
      </c>
      <c r="Q48" s="1">
        <v>13</v>
      </c>
      <c r="R48" s="1">
        <v>0</v>
      </c>
      <c r="S48" s="1">
        <v>0</v>
      </c>
      <c r="T48" s="1">
        <v>13</v>
      </c>
      <c r="U48" s="1">
        <v>0</v>
      </c>
      <c r="V48" s="1" t="str">
        <f t="shared" si="4"/>
        <v>里程去程</v>
      </c>
      <c r="W48" s="1" t="s">
        <v>29</v>
      </c>
    </row>
    <row r="49" spans="1:23" x14ac:dyDescent="0.3">
      <c r="A49" s="1" t="str">
        <f t="shared" si="6"/>
        <v>59820</v>
      </c>
      <c r="B49" s="1" t="s">
        <v>53</v>
      </c>
      <c r="C49" s="1" t="s">
        <v>54</v>
      </c>
      <c r="D49" s="1" t="str">
        <f t="shared" si="1"/>
        <v>9801</v>
      </c>
      <c r="E49" s="1" t="s">
        <v>25</v>
      </c>
      <c r="F49" s="1" t="str">
        <f>"C2C2E010F0880400C823002000000018"</f>
        <v>C2C2E010F0880400C823002000000018</v>
      </c>
      <c r="G49" s="1" t="s">
        <v>58</v>
      </c>
      <c r="H49" s="1" t="str">
        <f t="shared" si="7"/>
        <v>20220902</v>
      </c>
      <c r="I49" s="1" t="str">
        <f>"113315"</f>
        <v>113315</v>
      </c>
      <c r="J49" s="1" t="s">
        <v>27</v>
      </c>
      <c r="K49" s="1" t="s">
        <v>28</v>
      </c>
      <c r="L49" s="1" t="str">
        <f t="shared" si="8"/>
        <v>20220902</v>
      </c>
      <c r="M49" s="1" t="str">
        <f>"115733"</f>
        <v>115733</v>
      </c>
      <c r="N49" s="1" t="s">
        <v>44</v>
      </c>
      <c r="O49" s="1" t="s">
        <v>45</v>
      </c>
      <c r="P49" s="1" t="s">
        <v>55</v>
      </c>
      <c r="Q49" s="1">
        <v>25</v>
      </c>
      <c r="R49" s="1">
        <v>0</v>
      </c>
      <c r="S49" s="1">
        <v>25</v>
      </c>
      <c r="T49" s="1">
        <v>0</v>
      </c>
      <c r="U49" s="1">
        <v>0</v>
      </c>
      <c r="V49" s="1" t="str">
        <f t="shared" si="4"/>
        <v>里程去程</v>
      </c>
      <c r="W49" s="1" t="s">
        <v>29</v>
      </c>
    </row>
    <row r="50" spans="1:23" x14ac:dyDescent="0.3">
      <c r="A50" s="1" t="str">
        <f t="shared" si="6"/>
        <v>59820</v>
      </c>
      <c r="B50" s="1" t="s">
        <v>53</v>
      </c>
      <c r="C50" s="1" t="s">
        <v>54</v>
      </c>
      <c r="D50" s="1" t="str">
        <f t="shared" si="1"/>
        <v>9801</v>
      </c>
      <c r="E50" s="1" t="s">
        <v>25</v>
      </c>
      <c r="F50" s="1" t="str">
        <f>"636669521"</f>
        <v>636669521</v>
      </c>
      <c r="G50" s="1" t="s">
        <v>33</v>
      </c>
      <c r="H50" s="1" t="str">
        <f t="shared" si="7"/>
        <v>20220902</v>
      </c>
      <c r="I50" s="1" t="str">
        <f>"115912"</f>
        <v>115912</v>
      </c>
      <c r="J50" s="1" t="s">
        <v>52</v>
      </c>
      <c r="K50" s="1" t="s">
        <v>52</v>
      </c>
      <c r="L50" s="1" t="str">
        <f t="shared" si="8"/>
        <v>20220902</v>
      </c>
      <c r="M50" s="1" t="str">
        <f>"123621"</f>
        <v>123621</v>
      </c>
      <c r="N50" s="1" t="s">
        <v>70</v>
      </c>
      <c r="O50" s="1" t="s">
        <v>28</v>
      </c>
      <c r="P50" s="1" t="s">
        <v>55</v>
      </c>
      <c r="Q50" s="1">
        <v>25</v>
      </c>
      <c r="R50" s="1">
        <v>25</v>
      </c>
      <c r="S50" s="1">
        <v>0</v>
      </c>
      <c r="T50" s="1">
        <v>0</v>
      </c>
      <c r="U50" s="1">
        <v>0</v>
      </c>
      <c r="V50" s="1" t="str">
        <f t="shared" si="4"/>
        <v>里程去程</v>
      </c>
      <c r="W50" s="1" t="s">
        <v>35</v>
      </c>
    </row>
    <row r="51" spans="1:23" x14ac:dyDescent="0.3">
      <c r="A51" s="1" t="str">
        <f t="shared" si="6"/>
        <v>59820</v>
      </c>
      <c r="B51" s="1" t="s">
        <v>53</v>
      </c>
      <c r="C51" s="1" t="s">
        <v>54</v>
      </c>
      <c r="D51" s="1" t="str">
        <f t="shared" si="1"/>
        <v>9801</v>
      </c>
      <c r="E51" s="1" t="s">
        <v>25</v>
      </c>
      <c r="F51" s="1" t="str">
        <f>"F25B1B03B1880400C834002000000015"</f>
        <v>F25B1B03B1880400C834002000000015</v>
      </c>
      <c r="G51" s="1" t="s">
        <v>26</v>
      </c>
      <c r="H51" s="1" t="str">
        <f t="shared" si="7"/>
        <v>20220902</v>
      </c>
      <c r="I51" s="1" t="str">
        <f>"120801"</f>
        <v>120801</v>
      </c>
      <c r="J51" s="1" t="s">
        <v>60</v>
      </c>
      <c r="K51" s="1" t="s">
        <v>52</v>
      </c>
      <c r="L51" s="1" t="str">
        <f t="shared" si="8"/>
        <v>20220902</v>
      </c>
      <c r="M51" s="1" t="str">
        <f>"123614"</f>
        <v>123614</v>
      </c>
      <c r="N51" s="1" t="s">
        <v>70</v>
      </c>
      <c r="O51" s="1" t="s">
        <v>28</v>
      </c>
      <c r="P51" s="1" t="s">
        <v>68</v>
      </c>
      <c r="Q51" s="1">
        <v>13</v>
      </c>
      <c r="R51" s="1">
        <v>0</v>
      </c>
      <c r="S51" s="1">
        <v>0</v>
      </c>
      <c r="T51" s="1">
        <v>13</v>
      </c>
      <c r="U51" s="1">
        <v>0</v>
      </c>
      <c r="V51" s="1" t="str">
        <f t="shared" si="4"/>
        <v>里程去程</v>
      </c>
      <c r="W51" s="1" t="s">
        <v>29</v>
      </c>
    </row>
    <row r="52" spans="1:23" x14ac:dyDescent="0.3">
      <c r="A52" s="1" t="str">
        <f t="shared" si="6"/>
        <v>59820</v>
      </c>
      <c r="B52" s="1" t="s">
        <v>53</v>
      </c>
      <c r="C52" s="1" t="s">
        <v>54</v>
      </c>
      <c r="D52" s="1" t="str">
        <f t="shared" si="1"/>
        <v>9801</v>
      </c>
      <c r="E52" s="1" t="s">
        <v>25</v>
      </c>
      <c r="F52" s="1" t="str">
        <f>"4251460257880400C821002000000015"</f>
        <v>4251460257880400C821002000000015</v>
      </c>
      <c r="G52" s="1" t="s">
        <v>26</v>
      </c>
      <c r="H52" s="1" t="str">
        <f t="shared" si="7"/>
        <v>20220902</v>
      </c>
      <c r="I52" s="1" t="str">
        <f>"122340"</f>
        <v>122340</v>
      </c>
      <c r="J52" s="1" t="s">
        <v>69</v>
      </c>
      <c r="K52" s="1" t="s">
        <v>52</v>
      </c>
      <c r="L52" s="1" t="str">
        <f t="shared" si="8"/>
        <v>20220902</v>
      </c>
      <c r="M52" s="1" t="str">
        <f>"122903"</f>
        <v>122903</v>
      </c>
      <c r="N52" s="1" t="s">
        <v>83</v>
      </c>
      <c r="O52" s="1" t="s">
        <v>52</v>
      </c>
      <c r="P52" s="1" t="s">
        <v>68</v>
      </c>
      <c r="Q52" s="1">
        <v>13</v>
      </c>
      <c r="R52" s="1">
        <v>0</v>
      </c>
      <c r="S52" s="1">
        <v>0</v>
      </c>
      <c r="T52" s="1">
        <v>13</v>
      </c>
      <c r="U52" s="1">
        <v>0</v>
      </c>
      <c r="V52" s="1" t="str">
        <f t="shared" si="4"/>
        <v>里程去程</v>
      </c>
      <c r="W52" s="1" t="s">
        <v>29</v>
      </c>
    </row>
    <row r="53" spans="1:23" x14ac:dyDescent="0.3">
      <c r="A53" s="1" t="str">
        <f t="shared" si="6"/>
        <v>59820</v>
      </c>
      <c r="B53" s="1" t="s">
        <v>53</v>
      </c>
      <c r="C53" s="1" t="s">
        <v>54</v>
      </c>
      <c r="D53" s="1" t="str">
        <f t="shared" si="1"/>
        <v>9801</v>
      </c>
      <c r="E53" s="1" t="s">
        <v>25</v>
      </c>
      <c r="F53" s="1" t="str">
        <f>"B2A5D102C4880400C834002000000015"</f>
        <v>B2A5D102C4880400C834002000000015</v>
      </c>
      <c r="G53" s="1" t="s">
        <v>74</v>
      </c>
      <c r="H53" s="1" t="str">
        <f t="shared" si="7"/>
        <v>20220902</v>
      </c>
      <c r="I53" s="1" t="str">
        <f>"133303"</f>
        <v>133303</v>
      </c>
      <c r="J53" s="1" t="s">
        <v>95</v>
      </c>
      <c r="K53" s="1" t="s">
        <v>28</v>
      </c>
      <c r="L53" s="1" t="str">
        <f t="shared" si="8"/>
        <v>20220902</v>
      </c>
      <c r="M53" s="1" t="str">
        <f>"134606"</f>
        <v>134606</v>
      </c>
      <c r="N53" s="1" t="s">
        <v>61</v>
      </c>
      <c r="O53" s="1" t="s">
        <v>45</v>
      </c>
      <c r="P53" s="1" t="s">
        <v>68</v>
      </c>
      <c r="Q53" s="1">
        <v>13</v>
      </c>
      <c r="R53" s="1">
        <v>0</v>
      </c>
      <c r="S53" s="1">
        <v>0</v>
      </c>
      <c r="T53" s="1">
        <v>13</v>
      </c>
      <c r="U53" s="1">
        <v>0</v>
      </c>
      <c r="V53" s="1" t="str">
        <f t="shared" si="4"/>
        <v>里程去程</v>
      </c>
      <c r="W53" s="1" t="s">
        <v>29</v>
      </c>
    </row>
    <row r="54" spans="1:23" x14ac:dyDescent="0.3">
      <c r="A54" s="1" t="str">
        <f t="shared" si="6"/>
        <v>59820</v>
      </c>
      <c r="B54" s="1" t="s">
        <v>53</v>
      </c>
      <c r="C54" s="1" t="s">
        <v>54</v>
      </c>
      <c r="D54" s="1" t="str">
        <f t="shared" si="1"/>
        <v>9801</v>
      </c>
      <c r="E54" s="1" t="s">
        <v>25</v>
      </c>
      <c r="F54" s="1" t="str">
        <f>"F27CE6026A880400C834002000000015"</f>
        <v>F27CE6026A880400C834002000000015</v>
      </c>
      <c r="G54" s="1" t="s">
        <v>74</v>
      </c>
      <c r="H54" s="1" t="str">
        <f t="shared" si="7"/>
        <v>20220902</v>
      </c>
      <c r="I54" s="1" t="str">
        <f>"145740"</f>
        <v>145740</v>
      </c>
      <c r="J54" s="1" t="s">
        <v>52</v>
      </c>
      <c r="K54" s="1" t="s">
        <v>52</v>
      </c>
      <c r="L54" s="1" t="str">
        <f t="shared" si="8"/>
        <v>20220902</v>
      </c>
      <c r="M54" s="1" t="str">
        <f>"150638"</f>
        <v>150638</v>
      </c>
      <c r="N54" s="1" t="s">
        <v>60</v>
      </c>
      <c r="O54" s="1" t="s">
        <v>52</v>
      </c>
      <c r="P54" s="1" t="s">
        <v>68</v>
      </c>
      <c r="Q54" s="1">
        <v>13</v>
      </c>
      <c r="R54" s="1">
        <v>0</v>
      </c>
      <c r="S54" s="1">
        <v>0</v>
      </c>
      <c r="T54" s="1">
        <v>13</v>
      </c>
      <c r="U54" s="1">
        <v>0</v>
      </c>
      <c r="V54" s="1" t="str">
        <f t="shared" si="4"/>
        <v>里程去程</v>
      </c>
      <c r="W54" s="1" t="s">
        <v>29</v>
      </c>
    </row>
    <row r="55" spans="1:23" x14ac:dyDescent="0.3">
      <c r="A55" s="1" t="str">
        <f t="shared" si="6"/>
        <v>59820</v>
      </c>
      <c r="B55" s="1" t="s">
        <v>53</v>
      </c>
      <c r="C55" s="1" t="s">
        <v>54</v>
      </c>
      <c r="D55" s="1" t="str">
        <f t="shared" si="1"/>
        <v>9801</v>
      </c>
      <c r="E55" s="1" t="s">
        <v>25</v>
      </c>
      <c r="F55" s="1" t="str">
        <f>"1073273029"</f>
        <v>1073273029</v>
      </c>
      <c r="G55" s="1" t="s">
        <v>33</v>
      </c>
      <c r="H55" s="1" t="str">
        <f t="shared" si="7"/>
        <v>20220902</v>
      </c>
      <c r="I55" s="1" t="str">
        <f>"145744"</f>
        <v>145744</v>
      </c>
      <c r="J55" s="1" t="s">
        <v>52</v>
      </c>
      <c r="K55" s="1" t="s">
        <v>52</v>
      </c>
      <c r="L55" s="1" t="str">
        <f t="shared" si="8"/>
        <v>20220902</v>
      </c>
      <c r="M55" s="1" t="str">
        <f>"153331"</f>
        <v>153331</v>
      </c>
      <c r="N55" s="1" t="s">
        <v>70</v>
      </c>
      <c r="O55" s="1" t="s">
        <v>28</v>
      </c>
      <c r="P55" s="1" t="s">
        <v>55</v>
      </c>
      <c r="Q55" s="1">
        <v>25</v>
      </c>
      <c r="R55" s="1">
        <v>25</v>
      </c>
      <c r="S55" s="1">
        <v>0</v>
      </c>
      <c r="T55" s="1">
        <v>0</v>
      </c>
      <c r="U55" s="1">
        <v>0</v>
      </c>
      <c r="V55" s="1" t="str">
        <f t="shared" si="4"/>
        <v>里程去程</v>
      </c>
      <c r="W55" s="1" t="s">
        <v>35</v>
      </c>
    </row>
    <row r="56" spans="1:23" x14ac:dyDescent="0.3">
      <c r="A56" s="1" t="str">
        <f t="shared" si="6"/>
        <v>59820</v>
      </c>
      <c r="B56" s="1" t="s">
        <v>53</v>
      </c>
      <c r="C56" s="1" t="s">
        <v>54</v>
      </c>
      <c r="D56" s="1" t="str">
        <f t="shared" si="1"/>
        <v>9801</v>
      </c>
      <c r="E56" s="1" t="s">
        <v>25</v>
      </c>
      <c r="F56" s="1" t="str">
        <f>"C2F219032A880400C834002000000015"</f>
        <v>C2F219032A880400C834002000000015</v>
      </c>
      <c r="G56" s="1" t="s">
        <v>26</v>
      </c>
      <c r="H56" s="1" t="str">
        <f t="shared" si="7"/>
        <v>20220902</v>
      </c>
      <c r="I56" s="1" t="str">
        <f>"150443"</f>
        <v>150443</v>
      </c>
      <c r="J56" s="1" t="s">
        <v>86</v>
      </c>
      <c r="K56" s="1" t="s">
        <v>52</v>
      </c>
      <c r="L56" s="1" t="str">
        <f t="shared" si="8"/>
        <v>20220902</v>
      </c>
      <c r="M56" s="1" t="str">
        <f>"150936"</f>
        <v>150936</v>
      </c>
      <c r="N56" s="1" t="s">
        <v>51</v>
      </c>
      <c r="O56" s="1" t="s">
        <v>52</v>
      </c>
      <c r="P56" s="1" t="s">
        <v>68</v>
      </c>
      <c r="Q56" s="1">
        <v>13</v>
      </c>
      <c r="R56" s="1">
        <v>0</v>
      </c>
      <c r="S56" s="1">
        <v>0</v>
      </c>
      <c r="T56" s="1">
        <v>13</v>
      </c>
      <c r="U56" s="1">
        <v>0</v>
      </c>
      <c r="V56" s="1" t="str">
        <f t="shared" si="4"/>
        <v>里程去程</v>
      </c>
      <c r="W56" s="1" t="s">
        <v>29</v>
      </c>
    </row>
    <row r="57" spans="1:23" x14ac:dyDescent="0.3">
      <c r="A57" s="1" t="str">
        <f t="shared" si="6"/>
        <v>59820</v>
      </c>
      <c r="B57" s="1" t="s">
        <v>53</v>
      </c>
      <c r="C57" s="1" t="s">
        <v>54</v>
      </c>
      <c r="D57" s="1" t="str">
        <f t="shared" si="1"/>
        <v>9801</v>
      </c>
      <c r="E57" s="1" t="s">
        <v>25</v>
      </c>
      <c r="F57" s="1" t="str">
        <f>"C2333013D228040080CED9985D913018"</f>
        <v>C2333013D228040080CED9985D913018</v>
      </c>
      <c r="G57" s="1" t="s">
        <v>58</v>
      </c>
      <c r="H57" s="1" t="str">
        <f t="shared" si="7"/>
        <v>20220902</v>
      </c>
      <c r="I57" s="1" t="str">
        <f>"150721"</f>
        <v>150721</v>
      </c>
      <c r="J57" s="1" t="s">
        <v>60</v>
      </c>
      <c r="K57" s="1" t="s">
        <v>52</v>
      </c>
      <c r="L57" s="1" t="str">
        <f t="shared" si="8"/>
        <v>20220902</v>
      </c>
      <c r="M57" s="1" t="str">
        <f>"153335"</f>
        <v>153335</v>
      </c>
      <c r="N57" s="1" t="s">
        <v>70</v>
      </c>
      <c r="O57" s="1" t="s">
        <v>28</v>
      </c>
      <c r="P57" s="1" t="s">
        <v>55</v>
      </c>
      <c r="Q57" s="1">
        <v>25</v>
      </c>
      <c r="R57" s="1">
        <v>25</v>
      </c>
      <c r="S57" s="1">
        <v>0</v>
      </c>
      <c r="T57" s="1">
        <v>0</v>
      </c>
      <c r="U57" s="1">
        <v>0</v>
      </c>
      <c r="V57" s="1" t="str">
        <f t="shared" si="4"/>
        <v>里程去程</v>
      </c>
      <c r="W57" s="1" t="s">
        <v>29</v>
      </c>
    </row>
    <row r="58" spans="1:23" x14ac:dyDescent="0.3">
      <c r="A58" s="1" t="str">
        <f t="shared" si="6"/>
        <v>59820</v>
      </c>
      <c r="B58" s="1" t="s">
        <v>53</v>
      </c>
      <c r="C58" s="1" t="s">
        <v>54</v>
      </c>
      <c r="D58" s="1" t="str">
        <f t="shared" si="1"/>
        <v>9801</v>
      </c>
      <c r="E58" s="1" t="s">
        <v>25</v>
      </c>
      <c r="F58" s="1" t="str">
        <f>"1552799217"</f>
        <v>1552799217</v>
      </c>
      <c r="G58" s="1" t="s">
        <v>33</v>
      </c>
      <c r="H58" s="1" t="str">
        <f t="shared" si="7"/>
        <v>20220902</v>
      </c>
      <c r="I58" s="1" t="str">
        <f>"150723"</f>
        <v>150723</v>
      </c>
      <c r="J58" s="1" t="s">
        <v>60</v>
      </c>
      <c r="K58" s="1" t="s">
        <v>52</v>
      </c>
      <c r="L58" s="1" t="str">
        <f t="shared" si="8"/>
        <v>20220902</v>
      </c>
      <c r="M58" s="1" t="str">
        <f>"153334"</f>
        <v>153334</v>
      </c>
      <c r="N58" s="1" t="s">
        <v>70</v>
      </c>
      <c r="O58" s="1" t="s">
        <v>28</v>
      </c>
      <c r="P58" s="1" t="s">
        <v>55</v>
      </c>
      <c r="Q58" s="1">
        <v>25</v>
      </c>
      <c r="R58" s="1">
        <v>25</v>
      </c>
      <c r="S58" s="1">
        <v>0</v>
      </c>
      <c r="T58" s="1">
        <v>0</v>
      </c>
      <c r="U58" s="1">
        <v>0</v>
      </c>
      <c r="V58" s="1" t="str">
        <f t="shared" si="4"/>
        <v>里程去程</v>
      </c>
      <c r="W58" s="1" t="s">
        <v>35</v>
      </c>
    </row>
    <row r="59" spans="1:23" x14ac:dyDescent="0.3">
      <c r="A59" s="1" t="str">
        <f t="shared" si="6"/>
        <v>59820</v>
      </c>
      <c r="B59" s="1" t="s">
        <v>53</v>
      </c>
      <c r="C59" s="1" t="s">
        <v>54</v>
      </c>
      <c r="D59" s="1" t="str">
        <f t="shared" si="1"/>
        <v>9801</v>
      </c>
      <c r="E59" s="1" t="s">
        <v>25</v>
      </c>
      <c r="F59" s="1" t="str">
        <f>"814142689"</f>
        <v>814142689</v>
      </c>
      <c r="G59" s="1" t="s">
        <v>26</v>
      </c>
      <c r="H59" s="1" t="str">
        <f t="shared" si="7"/>
        <v>20220902</v>
      </c>
      <c r="I59" s="1" t="str">
        <f>"151618"</f>
        <v>151618</v>
      </c>
      <c r="J59" s="1" t="s">
        <v>80</v>
      </c>
      <c r="K59" s="1" t="s">
        <v>52</v>
      </c>
      <c r="L59" s="1" t="str">
        <f t="shared" si="8"/>
        <v>20220902</v>
      </c>
      <c r="M59" s="1" t="str">
        <f>"153320"</f>
        <v>153320</v>
      </c>
      <c r="N59" s="1" t="s">
        <v>70</v>
      </c>
      <c r="O59" s="1" t="s">
        <v>28</v>
      </c>
      <c r="P59" s="1" t="s">
        <v>55</v>
      </c>
      <c r="Q59" s="1">
        <v>13</v>
      </c>
      <c r="R59" s="1">
        <v>13</v>
      </c>
      <c r="S59" s="1">
        <v>0</v>
      </c>
      <c r="T59" s="1">
        <v>0</v>
      </c>
      <c r="U59" s="1">
        <v>0</v>
      </c>
      <c r="V59" s="1" t="str">
        <f t="shared" si="4"/>
        <v>里程去程</v>
      </c>
      <c r="W59" s="1" t="s">
        <v>35</v>
      </c>
    </row>
    <row r="60" spans="1:23" x14ac:dyDescent="0.3">
      <c r="A60" s="1" t="str">
        <f t="shared" si="6"/>
        <v>59820</v>
      </c>
      <c r="B60" s="1" t="s">
        <v>53</v>
      </c>
      <c r="C60" s="1" t="s">
        <v>54</v>
      </c>
      <c r="D60" s="1" t="str">
        <f t="shared" si="1"/>
        <v>9801</v>
      </c>
      <c r="E60" s="1" t="s">
        <v>25</v>
      </c>
      <c r="F60" s="1" t="str">
        <f>"888690417"</f>
        <v>888690417</v>
      </c>
      <c r="G60" s="1" t="s">
        <v>26</v>
      </c>
      <c r="H60" s="1" t="str">
        <f t="shared" si="7"/>
        <v>20220902</v>
      </c>
      <c r="I60" s="1" t="str">
        <f>"151620"</f>
        <v>151620</v>
      </c>
      <c r="J60" s="1" t="s">
        <v>80</v>
      </c>
      <c r="K60" s="1" t="s">
        <v>52</v>
      </c>
      <c r="L60" s="1" t="str">
        <f t="shared" si="8"/>
        <v>20220902</v>
      </c>
      <c r="M60" s="1" t="str">
        <f>"153317"</f>
        <v>153317</v>
      </c>
      <c r="N60" s="1" t="s">
        <v>70</v>
      </c>
      <c r="O60" s="1" t="s">
        <v>28</v>
      </c>
      <c r="P60" s="1" t="s">
        <v>55</v>
      </c>
      <c r="Q60" s="1">
        <v>13</v>
      </c>
      <c r="R60" s="1">
        <v>13</v>
      </c>
      <c r="S60" s="1">
        <v>0</v>
      </c>
      <c r="T60" s="1">
        <v>0</v>
      </c>
      <c r="U60" s="1">
        <v>0</v>
      </c>
      <c r="V60" s="1" t="str">
        <f t="shared" si="4"/>
        <v>里程去程</v>
      </c>
      <c r="W60" s="1" t="s">
        <v>35</v>
      </c>
    </row>
    <row r="61" spans="1:23" x14ac:dyDescent="0.3">
      <c r="A61" s="1" t="str">
        <f t="shared" si="6"/>
        <v>59820</v>
      </c>
      <c r="B61" s="1" t="s">
        <v>53</v>
      </c>
      <c r="C61" s="1" t="s">
        <v>54</v>
      </c>
      <c r="D61" s="1" t="str">
        <f t="shared" si="1"/>
        <v>9801</v>
      </c>
      <c r="E61" s="1" t="s">
        <v>25</v>
      </c>
      <c r="F61" s="1" t="str">
        <f>"2544504520"</f>
        <v>2544504520</v>
      </c>
      <c r="G61" s="1" t="s">
        <v>33</v>
      </c>
      <c r="H61" s="1" t="str">
        <f t="shared" si="7"/>
        <v>20220902</v>
      </c>
      <c r="I61" s="1" t="str">
        <f>"152944"</f>
        <v>152944</v>
      </c>
      <c r="J61" s="1" t="s">
        <v>84</v>
      </c>
      <c r="K61" s="1" t="s">
        <v>28</v>
      </c>
      <c r="L61" s="1" t="str">
        <f t="shared" si="8"/>
        <v>20220902</v>
      </c>
      <c r="M61" s="1" t="str">
        <f>"153328"</f>
        <v>153328</v>
      </c>
      <c r="N61" s="1" t="s">
        <v>70</v>
      </c>
      <c r="O61" s="1" t="s">
        <v>28</v>
      </c>
      <c r="P61" s="1" t="s">
        <v>55</v>
      </c>
      <c r="Q61" s="1">
        <v>25</v>
      </c>
      <c r="R61" s="1">
        <v>25</v>
      </c>
      <c r="S61" s="1">
        <v>0</v>
      </c>
      <c r="T61" s="1">
        <v>0</v>
      </c>
      <c r="U61" s="1">
        <v>0</v>
      </c>
      <c r="V61" s="1" t="str">
        <f t="shared" si="4"/>
        <v>里程去程</v>
      </c>
      <c r="W61" s="1" t="s">
        <v>35</v>
      </c>
    </row>
    <row r="62" spans="1:23" x14ac:dyDescent="0.3">
      <c r="A62" s="1" t="str">
        <f t="shared" si="6"/>
        <v>59820</v>
      </c>
      <c r="B62" s="1" t="s">
        <v>53</v>
      </c>
      <c r="C62" s="1" t="s">
        <v>54</v>
      </c>
      <c r="D62" s="1" t="str">
        <f t="shared" si="1"/>
        <v>9801</v>
      </c>
      <c r="E62" s="1" t="s">
        <v>25</v>
      </c>
      <c r="F62" s="1" t="str">
        <f>"801983333"</f>
        <v>801983333</v>
      </c>
      <c r="G62" s="1" t="s">
        <v>33</v>
      </c>
      <c r="H62" s="1" t="str">
        <f t="shared" si="7"/>
        <v>20220902</v>
      </c>
      <c r="I62" s="1" t="str">
        <f>"152950"</f>
        <v>152950</v>
      </c>
      <c r="J62" s="1" t="s">
        <v>84</v>
      </c>
      <c r="K62" s="1" t="s">
        <v>28</v>
      </c>
      <c r="L62" s="1" t="str">
        <f t="shared" si="8"/>
        <v>20220902</v>
      </c>
      <c r="M62" s="1" t="str">
        <f>"153310"</f>
        <v>153310</v>
      </c>
      <c r="N62" s="1" t="s">
        <v>70</v>
      </c>
      <c r="O62" s="1" t="s">
        <v>28</v>
      </c>
      <c r="P62" s="1" t="s">
        <v>55</v>
      </c>
      <c r="Q62" s="1">
        <v>25</v>
      </c>
      <c r="R62" s="1">
        <v>25</v>
      </c>
      <c r="S62" s="1">
        <v>0</v>
      </c>
      <c r="T62" s="1">
        <v>0</v>
      </c>
      <c r="U62" s="1">
        <v>0</v>
      </c>
      <c r="V62" s="1" t="str">
        <f t="shared" si="4"/>
        <v>里程去程</v>
      </c>
      <c r="W62" s="1" t="s">
        <v>35</v>
      </c>
    </row>
    <row r="63" spans="1:23" x14ac:dyDescent="0.3">
      <c r="A63" s="1" t="str">
        <f t="shared" si="6"/>
        <v>59820</v>
      </c>
      <c r="B63" s="1" t="s">
        <v>53</v>
      </c>
      <c r="C63" s="1" t="s">
        <v>54</v>
      </c>
      <c r="D63" s="1" t="str">
        <f t="shared" si="1"/>
        <v>9801</v>
      </c>
      <c r="E63" s="1" t="s">
        <v>25</v>
      </c>
      <c r="F63" s="1" t="str">
        <f>"42B9D00229880400C834002000000015"</f>
        <v>42B9D00229880400C834002000000015</v>
      </c>
      <c r="G63" s="1" t="s">
        <v>74</v>
      </c>
      <c r="H63" s="1" t="str">
        <f t="shared" si="7"/>
        <v>20220902</v>
      </c>
      <c r="I63" s="1" t="str">
        <f>"155812"</f>
        <v>155812</v>
      </c>
      <c r="J63" s="1" t="s">
        <v>52</v>
      </c>
      <c r="K63" s="1" t="s">
        <v>52</v>
      </c>
      <c r="L63" s="1" t="str">
        <f t="shared" si="8"/>
        <v>20220902</v>
      </c>
      <c r="M63" s="1" t="str">
        <f>"164842"</f>
        <v>164842</v>
      </c>
      <c r="N63" s="1" t="s">
        <v>70</v>
      </c>
      <c r="O63" s="1" t="s">
        <v>28</v>
      </c>
      <c r="P63" s="1" t="s">
        <v>68</v>
      </c>
      <c r="Q63" s="1">
        <v>13</v>
      </c>
      <c r="R63" s="1">
        <v>0</v>
      </c>
      <c r="S63" s="1">
        <v>0</v>
      </c>
      <c r="T63" s="1">
        <v>13</v>
      </c>
      <c r="U63" s="1">
        <v>0</v>
      </c>
      <c r="V63" s="1" t="str">
        <f t="shared" si="4"/>
        <v>里程去程</v>
      </c>
      <c r="W63" s="1" t="s">
        <v>29</v>
      </c>
    </row>
    <row r="64" spans="1:23" x14ac:dyDescent="0.3">
      <c r="A64" s="1" t="str">
        <f t="shared" si="6"/>
        <v>59820</v>
      </c>
      <c r="B64" s="1" t="s">
        <v>53</v>
      </c>
      <c r="C64" s="1" t="s">
        <v>54</v>
      </c>
      <c r="D64" s="1" t="str">
        <f t="shared" si="1"/>
        <v>9801</v>
      </c>
      <c r="E64" s="1" t="s">
        <v>25</v>
      </c>
      <c r="F64" s="1" t="str">
        <f>"F2F7D002D7880400C834002000000015"</f>
        <v>F2F7D002D7880400C834002000000015</v>
      </c>
      <c r="G64" s="1" t="s">
        <v>74</v>
      </c>
      <c r="H64" s="1" t="str">
        <f t="shared" si="7"/>
        <v>20220902</v>
      </c>
      <c r="I64" s="1" t="str">
        <f>"160721"</f>
        <v>160721</v>
      </c>
      <c r="J64" s="1" t="s">
        <v>60</v>
      </c>
      <c r="K64" s="1" t="s">
        <v>52</v>
      </c>
      <c r="L64" s="1" t="str">
        <f t="shared" si="8"/>
        <v>20220902</v>
      </c>
      <c r="M64" s="1" t="str">
        <f>"163014"</f>
        <v>163014</v>
      </c>
      <c r="N64" s="1" t="s">
        <v>67</v>
      </c>
      <c r="O64" s="1" t="s">
        <v>52</v>
      </c>
      <c r="P64" s="1" t="s">
        <v>68</v>
      </c>
      <c r="Q64" s="1">
        <v>13</v>
      </c>
      <c r="R64" s="1">
        <v>0</v>
      </c>
      <c r="S64" s="1">
        <v>0</v>
      </c>
      <c r="T64" s="1">
        <v>13</v>
      </c>
      <c r="U64" s="1">
        <v>0</v>
      </c>
      <c r="V64" s="1" t="str">
        <f t="shared" si="4"/>
        <v>里程去程</v>
      </c>
      <c r="W64" s="1" t="s">
        <v>29</v>
      </c>
    </row>
    <row r="65" spans="1:23" x14ac:dyDescent="0.3">
      <c r="A65" s="1" t="str">
        <f t="shared" si="6"/>
        <v>59820</v>
      </c>
      <c r="B65" s="1" t="s">
        <v>53</v>
      </c>
      <c r="C65" s="1" t="s">
        <v>54</v>
      </c>
      <c r="D65" s="1" t="str">
        <f t="shared" si="1"/>
        <v>9801</v>
      </c>
      <c r="E65" s="1" t="s">
        <v>25</v>
      </c>
      <c r="F65" s="1" t="str">
        <f>"8227D00277880400C834002000000015"</f>
        <v>8227D00277880400C834002000000015</v>
      </c>
      <c r="G65" s="1" t="s">
        <v>26</v>
      </c>
      <c r="H65" s="1" t="str">
        <f t="shared" si="7"/>
        <v>20220902</v>
      </c>
      <c r="I65" s="1" t="str">
        <f>"162909"</f>
        <v>162909</v>
      </c>
      <c r="J65" s="1" t="s">
        <v>78</v>
      </c>
      <c r="K65" s="1" t="s">
        <v>52</v>
      </c>
      <c r="L65" s="1" t="str">
        <f t="shared" si="8"/>
        <v>20220902</v>
      </c>
      <c r="M65" s="1" t="str">
        <f>"164110"</f>
        <v>164110</v>
      </c>
      <c r="N65" s="1" t="s">
        <v>70</v>
      </c>
      <c r="O65" s="1" t="s">
        <v>28</v>
      </c>
      <c r="P65" s="1" t="s">
        <v>68</v>
      </c>
      <c r="Q65" s="1">
        <v>13</v>
      </c>
      <c r="R65" s="1">
        <v>0</v>
      </c>
      <c r="S65" s="1">
        <v>0</v>
      </c>
      <c r="T65" s="1">
        <v>13</v>
      </c>
      <c r="U65" s="1">
        <v>0</v>
      </c>
      <c r="V65" s="1" t="str">
        <f t="shared" si="4"/>
        <v>里程去程</v>
      </c>
      <c r="W65" s="1" t="s">
        <v>29</v>
      </c>
    </row>
    <row r="66" spans="1:23" x14ac:dyDescent="0.3">
      <c r="A66" s="1" t="str">
        <f t="shared" si="6"/>
        <v>59820</v>
      </c>
      <c r="B66" s="1" t="s">
        <v>53</v>
      </c>
      <c r="C66" s="1" t="s">
        <v>54</v>
      </c>
      <c r="D66" s="1" t="str">
        <f t="shared" ref="D66:D129" si="9">"9801"</f>
        <v>9801</v>
      </c>
      <c r="E66" s="1" t="s">
        <v>25</v>
      </c>
      <c r="F66" s="1" t="str">
        <f>"991209989"</f>
        <v>991209989</v>
      </c>
      <c r="G66" s="1" t="s">
        <v>33</v>
      </c>
      <c r="H66" s="1" t="str">
        <f t="shared" si="7"/>
        <v>20220902</v>
      </c>
      <c r="I66" s="1" t="str">
        <f>"164117"</f>
        <v>164117</v>
      </c>
      <c r="J66" s="1" t="s">
        <v>27</v>
      </c>
      <c r="K66" s="1" t="s">
        <v>28</v>
      </c>
      <c r="L66" s="1" t="str">
        <f t="shared" si="8"/>
        <v>20220902</v>
      </c>
      <c r="M66" s="1" t="str">
        <f>"165449"</f>
        <v>165449</v>
      </c>
      <c r="N66" s="1" t="s">
        <v>56</v>
      </c>
      <c r="O66" s="1" t="s">
        <v>45</v>
      </c>
      <c r="P66" s="1" t="s">
        <v>55</v>
      </c>
      <c r="Q66" s="1">
        <v>25</v>
      </c>
      <c r="R66" s="1">
        <v>0</v>
      </c>
      <c r="S66" s="1">
        <v>25</v>
      </c>
      <c r="T66" s="1">
        <v>0</v>
      </c>
      <c r="U66" s="1">
        <v>0</v>
      </c>
      <c r="V66" s="1" t="str">
        <f t="shared" ref="V66:V129" si="10">"里程去程"</f>
        <v>里程去程</v>
      </c>
      <c r="W66" s="1" t="s">
        <v>35</v>
      </c>
    </row>
    <row r="67" spans="1:23" x14ac:dyDescent="0.3">
      <c r="A67" s="1" t="str">
        <f t="shared" si="6"/>
        <v>59820</v>
      </c>
      <c r="B67" s="1" t="s">
        <v>53</v>
      </c>
      <c r="C67" s="1" t="s">
        <v>54</v>
      </c>
      <c r="D67" s="1" t="str">
        <f t="shared" si="9"/>
        <v>9801</v>
      </c>
      <c r="E67" s="1" t="s">
        <v>25</v>
      </c>
      <c r="F67" s="1" t="str">
        <f>"62B85C0E88880400C806002000000018"</f>
        <v>62B85C0E88880400C806002000000018</v>
      </c>
      <c r="G67" s="1" t="s">
        <v>59</v>
      </c>
      <c r="H67" s="1" t="str">
        <f t="shared" si="7"/>
        <v>20220902</v>
      </c>
      <c r="I67" s="1" t="str">
        <f>"203447"</f>
        <v>203447</v>
      </c>
      <c r="J67" s="1" t="s">
        <v>27</v>
      </c>
      <c r="K67" s="1" t="s">
        <v>28</v>
      </c>
      <c r="L67" s="1" t="str">
        <f t="shared" si="8"/>
        <v>20220902</v>
      </c>
      <c r="M67" s="1" t="str">
        <f>"205428"</f>
        <v>205428</v>
      </c>
      <c r="N67" s="1" t="s">
        <v>44</v>
      </c>
      <c r="O67" s="1" t="s">
        <v>45</v>
      </c>
      <c r="P67" s="1" t="s">
        <v>55</v>
      </c>
      <c r="Q67" s="1">
        <v>25</v>
      </c>
      <c r="R67" s="1">
        <v>25</v>
      </c>
      <c r="S67" s="1">
        <v>0</v>
      </c>
      <c r="T67" s="1">
        <v>0</v>
      </c>
      <c r="U67" s="1">
        <v>0</v>
      </c>
      <c r="V67" s="1" t="str">
        <f t="shared" si="10"/>
        <v>里程去程</v>
      </c>
      <c r="W67" s="1" t="s">
        <v>29</v>
      </c>
    </row>
    <row r="68" spans="1:23" x14ac:dyDescent="0.3">
      <c r="A68" s="1" t="str">
        <f t="shared" si="6"/>
        <v>59820</v>
      </c>
      <c r="B68" s="1" t="s">
        <v>53</v>
      </c>
      <c r="C68" s="1" t="s">
        <v>54</v>
      </c>
      <c r="D68" s="1" t="str">
        <f t="shared" si="9"/>
        <v>9801</v>
      </c>
      <c r="E68" s="1" t="s">
        <v>25</v>
      </c>
      <c r="F68" s="1" t="str">
        <f>"772356241"</f>
        <v>772356241</v>
      </c>
      <c r="G68" s="1" t="s">
        <v>33</v>
      </c>
      <c r="H68" s="1" t="str">
        <f t="shared" si="7"/>
        <v>20220902</v>
      </c>
      <c r="I68" s="1" t="str">
        <f>"203457"</f>
        <v>203457</v>
      </c>
      <c r="J68" s="1" t="s">
        <v>27</v>
      </c>
      <c r="K68" s="1" t="s">
        <v>28</v>
      </c>
      <c r="L68" s="1" t="str">
        <f t="shared" si="8"/>
        <v>20220902</v>
      </c>
      <c r="M68" s="1" t="str">
        <f>"205431"</f>
        <v>205431</v>
      </c>
      <c r="N68" s="1" t="s">
        <v>44</v>
      </c>
      <c r="O68" s="1" t="s">
        <v>45</v>
      </c>
      <c r="P68" s="1" t="s">
        <v>55</v>
      </c>
      <c r="Q68" s="1">
        <v>25</v>
      </c>
      <c r="R68" s="1">
        <v>25</v>
      </c>
      <c r="S68" s="1">
        <v>0</v>
      </c>
      <c r="T68" s="1">
        <v>0</v>
      </c>
      <c r="U68" s="1">
        <v>0</v>
      </c>
      <c r="V68" s="1" t="str">
        <f t="shared" si="10"/>
        <v>里程去程</v>
      </c>
      <c r="W68" s="1" t="s">
        <v>35</v>
      </c>
    </row>
    <row r="69" spans="1:23" x14ac:dyDescent="0.3">
      <c r="A69" s="1" t="str">
        <f>"59828"</f>
        <v>59828</v>
      </c>
      <c r="B69" s="1" t="s">
        <v>23</v>
      </c>
      <c r="C69" s="1" t="s">
        <v>24</v>
      </c>
      <c r="D69" s="1" t="str">
        <f t="shared" si="9"/>
        <v>9801</v>
      </c>
      <c r="E69" s="1" t="s">
        <v>25</v>
      </c>
      <c r="F69" s="1" t="str">
        <f>"193443265"</f>
        <v>193443265</v>
      </c>
      <c r="G69" s="1" t="s">
        <v>74</v>
      </c>
      <c r="H69" s="1" t="str">
        <f t="shared" si="7"/>
        <v>20220902</v>
      </c>
      <c r="I69" s="1" t="str">
        <f>"081706"</f>
        <v>081706</v>
      </c>
      <c r="J69" s="1" t="s">
        <v>80</v>
      </c>
      <c r="K69" s="1" t="s">
        <v>52</v>
      </c>
      <c r="L69" s="1" t="str">
        <f t="shared" si="8"/>
        <v>20220902</v>
      </c>
      <c r="M69" s="1" t="str">
        <f>"083548"</f>
        <v>083548</v>
      </c>
      <c r="N69" s="1" t="s">
        <v>70</v>
      </c>
      <c r="O69" s="1" t="s">
        <v>28</v>
      </c>
      <c r="P69" s="1" t="s">
        <v>55</v>
      </c>
      <c r="Q69" s="1">
        <v>13</v>
      </c>
      <c r="R69" s="1">
        <v>13</v>
      </c>
      <c r="S69" s="1">
        <v>0</v>
      </c>
      <c r="T69" s="1">
        <v>0</v>
      </c>
      <c r="U69" s="1">
        <v>0</v>
      </c>
      <c r="V69" s="1" t="str">
        <f t="shared" si="10"/>
        <v>里程去程</v>
      </c>
      <c r="W69" s="1" t="s">
        <v>35</v>
      </c>
    </row>
    <row r="70" spans="1:23" x14ac:dyDescent="0.3">
      <c r="A70" s="1" t="str">
        <f>"59828"</f>
        <v>59828</v>
      </c>
      <c r="B70" s="1" t="s">
        <v>23</v>
      </c>
      <c r="C70" s="1" t="s">
        <v>24</v>
      </c>
      <c r="D70" s="1" t="str">
        <f t="shared" si="9"/>
        <v>9801</v>
      </c>
      <c r="E70" s="1" t="s">
        <v>25</v>
      </c>
      <c r="F70" s="1" t="str">
        <f>"1251E618BD880400C821002000000019"</f>
        <v>1251E618BD880400C821002000000019</v>
      </c>
      <c r="G70" s="1" t="s">
        <v>58</v>
      </c>
      <c r="H70" s="1" t="str">
        <f t="shared" si="7"/>
        <v>20220902</v>
      </c>
      <c r="I70" s="1" t="str">
        <f>"092617"</f>
        <v>092617</v>
      </c>
      <c r="J70" s="1" t="s">
        <v>83</v>
      </c>
      <c r="K70" s="1" t="s">
        <v>52</v>
      </c>
      <c r="L70" s="1" t="str">
        <f t="shared" si="8"/>
        <v>20220902</v>
      </c>
      <c r="M70" s="1" t="str">
        <f>"095600"</f>
        <v>095600</v>
      </c>
      <c r="N70" s="1" t="s">
        <v>91</v>
      </c>
      <c r="O70" s="1" t="s">
        <v>45</v>
      </c>
      <c r="P70" s="1" t="s">
        <v>55</v>
      </c>
      <c r="Q70" s="1">
        <v>50</v>
      </c>
      <c r="R70" s="1">
        <v>50</v>
      </c>
      <c r="S70" s="1">
        <v>0</v>
      </c>
      <c r="T70" s="1">
        <v>0</v>
      </c>
      <c r="U70" s="1">
        <v>0</v>
      </c>
      <c r="V70" s="1" t="str">
        <f t="shared" si="10"/>
        <v>里程去程</v>
      </c>
      <c r="W70" s="1" t="s">
        <v>29</v>
      </c>
    </row>
    <row r="71" spans="1:23" x14ac:dyDescent="0.3">
      <c r="A71" s="1" t="str">
        <f>"59828"</f>
        <v>59828</v>
      </c>
      <c r="B71" s="1" t="s">
        <v>23</v>
      </c>
      <c r="C71" s="1" t="s">
        <v>24</v>
      </c>
      <c r="D71" s="1" t="str">
        <f t="shared" si="9"/>
        <v>9801</v>
      </c>
      <c r="E71" s="1" t="s">
        <v>25</v>
      </c>
      <c r="F71" s="1" t="str">
        <f>"1633695205"</f>
        <v>1633695205</v>
      </c>
      <c r="G71" s="1" t="s">
        <v>33</v>
      </c>
      <c r="H71" s="1" t="str">
        <f t="shared" si="7"/>
        <v>20220902</v>
      </c>
      <c r="I71" s="1" t="str">
        <f>"092620"</f>
        <v>092620</v>
      </c>
      <c r="J71" s="1" t="s">
        <v>83</v>
      </c>
      <c r="K71" s="1" t="s">
        <v>52</v>
      </c>
      <c r="L71" s="1" t="str">
        <f t="shared" si="8"/>
        <v>20220902</v>
      </c>
      <c r="M71" s="1" t="str">
        <f>"095556"</f>
        <v>095556</v>
      </c>
      <c r="N71" s="1" t="s">
        <v>91</v>
      </c>
      <c r="O71" s="1" t="s">
        <v>45</v>
      </c>
      <c r="P71" s="1" t="s">
        <v>55</v>
      </c>
      <c r="Q71" s="1">
        <v>50</v>
      </c>
      <c r="R71" s="1">
        <v>50</v>
      </c>
      <c r="S71" s="1">
        <v>0</v>
      </c>
      <c r="T71" s="1">
        <v>0</v>
      </c>
      <c r="U71" s="1">
        <v>0</v>
      </c>
      <c r="V71" s="1" t="str">
        <f t="shared" si="10"/>
        <v>里程去程</v>
      </c>
      <c r="W71" s="1" t="s">
        <v>35</v>
      </c>
    </row>
    <row r="72" spans="1:23" x14ac:dyDescent="0.3">
      <c r="A72" s="1" t="str">
        <f>"59828"</f>
        <v>59828</v>
      </c>
      <c r="B72" s="1" t="s">
        <v>23</v>
      </c>
      <c r="C72" s="1" t="s">
        <v>24</v>
      </c>
      <c r="D72" s="1" t="str">
        <f t="shared" si="9"/>
        <v>9801</v>
      </c>
      <c r="E72" s="1" t="s">
        <v>25</v>
      </c>
      <c r="F72" s="1" t="str">
        <f>"E1687444B9280400F700000000000000"</f>
        <v>E1687444B9280400F700000000000000</v>
      </c>
      <c r="G72" s="1" t="s">
        <v>58</v>
      </c>
      <c r="H72" s="1" t="str">
        <f t="shared" si="7"/>
        <v>20220902</v>
      </c>
      <c r="I72" s="1" t="str">
        <f>"092631"</f>
        <v>092631</v>
      </c>
      <c r="J72" s="1" t="s">
        <v>83</v>
      </c>
      <c r="K72" s="1" t="s">
        <v>52</v>
      </c>
      <c r="L72" s="1" t="str">
        <f t="shared" si="8"/>
        <v>20220902</v>
      </c>
      <c r="M72" s="1" t="str">
        <f>"095545"</f>
        <v>095545</v>
      </c>
      <c r="N72" s="1" t="s">
        <v>91</v>
      </c>
      <c r="O72" s="1" t="s">
        <v>45</v>
      </c>
      <c r="P72" s="1" t="s">
        <v>55</v>
      </c>
      <c r="Q72" s="1">
        <v>50</v>
      </c>
      <c r="R72" s="1">
        <v>50</v>
      </c>
      <c r="S72" s="1">
        <v>0</v>
      </c>
      <c r="T72" s="1">
        <v>0</v>
      </c>
      <c r="U72" s="1">
        <v>0</v>
      </c>
      <c r="V72" s="1" t="str">
        <f t="shared" si="10"/>
        <v>里程去程</v>
      </c>
      <c r="W72" s="1" t="s">
        <v>29</v>
      </c>
    </row>
    <row r="73" spans="1:23" x14ac:dyDescent="0.3">
      <c r="A73" s="1" t="str">
        <f>"59828"</f>
        <v>59828</v>
      </c>
      <c r="B73" s="1" t="s">
        <v>23</v>
      </c>
      <c r="C73" s="1" t="s">
        <v>24</v>
      </c>
      <c r="D73" s="1" t="str">
        <f t="shared" si="9"/>
        <v>9801</v>
      </c>
      <c r="E73" s="1" t="s">
        <v>25</v>
      </c>
      <c r="F73" s="1" t="str">
        <f>"566510797"</f>
        <v>566510797</v>
      </c>
      <c r="G73" s="1" t="s">
        <v>33</v>
      </c>
      <c r="H73" s="1" t="str">
        <f t="shared" si="7"/>
        <v>20220902</v>
      </c>
      <c r="I73" s="1" t="str">
        <f>"093453"</f>
        <v>093453</v>
      </c>
      <c r="J73" s="1" t="s">
        <v>27</v>
      </c>
      <c r="K73" s="1" t="s">
        <v>28</v>
      </c>
      <c r="L73" s="1" t="str">
        <f t="shared" si="8"/>
        <v>20220902</v>
      </c>
      <c r="M73" s="1" t="str">
        <f>"095353"</f>
        <v>095353</v>
      </c>
      <c r="N73" s="1" t="s">
        <v>75</v>
      </c>
      <c r="O73" s="1" t="s">
        <v>45</v>
      </c>
      <c r="P73" s="1" t="s">
        <v>55</v>
      </c>
      <c r="Q73" s="1">
        <v>25</v>
      </c>
      <c r="R73" s="1">
        <v>25</v>
      </c>
      <c r="S73" s="1">
        <v>0</v>
      </c>
      <c r="T73" s="1">
        <v>0</v>
      </c>
      <c r="U73" s="1">
        <v>0</v>
      </c>
      <c r="V73" s="1" t="str">
        <f t="shared" si="10"/>
        <v>里程去程</v>
      </c>
      <c r="W73" s="1" t="s">
        <v>35</v>
      </c>
    </row>
    <row r="74" spans="1:23" x14ac:dyDescent="0.3">
      <c r="A74" s="1" t="str">
        <f t="shared" ref="A74:A88" si="11">"59820"</f>
        <v>59820</v>
      </c>
      <c r="B74" s="1" t="s">
        <v>53</v>
      </c>
      <c r="C74" s="1" t="s">
        <v>54</v>
      </c>
      <c r="D74" s="1" t="str">
        <f t="shared" si="9"/>
        <v>9801</v>
      </c>
      <c r="E74" s="1" t="s">
        <v>25</v>
      </c>
      <c r="F74" s="1" t="str">
        <f>"647927605"</f>
        <v>647927605</v>
      </c>
      <c r="G74" s="1" t="s">
        <v>33</v>
      </c>
      <c r="H74" s="1" t="str">
        <f t="shared" ref="H74:H95" si="12">"20220903"</f>
        <v>20220903</v>
      </c>
      <c r="I74" s="1" t="str">
        <f>"123234"</f>
        <v>123234</v>
      </c>
      <c r="J74" s="1" t="s">
        <v>27</v>
      </c>
      <c r="K74" s="1" t="s">
        <v>28</v>
      </c>
      <c r="L74" s="1" t="str">
        <f t="shared" ref="L74:L95" si="13">"20220903"</f>
        <v>20220903</v>
      </c>
      <c r="M74" s="1" t="str">
        <f>"125854"</f>
        <v>125854</v>
      </c>
      <c r="N74" s="1" t="s">
        <v>44</v>
      </c>
      <c r="O74" s="1" t="s">
        <v>45</v>
      </c>
      <c r="P74" s="1" t="s">
        <v>55</v>
      </c>
      <c r="Q74" s="1">
        <v>25</v>
      </c>
      <c r="R74" s="1">
        <v>0</v>
      </c>
      <c r="S74" s="1">
        <v>25</v>
      </c>
      <c r="T74" s="1">
        <v>0</v>
      </c>
      <c r="U74" s="1">
        <v>0</v>
      </c>
      <c r="V74" s="1" t="str">
        <f t="shared" si="10"/>
        <v>里程去程</v>
      </c>
      <c r="W74" s="1" t="s">
        <v>35</v>
      </c>
    </row>
    <row r="75" spans="1:23" x14ac:dyDescent="0.3">
      <c r="A75" s="1" t="str">
        <f t="shared" si="11"/>
        <v>59820</v>
      </c>
      <c r="B75" s="1" t="s">
        <v>53</v>
      </c>
      <c r="C75" s="1" t="s">
        <v>54</v>
      </c>
      <c r="D75" s="1" t="str">
        <f t="shared" si="9"/>
        <v>9801</v>
      </c>
      <c r="E75" s="1" t="s">
        <v>25</v>
      </c>
      <c r="F75" s="1" t="str">
        <f>"115076293"</f>
        <v>115076293</v>
      </c>
      <c r="G75" s="1" t="s">
        <v>33</v>
      </c>
      <c r="H75" s="1" t="str">
        <f t="shared" si="12"/>
        <v>20220903</v>
      </c>
      <c r="I75" s="1" t="str">
        <f>"132919"</f>
        <v>132919</v>
      </c>
      <c r="J75" s="1" t="s">
        <v>27</v>
      </c>
      <c r="K75" s="1" t="s">
        <v>28</v>
      </c>
      <c r="L75" s="1" t="str">
        <f t="shared" si="13"/>
        <v>20220903</v>
      </c>
      <c r="M75" s="1" t="str">
        <f>"135259"</f>
        <v>135259</v>
      </c>
      <c r="N75" s="1" t="s">
        <v>100</v>
      </c>
      <c r="O75" s="1" t="s">
        <v>45</v>
      </c>
      <c r="P75" s="1" t="s">
        <v>55</v>
      </c>
      <c r="Q75" s="1">
        <v>25</v>
      </c>
      <c r="R75" s="1">
        <v>25</v>
      </c>
      <c r="S75" s="1">
        <v>0</v>
      </c>
      <c r="T75" s="1">
        <v>0</v>
      </c>
      <c r="U75" s="1">
        <v>0</v>
      </c>
      <c r="V75" s="1" t="str">
        <f t="shared" si="10"/>
        <v>里程去程</v>
      </c>
      <c r="W75" s="1" t="s">
        <v>35</v>
      </c>
    </row>
    <row r="76" spans="1:23" x14ac:dyDescent="0.3">
      <c r="A76" s="1" t="str">
        <f t="shared" si="11"/>
        <v>59820</v>
      </c>
      <c r="B76" s="1" t="s">
        <v>53</v>
      </c>
      <c r="C76" s="1" t="s">
        <v>54</v>
      </c>
      <c r="D76" s="1" t="str">
        <f t="shared" si="9"/>
        <v>9801</v>
      </c>
      <c r="E76" s="1" t="s">
        <v>25</v>
      </c>
      <c r="F76" s="1" t="str">
        <f>"1406685281"</f>
        <v>1406685281</v>
      </c>
      <c r="G76" s="1" t="s">
        <v>26</v>
      </c>
      <c r="H76" s="1" t="str">
        <f t="shared" si="12"/>
        <v>20220903</v>
      </c>
      <c r="I76" s="1" t="str">
        <f>"133014"</f>
        <v>133014</v>
      </c>
      <c r="J76" s="1" t="s">
        <v>27</v>
      </c>
      <c r="K76" s="1" t="s">
        <v>28</v>
      </c>
      <c r="L76" s="1" t="str">
        <f t="shared" si="13"/>
        <v>20220903</v>
      </c>
      <c r="M76" s="1" t="str">
        <f>"135431"</f>
        <v>135431</v>
      </c>
      <c r="N76" s="1" t="s">
        <v>44</v>
      </c>
      <c r="O76" s="1" t="s">
        <v>45</v>
      </c>
      <c r="P76" s="1" t="s">
        <v>55</v>
      </c>
      <c r="Q76" s="1">
        <v>13</v>
      </c>
      <c r="R76" s="1">
        <v>13</v>
      </c>
      <c r="S76" s="1">
        <v>0</v>
      </c>
      <c r="T76" s="1">
        <v>0</v>
      </c>
      <c r="U76" s="1">
        <v>0</v>
      </c>
      <c r="V76" s="1" t="str">
        <f t="shared" si="10"/>
        <v>里程去程</v>
      </c>
      <c r="W76" s="1" t="s">
        <v>35</v>
      </c>
    </row>
    <row r="77" spans="1:23" x14ac:dyDescent="0.3">
      <c r="A77" s="1" t="str">
        <f t="shared" si="11"/>
        <v>59820</v>
      </c>
      <c r="B77" s="1" t="s">
        <v>53</v>
      </c>
      <c r="C77" s="1" t="s">
        <v>54</v>
      </c>
      <c r="D77" s="1" t="str">
        <f t="shared" si="9"/>
        <v>9801</v>
      </c>
      <c r="E77" s="1" t="s">
        <v>25</v>
      </c>
      <c r="F77" s="1" t="str">
        <f>"1406324017"</f>
        <v>1406324017</v>
      </c>
      <c r="G77" s="1" t="s">
        <v>26</v>
      </c>
      <c r="H77" s="1" t="str">
        <f t="shared" si="12"/>
        <v>20220903</v>
      </c>
      <c r="I77" s="1" t="str">
        <f>"133027"</f>
        <v>133027</v>
      </c>
      <c r="J77" s="1" t="s">
        <v>27</v>
      </c>
      <c r="K77" s="1" t="s">
        <v>28</v>
      </c>
      <c r="L77" s="1" t="str">
        <f t="shared" si="13"/>
        <v>20220903</v>
      </c>
      <c r="M77" s="1" t="str">
        <f>"135440"</f>
        <v>135440</v>
      </c>
      <c r="N77" s="1" t="s">
        <v>44</v>
      </c>
      <c r="O77" s="1" t="s">
        <v>45</v>
      </c>
      <c r="P77" s="1" t="s">
        <v>55</v>
      </c>
      <c r="Q77" s="1">
        <v>13</v>
      </c>
      <c r="R77" s="1">
        <v>13</v>
      </c>
      <c r="S77" s="1">
        <v>0</v>
      </c>
      <c r="T77" s="1">
        <v>0</v>
      </c>
      <c r="U77" s="1">
        <v>0</v>
      </c>
      <c r="V77" s="1" t="str">
        <f t="shared" si="10"/>
        <v>里程去程</v>
      </c>
      <c r="W77" s="1" t="s">
        <v>35</v>
      </c>
    </row>
    <row r="78" spans="1:23" x14ac:dyDescent="0.3">
      <c r="A78" s="1" t="str">
        <f t="shared" si="11"/>
        <v>59820</v>
      </c>
      <c r="B78" s="1" t="s">
        <v>53</v>
      </c>
      <c r="C78" s="1" t="s">
        <v>54</v>
      </c>
      <c r="D78" s="1" t="str">
        <f t="shared" si="9"/>
        <v>9801</v>
      </c>
      <c r="E78" s="1" t="s">
        <v>25</v>
      </c>
      <c r="F78" s="1" t="str">
        <f>"2770287247"</f>
        <v>2770287247</v>
      </c>
      <c r="G78" s="1" t="s">
        <v>26</v>
      </c>
      <c r="H78" s="1" t="str">
        <f t="shared" si="12"/>
        <v>20220903</v>
      </c>
      <c r="I78" s="1" t="str">
        <f>"133032"</f>
        <v>133032</v>
      </c>
      <c r="J78" s="1" t="s">
        <v>27</v>
      </c>
      <c r="K78" s="1" t="s">
        <v>28</v>
      </c>
      <c r="L78" s="1" t="str">
        <f t="shared" si="13"/>
        <v>20220903</v>
      </c>
      <c r="M78" s="1" t="str">
        <f>"135343"</f>
        <v>135343</v>
      </c>
      <c r="N78" s="1" t="s">
        <v>44</v>
      </c>
      <c r="O78" s="1" t="s">
        <v>45</v>
      </c>
      <c r="P78" s="1" t="s">
        <v>55</v>
      </c>
      <c r="Q78" s="1">
        <v>13</v>
      </c>
      <c r="R78" s="1">
        <v>13</v>
      </c>
      <c r="S78" s="1">
        <v>0</v>
      </c>
      <c r="T78" s="1">
        <v>0</v>
      </c>
      <c r="U78" s="1">
        <v>0</v>
      </c>
      <c r="V78" s="1" t="str">
        <f t="shared" si="10"/>
        <v>里程去程</v>
      </c>
      <c r="W78" s="1" t="s">
        <v>35</v>
      </c>
    </row>
    <row r="79" spans="1:23" x14ac:dyDescent="0.3">
      <c r="A79" s="1" t="str">
        <f t="shared" si="11"/>
        <v>59820</v>
      </c>
      <c r="B79" s="1" t="s">
        <v>53</v>
      </c>
      <c r="C79" s="1" t="s">
        <v>54</v>
      </c>
      <c r="D79" s="1" t="str">
        <f t="shared" si="9"/>
        <v>9801</v>
      </c>
      <c r="E79" s="1" t="s">
        <v>25</v>
      </c>
      <c r="F79" s="1" t="str">
        <f>"813320661"</f>
        <v>813320661</v>
      </c>
      <c r="G79" s="1" t="s">
        <v>26</v>
      </c>
      <c r="H79" s="1" t="str">
        <f t="shared" si="12"/>
        <v>20220903</v>
      </c>
      <c r="I79" s="1" t="str">
        <f>"133358"</f>
        <v>133358</v>
      </c>
      <c r="J79" s="1" t="s">
        <v>27</v>
      </c>
      <c r="K79" s="1" t="s">
        <v>28</v>
      </c>
      <c r="L79" s="1" t="str">
        <f t="shared" si="13"/>
        <v>20220903</v>
      </c>
      <c r="M79" s="1" t="str">
        <f>"134628"</f>
        <v>134628</v>
      </c>
      <c r="N79" s="1" t="s">
        <v>56</v>
      </c>
      <c r="O79" s="1" t="s">
        <v>45</v>
      </c>
      <c r="P79" s="1" t="s">
        <v>55</v>
      </c>
      <c r="Q79" s="1">
        <v>13</v>
      </c>
      <c r="R79" s="1">
        <v>13</v>
      </c>
      <c r="S79" s="1">
        <v>0</v>
      </c>
      <c r="T79" s="1">
        <v>0</v>
      </c>
      <c r="U79" s="1">
        <v>0</v>
      </c>
      <c r="V79" s="1" t="str">
        <f t="shared" si="10"/>
        <v>里程去程</v>
      </c>
      <c r="W79" s="1" t="s">
        <v>35</v>
      </c>
    </row>
    <row r="80" spans="1:23" x14ac:dyDescent="0.3">
      <c r="A80" s="1" t="str">
        <f t="shared" si="11"/>
        <v>59820</v>
      </c>
      <c r="B80" s="1" t="s">
        <v>53</v>
      </c>
      <c r="C80" s="1" t="s">
        <v>54</v>
      </c>
      <c r="D80" s="1" t="str">
        <f t="shared" si="9"/>
        <v>9801</v>
      </c>
      <c r="E80" s="1" t="s">
        <v>25</v>
      </c>
      <c r="F80" s="1" t="str">
        <f>"25827325"</f>
        <v>25827325</v>
      </c>
      <c r="G80" s="1" t="s">
        <v>96</v>
      </c>
      <c r="H80" s="1" t="str">
        <f t="shared" si="12"/>
        <v>20220903</v>
      </c>
      <c r="I80" s="1" t="str">
        <f>"133401"</f>
        <v>133401</v>
      </c>
      <c r="J80" s="1" t="s">
        <v>27</v>
      </c>
      <c r="K80" s="1" t="s">
        <v>28</v>
      </c>
      <c r="L80" s="1" t="str">
        <f t="shared" si="13"/>
        <v>20220903</v>
      </c>
      <c r="M80" s="1" t="str">
        <f>"134621"</f>
        <v>134621</v>
      </c>
      <c r="N80" s="1" t="s">
        <v>56</v>
      </c>
      <c r="O80" s="1" t="s">
        <v>45</v>
      </c>
      <c r="P80" s="1" t="s">
        <v>55</v>
      </c>
      <c r="Q80" s="1">
        <v>13</v>
      </c>
      <c r="R80" s="1">
        <v>13</v>
      </c>
      <c r="S80" s="1">
        <v>0</v>
      </c>
      <c r="T80" s="1">
        <v>0</v>
      </c>
      <c r="U80" s="1">
        <v>0</v>
      </c>
      <c r="V80" s="1" t="str">
        <f t="shared" si="10"/>
        <v>里程去程</v>
      </c>
      <c r="W80" s="1" t="s">
        <v>35</v>
      </c>
    </row>
    <row r="81" spans="1:23" x14ac:dyDescent="0.3">
      <c r="A81" s="1" t="str">
        <f t="shared" si="11"/>
        <v>59820</v>
      </c>
      <c r="B81" s="1" t="s">
        <v>53</v>
      </c>
      <c r="C81" s="1" t="s">
        <v>54</v>
      </c>
      <c r="D81" s="1" t="str">
        <f t="shared" si="9"/>
        <v>9801</v>
      </c>
      <c r="E81" s="1" t="s">
        <v>25</v>
      </c>
      <c r="F81" s="1" t="str">
        <f>"804136613"</f>
        <v>804136613</v>
      </c>
      <c r="G81" s="1" t="s">
        <v>26</v>
      </c>
      <c r="H81" s="1" t="str">
        <f t="shared" si="12"/>
        <v>20220903</v>
      </c>
      <c r="I81" s="1" t="str">
        <f>"133403"</f>
        <v>133403</v>
      </c>
      <c r="J81" s="1" t="s">
        <v>27</v>
      </c>
      <c r="K81" s="1" t="s">
        <v>28</v>
      </c>
      <c r="L81" s="1" t="str">
        <f t="shared" si="13"/>
        <v>20220903</v>
      </c>
      <c r="M81" s="1" t="str">
        <f>"134630"</f>
        <v>134630</v>
      </c>
      <c r="N81" s="1" t="s">
        <v>56</v>
      </c>
      <c r="O81" s="1" t="s">
        <v>45</v>
      </c>
      <c r="P81" s="1" t="s">
        <v>55</v>
      </c>
      <c r="Q81" s="1">
        <v>13</v>
      </c>
      <c r="R81" s="1">
        <v>13</v>
      </c>
      <c r="S81" s="1">
        <v>0</v>
      </c>
      <c r="T81" s="1">
        <v>0</v>
      </c>
      <c r="U81" s="1">
        <v>0</v>
      </c>
      <c r="V81" s="1" t="str">
        <f t="shared" si="10"/>
        <v>里程去程</v>
      </c>
      <c r="W81" s="1" t="s">
        <v>35</v>
      </c>
    </row>
    <row r="82" spans="1:23" x14ac:dyDescent="0.3">
      <c r="A82" s="1" t="str">
        <f t="shared" si="11"/>
        <v>59820</v>
      </c>
      <c r="B82" s="1" t="s">
        <v>53</v>
      </c>
      <c r="C82" s="1" t="s">
        <v>54</v>
      </c>
      <c r="D82" s="1" t="str">
        <f t="shared" si="9"/>
        <v>9801</v>
      </c>
      <c r="E82" s="1" t="s">
        <v>25</v>
      </c>
      <c r="F82" s="1" t="str">
        <f>"942396965"</f>
        <v>942396965</v>
      </c>
      <c r="G82" s="1" t="s">
        <v>26</v>
      </c>
      <c r="H82" s="1" t="str">
        <f t="shared" si="12"/>
        <v>20220903</v>
      </c>
      <c r="I82" s="1" t="str">
        <f>"133408"</f>
        <v>133408</v>
      </c>
      <c r="J82" s="1" t="s">
        <v>27</v>
      </c>
      <c r="K82" s="1" t="s">
        <v>28</v>
      </c>
      <c r="L82" s="1" t="str">
        <f t="shared" si="13"/>
        <v>20220903</v>
      </c>
      <c r="M82" s="1" t="str">
        <f>"134636"</f>
        <v>134636</v>
      </c>
      <c r="N82" s="1" t="s">
        <v>56</v>
      </c>
      <c r="O82" s="1" t="s">
        <v>45</v>
      </c>
      <c r="P82" s="1" t="s">
        <v>55</v>
      </c>
      <c r="Q82" s="1">
        <v>13</v>
      </c>
      <c r="R82" s="1">
        <v>13</v>
      </c>
      <c r="S82" s="1">
        <v>0</v>
      </c>
      <c r="T82" s="1">
        <v>0</v>
      </c>
      <c r="U82" s="1">
        <v>0</v>
      </c>
      <c r="V82" s="1" t="str">
        <f t="shared" si="10"/>
        <v>里程去程</v>
      </c>
      <c r="W82" s="1" t="s">
        <v>35</v>
      </c>
    </row>
    <row r="83" spans="1:23" x14ac:dyDescent="0.3">
      <c r="A83" s="1" t="str">
        <f t="shared" si="11"/>
        <v>59820</v>
      </c>
      <c r="B83" s="1" t="s">
        <v>53</v>
      </c>
      <c r="C83" s="1" t="s">
        <v>54</v>
      </c>
      <c r="D83" s="1" t="str">
        <f t="shared" si="9"/>
        <v>9801</v>
      </c>
      <c r="E83" s="1" t="s">
        <v>25</v>
      </c>
      <c r="F83" s="1" t="str">
        <f>"2071452438"</f>
        <v>2071452438</v>
      </c>
      <c r="G83" s="1" t="s">
        <v>33</v>
      </c>
      <c r="H83" s="1" t="str">
        <f t="shared" si="12"/>
        <v>20220903</v>
      </c>
      <c r="I83" s="1" t="str">
        <f>"133412"</f>
        <v>133412</v>
      </c>
      <c r="J83" s="1" t="s">
        <v>27</v>
      </c>
      <c r="K83" s="1" t="s">
        <v>28</v>
      </c>
      <c r="L83" s="1" t="str">
        <f t="shared" si="13"/>
        <v>20220903</v>
      </c>
      <c r="M83" s="1" t="str">
        <f>"134632"</f>
        <v>134632</v>
      </c>
      <c r="N83" s="1" t="s">
        <v>56</v>
      </c>
      <c r="O83" s="1" t="s">
        <v>45</v>
      </c>
      <c r="P83" s="1" t="s">
        <v>55</v>
      </c>
      <c r="Q83" s="1">
        <v>25</v>
      </c>
      <c r="R83" s="1">
        <v>25</v>
      </c>
      <c r="S83" s="1">
        <v>0</v>
      </c>
      <c r="T83" s="1">
        <v>0</v>
      </c>
      <c r="U83" s="1">
        <v>0</v>
      </c>
      <c r="V83" s="1" t="str">
        <f t="shared" si="10"/>
        <v>里程去程</v>
      </c>
      <c r="W83" s="1" t="s">
        <v>35</v>
      </c>
    </row>
    <row r="84" spans="1:23" x14ac:dyDescent="0.3">
      <c r="A84" s="1" t="str">
        <f t="shared" si="11"/>
        <v>59820</v>
      </c>
      <c r="B84" s="1" t="s">
        <v>53</v>
      </c>
      <c r="C84" s="1" t="s">
        <v>54</v>
      </c>
      <c r="D84" s="1" t="str">
        <f t="shared" si="9"/>
        <v>9801</v>
      </c>
      <c r="E84" s="1" t="s">
        <v>25</v>
      </c>
      <c r="F84" s="1" t="str">
        <f>"4222936045"</f>
        <v>4222936045</v>
      </c>
      <c r="G84" s="1" t="s">
        <v>26</v>
      </c>
      <c r="H84" s="1" t="str">
        <f t="shared" si="12"/>
        <v>20220903</v>
      </c>
      <c r="I84" s="1" t="str">
        <f>"133414"</f>
        <v>133414</v>
      </c>
      <c r="J84" s="1" t="s">
        <v>27</v>
      </c>
      <c r="K84" s="1" t="s">
        <v>28</v>
      </c>
      <c r="L84" s="1" t="str">
        <f t="shared" si="13"/>
        <v>20220903</v>
      </c>
      <c r="M84" s="1" t="str">
        <f>"134624"</f>
        <v>134624</v>
      </c>
      <c r="N84" s="1" t="s">
        <v>56</v>
      </c>
      <c r="O84" s="1" t="s">
        <v>45</v>
      </c>
      <c r="P84" s="1" t="s">
        <v>55</v>
      </c>
      <c r="Q84" s="1">
        <v>13</v>
      </c>
      <c r="R84" s="1">
        <v>13</v>
      </c>
      <c r="S84" s="1">
        <v>0</v>
      </c>
      <c r="T84" s="1">
        <v>0</v>
      </c>
      <c r="U84" s="1">
        <v>0</v>
      </c>
      <c r="V84" s="1" t="str">
        <f t="shared" si="10"/>
        <v>里程去程</v>
      </c>
      <c r="W84" s="1" t="s">
        <v>35</v>
      </c>
    </row>
    <row r="85" spans="1:23" x14ac:dyDescent="0.3">
      <c r="A85" s="1" t="str">
        <f t="shared" si="11"/>
        <v>59820</v>
      </c>
      <c r="B85" s="1" t="s">
        <v>53</v>
      </c>
      <c r="C85" s="1" t="s">
        <v>54</v>
      </c>
      <c r="D85" s="1" t="str">
        <f t="shared" si="9"/>
        <v>9801</v>
      </c>
      <c r="E85" s="1" t="s">
        <v>25</v>
      </c>
      <c r="F85" s="1" t="str">
        <f>"1406404689"</f>
        <v>1406404689</v>
      </c>
      <c r="G85" s="1" t="s">
        <v>26</v>
      </c>
      <c r="H85" s="1" t="str">
        <f t="shared" si="12"/>
        <v>20220903</v>
      </c>
      <c r="I85" s="1" t="str">
        <f>"133417"</f>
        <v>133417</v>
      </c>
      <c r="J85" s="1" t="s">
        <v>27</v>
      </c>
      <c r="K85" s="1" t="s">
        <v>28</v>
      </c>
      <c r="L85" s="1" t="str">
        <f t="shared" si="13"/>
        <v>20220903</v>
      </c>
      <c r="M85" s="1" t="str">
        <f>"134600"</f>
        <v>134600</v>
      </c>
      <c r="N85" s="1" t="s">
        <v>61</v>
      </c>
      <c r="O85" s="1" t="s">
        <v>45</v>
      </c>
      <c r="P85" s="1" t="s">
        <v>55</v>
      </c>
      <c r="Q85" s="1">
        <v>13</v>
      </c>
      <c r="R85" s="1">
        <v>13</v>
      </c>
      <c r="S85" s="1">
        <v>0</v>
      </c>
      <c r="T85" s="1">
        <v>0</v>
      </c>
      <c r="U85" s="1">
        <v>0</v>
      </c>
      <c r="V85" s="1" t="str">
        <f t="shared" si="10"/>
        <v>里程去程</v>
      </c>
      <c r="W85" s="1" t="s">
        <v>35</v>
      </c>
    </row>
    <row r="86" spans="1:23" x14ac:dyDescent="0.3">
      <c r="A86" s="1" t="str">
        <f t="shared" si="11"/>
        <v>59820</v>
      </c>
      <c r="B86" s="1" t="s">
        <v>53</v>
      </c>
      <c r="C86" s="1" t="s">
        <v>54</v>
      </c>
      <c r="D86" s="1" t="str">
        <f t="shared" si="9"/>
        <v>9801</v>
      </c>
      <c r="E86" s="1" t="s">
        <v>25</v>
      </c>
      <c r="F86" s="1" t="str">
        <f>"969889189"</f>
        <v>969889189</v>
      </c>
      <c r="G86" s="1" t="s">
        <v>33</v>
      </c>
      <c r="H86" s="1" t="str">
        <f t="shared" si="12"/>
        <v>20220903</v>
      </c>
      <c r="I86" s="1" t="str">
        <f>"145532"</f>
        <v>145532</v>
      </c>
      <c r="J86" s="1" t="s">
        <v>52</v>
      </c>
      <c r="K86" s="1" t="s">
        <v>52</v>
      </c>
      <c r="L86" s="1" t="str">
        <f t="shared" si="13"/>
        <v>20220903</v>
      </c>
      <c r="M86" s="1" t="str">
        <f>"152749"</f>
        <v>152749</v>
      </c>
      <c r="N86" s="1" t="s">
        <v>67</v>
      </c>
      <c r="O86" s="1" t="s">
        <v>52</v>
      </c>
      <c r="P86" s="1" t="s">
        <v>55</v>
      </c>
      <c r="Q86" s="1">
        <v>25</v>
      </c>
      <c r="R86" s="1">
        <v>25</v>
      </c>
      <c r="S86" s="1">
        <v>0</v>
      </c>
      <c r="T86" s="1">
        <v>0</v>
      </c>
      <c r="U86" s="1">
        <v>0</v>
      </c>
      <c r="V86" s="1" t="str">
        <f t="shared" si="10"/>
        <v>里程去程</v>
      </c>
      <c r="W86" s="1" t="s">
        <v>35</v>
      </c>
    </row>
    <row r="87" spans="1:23" x14ac:dyDescent="0.3">
      <c r="A87" s="1" t="str">
        <f t="shared" si="11"/>
        <v>59820</v>
      </c>
      <c r="B87" s="1" t="s">
        <v>53</v>
      </c>
      <c r="C87" s="1" t="s">
        <v>54</v>
      </c>
      <c r="D87" s="1" t="str">
        <f t="shared" si="9"/>
        <v>9801</v>
      </c>
      <c r="E87" s="1" t="s">
        <v>25</v>
      </c>
      <c r="F87" s="1" t="str">
        <f>"319096273"</f>
        <v>319096273</v>
      </c>
      <c r="G87" s="1" t="s">
        <v>33</v>
      </c>
      <c r="H87" s="1" t="str">
        <f t="shared" si="12"/>
        <v>20220903</v>
      </c>
      <c r="I87" s="1" t="str">
        <f>"163505"</f>
        <v>163505</v>
      </c>
      <c r="J87" s="1" t="s">
        <v>27</v>
      </c>
      <c r="K87" s="1" t="s">
        <v>28</v>
      </c>
      <c r="L87" s="1" t="str">
        <f t="shared" si="13"/>
        <v>20220903</v>
      </c>
      <c r="M87" s="1" t="str">
        <f>"170116"</f>
        <v>170116</v>
      </c>
      <c r="N87" s="1" t="s">
        <v>44</v>
      </c>
      <c r="O87" s="1" t="s">
        <v>45</v>
      </c>
      <c r="P87" s="1" t="s">
        <v>55</v>
      </c>
      <c r="Q87" s="1">
        <v>25</v>
      </c>
      <c r="R87" s="1">
        <v>25</v>
      </c>
      <c r="S87" s="1">
        <v>0</v>
      </c>
      <c r="T87" s="1">
        <v>0</v>
      </c>
      <c r="U87" s="1">
        <v>0</v>
      </c>
      <c r="V87" s="1" t="str">
        <f t="shared" si="10"/>
        <v>里程去程</v>
      </c>
      <c r="W87" s="1" t="s">
        <v>35</v>
      </c>
    </row>
    <row r="88" spans="1:23" x14ac:dyDescent="0.3">
      <c r="A88" s="1" t="str">
        <f t="shared" si="11"/>
        <v>59820</v>
      </c>
      <c r="B88" s="1" t="s">
        <v>53</v>
      </c>
      <c r="C88" s="1" t="s">
        <v>54</v>
      </c>
      <c r="D88" s="1" t="str">
        <f t="shared" si="9"/>
        <v>9801</v>
      </c>
      <c r="E88" s="1" t="s">
        <v>25</v>
      </c>
      <c r="F88" s="1" t="str">
        <f>"1305238545"</f>
        <v>1305238545</v>
      </c>
      <c r="G88" s="1" t="s">
        <v>26</v>
      </c>
      <c r="H88" s="1" t="str">
        <f t="shared" si="12"/>
        <v>20220903</v>
      </c>
      <c r="I88" s="1" t="str">
        <f>"163701"</f>
        <v>163701</v>
      </c>
      <c r="J88" s="1" t="s">
        <v>27</v>
      </c>
      <c r="K88" s="1" t="s">
        <v>28</v>
      </c>
      <c r="L88" s="1" t="str">
        <f t="shared" si="13"/>
        <v>20220903</v>
      </c>
      <c r="M88" s="1" t="str">
        <f>"170001"</f>
        <v>170001</v>
      </c>
      <c r="N88" s="1" t="s">
        <v>44</v>
      </c>
      <c r="O88" s="1" t="s">
        <v>45</v>
      </c>
      <c r="P88" s="1" t="s">
        <v>55</v>
      </c>
      <c r="Q88" s="1">
        <v>13</v>
      </c>
      <c r="R88" s="1">
        <v>13</v>
      </c>
      <c r="S88" s="1">
        <v>0</v>
      </c>
      <c r="T88" s="1">
        <v>0</v>
      </c>
      <c r="U88" s="1">
        <v>0</v>
      </c>
      <c r="V88" s="1" t="str">
        <f t="shared" si="10"/>
        <v>里程去程</v>
      </c>
      <c r="W88" s="1" t="s">
        <v>35</v>
      </c>
    </row>
    <row r="89" spans="1:23" x14ac:dyDescent="0.3">
      <c r="A89" s="1" t="str">
        <f t="shared" ref="A89:A95" si="14">"59828"</f>
        <v>59828</v>
      </c>
      <c r="B89" s="1" t="s">
        <v>23</v>
      </c>
      <c r="C89" s="1" t="s">
        <v>24</v>
      </c>
      <c r="D89" s="1" t="str">
        <f t="shared" si="9"/>
        <v>9801</v>
      </c>
      <c r="E89" s="1" t="s">
        <v>25</v>
      </c>
      <c r="F89" s="1" t="str">
        <f>"9517172009157051"</f>
        <v>9517172009157051</v>
      </c>
      <c r="G89" s="1" t="s">
        <v>33</v>
      </c>
      <c r="H89" s="1" t="str">
        <f t="shared" si="12"/>
        <v>20220903</v>
      </c>
      <c r="I89" s="1" t="str">
        <f>"080739"</f>
        <v>080739</v>
      </c>
      <c r="J89" s="1" t="s">
        <v>60</v>
      </c>
      <c r="K89" s="1" t="s">
        <v>52</v>
      </c>
      <c r="L89" s="1" t="str">
        <f t="shared" si="13"/>
        <v>20220903</v>
      </c>
      <c r="M89" s="1" t="str">
        <f>"083251"</f>
        <v>083251</v>
      </c>
      <c r="N89" s="1" t="s">
        <v>70</v>
      </c>
      <c r="O89" s="1" t="s">
        <v>28</v>
      </c>
      <c r="P89" s="1" t="s">
        <v>55</v>
      </c>
      <c r="Q89" s="1">
        <v>25</v>
      </c>
      <c r="R89" s="1">
        <v>25</v>
      </c>
      <c r="S89" s="1">
        <v>0</v>
      </c>
      <c r="T89" s="1">
        <v>0</v>
      </c>
      <c r="U89" s="1">
        <v>0</v>
      </c>
      <c r="V89" s="1" t="str">
        <f t="shared" si="10"/>
        <v>里程去程</v>
      </c>
      <c r="W89" s="1" t="s">
        <v>109</v>
      </c>
    </row>
    <row r="90" spans="1:23" x14ac:dyDescent="0.3">
      <c r="A90" s="1" t="str">
        <f t="shared" si="14"/>
        <v>59828</v>
      </c>
      <c r="B90" s="1" t="s">
        <v>23</v>
      </c>
      <c r="C90" s="1" t="s">
        <v>24</v>
      </c>
      <c r="D90" s="1" t="str">
        <f t="shared" si="9"/>
        <v>9801</v>
      </c>
      <c r="E90" s="1" t="s">
        <v>25</v>
      </c>
      <c r="F90" s="1" t="str">
        <f>"1005723109"</f>
        <v>1005723109</v>
      </c>
      <c r="G90" s="1" t="s">
        <v>26</v>
      </c>
      <c r="H90" s="1" t="str">
        <f t="shared" si="12"/>
        <v>20220903</v>
      </c>
      <c r="I90" s="1" t="str">
        <f>"090042"</f>
        <v>090042</v>
      </c>
      <c r="J90" s="1" t="s">
        <v>52</v>
      </c>
      <c r="K90" s="1" t="s">
        <v>52</v>
      </c>
      <c r="L90" s="1" t="str">
        <f t="shared" si="13"/>
        <v>20220903</v>
      </c>
      <c r="M90" s="1" t="str">
        <f>"093400"</f>
        <v>093400</v>
      </c>
      <c r="N90" s="1" t="s">
        <v>70</v>
      </c>
      <c r="O90" s="1" t="s">
        <v>28</v>
      </c>
      <c r="P90" s="1" t="s">
        <v>55</v>
      </c>
      <c r="Q90" s="1">
        <v>13</v>
      </c>
      <c r="R90" s="1">
        <v>13</v>
      </c>
      <c r="S90" s="1">
        <v>0</v>
      </c>
      <c r="T90" s="1">
        <v>0</v>
      </c>
      <c r="U90" s="1">
        <v>0</v>
      </c>
      <c r="V90" s="1" t="str">
        <f t="shared" si="10"/>
        <v>里程去程</v>
      </c>
      <c r="W90" s="1" t="s">
        <v>35</v>
      </c>
    </row>
    <row r="91" spans="1:23" x14ac:dyDescent="0.3">
      <c r="A91" s="1" t="str">
        <f t="shared" si="14"/>
        <v>59828</v>
      </c>
      <c r="B91" s="1" t="s">
        <v>23</v>
      </c>
      <c r="C91" s="1" t="s">
        <v>24</v>
      </c>
      <c r="D91" s="1" t="str">
        <f t="shared" si="9"/>
        <v>9801</v>
      </c>
      <c r="E91" s="1" t="s">
        <v>25</v>
      </c>
      <c r="F91" s="1" t="str">
        <f>"1636928213"</f>
        <v>1636928213</v>
      </c>
      <c r="G91" s="1" t="s">
        <v>33</v>
      </c>
      <c r="H91" s="1" t="str">
        <f t="shared" si="12"/>
        <v>20220903</v>
      </c>
      <c r="I91" s="1" t="str">
        <f>"092212"</f>
        <v>092212</v>
      </c>
      <c r="J91" s="1" t="s">
        <v>69</v>
      </c>
      <c r="K91" s="1" t="s">
        <v>52</v>
      </c>
      <c r="L91" s="1" t="str">
        <f t="shared" si="13"/>
        <v>20220903</v>
      </c>
      <c r="M91" s="1" t="str">
        <f>"093348"</f>
        <v>093348</v>
      </c>
      <c r="N91" s="1" t="s">
        <v>70</v>
      </c>
      <c r="O91" s="1" t="s">
        <v>28</v>
      </c>
      <c r="P91" s="1" t="s">
        <v>55</v>
      </c>
      <c r="Q91" s="1">
        <v>25</v>
      </c>
      <c r="R91" s="1">
        <v>25</v>
      </c>
      <c r="S91" s="1">
        <v>0</v>
      </c>
      <c r="T91" s="1">
        <v>0</v>
      </c>
      <c r="U91" s="1">
        <v>0</v>
      </c>
      <c r="V91" s="1" t="str">
        <f t="shared" si="10"/>
        <v>里程去程</v>
      </c>
      <c r="W91" s="1" t="s">
        <v>35</v>
      </c>
    </row>
    <row r="92" spans="1:23" x14ac:dyDescent="0.3">
      <c r="A92" s="1" t="str">
        <f t="shared" si="14"/>
        <v>59828</v>
      </c>
      <c r="B92" s="1" t="s">
        <v>23</v>
      </c>
      <c r="C92" s="1" t="s">
        <v>24</v>
      </c>
      <c r="D92" s="1" t="str">
        <f t="shared" si="9"/>
        <v>9801</v>
      </c>
      <c r="E92" s="1" t="s">
        <v>25</v>
      </c>
      <c r="F92" s="1" t="str">
        <f>"E213BD024E880400C834002000000015"</f>
        <v>E213BD024E880400C834002000000015</v>
      </c>
      <c r="G92" s="1" t="s">
        <v>74</v>
      </c>
      <c r="H92" s="1" t="str">
        <f t="shared" si="12"/>
        <v>20220903</v>
      </c>
      <c r="I92" s="1" t="str">
        <f>"093409"</f>
        <v>093409</v>
      </c>
      <c r="J92" s="1" t="s">
        <v>27</v>
      </c>
      <c r="K92" s="1" t="s">
        <v>28</v>
      </c>
      <c r="L92" s="1" t="str">
        <f t="shared" si="13"/>
        <v>20220903</v>
      </c>
      <c r="M92" s="1" t="str">
        <f>"094850"</f>
        <v>094850</v>
      </c>
      <c r="N92" s="1" t="s">
        <v>61</v>
      </c>
      <c r="O92" s="1" t="s">
        <v>45</v>
      </c>
      <c r="P92" s="1" t="s">
        <v>68</v>
      </c>
      <c r="Q92" s="1">
        <v>13</v>
      </c>
      <c r="R92" s="1">
        <v>0</v>
      </c>
      <c r="S92" s="1">
        <v>0</v>
      </c>
      <c r="T92" s="1">
        <v>13</v>
      </c>
      <c r="U92" s="1">
        <v>0</v>
      </c>
      <c r="V92" s="1" t="str">
        <f t="shared" si="10"/>
        <v>里程去程</v>
      </c>
      <c r="W92" s="1" t="s">
        <v>29</v>
      </c>
    </row>
    <row r="93" spans="1:23" x14ac:dyDescent="0.3">
      <c r="A93" s="1" t="str">
        <f t="shared" si="14"/>
        <v>59828</v>
      </c>
      <c r="B93" s="1" t="s">
        <v>23</v>
      </c>
      <c r="C93" s="1" t="s">
        <v>24</v>
      </c>
      <c r="D93" s="1" t="str">
        <f t="shared" si="9"/>
        <v>9801</v>
      </c>
      <c r="E93" s="1" t="s">
        <v>25</v>
      </c>
      <c r="F93" s="1" t="str">
        <f>"1125544725"</f>
        <v>1125544725</v>
      </c>
      <c r="G93" s="1" t="s">
        <v>33</v>
      </c>
      <c r="H93" s="1" t="str">
        <f t="shared" si="12"/>
        <v>20220903</v>
      </c>
      <c r="I93" s="1" t="str">
        <f>"093414"</f>
        <v>093414</v>
      </c>
      <c r="J93" s="1" t="s">
        <v>27</v>
      </c>
      <c r="K93" s="1" t="s">
        <v>28</v>
      </c>
      <c r="L93" s="1" t="str">
        <f t="shared" si="13"/>
        <v>20220903</v>
      </c>
      <c r="M93" s="1" t="str">
        <f>"095844"</f>
        <v>095844</v>
      </c>
      <c r="N93" s="1" t="s">
        <v>44</v>
      </c>
      <c r="O93" s="1" t="s">
        <v>45</v>
      </c>
      <c r="P93" s="1" t="s">
        <v>55</v>
      </c>
      <c r="Q93" s="1">
        <v>25</v>
      </c>
      <c r="R93" s="1">
        <v>0</v>
      </c>
      <c r="S93" s="1">
        <v>25</v>
      </c>
      <c r="T93" s="1">
        <v>0</v>
      </c>
      <c r="U93" s="1">
        <v>0</v>
      </c>
      <c r="V93" s="1" t="str">
        <f t="shared" si="10"/>
        <v>里程去程</v>
      </c>
      <c r="W93" s="1" t="s">
        <v>35</v>
      </c>
    </row>
    <row r="94" spans="1:23" x14ac:dyDescent="0.3">
      <c r="A94" s="1" t="str">
        <f t="shared" si="14"/>
        <v>59828</v>
      </c>
      <c r="B94" s="1" t="s">
        <v>23</v>
      </c>
      <c r="C94" s="1" t="s">
        <v>24</v>
      </c>
      <c r="D94" s="1" t="str">
        <f t="shared" si="9"/>
        <v>9801</v>
      </c>
      <c r="E94" s="1" t="s">
        <v>25</v>
      </c>
      <c r="F94" s="1" t="str">
        <f>"1063910805"</f>
        <v>1063910805</v>
      </c>
      <c r="G94" s="1" t="s">
        <v>33</v>
      </c>
      <c r="H94" s="1" t="str">
        <f t="shared" si="12"/>
        <v>20220903</v>
      </c>
      <c r="I94" s="1" t="str">
        <f>"093419"</f>
        <v>093419</v>
      </c>
      <c r="J94" s="1" t="s">
        <v>27</v>
      </c>
      <c r="K94" s="1" t="s">
        <v>28</v>
      </c>
      <c r="L94" s="1" t="str">
        <f t="shared" si="13"/>
        <v>20220903</v>
      </c>
      <c r="M94" s="1" t="str">
        <f>"094334"</f>
        <v>094334</v>
      </c>
      <c r="N94" s="1" t="s">
        <v>70</v>
      </c>
      <c r="O94" s="1" t="s">
        <v>28</v>
      </c>
      <c r="P94" s="1" t="s">
        <v>55</v>
      </c>
      <c r="Q94" s="1">
        <v>25</v>
      </c>
      <c r="R94" s="1">
        <v>0</v>
      </c>
      <c r="S94" s="1">
        <v>25</v>
      </c>
      <c r="T94" s="1">
        <v>0</v>
      </c>
      <c r="U94" s="1">
        <v>0</v>
      </c>
      <c r="V94" s="1" t="str">
        <f t="shared" si="10"/>
        <v>里程去程</v>
      </c>
      <c r="W94" s="1" t="s">
        <v>35</v>
      </c>
    </row>
    <row r="95" spans="1:23" x14ac:dyDescent="0.3">
      <c r="A95" s="1" t="str">
        <f t="shared" si="14"/>
        <v>59828</v>
      </c>
      <c r="B95" s="1" t="s">
        <v>23</v>
      </c>
      <c r="C95" s="1" t="s">
        <v>24</v>
      </c>
      <c r="D95" s="1" t="str">
        <f t="shared" si="9"/>
        <v>9801</v>
      </c>
      <c r="E95" s="1" t="s">
        <v>25</v>
      </c>
      <c r="F95" s="1" t="str">
        <f>"32780D0344880400C834002000000015"</f>
        <v>32780D0344880400C834002000000015</v>
      </c>
      <c r="G95" s="1" t="s">
        <v>26</v>
      </c>
      <c r="H95" s="1" t="str">
        <f t="shared" si="12"/>
        <v>20220903</v>
      </c>
      <c r="I95" s="1" t="str">
        <f>"093705"</f>
        <v>093705</v>
      </c>
      <c r="J95" s="1" t="s">
        <v>27</v>
      </c>
      <c r="K95" s="1" t="s">
        <v>28</v>
      </c>
      <c r="L95" s="1" t="str">
        <f t="shared" si="13"/>
        <v>20220903</v>
      </c>
      <c r="M95" s="1" t="str">
        <f>"095847"</f>
        <v>095847</v>
      </c>
      <c r="N95" s="1" t="s">
        <v>44</v>
      </c>
      <c r="O95" s="1" t="s">
        <v>45</v>
      </c>
      <c r="P95" s="1" t="s">
        <v>68</v>
      </c>
      <c r="Q95" s="1">
        <v>13</v>
      </c>
      <c r="R95" s="1">
        <v>0</v>
      </c>
      <c r="S95" s="1">
        <v>0</v>
      </c>
      <c r="T95" s="1">
        <v>13</v>
      </c>
      <c r="U95" s="1">
        <v>0</v>
      </c>
      <c r="V95" s="1" t="str">
        <f t="shared" si="10"/>
        <v>里程去程</v>
      </c>
      <c r="W95" s="1" t="s">
        <v>29</v>
      </c>
    </row>
    <row r="96" spans="1:23" x14ac:dyDescent="0.3">
      <c r="A96" s="1" t="str">
        <f t="shared" ref="A96:A113" si="15">"59822"</f>
        <v>59822</v>
      </c>
      <c r="B96" s="1" t="s">
        <v>39</v>
      </c>
      <c r="C96" s="1" t="s">
        <v>40</v>
      </c>
      <c r="D96" s="1" t="str">
        <f t="shared" si="9"/>
        <v>9801</v>
      </c>
      <c r="E96" s="1" t="s">
        <v>25</v>
      </c>
      <c r="F96" s="1" t="str">
        <f>"1695105317"</f>
        <v>1695105317</v>
      </c>
      <c r="G96" s="1" t="s">
        <v>33</v>
      </c>
      <c r="H96" s="1" t="str">
        <f t="shared" ref="H96:H117" si="16">"20220904"</f>
        <v>20220904</v>
      </c>
      <c r="I96" s="1" t="str">
        <f>"110142"</f>
        <v>110142</v>
      </c>
      <c r="J96" s="1" t="s">
        <v>52</v>
      </c>
      <c r="K96" s="1" t="s">
        <v>52</v>
      </c>
      <c r="L96" s="1" t="str">
        <f t="shared" ref="L96:L117" si="17">"20220904"</f>
        <v>20220904</v>
      </c>
      <c r="M96" s="1" t="str">
        <f>"113533"</f>
        <v>113533</v>
      </c>
      <c r="N96" s="1" t="s">
        <v>70</v>
      </c>
      <c r="O96" s="1" t="s">
        <v>28</v>
      </c>
      <c r="P96" s="1" t="s">
        <v>55</v>
      </c>
      <c r="Q96" s="1">
        <v>25</v>
      </c>
      <c r="R96" s="1">
        <v>25</v>
      </c>
      <c r="S96" s="1">
        <v>0</v>
      </c>
      <c r="T96" s="1">
        <v>0</v>
      </c>
      <c r="U96" s="1">
        <v>0</v>
      </c>
      <c r="V96" s="1" t="str">
        <f t="shared" si="10"/>
        <v>里程去程</v>
      </c>
      <c r="W96" s="1" t="s">
        <v>35</v>
      </c>
    </row>
    <row r="97" spans="1:23" x14ac:dyDescent="0.3">
      <c r="A97" s="1" t="str">
        <f t="shared" si="15"/>
        <v>59822</v>
      </c>
      <c r="B97" s="1" t="s">
        <v>39</v>
      </c>
      <c r="C97" s="1" t="s">
        <v>40</v>
      </c>
      <c r="D97" s="1" t="str">
        <f t="shared" si="9"/>
        <v>9801</v>
      </c>
      <c r="E97" s="1" t="s">
        <v>25</v>
      </c>
      <c r="F97" s="1" t="str">
        <f>"969889189"</f>
        <v>969889189</v>
      </c>
      <c r="G97" s="1" t="s">
        <v>33</v>
      </c>
      <c r="H97" s="1" t="str">
        <f t="shared" si="16"/>
        <v>20220904</v>
      </c>
      <c r="I97" s="1" t="str">
        <f>"112505"</f>
        <v>112505</v>
      </c>
      <c r="J97" s="1" t="s">
        <v>67</v>
      </c>
      <c r="K97" s="1" t="s">
        <v>52</v>
      </c>
      <c r="L97" s="1" t="str">
        <f t="shared" si="17"/>
        <v>20220904</v>
      </c>
      <c r="M97" s="1" t="str">
        <f>"113530"</f>
        <v>113530</v>
      </c>
      <c r="N97" s="1" t="s">
        <v>70</v>
      </c>
      <c r="O97" s="1" t="s">
        <v>28</v>
      </c>
      <c r="P97" s="1" t="s">
        <v>55</v>
      </c>
      <c r="Q97" s="1">
        <v>25</v>
      </c>
      <c r="R97" s="1">
        <v>25</v>
      </c>
      <c r="S97" s="1">
        <v>0</v>
      </c>
      <c r="T97" s="1">
        <v>0</v>
      </c>
      <c r="U97" s="1">
        <v>0</v>
      </c>
      <c r="V97" s="1" t="str">
        <f t="shared" si="10"/>
        <v>里程去程</v>
      </c>
      <c r="W97" s="1" t="s">
        <v>35</v>
      </c>
    </row>
    <row r="98" spans="1:23" x14ac:dyDescent="0.3">
      <c r="A98" s="1" t="str">
        <f t="shared" si="15"/>
        <v>59822</v>
      </c>
      <c r="B98" s="1" t="s">
        <v>39</v>
      </c>
      <c r="C98" s="1" t="s">
        <v>40</v>
      </c>
      <c r="D98" s="1" t="str">
        <f t="shared" si="9"/>
        <v>9801</v>
      </c>
      <c r="E98" s="1" t="s">
        <v>25</v>
      </c>
      <c r="F98" s="1" t="str">
        <f>"995391765"</f>
        <v>995391765</v>
      </c>
      <c r="G98" s="1" t="s">
        <v>33</v>
      </c>
      <c r="H98" s="1" t="str">
        <f t="shared" si="16"/>
        <v>20220904</v>
      </c>
      <c r="I98" s="1" t="str">
        <f>"113545"</f>
        <v>113545</v>
      </c>
      <c r="J98" s="1" t="s">
        <v>27</v>
      </c>
      <c r="K98" s="1" t="s">
        <v>28</v>
      </c>
      <c r="L98" s="1" t="str">
        <f t="shared" si="17"/>
        <v>20220904</v>
      </c>
      <c r="M98" s="1" t="str">
        <f>"115345"</f>
        <v>115345</v>
      </c>
      <c r="N98" s="1" t="s">
        <v>100</v>
      </c>
      <c r="O98" s="1" t="s">
        <v>45</v>
      </c>
      <c r="P98" s="1" t="s">
        <v>55</v>
      </c>
      <c r="Q98" s="1">
        <v>25</v>
      </c>
      <c r="R98" s="1">
        <v>0</v>
      </c>
      <c r="S98" s="1">
        <v>25</v>
      </c>
      <c r="T98" s="1">
        <v>0</v>
      </c>
      <c r="U98" s="1">
        <v>0</v>
      </c>
      <c r="V98" s="1" t="str">
        <f t="shared" si="10"/>
        <v>里程去程</v>
      </c>
      <c r="W98" s="1" t="s">
        <v>35</v>
      </c>
    </row>
    <row r="99" spans="1:23" x14ac:dyDescent="0.3">
      <c r="A99" s="1" t="str">
        <f t="shared" si="15"/>
        <v>59822</v>
      </c>
      <c r="B99" s="1" t="s">
        <v>39</v>
      </c>
      <c r="C99" s="1" t="s">
        <v>40</v>
      </c>
      <c r="D99" s="1" t="str">
        <f t="shared" si="9"/>
        <v>9801</v>
      </c>
      <c r="E99" s="1" t="s">
        <v>25</v>
      </c>
      <c r="F99" s="1" t="str">
        <f>"868587989"</f>
        <v>868587989</v>
      </c>
      <c r="G99" s="1" t="s">
        <v>33</v>
      </c>
      <c r="H99" s="1" t="str">
        <f t="shared" si="16"/>
        <v>20220904</v>
      </c>
      <c r="I99" s="1" t="str">
        <f>"121708"</f>
        <v>121708</v>
      </c>
      <c r="J99" s="1" t="s">
        <v>80</v>
      </c>
      <c r="K99" s="1" t="s">
        <v>52</v>
      </c>
      <c r="L99" s="1" t="str">
        <f t="shared" si="17"/>
        <v>20220904</v>
      </c>
      <c r="M99" s="1" t="str">
        <f>"123210"</f>
        <v>123210</v>
      </c>
      <c r="N99" s="1" t="s">
        <v>70</v>
      </c>
      <c r="O99" s="1" t="s">
        <v>28</v>
      </c>
      <c r="P99" s="1" t="s">
        <v>55</v>
      </c>
      <c r="Q99" s="1">
        <v>25</v>
      </c>
      <c r="R99" s="1">
        <v>25</v>
      </c>
      <c r="S99" s="1">
        <v>0</v>
      </c>
      <c r="T99" s="1">
        <v>0</v>
      </c>
      <c r="U99" s="1">
        <v>0</v>
      </c>
      <c r="V99" s="1" t="str">
        <f t="shared" si="10"/>
        <v>里程去程</v>
      </c>
      <c r="W99" s="1" t="s">
        <v>35</v>
      </c>
    </row>
    <row r="100" spans="1:23" x14ac:dyDescent="0.3">
      <c r="A100" s="1" t="str">
        <f t="shared" si="15"/>
        <v>59822</v>
      </c>
      <c r="B100" s="1" t="s">
        <v>39</v>
      </c>
      <c r="C100" s="1" t="s">
        <v>40</v>
      </c>
      <c r="D100" s="1" t="str">
        <f t="shared" si="9"/>
        <v>9801</v>
      </c>
      <c r="E100" s="1" t="s">
        <v>25</v>
      </c>
      <c r="F100" s="1" t="str">
        <f>"2605976495"</f>
        <v>2605976495</v>
      </c>
      <c r="G100" s="1" t="s">
        <v>33</v>
      </c>
      <c r="H100" s="1" t="str">
        <f t="shared" si="16"/>
        <v>20220904</v>
      </c>
      <c r="I100" s="1" t="str">
        <f>"121715"</f>
        <v>121715</v>
      </c>
      <c r="J100" s="1" t="s">
        <v>80</v>
      </c>
      <c r="K100" s="1" t="s">
        <v>52</v>
      </c>
      <c r="L100" s="1" t="str">
        <f t="shared" si="17"/>
        <v>20220904</v>
      </c>
      <c r="M100" s="1" t="str">
        <f>"123205"</f>
        <v>123205</v>
      </c>
      <c r="N100" s="1" t="s">
        <v>70</v>
      </c>
      <c r="O100" s="1" t="s">
        <v>28</v>
      </c>
      <c r="P100" s="1" t="s">
        <v>55</v>
      </c>
      <c r="Q100" s="1">
        <v>25</v>
      </c>
      <c r="R100" s="1">
        <v>25</v>
      </c>
      <c r="S100" s="1">
        <v>0</v>
      </c>
      <c r="T100" s="1">
        <v>0</v>
      </c>
      <c r="U100" s="1">
        <v>0</v>
      </c>
      <c r="V100" s="1" t="str">
        <f t="shared" si="10"/>
        <v>里程去程</v>
      </c>
      <c r="W100" s="1" t="s">
        <v>35</v>
      </c>
    </row>
    <row r="101" spans="1:23" x14ac:dyDescent="0.3">
      <c r="A101" s="1" t="str">
        <f t="shared" si="15"/>
        <v>59822</v>
      </c>
      <c r="B101" s="1" t="s">
        <v>39</v>
      </c>
      <c r="C101" s="1" t="s">
        <v>40</v>
      </c>
      <c r="D101" s="1" t="str">
        <f t="shared" si="9"/>
        <v>9801</v>
      </c>
      <c r="E101" s="1" t="s">
        <v>25</v>
      </c>
      <c r="F101" s="1" t="str">
        <f>"1022049077"</f>
        <v>1022049077</v>
      </c>
      <c r="G101" s="1" t="s">
        <v>96</v>
      </c>
      <c r="H101" s="1" t="str">
        <f t="shared" si="16"/>
        <v>20220904</v>
      </c>
      <c r="I101" s="1" t="str">
        <f>"121723"</f>
        <v>121723</v>
      </c>
      <c r="J101" s="1" t="s">
        <v>80</v>
      </c>
      <c r="K101" s="1" t="s">
        <v>52</v>
      </c>
      <c r="L101" s="1" t="str">
        <f t="shared" si="17"/>
        <v>20220904</v>
      </c>
      <c r="M101" s="1" t="str">
        <f>"123201"</f>
        <v>123201</v>
      </c>
      <c r="N101" s="1" t="s">
        <v>70</v>
      </c>
      <c r="O101" s="1" t="s">
        <v>28</v>
      </c>
      <c r="P101" s="1" t="s">
        <v>55</v>
      </c>
      <c r="Q101" s="1">
        <v>13</v>
      </c>
      <c r="R101" s="1">
        <v>13</v>
      </c>
      <c r="S101" s="1">
        <v>0</v>
      </c>
      <c r="T101" s="1">
        <v>0</v>
      </c>
      <c r="U101" s="1">
        <v>0</v>
      </c>
      <c r="V101" s="1" t="str">
        <f t="shared" si="10"/>
        <v>里程去程</v>
      </c>
      <c r="W101" s="1" t="s">
        <v>35</v>
      </c>
    </row>
    <row r="102" spans="1:23" x14ac:dyDescent="0.3">
      <c r="A102" s="1" t="str">
        <f t="shared" si="15"/>
        <v>59822</v>
      </c>
      <c r="B102" s="1" t="s">
        <v>39</v>
      </c>
      <c r="C102" s="1" t="s">
        <v>40</v>
      </c>
      <c r="D102" s="1" t="str">
        <f t="shared" si="9"/>
        <v>9801</v>
      </c>
      <c r="E102" s="1" t="s">
        <v>25</v>
      </c>
      <c r="F102" s="1" t="str">
        <f>"1240779889"</f>
        <v>1240779889</v>
      </c>
      <c r="G102" s="1" t="s">
        <v>33</v>
      </c>
      <c r="H102" s="1" t="str">
        <f t="shared" si="16"/>
        <v>20220904</v>
      </c>
      <c r="I102" s="1" t="str">
        <f>"123217"</f>
        <v>123217</v>
      </c>
      <c r="J102" s="1" t="s">
        <v>27</v>
      </c>
      <c r="K102" s="1" t="s">
        <v>28</v>
      </c>
      <c r="L102" s="1" t="str">
        <f t="shared" si="17"/>
        <v>20220904</v>
      </c>
      <c r="M102" s="1" t="str">
        <f>"125331"</f>
        <v>125331</v>
      </c>
      <c r="N102" s="1" t="s">
        <v>44</v>
      </c>
      <c r="O102" s="1" t="s">
        <v>45</v>
      </c>
      <c r="P102" s="1" t="s">
        <v>55</v>
      </c>
      <c r="Q102" s="1">
        <v>25</v>
      </c>
      <c r="R102" s="1">
        <v>25</v>
      </c>
      <c r="S102" s="1">
        <v>0</v>
      </c>
      <c r="T102" s="1">
        <v>0</v>
      </c>
      <c r="U102" s="1">
        <v>0</v>
      </c>
      <c r="V102" s="1" t="str">
        <f t="shared" si="10"/>
        <v>里程去程</v>
      </c>
      <c r="W102" s="1" t="s">
        <v>35</v>
      </c>
    </row>
    <row r="103" spans="1:23" x14ac:dyDescent="0.3">
      <c r="A103" s="1" t="str">
        <f t="shared" si="15"/>
        <v>59822</v>
      </c>
      <c r="B103" s="1" t="s">
        <v>39</v>
      </c>
      <c r="C103" s="1" t="s">
        <v>40</v>
      </c>
      <c r="D103" s="1" t="str">
        <f t="shared" si="9"/>
        <v>9801</v>
      </c>
      <c r="E103" s="1" t="s">
        <v>25</v>
      </c>
      <c r="F103" s="1" t="str">
        <f>"2802894415"</f>
        <v>2802894415</v>
      </c>
      <c r="G103" s="1" t="s">
        <v>33</v>
      </c>
      <c r="H103" s="1" t="str">
        <f t="shared" si="16"/>
        <v>20220904</v>
      </c>
      <c r="I103" s="1" t="str">
        <f>"123218"</f>
        <v>123218</v>
      </c>
      <c r="J103" s="1" t="s">
        <v>27</v>
      </c>
      <c r="K103" s="1" t="s">
        <v>28</v>
      </c>
      <c r="L103" s="1" t="str">
        <f t="shared" si="17"/>
        <v>20220904</v>
      </c>
      <c r="M103" s="1" t="str">
        <f>"125310"</f>
        <v>125310</v>
      </c>
      <c r="N103" s="1" t="s">
        <v>44</v>
      </c>
      <c r="O103" s="1" t="s">
        <v>45</v>
      </c>
      <c r="P103" s="1" t="s">
        <v>55</v>
      </c>
      <c r="Q103" s="1">
        <v>25</v>
      </c>
      <c r="R103" s="1">
        <v>25</v>
      </c>
      <c r="S103" s="1">
        <v>0</v>
      </c>
      <c r="T103" s="1">
        <v>0</v>
      </c>
      <c r="U103" s="1">
        <v>0</v>
      </c>
      <c r="V103" s="1" t="str">
        <f t="shared" si="10"/>
        <v>里程去程</v>
      </c>
      <c r="W103" s="1" t="s">
        <v>35</v>
      </c>
    </row>
    <row r="104" spans="1:23" x14ac:dyDescent="0.3">
      <c r="A104" s="1" t="str">
        <f t="shared" si="15"/>
        <v>59822</v>
      </c>
      <c r="B104" s="1" t="s">
        <v>39</v>
      </c>
      <c r="C104" s="1" t="s">
        <v>40</v>
      </c>
      <c r="D104" s="1" t="str">
        <f t="shared" si="9"/>
        <v>9801</v>
      </c>
      <c r="E104" s="1" t="s">
        <v>25</v>
      </c>
      <c r="F104" s="1" t="str">
        <f>"187053583"</f>
        <v>187053583</v>
      </c>
      <c r="G104" s="1" t="s">
        <v>33</v>
      </c>
      <c r="H104" s="1" t="str">
        <f t="shared" si="16"/>
        <v>20220904</v>
      </c>
      <c r="I104" s="1" t="str">
        <f>"123227"</f>
        <v>123227</v>
      </c>
      <c r="J104" s="1" t="s">
        <v>27</v>
      </c>
      <c r="K104" s="1" t="s">
        <v>28</v>
      </c>
      <c r="L104" s="1" t="str">
        <f t="shared" si="17"/>
        <v>20220904</v>
      </c>
      <c r="M104" s="1" t="str">
        <f>"125327"</f>
        <v>125327</v>
      </c>
      <c r="N104" s="1" t="s">
        <v>44</v>
      </c>
      <c r="O104" s="1" t="s">
        <v>45</v>
      </c>
      <c r="P104" s="1" t="s">
        <v>55</v>
      </c>
      <c r="Q104" s="1">
        <v>25</v>
      </c>
      <c r="R104" s="1">
        <v>25</v>
      </c>
      <c r="S104" s="1">
        <v>0</v>
      </c>
      <c r="T104" s="1">
        <v>0</v>
      </c>
      <c r="U104" s="1">
        <v>0</v>
      </c>
      <c r="V104" s="1" t="str">
        <f t="shared" si="10"/>
        <v>里程去程</v>
      </c>
      <c r="W104" s="1" t="s">
        <v>35</v>
      </c>
    </row>
    <row r="105" spans="1:23" x14ac:dyDescent="0.3">
      <c r="A105" s="1" t="str">
        <f t="shared" si="15"/>
        <v>59822</v>
      </c>
      <c r="B105" s="1" t="s">
        <v>39</v>
      </c>
      <c r="C105" s="1" t="s">
        <v>40</v>
      </c>
      <c r="D105" s="1" t="str">
        <f t="shared" si="9"/>
        <v>9801</v>
      </c>
      <c r="E105" s="1" t="s">
        <v>25</v>
      </c>
      <c r="F105" s="1" t="str">
        <f>"1811272069"</f>
        <v>1811272069</v>
      </c>
      <c r="G105" s="1" t="s">
        <v>33</v>
      </c>
      <c r="H105" s="1" t="str">
        <f t="shared" si="16"/>
        <v>20220904</v>
      </c>
      <c r="I105" s="1" t="str">
        <f>"123247"</f>
        <v>123247</v>
      </c>
      <c r="J105" s="1" t="s">
        <v>27</v>
      </c>
      <c r="K105" s="1" t="s">
        <v>28</v>
      </c>
      <c r="L105" s="1" t="str">
        <f t="shared" si="17"/>
        <v>20220904</v>
      </c>
      <c r="M105" s="1" t="str">
        <f>"125339"</f>
        <v>125339</v>
      </c>
      <c r="N105" s="1" t="s">
        <v>44</v>
      </c>
      <c r="O105" s="1" t="s">
        <v>45</v>
      </c>
      <c r="P105" s="1" t="s">
        <v>55</v>
      </c>
      <c r="Q105" s="1">
        <v>25</v>
      </c>
      <c r="R105" s="1">
        <v>25</v>
      </c>
      <c r="S105" s="1">
        <v>0</v>
      </c>
      <c r="T105" s="1">
        <v>0</v>
      </c>
      <c r="U105" s="1">
        <v>0</v>
      </c>
      <c r="V105" s="1" t="str">
        <f t="shared" si="10"/>
        <v>里程去程</v>
      </c>
      <c r="W105" s="1" t="s">
        <v>35</v>
      </c>
    </row>
    <row r="106" spans="1:23" x14ac:dyDescent="0.3">
      <c r="A106" s="1" t="str">
        <f t="shared" si="15"/>
        <v>59822</v>
      </c>
      <c r="B106" s="1" t="s">
        <v>39</v>
      </c>
      <c r="C106" s="1" t="s">
        <v>40</v>
      </c>
      <c r="D106" s="1" t="str">
        <f t="shared" si="9"/>
        <v>9801</v>
      </c>
      <c r="E106" s="1" t="s">
        <v>25</v>
      </c>
      <c r="F106" s="1" t="str">
        <f>"1718406374"</f>
        <v>1718406374</v>
      </c>
      <c r="G106" s="1" t="s">
        <v>33</v>
      </c>
      <c r="H106" s="1" t="str">
        <f t="shared" si="16"/>
        <v>20220904</v>
      </c>
      <c r="I106" s="1" t="str">
        <f>"123334"</f>
        <v>123334</v>
      </c>
      <c r="J106" s="1" t="s">
        <v>27</v>
      </c>
      <c r="K106" s="1" t="s">
        <v>28</v>
      </c>
      <c r="L106" s="1" t="str">
        <f t="shared" si="17"/>
        <v>20220904</v>
      </c>
      <c r="M106" s="1" t="str">
        <f>"125334"</f>
        <v>125334</v>
      </c>
      <c r="N106" s="1" t="s">
        <v>44</v>
      </c>
      <c r="O106" s="1" t="s">
        <v>45</v>
      </c>
      <c r="P106" s="1" t="s">
        <v>55</v>
      </c>
      <c r="Q106" s="1">
        <v>25</v>
      </c>
      <c r="R106" s="1">
        <v>25</v>
      </c>
      <c r="S106" s="1">
        <v>0</v>
      </c>
      <c r="T106" s="1">
        <v>0</v>
      </c>
      <c r="U106" s="1">
        <v>0</v>
      </c>
      <c r="V106" s="1" t="str">
        <f t="shared" si="10"/>
        <v>里程去程</v>
      </c>
      <c r="W106" s="1" t="s">
        <v>35</v>
      </c>
    </row>
    <row r="107" spans="1:23" x14ac:dyDescent="0.3">
      <c r="A107" s="1" t="str">
        <f t="shared" si="15"/>
        <v>59822</v>
      </c>
      <c r="B107" s="1" t="s">
        <v>39</v>
      </c>
      <c r="C107" s="1" t="s">
        <v>40</v>
      </c>
      <c r="D107" s="1" t="str">
        <f t="shared" si="9"/>
        <v>9801</v>
      </c>
      <c r="E107" s="1" t="s">
        <v>25</v>
      </c>
      <c r="F107" s="1" t="str">
        <f>"995391765"</f>
        <v>995391765</v>
      </c>
      <c r="G107" s="1" t="s">
        <v>33</v>
      </c>
      <c r="H107" s="1" t="str">
        <f t="shared" si="16"/>
        <v>20220904</v>
      </c>
      <c r="I107" s="1" t="str">
        <f>"135522"</f>
        <v>135522</v>
      </c>
      <c r="J107" s="1" t="s">
        <v>100</v>
      </c>
      <c r="K107" s="1" t="s">
        <v>45</v>
      </c>
      <c r="L107" s="1" t="str">
        <f t="shared" si="17"/>
        <v>20220904</v>
      </c>
      <c r="M107" s="1" t="str">
        <f>"135926"</f>
        <v>135926</v>
      </c>
      <c r="N107" s="1" t="s">
        <v>44</v>
      </c>
      <c r="O107" s="1" t="s">
        <v>45</v>
      </c>
      <c r="P107" s="1" t="s">
        <v>55</v>
      </c>
      <c r="Q107" s="1">
        <v>25</v>
      </c>
      <c r="R107" s="1">
        <v>25</v>
      </c>
      <c r="S107" s="1">
        <v>0</v>
      </c>
      <c r="T107" s="1">
        <v>0</v>
      </c>
      <c r="U107" s="1">
        <v>0</v>
      </c>
      <c r="V107" s="1" t="str">
        <f t="shared" si="10"/>
        <v>里程去程</v>
      </c>
      <c r="W107" s="1" t="s">
        <v>35</v>
      </c>
    </row>
    <row r="108" spans="1:23" x14ac:dyDescent="0.3">
      <c r="A108" s="1" t="str">
        <f t="shared" si="15"/>
        <v>59822</v>
      </c>
      <c r="B108" s="1" t="s">
        <v>39</v>
      </c>
      <c r="C108" s="1" t="s">
        <v>40</v>
      </c>
      <c r="D108" s="1" t="str">
        <f t="shared" si="9"/>
        <v>9801</v>
      </c>
      <c r="E108" s="1" t="s">
        <v>25</v>
      </c>
      <c r="F108" s="1" t="str">
        <f>"243440801"</f>
        <v>243440801</v>
      </c>
      <c r="G108" s="1" t="s">
        <v>33</v>
      </c>
      <c r="H108" s="1" t="str">
        <f t="shared" si="16"/>
        <v>20220904</v>
      </c>
      <c r="I108" s="1" t="str">
        <f>"160220"</f>
        <v>160220</v>
      </c>
      <c r="J108" s="1" t="s">
        <v>52</v>
      </c>
      <c r="K108" s="1" t="s">
        <v>52</v>
      </c>
      <c r="L108" s="1" t="str">
        <f t="shared" si="17"/>
        <v>20220904</v>
      </c>
      <c r="M108" s="1" t="str">
        <f>"163450"</f>
        <v>163450</v>
      </c>
      <c r="N108" s="1" t="s">
        <v>70</v>
      </c>
      <c r="O108" s="1" t="s">
        <v>28</v>
      </c>
      <c r="P108" s="1" t="s">
        <v>55</v>
      </c>
      <c r="Q108" s="1">
        <v>25</v>
      </c>
      <c r="R108" s="1">
        <v>0</v>
      </c>
      <c r="S108" s="1">
        <v>25</v>
      </c>
      <c r="T108" s="1">
        <v>0</v>
      </c>
      <c r="U108" s="1">
        <v>0</v>
      </c>
      <c r="V108" s="1" t="str">
        <f t="shared" si="10"/>
        <v>里程去程</v>
      </c>
      <c r="W108" s="1" t="s">
        <v>35</v>
      </c>
    </row>
    <row r="109" spans="1:23" x14ac:dyDescent="0.3">
      <c r="A109" s="1" t="str">
        <f t="shared" si="15"/>
        <v>59822</v>
      </c>
      <c r="B109" s="1" t="s">
        <v>39</v>
      </c>
      <c r="C109" s="1" t="s">
        <v>40</v>
      </c>
      <c r="D109" s="1" t="str">
        <f t="shared" si="9"/>
        <v>9801</v>
      </c>
      <c r="E109" s="1" t="s">
        <v>25</v>
      </c>
      <c r="F109" s="1" t="str">
        <f>"1062958421"</f>
        <v>1062958421</v>
      </c>
      <c r="G109" s="1" t="s">
        <v>33</v>
      </c>
      <c r="H109" s="1" t="str">
        <f t="shared" si="16"/>
        <v>20220904</v>
      </c>
      <c r="I109" s="1" t="str">
        <f>"160755"</f>
        <v>160755</v>
      </c>
      <c r="J109" s="1" t="s">
        <v>86</v>
      </c>
      <c r="K109" s="1" t="s">
        <v>52</v>
      </c>
      <c r="L109" s="1" t="str">
        <f t="shared" si="17"/>
        <v>20220904</v>
      </c>
      <c r="M109" s="1" t="str">
        <f>"162604"</f>
        <v>162604</v>
      </c>
      <c r="N109" s="1" t="s">
        <v>78</v>
      </c>
      <c r="O109" s="1" t="s">
        <v>52</v>
      </c>
      <c r="P109" s="1" t="s">
        <v>55</v>
      </c>
      <c r="Q109" s="1">
        <v>25</v>
      </c>
      <c r="R109" s="1">
        <v>25</v>
      </c>
      <c r="S109" s="1">
        <v>0</v>
      </c>
      <c r="T109" s="1">
        <v>0</v>
      </c>
      <c r="U109" s="1">
        <v>0</v>
      </c>
      <c r="V109" s="1" t="str">
        <f t="shared" si="10"/>
        <v>里程去程</v>
      </c>
      <c r="W109" s="1" t="s">
        <v>35</v>
      </c>
    </row>
    <row r="110" spans="1:23" x14ac:dyDescent="0.3">
      <c r="A110" s="1" t="str">
        <f t="shared" si="15"/>
        <v>59822</v>
      </c>
      <c r="B110" s="1" t="s">
        <v>39</v>
      </c>
      <c r="C110" s="1" t="s">
        <v>40</v>
      </c>
      <c r="D110" s="1" t="str">
        <f t="shared" si="9"/>
        <v>9801</v>
      </c>
      <c r="E110" s="1" t="s">
        <v>25</v>
      </c>
      <c r="F110" s="1" t="str">
        <f>"478425130"</f>
        <v>478425130</v>
      </c>
      <c r="G110" s="1" t="s">
        <v>33</v>
      </c>
      <c r="H110" s="1" t="str">
        <f t="shared" si="16"/>
        <v>20220904</v>
      </c>
      <c r="I110" s="1" t="str">
        <f>"160757"</f>
        <v>160757</v>
      </c>
      <c r="J110" s="1" t="s">
        <v>86</v>
      </c>
      <c r="K110" s="1" t="s">
        <v>52</v>
      </c>
      <c r="L110" s="1" t="str">
        <f t="shared" si="17"/>
        <v>20220904</v>
      </c>
      <c r="M110" s="1" t="str">
        <f>"162606"</f>
        <v>162606</v>
      </c>
      <c r="N110" s="1" t="s">
        <v>78</v>
      </c>
      <c r="O110" s="1" t="s">
        <v>52</v>
      </c>
      <c r="P110" s="1" t="s">
        <v>55</v>
      </c>
      <c r="Q110" s="1">
        <v>25</v>
      </c>
      <c r="R110" s="1">
        <v>25</v>
      </c>
      <c r="S110" s="1">
        <v>0</v>
      </c>
      <c r="T110" s="1">
        <v>0</v>
      </c>
      <c r="U110" s="1">
        <v>0</v>
      </c>
      <c r="V110" s="1" t="str">
        <f t="shared" si="10"/>
        <v>里程去程</v>
      </c>
      <c r="W110" s="1" t="s">
        <v>35</v>
      </c>
    </row>
    <row r="111" spans="1:23" x14ac:dyDescent="0.3">
      <c r="A111" s="1" t="str">
        <f t="shared" si="15"/>
        <v>59822</v>
      </c>
      <c r="B111" s="1" t="s">
        <v>39</v>
      </c>
      <c r="C111" s="1" t="s">
        <v>40</v>
      </c>
      <c r="D111" s="1" t="str">
        <f t="shared" si="9"/>
        <v>9801</v>
      </c>
      <c r="E111" s="1" t="s">
        <v>25</v>
      </c>
      <c r="F111" s="1" t="str">
        <f>"195396047"</f>
        <v>195396047</v>
      </c>
      <c r="G111" s="1" t="s">
        <v>33</v>
      </c>
      <c r="H111" s="1" t="str">
        <f t="shared" si="16"/>
        <v>20220904</v>
      </c>
      <c r="I111" s="1" t="str">
        <f>"195934"</f>
        <v>195934</v>
      </c>
      <c r="J111" s="1" t="s">
        <v>52</v>
      </c>
      <c r="K111" s="1" t="s">
        <v>52</v>
      </c>
      <c r="L111" s="1" t="str">
        <f t="shared" si="17"/>
        <v>20220904</v>
      </c>
      <c r="M111" s="1" t="str">
        <f>"202308"</f>
        <v>202308</v>
      </c>
      <c r="N111" s="1" t="s">
        <v>83</v>
      </c>
      <c r="O111" s="1" t="s">
        <v>52</v>
      </c>
      <c r="P111" s="1" t="s">
        <v>55</v>
      </c>
      <c r="Q111" s="1">
        <v>25</v>
      </c>
      <c r="R111" s="1">
        <v>25</v>
      </c>
      <c r="S111" s="1">
        <v>0</v>
      </c>
      <c r="T111" s="1">
        <v>0</v>
      </c>
      <c r="U111" s="1">
        <v>0</v>
      </c>
      <c r="V111" s="1" t="str">
        <f t="shared" si="10"/>
        <v>里程去程</v>
      </c>
      <c r="W111" s="1" t="s">
        <v>35</v>
      </c>
    </row>
    <row r="112" spans="1:23" x14ac:dyDescent="0.3">
      <c r="A112" s="1" t="str">
        <f t="shared" si="15"/>
        <v>59822</v>
      </c>
      <c r="B112" s="1" t="s">
        <v>39</v>
      </c>
      <c r="C112" s="1" t="s">
        <v>40</v>
      </c>
      <c r="D112" s="1" t="str">
        <f t="shared" si="9"/>
        <v>9801</v>
      </c>
      <c r="E112" s="1" t="s">
        <v>25</v>
      </c>
      <c r="F112" s="1" t="str">
        <f>"1319951505"</f>
        <v>1319951505</v>
      </c>
      <c r="G112" s="1" t="s">
        <v>33</v>
      </c>
      <c r="H112" s="1" t="str">
        <f t="shared" si="16"/>
        <v>20220904</v>
      </c>
      <c r="I112" s="1" t="str">
        <f>"200449"</f>
        <v>200449</v>
      </c>
      <c r="J112" s="1" t="s">
        <v>86</v>
      </c>
      <c r="K112" s="1" t="s">
        <v>52</v>
      </c>
      <c r="L112" s="1" t="str">
        <f t="shared" si="17"/>
        <v>20220904</v>
      </c>
      <c r="M112" s="1" t="str">
        <f>"202258"</f>
        <v>202258</v>
      </c>
      <c r="N112" s="1" t="s">
        <v>83</v>
      </c>
      <c r="O112" s="1" t="s">
        <v>52</v>
      </c>
      <c r="P112" s="1" t="s">
        <v>55</v>
      </c>
      <c r="Q112" s="1">
        <v>25</v>
      </c>
      <c r="R112" s="1">
        <v>25</v>
      </c>
      <c r="S112" s="1">
        <v>0</v>
      </c>
      <c r="T112" s="1">
        <v>0</v>
      </c>
      <c r="U112" s="1">
        <v>0</v>
      </c>
      <c r="V112" s="1" t="str">
        <f t="shared" si="10"/>
        <v>里程去程</v>
      </c>
      <c r="W112" s="1" t="s">
        <v>35</v>
      </c>
    </row>
    <row r="113" spans="1:23" x14ac:dyDescent="0.3">
      <c r="A113" s="1" t="str">
        <f t="shared" si="15"/>
        <v>59822</v>
      </c>
      <c r="B113" s="1" t="s">
        <v>39</v>
      </c>
      <c r="C113" s="1" t="s">
        <v>40</v>
      </c>
      <c r="D113" s="1" t="str">
        <f t="shared" si="9"/>
        <v>9801</v>
      </c>
      <c r="E113" s="1" t="s">
        <v>25</v>
      </c>
      <c r="F113" s="1" t="str">
        <f>"1783389333"</f>
        <v>1783389333</v>
      </c>
      <c r="G113" s="1" t="s">
        <v>33</v>
      </c>
      <c r="H113" s="1" t="str">
        <f t="shared" si="16"/>
        <v>20220904</v>
      </c>
      <c r="I113" s="1" t="str">
        <f>"203506"</f>
        <v>203506</v>
      </c>
      <c r="J113" s="1" t="s">
        <v>27</v>
      </c>
      <c r="K113" s="1" t="s">
        <v>28</v>
      </c>
      <c r="L113" s="1" t="str">
        <f t="shared" si="17"/>
        <v>20220904</v>
      </c>
      <c r="M113" s="1" t="str">
        <f>"204534"</f>
        <v>204534</v>
      </c>
      <c r="N113" s="1" t="s">
        <v>45</v>
      </c>
      <c r="O113" s="1" t="s">
        <v>45</v>
      </c>
      <c r="P113" s="1" t="s">
        <v>55</v>
      </c>
      <c r="Q113" s="1">
        <v>25</v>
      </c>
      <c r="R113" s="1">
        <v>0</v>
      </c>
      <c r="S113" s="1">
        <v>25</v>
      </c>
      <c r="T113" s="1">
        <v>0</v>
      </c>
      <c r="U113" s="1">
        <v>0</v>
      </c>
      <c r="V113" s="1" t="str">
        <f t="shared" si="10"/>
        <v>里程去程</v>
      </c>
      <c r="W113" s="1" t="s">
        <v>35</v>
      </c>
    </row>
    <row r="114" spans="1:23" x14ac:dyDescent="0.3">
      <c r="A114" s="1" t="str">
        <f>"59828"</f>
        <v>59828</v>
      </c>
      <c r="B114" s="1" t="s">
        <v>23</v>
      </c>
      <c r="C114" s="1" t="s">
        <v>24</v>
      </c>
      <c r="D114" s="1" t="str">
        <f t="shared" si="9"/>
        <v>9801</v>
      </c>
      <c r="E114" s="1" t="s">
        <v>25</v>
      </c>
      <c r="F114" s="1" t="str">
        <f>"02A2BB0219880400C834002000000015"</f>
        <v>02A2BB0219880400C834002000000015</v>
      </c>
      <c r="G114" s="1" t="s">
        <v>26</v>
      </c>
      <c r="H114" s="1" t="str">
        <f t="shared" si="16"/>
        <v>20220904</v>
      </c>
      <c r="I114" s="1" t="str">
        <f>"075435"</f>
        <v>075435</v>
      </c>
      <c r="J114" s="1" t="s">
        <v>52</v>
      </c>
      <c r="K114" s="1" t="s">
        <v>52</v>
      </c>
      <c r="L114" s="1" t="str">
        <f t="shared" si="17"/>
        <v>20220904</v>
      </c>
      <c r="M114" s="1" t="str">
        <f>"085717"</f>
        <v>085717</v>
      </c>
      <c r="N114" s="1" t="s">
        <v>44</v>
      </c>
      <c r="O114" s="1" t="s">
        <v>45</v>
      </c>
      <c r="P114" s="1" t="s">
        <v>68</v>
      </c>
      <c r="Q114" s="1">
        <v>25</v>
      </c>
      <c r="R114" s="1">
        <v>0</v>
      </c>
      <c r="S114" s="1">
        <v>0</v>
      </c>
      <c r="T114" s="1">
        <v>25</v>
      </c>
      <c r="U114" s="1">
        <v>0</v>
      </c>
      <c r="V114" s="1" t="str">
        <f t="shared" si="10"/>
        <v>里程去程</v>
      </c>
      <c r="W114" s="1" t="s">
        <v>29</v>
      </c>
    </row>
    <row r="115" spans="1:23" x14ac:dyDescent="0.3">
      <c r="A115" s="1" t="str">
        <f>"59828"</f>
        <v>59828</v>
      </c>
      <c r="B115" s="1" t="s">
        <v>23</v>
      </c>
      <c r="C115" s="1" t="s">
        <v>24</v>
      </c>
      <c r="D115" s="1" t="str">
        <f t="shared" si="9"/>
        <v>9801</v>
      </c>
      <c r="E115" s="1" t="s">
        <v>25</v>
      </c>
      <c r="F115" s="1" t="str">
        <f>"1103370693"</f>
        <v>1103370693</v>
      </c>
      <c r="G115" s="1" t="s">
        <v>33</v>
      </c>
      <c r="H115" s="1" t="str">
        <f t="shared" si="16"/>
        <v>20220904</v>
      </c>
      <c r="I115" s="1" t="str">
        <f>"082842"</f>
        <v>082842</v>
      </c>
      <c r="J115" s="1" t="s">
        <v>27</v>
      </c>
      <c r="K115" s="1" t="s">
        <v>28</v>
      </c>
      <c r="L115" s="1" t="str">
        <f t="shared" si="17"/>
        <v>20220904</v>
      </c>
      <c r="M115" s="1" t="str">
        <f>"085728"</f>
        <v>085728</v>
      </c>
      <c r="N115" s="1" t="s">
        <v>44</v>
      </c>
      <c r="O115" s="1" t="s">
        <v>45</v>
      </c>
      <c r="P115" s="1" t="s">
        <v>55</v>
      </c>
      <c r="Q115" s="1">
        <v>25</v>
      </c>
      <c r="R115" s="1">
        <v>0</v>
      </c>
      <c r="S115" s="1">
        <v>25</v>
      </c>
      <c r="T115" s="1">
        <v>0</v>
      </c>
      <c r="U115" s="1">
        <v>0</v>
      </c>
      <c r="V115" s="1" t="str">
        <f t="shared" si="10"/>
        <v>里程去程</v>
      </c>
      <c r="W115" s="1" t="s">
        <v>35</v>
      </c>
    </row>
    <row r="116" spans="1:23" x14ac:dyDescent="0.3">
      <c r="A116" s="1" t="str">
        <f>"59828"</f>
        <v>59828</v>
      </c>
      <c r="B116" s="1" t="s">
        <v>23</v>
      </c>
      <c r="C116" s="1" t="s">
        <v>24</v>
      </c>
      <c r="D116" s="1" t="str">
        <f t="shared" si="9"/>
        <v>9801</v>
      </c>
      <c r="E116" s="1" t="s">
        <v>25</v>
      </c>
      <c r="F116" s="1" t="str">
        <f>"02A2BB0219880400C834002000000015"</f>
        <v>02A2BB0219880400C834002000000015</v>
      </c>
      <c r="G116" s="1" t="s">
        <v>26</v>
      </c>
      <c r="H116" s="1" t="str">
        <f t="shared" si="16"/>
        <v>20220904</v>
      </c>
      <c r="I116" s="1" t="str">
        <f>"085838"</f>
        <v>085838</v>
      </c>
      <c r="J116" s="1" t="s">
        <v>52</v>
      </c>
      <c r="K116" s="1" t="s">
        <v>52</v>
      </c>
      <c r="L116" s="1" t="str">
        <f t="shared" si="17"/>
        <v>20220904</v>
      </c>
      <c r="M116" s="1" t="str">
        <f>"091036"</f>
        <v>091036</v>
      </c>
      <c r="N116" s="1" t="s">
        <v>71</v>
      </c>
      <c r="O116" s="1" t="s">
        <v>52</v>
      </c>
      <c r="P116" s="1" t="s">
        <v>68</v>
      </c>
      <c r="Q116" s="1">
        <v>13</v>
      </c>
      <c r="R116" s="1">
        <v>0</v>
      </c>
      <c r="S116" s="1">
        <v>0</v>
      </c>
      <c r="T116" s="1">
        <v>13</v>
      </c>
      <c r="U116" s="1">
        <v>0</v>
      </c>
      <c r="V116" s="1" t="str">
        <f t="shared" si="10"/>
        <v>里程去程</v>
      </c>
      <c r="W116" s="1" t="s">
        <v>29</v>
      </c>
    </row>
    <row r="117" spans="1:23" x14ac:dyDescent="0.3">
      <c r="A117" s="1" t="str">
        <f>"59828"</f>
        <v>59828</v>
      </c>
      <c r="B117" s="1" t="s">
        <v>23</v>
      </c>
      <c r="C117" s="1" t="s">
        <v>24</v>
      </c>
      <c r="D117" s="1" t="str">
        <f t="shared" si="9"/>
        <v>9801</v>
      </c>
      <c r="E117" s="1" t="s">
        <v>25</v>
      </c>
      <c r="F117" s="1" t="str">
        <f>"E287371B49880400C817002000000021"</f>
        <v>E287371B49880400C817002000000021</v>
      </c>
      <c r="G117" s="1" t="s">
        <v>59</v>
      </c>
      <c r="H117" s="1" t="str">
        <f t="shared" si="16"/>
        <v>20220904</v>
      </c>
      <c r="I117" s="1" t="str">
        <f>"093501"</f>
        <v>093501</v>
      </c>
      <c r="J117" s="1" t="s">
        <v>27</v>
      </c>
      <c r="K117" s="1" t="s">
        <v>28</v>
      </c>
      <c r="L117" s="1" t="str">
        <f t="shared" si="17"/>
        <v>20220904</v>
      </c>
      <c r="M117" s="1" t="str">
        <f>"100205"</f>
        <v>100205</v>
      </c>
      <c r="N117" s="1" t="s">
        <v>44</v>
      </c>
      <c r="O117" s="1" t="s">
        <v>45</v>
      </c>
      <c r="P117" s="1" t="s">
        <v>55</v>
      </c>
      <c r="Q117" s="1">
        <v>25</v>
      </c>
      <c r="R117" s="1">
        <v>0</v>
      </c>
      <c r="S117" s="1">
        <v>25</v>
      </c>
      <c r="T117" s="1">
        <v>0</v>
      </c>
      <c r="U117" s="1">
        <v>0</v>
      </c>
      <c r="V117" s="1" t="str">
        <f t="shared" si="10"/>
        <v>里程去程</v>
      </c>
      <c r="W117" s="1" t="s">
        <v>29</v>
      </c>
    </row>
    <row r="118" spans="1:23" x14ac:dyDescent="0.3">
      <c r="A118" s="1" t="str">
        <f t="shared" ref="A118:A159" si="18">"59822"</f>
        <v>59822</v>
      </c>
      <c r="B118" s="1" t="s">
        <v>39</v>
      </c>
      <c r="C118" s="1" t="s">
        <v>40</v>
      </c>
      <c r="D118" s="1" t="str">
        <f t="shared" si="9"/>
        <v>9801</v>
      </c>
      <c r="E118" s="1" t="s">
        <v>25</v>
      </c>
      <c r="F118" s="1" t="str">
        <f>"1002568081"</f>
        <v>1002568081</v>
      </c>
      <c r="G118" s="1" t="s">
        <v>33</v>
      </c>
      <c r="H118" s="1" t="str">
        <f t="shared" ref="H118:H160" si="19">"20220905"</f>
        <v>20220905</v>
      </c>
      <c r="I118" s="1" t="str">
        <f>"112729"</f>
        <v>112729</v>
      </c>
      <c r="J118" s="1" t="s">
        <v>67</v>
      </c>
      <c r="K118" s="1" t="s">
        <v>52</v>
      </c>
      <c r="L118" s="1" t="str">
        <f t="shared" ref="L118:L160" si="20">"20220905"</f>
        <v>20220905</v>
      </c>
      <c r="M118" s="1" t="str">
        <f>"113523"</f>
        <v>113523</v>
      </c>
      <c r="N118" s="1" t="s">
        <v>70</v>
      </c>
      <c r="O118" s="1" t="s">
        <v>28</v>
      </c>
      <c r="P118" s="1" t="s">
        <v>55</v>
      </c>
      <c r="Q118" s="1">
        <v>25</v>
      </c>
      <c r="R118" s="1">
        <v>25</v>
      </c>
      <c r="S118" s="1">
        <v>0</v>
      </c>
      <c r="T118" s="1">
        <v>0</v>
      </c>
      <c r="U118" s="1">
        <v>0</v>
      </c>
      <c r="V118" s="1" t="str">
        <f t="shared" si="10"/>
        <v>里程去程</v>
      </c>
      <c r="W118" s="1" t="s">
        <v>35</v>
      </c>
    </row>
    <row r="119" spans="1:23" x14ac:dyDescent="0.3">
      <c r="A119" s="1" t="str">
        <f t="shared" si="18"/>
        <v>59822</v>
      </c>
      <c r="B119" s="1" t="s">
        <v>39</v>
      </c>
      <c r="C119" s="1" t="s">
        <v>40</v>
      </c>
      <c r="D119" s="1" t="str">
        <f t="shared" si="9"/>
        <v>9801</v>
      </c>
      <c r="E119" s="1" t="s">
        <v>25</v>
      </c>
      <c r="F119" s="1" t="str">
        <f>"1104159237"</f>
        <v>1104159237</v>
      </c>
      <c r="G119" s="1" t="s">
        <v>33</v>
      </c>
      <c r="H119" s="1" t="str">
        <f t="shared" si="19"/>
        <v>20220905</v>
      </c>
      <c r="I119" s="1" t="str">
        <f>"112734"</f>
        <v>112734</v>
      </c>
      <c r="J119" s="1" t="s">
        <v>67</v>
      </c>
      <c r="K119" s="1" t="s">
        <v>52</v>
      </c>
      <c r="L119" s="1" t="str">
        <f t="shared" si="20"/>
        <v>20220905</v>
      </c>
      <c r="M119" s="1" t="str">
        <f>"113528"</f>
        <v>113528</v>
      </c>
      <c r="N119" s="1" t="s">
        <v>70</v>
      </c>
      <c r="O119" s="1" t="s">
        <v>28</v>
      </c>
      <c r="P119" s="1" t="s">
        <v>55</v>
      </c>
      <c r="Q119" s="1">
        <v>25</v>
      </c>
      <c r="R119" s="1">
        <v>25</v>
      </c>
      <c r="S119" s="1">
        <v>0</v>
      </c>
      <c r="T119" s="1">
        <v>0</v>
      </c>
      <c r="U119" s="1">
        <v>0</v>
      </c>
      <c r="V119" s="1" t="str">
        <f t="shared" si="10"/>
        <v>里程去程</v>
      </c>
      <c r="W119" s="1" t="s">
        <v>35</v>
      </c>
    </row>
    <row r="120" spans="1:23" x14ac:dyDescent="0.3">
      <c r="A120" s="1" t="str">
        <f t="shared" si="18"/>
        <v>59822</v>
      </c>
      <c r="B120" s="1" t="s">
        <v>39</v>
      </c>
      <c r="C120" s="1" t="s">
        <v>40</v>
      </c>
      <c r="D120" s="1" t="str">
        <f t="shared" si="9"/>
        <v>9801</v>
      </c>
      <c r="E120" s="1" t="s">
        <v>25</v>
      </c>
      <c r="F120" s="1" t="str">
        <f>"1017042881"</f>
        <v>1017042881</v>
      </c>
      <c r="G120" s="1" t="s">
        <v>33</v>
      </c>
      <c r="H120" s="1" t="str">
        <f t="shared" si="19"/>
        <v>20220905</v>
      </c>
      <c r="I120" s="1" t="str">
        <f>"112736"</f>
        <v>112736</v>
      </c>
      <c r="J120" s="1" t="s">
        <v>67</v>
      </c>
      <c r="K120" s="1" t="s">
        <v>52</v>
      </c>
      <c r="L120" s="1" t="str">
        <f t="shared" si="20"/>
        <v>20220905</v>
      </c>
      <c r="M120" s="1" t="str">
        <f>"113531"</f>
        <v>113531</v>
      </c>
      <c r="N120" s="1" t="s">
        <v>70</v>
      </c>
      <c r="O120" s="1" t="s">
        <v>28</v>
      </c>
      <c r="P120" s="1" t="s">
        <v>55</v>
      </c>
      <c r="Q120" s="1">
        <v>25</v>
      </c>
      <c r="R120" s="1">
        <v>25</v>
      </c>
      <c r="S120" s="1">
        <v>0</v>
      </c>
      <c r="T120" s="1">
        <v>0</v>
      </c>
      <c r="U120" s="1">
        <v>0</v>
      </c>
      <c r="V120" s="1" t="str">
        <f t="shared" si="10"/>
        <v>里程去程</v>
      </c>
      <c r="W120" s="1" t="s">
        <v>35</v>
      </c>
    </row>
    <row r="121" spans="1:23" x14ac:dyDescent="0.3">
      <c r="A121" s="1" t="str">
        <f t="shared" si="18"/>
        <v>59822</v>
      </c>
      <c r="B121" s="1" t="s">
        <v>39</v>
      </c>
      <c r="C121" s="1" t="s">
        <v>40</v>
      </c>
      <c r="D121" s="1" t="str">
        <f t="shared" si="9"/>
        <v>9801</v>
      </c>
      <c r="E121" s="1" t="s">
        <v>25</v>
      </c>
      <c r="F121" s="1" t="str">
        <f>"1943605736"</f>
        <v>1943605736</v>
      </c>
      <c r="G121" s="1" t="s">
        <v>33</v>
      </c>
      <c r="H121" s="1" t="str">
        <f t="shared" si="19"/>
        <v>20220905</v>
      </c>
      <c r="I121" s="1" t="str">
        <f>"112740"</f>
        <v>112740</v>
      </c>
      <c r="J121" s="1" t="s">
        <v>67</v>
      </c>
      <c r="K121" s="1" t="s">
        <v>52</v>
      </c>
      <c r="L121" s="1" t="str">
        <f t="shared" si="20"/>
        <v>20220905</v>
      </c>
      <c r="M121" s="1" t="str">
        <f>"113526"</f>
        <v>113526</v>
      </c>
      <c r="N121" s="1" t="s">
        <v>70</v>
      </c>
      <c r="O121" s="1" t="s">
        <v>28</v>
      </c>
      <c r="P121" s="1" t="s">
        <v>55</v>
      </c>
      <c r="Q121" s="1">
        <v>25</v>
      </c>
      <c r="R121" s="1">
        <v>25</v>
      </c>
      <c r="S121" s="1">
        <v>0</v>
      </c>
      <c r="T121" s="1">
        <v>0</v>
      </c>
      <c r="U121" s="1">
        <v>0</v>
      </c>
      <c r="V121" s="1" t="str">
        <f t="shared" si="10"/>
        <v>里程去程</v>
      </c>
      <c r="W121" s="1" t="s">
        <v>35</v>
      </c>
    </row>
    <row r="122" spans="1:23" x14ac:dyDescent="0.3">
      <c r="A122" s="1" t="str">
        <f t="shared" si="18"/>
        <v>59822</v>
      </c>
      <c r="B122" s="1" t="s">
        <v>39</v>
      </c>
      <c r="C122" s="1" t="s">
        <v>40</v>
      </c>
      <c r="D122" s="1" t="str">
        <f t="shared" si="9"/>
        <v>9801</v>
      </c>
      <c r="E122" s="1" t="s">
        <v>25</v>
      </c>
      <c r="F122" s="1" t="str">
        <f>"1734483201"</f>
        <v>1734483201</v>
      </c>
      <c r="G122" s="1" t="s">
        <v>26</v>
      </c>
      <c r="H122" s="1" t="str">
        <f t="shared" si="19"/>
        <v>20220905</v>
      </c>
      <c r="I122" s="1" t="str">
        <f>"113537"</f>
        <v>113537</v>
      </c>
      <c r="J122" s="1" t="s">
        <v>27</v>
      </c>
      <c r="K122" s="1" t="s">
        <v>28</v>
      </c>
      <c r="L122" s="1" t="str">
        <f t="shared" si="20"/>
        <v>20220905</v>
      </c>
      <c r="M122" s="1" t="str">
        <f>"114708"</f>
        <v>114708</v>
      </c>
      <c r="N122" s="1" t="s">
        <v>61</v>
      </c>
      <c r="O122" s="1" t="s">
        <v>45</v>
      </c>
      <c r="P122" s="1" t="s">
        <v>55</v>
      </c>
      <c r="Q122" s="1">
        <v>13</v>
      </c>
      <c r="R122" s="1">
        <v>0</v>
      </c>
      <c r="S122" s="1">
        <v>13</v>
      </c>
      <c r="T122" s="1">
        <v>0</v>
      </c>
      <c r="U122" s="1">
        <v>0</v>
      </c>
      <c r="V122" s="1" t="str">
        <f t="shared" si="10"/>
        <v>里程去程</v>
      </c>
      <c r="W122" s="1" t="s">
        <v>35</v>
      </c>
    </row>
    <row r="123" spans="1:23" x14ac:dyDescent="0.3">
      <c r="A123" s="1" t="str">
        <f t="shared" si="18"/>
        <v>59822</v>
      </c>
      <c r="B123" s="1" t="s">
        <v>39</v>
      </c>
      <c r="C123" s="1" t="s">
        <v>40</v>
      </c>
      <c r="D123" s="1" t="str">
        <f t="shared" si="9"/>
        <v>9801</v>
      </c>
      <c r="E123" s="1" t="s">
        <v>25</v>
      </c>
      <c r="F123" s="1" t="str">
        <f>"73164913"</f>
        <v>73164913</v>
      </c>
      <c r="G123" s="1" t="s">
        <v>33</v>
      </c>
      <c r="H123" s="1" t="str">
        <f t="shared" si="19"/>
        <v>20220905</v>
      </c>
      <c r="I123" s="1" t="str">
        <f>"113539"</f>
        <v>113539</v>
      </c>
      <c r="J123" s="1" t="s">
        <v>27</v>
      </c>
      <c r="K123" s="1" t="s">
        <v>28</v>
      </c>
      <c r="L123" s="1" t="str">
        <f t="shared" si="20"/>
        <v>20220905</v>
      </c>
      <c r="M123" s="1" t="str">
        <f>"115244"</f>
        <v>115244</v>
      </c>
      <c r="N123" s="1" t="s">
        <v>91</v>
      </c>
      <c r="O123" s="1" t="s">
        <v>45</v>
      </c>
      <c r="P123" s="1" t="s">
        <v>55</v>
      </c>
      <c r="Q123" s="1">
        <v>25</v>
      </c>
      <c r="R123" s="1">
        <v>25</v>
      </c>
      <c r="S123" s="1">
        <v>0</v>
      </c>
      <c r="T123" s="1">
        <v>0</v>
      </c>
      <c r="U123" s="1">
        <v>0</v>
      </c>
      <c r="V123" s="1" t="str">
        <f t="shared" si="10"/>
        <v>里程去程</v>
      </c>
      <c r="W123" s="1" t="s">
        <v>35</v>
      </c>
    </row>
    <row r="124" spans="1:23" x14ac:dyDescent="0.3">
      <c r="A124" s="1" t="str">
        <f t="shared" si="18"/>
        <v>59822</v>
      </c>
      <c r="B124" s="1" t="s">
        <v>39</v>
      </c>
      <c r="C124" s="1" t="s">
        <v>40</v>
      </c>
      <c r="D124" s="1" t="str">
        <f t="shared" si="9"/>
        <v>9801</v>
      </c>
      <c r="E124" s="1" t="s">
        <v>25</v>
      </c>
      <c r="F124" s="1" t="str">
        <f>"7311170036009956"</f>
        <v>7311170036009956</v>
      </c>
      <c r="G124" s="1" t="s">
        <v>33</v>
      </c>
      <c r="H124" s="1" t="str">
        <f t="shared" si="19"/>
        <v>20220905</v>
      </c>
      <c r="I124" s="1" t="str">
        <f>"113541"</f>
        <v>113541</v>
      </c>
      <c r="J124" s="1" t="s">
        <v>27</v>
      </c>
      <c r="K124" s="1" t="s">
        <v>28</v>
      </c>
      <c r="L124" s="1" t="str">
        <f t="shared" si="20"/>
        <v>20220905</v>
      </c>
      <c r="M124" s="1" t="str">
        <f>"115241"</f>
        <v>115241</v>
      </c>
      <c r="N124" s="1" t="s">
        <v>91</v>
      </c>
      <c r="O124" s="1" t="s">
        <v>45</v>
      </c>
      <c r="P124" s="1" t="s">
        <v>55</v>
      </c>
      <c r="Q124" s="1">
        <v>25</v>
      </c>
      <c r="R124" s="1">
        <v>25</v>
      </c>
      <c r="S124" s="1">
        <v>0</v>
      </c>
      <c r="T124" s="1">
        <v>0</v>
      </c>
      <c r="U124" s="1">
        <v>0</v>
      </c>
      <c r="V124" s="1" t="str">
        <f t="shared" si="10"/>
        <v>里程去程</v>
      </c>
      <c r="W124" s="1" t="s">
        <v>109</v>
      </c>
    </row>
    <row r="125" spans="1:23" x14ac:dyDescent="0.3">
      <c r="A125" s="1" t="str">
        <f t="shared" si="18"/>
        <v>59822</v>
      </c>
      <c r="B125" s="1" t="s">
        <v>39</v>
      </c>
      <c r="C125" s="1" t="s">
        <v>40</v>
      </c>
      <c r="D125" s="1" t="str">
        <f t="shared" si="9"/>
        <v>9801</v>
      </c>
      <c r="E125" s="1" t="s">
        <v>25</v>
      </c>
      <c r="F125" s="1" t="str">
        <f>"5213450206880400C821002000000015"</f>
        <v>5213450206880400C821002000000015</v>
      </c>
      <c r="G125" s="1" t="s">
        <v>26</v>
      </c>
      <c r="H125" s="1" t="str">
        <f t="shared" si="19"/>
        <v>20220905</v>
      </c>
      <c r="I125" s="1" t="str">
        <f>"113545"</f>
        <v>113545</v>
      </c>
      <c r="J125" s="1" t="s">
        <v>27</v>
      </c>
      <c r="K125" s="1" t="s">
        <v>28</v>
      </c>
      <c r="L125" s="1" t="str">
        <f t="shared" si="20"/>
        <v>20220905</v>
      </c>
      <c r="M125" s="1" t="str">
        <f>"114819"</f>
        <v>114819</v>
      </c>
      <c r="N125" s="1" t="s">
        <v>56</v>
      </c>
      <c r="O125" s="1" t="s">
        <v>45</v>
      </c>
      <c r="P125" s="1" t="s">
        <v>68</v>
      </c>
      <c r="Q125" s="1">
        <v>13</v>
      </c>
      <c r="R125" s="1">
        <v>0</v>
      </c>
      <c r="S125" s="1">
        <v>0</v>
      </c>
      <c r="T125" s="1">
        <v>13</v>
      </c>
      <c r="U125" s="1">
        <v>0</v>
      </c>
      <c r="V125" s="1" t="str">
        <f t="shared" si="10"/>
        <v>里程去程</v>
      </c>
      <c r="W125" s="1" t="s">
        <v>29</v>
      </c>
    </row>
    <row r="126" spans="1:23" x14ac:dyDescent="0.3">
      <c r="A126" s="1" t="str">
        <f t="shared" si="18"/>
        <v>59822</v>
      </c>
      <c r="B126" s="1" t="s">
        <v>39</v>
      </c>
      <c r="C126" s="1" t="s">
        <v>40</v>
      </c>
      <c r="D126" s="1" t="str">
        <f t="shared" si="9"/>
        <v>9801</v>
      </c>
      <c r="E126" s="1" t="s">
        <v>25</v>
      </c>
      <c r="F126" s="1" t="str">
        <f>"197605365"</f>
        <v>197605365</v>
      </c>
      <c r="G126" s="1" t="s">
        <v>33</v>
      </c>
      <c r="H126" s="1" t="str">
        <f t="shared" si="19"/>
        <v>20220905</v>
      </c>
      <c r="I126" s="1" t="str">
        <f>"113550"</f>
        <v>113550</v>
      </c>
      <c r="J126" s="1" t="s">
        <v>27</v>
      </c>
      <c r="K126" s="1" t="s">
        <v>28</v>
      </c>
      <c r="L126" s="1" t="str">
        <f t="shared" si="20"/>
        <v>20220905</v>
      </c>
      <c r="M126" s="1" t="str">
        <f>"114823"</f>
        <v>114823</v>
      </c>
      <c r="N126" s="1" t="s">
        <v>56</v>
      </c>
      <c r="O126" s="1" t="s">
        <v>45</v>
      </c>
      <c r="P126" s="1" t="s">
        <v>55</v>
      </c>
      <c r="Q126" s="1">
        <v>25</v>
      </c>
      <c r="R126" s="1">
        <v>0</v>
      </c>
      <c r="S126" s="1">
        <v>25</v>
      </c>
      <c r="T126" s="1">
        <v>0</v>
      </c>
      <c r="U126" s="1">
        <v>0</v>
      </c>
      <c r="V126" s="1" t="str">
        <f t="shared" si="10"/>
        <v>里程去程</v>
      </c>
      <c r="W126" s="1" t="s">
        <v>35</v>
      </c>
    </row>
    <row r="127" spans="1:23" x14ac:dyDescent="0.3">
      <c r="A127" s="1" t="str">
        <f t="shared" si="18"/>
        <v>59822</v>
      </c>
      <c r="B127" s="1" t="s">
        <v>39</v>
      </c>
      <c r="C127" s="1" t="s">
        <v>40</v>
      </c>
      <c r="D127" s="1" t="str">
        <f t="shared" si="9"/>
        <v>9801</v>
      </c>
      <c r="E127" s="1" t="s">
        <v>25</v>
      </c>
      <c r="F127" s="1" t="str">
        <f>"883692469"</f>
        <v>883692469</v>
      </c>
      <c r="G127" s="1" t="s">
        <v>26</v>
      </c>
      <c r="H127" s="1" t="str">
        <f t="shared" si="19"/>
        <v>20220905</v>
      </c>
      <c r="I127" s="1" t="str">
        <f>"115825"</f>
        <v>115825</v>
      </c>
      <c r="J127" s="1" t="s">
        <v>52</v>
      </c>
      <c r="K127" s="1" t="s">
        <v>52</v>
      </c>
      <c r="L127" s="1" t="str">
        <f t="shared" si="20"/>
        <v>20220905</v>
      </c>
      <c r="M127" s="1" t="str">
        <f>"123039"</f>
        <v>123039</v>
      </c>
      <c r="N127" s="1" t="s">
        <v>70</v>
      </c>
      <c r="O127" s="1" t="s">
        <v>28</v>
      </c>
      <c r="P127" s="1" t="s">
        <v>55</v>
      </c>
      <c r="Q127" s="1">
        <v>13</v>
      </c>
      <c r="R127" s="1">
        <v>13</v>
      </c>
      <c r="S127" s="1">
        <v>0</v>
      </c>
      <c r="T127" s="1">
        <v>0</v>
      </c>
      <c r="U127" s="1">
        <v>0</v>
      </c>
      <c r="V127" s="1" t="str">
        <f t="shared" si="10"/>
        <v>里程去程</v>
      </c>
      <c r="W127" s="1" t="s">
        <v>35</v>
      </c>
    </row>
    <row r="128" spans="1:23" x14ac:dyDescent="0.3">
      <c r="A128" s="1" t="str">
        <f t="shared" si="18"/>
        <v>59822</v>
      </c>
      <c r="B128" s="1" t="s">
        <v>39</v>
      </c>
      <c r="C128" s="1" t="s">
        <v>40</v>
      </c>
      <c r="D128" s="1" t="str">
        <f t="shared" si="9"/>
        <v>9801</v>
      </c>
      <c r="E128" s="1" t="s">
        <v>25</v>
      </c>
      <c r="F128" s="1" t="str">
        <f>"2699356783"</f>
        <v>2699356783</v>
      </c>
      <c r="G128" s="1" t="s">
        <v>26</v>
      </c>
      <c r="H128" s="1" t="str">
        <f t="shared" si="19"/>
        <v>20220905</v>
      </c>
      <c r="I128" s="1" t="str">
        <f>"115832"</f>
        <v>115832</v>
      </c>
      <c r="J128" s="1" t="s">
        <v>52</v>
      </c>
      <c r="K128" s="1" t="s">
        <v>52</v>
      </c>
      <c r="L128" s="1" t="str">
        <f t="shared" si="20"/>
        <v>20220905</v>
      </c>
      <c r="M128" s="1" t="str">
        <f>"123032"</f>
        <v>123032</v>
      </c>
      <c r="N128" s="1" t="s">
        <v>70</v>
      </c>
      <c r="O128" s="1" t="s">
        <v>28</v>
      </c>
      <c r="P128" s="1" t="s">
        <v>55</v>
      </c>
      <c r="Q128" s="1">
        <v>13</v>
      </c>
      <c r="R128" s="1">
        <v>13</v>
      </c>
      <c r="S128" s="1">
        <v>0</v>
      </c>
      <c r="T128" s="1">
        <v>0</v>
      </c>
      <c r="U128" s="1">
        <v>0</v>
      </c>
      <c r="V128" s="1" t="str">
        <f t="shared" si="10"/>
        <v>里程去程</v>
      </c>
      <c r="W128" s="1" t="s">
        <v>35</v>
      </c>
    </row>
    <row r="129" spans="1:23" x14ac:dyDescent="0.3">
      <c r="A129" s="1" t="str">
        <f t="shared" si="18"/>
        <v>59822</v>
      </c>
      <c r="B129" s="1" t="s">
        <v>39</v>
      </c>
      <c r="C129" s="1" t="s">
        <v>40</v>
      </c>
      <c r="D129" s="1" t="str">
        <f t="shared" si="9"/>
        <v>9801</v>
      </c>
      <c r="E129" s="1" t="s">
        <v>25</v>
      </c>
      <c r="F129" s="1" t="str">
        <f>"1502929265"</f>
        <v>1502929265</v>
      </c>
      <c r="G129" s="1" t="s">
        <v>33</v>
      </c>
      <c r="H129" s="1" t="str">
        <f t="shared" si="19"/>
        <v>20220905</v>
      </c>
      <c r="I129" s="1" t="str">
        <f>"120014"</f>
        <v>120014</v>
      </c>
      <c r="J129" s="1" t="s">
        <v>52</v>
      </c>
      <c r="K129" s="1" t="s">
        <v>52</v>
      </c>
      <c r="L129" s="1" t="str">
        <f t="shared" si="20"/>
        <v>20220905</v>
      </c>
      <c r="M129" s="1" t="str">
        <f>"123021"</f>
        <v>123021</v>
      </c>
      <c r="N129" s="1" t="s">
        <v>70</v>
      </c>
      <c r="O129" s="1" t="s">
        <v>28</v>
      </c>
      <c r="P129" s="1" t="s">
        <v>55</v>
      </c>
      <c r="Q129" s="1">
        <v>25</v>
      </c>
      <c r="R129" s="1">
        <v>25</v>
      </c>
      <c r="S129" s="1">
        <v>0</v>
      </c>
      <c r="T129" s="1">
        <v>0</v>
      </c>
      <c r="U129" s="1">
        <v>0</v>
      </c>
      <c r="V129" s="1" t="str">
        <f t="shared" si="10"/>
        <v>里程去程</v>
      </c>
      <c r="W129" s="1" t="s">
        <v>35</v>
      </c>
    </row>
    <row r="130" spans="1:23" x14ac:dyDescent="0.3">
      <c r="A130" s="1" t="str">
        <f t="shared" si="18"/>
        <v>59822</v>
      </c>
      <c r="B130" s="1" t="s">
        <v>39</v>
      </c>
      <c r="C130" s="1" t="s">
        <v>40</v>
      </c>
      <c r="D130" s="1" t="str">
        <f t="shared" ref="D130:D193" si="21">"9801"</f>
        <v>9801</v>
      </c>
      <c r="E130" s="1" t="s">
        <v>25</v>
      </c>
      <c r="F130" s="1" t="str">
        <f>"1279584657"</f>
        <v>1279584657</v>
      </c>
      <c r="G130" s="1" t="s">
        <v>33</v>
      </c>
      <c r="H130" s="1" t="str">
        <f t="shared" si="19"/>
        <v>20220905</v>
      </c>
      <c r="I130" s="1" t="str">
        <f>"121359"</f>
        <v>121359</v>
      </c>
      <c r="J130" s="1" t="s">
        <v>80</v>
      </c>
      <c r="K130" s="1" t="s">
        <v>52</v>
      </c>
      <c r="L130" s="1" t="str">
        <f t="shared" si="20"/>
        <v>20220905</v>
      </c>
      <c r="M130" s="1" t="str">
        <f>"123012"</f>
        <v>123012</v>
      </c>
      <c r="N130" s="1" t="s">
        <v>70</v>
      </c>
      <c r="O130" s="1" t="s">
        <v>28</v>
      </c>
      <c r="P130" s="1" t="s">
        <v>55</v>
      </c>
      <c r="Q130" s="1">
        <v>25</v>
      </c>
      <c r="R130" s="1">
        <v>0</v>
      </c>
      <c r="S130" s="1">
        <v>25</v>
      </c>
      <c r="T130" s="1">
        <v>0</v>
      </c>
      <c r="U130" s="1">
        <v>0</v>
      </c>
      <c r="V130" s="1" t="str">
        <f t="shared" ref="V130:V193" si="22">"里程去程"</f>
        <v>里程去程</v>
      </c>
      <c r="W130" s="1" t="s">
        <v>35</v>
      </c>
    </row>
    <row r="131" spans="1:23" x14ac:dyDescent="0.3">
      <c r="A131" s="1" t="str">
        <f t="shared" si="18"/>
        <v>59822</v>
      </c>
      <c r="B131" s="1" t="s">
        <v>39</v>
      </c>
      <c r="C131" s="1" t="s">
        <v>40</v>
      </c>
      <c r="D131" s="1" t="str">
        <f t="shared" si="21"/>
        <v>9801</v>
      </c>
      <c r="E131" s="1" t="s">
        <v>25</v>
      </c>
      <c r="F131" s="1" t="str">
        <f>"4251460257880400C821002000000015"</f>
        <v>4251460257880400C821002000000015</v>
      </c>
      <c r="G131" s="1" t="s">
        <v>26</v>
      </c>
      <c r="H131" s="1" t="str">
        <f t="shared" si="19"/>
        <v>20220905</v>
      </c>
      <c r="I131" s="1" t="str">
        <f>"121402"</f>
        <v>121402</v>
      </c>
      <c r="J131" s="1" t="s">
        <v>80</v>
      </c>
      <c r="K131" s="1" t="s">
        <v>52</v>
      </c>
      <c r="L131" s="1" t="str">
        <f t="shared" si="20"/>
        <v>20220905</v>
      </c>
      <c r="M131" s="1" t="str">
        <f>"121846"</f>
        <v>121846</v>
      </c>
      <c r="N131" s="1" t="s">
        <v>69</v>
      </c>
      <c r="O131" s="1" t="s">
        <v>52</v>
      </c>
      <c r="P131" s="1" t="s">
        <v>68</v>
      </c>
      <c r="Q131" s="1">
        <v>13</v>
      </c>
      <c r="R131" s="1">
        <v>0</v>
      </c>
      <c r="S131" s="1">
        <v>0</v>
      </c>
      <c r="T131" s="1">
        <v>13</v>
      </c>
      <c r="U131" s="1">
        <v>0</v>
      </c>
      <c r="V131" s="1" t="str">
        <f t="shared" si="22"/>
        <v>里程去程</v>
      </c>
      <c r="W131" s="1" t="s">
        <v>29</v>
      </c>
    </row>
    <row r="132" spans="1:23" x14ac:dyDescent="0.3">
      <c r="A132" s="1" t="str">
        <f t="shared" si="18"/>
        <v>59822</v>
      </c>
      <c r="B132" s="1" t="s">
        <v>39</v>
      </c>
      <c r="C132" s="1" t="s">
        <v>40</v>
      </c>
      <c r="D132" s="1" t="str">
        <f t="shared" si="21"/>
        <v>9801</v>
      </c>
      <c r="E132" s="1" t="s">
        <v>25</v>
      </c>
      <c r="F132" s="1" t="str">
        <f>"8227D00277880400C834002000000015"</f>
        <v>8227D00277880400C834002000000015</v>
      </c>
      <c r="G132" s="1" t="s">
        <v>26</v>
      </c>
      <c r="H132" s="1" t="str">
        <f t="shared" si="19"/>
        <v>20220905</v>
      </c>
      <c r="I132" s="1" t="str">
        <f>"122126"</f>
        <v>122126</v>
      </c>
      <c r="J132" s="1" t="s">
        <v>78</v>
      </c>
      <c r="K132" s="1" t="s">
        <v>52</v>
      </c>
      <c r="L132" s="1" t="str">
        <f t="shared" si="20"/>
        <v>20220905</v>
      </c>
      <c r="M132" s="1" t="str">
        <f>"123009"</f>
        <v>123009</v>
      </c>
      <c r="N132" s="1" t="s">
        <v>70</v>
      </c>
      <c r="O132" s="1" t="s">
        <v>28</v>
      </c>
      <c r="P132" s="1" t="s">
        <v>68</v>
      </c>
      <c r="Q132" s="1">
        <v>13</v>
      </c>
      <c r="R132" s="1">
        <v>0</v>
      </c>
      <c r="S132" s="1">
        <v>0</v>
      </c>
      <c r="T132" s="1">
        <v>13</v>
      </c>
      <c r="U132" s="1">
        <v>0</v>
      </c>
      <c r="V132" s="1" t="str">
        <f t="shared" si="22"/>
        <v>里程去程</v>
      </c>
      <c r="W132" s="1" t="s">
        <v>29</v>
      </c>
    </row>
    <row r="133" spans="1:23" x14ac:dyDescent="0.3">
      <c r="A133" s="1" t="str">
        <f t="shared" si="18"/>
        <v>59822</v>
      </c>
      <c r="B133" s="1" t="s">
        <v>39</v>
      </c>
      <c r="C133" s="1" t="s">
        <v>40</v>
      </c>
      <c r="D133" s="1" t="str">
        <f t="shared" si="21"/>
        <v>9801</v>
      </c>
      <c r="E133" s="1" t="s">
        <v>25</v>
      </c>
      <c r="F133" s="1" t="str">
        <f>"21D9F539342804001C00000000000000"</f>
        <v>21D9F539342804001C00000000000000</v>
      </c>
      <c r="G133" s="1" t="s">
        <v>58</v>
      </c>
      <c r="H133" s="1" t="str">
        <f t="shared" si="19"/>
        <v>20220905</v>
      </c>
      <c r="I133" s="1" t="str">
        <f>"123058"</f>
        <v>123058</v>
      </c>
      <c r="J133" s="1" t="s">
        <v>27</v>
      </c>
      <c r="K133" s="1" t="s">
        <v>28</v>
      </c>
      <c r="L133" s="1" t="str">
        <f t="shared" si="20"/>
        <v>20220905</v>
      </c>
      <c r="M133" s="1" t="str">
        <f>"124822"</f>
        <v>124822</v>
      </c>
      <c r="N133" s="1" t="s">
        <v>56</v>
      </c>
      <c r="O133" s="1" t="s">
        <v>45</v>
      </c>
      <c r="P133" s="1" t="s">
        <v>55</v>
      </c>
      <c r="Q133" s="1">
        <v>25</v>
      </c>
      <c r="R133" s="1">
        <v>25</v>
      </c>
      <c r="S133" s="1">
        <v>0</v>
      </c>
      <c r="T133" s="1">
        <v>0</v>
      </c>
      <c r="U133" s="1">
        <v>0</v>
      </c>
      <c r="V133" s="1" t="str">
        <f t="shared" si="22"/>
        <v>里程去程</v>
      </c>
      <c r="W133" s="1" t="s">
        <v>29</v>
      </c>
    </row>
    <row r="134" spans="1:23" x14ac:dyDescent="0.3">
      <c r="A134" s="1" t="str">
        <f t="shared" si="18"/>
        <v>59822</v>
      </c>
      <c r="B134" s="1" t="s">
        <v>39</v>
      </c>
      <c r="C134" s="1" t="s">
        <v>40</v>
      </c>
      <c r="D134" s="1" t="str">
        <f t="shared" si="21"/>
        <v>9801</v>
      </c>
      <c r="E134" s="1" t="s">
        <v>25</v>
      </c>
      <c r="F134" s="1" t="str">
        <f>"1552799217"</f>
        <v>1552799217</v>
      </c>
      <c r="G134" s="1" t="s">
        <v>33</v>
      </c>
      <c r="H134" s="1" t="str">
        <f t="shared" si="19"/>
        <v>20220905</v>
      </c>
      <c r="I134" s="1" t="str">
        <f>"123105"</f>
        <v>123105</v>
      </c>
      <c r="J134" s="1" t="s">
        <v>27</v>
      </c>
      <c r="K134" s="1" t="s">
        <v>28</v>
      </c>
      <c r="L134" s="1" t="str">
        <f t="shared" si="20"/>
        <v>20220905</v>
      </c>
      <c r="M134" s="1" t="str">
        <f>"125904"</f>
        <v>125904</v>
      </c>
      <c r="N134" s="1" t="s">
        <v>44</v>
      </c>
      <c r="O134" s="1" t="s">
        <v>45</v>
      </c>
      <c r="P134" s="1" t="s">
        <v>55</v>
      </c>
      <c r="Q134" s="1">
        <v>25</v>
      </c>
      <c r="R134" s="1">
        <v>25</v>
      </c>
      <c r="S134" s="1">
        <v>0</v>
      </c>
      <c r="T134" s="1">
        <v>0</v>
      </c>
      <c r="U134" s="1">
        <v>0</v>
      </c>
      <c r="V134" s="1" t="str">
        <f t="shared" si="22"/>
        <v>里程去程</v>
      </c>
      <c r="W134" s="1" t="s">
        <v>35</v>
      </c>
    </row>
    <row r="135" spans="1:23" x14ac:dyDescent="0.3">
      <c r="A135" s="1" t="str">
        <f t="shared" si="18"/>
        <v>59822</v>
      </c>
      <c r="B135" s="1" t="s">
        <v>39</v>
      </c>
      <c r="C135" s="1" t="s">
        <v>40</v>
      </c>
      <c r="D135" s="1" t="str">
        <f t="shared" si="21"/>
        <v>9801</v>
      </c>
      <c r="E135" s="1" t="s">
        <v>25</v>
      </c>
      <c r="F135" s="1" t="str">
        <f>"848333137"</f>
        <v>848333137</v>
      </c>
      <c r="G135" s="1" t="s">
        <v>33</v>
      </c>
      <c r="H135" s="1" t="str">
        <f t="shared" si="19"/>
        <v>20220905</v>
      </c>
      <c r="I135" s="1" t="str">
        <f>"123108"</f>
        <v>123108</v>
      </c>
      <c r="J135" s="1" t="s">
        <v>27</v>
      </c>
      <c r="K135" s="1" t="s">
        <v>28</v>
      </c>
      <c r="L135" s="1" t="str">
        <f t="shared" si="20"/>
        <v>20220905</v>
      </c>
      <c r="M135" s="1" t="str">
        <f>"124811"</f>
        <v>124811</v>
      </c>
      <c r="N135" s="1" t="s">
        <v>56</v>
      </c>
      <c r="O135" s="1" t="s">
        <v>45</v>
      </c>
      <c r="P135" s="1" t="s">
        <v>55</v>
      </c>
      <c r="Q135" s="1">
        <v>25</v>
      </c>
      <c r="R135" s="1">
        <v>25</v>
      </c>
      <c r="S135" s="1">
        <v>0</v>
      </c>
      <c r="T135" s="1">
        <v>0</v>
      </c>
      <c r="U135" s="1">
        <v>0</v>
      </c>
      <c r="V135" s="1" t="str">
        <f t="shared" si="22"/>
        <v>里程去程</v>
      </c>
      <c r="W135" s="1" t="s">
        <v>35</v>
      </c>
    </row>
    <row r="136" spans="1:23" x14ac:dyDescent="0.3">
      <c r="A136" s="1" t="str">
        <f t="shared" si="18"/>
        <v>59822</v>
      </c>
      <c r="B136" s="1" t="s">
        <v>39</v>
      </c>
      <c r="C136" s="1" t="s">
        <v>40</v>
      </c>
      <c r="D136" s="1" t="str">
        <f t="shared" si="21"/>
        <v>9801</v>
      </c>
      <c r="E136" s="1" t="s">
        <v>25</v>
      </c>
      <c r="F136" s="1" t="str">
        <f>"423225169"</f>
        <v>423225169</v>
      </c>
      <c r="G136" s="1" t="s">
        <v>33</v>
      </c>
      <c r="H136" s="1" t="str">
        <f t="shared" si="19"/>
        <v>20220905</v>
      </c>
      <c r="I136" s="1" t="str">
        <f>"123543"</f>
        <v>123543</v>
      </c>
      <c r="J136" s="1" t="s">
        <v>27</v>
      </c>
      <c r="K136" s="1" t="s">
        <v>28</v>
      </c>
      <c r="L136" s="1" t="str">
        <f t="shared" si="20"/>
        <v>20220905</v>
      </c>
      <c r="M136" s="1" t="str">
        <f>"124818"</f>
        <v>124818</v>
      </c>
      <c r="N136" s="1" t="s">
        <v>56</v>
      </c>
      <c r="O136" s="1" t="s">
        <v>45</v>
      </c>
      <c r="P136" s="1" t="s">
        <v>55</v>
      </c>
      <c r="Q136" s="1">
        <v>25</v>
      </c>
      <c r="R136" s="1">
        <v>25</v>
      </c>
      <c r="S136" s="1">
        <v>0</v>
      </c>
      <c r="T136" s="1">
        <v>0</v>
      </c>
      <c r="U136" s="1">
        <v>0</v>
      </c>
      <c r="V136" s="1" t="str">
        <f t="shared" si="22"/>
        <v>里程去程</v>
      </c>
      <c r="W136" s="1" t="s">
        <v>35</v>
      </c>
    </row>
    <row r="137" spans="1:23" x14ac:dyDescent="0.3">
      <c r="A137" s="1" t="str">
        <f t="shared" si="18"/>
        <v>59822</v>
      </c>
      <c r="B137" s="1" t="s">
        <v>39</v>
      </c>
      <c r="C137" s="1" t="s">
        <v>40</v>
      </c>
      <c r="D137" s="1" t="str">
        <f t="shared" si="21"/>
        <v>9801</v>
      </c>
      <c r="E137" s="1" t="s">
        <v>25</v>
      </c>
      <c r="F137" s="1" t="str">
        <f>"776560917"</f>
        <v>776560917</v>
      </c>
      <c r="G137" s="1" t="s">
        <v>33</v>
      </c>
      <c r="H137" s="1" t="str">
        <f t="shared" si="19"/>
        <v>20220905</v>
      </c>
      <c r="I137" s="1" t="str">
        <f>"123547"</f>
        <v>123547</v>
      </c>
      <c r="J137" s="1" t="s">
        <v>27</v>
      </c>
      <c r="K137" s="1" t="s">
        <v>28</v>
      </c>
      <c r="L137" s="1" t="str">
        <f t="shared" si="20"/>
        <v>20220905</v>
      </c>
      <c r="M137" s="1" t="str">
        <f>"124815"</f>
        <v>124815</v>
      </c>
      <c r="N137" s="1" t="s">
        <v>56</v>
      </c>
      <c r="O137" s="1" t="s">
        <v>45</v>
      </c>
      <c r="P137" s="1" t="s">
        <v>55</v>
      </c>
      <c r="Q137" s="1">
        <v>25</v>
      </c>
      <c r="R137" s="1">
        <v>25</v>
      </c>
      <c r="S137" s="1">
        <v>0</v>
      </c>
      <c r="T137" s="1">
        <v>0</v>
      </c>
      <c r="U137" s="1">
        <v>0</v>
      </c>
      <c r="V137" s="1" t="str">
        <f t="shared" si="22"/>
        <v>里程去程</v>
      </c>
      <c r="W137" s="1" t="s">
        <v>35</v>
      </c>
    </row>
    <row r="138" spans="1:23" x14ac:dyDescent="0.3">
      <c r="A138" s="1" t="str">
        <f t="shared" si="18"/>
        <v>59822</v>
      </c>
      <c r="B138" s="1" t="s">
        <v>39</v>
      </c>
      <c r="C138" s="1" t="s">
        <v>40</v>
      </c>
      <c r="D138" s="1" t="str">
        <f t="shared" si="21"/>
        <v>9801</v>
      </c>
      <c r="E138" s="1" t="s">
        <v>25</v>
      </c>
      <c r="F138" s="1" t="str">
        <f>"BA0D0A2895880400C08E1E5661204012"</f>
        <v>BA0D0A2895880400C08E1E5661204012</v>
      </c>
      <c r="G138" s="1" t="s">
        <v>58</v>
      </c>
      <c r="H138" s="1" t="str">
        <f t="shared" si="19"/>
        <v>20220905</v>
      </c>
      <c r="I138" s="1" t="str">
        <f>"123554"</f>
        <v>123554</v>
      </c>
      <c r="J138" s="1" t="s">
        <v>27</v>
      </c>
      <c r="K138" s="1" t="s">
        <v>28</v>
      </c>
      <c r="L138" s="1" t="str">
        <f t="shared" si="20"/>
        <v>20220905</v>
      </c>
      <c r="M138" s="1" t="str">
        <f>"125927"</f>
        <v>125927</v>
      </c>
      <c r="N138" s="1" t="s">
        <v>44</v>
      </c>
      <c r="O138" s="1" t="s">
        <v>45</v>
      </c>
      <c r="P138" s="1" t="s">
        <v>55</v>
      </c>
      <c r="Q138" s="1">
        <v>25</v>
      </c>
      <c r="R138" s="1">
        <v>25</v>
      </c>
      <c r="S138" s="1">
        <v>0</v>
      </c>
      <c r="T138" s="1">
        <v>0</v>
      </c>
      <c r="U138" s="1">
        <v>0</v>
      </c>
      <c r="V138" s="1" t="str">
        <f t="shared" si="22"/>
        <v>里程去程</v>
      </c>
      <c r="W138" s="1" t="s">
        <v>29</v>
      </c>
    </row>
    <row r="139" spans="1:23" x14ac:dyDescent="0.3">
      <c r="A139" s="1" t="str">
        <f t="shared" si="18"/>
        <v>59822</v>
      </c>
      <c r="B139" s="1" t="s">
        <v>39</v>
      </c>
      <c r="C139" s="1" t="s">
        <v>40</v>
      </c>
      <c r="D139" s="1" t="str">
        <f t="shared" si="21"/>
        <v>9801</v>
      </c>
      <c r="E139" s="1" t="s">
        <v>25</v>
      </c>
      <c r="F139" s="1" t="str">
        <f>"781992725"</f>
        <v>781992725</v>
      </c>
      <c r="G139" s="1" t="s">
        <v>33</v>
      </c>
      <c r="H139" s="1" t="str">
        <f t="shared" si="19"/>
        <v>20220905</v>
      </c>
      <c r="I139" s="1" t="str">
        <f>"123557"</f>
        <v>123557</v>
      </c>
      <c r="J139" s="1" t="s">
        <v>27</v>
      </c>
      <c r="K139" s="1" t="s">
        <v>28</v>
      </c>
      <c r="L139" s="1" t="str">
        <f t="shared" si="20"/>
        <v>20220905</v>
      </c>
      <c r="M139" s="1" t="str">
        <f>"125931"</f>
        <v>125931</v>
      </c>
      <c r="N139" s="1" t="s">
        <v>44</v>
      </c>
      <c r="O139" s="1" t="s">
        <v>45</v>
      </c>
      <c r="P139" s="1" t="s">
        <v>55</v>
      </c>
      <c r="Q139" s="1">
        <v>25</v>
      </c>
      <c r="R139" s="1">
        <v>25</v>
      </c>
      <c r="S139" s="1">
        <v>0</v>
      </c>
      <c r="T139" s="1">
        <v>0</v>
      </c>
      <c r="U139" s="1">
        <v>0</v>
      </c>
      <c r="V139" s="1" t="str">
        <f t="shared" si="22"/>
        <v>里程去程</v>
      </c>
      <c r="W139" s="1" t="s">
        <v>35</v>
      </c>
    </row>
    <row r="140" spans="1:23" x14ac:dyDescent="0.3">
      <c r="A140" s="1" t="str">
        <f t="shared" si="18"/>
        <v>59822</v>
      </c>
      <c r="B140" s="1" t="s">
        <v>39</v>
      </c>
      <c r="C140" s="1" t="s">
        <v>40</v>
      </c>
      <c r="D140" s="1" t="str">
        <f t="shared" si="21"/>
        <v>9801</v>
      </c>
      <c r="E140" s="1" t="s">
        <v>25</v>
      </c>
      <c r="F140" s="1" t="str">
        <f>"1192035509"</f>
        <v>1192035509</v>
      </c>
      <c r="G140" s="1" t="s">
        <v>33</v>
      </c>
      <c r="H140" s="1" t="str">
        <f t="shared" si="19"/>
        <v>20220905</v>
      </c>
      <c r="I140" s="1" t="str">
        <f>"124605"</f>
        <v>124605</v>
      </c>
      <c r="J140" s="1" t="s">
        <v>45</v>
      </c>
      <c r="K140" s="1" t="s">
        <v>45</v>
      </c>
      <c r="L140" s="1" t="str">
        <f t="shared" si="20"/>
        <v>20220905</v>
      </c>
      <c r="M140" s="1" t="str">
        <f>"125138"</f>
        <v>125138</v>
      </c>
      <c r="N140" s="1" t="s">
        <v>91</v>
      </c>
      <c r="O140" s="1" t="s">
        <v>45</v>
      </c>
      <c r="P140" s="1" t="s">
        <v>55</v>
      </c>
      <c r="Q140" s="1">
        <v>25</v>
      </c>
      <c r="R140" s="1">
        <v>0</v>
      </c>
      <c r="S140" s="1">
        <v>25</v>
      </c>
      <c r="T140" s="1">
        <v>0</v>
      </c>
      <c r="U140" s="1">
        <v>0</v>
      </c>
      <c r="V140" s="1" t="str">
        <f t="shared" si="22"/>
        <v>里程去程</v>
      </c>
      <c r="W140" s="1" t="s">
        <v>35</v>
      </c>
    </row>
    <row r="141" spans="1:23" x14ac:dyDescent="0.3">
      <c r="A141" s="1" t="str">
        <f t="shared" si="18"/>
        <v>59822</v>
      </c>
      <c r="B141" s="1" t="s">
        <v>39</v>
      </c>
      <c r="C141" s="1" t="s">
        <v>40</v>
      </c>
      <c r="D141" s="1" t="str">
        <f t="shared" si="21"/>
        <v>9801</v>
      </c>
      <c r="E141" s="1" t="s">
        <v>25</v>
      </c>
      <c r="F141" s="1" t="str">
        <f>"1552799217"</f>
        <v>1552799217</v>
      </c>
      <c r="G141" s="1" t="s">
        <v>33</v>
      </c>
      <c r="H141" s="1" t="str">
        <f t="shared" si="19"/>
        <v>20220905</v>
      </c>
      <c r="I141" s="1" t="str">
        <f>"130009"</f>
        <v>130009</v>
      </c>
      <c r="J141" s="1" t="s">
        <v>52</v>
      </c>
      <c r="K141" s="1" t="s">
        <v>52</v>
      </c>
      <c r="L141" s="1" t="str">
        <f t="shared" si="20"/>
        <v>20220905</v>
      </c>
      <c r="M141" s="1" t="str">
        <f>"130545"</f>
        <v>130545</v>
      </c>
      <c r="N141" s="1" t="s">
        <v>60</v>
      </c>
      <c r="O141" s="1" t="s">
        <v>52</v>
      </c>
      <c r="P141" s="1" t="s">
        <v>55</v>
      </c>
      <c r="Q141" s="1">
        <v>25</v>
      </c>
      <c r="R141" s="1">
        <v>25</v>
      </c>
      <c r="S141" s="1">
        <v>0</v>
      </c>
      <c r="T141" s="1">
        <v>0</v>
      </c>
      <c r="U141" s="1">
        <v>0</v>
      </c>
      <c r="V141" s="1" t="str">
        <f t="shared" si="22"/>
        <v>里程去程</v>
      </c>
      <c r="W141" s="1" t="s">
        <v>35</v>
      </c>
    </row>
    <row r="142" spans="1:23" x14ac:dyDescent="0.3">
      <c r="A142" s="1" t="str">
        <f t="shared" si="18"/>
        <v>59822</v>
      </c>
      <c r="B142" s="1" t="s">
        <v>39</v>
      </c>
      <c r="C142" s="1" t="s">
        <v>40</v>
      </c>
      <c r="D142" s="1" t="str">
        <f t="shared" si="21"/>
        <v>9801</v>
      </c>
      <c r="E142" s="1" t="s">
        <v>25</v>
      </c>
      <c r="F142" s="1" t="str">
        <f>"73164913"</f>
        <v>73164913</v>
      </c>
      <c r="G142" s="1" t="s">
        <v>33</v>
      </c>
      <c r="H142" s="1" t="str">
        <f t="shared" si="19"/>
        <v>20220905</v>
      </c>
      <c r="I142" s="1" t="str">
        <f>"130012"</f>
        <v>130012</v>
      </c>
      <c r="J142" s="1" t="s">
        <v>52</v>
      </c>
      <c r="K142" s="1" t="s">
        <v>52</v>
      </c>
      <c r="L142" s="1" t="str">
        <f t="shared" si="20"/>
        <v>20220905</v>
      </c>
      <c r="M142" s="1" t="str">
        <f>"132741"</f>
        <v>132741</v>
      </c>
      <c r="N142" s="1" t="s">
        <v>85</v>
      </c>
      <c r="O142" s="1" t="s">
        <v>28</v>
      </c>
      <c r="P142" s="1" t="s">
        <v>55</v>
      </c>
      <c r="Q142" s="1">
        <v>25</v>
      </c>
      <c r="R142" s="1">
        <v>25</v>
      </c>
      <c r="S142" s="1">
        <v>0</v>
      </c>
      <c r="T142" s="1">
        <v>0</v>
      </c>
      <c r="U142" s="1">
        <v>0</v>
      </c>
      <c r="V142" s="1" t="str">
        <f t="shared" si="22"/>
        <v>里程去程</v>
      </c>
      <c r="W142" s="1" t="s">
        <v>35</v>
      </c>
    </row>
    <row r="143" spans="1:23" x14ac:dyDescent="0.3">
      <c r="A143" s="1" t="str">
        <f t="shared" si="18"/>
        <v>59822</v>
      </c>
      <c r="B143" s="1" t="s">
        <v>39</v>
      </c>
      <c r="C143" s="1" t="s">
        <v>40</v>
      </c>
      <c r="D143" s="1" t="str">
        <f t="shared" si="21"/>
        <v>9801</v>
      </c>
      <c r="E143" s="1" t="s">
        <v>25</v>
      </c>
      <c r="F143" s="1" t="str">
        <f>"7311170036009956"</f>
        <v>7311170036009956</v>
      </c>
      <c r="G143" s="1" t="s">
        <v>33</v>
      </c>
      <c r="H143" s="1" t="str">
        <f t="shared" si="19"/>
        <v>20220905</v>
      </c>
      <c r="I143" s="1" t="str">
        <f>"130015"</f>
        <v>130015</v>
      </c>
      <c r="J143" s="1" t="s">
        <v>52</v>
      </c>
      <c r="K143" s="1" t="s">
        <v>52</v>
      </c>
      <c r="L143" s="1" t="str">
        <f t="shared" si="20"/>
        <v>20220905</v>
      </c>
      <c r="M143" s="1" t="str">
        <f>"132745"</f>
        <v>132745</v>
      </c>
      <c r="N143" s="1" t="s">
        <v>85</v>
      </c>
      <c r="O143" s="1" t="s">
        <v>28</v>
      </c>
      <c r="P143" s="1" t="s">
        <v>55</v>
      </c>
      <c r="Q143" s="1">
        <v>25</v>
      </c>
      <c r="R143" s="1">
        <v>25</v>
      </c>
      <c r="S143" s="1">
        <v>0</v>
      </c>
      <c r="T143" s="1">
        <v>0</v>
      </c>
      <c r="U143" s="1">
        <v>0</v>
      </c>
      <c r="V143" s="1" t="str">
        <f t="shared" si="22"/>
        <v>里程去程</v>
      </c>
      <c r="W143" s="1" t="s">
        <v>109</v>
      </c>
    </row>
    <row r="144" spans="1:23" x14ac:dyDescent="0.3">
      <c r="A144" s="1" t="str">
        <f t="shared" si="18"/>
        <v>59822</v>
      </c>
      <c r="B144" s="1" t="s">
        <v>39</v>
      </c>
      <c r="C144" s="1" t="s">
        <v>40</v>
      </c>
      <c r="D144" s="1" t="str">
        <f t="shared" si="21"/>
        <v>9801</v>
      </c>
      <c r="E144" s="1" t="s">
        <v>25</v>
      </c>
      <c r="F144" s="1" t="str">
        <f>"629413266"</f>
        <v>629413266</v>
      </c>
      <c r="G144" s="1" t="s">
        <v>33</v>
      </c>
      <c r="H144" s="1" t="str">
        <f t="shared" si="19"/>
        <v>20220905</v>
      </c>
      <c r="I144" s="1" t="str">
        <f>"132315"</f>
        <v>132315</v>
      </c>
      <c r="J144" s="1" t="s">
        <v>83</v>
      </c>
      <c r="K144" s="1" t="s">
        <v>52</v>
      </c>
      <c r="L144" s="1" t="str">
        <f t="shared" si="20"/>
        <v>20220905</v>
      </c>
      <c r="M144" s="1" t="str">
        <f>"132928"</f>
        <v>132928</v>
      </c>
      <c r="N144" s="1" t="s">
        <v>27</v>
      </c>
      <c r="O144" s="1" t="s">
        <v>28</v>
      </c>
      <c r="P144" s="1" t="s">
        <v>55</v>
      </c>
      <c r="Q144" s="1">
        <v>25</v>
      </c>
      <c r="R144" s="1">
        <v>25</v>
      </c>
      <c r="S144" s="1">
        <v>0</v>
      </c>
      <c r="T144" s="1">
        <v>0</v>
      </c>
      <c r="U144" s="1">
        <v>0</v>
      </c>
      <c r="V144" s="1" t="str">
        <f t="shared" si="22"/>
        <v>里程去程</v>
      </c>
      <c r="W144" s="1" t="s">
        <v>35</v>
      </c>
    </row>
    <row r="145" spans="1:23" x14ac:dyDescent="0.3">
      <c r="A145" s="1" t="str">
        <f t="shared" si="18"/>
        <v>59822</v>
      </c>
      <c r="B145" s="1" t="s">
        <v>39</v>
      </c>
      <c r="C145" s="1" t="s">
        <v>40</v>
      </c>
      <c r="D145" s="1" t="str">
        <f t="shared" si="21"/>
        <v>9801</v>
      </c>
      <c r="E145" s="1" t="s">
        <v>25</v>
      </c>
      <c r="F145" s="1" t="str">
        <f>"F27CE6026A880400C834002000000015"</f>
        <v>F27CE6026A880400C834002000000015</v>
      </c>
      <c r="G145" s="1" t="s">
        <v>74</v>
      </c>
      <c r="H145" s="1" t="str">
        <f t="shared" si="19"/>
        <v>20220905</v>
      </c>
      <c r="I145" s="1" t="str">
        <f>"145853"</f>
        <v>145853</v>
      </c>
      <c r="J145" s="1" t="s">
        <v>52</v>
      </c>
      <c r="K145" s="1" t="s">
        <v>52</v>
      </c>
      <c r="L145" s="1" t="str">
        <f t="shared" si="20"/>
        <v>20220905</v>
      </c>
      <c r="M145" s="1" t="str">
        <f>"150536"</f>
        <v>150536</v>
      </c>
      <c r="N145" s="1" t="s">
        <v>60</v>
      </c>
      <c r="O145" s="1" t="s">
        <v>52</v>
      </c>
      <c r="P145" s="1" t="s">
        <v>68</v>
      </c>
      <c r="Q145" s="1">
        <v>13</v>
      </c>
      <c r="R145" s="1">
        <v>0</v>
      </c>
      <c r="S145" s="1">
        <v>0</v>
      </c>
      <c r="T145" s="1">
        <v>13</v>
      </c>
      <c r="U145" s="1">
        <v>0</v>
      </c>
      <c r="V145" s="1" t="str">
        <f t="shared" si="22"/>
        <v>里程去程</v>
      </c>
      <c r="W145" s="1" t="s">
        <v>29</v>
      </c>
    </row>
    <row r="146" spans="1:23" x14ac:dyDescent="0.3">
      <c r="A146" s="1" t="str">
        <f t="shared" si="18"/>
        <v>59822</v>
      </c>
      <c r="B146" s="1" t="s">
        <v>39</v>
      </c>
      <c r="C146" s="1" t="s">
        <v>40</v>
      </c>
      <c r="D146" s="1" t="str">
        <f t="shared" si="21"/>
        <v>9801</v>
      </c>
      <c r="E146" s="1" t="s">
        <v>25</v>
      </c>
      <c r="F146" s="1" t="str">
        <f>"82D5FB02AE880400C834002000000015"</f>
        <v>82D5FB02AE880400C834002000000015</v>
      </c>
      <c r="G146" s="1" t="s">
        <v>26</v>
      </c>
      <c r="H146" s="1" t="str">
        <f t="shared" si="19"/>
        <v>20220905</v>
      </c>
      <c r="I146" s="1" t="str">
        <f>"150805"</f>
        <v>150805</v>
      </c>
      <c r="J146" s="1" t="s">
        <v>51</v>
      </c>
      <c r="K146" s="1" t="s">
        <v>52</v>
      </c>
      <c r="L146" s="1" t="str">
        <f t="shared" si="20"/>
        <v>20220905</v>
      </c>
      <c r="M146" s="1" t="str">
        <f>"151456"</f>
        <v>151456</v>
      </c>
      <c r="N146" s="1" t="s">
        <v>80</v>
      </c>
      <c r="O146" s="1" t="s">
        <v>52</v>
      </c>
      <c r="P146" s="1" t="s">
        <v>68</v>
      </c>
      <c r="Q146" s="1">
        <v>13</v>
      </c>
      <c r="R146" s="1">
        <v>0</v>
      </c>
      <c r="S146" s="1">
        <v>0</v>
      </c>
      <c r="T146" s="1">
        <v>13</v>
      </c>
      <c r="U146" s="1">
        <v>0</v>
      </c>
      <c r="V146" s="1" t="str">
        <f t="shared" si="22"/>
        <v>里程去程</v>
      </c>
      <c r="W146" s="1" t="s">
        <v>29</v>
      </c>
    </row>
    <row r="147" spans="1:23" x14ac:dyDescent="0.3">
      <c r="A147" s="1" t="str">
        <f t="shared" si="18"/>
        <v>59822</v>
      </c>
      <c r="B147" s="1" t="s">
        <v>39</v>
      </c>
      <c r="C147" s="1" t="s">
        <v>40</v>
      </c>
      <c r="D147" s="1" t="str">
        <f t="shared" si="21"/>
        <v>9801</v>
      </c>
      <c r="E147" s="1" t="s">
        <v>25</v>
      </c>
      <c r="F147" s="1" t="str">
        <f>"1147048485"</f>
        <v>1147048485</v>
      </c>
      <c r="G147" s="1" t="s">
        <v>26</v>
      </c>
      <c r="H147" s="1" t="str">
        <f t="shared" si="19"/>
        <v>20220905</v>
      </c>
      <c r="I147" s="1" t="str">
        <f>"153407"</f>
        <v>153407</v>
      </c>
      <c r="J147" s="1" t="s">
        <v>27</v>
      </c>
      <c r="K147" s="1" t="s">
        <v>28</v>
      </c>
      <c r="L147" s="1" t="str">
        <f t="shared" si="20"/>
        <v>20220905</v>
      </c>
      <c r="M147" s="1" t="str">
        <f>"155550"</f>
        <v>155550</v>
      </c>
      <c r="N147" s="1" t="s">
        <v>44</v>
      </c>
      <c r="O147" s="1" t="s">
        <v>45</v>
      </c>
      <c r="P147" s="1" t="s">
        <v>55</v>
      </c>
      <c r="Q147" s="1">
        <v>13</v>
      </c>
      <c r="R147" s="1">
        <v>0</v>
      </c>
      <c r="S147" s="1">
        <v>13</v>
      </c>
      <c r="T147" s="1">
        <v>0</v>
      </c>
      <c r="U147" s="1">
        <v>0</v>
      </c>
      <c r="V147" s="1" t="str">
        <f t="shared" si="22"/>
        <v>里程去程</v>
      </c>
      <c r="W147" s="1" t="s">
        <v>35</v>
      </c>
    </row>
    <row r="148" spans="1:23" x14ac:dyDescent="0.3">
      <c r="A148" s="1" t="str">
        <f t="shared" si="18"/>
        <v>59822</v>
      </c>
      <c r="B148" s="1" t="s">
        <v>39</v>
      </c>
      <c r="C148" s="1" t="s">
        <v>40</v>
      </c>
      <c r="D148" s="1" t="str">
        <f t="shared" si="21"/>
        <v>9801</v>
      </c>
      <c r="E148" s="1" t="s">
        <v>25</v>
      </c>
      <c r="F148" s="1" t="str">
        <f>"1145704501"</f>
        <v>1145704501</v>
      </c>
      <c r="G148" s="1" t="s">
        <v>26</v>
      </c>
      <c r="H148" s="1" t="str">
        <f t="shared" si="19"/>
        <v>20220905</v>
      </c>
      <c r="I148" s="1" t="str">
        <f>"153410"</f>
        <v>153410</v>
      </c>
      <c r="J148" s="1" t="s">
        <v>27</v>
      </c>
      <c r="K148" s="1" t="s">
        <v>28</v>
      </c>
      <c r="L148" s="1" t="str">
        <f t="shared" si="20"/>
        <v>20220905</v>
      </c>
      <c r="M148" s="1" t="str">
        <f>"155547"</f>
        <v>155547</v>
      </c>
      <c r="N148" s="1" t="s">
        <v>44</v>
      </c>
      <c r="O148" s="1" t="s">
        <v>45</v>
      </c>
      <c r="P148" s="1" t="s">
        <v>55</v>
      </c>
      <c r="Q148" s="1">
        <v>13</v>
      </c>
      <c r="R148" s="1">
        <v>0</v>
      </c>
      <c r="S148" s="1">
        <v>13</v>
      </c>
      <c r="T148" s="1">
        <v>0</v>
      </c>
      <c r="U148" s="1">
        <v>0</v>
      </c>
      <c r="V148" s="1" t="str">
        <f t="shared" si="22"/>
        <v>里程去程</v>
      </c>
      <c r="W148" s="1" t="s">
        <v>35</v>
      </c>
    </row>
    <row r="149" spans="1:23" x14ac:dyDescent="0.3">
      <c r="A149" s="1" t="str">
        <f t="shared" si="18"/>
        <v>59822</v>
      </c>
      <c r="B149" s="1" t="s">
        <v>39</v>
      </c>
      <c r="C149" s="1" t="s">
        <v>40</v>
      </c>
      <c r="D149" s="1" t="str">
        <f t="shared" si="21"/>
        <v>9801</v>
      </c>
      <c r="E149" s="1" t="s">
        <v>25</v>
      </c>
      <c r="F149" s="1" t="str">
        <f>"D2D38A1992880400C824002000000020"</f>
        <v>D2D38A1992880400C824002000000020</v>
      </c>
      <c r="G149" s="1" t="s">
        <v>59</v>
      </c>
      <c r="H149" s="1" t="str">
        <f t="shared" si="19"/>
        <v>20220905</v>
      </c>
      <c r="I149" s="1" t="str">
        <f>"155641"</f>
        <v>155641</v>
      </c>
      <c r="J149" s="1" t="s">
        <v>52</v>
      </c>
      <c r="K149" s="1" t="s">
        <v>52</v>
      </c>
      <c r="L149" s="1" t="str">
        <f t="shared" si="20"/>
        <v>20220905</v>
      </c>
      <c r="M149" s="1" t="str">
        <f>"162729"</f>
        <v>162729</v>
      </c>
      <c r="N149" s="1" t="s">
        <v>78</v>
      </c>
      <c r="O149" s="1" t="s">
        <v>52</v>
      </c>
      <c r="P149" s="1" t="s">
        <v>55</v>
      </c>
      <c r="Q149" s="1">
        <v>25</v>
      </c>
      <c r="R149" s="1">
        <v>0</v>
      </c>
      <c r="S149" s="1">
        <v>25</v>
      </c>
      <c r="T149" s="1">
        <v>0</v>
      </c>
      <c r="U149" s="1">
        <v>0</v>
      </c>
      <c r="V149" s="1" t="str">
        <f t="shared" si="22"/>
        <v>里程去程</v>
      </c>
      <c r="W149" s="1" t="s">
        <v>29</v>
      </c>
    </row>
    <row r="150" spans="1:23" x14ac:dyDescent="0.3">
      <c r="A150" s="1" t="str">
        <f t="shared" si="18"/>
        <v>59822</v>
      </c>
      <c r="B150" s="1" t="s">
        <v>39</v>
      </c>
      <c r="C150" s="1" t="s">
        <v>40</v>
      </c>
      <c r="D150" s="1" t="str">
        <f t="shared" si="21"/>
        <v>9801</v>
      </c>
      <c r="E150" s="1" t="s">
        <v>25</v>
      </c>
      <c r="F150" s="1" t="str">
        <f>"C2C219031A880400C834002000000015"</f>
        <v>C2C219031A880400C834002000000015</v>
      </c>
      <c r="G150" s="1" t="s">
        <v>74</v>
      </c>
      <c r="H150" s="1" t="str">
        <f t="shared" si="19"/>
        <v>20220905</v>
      </c>
      <c r="I150" s="1" t="str">
        <f>"160730"</f>
        <v>160730</v>
      </c>
      <c r="J150" s="1" t="s">
        <v>60</v>
      </c>
      <c r="K150" s="1" t="s">
        <v>52</v>
      </c>
      <c r="L150" s="1" t="str">
        <f t="shared" si="20"/>
        <v>20220905</v>
      </c>
      <c r="M150" s="1" t="str">
        <f>"161943"</f>
        <v>161943</v>
      </c>
      <c r="N150" s="1" t="s">
        <v>80</v>
      </c>
      <c r="O150" s="1" t="s">
        <v>52</v>
      </c>
      <c r="P150" s="1" t="s">
        <v>68</v>
      </c>
      <c r="Q150" s="1">
        <v>13</v>
      </c>
      <c r="R150" s="1">
        <v>0</v>
      </c>
      <c r="S150" s="1">
        <v>0</v>
      </c>
      <c r="T150" s="1">
        <v>13</v>
      </c>
      <c r="U150" s="1">
        <v>0</v>
      </c>
      <c r="V150" s="1" t="str">
        <f t="shared" si="22"/>
        <v>里程去程</v>
      </c>
      <c r="W150" s="1" t="s">
        <v>29</v>
      </c>
    </row>
    <row r="151" spans="1:23" x14ac:dyDescent="0.3">
      <c r="A151" s="1" t="str">
        <f t="shared" si="18"/>
        <v>59822</v>
      </c>
      <c r="B151" s="1" t="s">
        <v>39</v>
      </c>
      <c r="C151" s="1" t="s">
        <v>40</v>
      </c>
      <c r="D151" s="1" t="str">
        <f t="shared" si="21"/>
        <v>9801</v>
      </c>
      <c r="E151" s="1" t="s">
        <v>25</v>
      </c>
      <c r="F151" s="1" t="str">
        <f>"796883057"</f>
        <v>796883057</v>
      </c>
      <c r="G151" s="1" t="s">
        <v>33</v>
      </c>
      <c r="H151" s="1" t="str">
        <f t="shared" si="19"/>
        <v>20220905</v>
      </c>
      <c r="I151" s="1" t="str">
        <f>"162830"</f>
        <v>162830</v>
      </c>
      <c r="J151" s="1" t="s">
        <v>67</v>
      </c>
      <c r="K151" s="1" t="s">
        <v>52</v>
      </c>
      <c r="L151" s="1" t="str">
        <f t="shared" si="20"/>
        <v>20220905</v>
      </c>
      <c r="M151" s="1" t="str">
        <f>"163804"</f>
        <v>163804</v>
      </c>
      <c r="N151" s="1" t="s">
        <v>70</v>
      </c>
      <c r="O151" s="1" t="s">
        <v>28</v>
      </c>
      <c r="P151" s="1" t="s">
        <v>55</v>
      </c>
      <c r="Q151" s="1">
        <v>25</v>
      </c>
      <c r="R151" s="1">
        <v>25</v>
      </c>
      <c r="S151" s="1">
        <v>0</v>
      </c>
      <c r="T151" s="1">
        <v>0</v>
      </c>
      <c r="U151" s="1">
        <v>0</v>
      </c>
      <c r="V151" s="1" t="str">
        <f t="shared" si="22"/>
        <v>里程去程</v>
      </c>
      <c r="W151" s="1" t="s">
        <v>35</v>
      </c>
    </row>
    <row r="152" spans="1:23" x14ac:dyDescent="0.3">
      <c r="A152" s="1" t="str">
        <f t="shared" si="18"/>
        <v>59822</v>
      </c>
      <c r="B152" s="1" t="s">
        <v>39</v>
      </c>
      <c r="C152" s="1" t="s">
        <v>40</v>
      </c>
      <c r="D152" s="1" t="str">
        <f t="shared" si="21"/>
        <v>9801</v>
      </c>
      <c r="E152" s="1" t="s">
        <v>25</v>
      </c>
      <c r="F152" s="1" t="str">
        <f>"901915489"</f>
        <v>901915489</v>
      </c>
      <c r="G152" s="1" t="s">
        <v>33</v>
      </c>
      <c r="H152" s="1" t="str">
        <f t="shared" si="19"/>
        <v>20220905</v>
      </c>
      <c r="I152" s="1" t="str">
        <f>"163812"</f>
        <v>163812</v>
      </c>
      <c r="J152" s="1" t="s">
        <v>27</v>
      </c>
      <c r="K152" s="1" t="s">
        <v>28</v>
      </c>
      <c r="L152" s="1" t="str">
        <f t="shared" si="20"/>
        <v>20220905</v>
      </c>
      <c r="M152" s="1" t="str">
        <f>"165524"</f>
        <v>165524</v>
      </c>
      <c r="N152" s="1" t="s">
        <v>91</v>
      </c>
      <c r="O152" s="1" t="s">
        <v>45</v>
      </c>
      <c r="P152" s="1" t="s">
        <v>55</v>
      </c>
      <c r="Q152" s="1">
        <v>25</v>
      </c>
      <c r="R152" s="1">
        <v>25</v>
      </c>
      <c r="S152" s="1">
        <v>0</v>
      </c>
      <c r="T152" s="1">
        <v>0</v>
      </c>
      <c r="U152" s="1">
        <v>0</v>
      </c>
      <c r="V152" s="1" t="str">
        <f t="shared" si="22"/>
        <v>里程去程</v>
      </c>
      <c r="W152" s="1" t="s">
        <v>35</v>
      </c>
    </row>
    <row r="153" spans="1:23" x14ac:dyDescent="0.3">
      <c r="A153" s="1" t="str">
        <f t="shared" si="18"/>
        <v>59822</v>
      </c>
      <c r="B153" s="1" t="s">
        <v>39</v>
      </c>
      <c r="C153" s="1" t="s">
        <v>40</v>
      </c>
      <c r="D153" s="1" t="str">
        <f t="shared" si="21"/>
        <v>9801</v>
      </c>
      <c r="E153" s="1" t="s">
        <v>25</v>
      </c>
      <c r="F153" s="1" t="str">
        <f>"1231206277"</f>
        <v>1231206277</v>
      </c>
      <c r="G153" s="1" t="s">
        <v>33</v>
      </c>
      <c r="H153" s="1" t="str">
        <f t="shared" si="19"/>
        <v>20220905</v>
      </c>
      <c r="I153" s="1" t="str">
        <f>"163823"</f>
        <v>163823</v>
      </c>
      <c r="J153" s="1" t="s">
        <v>27</v>
      </c>
      <c r="K153" s="1" t="s">
        <v>28</v>
      </c>
      <c r="L153" s="1" t="str">
        <f t="shared" si="20"/>
        <v>20220905</v>
      </c>
      <c r="M153" s="1" t="str">
        <f>"170121"</f>
        <v>170121</v>
      </c>
      <c r="N153" s="1" t="s">
        <v>44</v>
      </c>
      <c r="O153" s="1" t="s">
        <v>45</v>
      </c>
      <c r="P153" s="1" t="s">
        <v>55</v>
      </c>
      <c r="Q153" s="1">
        <v>25</v>
      </c>
      <c r="R153" s="1">
        <v>25</v>
      </c>
      <c r="S153" s="1">
        <v>0</v>
      </c>
      <c r="T153" s="1">
        <v>0</v>
      </c>
      <c r="U153" s="1">
        <v>0</v>
      </c>
      <c r="V153" s="1" t="str">
        <f t="shared" si="22"/>
        <v>里程去程</v>
      </c>
      <c r="W153" s="1" t="s">
        <v>35</v>
      </c>
    </row>
    <row r="154" spans="1:23" x14ac:dyDescent="0.3">
      <c r="A154" s="1" t="str">
        <f t="shared" si="18"/>
        <v>59822</v>
      </c>
      <c r="B154" s="1" t="s">
        <v>39</v>
      </c>
      <c r="C154" s="1" t="s">
        <v>40</v>
      </c>
      <c r="D154" s="1" t="str">
        <f t="shared" si="21"/>
        <v>9801</v>
      </c>
      <c r="E154" s="1" t="s">
        <v>25</v>
      </c>
      <c r="F154" s="1" t="str">
        <f>"3922955454"</f>
        <v>3922955454</v>
      </c>
      <c r="G154" s="1" t="s">
        <v>33</v>
      </c>
      <c r="H154" s="1" t="str">
        <f t="shared" si="19"/>
        <v>20220905</v>
      </c>
      <c r="I154" s="1" t="str">
        <f>"163834"</f>
        <v>163834</v>
      </c>
      <c r="J154" s="1" t="s">
        <v>27</v>
      </c>
      <c r="K154" s="1" t="s">
        <v>28</v>
      </c>
      <c r="L154" s="1" t="str">
        <f t="shared" si="20"/>
        <v>20220905</v>
      </c>
      <c r="M154" s="1" t="str">
        <f>"165744"</f>
        <v>165744</v>
      </c>
      <c r="N154" s="1" t="s">
        <v>44</v>
      </c>
      <c r="O154" s="1" t="s">
        <v>45</v>
      </c>
      <c r="P154" s="1" t="s">
        <v>55</v>
      </c>
      <c r="Q154" s="1">
        <v>25</v>
      </c>
      <c r="R154" s="1">
        <v>25</v>
      </c>
      <c r="S154" s="1">
        <v>0</v>
      </c>
      <c r="T154" s="1">
        <v>0</v>
      </c>
      <c r="U154" s="1">
        <v>0</v>
      </c>
      <c r="V154" s="1" t="str">
        <f t="shared" si="22"/>
        <v>里程去程</v>
      </c>
      <c r="W154" s="1" t="s">
        <v>35</v>
      </c>
    </row>
    <row r="155" spans="1:23" x14ac:dyDescent="0.3">
      <c r="A155" s="1" t="str">
        <f t="shared" si="18"/>
        <v>59822</v>
      </c>
      <c r="B155" s="1" t="s">
        <v>39</v>
      </c>
      <c r="C155" s="1" t="s">
        <v>40</v>
      </c>
      <c r="D155" s="1" t="str">
        <f t="shared" si="21"/>
        <v>9801</v>
      </c>
      <c r="E155" s="1" t="s">
        <v>25</v>
      </c>
      <c r="F155" s="1" t="str">
        <f>"5A87B3E789880400475975915D101608"</f>
        <v>5A87B3E789880400475975915D101608</v>
      </c>
      <c r="G155" s="1" t="s">
        <v>64</v>
      </c>
      <c r="H155" s="1" t="str">
        <f t="shared" si="19"/>
        <v>20220905</v>
      </c>
      <c r="I155" s="1" t="str">
        <f>"163837"</f>
        <v>163837</v>
      </c>
      <c r="J155" s="1" t="s">
        <v>27</v>
      </c>
      <c r="K155" s="1" t="s">
        <v>28</v>
      </c>
      <c r="L155" s="1" t="str">
        <f t="shared" si="20"/>
        <v>20220905</v>
      </c>
      <c r="M155" s="1" t="str">
        <f>"165756"</f>
        <v>165756</v>
      </c>
      <c r="N155" s="1" t="s">
        <v>44</v>
      </c>
      <c r="O155" s="1" t="s">
        <v>45</v>
      </c>
      <c r="P155" s="1" t="s">
        <v>55</v>
      </c>
      <c r="Q155" s="1">
        <v>13</v>
      </c>
      <c r="R155" s="1">
        <v>13</v>
      </c>
      <c r="S155" s="1">
        <v>0</v>
      </c>
      <c r="T155" s="1">
        <v>0</v>
      </c>
      <c r="U155" s="1">
        <v>0</v>
      </c>
      <c r="V155" s="1" t="str">
        <f t="shared" si="22"/>
        <v>里程去程</v>
      </c>
      <c r="W155" s="1" t="s">
        <v>29</v>
      </c>
    </row>
    <row r="156" spans="1:23" x14ac:dyDescent="0.3">
      <c r="A156" s="1" t="str">
        <f t="shared" si="18"/>
        <v>59822</v>
      </c>
      <c r="B156" s="1" t="s">
        <v>39</v>
      </c>
      <c r="C156" s="1" t="s">
        <v>40</v>
      </c>
      <c r="D156" s="1" t="str">
        <f t="shared" si="21"/>
        <v>9801</v>
      </c>
      <c r="E156" s="1" t="s">
        <v>25</v>
      </c>
      <c r="F156" s="1" t="str">
        <f>"1807383873"</f>
        <v>1807383873</v>
      </c>
      <c r="G156" s="1" t="s">
        <v>33</v>
      </c>
      <c r="H156" s="1" t="str">
        <f t="shared" si="19"/>
        <v>20220905</v>
      </c>
      <c r="I156" s="1" t="str">
        <f>"163841"</f>
        <v>163841</v>
      </c>
      <c r="J156" s="1" t="s">
        <v>27</v>
      </c>
      <c r="K156" s="1" t="s">
        <v>28</v>
      </c>
      <c r="L156" s="1" t="str">
        <f t="shared" si="20"/>
        <v>20220905</v>
      </c>
      <c r="M156" s="1" t="str">
        <f>"165503"</f>
        <v>165503</v>
      </c>
      <c r="N156" s="1" t="s">
        <v>91</v>
      </c>
      <c r="O156" s="1" t="s">
        <v>45</v>
      </c>
      <c r="P156" s="1" t="s">
        <v>55</v>
      </c>
      <c r="Q156" s="1">
        <v>25</v>
      </c>
      <c r="R156" s="1">
        <v>25</v>
      </c>
      <c r="S156" s="1">
        <v>0</v>
      </c>
      <c r="T156" s="1">
        <v>0</v>
      </c>
      <c r="U156" s="1">
        <v>0</v>
      </c>
      <c r="V156" s="1" t="str">
        <f t="shared" si="22"/>
        <v>里程去程</v>
      </c>
      <c r="W156" s="1" t="s">
        <v>35</v>
      </c>
    </row>
    <row r="157" spans="1:23" x14ac:dyDescent="0.3">
      <c r="A157" s="1" t="str">
        <f t="shared" si="18"/>
        <v>59822</v>
      </c>
      <c r="B157" s="1" t="s">
        <v>39</v>
      </c>
      <c r="C157" s="1" t="s">
        <v>40</v>
      </c>
      <c r="D157" s="1" t="str">
        <f t="shared" si="21"/>
        <v>9801</v>
      </c>
      <c r="E157" s="1" t="s">
        <v>25</v>
      </c>
      <c r="F157" s="1" t="str">
        <f>"1241978085"</f>
        <v>1241978085</v>
      </c>
      <c r="G157" s="1" t="s">
        <v>38</v>
      </c>
      <c r="H157" s="1" t="str">
        <f t="shared" si="19"/>
        <v>20220905</v>
      </c>
      <c r="I157" s="1" t="str">
        <f>"163842"</f>
        <v>163842</v>
      </c>
      <c r="J157" s="1" t="s">
        <v>27</v>
      </c>
      <c r="K157" s="1" t="s">
        <v>28</v>
      </c>
      <c r="L157" s="1" t="str">
        <f t="shared" si="20"/>
        <v>20220905</v>
      </c>
      <c r="M157" s="1" t="str">
        <f>"165530"</f>
        <v>165530</v>
      </c>
      <c r="N157" s="1" t="s">
        <v>91</v>
      </c>
      <c r="O157" s="1" t="s">
        <v>45</v>
      </c>
      <c r="P157" s="1" t="s">
        <v>55</v>
      </c>
      <c r="Q157" s="1">
        <v>25</v>
      </c>
      <c r="R157" s="1">
        <v>25</v>
      </c>
      <c r="S157" s="1">
        <v>0</v>
      </c>
      <c r="T157" s="1">
        <v>0</v>
      </c>
      <c r="U157" s="1">
        <v>0</v>
      </c>
      <c r="V157" s="1" t="str">
        <f t="shared" si="22"/>
        <v>里程去程</v>
      </c>
      <c r="W157" s="1" t="s">
        <v>35</v>
      </c>
    </row>
    <row r="158" spans="1:23" x14ac:dyDescent="0.3">
      <c r="A158" s="1" t="str">
        <f t="shared" si="18"/>
        <v>59822</v>
      </c>
      <c r="B158" s="1" t="s">
        <v>39</v>
      </c>
      <c r="C158" s="1" t="s">
        <v>40</v>
      </c>
      <c r="D158" s="1" t="str">
        <f t="shared" si="21"/>
        <v>9801</v>
      </c>
      <c r="E158" s="1" t="s">
        <v>25</v>
      </c>
      <c r="F158" s="1" t="str">
        <f>"1230232645"</f>
        <v>1230232645</v>
      </c>
      <c r="G158" s="1" t="s">
        <v>38</v>
      </c>
      <c r="H158" s="1" t="str">
        <f t="shared" si="19"/>
        <v>20220905</v>
      </c>
      <c r="I158" s="1" t="str">
        <f>"163848"</f>
        <v>163848</v>
      </c>
      <c r="J158" s="1" t="s">
        <v>27</v>
      </c>
      <c r="K158" s="1" t="s">
        <v>28</v>
      </c>
      <c r="L158" s="1" t="str">
        <f t="shared" si="20"/>
        <v>20220905</v>
      </c>
      <c r="M158" s="1" t="str">
        <f>"165532"</f>
        <v>165532</v>
      </c>
      <c r="N158" s="1" t="s">
        <v>91</v>
      </c>
      <c r="O158" s="1" t="s">
        <v>45</v>
      </c>
      <c r="P158" s="1" t="s">
        <v>55</v>
      </c>
      <c r="Q158" s="1">
        <v>25</v>
      </c>
      <c r="R158" s="1">
        <v>25</v>
      </c>
      <c r="S158" s="1">
        <v>0</v>
      </c>
      <c r="T158" s="1">
        <v>0</v>
      </c>
      <c r="U158" s="1">
        <v>0</v>
      </c>
      <c r="V158" s="1" t="str">
        <f t="shared" si="22"/>
        <v>里程去程</v>
      </c>
      <c r="W158" s="1" t="s">
        <v>35</v>
      </c>
    </row>
    <row r="159" spans="1:23" x14ac:dyDescent="0.3">
      <c r="A159" s="1" t="str">
        <f t="shared" si="18"/>
        <v>59822</v>
      </c>
      <c r="B159" s="1" t="s">
        <v>39</v>
      </c>
      <c r="C159" s="1" t="s">
        <v>40</v>
      </c>
      <c r="D159" s="1" t="str">
        <f t="shared" si="21"/>
        <v>9801</v>
      </c>
      <c r="E159" s="1" t="s">
        <v>25</v>
      </c>
      <c r="F159" s="1" t="str">
        <f>"1242005525"</f>
        <v>1242005525</v>
      </c>
      <c r="G159" s="1" t="s">
        <v>38</v>
      </c>
      <c r="H159" s="1" t="str">
        <f t="shared" si="19"/>
        <v>20220905</v>
      </c>
      <c r="I159" s="1" t="str">
        <f>"163851"</f>
        <v>163851</v>
      </c>
      <c r="J159" s="1" t="s">
        <v>27</v>
      </c>
      <c r="K159" s="1" t="s">
        <v>28</v>
      </c>
      <c r="L159" s="1" t="str">
        <f t="shared" si="20"/>
        <v>20220905</v>
      </c>
      <c r="M159" s="1" t="str">
        <f>"165528"</f>
        <v>165528</v>
      </c>
      <c r="N159" s="1" t="s">
        <v>91</v>
      </c>
      <c r="O159" s="1" t="s">
        <v>45</v>
      </c>
      <c r="P159" s="1" t="s">
        <v>55</v>
      </c>
      <c r="Q159" s="1">
        <v>25</v>
      </c>
      <c r="R159" s="1">
        <v>25</v>
      </c>
      <c r="S159" s="1">
        <v>0</v>
      </c>
      <c r="T159" s="1">
        <v>0</v>
      </c>
      <c r="U159" s="1">
        <v>0</v>
      </c>
      <c r="V159" s="1" t="str">
        <f t="shared" si="22"/>
        <v>里程去程</v>
      </c>
      <c r="W159" s="1" t="s">
        <v>35</v>
      </c>
    </row>
    <row r="160" spans="1:23" x14ac:dyDescent="0.3">
      <c r="A160" s="1" t="str">
        <f>"59828"</f>
        <v>59828</v>
      </c>
      <c r="B160" s="1" t="s">
        <v>23</v>
      </c>
      <c r="C160" s="1" t="s">
        <v>24</v>
      </c>
      <c r="D160" s="1" t="str">
        <f t="shared" si="21"/>
        <v>9801</v>
      </c>
      <c r="E160" s="1" t="s">
        <v>25</v>
      </c>
      <c r="F160" s="1" t="str">
        <f>"7227E702B0880400C834002000000015"</f>
        <v>7227E702B0880400C834002000000015</v>
      </c>
      <c r="G160" s="1" t="s">
        <v>74</v>
      </c>
      <c r="H160" s="1" t="str">
        <f t="shared" si="19"/>
        <v>20220905</v>
      </c>
      <c r="I160" s="1" t="str">
        <f>"075743"</f>
        <v>075743</v>
      </c>
      <c r="J160" s="1" t="s">
        <v>52</v>
      </c>
      <c r="K160" s="1" t="s">
        <v>52</v>
      </c>
      <c r="L160" s="1" t="str">
        <f t="shared" si="20"/>
        <v>20220905</v>
      </c>
      <c r="M160" s="1" t="str">
        <f>"081608"</f>
        <v>081608</v>
      </c>
      <c r="N160" s="1" t="s">
        <v>80</v>
      </c>
      <c r="O160" s="1" t="s">
        <v>52</v>
      </c>
      <c r="P160" s="1" t="s">
        <v>68</v>
      </c>
      <c r="Q160" s="1">
        <v>13</v>
      </c>
      <c r="R160" s="1">
        <v>0</v>
      </c>
      <c r="S160" s="1">
        <v>0</v>
      </c>
      <c r="T160" s="1">
        <v>13</v>
      </c>
      <c r="U160" s="1">
        <v>0</v>
      </c>
      <c r="V160" s="1" t="str">
        <f t="shared" si="22"/>
        <v>里程去程</v>
      </c>
      <c r="W160" s="1" t="s">
        <v>29</v>
      </c>
    </row>
    <row r="161" spans="1:23" x14ac:dyDescent="0.3">
      <c r="A161" s="1" t="str">
        <f>"59809"</f>
        <v>59809</v>
      </c>
      <c r="B161" s="1" t="s">
        <v>42</v>
      </c>
      <c r="C161" s="1" t="s">
        <v>43</v>
      </c>
      <c r="D161" s="1" t="str">
        <f t="shared" si="21"/>
        <v>9801</v>
      </c>
      <c r="E161" s="1" t="s">
        <v>25</v>
      </c>
      <c r="F161" s="1" t="str">
        <f>"147475633"</f>
        <v>147475633</v>
      </c>
      <c r="G161" s="1" t="s">
        <v>33</v>
      </c>
      <c r="H161" s="1" t="str">
        <f t="shared" ref="H161:H186" si="23">"20220906"</f>
        <v>20220906</v>
      </c>
      <c r="I161" s="1" t="str">
        <f>"080024"</f>
        <v>080024</v>
      </c>
      <c r="J161" s="1" t="s">
        <v>86</v>
      </c>
      <c r="K161" s="1" t="s">
        <v>52</v>
      </c>
      <c r="L161" s="1" t="str">
        <f t="shared" ref="L161:L186" si="24">"20220906"</f>
        <v>20220906</v>
      </c>
      <c r="M161" s="1" t="str">
        <f>"080838"</f>
        <v>080838</v>
      </c>
      <c r="N161" s="1" t="s">
        <v>60</v>
      </c>
      <c r="O161" s="1" t="s">
        <v>52</v>
      </c>
      <c r="P161" s="1" t="s">
        <v>55</v>
      </c>
      <c r="Q161" s="1">
        <v>25</v>
      </c>
      <c r="R161" s="1">
        <v>25</v>
      </c>
      <c r="S161" s="1">
        <v>0</v>
      </c>
      <c r="T161" s="1">
        <v>0</v>
      </c>
      <c r="U161" s="1">
        <v>0</v>
      </c>
      <c r="V161" s="1" t="str">
        <f t="shared" si="22"/>
        <v>里程去程</v>
      </c>
      <c r="W161" s="1" t="s">
        <v>35</v>
      </c>
    </row>
    <row r="162" spans="1:23" x14ac:dyDescent="0.3">
      <c r="A162" s="1" t="str">
        <f>"59809"</f>
        <v>59809</v>
      </c>
      <c r="B162" s="1" t="s">
        <v>42</v>
      </c>
      <c r="C162" s="1" t="s">
        <v>43</v>
      </c>
      <c r="D162" s="1" t="str">
        <f t="shared" si="21"/>
        <v>9801</v>
      </c>
      <c r="E162" s="1" t="s">
        <v>25</v>
      </c>
      <c r="F162" s="1" t="str">
        <f>"E219F2050C880400C838002000000015"</f>
        <v>E219F2050C880400C838002000000015</v>
      </c>
      <c r="G162" s="1" t="s">
        <v>26</v>
      </c>
      <c r="H162" s="1" t="str">
        <f t="shared" si="23"/>
        <v>20220906</v>
      </c>
      <c r="I162" s="1" t="str">
        <f>"080233"</f>
        <v>080233</v>
      </c>
      <c r="J162" s="1" t="s">
        <v>86</v>
      </c>
      <c r="K162" s="1" t="s">
        <v>52</v>
      </c>
      <c r="L162" s="1" t="str">
        <f t="shared" si="24"/>
        <v>20220906</v>
      </c>
      <c r="M162" s="1" t="str">
        <f>"080833"</f>
        <v>080833</v>
      </c>
      <c r="N162" s="1" t="s">
        <v>60</v>
      </c>
      <c r="O162" s="1" t="s">
        <v>52</v>
      </c>
      <c r="P162" s="1" t="s">
        <v>68</v>
      </c>
      <c r="Q162" s="1">
        <v>13</v>
      </c>
      <c r="R162" s="1">
        <v>0</v>
      </c>
      <c r="S162" s="1">
        <v>0</v>
      </c>
      <c r="T162" s="1">
        <v>13</v>
      </c>
      <c r="U162" s="1">
        <v>0</v>
      </c>
      <c r="V162" s="1" t="str">
        <f t="shared" si="22"/>
        <v>里程去程</v>
      </c>
      <c r="W162" s="1" t="s">
        <v>29</v>
      </c>
    </row>
    <row r="163" spans="1:23" x14ac:dyDescent="0.3">
      <c r="A163" s="1" t="str">
        <f>"59809"</f>
        <v>59809</v>
      </c>
      <c r="B163" s="1" t="s">
        <v>42</v>
      </c>
      <c r="C163" s="1" t="s">
        <v>43</v>
      </c>
      <c r="D163" s="1" t="str">
        <f t="shared" si="21"/>
        <v>9801</v>
      </c>
      <c r="E163" s="1" t="s">
        <v>25</v>
      </c>
      <c r="F163" s="1" t="str">
        <f>"025F1C0342880400C834002000000015"</f>
        <v>025F1C0342880400C834002000000015</v>
      </c>
      <c r="G163" s="1" t="s">
        <v>26</v>
      </c>
      <c r="H163" s="1" t="str">
        <f t="shared" si="23"/>
        <v>20220906</v>
      </c>
      <c r="I163" s="1" t="str">
        <f>"082212"</f>
        <v>082212</v>
      </c>
      <c r="J163" s="1" t="s">
        <v>69</v>
      </c>
      <c r="K163" s="1" t="s">
        <v>52</v>
      </c>
      <c r="L163" s="1" t="str">
        <f t="shared" si="24"/>
        <v>20220906</v>
      </c>
      <c r="M163" s="1" t="str">
        <f>"083419"</f>
        <v>083419</v>
      </c>
      <c r="N163" s="1" t="s">
        <v>70</v>
      </c>
      <c r="O163" s="1" t="s">
        <v>28</v>
      </c>
      <c r="P163" s="1" t="s">
        <v>68</v>
      </c>
      <c r="Q163" s="1">
        <v>13</v>
      </c>
      <c r="R163" s="1">
        <v>0</v>
      </c>
      <c r="S163" s="1">
        <v>0</v>
      </c>
      <c r="T163" s="1">
        <v>13</v>
      </c>
      <c r="U163" s="1">
        <v>0</v>
      </c>
      <c r="V163" s="1" t="str">
        <f t="shared" si="22"/>
        <v>里程去程</v>
      </c>
      <c r="W163" s="1" t="s">
        <v>29</v>
      </c>
    </row>
    <row r="164" spans="1:23" x14ac:dyDescent="0.3">
      <c r="A164" s="1" t="str">
        <f>"59809"</f>
        <v>59809</v>
      </c>
      <c r="B164" s="1" t="s">
        <v>42</v>
      </c>
      <c r="C164" s="1" t="s">
        <v>43</v>
      </c>
      <c r="D164" s="1" t="str">
        <f t="shared" si="21"/>
        <v>9801</v>
      </c>
      <c r="E164" s="1" t="s">
        <v>25</v>
      </c>
      <c r="F164" s="1" t="str">
        <f>"200114070"</f>
        <v>200114070</v>
      </c>
      <c r="G164" s="1" t="s">
        <v>33</v>
      </c>
      <c r="H164" s="1" t="str">
        <f t="shared" si="23"/>
        <v>20220906</v>
      </c>
      <c r="I164" s="1" t="str">
        <f>"092432"</f>
        <v>092432</v>
      </c>
      <c r="J164" s="1" t="s">
        <v>83</v>
      </c>
      <c r="K164" s="1" t="s">
        <v>52</v>
      </c>
      <c r="L164" s="1" t="str">
        <f t="shared" si="24"/>
        <v>20220906</v>
      </c>
      <c r="M164" s="1" t="str">
        <f>"094531"</f>
        <v>094531</v>
      </c>
      <c r="N164" s="1" t="s">
        <v>45</v>
      </c>
      <c r="O164" s="1" t="s">
        <v>45</v>
      </c>
      <c r="P164" s="1" t="s">
        <v>55</v>
      </c>
      <c r="Q164" s="1">
        <v>50</v>
      </c>
      <c r="R164" s="1">
        <v>50</v>
      </c>
      <c r="S164" s="1">
        <v>0</v>
      </c>
      <c r="T164" s="1">
        <v>0</v>
      </c>
      <c r="U164" s="1">
        <v>0</v>
      </c>
      <c r="V164" s="1" t="str">
        <f t="shared" si="22"/>
        <v>里程去程</v>
      </c>
      <c r="W164" s="1" t="s">
        <v>35</v>
      </c>
    </row>
    <row r="165" spans="1:23" x14ac:dyDescent="0.3">
      <c r="A165" s="1" t="str">
        <f>"59809"</f>
        <v>59809</v>
      </c>
      <c r="B165" s="1" t="s">
        <v>42</v>
      </c>
      <c r="C165" s="1" t="s">
        <v>43</v>
      </c>
      <c r="D165" s="1" t="str">
        <f t="shared" si="21"/>
        <v>9801</v>
      </c>
      <c r="E165" s="1" t="s">
        <v>25</v>
      </c>
      <c r="F165" s="1" t="str">
        <f>"32780D0344880400C834002000000015"</f>
        <v>32780D0344880400C834002000000015</v>
      </c>
      <c r="G165" s="1" t="s">
        <v>26</v>
      </c>
      <c r="H165" s="1" t="str">
        <f t="shared" si="23"/>
        <v>20220906</v>
      </c>
      <c r="I165" s="1" t="str">
        <f>"093705"</f>
        <v>093705</v>
      </c>
      <c r="J165" s="1" t="s">
        <v>27</v>
      </c>
      <c r="K165" s="1" t="s">
        <v>28</v>
      </c>
      <c r="L165" s="1" t="str">
        <f t="shared" si="24"/>
        <v>20220906</v>
      </c>
      <c r="M165" s="1" t="str">
        <f>"094747"</f>
        <v>094747</v>
      </c>
      <c r="N165" s="1" t="s">
        <v>61</v>
      </c>
      <c r="O165" s="1" t="s">
        <v>45</v>
      </c>
      <c r="P165" s="1" t="s">
        <v>68</v>
      </c>
      <c r="Q165" s="1">
        <v>13</v>
      </c>
      <c r="R165" s="1">
        <v>0</v>
      </c>
      <c r="S165" s="1">
        <v>0</v>
      </c>
      <c r="T165" s="1">
        <v>13</v>
      </c>
      <c r="U165" s="1">
        <v>0</v>
      </c>
      <c r="V165" s="1" t="str">
        <f t="shared" si="22"/>
        <v>里程去程</v>
      </c>
      <c r="W165" s="1" t="s">
        <v>29</v>
      </c>
    </row>
    <row r="166" spans="1:23" x14ac:dyDescent="0.3">
      <c r="A166" s="1" t="str">
        <f t="shared" ref="A166:A186" si="25">"59822"</f>
        <v>59822</v>
      </c>
      <c r="B166" s="1" t="s">
        <v>39</v>
      </c>
      <c r="C166" s="1" t="s">
        <v>40</v>
      </c>
      <c r="D166" s="1" t="str">
        <f t="shared" si="21"/>
        <v>9801</v>
      </c>
      <c r="E166" s="1" t="s">
        <v>25</v>
      </c>
      <c r="F166" s="1" t="str">
        <f>"82D5FB02AE880400C834002000000015"</f>
        <v>82D5FB02AE880400C834002000000015</v>
      </c>
      <c r="G166" s="1" t="s">
        <v>26</v>
      </c>
      <c r="H166" s="1" t="str">
        <f t="shared" si="23"/>
        <v>20220906</v>
      </c>
      <c r="I166" s="1" t="str">
        <f>"110949"</f>
        <v>110949</v>
      </c>
      <c r="J166" s="1" t="s">
        <v>51</v>
      </c>
      <c r="K166" s="1" t="s">
        <v>52</v>
      </c>
      <c r="L166" s="1" t="str">
        <f t="shared" si="24"/>
        <v>20220906</v>
      </c>
      <c r="M166" s="1" t="str">
        <f>"115853"</f>
        <v>115853</v>
      </c>
      <c r="N166" s="1" t="s">
        <v>44</v>
      </c>
      <c r="O166" s="1" t="s">
        <v>45</v>
      </c>
      <c r="P166" s="1" t="s">
        <v>68</v>
      </c>
      <c r="Q166" s="1">
        <v>25</v>
      </c>
      <c r="R166" s="1">
        <v>0</v>
      </c>
      <c r="S166" s="1">
        <v>0</v>
      </c>
      <c r="T166" s="1">
        <v>25</v>
      </c>
      <c r="U166" s="1">
        <v>0</v>
      </c>
      <c r="V166" s="1" t="str">
        <f t="shared" si="22"/>
        <v>里程去程</v>
      </c>
      <c r="W166" s="1" t="s">
        <v>29</v>
      </c>
    </row>
    <row r="167" spans="1:23" x14ac:dyDescent="0.3">
      <c r="A167" s="1" t="str">
        <f t="shared" si="25"/>
        <v>59822</v>
      </c>
      <c r="B167" s="1" t="s">
        <v>39</v>
      </c>
      <c r="C167" s="1" t="s">
        <v>40</v>
      </c>
      <c r="D167" s="1" t="str">
        <f t="shared" si="21"/>
        <v>9801</v>
      </c>
      <c r="E167" s="1" t="s">
        <v>25</v>
      </c>
      <c r="F167" s="1" t="str">
        <f>"1091123761"</f>
        <v>1091123761</v>
      </c>
      <c r="G167" s="1" t="s">
        <v>33</v>
      </c>
      <c r="H167" s="1" t="str">
        <f t="shared" si="23"/>
        <v>20220906</v>
      </c>
      <c r="I167" s="1" t="str">
        <f>"113526"</f>
        <v>113526</v>
      </c>
      <c r="J167" s="1" t="s">
        <v>27</v>
      </c>
      <c r="K167" s="1" t="s">
        <v>28</v>
      </c>
      <c r="L167" s="1" t="str">
        <f t="shared" si="24"/>
        <v>20220906</v>
      </c>
      <c r="M167" s="1" t="str">
        <f>"114816"</f>
        <v>114816</v>
      </c>
      <c r="N167" s="1" t="s">
        <v>56</v>
      </c>
      <c r="O167" s="1" t="s">
        <v>45</v>
      </c>
      <c r="P167" s="1" t="s">
        <v>55</v>
      </c>
      <c r="Q167" s="1">
        <v>25</v>
      </c>
      <c r="R167" s="1">
        <v>25</v>
      </c>
      <c r="S167" s="1">
        <v>0</v>
      </c>
      <c r="T167" s="1">
        <v>0</v>
      </c>
      <c r="U167" s="1">
        <v>0</v>
      </c>
      <c r="V167" s="1" t="str">
        <f t="shared" si="22"/>
        <v>里程去程</v>
      </c>
      <c r="W167" s="1" t="s">
        <v>35</v>
      </c>
    </row>
    <row r="168" spans="1:23" x14ac:dyDescent="0.3">
      <c r="A168" s="1" t="str">
        <f t="shared" si="25"/>
        <v>59822</v>
      </c>
      <c r="B168" s="1" t="s">
        <v>39</v>
      </c>
      <c r="C168" s="1" t="s">
        <v>40</v>
      </c>
      <c r="D168" s="1" t="str">
        <f t="shared" si="21"/>
        <v>9801</v>
      </c>
      <c r="E168" s="1" t="s">
        <v>25</v>
      </c>
      <c r="F168" s="1" t="str">
        <f>"191600321"</f>
        <v>191600321</v>
      </c>
      <c r="G168" s="1" t="s">
        <v>74</v>
      </c>
      <c r="H168" s="1" t="str">
        <f t="shared" si="23"/>
        <v>20220906</v>
      </c>
      <c r="I168" s="1" t="str">
        <f>"113621"</f>
        <v>113621</v>
      </c>
      <c r="J168" s="1" t="s">
        <v>27</v>
      </c>
      <c r="K168" s="1" t="s">
        <v>28</v>
      </c>
      <c r="L168" s="1" t="str">
        <f t="shared" si="24"/>
        <v>20220906</v>
      </c>
      <c r="M168" s="1" t="str">
        <f>"115548"</f>
        <v>115548</v>
      </c>
      <c r="N168" s="1" t="s">
        <v>44</v>
      </c>
      <c r="O168" s="1" t="s">
        <v>45</v>
      </c>
      <c r="P168" s="1" t="s">
        <v>55</v>
      </c>
      <c r="Q168" s="1">
        <v>13</v>
      </c>
      <c r="R168" s="1">
        <v>13</v>
      </c>
      <c r="S168" s="1">
        <v>0</v>
      </c>
      <c r="T168" s="1">
        <v>0</v>
      </c>
      <c r="U168" s="1">
        <v>0</v>
      </c>
      <c r="V168" s="1" t="str">
        <f t="shared" si="22"/>
        <v>里程去程</v>
      </c>
      <c r="W168" s="1" t="s">
        <v>35</v>
      </c>
    </row>
    <row r="169" spans="1:23" x14ac:dyDescent="0.3">
      <c r="A169" s="1" t="str">
        <f t="shared" si="25"/>
        <v>59822</v>
      </c>
      <c r="B169" s="1" t="s">
        <v>39</v>
      </c>
      <c r="C169" s="1" t="s">
        <v>40</v>
      </c>
      <c r="D169" s="1" t="str">
        <f t="shared" si="21"/>
        <v>9801</v>
      </c>
      <c r="E169" s="1" t="s">
        <v>25</v>
      </c>
      <c r="F169" s="1" t="str">
        <f>"82D5FB02AE880400C834002000000015"</f>
        <v>82D5FB02AE880400C834002000000015</v>
      </c>
      <c r="G169" s="1" t="s">
        <v>26</v>
      </c>
      <c r="H169" s="1" t="str">
        <f t="shared" si="23"/>
        <v>20220906</v>
      </c>
      <c r="I169" s="1" t="str">
        <f>"115917"</f>
        <v>115917</v>
      </c>
      <c r="J169" s="1" t="s">
        <v>52</v>
      </c>
      <c r="K169" s="1" t="s">
        <v>52</v>
      </c>
      <c r="L169" s="1" t="str">
        <f t="shared" si="24"/>
        <v>20220906</v>
      </c>
      <c r="M169" s="1" t="str">
        <f>"120451"</f>
        <v>120451</v>
      </c>
      <c r="N169" s="1" t="s">
        <v>86</v>
      </c>
      <c r="O169" s="1" t="s">
        <v>52</v>
      </c>
      <c r="P169" s="1" t="s">
        <v>68</v>
      </c>
      <c r="Q169" s="1">
        <v>13</v>
      </c>
      <c r="R169" s="1">
        <v>0</v>
      </c>
      <c r="S169" s="1">
        <v>0</v>
      </c>
      <c r="T169" s="1">
        <v>13</v>
      </c>
      <c r="U169" s="1">
        <v>0</v>
      </c>
      <c r="V169" s="1" t="str">
        <f t="shared" si="22"/>
        <v>里程去程</v>
      </c>
      <c r="W169" s="1" t="s">
        <v>29</v>
      </c>
    </row>
    <row r="170" spans="1:23" x14ac:dyDescent="0.3">
      <c r="A170" s="1" t="str">
        <f t="shared" si="25"/>
        <v>59822</v>
      </c>
      <c r="B170" s="1" t="s">
        <v>39</v>
      </c>
      <c r="C170" s="1" t="s">
        <v>40</v>
      </c>
      <c r="D170" s="1" t="str">
        <f t="shared" si="21"/>
        <v>9801</v>
      </c>
      <c r="E170" s="1" t="s">
        <v>25</v>
      </c>
      <c r="F170" s="1" t="str">
        <f>"F25B1B03B1880400C834002000000015"</f>
        <v>F25B1B03B1880400C834002000000015</v>
      </c>
      <c r="G170" s="1" t="s">
        <v>26</v>
      </c>
      <c r="H170" s="1" t="str">
        <f t="shared" si="23"/>
        <v>20220906</v>
      </c>
      <c r="I170" s="1" t="str">
        <f>"130739"</f>
        <v>130739</v>
      </c>
      <c r="J170" s="1" t="s">
        <v>60</v>
      </c>
      <c r="K170" s="1" t="s">
        <v>52</v>
      </c>
      <c r="L170" s="1" t="str">
        <f t="shared" si="24"/>
        <v>20220906</v>
      </c>
      <c r="M170" s="1" t="str">
        <f>"133138"</f>
        <v>133138</v>
      </c>
      <c r="N170" s="1" t="s">
        <v>70</v>
      </c>
      <c r="O170" s="1" t="s">
        <v>28</v>
      </c>
      <c r="P170" s="1" t="s">
        <v>68</v>
      </c>
      <c r="Q170" s="1">
        <v>13</v>
      </c>
      <c r="R170" s="1">
        <v>0</v>
      </c>
      <c r="S170" s="1">
        <v>0</v>
      </c>
      <c r="T170" s="1">
        <v>13</v>
      </c>
      <c r="U170" s="1">
        <v>0</v>
      </c>
      <c r="V170" s="1" t="str">
        <f t="shared" si="22"/>
        <v>里程去程</v>
      </c>
      <c r="W170" s="1" t="s">
        <v>29</v>
      </c>
    </row>
    <row r="171" spans="1:23" x14ac:dyDescent="0.3">
      <c r="A171" s="1" t="str">
        <f t="shared" si="25"/>
        <v>59822</v>
      </c>
      <c r="B171" s="1" t="s">
        <v>39</v>
      </c>
      <c r="C171" s="1" t="s">
        <v>40</v>
      </c>
      <c r="D171" s="1" t="str">
        <f t="shared" si="21"/>
        <v>9801</v>
      </c>
      <c r="E171" s="1" t="s">
        <v>25</v>
      </c>
      <c r="F171" s="1" t="str">
        <f>"4253493414"</f>
        <v>4253493414</v>
      </c>
      <c r="G171" s="1" t="s">
        <v>33</v>
      </c>
      <c r="H171" s="1" t="str">
        <f t="shared" si="23"/>
        <v>20220906</v>
      </c>
      <c r="I171" s="1" t="str">
        <f>"133149"</f>
        <v>133149</v>
      </c>
      <c r="J171" s="1" t="s">
        <v>27</v>
      </c>
      <c r="K171" s="1" t="s">
        <v>28</v>
      </c>
      <c r="L171" s="1" t="str">
        <f t="shared" si="24"/>
        <v>20220906</v>
      </c>
      <c r="M171" s="1" t="str">
        <f>"135107"</f>
        <v>135107</v>
      </c>
      <c r="N171" s="1" t="s">
        <v>91</v>
      </c>
      <c r="O171" s="1" t="s">
        <v>45</v>
      </c>
      <c r="P171" s="1" t="s">
        <v>55</v>
      </c>
      <c r="Q171" s="1">
        <v>25</v>
      </c>
      <c r="R171" s="1">
        <v>0</v>
      </c>
      <c r="S171" s="1">
        <v>25</v>
      </c>
      <c r="T171" s="1">
        <v>0</v>
      </c>
      <c r="U171" s="1">
        <v>0</v>
      </c>
      <c r="V171" s="1" t="str">
        <f t="shared" si="22"/>
        <v>里程去程</v>
      </c>
      <c r="W171" s="1" t="s">
        <v>35</v>
      </c>
    </row>
    <row r="172" spans="1:23" x14ac:dyDescent="0.3">
      <c r="A172" s="1" t="str">
        <f t="shared" si="25"/>
        <v>59822</v>
      </c>
      <c r="B172" s="1" t="s">
        <v>39</v>
      </c>
      <c r="C172" s="1" t="s">
        <v>40</v>
      </c>
      <c r="D172" s="1" t="str">
        <f t="shared" si="21"/>
        <v>9801</v>
      </c>
      <c r="E172" s="1" t="s">
        <v>25</v>
      </c>
      <c r="F172" s="1" t="str">
        <f>"3491072727"</f>
        <v>3491072727</v>
      </c>
      <c r="G172" s="1" t="s">
        <v>33</v>
      </c>
      <c r="H172" s="1" t="str">
        <f t="shared" si="23"/>
        <v>20220906</v>
      </c>
      <c r="I172" s="1" t="str">
        <f>"133153"</f>
        <v>133153</v>
      </c>
      <c r="J172" s="1" t="s">
        <v>27</v>
      </c>
      <c r="K172" s="1" t="s">
        <v>28</v>
      </c>
      <c r="L172" s="1" t="str">
        <f t="shared" si="24"/>
        <v>20220906</v>
      </c>
      <c r="M172" s="1" t="str">
        <f>"134813"</f>
        <v>134813</v>
      </c>
      <c r="N172" s="1" t="s">
        <v>75</v>
      </c>
      <c r="O172" s="1" t="s">
        <v>45</v>
      </c>
      <c r="P172" s="1" t="s">
        <v>55</v>
      </c>
      <c r="Q172" s="1">
        <v>25</v>
      </c>
      <c r="R172" s="1">
        <v>25</v>
      </c>
      <c r="S172" s="1">
        <v>0</v>
      </c>
      <c r="T172" s="1">
        <v>0</v>
      </c>
      <c r="U172" s="1">
        <v>0</v>
      </c>
      <c r="V172" s="1" t="str">
        <f t="shared" si="22"/>
        <v>里程去程</v>
      </c>
      <c r="W172" s="1" t="s">
        <v>35</v>
      </c>
    </row>
    <row r="173" spans="1:23" x14ac:dyDescent="0.3">
      <c r="A173" s="1" t="str">
        <f t="shared" si="25"/>
        <v>59822</v>
      </c>
      <c r="B173" s="1" t="s">
        <v>39</v>
      </c>
      <c r="C173" s="1" t="s">
        <v>40</v>
      </c>
      <c r="D173" s="1" t="str">
        <f t="shared" si="21"/>
        <v>9801</v>
      </c>
      <c r="E173" s="1" t="s">
        <v>25</v>
      </c>
      <c r="F173" s="1" t="str">
        <f>"1861249281"</f>
        <v>1861249281</v>
      </c>
      <c r="G173" s="1" t="s">
        <v>33</v>
      </c>
      <c r="H173" s="1" t="str">
        <f t="shared" si="23"/>
        <v>20220906</v>
      </c>
      <c r="I173" s="1" t="str">
        <f>"133156"</f>
        <v>133156</v>
      </c>
      <c r="J173" s="1" t="s">
        <v>27</v>
      </c>
      <c r="K173" s="1" t="s">
        <v>28</v>
      </c>
      <c r="L173" s="1" t="str">
        <f t="shared" si="24"/>
        <v>20220906</v>
      </c>
      <c r="M173" s="1" t="str">
        <f>"134811"</f>
        <v>134811</v>
      </c>
      <c r="N173" s="1" t="s">
        <v>75</v>
      </c>
      <c r="O173" s="1" t="s">
        <v>45</v>
      </c>
      <c r="P173" s="1" t="s">
        <v>55</v>
      </c>
      <c r="Q173" s="1">
        <v>25</v>
      </c>
      <c r="R173" s="1">
        <v>25</v>
      </c>
      <c r="S173" s="1">
        <v>0</v>
      </c>
      <c r="T173" s="1">
        <v>0</v>
      </c>
      <c r="U173" s="1">
        <v>0</v>
      </c>
      <c r="V173" s="1" t="str">
        <f t="shared" si="22"/>
        <v>里程去程</v>
      </c>
      <c r="W173" s="1" t="s">
        <v>35</v>
      </c>
    </row>
    <row r="174" spans="1:23" x14ac:dyDescent="0.3">
      <c r="A174" s="1" t="str">
        <f t="shared" si="25"/>
        <v>59822</v>
      </c>
      <c r="B174" s="1" t="s">
        <v>39</v>
      </c>
      <c r="C174" s="1" t="s">
        <v>40</v>
      </c>
      <c r="D174" s="1" t="str">
        <f t="shared" si="21"/>
        <v>9801</v>
      </c>
      <c r="E174" s="1" t="s">
        <v>25</v>
      </c>
      <c r="F174" s="1" t="str">
        <f>"9232BD021F880400C834002000000015"</f>
        <v>9232BD021F880400C834002000000015</v>
      </c>
      <c r="G174" s="1" t="s">
        <v>26</v>
      </c>
      <c r="H174" s="1" t="str">
        <f t="shared" si="23"/>
        <v>20220906</v>
      </c>
      <c r="I174" s="1" t="str">
        <f>"135316"</f>
        <v>135316</v>
      </c>
      <c r="J174" s="1" t="s">
        <v>100</v>
      </c>
      <c r="K174" s="1" t="s">
        <v>45</v>
      </c>
      <c r="L174" s="1" t="str">
        <f t="shared" si="24"/>
        <v>20220906</v>
      </c>
      <c r="M174" s="1" t="str">
        <f>"135558"</f>
        <v>135558</v>
      </c>
      <c r="N174" s="1" t="s">
        <v>44</v>
      </c>
      <c r="O174" s="1" t="s">
        <v>45</v>
      </c>
      <c r="P174" s="1" t="s">
        <v>68</v>
      </c>
      <c r="Q174" s="1">
        <v>13</v>
      </c>
      <c r="R174" s="1">
        <v>0</v>
      </c>
      <c r="S174" s="1">
        <v>0</v>
      </c>
      <c r="T174" s="1">
        <v>13</v>
      </c>
      <c r="U174" s="1">
        <v>0</v>
      </c>
      <c r="V174" s="1" t="str">
        <f t="shared" si="22"/>
        <v>里程去程</v>
      </c>
      <c r="W174" s="1" t="s">
        <v>29</v>
      </c>
    </row>
    <row r="175" spans="1:23" x14ac:dyDescent="0.3">
      <c r="A175" s="1" t="str">
        <f t="shared" si="25"/>
        <v>59822</v>
      </c>
      <c r="B175" s="1" t="s">
        <v>39</v>
      </c>
      <c r="C175" s="1" t="s">
        <v>40</v>
      </c>
      <c r="D175" s="1" t="str">
        <f t="shared" si="21"/>
        <v>9801</v>
      </c>
      <c r="E175" s="1" t="s">
        <v>25</v>
      </c>
      <c r="F175" s="1" t="str">
        <f>"F27CE6026A880400C834002000000015"</f>
        <v>F27CE6026A880400C834002000000015</v>
      </c>
      <c r="G175" s="1" t="s">
        <v>74</v>
      </c>
      <c r="H175" s="1" t="str">
        <f t="shared" si="23"/>
        <v>20220906</v>
      </c>
      <c r="I175" s="1" t="str">
        <f>"150058"</f>
        <v>150058</v>
      </c>
      <c r="J175" s="1" t="s">
        <v>52</v>
      </c>
      <c r="K175" s="1" t="s">
        <v>52</v>
      </c>
      <c r="L175" s="1" t="str">
        <f t="shared" si="24"/>
        <v>20220906</v>
      </c>
      <c r="M175" s="1" t="str">
        <f>"150814"</f>
        <v>150814</v>
      </c>
      <c r="N175" s="1" t="s">
        <v>60</v>
      </c>
      <c r="O175" s="1" t="s">
        <v>52</v>
      </c>
      <c r="P175" s="1" t="s">
        <v>68</v>
      </c>
      <c r="Q175" s="1">
        <v>13</v>
      </c>
      <c r="R175" s="1">
        <v>0</v>
      </c>
      <c r="S175" s="1">
        <v>0</v>
      </c>
      <c r="T175" s="1">
        <v>13</v>
      </c>
      <c r="U175" s="1">
        <v>0</v>
      </c>
      <c r="V175" s="1" t="str">
        <f t="shared" si="22"/>
        <v>里程去程</v>
      </c>
      <c r="W175" s="1" t="s">
        <v>29</v>
      </c>
    </row>
    <row r="176" spans="1:23" x14ac:dyDescent="0.3">
      <c r="A176" s="1" t="str">
        <f t="shared" si="25"/>
        <v>59822</v>
      </c>
      <c r="B176" s="1" t="s">
        <v>39</v>
      </c>
      <c r="C176" s="1" t="s">
        <v>40</v>
      </c>
      <c r="D176" s="1" t="str">
        <f t="shared" si="21"/>
        <v>9801</v>
      </c>
      <c r="E176" s="1" t="s">
        <v>25</v>
      </c>
      <c r="F176" s="1" t="str">
        <f>"C2F219032A880400C834002000000015"</f>
        <v>C2F219032A880400C834002000000015</v>
      </c>
      <c r="G176" s="1" t="s">
        <v>26</v>
      </c>
      <c r="H176" s="1" t="str">
        <f t="shared" si="23"/>
        <v>20220906</v>
      </c>
      <c r="I176" s="1" t="str">
        <f>"150615"</f>
        <v>150615</v>
      </c>
      <c r="J176" s="1" t="s">
        <v>86</v>
      </c>
      <c r="K176" s="1" t="s">
        <v>52</v>
      </c>
      <c r="L176" s="1" t="str">
        <f t="shared" si="24"/>
        <v>20220906</v>
      </c>
      <c r="M176" s="1" t="str">
        <f>"151007"</f>
        <v>151007</v>
      </c>
      <c r="N176" s="1" t="s">
        <v>51</v>
      </c>
      <c r="O176" s="1" t="s">
        <v>52</v>
      </c>
      <c r="P176" s="1" t="s">
        <v>68</v>
      </c>
      <c r="Q176" s="1">
        <v>13</v>
      </c>
      <c r="R176" s="1">
        <v>0</v>
      </c>
      <c r="S176" s="1">
        <v>0</v>
      </c>
      <c r="T176" s="1">
        <v>13</v>
      </c>
      <c r="U176" s="1">
        <v>0</v>
      </c>
      <c r="V176" s="1" t="str">
        <f t="shared" si="22"/>
        <v>里程去程</v>
      </c>
      <c r="W176" s="1" t="s">
        <v>29</v>
      </c>
    </row>
    <row r="177" spans="1:23" x14ac:dyDescent="0.3">
      <c r="A177" s="1" t="str">
        <f t="shared" si="25"/>
        <v>59822</v>
      </c>
      <c r="B177" s="1" t="s">
        <v>39</v>
      </c>
      <c r="C177" s="1" t="s">
        <v>40</v>
      </c>
      <c r="D177" s="1" t="str">
        <f t="shared" si="21"/>
        <v>9801</v>
      </c>
      <c r="E177" s="1" t="s">
        <v>25</v>
      </c>
      <c r="F177" s="1" t="str">
        <f>"F2C64D0E77880400C806002000000018"</f>
        <v>F2C64D0E77880400C806002000000018</v>
      </c>
      <c r="G177" s="1" t="s">
        <v>58</v>
      </c>
      <c r="H177" s="1" t="str">
        <f t="shared" si="23"/>
        <v>20220906</v>
      </c>
      <c r="I177" s="1" t="str">
        <f>"150846"</f>
        <v>150846</v>
      </c>
      <c r="J177" s="1" t="s">
        <v>60</v>
      </c>
      <c r="K177" s="1" t="s">
        <v>52</v>
      </c>
      <c r="L177" s="1" t="str">
        <f t="shared" si="24"/>
        <v>20220906</v>
      </c>
      <c r="M177" s="1" t="str">
        <f>"151612"</f>
        <v>151612</v>
      </c>
      <c r="N177" s="1" t="s">
        <v>80</v>
      </c>
      <c r="O177" s="1" t="s">
        <v>52</v>
      </c>
      <c r="P177" s="1" t="s">
        <v>55</v>
      </c>
      <c r="Q177" s="1">
        <v>25</v>
      </c>
      <c r="R177" s="1">
        <v>25</v>
      </c>
      <c r="S177" s="1">
        <v>0</v>
      </c>
      <c r="T177" s="1">
        <v>0</v>
      </c>
      <c r="U177" s="1">
        <v>0</v>
      </c>
      <c r="V177" s="1" t="str">
        <f t="shared" si="22"/>
        <v>里程去程</v>
      </c>
      <c r="W177" s="1" t="s">
        <v>29</v>
      </c>
    </row>
    <row r="178" spans="1:23" x14ac:dyDescent="0.3">
      <c r="A178" s="1" t="str">
        <f t="shared" si="25"/>
        <v>59822</v>
      </c>
      <c r="B178" s="1" t="s">
        <v>39</v>
      </c>
      <c r="C178" s="1" t="s">
        <v>40</v>
      </c>
      <c r="D178" s="1" t="str">
        <f t="shared" si="21"/>
        <v>9801</v>
      </c>
      <c r="E178" s="1" t="s">
        <v>25</v>
      </c>
      <c r="F178" s="1" t="str">
        <f>"640199791"</f>
        <v>640199791</v>
      </c>
      <c r="G178" s="1" t="s">
        <v>33</v>
      </c>
      <c r="H178" s="1" t="str">
        <f t="shared" si="23"/>
        <v>20220906</v>
      </c>
      <c r="I178" s="1" t="str">
        <f>"153426"</f>
        <v>153426</v>
      </c>
      <c r="J178" s="1" t="s">
        <v>27</v>
      </c>
      <c r="K178" s="1" t="s">
        <v>28</v>
      </c>
      <c r="L178" s="1" t="str">
        <f t="shared" si="24"/>
        <v>20220906</v>
      </c>
      <c r="M178" s="1" t="str">
        <f>"155255"</f>
        <v>155255</v>
      </c>
      <c r="N178" s="1" t="s">
        <v>100</v>
      </c>
      <c r="O178" s="1" t="s">
        <v>45</v>
      </c>
      <c r="P178" s="1" t="s">
        <v>55</v>
      </c>
      <c r="Q178" s="1">
        <v>25</v>
      </c>
      <c r="R178" s="1">
        <v>25</v>
      </c>
      <c r="S178" s="1">
        <v>0</v>
      </c>
      <c r="T178" s="1">
        <v>0</v>
      </c>
      <c r="U178" s="1">
        <v>0</v>
      </c>
      <c r="V178" s="1" t="str">
        <f t="shared" si="22"/>
        <v>里程去程</v>
      </c>
      <c r="W178" s="1" t="s">
        <v>35</v>
      </c>
    </row>
    <row r="179" spans="1:23" x14ac:dyDescent="0.3">
      <c r="A179" s="1" t="str">
        <f t="shared" si="25"/>
        <v>59822</v>
      </c>
      <c r="B179" s="1" t="s">
        <v>39</v>
      </c>
      <c r="C179" s="1" t="s">
        <v>40</v>
      </c>
      <c r="D179" s="1" t="str">
        <f t="shared" si="21"/>
        <v>9801</v>
      </c>
      <c r="E179" s="1" t="s">
        <v>25</v>
      </c>
      <c r="F179" s="1" t="str">
        <f>"42B9D00229880400C834002000000015"</f>
        <v>42B9D00229880400C834002000000015</v>
      </c>
      <c r="G179" s="1" t="s">
        <v>74</v>
      </c>
      <c r="H179" s="1" t="str">
        <f t="shared" si="23"/>
        <v>20220906</v>
      </c>
      <c r="I179" s="1" t="str">
        <f>"155639"</f>
        <v>155639</v>
      </c>
      <c r="J179" s="1" t="s">
        <v>52</v>
      </c>
      <c r="K179" s="1" t="s">
        <v>52</v>
      </c>
      <c r="L179" s="1" t="str">
        <f t="shared" si="24"/>
        <v>20220906</v>
      </c>
      <c r="M179" s="1" t="str">
        <f>"164812"</f>
        <v>164812</v>
      </c>
      <c r="N179" s="1" t="s">
        <v>70</v>
      </c>
      <c r="O179" s="1" t="s">
        <v>28</v>
      </c>
      <c r="P179" s="1" t="s">
        <v>68</v>
      </c>
      <c r="Q179" s="1">
        <v>13</v>
      </c>
      <c r="R179" s="1">
        <v>0</v>
      </c>
      <c r="S179" s="1">
        <v>0</v>
      </c>
      <c r="T179" s="1">
        <v>13</v>
      </c>
      <c r="U179" s="1">
        <v>0</v>
      </c>
      <c r="V179" s="1" t="str">
        <f t="shared" si="22"/>
        <v>里程去程</v>
      </c>
      <c r="W179" s="1" t="s">
        <v>29</v>
      </c>
    </row>
    <row r="180" spans="1:23" x14ac:dyDescent="0.3">
      <c r="A180" s="1" t="str">
        <f t="shared" si="25"/>
        <v>59822</v>
      </c>
      <c r="B180" s="1" t="s">
        <v>39</v>
      </c>
      <c r="C180" s="1" t="s">
        <v>40</v>
      </c>
      <c r="D180" s="1" t="str">
        <f t="shared" si="21"/>
        <v>9801</v>
      </c>
      <c r="E180" s="1" t="s">
        <v>25</v>
      </c>
      <c r="F180" s="1" t="str">
        <f>"997462661"</f>
        <v>997462661</v>
      </c>
      <c r="G180" s="1" t="s">
        <v>26</v>
      </c>
      <c r="H180" s="1" t="str">
        <f t="shared" si="23"/>
        <v>20220906</v>
      </c>
      <c r="I180" s="1" t="str">
        <f>"163920"</f>
        <v>163920</v>
      </c>
      <c r="J180" s="1" t="s">
        <v>27</v>
      </c>
      <c r="K180" s="1" t="s">
        <v>28</v>
      </c>
      <c r="L180" s="1" t="str">
        <f t="shared" si="24"/>
        <v>20220906</v>
      </c>
      <c r="M180" s="1" t="str">
        <f>"165306"</f>
        <v>165306</v>
      </c>
      <c r="N180" s="1" t="s">
        <v>45</v>
      </c>
      <c r="O180" s="1" t="s">
        <v>45</v>
      </c>
      <c r="P180" s="1" t="s">
        <v>55</v>
      </c>
      <c r="Q180" s="1">
        <v>13</v>
      </c>
      <c r="R180" s="1">
        <v>13</v>
      </c>
      <c r="S180" s="1">
        <v>0</v>
      </c>
      <c r="T180" s="1">
        <v>0</v>
      </c>
      <c r="U180" s="1">
        <v>0</v>
      </c>
      <c r="V180" s="1" t="str">
        <f t="shared" si="22"/>
        <v>里程去程</v>
      </c>
      <c r="W180" s="1" t="s">
        <v>35</v>
      </c>
    </row>
    <row r="181" spans="1:23" x14ac:dyDescent="0.3">
      <c r="A181" s="1" t="str">
        <f t="shared" si="25"/>
        <v>59822</v>
      </c>
      <c r="B181" s="1" t="s">
        <v>39</v>
      </c>
      <c r="C181" s="1" t="s">
        <v>40</v>
      </c>
      <c r="D181" s="1" t="str">
        <f t="shared" si="21"/>
        <v>9801</v>
      </c>
      <c r="E181" s="1" t="s">
        <v>25</v>
      </c>
      <c r="F181" s="1" t="str">
        <f>"1611623912"</f>
        <v>1611623912</v>
      </c>
      <c r="G181" s="1" t="s">
        <v>26</v>
      </c>
      <c r="H181" s="1" t="str">
        <f t="shared" si="23"/>
        <v>20220906</v>
      </c>
      <c r="I181" s="1" t="str">
        <f>"163924"</f>
        <v>163924</v>
      </c>
      <c r="J181" s="1" t="s">
        <v>27</v>
      </c>
      <c r="K181" s="1" t="s">
        <v>28</v>
      </c>
      <c r="L181" s="1" t="str">
        <f t="shared" si="24"/>
        <v>20220906</v>
      </c>
      <c r="M181" s="1" t="str">
        <f>"165310"</f>
        <v>165310</v>
      </c>
      <c r="N181" s="1" t="s">
        <v>45</v>
      </c>
      <c r="O181" s="1" t="s">
        <v>45</v>
      </c>
      <c r="P181" s="1" t="s">
        <v>55</v>
      </c>
      <c r="Q181" s="1">
        <v>13</v>
      </c>
      <c r="R181" s="1">
        <v>13</v>
      </c>
      <c r="S181" s="1">
        <v>0</v>
      </c>
      <c r="T181" s="1">
        <v>0</v>
      </c>
      <c r="U181" s="1">
        <v>0</v>
      </c>
      <c r="V181" s="1" t="str">
        <f t="shared" si="22"/>
        <v>里程去程</v>
      </c>
      <c r="W181" s="1" t="s">
        <v>35</v>
      </c>
    </row>
    <row r="182" spans="1:23" x14ac:dyDescent="0.3">
      <c r="A182" s="1" t="str">
        <f t="shared" si="25"/>
        <v>59822</v>
      </c>
      <c r="B182" s="1" t="s">
        <v>39</v>
      </c>
      <c r="C182" s="1" t="s">
        <v>40</v>
      </c>
      <c r="D182" s="1" t="str">
        <f t="shared" si="21"/>
        <v>9801</v>
      </c>
      <c r="E182" s="1" t="s">
        <v>25</v>
      </c>
      <c r="F182" s="1" t="str">
        <f>"162137713"</f>
        <v>162137713</v>
      </c>
      <c r="G182" s="1" t="s">
        <v>33</v>
      </c>
      <c r="H182" s="1" t="str">
        <f t="shared" si="23"/>
        <v>20220906</v>
      </c>
      <c r="I182" s="1" t="str">
        <f>"163927"</f>
        <v>163927</v>
      </c>
      <c r="J182" s="1" t="s">
        <v>27</v>
      </c>
      <c r="K182" s="1" t="s">
        <v>28</v>
      </c>
      <c r="L182" s="1" t="str">
        <f t="shared" si="24"/>
        <v>20220906</v>
      </c>
      <c r="M182" s="1" t="str">
        <f>"170521"</f>
        <v>170521</v>
      </c>
      <c r="N182" s="1" t="s">
        <v>44</v>
      </c>
      <c r="O182" s="1" t="s">
        <v>45</v>
      </c>
      <c r="P182" s="1" t="s">
        <v>55</v>
      </c>
      <c r="Q182" s="1">
        <v>25</v>
      </c>
      <c r="R182" s="1">
        <v>0</v>
      </c>
      <c r="S182" s="1">
        <v>25</v>
      </c>
      <c r="T182" s="1">
        <v>0</v>
      </c>
      <c r="U182" s="1">
        <v>0</v>
      </c>
      <c r="V182" s="1" t="str">
        <f t="shared" si="22"/>
        <v>里程去程</v>
      </c>
      <c r="W182" s="1" t="s">
        <v>35</v>
      </c>
    </row>
    <row r="183" spans="1:23" x14ac:dyDescent="0.3">
      <c r="A183" s="1" t="str">
        <f t="shared" si="25"/>
        <v>59822</v>
      </c>
      <c r="B183" s="1" t="s">
        <v>39</v>
      </c>
      <c r="C183" s="1" t="s">
        <v>40</v>
      </c>
      <c r="D183" s="1" t="str">
        <f t="shared" si="21"/>
        <v>9801</v>
      </c>
      <c r="E183" s="1" t="s">
        <v>25</v>
      </c>
      <c r="F183" s="1" t="str">
        <f>"1406568129"</f>
        <v>1406568129</v>
      </c>
      <c r="G183" s="1" t="s">
        <v>26</v>
      </c>
      <c r="H183" s="1" t="str">
        <f t="shared" si="23"/>
        <v>20220906</v>
      </c>
      <c r="I183" s="1" t="str">
        <f>"163932"</f>
        <v>163932</v>
      </c>
      <c r="J183" s="1" t="s">
        <v>27</v>
      </c>
      <c r="K183" s="1" t="s">
        <v>28</v>
      </c>
      <c r="L183" s="1" t="str">
        <f t="shared" si="24"/>
        <v>20220906</v>
      </c>
      <c r="M183" s="1" t="str">
        <f>"170138"</f>
        <v>170138</v>
      </c>
      <c r="N183" s="1" t="s">
        <v>44</v>
      </c>
      <c r="O183" s="1" t="s">
        <v>45</v>
      </c>
      <c r="P183" s="1" t="s">
        <v>55</v>
      </c>
      <c r="Q183" s="1">
        <v>13</v>
      </c>
      <c r="R183" s="1">
        <v>13</v>
      </c>
      <c r="S183" s="1">
        <v>0</v>
      </c>
      <c r="T183" s="1">
        <v>0</v>
      </c>
      <c r="U183" s="1">
        <v>0</v>
      </c>
      <c r="V183" s="1" t="str">
        <f t="shared" si="22"/>
        <v>里程去程</v>
      </c>
      <c r="W183" s="1" t="s">
        <v>35</v>
      </c>
    </row>
    <row r="184" spans="1:23" x14ac:dyDescent="0.3">
      <c r="A184" s="1" t="str">
        <f t="shared" si="25"/>
        <v>59822</v>
      </c>
      <c r="B184" s="1" t="s">
        <v>39</v>
      </c>
      <c r="C184" s="1" t="s">
        <v>40</v>
      </c>
      <c r="D184" s="1" t="str">
        <f t="shared" si="21"/>
        <v>9801</v>
      </c>
      <c r="E184" s="1" t="s">
        <v>25</v>
      </c>
      <c r="F184" s="1" t="str">
        <f>"1205824277"</f>
        <v>1205824277</v>
      </c>
      <c r="G184" s="1" t="s">
        <v>38</v>
      </c>
      <c r="H184" s="1" t="str">
        <f t="shared" si="23"/>
        <v>20220906</v>
      </c>
      <c r="I184" s="1" t="str">
        <f>"165005"</f>
        <v>165005</v>
      </c>
      <c r="J184" s="1" t="s">
        <v>79</v>
      </c>
      <c r="K184" s="1" t="s">
        <v>45</v>
      </c>
      <c r="L184" s="1" t="str">
        <f t="shared" si="24"/>
        <v>20220906</v>
      </c>
      <c r="M184" s="1" t="str">
        <f>"170524"</f>
        <v>170524</v>
      </c>
      <c r="N184" s="1" t="s">
        <v>44</v>
      </c>
      <c r="O184" s="1" t="s">
        <v>45</v>
      </c>
      <c r="P184" s="1" t="s">
        <v>55</v>
      </c>
      <c r="Q184" s="1">
        <v>25</v>
      </c>
      <c r="R184" s="1">
        <v>0</v>
      </c>
      <c r="S184" s="1">
        <v>25</v>
      </c>
      <c r="T184" s="1">
        <v>0</v>
      </c>
      <c r="U184" s="1">
        <v>0</v>
      </c>
      <c r="V184" s="1" t="str">
        <f t="shared" si="22"/>
        <v>里程去程</v>
      </c>
      <c r="W184" s="1" t="s">
        <v>35</v>
      </c>
    </row>
    <row r="185" spans="1:23" x14ac:dyDescent="0.3">
      <c r="A185" s="1" t="str">
        <f t="shared" si="25"/>
        <v>59822</v>
      </c>
      <c r="B185" s="1" t="s">
        <v>39</v>
      </c>
      <c r="C185" s="1" t="s">
        <v>40</v>
      </c>
      <c r="D185" s="1" t="str">
        <f t="shared" si="21"/>
        <v>9801</v>
      </c>
      <c r="E185" s="1" t="s">
        <v>25</v>
      </c>
      <c r="F185" s="1" t="str">
        <f>"41E6A74444280400F700000000000000"</f>
        <v>41E6A74444280400F700000000000000</v>
      </c>
      <c r="G185" s="1" t="s">
        <v>58</v>
      </c>
      <c r="H185" s="1" t="str">
        <f t="shared" si="23"/>
        <v>20220906</v>
      </c>
      <c r="I185" s="1" t="str">
        <f>"203353"</f>
        <v>203353</v>
      </c>
      <c r="J185" s="1" t="s">
        <v>27</v>
      </c>
      <c r="K185" s="1" t="s">
        <v>28</v>
      </c>
      <c r="L185" s="1" t="str">
        <f t="shared" si="24"/>
        <v>20220906</v>
      </c>
      <c r="M185" s="1" t="str">
        <f>"204936"</f>
        <v>204936</v>
      </c>
      <c r="N185" s="1" t="s">
        <v>75</v>
      </c>
      <c r="O185" s="1" t="s">
        <v>45</v>
      </c>
      <c r="P185" s="1" t="s">
        <v>55</v>
      </c>
      <c r="Q185" s="1">
        <v>25</v>
      </c>
      <c r="R185" s="1">
        <v>0</v>
      </c>
      <c r="S185" s="1">
        <v>25</v>
      </c>
      <c r="T185" s="1">
        <v>0</v>
      </c>
      <c r="U185" s="1">
        <v>0</v>
      </c>
      <c r="V185" s="1" t="str">
        <f t="shared" si="22"/>
        <v>里程去程</v>
      </c>
      <c r="W185" s="1" t="s">
        <v>29</v>
      </c>
    </row>
    <row r="186" spans="1:23" x14ac:dyDescent="0.3">
      <c r="A186" s="1" t="str">
        <f t="shared" si="25"/>
        <v>59822</v>
      </c>
      <c r="B186" s="1" t="s">
        <v>39</v>
      </c>
      <c r="C186" s="1" t="s">
        <v>40</v>
      </c>
      <c r="D186" s="1" t="str">
        <f t="shared" si="21"/>
        <v>9801</v>
      </c>
      <c r="E186" s="1" t="s">
        <v>25</v>
      </c>
      <c r="F186" s="1" t="str">
        <f>"3578288275"</f>
        <v>3578288275</v>
      </c>
      <c r="G186" s="1" t="s">
        <v>33</v>
      </c>
      <c r="H186" s="1" t="str">
        <f t="shared" si="23"/>
        <v>20220906</v>
      </c>
      <c r="I186" s="1" t="str">
        <f>"203357"</f>
        <v>203357</v>
      </c>
      <c r="J186" s="1" t="s">
        <v>27</v>
      </c>
      <c r="K186" s="1" t="s">
        <v>28</v>
      </c>
      <c r="L186" s="1" t="str">
        <f t="shared" si="24"/>
        <v>20220906</v>
      </c>
      <c r="M186" s="1" t="str">
        <f>"204934"</f>
        <v>204934</v>
      </c>
      <c r="N186" s="1" t="s">
        <v>75</v>
      </c>
      <c r="O186" s="1" t="s">
        <v>45</v>
      </c>
      <c r="P186" s="1" t="s">
        <v>55</v>
      </c>
      <c r="Q186" s="1">
        <v>25</v>
      </c>
      <c r="R186" s="1">
        <v>0</v>
      </c>
      <c r="S186" s="1">
        <v>25</v>
      </c>
      <c r="T186" s="1">
        <v>0</v>
      </c>
      <c r="U186" s="1">
        <v>0</v>
      </c>
      <c r="V186" s="1" t="str">
        <f t="shared" si="22"/>
        <v>里程去程</v>
      </c>
      <c r="W186" s="1" t="s">
        <v>35</v>
      </c>
    </row>
    <row r="187" spans="1:23" x14ac:dyDescent="0.3">
      <c r="A187" s="1" t="str">
        <f t="shared" ref="A187:A195" si="26">"59809"</f>
        <v>59809</v>
      </c>
      <c r="B187" s="1" t="s">
        <v>42</v>
      </c>
      <c r="C187" s="1" t="s">
        <v>43</v>
      </c>
      <c r="D187" s="1" t="str">
        <f t="shared" si="21"/>
        <v>9801</v>
      </c>
      <c r="E187" s="1" t="s">
        <v>25</v>
      </c>
      <c r="F187" s="1" t="str">
        <f>"F2F7D002D7880400C834002000000015"</f>
        <v>F2F7D002D7880400C834002000000015</v>
      </c>
      <c r="G187" s="1" t="s">
        <v>74</v>
      </c>
      <c r="H187" s="1" t="str">
        <f t="shared" ref="H187:H226" si="27">"20220907"</f>
        <v>20220907</v>
      </c>
      <c r="I187" s="1" t="str">
        <f>"082407"</f>
        <v>082407</v>
      </c>
      <c r="J187" s="1" t="s">
        <v>67</v>
      </c>
      <c r="K187" s="1" t="s">
        <v>52</v>
      </c>
      <c r="L187" s="1" t="str">
        <f t="shared" ref="L187:L197" si="28">"20220907"</f>
        <v>20220907</v>
      </c>
      <c r="M187" s="1" t="str">
        <f>"085538"</f>
        <v>085538</v>
      </c>
      <c r="N187" s="1" t="s">
        <v>44</v>
      </c>
      <c r="O187" s="1" t="s">
        <v>45</v>
      </c>
      <c r="P187" s="1" t="s">
        <v>68</v>
      </c>
      <c r="Q187" s="1">
        <v>25</v>
      </c>
      <c r="R187" s="1">
        <v>0</v>
      </c>
      <c r="S187" s="1">
        <v>0</v>
      </c>
      <c r="T187" s="1">
        <v>25</v>
      </c>
      <c r="U187" s="1">
        <v>0</v>
      </c>
      <c r="V187" s="1" t="str">
        <f t="shared" si="22"/>
        <v>里程去程</v>
      </c>
      <c r="W187" s="1" t="s">
        <v>29</v>
      </c>
    </row>
    <row r="188" spans="1:23" x14ac:dyDescent="0.3">
      <c r="A188" s="1" t="str">
        <f t="shared" si="26"/>
        <v>59809</v>
      </c>
      <c r="B188" s="1" t="s">
        <v>42</v>
      </c>
      <c r="C188" s="1" t="s">
        <v>43</v>
      </c>
      <c r="D188" s="1" t="str">
        <f t="shared" si="21"/>
        <v>9801</v>
      </c>
      <c r="E188" s="1" t="s">
        <v>25</v>
      </c>
      <c r="F188" s="1" t="str">
        <f>"629413266"</f>
        <v>629413266</v>
      </c>
      <c r="G188" s="1" t="s">
        <v>33</v>
      </c>
      <c r="H188" s="1" t="str">
        <f t="shared" si="27"/>
        <v>20220907</v>
      </c>
      <c r="I188" s="1" t="str">
        <f>"082530"</f>
        <v>082530</v>
      </c>
      <c r="J188" s="1" t="s">
        <v>83</v>
      </c>
      <c r="K188" s="1" t="s">
        <v>52</v>
      </c>
      <c r="L188" s="1" t="str">
        <f t="shared" si="28"/>
        <v>20220907</v>
      </c>
      <c r="M188" s="1" t="str">
        <f>"083021"</f>
        <v>083021</v>
      </c>
      <c r="N188" s="1" t="s">
        <v>70</v>
      </c>
      <c r="O188" s="1" t="s">
        <v>28</v>
      </c>
      <c r="P188" s="1" t="s">
        <v>55</v>
      </c>
      <c r="Q188" s="1">
        <v>25</v>
      </c>
      <c r="R188" s="1">
        <v>25</v>
      </c>
      <c r="S188" s="1">
        <v>0</v>
      </c>
      <c r="T188" s="1">
        <v>0</v>
      </c>
      <c r="U188" s="1">
        <v>0</v>
      </c>
      <c r="V188" s="1" t="str">
        <f t="shared" si="22"/>
        <v>里程去程</v>
      </c>
      <c r="W188" s="1" t="s">
        <v>35</v>
      </c>
    </row>
    <row r="189" spans="1:23" x14ac:dyDescent="0.3">
      <c r="A189" s="1" t="str">
        <f t="shared" si="26"/>
        <v>59809</v>
      </c>
      <c r="B189" s="1" t="s">
        <v>42</v>
      </c>
      <c r="C189" s="1" t="s">
        <v>111</v>
      </c>
      <c r="D189" s="1" t="str">
        <f t="shared" si="21"/>
        <v>9801</v>
      </c>
      <c r="E189" s="1" t="s">
        <v>25</v>
      </c>
      <c r="F189" s="1" t="str">
        <f>"7111150687005189"</f>
        <v>7111150687005189</v>
      </c>
      <c r="G189" s="1" t="s">
        <v>33</v>
      </c>
      <c r="H189" s="1" t="str">
        <f t="shared" si="27"/>
        <v>20220907</v>
      </c>
      <c r="I189" s="1" t="str">
        <f>"085614"</f>
        <v>085614</v>
      </c>
      <c r="J189" s="1" t="s">
        <v>52</v>
      </c>
      <c r="K189" s="1" t="s">
        <v>52</v>
      </c>
      <c r="L189" s="1" t="str">
        <f t="shared" si="28"/>
        <v>20220907</v>
      </c>
      <c r="M189" s="1" t="str">
        <f>"092938"</f>
        <v>092938</v>
      </c>
      <c r="N189" s="1" t="s">
        <v>70</v>
      </c>
      <c r="O189" s="1" t="s">
        <v>28</v>
      </c>
      <c r="P189" s="1" t="s">
        <v>55</v>
      </c>
      <c r="Q189" s="1">
        <v>25</v>
      </c>
      <c r="R189" s="1">
        <v>25</v>
      </c>
      <c r="S189" s="1">
        <v>0</v>
      </c>
      <c r="T189" s="1">
        <v>0</v>
      </c>
      <c r="U189" s="1">
        <v>0</v>
      </c>
      <c r="V189" s="1" t="str">
        <f t="shared" si="22"/>
        <v>里程去程</v>
      </c>
      <c r="W189" s="1" t="s">
        <v>109</v>
      </c>
    </row>
    <row r="190" spans="1:23" x14ac:dyDescent="0.3">
      <c r="A190" s="1" t="str">
        <f t="shared" si="26"/>
        <v>59809</v>
      </c>
      <c r="B190" s="1" t="s">
        <v>42</v>
      </c>
      <c r="C190" s="1" t="s">
        <v>43</v>
      </c>
      <c r="D190" s="1" t="str">
        <f t="shared" si="21"/>
        <v>9801</v>
      </c>
      <c r="E190" s="1" t="s">
        <v>25</v>
      </c>
      <c r="F190" s="1" t="str">
        <f>"F2F7D002D7880400C834002000000015"</f>
        <v>F2F7D002D7880400C834002000000015</v>
      </c>
      <c r="G190" s="1" t="s">
        <v>74</v>
      </c>
      <c r="H190" s="1" t="str">
        <f t="shared" si="27"/>
        <v>20220907</v>
      </c>
      <c r="I190" s="1" t="str">
        <f>"085617"</f>
        <v>085617</v>
      </c>
      <c r="J190" s="1" t="s">
        <v>52</v>
      </c>
      <c r="K190" s="1" t="s">
        <v>52</v>
      </c>
      <c r="L190" s="1" t="str">
        <f t="shared" si="28"/>
        <v>20220907</v>
      </c>
      <c r="M190" s="1" t="str">
        <f>"090343"</f>
        <v>090343</v>
      </c>
      <c r="N190" s="1" t="s">
        <v>86</v>
      </c>
      <c r="O190" s="1" t="s">
        <v>52</v>
      </c>
      <c r="P190" s="1" t="s">
        <v>68</v>
      </c>
      <c r="Q190" s="1">
        <v>13</v>
      </c>
      <c r="R190" s="1">
        <v>0</v>
      </c>
      <c r="S190" s="1">
        <v>0</v>
      </c>
      <c r="T190" s="1">
        <v>13</v>
      </c>
      <c r="U190" s="1">
        <v>0</v>
      </c>
      <c r="V190" s="1" t="str">
        <f t="shared" si="22"/>
        <v>里程去程</v>
      </c>
      <c r="W190" s="1" t="s">
        <v>29</v>
      </c>
    </row>
    <row r="191" spans="1:23" x14ac:dyDescent="0.3">
      <c r="A191" s="1" t="str">
        <f t="shared" si="26"/>
        <v>59809</v>
      </c>
      <c r="B191" s="1" t="s">
        <v>42</v>
      </c>
      <c r="C191" s="1" t="s">
        <v>43</v>
      </c>
      <c r="D191" s="1" t="str">
        <f t="shared" si="21"/>
        <v>9801</v>
      </c>
      <c r="E191" s="1" t="s">
        <v>25</v>
      </c>
      <c r="F191" s="1" t="str">
        <f>"82D5FB02AE880400C834002000000015"</f>
        <v>82D5FB02AE880400C834002000000015</v>
      </c>
      <c r="G191" s="1" t="s">
        <v>26</v>
      </c>
      <c r="H191" s="1" t="str">
        <f t="shared" si="27"/>
        <v>20220907</v>
      </c>
      <c r="I191" s="1" t="str">
        <f>"090804"</f>
        <v>090804</v>
      </c>
      <c r="J191" s="1" t="s">
        <v>51</v>
      </c>
      <c r="K191" s="1" t="s">
        <v>52</v>
      </c>
      <c r="L191" s="1" t="str">
        <f t="shared" si="28"/>
        <v>20220907</v>
      </c>
      <c r="M191" s="1" t="str">
        <f>"091145"</f>
        <v>091145</v>
      </c>
      <c r="N191" s="1" t="s">
        <v>65</v>
      </c>
      <c r="O191" s="1" t="s">
        <v>52</v>
      </c>
      <c r="P191" s="1" t="s">
        <v>68</v>
      </c>
      <c r="Q191" s="1">
        <v>13</v>
      </c>
      <c r="R191" s="1">
        <v>0</v>
      </c>
      <c r="S191" s="1">
        <v>0</v>
      </c>
      <c r="T191" s="1">
        <v>13</v>
      </c>
      <c r="U191" s="1">
        <v>0</v>
      </c>
      <c r="V191" s="1" t="str">
        <f t="shared" si="22"/>
        <v>里程去程</v>
      </c>
      <c r="W191" s="1" t="s">
        <v>29</v>
      </c>
    </row>
    <row r="192" spans="1:23" x14ac:dyDescent="0.3">
      <c r="A192" s="1" t="str">
        <f t="shared" si="26"/>
        <v>59809</v>
      </c>
      <c r="B192" s="1" t="s">
        <v>42</v>
      </c>
      <c r="C192" s="1" t="s">
        <v>43</v>
      </c>
      <c r="D192" s="1" t="str">
        <f t="shared" si="21"/>
        <v>9801</v>
      </c>
      <c r="E192" s="1" t="s">
        <v>25</v>
      </c>
      <c r="F192" s="1" t="str">
        <f>"02ECE81A1C880400C817002000000021"</f>
        <v>02ECE81A1C880400C817002000000021</v>
      </c>
      <c r="G192" s="1" t="s">
        <v>58</v>
      </c>
      <c r="H192" s="1" t="str">
        <f t="shared" si="27"/>
        <v>20220907</v>
      </c>
      <c r="I192" s="1" t="str">
        <f>"092948"</f>
        <v>092948</v>
      </c>
      <c r="J192" s="1" t="s">
        <v>27</v>
      </c>
      <c r="K192" s="1" t="s">
        <v>28</v>
      </c>
      <c r="L192" s="1" t="str">
        <f t="shared" si="28"/>
        <v>20220907</v>
      </c>
      <c r="M192" s="1" t="str">
        <f>"095017"</f>
        <v>095017</v>
      </c>
      <c r="N192" s="1" t="s">
        <v>56</v>
      </c>
      <c r="O192" s="1" t="s">
        <v>45</v>
      </c>
      <c r="P192" s="1" t="s">
        <v>55</v>
      </c>
      <c r="Q192" s="1">
        <v>25</v>
      </c>
      <c r="R192" s="1">
        <v>0</v>
      </c>
      <c r="S192" s="1">
        <v>25</v>
      </c>
      <c r="T192" s="1">
        <v>0</v>
      </c>
      <c r="U192" s="1">
        <v>0</v>
      </c>
      <c r="V192" s="1" t="str">
        <f t="shared" si="22"/>
        <v>里程去程</v>
      </c>
      <c r="W192" s="1" t="s">
        <v>29</v>
      </c>
    </row>
    <row r="193" spans="1:23" x14ac:dyDescent="0.3">
      <c r="A193" s="1" t="str">
        <f t="shared" si="26"/>
        <v>59809</v>
      </c>
      <c r="B193" s="1" t="s">
        <v>42</v>
      </c>
      <c r="C193" s="1" t="s">
        <v>43</v>
      </c>
      <c r="D193" s="1" t="str">
        <f t="shared" si="21"/>
        <v>9801</v>
      </c>
      <c r="E193" s="1" t="s">
        <v>25</v>
      </c>
      <c r="F193" s="1" t="str">
        <f>"E213BD024E880400C834002000000015"</f>
        <v>E213BD024E880400C834002000000015</v>
      </c>
      <c r="G193" s="1" t="s">
        <v>74</v>
      </c>
      <c r="H193" s="1" t="str">
        <f t="shared" si="27"/>
        <v>20220907</v>
      </c>
      <c r="I193" s="1" t="str">
        <f>"093043"</f>
        <v>093043</v>
      </c>
      <c r="J193" s="1" t="s">
        <v>27</v>
      </c>
      <c r="K193" s="1" t="s">
        <v>28</v>
      </c>
      <c r="L193" s="1" t="str">
        <f t="shared" si="28"/>
        <v>20220907</v>
      </c>
      <c r="M193" s="1" t="str">
        <f>"095010"</f>
        <v>095010</v>
      </c>
      <c r="N193" s="1" t="s">
        <v>56</v>
      </c>
      <c r="O193" s="1" t="s">
        <v>45</v>
      </c>
      <c r="P193" s="1" t="s">
        <v>68</v>
      </c>
      <c r="Q193" s="1">
        <v>13</v>
      </c>
      <c r="R193" s="1">
        <v>0</v>
      </c>
      <c r="S193" s="1">
        <v>0</v>
      </c>
      <c r="T193" s="1">
        <v>13</v>
      </c>
      <c r="U193" s="1">
        <v>0</v>
      </c>
      <c r="V193" s="1" t="str">
        <f t="shared" si="22"/>
        <v>里程去程</v>
      </c>
      <c r="W193" s="1" t="s">
        <v>29</v>
      </c>
    </row>
    <row r="194" spans="1:23" x14ac:dyDescent="0.3">
      <c r="A194" s="1" t="str">
        <f t="shared" si="26"/>
        <v>59809</v>
      </c>
      <c r="B194" s="1" t="s">
        <v>42</v>
      </c>
      <c r="C194" s="1" t="s">
        <v>43</v>
      </c>
      <c r="D194" s="1" t="str">
        <f t="shared" ref="D194:D257" si="29">"9801"</f>
        <v>9801</v>
      </c>
      <c r="E194" s="1" t="s">
        <v>25</v>
      </c>
      <c r="F194" s="1" t="str">
        <f>"1052026081"</f>
        <v>1052026081</v>
      </c>
      <c r="G194" s="1" t="s">
        <v>33</v>
      </c>
      <c r="H194" s="1" t="str">
        <f t="shared" si="27"/>
        <v>20220907</v>
      </c>
      <c r="I194" s="1" t="str">
        <f>"093554"</f>
        <v>093554</v>
      </c>
      <c r="J194" s="1" t="s">
        <v>27</v>
      </c>
      <c r="K194" s="1" t="s">
        <v>28</v>
      </c>
      <c r="L194" s="1" t="str">
        <f t="shared" si="28"/>
        <v>20220907</v>
      </c>
      <c r="M194" s="1" t="str">
        <f>"100047"</f>
        <v>100047</v>
      </c>
      <c r="N194" s="1" t="s">
        <v>44</v>
      </c>
      <c r="O194" s="1" t="s">
        <v>45</v>
      </c>
      <c r="P194" s="1" t="s">
        <v>55</v>
      </c>
      <c r="Q194" s="1">
        <v>25</v>
      </c>
      <c r="R194" s="1">
        <v>25</v>
      </c>
      <c r="S194" s="1">
        <v>0</v>
      </c>
      <c r="T194" s="1">
        <v>0</v>
      </c>
      <c r="U194" s="1">
        <v>0</v>
      </c>
      <c r="V194" s="1" t="str">
        <f t="shared" ref="V194:V257" si="30">"里程去程"</f>
        <v>里程去程</v>
      </c>
      <c r="W194" s="1" t="s">
        <v>35</v>
      </c>
    </row>
    <row r="195" spans="1:23" x14ac:dyDescent="0.3">
      <c r="A195" s="1" t="str">
        <f t="shared" si="26"/>
        <v>59809</v>
      </c>
      <c r="B195" s="1" t="s">
        <v>42</v>
      </c>
      <c r="C195" s="1" t="s">
        <v>43</v>
      </c>
      <c r="D195" s="1" t="str">
        <f t="shared" si="29"/>
        <v>9801</v>
      </c>
      <c r="E195" s="1" t="s">
        <v>25</v>
      </c>
      <c r="F195" s="1" t="str">
        <f>"32780D0344880400C834002000000015"</f>
        <v>32780D0344880400C834002000000015</v>
      </c>
      <c r="G195" s="1" t="s">
        <v>26</v>
      </c>
      <c r="H195" s="1" t="str">
        <f t="shared" si="27"/>
        <v>20220907</v>
      </c>
      <c r="I195" s="1" t="str">
        <f>"093901"</f>
        <v>093901</v>
      </c>
      <c r="J195" s="1" t="s">
        <v>27</v>
      </c>
      <c r="K195" s="1" t="s">
        <v>28</v>
      </c>
      <c r="L195" s="1" t="str">
        <f t="shared" si="28"/>
        <v>20220907</v>
      </c>
      <c r="M195" s="1" t="str">
        <f>"095843"</f>
        <v>095843</v>
      </c>
      <c r="N195" s="1" t="s">
        <v>44</v>
      </c>
      <c r="O195" s="1" t="s">
        <v>45</v>
      </c>
      <c r="P195" s="1" t="s">
        <v>68</v>
      </c>
      <c r="Q195" s="1">
        <v>13</v>
      </c>
      <c r="R195" s="1">
        <v>0</v>
      </c>
      <c r="S195" s="1">
        <v>0</v>
      </c>
      <c r="T195" s="1">
        <v>13</v>
      </c>
      <c r="U195" s="1">
        <v>0</v>
      </c>
      <c r="V195" s="1" t="str">
        <f t="shared" si="30"/>
        <v>里程去程</v>
      </c>
      <c r="W195" s="1" t="s">
        <v>29</v>
      </c>
    </row>
    <row r="196" spans="1:23" x14ac:dyDescent="0.3">
      <c r="A196" s="1" t="str">
        <f t="shared" ref="A196:A226" si="31">"59828"</f>
        <v>59828</v>
      </c>
      <c r="B196" s="1" t="s">
        <v>23</v>
      </c>
      <c r="C196" s="1" t="s">
        <v>24</v>
      </c>
      <c r="D196" s="1" t="str">
        <f t="shared" si="29"/>
        <v>9801</v>
      </c>
      <c r="E196" s="1" t="s">
        <v>25</v>
      </c>
      <c r="F196" s="1" t="str">
        <f>"82D5FB02AE880400C834002000000015"</f>
        <v>82D5FB02AE880400C834002000000015</v>
      </c>
      <c r="G196" s="1" t="s">
        <v>26</v>
      </c>
      <c r="H196" s="1" t="str">
        <f t="shared" si="27"/>
        <v>20220907</v>
      </c>
      <c r="I196" s="1" t="str">
        <f>"110746"</f>
        <v>110746</v>
      </c>
      <c r="J196" s="1" t="s">
        <v>60</v>
      </c>
      <c r="K196" s="1" t="s">
        <v>52</v>
      </c>
      <c r="L196" s="1" t="str">
        <f t="shared" si="28"/>
        <v>20220907</v>
      </c>
      <c r="M196" s="1" t="str">
        <f>"111406"</f>
        <v>111406</v>
      </c>
      <c r="N196" s="1" t="s">
        <v>65</v>
      </c>
      <c r="O196" s="1" t="s">
        <v>52</v>
      </c>
      <c r="P196" s="1" t="s">
        <v>68</v>
      </c>
      <c r="Q196" s="1">
        <v>13</v>
      </c>
      <c r="R196" s="1">
        <v>0</v>
      </c>
      <c r="S196" s="1">
        <v>0</v>
      </c>
      <c r="T196" s="1">
        <v>13</v>
      </c>
      <c r="U196" s="1">
        <v>0</v>
      </c>
      <c r="V196" s="1" t="str">
        <f t="shared" si="30"/>
        <v>里程去程</v>
      </c>
      <c r="W196" s="1" t="s">
        <v>29</v>
      </c>
    </row>
    <row r="197" spans="1:23" x14ac:dyDescent="0.3">
      <c r="A197" s="1" t="str">
        <f t="shared" si="31"/>
        <v>59828</v>
      </c>
      <c r="B197" s="1" t="s">
        <v>23</v>
      </c>
      <c r="C197" s="1" t="s">
        <v>24</v>
      </c>
      <c r="D197" s="1" t="str">
        <f t="shared" si="29"/>
        <v>9801</v>
      </c>
      <c r="E197" s="1" t="s">
        <v>25</v>
      </c>
      <c r="F197" s="1" t="str">
        <f>"F2F7D002D7880400C834002000000015"</f>
        <v>F2F7D002D7880400C834002000000015</v>
      </c>
      <c r="G197" s="1" t="s">
        <v>74</v>
      </c>
      <c r="H197" s="1" t="str">
        <f t="shared" si="27"/>
        <v>20220907</v>
      </c>
      <c r="I197" s="1" t="str">
        <f>"110954"</f>
        <v>110954</v>
      </c>
      <c r="J197" s="1" t="s">
        <v>51</v>
      </c>
      <c r="K197" s="1" t="s">
        <v>52</v>
      </c>
      <c r="L197" s="1" t="str">
        <f t="shared" si="28"/>
        <v>20220907</v>
      </c>
      <c r="M197" s="1" t="str">
        <f>"114815"</f>
        <v>114815</v>
      </c>
      <c r="N197" s="1" t="s">
        <v>56</v>
      </c>
      <c r="O197" s="1" t="s">
        <v>45</v>
      </c>
      <c r="P197" s="1" t="s">
        <v>68</v>
      </c>
      <c r="Q197" s="1">
        <v>25</v>
      </c>
      <c r="R197" s="1">
        <v>0</v>
      </c>
      <c r="S197" s="1">
        <v>0</v>
      </c>
      <c r="T197" s="1">
        <v>25</v>
      </c>
      <c r="U197" s="1">
        <v>0</v>
      </c>
      <c r="V197" s="1" t="str">
        <f t="shared" si="30"/>
        <v>里程去程</v>
      </c>
      <c r="W197" s="1" t="s">
        <v>29</v>
      </c>
    </row>
    <row r="198" spans="1:23" x14ac:dyDescent="0.3">
      <c r="A198" s="1" t="str">
        <f t="shared" si="31"/>
        <v>59828</v>
      </c>
      <c r="B198" s="1" t="s">
        <v>23</v>
      </c>
      <c r="C198" s="1" t="s">
        <v>24</v>
      </c>
      <c r="D198" s="1" t="str">
        <f t="shared" si="29"/>
        <v>9801</v>
      </c>
      <c r="E198" s="1" t="s">
        <v>25</v>
      </c>
      <c r="F198" s="1" t="str">
        <f>"32780D0344880400C834002000000015"</f>
        <v>32780D0344880400C834002000000015</v>
      </c>
      <c r="G198" s="1" t="s">
        <v>26</v>
      </c>
      <c r="H198" s="1" t="str">
        <f t="shared" si="27"/>
        <v>20220907</v>
      </c>
      <c r="I198" s="1" t="str">
        <f>"113406"</f>
        <v>113406</v>
      </c>
      <c r="J198" s="1" t="s">
        <v>27</v>
      </c>
      <c r="K198" s="1" t="s">
        <v>28</v>
      </c>
      <c r="L198" s="1" t="str">
        <f>""</f>
        <v/>
      </c>
      <c r="M198" s="1" t="str">
        <f>""</f>
        <v/>
      </c>
      <c r="P198" s="1" t="s">
        <v>88</v>
      </c>
      <c r="Q198" s="1">
        <v>13</v>
      </c>
      <c r="R198" s="1">
        <v>0</v>
      </c>
      <c r="S198" s="1">
        <v>0</v>
      </c>
      <c r="T198" s="1">
        <v>13</v>
      </c>
      <c r="U198" s="1">
        <v>0</v>
      </c>
      <c r="V198" s="1" t="str">
        <f t="shared" si="30"/>
        <v>里程去程</v>
      </c>
      <c r="W198" s="1" t="s">
        <v>29</v>
      </c>
    </row>
    <row r="199" spans="1:23" x14ac:dyDescent="0.3">
      <c r="A199" s="1" t="str">
        <f t="shared" si="31"/>
        <v>59828</v>
      </c>
      <c r="B199" s="1" t="s">
        <v>23</v>
      </c>
      <c r="C199" s="1" t="s">
        <v>24</v>
      </c>
      <c r="D199" s="1" t="str">
        <f t="shared" si="29"/>
        <v>9801</v>
      </c>
      <c r="E199" s="1" t="s">
        <v>25</v>
      </c>
      <c r="F199" s="1" t="str">
        <f>"828667157"</f>
        <v>828667157</v>
      </c>
      <c r="G199" s="1" t="s">
        <v>33</v>
      </c>
      <c r="H199" s="1" t="str">
        <f t="shared" si="27"/>
        <v>20220907</v>
      </c>
      <c r="I199" s="1" t="str">
        <f>"113533"</f>
        <v>113533</v>
      </c>
      <c r="J199" s="1" t="s">
        <v>27</v>
      </c>
      <c r="K199" s="1" t="s">
        <v>28</v>
      </c>
      <c r="L199" s="1" t="str">
        <f t="shared" ref="L199:L208" si="32">"20220907"</f>
        <v>20220907</v>
      </c>
      <c r="M199" s="1" t="str">
        <f>"114900"</f>
        <v>114900</v>
      </c>
      <c r="N199" s="1" t="s">
        <v>75</v>
      </c>
      <c r="O199" s="1" t="s">
        <v>45</v>
      </c>
      <c r="P199" s="1" t="s">
        <v>55</v>
      </c>
      <c r="Q199" s="1">
        <v>25</v>
      </c>
      <c r="R199" s="1">
        <v>25</v>
      </c>
      <c r="S199" s="1">
        <v>0</v>
      </c>
      <c r="T199" s="1">
        <v>0</v>
      </c>
      <c r="U199" s="1">
        <v>0</v>
      </c>
      <c r="V199" s="1" t="str">
        <f t="shared" si="30"/>
        <v>里程去程</v>
      </c>
      <c r="W199" s="1" t="s">
        <v>35</v>
      </c>
    </row>
    <row r="200" spans="1:23" x14ac:dyDescent="0.3">
      <c r="A200" s="1" t="str">
        <f t="shared" si="31"/>
        <v>59828</v>
      </c>
      <c r="B200" s="1" t="s">
        <v>23</v>
      </c>
      <c r="C200" s="1" t="s">
        <v>24</v>
      </c>
      <c r="D200" s="1" t="str">
        <f t="shared" si="29"/>
        <v>9801</v>
      </c>
      <c r="E200" s="1" t="s">
        <v>25</v>
      </c>
      <c r="F200" s="1" t="str">
        <f>"F25B1B03B1880400C834002000000015"</f>
        <v>F25B1B03B1880400C834002000000015</v>
      </c>
      <c r="G200" s="1" t="s">
        <v>26</v>
      </c>
      <c r="H200" s="1" t="str">
        <f t="shared" si="27"/>
        <v>20220907</v>
      </c>
      <c r="I200" s="1" t="str">
        <f>"120615"</f>
        <v>120615</v>
      </c>
      <c r="J200" s="1" t="s">
        <v>60</v>
      </c>
      <c r="K200" s="1" t="s">
        <v>52</v>
      </c>
      <c r="L200" s="1" t="str">
        <f t="shared" si="32"/>
        <v>20220907</v>
      </c>
      <c r="M200" s="1" t="str">
        <f>"123147"</f>
        <v>123147</v>
      </c>
      <c r="N200" s="1" t="s">
        <v>70</v>
      </c>
      <c r="O200" s="1" t="s">
        <v>28</v>
      </c>
      <c r="P200" s="1" t="s">
        <v>68</v>
      </c>
      <c r="Q200" s="1">
        <v>13</v>
      </c>
      <c r="R200" s="1">
        <v>0</v>
      </c>
      <c r="S200" s="1">
        <v>0</v>
      </c>
      <c r="T200" s="1">
        <v>13</v>
      </c>
      <c r="U200" s="1">
        <v>0</v>
      </c>
      <c r="V200" s="1" t="str">
        <f t="shared" si="30"/>
        <v>里程去程</v>
      </c>
      <c r="W200" s="1" t="s">
        <v>29</v>
      </c>
    </row>
    <row r="201" spans="1:23" x14ac:dyDescent="0.3">
      <c r="A201" s="1" t="str">
        <f t="shared" si="31"/>
        <v>59828</v>
      </c>
      <c r="B201" s="1" t="s">
        <v>23</v>
      </c>
      <c r="C201" s="1" t="s">
        <v>24</v>
      </c>
      <c r="D201" s="1" t="str">
        <f t="shared" si="29"/>
        <v>9801</v>
      </c>
      <c r="E201" s="1" t="s">
        <v>25</v>
      </c>
      <c r="F201" s="1" t="str">
        <f>"1418089217"</f>
        <v>1418089217</v>
      </c>
      <c r="G201" s="1" t="s">
        <v>33</v>
      </c>
      <c r="H201" s="1" t="str">
        <f t="shared" si="27"/>
        <v>20220907</v>
      </c>
      <c r="I201" s="1" t="str">
        <f>"121805"</f>
        <v>121805</v>
      </c>
      <c r="J201" s="1" t="s">
        <v>77</v>
      </c>
      <c r="K201" s="1" t="s">
        <v>52</v>
      </c>
      <c r="L201" s="1" t="str">
        <f t="shared" si="32"/>
        <v>20220907</v>
      </c>
      <c r="M201" s="1" t="str">
        <f>"123157"</f>
        <v>123157</v>
      </c>
      <c r="N201" s="1" t="s">
        <v>70</v>
      </c>
      <c r="O201" s="1" t="s">
        <v>28</v>
      </c>
      <c r="P201" s="1" t="s">
        <v>55</v>
      </c>
      <c r="Q201" s="1">
        <v>25</v>
      </c>
      <c r="R201" s="1">
        <v>25</v>
      </c>
      <c r="S201" s="1">
        <v>0</v>
      </c>
      <c r="T201" s="1">
        <v>0</v>
      </c>
      <c r="U201" s="1">
        <v>0</v>
      </c>
      <c r="V201" s="1" t="str">
        <f t="shared" si="30"/>
        <v>里程去程</v>
      </c>
      <c r="W201" s="1" t="s">
        <v>35</v>
      </c>
    </row>
    <row r="202" spans="1:23" x14ac:dyDescent="0.3">
      <c r="A202" s="1" t="str">
        <f t="shared" si="31"/>
        <v>59828</v>
      </c>
      <c r="B202" s="1" t="s">
        <v>23</v>
      </c>
      <c r="C202" s="1" t="s">
        <v>24</v>
      </c>
      <c r="D202" s="1" t="str">
        <f t="shared" si="29"/>
        <v>9801</v>
      </c>
      <c r="E202" s="1" t="s">
        <v>25</v>
      </c>
      <c r="F202" s="1" t="str">
        <f>"8227D00277880400C834002000000015"</f>
        <v>8227D00277880400C834002000000015</v>
      </c>
      <c r="G202" s="1" t="s">
        <v>26</v>
      </c>
      <c r="H202" s="1" t="str">
        <f t="shared" si="27"/>
        <v>20220907</v>
      </c>
      <c r="I202" s="1" t="str">
        <f>"122253"</f>
        <v>122253</v>
      </c>
      <c r="J202" s="1" t="s">
        <v>78</v>
      </c>
      <c r="K202" s="1" t="s">
        <v>52</v>
      </c>
      <c r="L202" s="1" t="str">
        <f t="shared" si="32"/>
        <v>20220907</v>
      </c>
      <c r="M202" s="1" t="str">
        <f>"123153"</f>
        <v>123153</v>
      </c>
      <c r="N202" s="1" t="s">
        <v>70</v>
      </c>
      <c r="O202" s="1" t="s">
        <v>28</v>
      </c>
      <c r="P202" s="1" t="s">
        <v>68</v>
      </c>
      <c r="Q202" s="1">
        <v>13</v>
      </c>
      <c r="R202" s="1">
        <v>0</v>
      </c>
      <c r="S202" s="1">
        <v>0</v>
      </c>
      <c r="T202" s="1">
        <v>13</v>
      </c>
      <c r="U202" s="1">
        <v>0</v>
      </c>
      <c r="V202" s="1" t="str">
        <f t="shared" si="30"/>
        <v>里程去程</v>
      </c>
      <c r="W202" s="1" t="s">
        <v>29</v>
      </c>
    </row>
    <row r="203" spans="1:23" x14ac:dyDescent="0.3">
      <c r="A203" s="1" t="str">
        <f t="shared" si="31"/>
        <v>59828</v>
      </c>
      <c r="B203" s="1" t="s">
        <v>23</v>
      </c>
      <c r="C203" s="1" t="s">
        <v>24</v>
      </c>
      <c r="D203" s="1" t="str">
        <f t="shared" si="29"/>
        <v>9801</v>
      </c>
      <c r="E203" s="1" t="s">
        <v>25</v>
      </c>
      <c r="F203" s="1" t="str">
        <f>"1326888401"</f>
        <v>1326888401</v>
      </c>
      <c r="G203" s="1" t="s">
        <v>33</v>
      </c>
      <c r="H203" s="1" t="str">
        <f t="shared" si="27"/>
        <v>20220907</v>
      </c>
      <c r="I203" s="1" t="str">
        <f>"123216"</f>
        <v>123216</v>
      </c>
      <c r="J203" s="1" t="s">
        <v>27</v>
      </c>
      <c r="K203" s="1" t="s">
        <v>28</v>
      </c>
      <c r="L203" s="1" t="str">
        <f t="shared" si="32"/>
        <v>20220907</v>
      </c>
      <c r="M203" s="1" t="str">
        <f>"125215"</f>
        <v>125215</v>
      </c>
      <c r="N203" s="1" t="s">
        <v>100</v>
      </c>
      <c r="O203" s="1" t="s">
        <v>45</v>
      </c>
      <c r="P203" s="1" t="s">
        <v>55</v>
      </c>
      <c r="Q203" s="1">
        <v>25</v>
      </c>
      <c r="R203" s="1">
        <v>25</v>
      </c>
      <c r="S203" s="1">
        <v>0</v>
      </c>
      <c r="T203" s="1">
        <v>0</v>
      </c>
      <c r="U203" s="1">
        <v>0</v>
      </c>
      <c r="V203" s="1" t="str">
        <f t="shared" si="30"/>
        <v>里程去程</v>
      </c>
      <c r="W203" s="1" t="s">
        <v>35</v>
      </c>
    </row>
    <row r="204" spans="1:23" x14ac:dyDescent="0.3">
      <c r="A204" s="1" t="str">
        <f t="shared" si="31"/>
        <v>59828</v>
      </c>
      <c r="B204" s="1" t="s">
        <v>23</v>
      </c>
      <c r="C204" s="1" t="s">
        <v>24</v>
      </c>
      <c r="D204" s="1" t="str">
        <f t="shared" si="29"/>
        <v>9801</v>
      </c>
      <c r="E204" s="1" t="s">
        <v>25</v>
      </c>
      <c r="F204" s="1" t="str">
        <f>"117406257"</f>
        <v>117406257</v>
      </c>
      <c r="G204" s="1" t="s">
        <v>33</v>
      </c>
      <c r="H204" s="1" t="str">
        <f t="shared" si="27"/>
        <v>20220907</v>
      </c>
      <c r="I204" s="1" t="str">
        <f>"123220"</f>
        <v>123220</v>
      </c>
      <c r="J204" s="1" t="s">
        <v>27</v>
      </c>
      <c r="K204" s="1" t="s">
        <v>28</v>
      </c>
      <c r="L204" s="1" t="str">
        <f t="shared" si="32"/>
        <v>20220907</v>
      </c>
      <c r="M204" s="1" t="str">
        <f>"125221"</f>
        <v>125221</v>
      </c>
      <c r="N204" s="1" t="s">
        <v>100</v>
      </c>
      <c r="O204" s="1" t="s">
        <v>45</v>
      </c>
      <c r="P204" s="1" t="s">
        <v>55</v>
      </c>
      <c r="Q204" s="1">
        <v>25</v>
      </c>
      <c r="R204" s="1">
        <v>25</v>
      </c>
      <c r="S204" s="1">
        <v>0</v>
      </c>
      <c r="T204" s="1">
        <v>0</v>
      </c>
      <c r="U204" s="1">
        <v>0</v>
      </c>
      <c r="V204" s="1" t="str">
        <f t="shared" si="30"/>
        <v>里程去程</v>
      </c>
      <c r="W204" s="1" t="s">
        <v>35</v>
      </c>
    </row>
    <row r="205" spans="1:23" x14ac:dyDescent="0.3">
      <c r="A205" s="1" t="str">
        <f t="shared" si="31"/>
        <v>59828</v>
      </c>
      <c r="B205" s="1" t="s">
        <v>23</v>
      </c>
      <c r="C205" s="1" t="s">
        <v>24</v>
      </c>
      <c r="D205" s="1" t="str">
        <f t="shared" si="29"/>
        <v>9801</v>
      </c>
      <c r="E205" s="1" t="s">
        <v>25</v>
      </c>
      <c r="F205" s="1" t="str">
        <f>"186797377"</f>
        <v>186797377</v>
      </c>
      <c r="G205" s="1" t="s">
        <v>74</v>
      </c>
      <c r="H205" s="1" t="str">
        <f t="shared" si="27"/>
        <v>20220907</v>
      </c>
      <c r="I205" s="1" t="str">
        <f>"123229"</f>
        <v>123229</v>
      </c>
      <c r="J205" s="1" t="s">
        <v>27</v>
      </c>
      <c r="K205" s="1" t="s">
        <v>28</v>
      </c>
      <c r="L205" s="1" t="str">
        <f t="shared" si="32"/>
        <v>20220907</v>
      </c>
      <c r="M205" s="1" t="str">
        <f>"125548"</f>
        <v>125548</v>
      </c>
      <c r="N205" s="1" t="s">
        <v>44</v>
      </c>
      <c r="O205" s="1" t="s">
        <v>45</v>
      </c>
      <c r="P205" s="1" t="s">
        <v>55</v>
      </c>
      <c r="Q205" s="1">
        <v>13</v>
      </c>
      <c r="R205" s="1">
        <v>13</v>
      </c>
      <c r="S205" s="1">
        <v>0</v>
      </c>
      <c r="T205" s="1">
        <v>0</v>
      </c>
      <c r="U205" s="1">
        <v>0</v>
      </c>
      <c r="V205" s="1" t="str">
        <f t="shared" si="30"/>
        <v>里程去程</v>
      </c>
      <c r="W205" s="1" t="s">
        <v>35</v>
      </c>
    </row>
    <row r="206" spans="1:23" x14ac:dyDescent="0.3">
      <c r="A206" s="1" t="str">
        <f t="shared" si="31"/>
        <v>59828</v>
      </c>
      <c r="B206" s="1" t="s">
        <v>23</v>
      </c>
      <c r="C206" s="1" t="s">
        <v>24</v>
      </c>
      <c r="D206" s="1" t="str">
        <f t="shared" si="29"/>
        <v>9801</v>
      </c>
      <c r="E206" s="1" t="s">
        <v>25</v>
      </c>
      <c r="F206" s="1" t="str">
        <f>"189655573"</f>
        <v>189655573</v>
      </c>
      <c r="G206" s="1" t="s">
        <v>33</v>
      </c>
      <c r="H206" s="1" t="str">
        <f t="shared" si="27"/>
        <v>20220907</v>
      </c>
      <c r="I206" s="1" t="str">
        <f>"123301"</f>
        <v>123301</v>
      </c>
      <c r="J206" s="1" t="s">
        <v>27</v>
      </c>
      <c r="K206" s="1" t="s">
        <v>28</v>
      </c>
      <c r="L206" s="1" t="str">
        <f t="shared" si="32"/>
        <v>20220907</v>
      </c>
      <c r="M206" s="1" t="str">
        <f>"124831"</f>
        <v>124831</v>
      </c>
      <c r="N206" s="1" t="s">
        <v>75</v>
      </c>
      <c r="O206" s="1" t="s">
        <v>45</v>
      </c>
      <c r="P206" s="1" t="s">
        <v>55</v>
      </c>
      <c r="Q206" s="1">
        <v>25</v>
      </c>
      <c r="R206" s="1">
        <v>25</v>
      </c>
      <c r="S206" s="1">
        <v>0</v>
      </c>
      <c r="T206" s="1">
        <v>0</v>
      </c>
      <c r="U206" s="1">
        <v>0</v>
      </c>
      <c r="V206" s="1" t="str">
        <f t="shared" si="30"/>
        <v>里程去程</v>
      </c>
      <c r="W206" s="1" t="s">
        <v>35</v>
      </c>
    </row>
    <row r="207" spans="1:23" x14ac:dyDescent="0.3">
      <c r="A207" s="1" t="str">
        <f t="shared" si="31"/>
        <v>59828</v>
      </c>
      <c r="B207" s="1" t="s">
        <v>23</v>
      </c>
      <c r="C207" s="1" t="s">
        <v>24</v>
      </c>
      <c r="D207" s="1" t="str">
        <f t="shared" si="29"/>
        <v>9801</v>
      </c>
      <c r="E207" s="1" t="s">
        <v>25</v>
      </c>
      <c r="F207" s="1" t="str">
        <f>"454988753"</f>
        <v>454988753</v>
      </c>
      <c r="G207" s="1" t="s">
        <v>33</v>
      </c>
      <c r="H207" s="1" t="str">
        <f t="shared" si="27"/>
        <v>20220907</v>
      </c>
      <c r="I207" s="1" t="str">
        <f>"123326"</f>
        <v>123326</v>
      </c>
      <c r="J207" s="1" t="s">
        <v>27</v>
      </c>
      <c r="K207" s="1" t="s">
        <v>28</v>
      </c>
      <c r="L207" s="1" t="str">
        <f t="shared" si="32"/>
        <v>20220907</v>
      </c>
      <c r="M207" s="1" t="str">
        <f>"125227"</f>
        <v>125227</v>
      </c>
      <c r="N207" s="1" t="s">
        <v>100</v>
      </c>
      <c r="O207" s="1" t="s">
        <v>45</v>
      </c>
      <c r="P207" s="1" t="s">
        <v>55</v>
      </c>
      <c r="Q207" s="1">
        <v>25</v>
      </c>
      <c r="R207" s="1">
        <v>25</v>
      </c>
      <c r="S207" s="1">
        <v>0</v>
      </c>
      <c r="T207" s="1">
        <v>0</v>
      </c>
      <c r="U207" s="1">
        <v>0</v>
      </c>
      <c r="V207" s="1" t="str">
        <f t="shared" si="30"/>
        <v>里程去程</v>
      </c>
      <c r="W207" s="1" t="s">
        <v>35</v>
      </c>
    </row>
    <row r="208" spans="1:23" x14ac:dyDescent="0.3">
      <c r="A208" s="1" t="str">
        <f t="shared" si="31"/>
        <v>59828</v>
      </c>
      <c r="B208" s="1" t="s">
        <v>23</v>
      </c>
      <c r="C208" s="1" t="s">
        <v>24</v>
      </c>
      <c r="D208" s="1" t="str">
        <f t="shared" si="29"/>
        <v>9801</v>
      </c>
      <c r="E208" s="1" t="s">
        <v>25</v>
      </c>
      <c r="F208" s="1" t="str">
        <f>"1646182376"</f>
        <v>1646182376</v>
      </c>
      <c r="G208" s="1" t="s">
        <v>33</v>
      </c>
      <c r="H208" s="1" t="str">
        <f t="shared" si="27"/>
        <v>20220907</v>
      </c>
      <c r="I208" s="1" t="str">
        <f>"123347"</f>
        <v>123347</v>
      </c>
      <c r="J208" s="1" t="s">
        <v>27</v>
      </c>
      <c r="K208" s="1" t="s">
        <v>28</v>
      </c>
      <c r="L208" s="1" t="str">
        <f t="shared" si="32"/>
        <v>20220907</v>
      </c>
      <c r="M208" s="1" t="str">
        <f>"125558"</f>
        <v>125558</v>
      </c>
      <c r="N208" s="1" t="s">
        <v>44</v>
      </c>
      <c r="O208" s="1" t="s">
        <v>45</v>
      </c>
      <c r="P208" s="1" t="s">
        <v>55</v>
      </c>
      <c r="Q208" s="1">
        <v>25</v>
      </c>
      <c r="R208" s="1">
        <v>25</v>
      </c>
      <c r="S208" s="1">
        <v>0</v>
      </c>
      <c r="T208" s="1">
        <v>0</v>
      </c>
      <c r="U208" s="1">
        <v>0</v>
      </c>
      <c r="V208" s="1" t="str">
        <f t="shared" si="30"/>
        <v>里程去程</v>
      </c>
      <c r="W208" s="1" t="s">
        <v>35</v>
      </c>
    </row>
    <row r="209" spans="1:23" x14ac:dyDescent="0.3">
      <c r="A209" s="1" t="str">
        <f t="shared" si="31"/>
        <v>59828</v>
      </c>
      <c r="B209" s="1" t="s">
        <v>23</v>
      </c>
      <c r="C209" s="1" t="s">
        <v>24</v>
      </c>
      <c r="D209" s="1" t="str">
        <f t="shared" si="29"/>
        <v>9801</v>
      </c>
      <c r="E209" s="1" t="s">
        <v>25</v>
      </c>
      <c r="F209" s="1" t="str">
        <f>"189655573"</f>
        <v>189655573</v>
      </c>
      <c r="G209" s="1" t="s">
        <v>33</v>
      </c>
      <c r="H209" s="1" t="str">
        <f t="shared" si="27"/>
        <v>20220907</v>
      </c>
      <c r="I209" s="1" t="str">
        <f>"125224"</f>
        <v>125224</v>
      </c>
      <c r="J209" s="1" t="s">
        <v>100</v>
      </c>
      <c r="K209" s="1" t="s">
        <v>45</v>
      </c>
      <c r="L209" s="1" t="str">
        <f>""</f>
        <v/>
      </c>
      <c r="M209" s="1" t="str">
        <f>""</f>
        <v/>
      </c>
      <c r="P209" s="1" t="s">
        <v>88</v>
      </c>
      <c r="Q209" s="1">
        <v>25</v>
      </c>
      <c r="R209" s="1">
        <v>25</v>
      </c>
      <c r="S209" s="1">
        <v>0</v>
      </c>
      <c r="T209" s="1">
        <v>0</v>
      </c>
      <c r="U209" s="1">
        <v>0</v>
      </c>
      <c r="V209" s="1" t="str">
        <f t="shared" si="30"/>
        <v>里程去程</v>
      </c>
      <c r="W209" s="1" t="s">
        <v>35</v>
      </c>
    </row>
    <row r="210" spans="1:23" x14ac:dyDescent="0.3">
      <c r="A210" s="1" t="str">
        <f t="shared" si="31"/>
        <v>59828</v>
      </c>
      <c r="B210" s="1" t="s">
        <v>23</v>
      </c>
      <c r="C210" s="1" t="s">
        <v>24</v>
      </c>
      <c r="D210" s="1" t="str">
        <f t="shared" si="29"/>
        <v>9801</v>
      </c>
      <c r="E210" s="1" t="s">
        <v>25</v>
      </c>
      <c r="F210" s="1" t="str">
        <f>"1762059009"</f>
        <v>1762059009</v>
      </c>
      <c r="G210" s="1" t="s">
        <v>33</v>
      </c>
      <c r="H210" s="1" t="str">
        <f t="shared" si="27"/>
        <v>20220907</v>
      </c>
      <c r="I210" s="1" t="str">
        <f>"125234"</f>
        <v>125234</v>
      </c>
      <c r="J210" s="1" t="s">
        <v>100</v>
      </c>
      <c r="K210" s="1" t="s">
        <v>45</v>
      </c>
      <c r="L210" s="1" t="str">
        <f t="shared" ref="L210:L226" si="33">"20220907"</f>
        <v>20220907</v>
      </c>
      <c r="M210" s="1" t="str">
        <f>"125447"</f>
        <v>125447</v>
      </c>
      <c r="N210" s="1" t="s">
        <v>44</v>
      </c>
      <c r="O210" s="1" t="s">
        <v>45</v>
      </c>
      <c r="P210" s="1" t="s">
        <v>55</v>
      </c>
      <c r="Q210" s="1">
        <v>25</v>
      </c>
      <c r="R210" s="1">
        <v>25</v>
      </c>
      <c r="S210" s="1">
        <v>0</v>
      </c>
      <c r="T210" s="1">
        <v>0</v>
      </c>
      <c r="U210" s="1">
        <v>0</v>
      </c>
      <c r="V210" s="1" t="str">
        <f t="shared" si="30"/>
        <v>里程去程</v>
      </c>
      <c r="W210" s="1" t="s">
        <v>35</v>
      </c>
    </row>
    <row r="211" spans="1:23" x14ac:dyDescent="0.3">
      <c r="A211" s="1" t="str">
        <f t="shared" si="31"/>
        <v>59828</v>
      </c>
      <c r="B211" s="1" t="s">
        <v>23</v>
      </c>
      <c r="C211" s="1" t="s">
        <v>24</v>
      </c>
      <c r="D211" s="1" t="str">
        <f t="shared" si="29"/>
        <v>9801</v>
      </c>
      <c r="E211" s="1" t="s">
        <v>25</v>
      </c>
      <c r="F211" s="1" t="str">
        <f>"02ECE81A1C880400C817002000000021"</f>
        <v>02ECE81A1C880400C817002000000021</v>
      </c>
      <c r="G211" s="1" t="s">
        <v>58</v>
      </c>
      <c r="H211" s="1" t="str">
        <f t="shared" si="27"/>
        <v>20220907</v>
      </c>
      <c r="I211" s="1" t="str">
        <f>"125626"</f>
        <v>125626</v>
      </c>
      <c r="J211" s="1" t="s">
        <v>52</v>
      </c>
      <c r="K211" s="1" t="s">
        <v>52</v>
      </c>
      <c r="L211" s="1" t="str">
        <f t="shared" si="33"/>
        <v>20220907</v>
      </c>
      <c r="M211" s="1" t="str">
        <f>"133136"</f>
        <v>133136</v>
      </c>
      <c r="N211" s="1" t="s">
        <v>27</v>
      </c>
      <c r="O211" s="1" t="s">
        <v>28</v>
      </c>
      <c r="P211" s="1" t="s">
        <v>55</v>
      </c>
      <c r="Q211" s="1">
        <v>25</v>
      </c>
      <c r="R211" s="1">
        <v>25</v>
      </c>
      <c r="S211" s="1">
        <v>0</v>
      </c>
      <c r="T211" s="1">
        <v>0</v>
      </c>
      <c r="U211" s="1">
        <v>0</v>
      </c>
      <c r="V211" s="1" t="str">
        <f t="shared" si="30"/>
        <v>里程去程</v>
      </c>
      <c r="W211" s="1" t="s">
        <v>29</v>
      </c>
    </row>
    <row r="212" spans="1:23" x14ac:dyDescent="0.3">
      <c r="A212" s="1" t="str">
        <f t="shared" si="31"/>
        <v>59828</v>
      </c>
      <c r="B212" s="1" t="s">
        <v>23</v>
      </c>
      <c r="C212" s="1" t="s">
        <v>24</v>
      </c>
      <c r="D212" s="1" t="str">
        <f t="shared" si="29"/>
        <v>9801</v>
      </c>
      <c r="E212" s="1" t="s">
        <v>25</v>
      </c>
      <c r="F212" s="1" t="str">
        <f>"E1464700E08804004324714D000A080E"</f>
        <v>E1464700E08804004324714D000A080E</v>
      </c>
      <c r="G212" s="1" t="s">
        <v>58</v>
      </c>
      <c r="H212" s="1" t="str">
        <f t="shared" si="27"/>
        <v>20220907</v>
      </c>
      <c r="I212" s="1" t="str">
        <f>"132442"</f>
        <v>132442</v>
      </c>
      <c r="J212" s="1" t="s">
        <v>83</v>
      </c>
      <c r="K212" s="1" t="s">
        <v>52</v>
      </c>
      <c r="L212" s="1" t="str">
        <f t="shared" si="33"/>
        <v>20220907</v>
      </c>
      <c r="M212" s="1" t="str">
        <f>"133132"</f>
        <v>133132</v>
      </c>
      <c r="N212" s="1" t="s">
        <v>27</v>
      </c>
      <c r="O212" s="1" t="s">
        <v>28</v>
      </c>
      <c r="P212" s="1" t="s">
        <v>55</v>
      </c>
      <c r="Q212" s="1">
        <v>25</v>
      </c>
      <c r="R212" s="1">
        <v>25</v>
      </c>
      <c r="S212" s="1">
        <v>0</v>
      </c>
      <c r="T212" s="1">
        <v>0</v>
      </c>
      <c r="U212" s="1">
        <v>0</v>
      </c>
      <c r="V212" s="1" t="str">
        <f t="shared" si="30"/>
        <v>里程去程</v>
      </c>
      <c r="W212" s="1" t="s">
        <v>29</v>
      </c>
    </row>
    <row r="213" spans="1:23" x14ac:dyDescent="0.3">
      <c r="A213" s="1" t="str">
        <f t="shared" si="31"/>
        <v>59828</v>
      </c>
      <c r="B213" s="1" t="s">
        <v>23</v>
      </c>
      <c r="C213" s="1" t="s">
        <v>24</v>
      </c>
      <c r="D213" s="1" t="str">
        <f t="shared" si="29"/>
        <v>9801</v>
      </c>
      <c r="E213" s="1" t="s">
        <v>25</v>
      </c>
      <c r="F213" s="1" t="str">
        <f>"C2333013D228040080CED9985D913018"</f>
        <v>C2333013D228040080CED9985D913018</v>
      </c>
      <c r="G213" s="1" t="s">
        <v>58</v>
      </c>
      <c r="H213" s="1" t="str">
        <f t="shared" si="27"/>
        <v>20220907</v>
      </c>
      <c r="I213" s="1" t="str">
        <f>"133205"</f>
        <v>133205</v>
      </c>
      <c r="J213" s="1" t="s">
        <v>95</v>
      </c>
      <c r="K213" s="1" t="s">
        <v>28</v>
      </c>
      <c r="L213" s="1" t="str">
        <f t="shared" si="33"/>
        <v>20220907</v>
      </c>
      <c r="M213" s="1" t="str">
        <f>"135719"</f>
        <v>135719</v>
      </c>
      <c r="N213" s="1" t="s">
        <v>44</v>
      </c>
      <c r="O213" s="1" t="s">
        <v>45</v>
      </c>
      <c r="P213" s="1" t="s">
        <v>55</v>
      </c>
      <c r="Q213" s="1">
        <v>25</v>
      </c>
      <c r="R213" s="1">
        <v>25</v>
      </c>
      <c r="S213" s="1">
        <v>0</v>
      </c>
      <c r="T213" s="1">
        <v>0</v>
      </c>
      <c r="U213" s="1">
        <v>0</v>
      </c>
      <c r="V213" s="1" t="str">
        <f t="shared" si="30"/>
        <v>里程去程</v>
      </c>
      <c r="W213" s="1" t="s">
        <v>29</v>
      </c>
    </row>
    <row r="214" spans="1:23" x14ac:dyDescent="0.3">
      <c r="A214" s="1" t="str">
        <f t="shared" si="31"/>
        <v>59828</v>
      </c>
      <c r="B214" s="1" t="s">
        <v>23</v>
      </c>
      <c r="C214" s="1" t="s">
        <v>24</v>
      </c>
      <c r="D214" s="1" t="str">
        <f t="shared" si="29"/>
        <v>9801</v>
      </c>
      <c r="E214" s="1" t="s">
        <v>25</v>
      </c>
      <c r="F214" s="1" t="str">
        <f>"1098679157"</f>
        <v>1098679157</v>
      </c>
      <c r="G214" s="1" t="s">
        <v>38</v>
      </c>
      <c r="H214" s="1" t="str">
        <f t="shared" si="27"/>
        <v>20220907</v>
      </c>
      <c r="I214" s="1" t="str">
        <f>"133222"</f>
        <v>133222</v>
      </c>
      <c r="J214" s="1" t="s">
        <v>95</v>
      </c>
      <c r="K214" s="1" t="s">
        <v>28</v>
      </c>
      <c r="L214" s="1" t="str">
        <f t="shared" si="33"/>
        <v>20220907</v>
      </c>
      <c r="M214" s="1" t="str">
        <f>"135713"</f>
        <v>135713</v>
      </c>
      <c r="N214" s="1" t="s">
        <v>44</v>
      </c>
      <c r="O214" s="1" t="s">
        <v>45</v>
      </c>
      <c r="P214" s="1" t="s">
        <v>55</v>
      </c>
      <c r="Q214" s="1">
        <v>25</v>
      </c>
      <c r="R214" s="1">
        <v>25</v>
      </c>
      <c r="S214" s="1">
        <v>0</v>
      </c>
      <c r="T214" s="1">
        <v>0</v>
      </c>
      <c r="U214" s="1">
        <v>0</v>
      </c>
      <c r="V214" s="1" t="str">
        <f t="shared" si="30"/>
        <v>里程去程</v>
      </c>
      <c r="W214" s="1" t="s">
        <v>35</v>
      </c>
    </row>
    <row r="215" spans="1:23" x14ac:dyDescent="0.3">
      <c r="A215" s="1" t="str">
        <f t="shared" si="31"/>
        <v>59828</v>
      </c>
      <c r="B215" s="1" t="s">
        <v>23</v>
      </c>
      <c r="C215" s="1" t="s">
        <v>24</v>
      </c>
      <c r="D215" s="1" t="str">
        <f t="shared" si="29"/>
        <v>9801</v>
      </c>
      <c r="E215" s="1" t="s">
        <v>25</v>
      </c>
      <c r="F215" s="1" t="str">
        <f>"321EF20ED0880400C820002000000018"</f>
        <v>321EF20ED0880400C820002000000018</v>
      </c>
      <c r="G215" s="1" t="s">
        <v>59</v>
      </c>
      <c r="H215" s="1" t="str">
        <f t="shared" si="27"/>
        <v>20220907</v>
      </c>
      <c r="I215" s="1" t="str">
        <f>"145443"</f>
        <v>145443</v>
      </c>
      <c r="J215" s="1" t="s">
        <v>52</v>
      </c>
      <c r="K215" s="1" t="s">
        <v>52</v>
      </c>
      <c r="L215" s="1" t="str">
        <f t="shared" si="33"/>
        <v>20220907</v>
      </c>
      <c r="M215" s="1" t="str">
        <f>"153109"</f>
        <v>153109</v>
      </c>
      <c r="N215" s="1" t="s">
        <v>70</v>
      </c>
      <c r="O215" s="1" t="s">
        <v>28</v>
      </c>
      <c r="P215" s="1" t="s">
        <v>55</v>
      </c>
      <c r="Q215" s="1">
        <v>25</v>
      </c>
      <c r="R215" s="1">
        <v>25</v>
      </c>
      <c r="S215" s="1">
        <v>0</v>
      </c>
      <c r="T215" s="1">
        <v>0</v>
      </c>
      <c r="U215" s="1">
        <v>0</v>
      </c>
      <c r="V215" s="1" t="str">
        <f t="shared" si="30"/>
        <v>里程去程</v>
      </c>
      <c r="W215" s="1" t="s">
        <v>29</v>
      </c>
    </row>
    <row r="216" spans="1:23" x14ac:dyDescent="0.3">
      <c r="A216" s="1" t="str">
        <f t="shared" si="31"/>
        <v>59828</v>
      </c>
      <c r="B216" s="1" t="s">
        <v>23</v>
      </c>
      <c r="C216" s="1" t="s">
        <v>24</v>
      </c>
      <c r="D216" s="1" t="str">
        <f t="shared" si="29"/>
        <v>9801</v>
      </c>
      <c r="E216" s="1" t="s">
        <v>25</v>
      </c>
      <c r="F216" s="1" t="str">
        <f>"F27CE6026A880400C834002000000015"</f>
        <v>F27CE6026A880400C834002000000015</v>
      </c>
      <c r="G216" s="1" t="s">
        <v>74</v>
      </c>
      <c r="H216" s="1" t="str">
        <f t="shared" si="27"/>
        <v>20220907</v>
      </c>
      <c r="I216" s="1" t="str">
        <f>"145450"</f>
        <v>145450</v>
      </c>
      <c r="J216" s="1" t="s">
        <v>52</v>
      </c>
      <c r="K216" s="1" t="s">
        <v>52</v>
      </c>
      <c r="L216" s="1" t="str">
        <f t="shared" si="33"/>
        <v>20220907</v>
      </c>
      <c r="M216" s="1" t="str">
        <f>"150548"</f>
        <v>150548</v>
      </c>
      <c r="N216" s="1" t="s">
        <v>60</v>
      </c>
      <c r="O216" s="1" t="s">
        <v>52</v>
      </c>
      <c r="P216" s="1" t="s">
        <v>68</v>
      </c>
      <c r="Q216" s="1">
        <v>13</v>
      </c>
      <c r="R216" s="1">
        <v>0</v>
      </c>
      <c r="S216" s="1">
        <v>0</v>
      </c>
      <c r="T216" s="1">
        <v>13</v>
      </c>
      <c r="U216" s="1">
        <v>0</v>
      </c>
      <c r="V216" s="1" t="str">
        <f t="shared" si="30"/>
        <v>里程去程</v>
      </c>
      <c r="W216" s="1" t="s">
        <v>29</v>
      </c>
    </row>
    <row r="217" spans="1:23" x14ac:dyDescent="0.3">
      <c r="A217" s="1" t="str">
        <f t="shared" si="31"/>
        <v>59828</v>
      </c>
      <c r="B217" s="1" t="s">
        <v>23</v>
      </c>
      <c r="C217" s="1" t="s">
        <v>24</v>
      </c>
      <c r="D217" s="1" t="str">
        <f t="shared" si="29"/>
        <v>9801</v>
      </c>
      <c r="E217" s="1" t="s">
        <v>25</v>
      </c>
      <c r="F217" s="1" t="str">
        <f>"C2F219032A880400C834002000000015"</f>
        <v>C2F219032A880400C834002000000015</v>
      </c>
      <c r="G217" s="1" t="s">
        <v>26</v>
      </c>
      <c r="H217" s="1" t="str">
        <f t="shared" si="27"/>
        <v>20220907</v>
      </c>
      <c r="I217" s="1" t="str">
        <f>"150439"</f>
        <v>150439</v>
      </c>
      <c r="J217" s="1" t="s">
        <v>86</v>
      </c>
      <c r="K217" s="1" t="s">
        <v>52</v>
      </c>
      <c r="L217" s="1" t="str">
        <f t="shared" si="33"/>
        <v>20220907</v>
      </c>
      <c r="M217" s="1" t="str">
        <f>"150941"</f>
        <v>150941</v>
      </c>
      <c r="N217" s="1" t="s">
        <v>51</v>
      </c>
      <c r="O217" s="1" t="s">
        <v>52</v>
      </c>
      <c r="P217" s="1" t="s">
        <v>68</v>
      </c>
      <c r="Q217" s="1">
        <v>13</v>
      </c>
      <c r="R217" s="1">
        <v>0</v>
      </c>
      <c r="S217" s="1">
        <v>0</v>
      </c>
      <c r="T217" s="1">
        <v>13</v>
      </c>
      <c r="U217" s="1">
        <v>0</v>
      </c>
      <c r="V217" s="1" t="str">
        <f t="shared" si="30"/>
        <v>里程去程</v>
      </c>
      <c r="W217" s="1" t="s">
        <v>29</v>
      </c>
    </row>
    <row r="218" spans="1:23" x14ac:dyDescent="0.3">
      <c r="A218" s="1" t="str">
        <f t="shared" si="31"/>
        <v>59828</v>
      </c>
      <c r="B218" s="1" t="s">
        <v>23</v>
      </c>
      <c r="C218" s="1" t="s">
        <v>24</v>
      </c>
      <c r="D218" s="1" t="str">
        <f t="shared" si="29"/>
        <v>9801</v>
      </c>
      <c r="E218" s="1" t="s">
        <v>25</v>
      </c>
      <c r="F218" s="1" t="str">
        <f>"F2C64D0E77880400C806002000000018"</f>
        <v>F2C64D0E77880400C806002000000018</v>
      </c>
      <c r="G218" s="1" t="s">
        <v>58</v>
      </c>
      <c r="H218" s="1" t="str">
        <f t="shared" si="27"/>
        <v>20220907</v>
      </c>
      <c r="I218" s="1" t="str">
        <f>"150621"</f>
        <v>150621</v>
      </c>
      <c r="J218" s="1" t="s">
        <v>60</v>
      </c>
      <c r="K218" s="1" t="s">
        <v>52</v>
      </c>
      <c r="L218" s="1" t="str">
        <f t="shared" si="33"/>
        <v>20220907</v>
      </c>
      <c r="M218" s="1" t="str">
        <f>"151422"</f>
        <v>151422</v>
      </c>
      <c r="N218" s="1" t="s">
        <v>65</v>
      </c>
      <c r="O218" s="1" t="s">
        <v>52</v>
      </c>
      <c r="P218" s="1" t="s">
        <v>55</v>
      </c>
      <c r="Q218" s="1">
        <v>25</v>
      </c>
      <c r="R218" s="1">
        <v>25</v>
      </c>
      <c r="S218" s="1">
        <v>0</v>
      </c>
      <c r="T218" s="1">
        <v>0</v>
      </c>
      <c r="U218" s="1">
        <v>0</v>
      </c>
      <c r="V218" s="1" t="str">
        <f t="shared" si="30"/>
        <v>里程去程</v>
      </c>
      <c r="W218" s="1" t="s">
        <v>29</v>
      </c>
    </row>
    <row r="219" spans="1:23" x14ac:dyDescent="0.3">
      <c r="A219" s="1" t="str">
        <f t="shared" si="31"/>
        <v>59828</v>
      </c>
      <c r="B219" s="1" t="s">
        <v>23</v>
      </c>
      <c r="C219" s="1" t="s">
        <v>24</v>
      </c>
      <c r="D219" s="1" t="str">
        <f t="shared" si="29"/>
        <v>9801</v>
      </c>
      <c r="E219" s="1" t="s">
        <v>25</v>
      </c>
      <c r="F219" s="1" t="str">
        <f>"E20CD3063B880400C838002000000015"</f>
        <v>E20CD3063B880400C838002000000015</v>
      </c>
      <c r="G219" s="1" t="s">
        <v>26</v>
      </c>
      <c r="H219" s="1" t="str">
        <f t="shared" si="27"/>
        <v>20220907</v>
      </c>
      <c r="I219" s="1" t="str">
        <f>"150631"</f>
        <v>150631</v>
      </c>
      <c r="J219" s="1" t="s">
        <v>60</v>
      </c>
      <c r="K219" s="1" t="s">
        <v>52</v>
      </c>
      <c r="L219" s="1" t="str">
        <f t="shared" si="33"/>
        <v>20220907</v>
      </c>
      <c r="M219" s="1" t="str">
        <f>"153111"</f>
        <v>153111</v>
      </c>
      <c r="N219" s="1" t="s">
        <v>70</v>
      </c>
      <c r="O219" s="1" t="s">
        <v>28</v>
      </c>
      <c r="P219" s="1" t="s">
        <v>68</v>
      </c>
      <c r="Q219" s="1">
        <v>13</v>
      </c>
      <c r="R219" s="1">
        <v>0</v>
      </c>
      <c r="S219" s="1">
        <v>0</v>
      </c>
      <c r="T219" s="1">
        <v>13</v>
      </c>
      <c r="U219" s="1">
        <v>0</v>
      </c>
      <c r="V219" s="1" t="str">
        <f t="shared" si="30"/>
        <v>里程去程</v>
      </c>
      <c r="W219" s="1" t="s">
        <v>29</v>
      </c>
    </row>
    <row r="220" spans="1:23" x14ac:dyDescent="0.3">
      <c r="A220" s="1" t="str">
        <f t="shared" si="31"/>
        <v>59828</v>
      </c>
      <c r="B220" s="1" t="s">
        <v>23</v>
      </c>
      <c r="C220" s="1" t="s">
        <v>24</v>
      </c>
      <c r="D220" s="1" t="str">
        <f t="shared" si="29"/>
        <v>9801</v>
      </c>
      <c r="E220" s="1" t="s">
        <v>25</v>
      </c>
      <c r="F220" s="1" t="str">
        <f>"C2C219031A880400C834002000000015"</f>
        <v>C2C219031A880400C834002000000015</v>
      </c>
      <c r="G220" s="1" t="s">
        <v>74</v>
      </c>
      <c r="H220" s="1" t="str">
        <f t="shared" si="27"/>
        <v>20220907</v>
      </c>
      <c r="I220" s="1" t="str">
        <f>"160714"</f>
        <v>160714</v>
      </c>
      <c r="J220" s="1" t="s">
        <v>60</v>
      </c>
      <c r="K220" s="1" t="s">
        <v>52</v>
      </c>
      <c r="L220" s="1" t="str">
        <f t="shared" si="33"/>
        <v>20220907</v>
      </c>
      <c r="M220" s="1" t="str">
        <f>"161717"</f>
        <v>161717</v>
      </c>
      <c r="N220" s="1" t="s">
        <v>80</v>
      </c>
      <c r="O220" s="1" t="s">
        <v>52</v>
      </c>
      <c r="P220" s="1" t="s">
        <v>68</v>
      </c>
      <c r="Q220" s="1">
        <v>13</v>
      </c>
      <c r="R220" s="1">
        <v>0</v>
      </c>
      <c r="S220" s="1">
        <v>0</v>
      </c>
      <c r="T220" s="1">
        <v>13</v>
      </c>
      <c r="U220" s="1">
        <v>0</v>
      </c>
      <c r="V220" s="1" t="str">
        <f t="shared" si="30"/>
        <v>里程去程</v>
      </c>
      <c r="W220" s="1" t="s">
        <v>29</v>
      </c>
    </row>
    <row r="221" spans="1:23" x14ac:dyDescent="0.3">
      <c r="A221" s="1" t="str">
        <f t="shared" si="31"/>
        <v>59828</v>
      </c>
      <c r="B221" s="1" t="s">
        <v>23</v>
      </c>
      <c r="C221" s="1" t="s">
        <v>24</v>
      </c>
      <c r="D221" s="1" t="str">
        <f t="shared" si="29"/>
        <v>9801</v>
      </c>
      <c r="E221" s="1" t="s">
        <v>25</v>
      </c>
      <c r="F221" s="1" t="str">
        <f>"894153189"</f>
        <v>894153189</v>
      </c>
      <c r="G221" s="1" t="s">
        <v>33</v>
      </c>
      <c r="H221" s="1" t="str">
        <f t="shared" si="27"/>
        <v>20220907</v>
      </c>
      <c r="I221" s="1" t="str">
        <f>"161314"</f>
        <v>161314</v>
      </c>
      <c r="J221" s="1" t="s">
        <v>72</v>
      </c>
      <c r="K221" s="1" t="s">
        <v>52</v>
      </c>
      <c r="L221" s="1" t="str">
        <f t="shared" si="33"/>
        <v>20220907</v>
      </c>
      <c r="M221" s="1" t="str">
        <f>"163506"</f>
        <v>163506</v>
      </c>
      <c r="N221" s="1" t="s">
        <v>70</v>
      </c>
      <c r="O221" s="1" t="s">
        <v>28</v>
      </c>
      <c r="P221" s="1" t="s">
        <v>55</v>
      </c>
      <c r="Q221" s="1">
        <v>25</v>
      </c>
      <c r="R221" s="1">
        <v>25</v>
      </c>
      <c r="S221" s="1">
        <v>0</v>
      </c>
      <c r="T221" s="1">
        <v>0</v>
      </c>
      <c r="U221" s="1">
        <v>0</v>
      </c>
      <c r="V221" s="1" t="str">
        <f t="shared" si="30"/>
        <v>里程去程</v>
      </c>
      <c r="W221" s="1" t="s">
        <v>35</v>
      </c>
    </row>
    <row r="222" spans="1:23" x14ac:dyDescent="0.3">
      <c r="A222" s="1" t="str">
        <f t="shared" si="31"/>
        <v>59828</v>
      </c>
      <c r="B222" s="1" t="s">
        <v>23</v>
      </c>
      <c r="C222" s="1" t="s">
        <v>24</v>
      </c>
      <c r="D222" s="1" t="str">
        <f t="shared" si="29"/>
        <v>9801</v>
      </c>
      <c r="E222" s="1" t="s">
        <v>25</v>
      </c>
      <c r="F222" s="1" t="str">
        <f>"F2C64D0E77880400C806002000000018"</f>
        <v>F2C64D0E77880400C806002000000018</v>
      </c>
      <c r="G222" s="1" t="s">
        <v>58</v>
      </c>
      <c r="H222" s="1" t="str">
        <f t="shared" si="27"/>
        <v>20220907</v>
      </c>
      <c r="I222" s="1" t="str">
        <f>"161436"</f>
        <v>161436</v>
      </c>
      <c r="J222" s="1" t="s">
        <v>65</v>
      </c>
      <c r="K222" s="1" t="s">
        <v>52</v>
      </c>
      <c r="L222" s="1" t="str">
        <f t="shared" si="33"/>
        <v>20220907</v>
      </c>
      <c r="M222" s="1" t="str">
        <f>"163510"</f>
        <v>163510</v>
      </c>
      <c r="N222" s="1" t="s">
        <v>70</v>
      </c>
      <c r="O222" s="1" t="s">
        <v>28</v>
      </c>
      <c r="P222" s="1" t="s">
        <v>55</v>
      </c>
      <c r="Q222" s="1">
        <v>25</v>
      </c>
      <c r="R222" s="1">
        <v>25</v>
      </c>
      <c r="S222" s="1">
        <v>0</v>
      </c>
      <c r="T222" s="1">
        <v>0</v>
      </c>
      <c r="U222" s="1">
        <v>0</v>
      </c>
      <c r="V222" s="1" t="str">
        <f t="shared" si="30"/>
        <v>里程去程</v>
      </c>
      <c r="W222" s="1" t="s">
        <v>29</v>
      </c>
    </row>
    <row r="223" spans="1:23" x14ac:dyDescent="0.3">
      <c r="A223" s="1" t="str">
        <f t="shared" si="31"/>
        <v>59828</v>
      </c>
      <c r="B223" s="1" t="s">
        <v>23</v>
      </c>
      <c r="C223" s="1" t="s">
        <v>24</v>
      </c>
      <c r="D223" s="1" t="str">
        <f t="shared" si="29"/>
        <v>9801</v>
      </c>
      <c r="E223" s="1" t="s">
        <v>25</v>
      </c>
      <c r="F223" s="1" t="str">
        <f>"1642508245"</f>
        <v>1642508245</v>
      </c>
      <c r="G223" s="1" t="s">
        <v>33</v>
      </c>
      <c r="H223" s="1" t="str">
        <f t="shared" si="27"/>
        <v>20220907</v>
      </c>
      <c r="I223" s="1" t="str">
        <f>"161439"</f>
        <v>161439</v>
      </c>
      <c r="J223" s="1" t="s">
        <v>65</v>
      </c>
      <c r="K223" s="1" t="s">
        <v>52</v>
      </c>
      <c r="L223" s="1" t="str">
        <f t="shared" si="33"/>
        <v>20220907</v>
      </c>
      <c r="M223" s="1" t="str">
        <f>"162028"</f>
        <v>162028</v>
      </c>
      <c r="N223" s="1" t="s">
        <v>77</v>
      </c>
      <c r="O223" s="1" t="s">
        <v>52</v>
      </c>
      <c r="P223" s="1" t="s">
        <v>55</v>
      </c>
      <c r="Q223" s="1">
        <v>25</v>
      </c>
      <c r="R223" s="1">
        <v>0</v>
      </c>
      <c r="S223" s="1">
        <v>25</v>
      </c>
      <c r="T223" s="1">
        <v>0</v>
      </c>
      <c r="U223" s="1">
        <v>0</v>
      </c>
      <c r="V223" s="1" t="str">
        <f t="shared" si="30"/>
        <v>里程去程</v>
      </c>
      <c r="W223" s="1" t="s">
        <v>35</v>
      </c>
    </row>
    <row r="224" spans="1:23" x14ac:dyDescent="0.3">
      <c r="A224" s="1" t="str">
        <f t="shared" si="31"/>
        <v>59828</v>
      </c>
      <c r="B224" s="1" t="s">
        <v>23</v>
      </c>
      <c r="C224" s="1" t="s">
        <v>24</v>
      </c>
      <c r="D224" s="1" t="str">
        <f t="shared" si="29"/>
        <v>9801</v>
      </c>
      <c r="E224" s="1" t="s">
        <v>25</v>
      </c>
      <c r="F224" s="1" t="str">
        <f>"687407793"</f>
        <v>687407793</v>
      </c>
      <c r="G224" s="1" t="s">
        <v>33</v>
      </c>
      <c r="H224" s="1" t="str">
        <f t="shared" si="27"/>
        <v>20220907</v>
      </c>
      <c r="I224" s="1" t="str">
        <f>"163543"</f>
        <v>163543</v>
      </c>
      <c r="J224" s="1" t="s">
        <v>27</v>
      </c>
      <c r="K224" s="1" t="s">
        <v>28</v>
      </c>
      <c r="L224" s="1" t="str">
        <f t="shared" si="33"/>
        <v>20220907</v>
      </c>
      <c r="M224" s="1" t="str">
        <f>"165629"</f>
        <v>165629</v>
      </c>
      <c r="N224" s="1" t="s">
        <v>44</v>
      </c>
      <c r="O224" s="1" t="s">
        <v>45</v>
      </c>
      <c r="P224" s="1" t="s">
        <v>55</v>
      </c>
      <c r="Q224" s="1">
        <v>25</v>
      </c>
      <c r="R224" s="1">
        <v>25</v>
      </c>
      <c r="S224" s="1">
        <v>0</v>
      </c>
      <c r="T224" s="1">
        <v>0</v>
      </c>
      <c r="U224" s="1">
        <v>0</v>
      </c>
      <c r="V224" s="1" t="str">
        <f t="shared" si="30"/>
        <v>里程去程</v>
      </c>
      <c r="W224" s="1" t="s">
        <v>35</v>
      </c>
    </row>
    <row r="225" spans="1:23" x14ac:dyDescent="0.3">
      <c r="A225" s="1" t="str">
        <f t="shared" si="31"/>
        <v>59828</v>
      </c>
      <c r="B225" s="1" t="s">
        <v>23</v>
      </c>
      <c r="C225" s="1" t="s">
        <v>24</v>
      </c>
      <c r="D225" s="1" t="str">
        <f t="shared" si="29"/>
        <v>9801</v>
      </c>
      <c r="E225" s="1" t="s">
        <v>25</v>
      </c>
      <c r="F225" s="1" t="str">
        <f>"1830767733"</f>
        <v>1830767733</v>
      </c>
      <c r="G225" s="1" t="s">
        <v>33</v>
      </c>
      <c r="H225" s="1" t="str">
        <f t="shared" si="27"/>
        <v>20220907</v>
      </c>
      <c r="I225" s="1" t="str">
        <f>"163600"</f>
        <v>163600</v>
      </c>
      <c r="J225" s="1" t="s">
        <v>27</v>
      </c>
      <c r="K225" s="1" t="s">
        <v>28</v>
      </c>
      <c r="L225" s="1" t="str">
        <f t="shared" si="33"/>
        <v>20220907</v>
      </c>
      <c r="M225" s="1" t="str">
        <f>"165800"</f>
        <v>165800</v>
      </c>
      <c r="N225" s="1" t="s">
        <v>44</v>
      </c>
      <c r="O225" s="1" t="s">
        <v>45</v>
      </c>
      <c r="P225" s="1" t="s">
        <v>55</v>
      </c>
      <c r="Q225" s="1">
        <v>25</v>
      </c>
      <c r="R225" s="1">
        <v>25</v>
      </c>
      <c r="S225" s="1">
        <v>0</v>
      </c>
      <c r="T225" s="1">
        <v>0</v>
      </c>
      <c r="U225" s="1">
        <v>0</v>
      </c>
      <c r="V225" s="1" t="str">
        <f t="shared" si="30"/>
        <v>里程去程</v>
      </c>
      <c r="W225" s="1" t="s">
        <v>35</v>
      </c>
    </row>
    <row r="226" spans="1:23" x14ac:dyDescent="0.3">
      <c r="A226" s="1" t="str">
        <f t="shared" si="31"/>
        <v>59828</v>
      </c>
      <c r="B226" s="1" t="s">
        <v>23</v>
      </c>
      <c r="C226" s="1" t="s">
        <v>24</v>
      </c>
      <c r="D226" s="1" t="str">
        <f t="shared" si="29"/>
        <v>9801</v>
      </c>
      <c r="E226" s="1" t="s">
        <v>25</v>
      </c>
      <c r="F226" s="1" t="str">
        <f>"F2D14C147B28040080CED9D049713218"</f>
        <v>F2D14C147B28040080CED9D049713218</v>
      </c>
      <c r="G226" s="1" t="s">
        <v>59</v>
      </c>
      <c r="H226" s="1" t="str">
        <f t="shared" si="27"/>
        <v>20220907</v>
      </c>
      <c r="I226" s="1" t="str">
        <f>"163611"</f>
        <v>163611</v>
      </c>
      <c r="J226" s="1" t="s">
        <v>27</v>
      </c>
      <c r="K226" s="1" t="s">
        <v>28</v>
      </c>
      <c r="L226" s="1" t="str">
        <f t="shared" si="33"/>
        <v>20220907</v>
      </c>
      <c r="M226" s="1" t="str">
        <f>"164821"</f>
        <v>164821</v>
      </c>
      <c r="N226" s="1" t="s">
        <v>56</v>
      </c>
      <c r="O226" s="1" t="s">
        <v>45</v>
      </c>
      <c r="P226" s="1" t="s">
        <v>55</v>
      </c>
      <c r="Q226" s="1">
        <v>25</v>
      </c>
      <c r="R226" s="1">
        <v>0</v>
      </c>
      <c r="S226" s="1">
        <v>25</v>
      </c>
      <c r="T226" s="1">
        <v>0</v>
      </c>
      <c r="U226" s="1">
        <v>0</v>
      </c>
      <c r="V226" s="1" t="str">
        <f t="shared" si="30"/>
        <v>里程去程</v>
      </c>
      <c r="W226" s="1" t="s">
        <v>29</v>
      </c>
    </row>
    <row r="227" spans="1:23" x14ac:dyDescent="0.3">
      <c r="A227" s="1" t="str">
        <f t="shared" ref="A227:A235" si="34">"59809"</f>
        <v>59809</v>
      </c>
      <c r="B227" s="1" t="s">
        <v>42</v>
      </c>
      <c r="C227" s="1" t="s">
        <v>43</v>
      </c>
      <c r="D227" s="1" t="str">
        <f t="shared" si="29"/>
        <v>9801</v>
      </c>
      <c r="E227" s="1" t="s">
        <v>25</v>
      </c>
      <c r="F227" s="1" t="str">
        <f>"E130C75F492804001C00000000000000"</f>
        <v>E130C75F492804001C00000000000000</v>
      </c>
      <c r="G227" s="1" t="s">
        <v>58</v>
      </c>
      <c r="H227" s="1" t="str">
        <f t="shared" ref="H227:H269" si="35">"20220908"</f>
        <v>20220908</v>
      </c>
      <c r="I227" s="1" t="str">
        <f>"061001"</f>
        <v>061001</v>
      </c>
      <c r="J227" s="1" t="s">
        <v>52</v>
      </c>
      <c r="K227" s="1" t="s">
        <v>52</v>
      </c>
      <c r="L227" s="1" t="str">
        <f t="shared" ref="L227:L269" si="36">"20220908"</f>
        <v>20220908</v>
      </c>
      <c r="M227" s="1" t="str">
        <f>"061647"</f>
        <v>061647</v>
      </c>
      <c r="N227" s="1" t="s">
        <v>86</v>
      </c>
      <c r="O227" s="1" t="s">
        <v>52</v>
      </c>
      <c r="P227" s="1" t="s">
        <v>55</v>
      </c>
      <c r="Q227" s="1">
        <v>25</v>
      </c>
      <c r="R227" s="1">
        <v>25</v>
      </c>
      <c r="S227" s="1">
        <v>0</v>
      </c>
      <c r="T227" s="1">
        <v>0</v>
      </c>
      <c r="U227" s="1">
        <v>0</v>
      </c>
      <c r="V227" s="1" t="str">
        <f t="shared" si="30"/>
        <v>里程去程</v>
      </c>
      <c r="W227" s="1" t="s">
        <v>29</v>
      </c>
    </row>
    <row r="228" spans="1:23" x14ac:dyDescent="0.3">
      <c r="A228" s="1" t="str">
        <f t="shared" si="34"/>
        <v>59809</v>
      </c>
      <c r="B228" s="1" t="s">
        <v>42</v>
      </c>
      <c r="C228" s="1" t="s">
        <v>43</v>
      </c>
      <c r="D228" s="1" t="str">
        <f t="shared" si="29"/>
        <v>9801</v>
      </c>
      <c r="E228" s="1" t="s">
        <v>25</v>
      </c>
      <c r="F228" s="1" t="str">
        <f>"D2EDC500FA880400C801002000000015"</f>
        <v>D2EDC500FA880400C801002000000015</v>
      </c>
      <c r="G228" s="1" t="s">
        <v>58</v>
      </c>
      <c r="H228" s="1" t="str">
        <f t="shared" si="35"/>
        <v>20220908</v>
      </c>
      <c r="I228" s="1" t="str">
        <f>"061739"</f>
        <v>061739</v>
      </c>
      <c r="J228" s="1" t="s">
        <v>52</v>
      </c>
      <c r="K228" s="1" t="s">
        <v>52</v>
      </c>
      <c r="L228" s="1" t="str">
        <f t="shared" si="36"/>
        <v>20220908</v>
      </c>
      <c r="M228" s="1" t="str">
        <f>"070202"</f>
        <v>070202</v>
      </c>
      <c r="N228" s="1" t="s">
        <v>65</v>
      </c>
      <c r="O228" s="1" t="s">
        <v>52</v>
      </c>
      <c r="P228" s="1" t="s">
        <v>55</v>
      </c>
      <c r="Q228" s="1">
        <v>25</v>
      </c>
      <c r="R228" s="1">
        <v>25</v>
      </c>
      <c r="S228" s="1">
        <v>0</v>
      </c>
      <c r="T228" s="1">
        <v>0</v>
      </c>
      <c r="U228" s="1">
        <v>0</v>
      </c>
      <c r="V228" s="1" t="str">
        <f t="shared" si="30"/>
        <v>里程去程</v>
      </c>
      <c r="W228" s="1" t="s">
        <v>29</v>
      </c>
    </row>
    <row r="229" spans="1:23" x14ac:dyDescent="0.3">
      <c r="A229" s="1" t="str">
        <f t="shared" si="34"/>
        <v>59809</v>
      </c>
      <c r="B229" s="1" t="s">
        <v>42</v>
      </c>
      <c r="C229" s="1" t="s">
        <v>43</v>
      </c>
      <c r="D229" s="1" t="str">
        <f t="shared" si="29"/>
        <v>9801</v>
      </c>
      <c r="E229" s="1" t="s">
        <v>25</v>
      </c>
      <c r="F229" s="1" t="str">
        <f>"1752749445"</f>
        <v>1752749445</v>
      </c>
      <c r="G229" s="1" t="s">
        <v>33</v>
      </c>
      <c r="H229" s="1" t="str">
        <f t="shared" si="35"/>
        <v>20220908</v>
      </c>
      <c r="I229" s="1" t="str">
        <f>"063009"</f>
        <v>063009</v>
      </c>
      <c r="J229" s="1" t="s">
        <v>52</v>
      </c>
      <c r="K229" s="1" t="s">
        <v>52</v>
      </c>
      <c r="L229" s="1" t="str">
        <f t="shared" si="36"/>
        <v>20220908</v>
      </c>
      <c r="M229" s="1" t="str">
        <f>"065405"</f>
        <v>065405</v>
      </c>
      <c r="N229" s="1" t="s">
        <v>72</v>
      </c>
      <c r="O229" s="1" t="s">
        <v>52</v>
      </c>
      <c r="P229" s="1" t="s">
        <v>55</v>
      </c>
      <c r="Q229" s="1">
        <v>25</v>
      </c>
      <c r="R229" s="1">
        <v>0</v>
      </c>
      <c r="S229" s="1">
        <v>25</v>
      </c>
      <c r="T229" s="1">
        <v>0</v>
      </c>
      <c r="U229" s="1">
        <v>0</v>
      </c>
      <c r="V229" s="1" t="str">
        <f t="shared" si="30"/>
        <v>里程去程</v>
      </c>
      <c r="W229" s="1" t="s">
        <v>35</v>
      </c>
    </row>
    <row r="230" spans="1:23" x14ac:dyDescent="0.3">
      <c r="A230" s="1" t="str">
        <f t="shared" si="34"/>
        <v>59809</v>
      </c>
      <c r="B230" s="1" t="s">
        <v>42</v>
      </c>
      <c r="C230" s="1" t="s">
        <v>43</v>
      </c>
      <c r="D230" s="1" t="str">
        <f t="shared" si="29"/>
        <v>9801</v>
      </c>
      <c r="E230" s="1" t="s">
        <v>25</v>
      </c>
      <c r="F230" s="1" t="str">
        <f>"026A101860880400C814002000000019"</f>
        <v>026A101860880400C814002000000019</v>
      </c>
      <c r="G230" s="1" t="s">
        <v>59</v>
      </c>
      <c r="H230" s="1" t="str">
        <f t="shared" si="35"/>
        <v>20220908</v>
      </c>
      <c r="I230" s="1" t="str">
        <f>"063407"</f>
        <v>063407</v>
      </c>
      <c r="J230" s="1" t="s">
        <v>52</v>
      </c>
      <c r="K230" s="1" t="s">
        <v>52</v>
      </c>
      <c r="L230" s="1" t="str">
        <f t="shared" si="36"/>
        <v>20220908</v>
      </c>
      <c r="M230" s="1" t="str">
        <f>"065455"</f>
        <v>065455</v>
      </c>
      <c r="N230" s="1" t="s">
        <v>65</v>
      </c>
      <c r="O230" s="1" t="s">
        <v>52</v>
      </c>
      <c r="P230" s="1" t="s">
        <v>55</v>
      </c>
      <c r="Q230" s="1">
        <v>25</v>
      </c>
      <c r="R230" s="1">
        <v>0</v>
      </c>
      <c r="S230" s="1">
        <v>25</v>
      </c>
      <c r="T230" s="1">
        <v>0</v>
      </c>
      <c r="U230" s="1">
        <v>0</v>
      </c>
      <c r="V230" s="1" t="str">
        <f t="shared" si="30"/>
        <v>里程去程</v>
      </c>
      <c r="W230" s="1" t="s">
        <v>29</v>
      </c>
    </row>
    <row r="231" spans="1:23" x14ac:dyDescent="0.3">
      <c r="A231" s="1" t="str">
        <f t="shared" si="34"/>
        <v>59809</v>
      </c>
      <c r="B231" s="1" t="s">
        <v>42</v>
      </c>
      <c r="C231" s="1" t="s">
        <v>43</v>
      </c>
      <c r="D231" s="1" t="str">
        <f t="shared" si="29"/>
        <v>9801</v>
      </c>
      <c r="E231" s="1" t="s">
        <v>25</v>
      </c>
      <c r="F231" s="1" t="str">
        <f>"269636433"</f>
        <v>269636433</v>
      </c>
      <c r="G231" s="1" t="s">
        <v>33</v>
      </c>
      <c r="H231" s="1" t="str">
        <f t="shared" si="35"/>
        <v>20220908</v>
      </c>
      <c r="I231" s="1" t="str">
        <f>"063909"</f>
        <v>063909</v>
      </c>
      <c r="J231" s="1" t="s">
        <v>52</v>
      </c>
      <c r="K231" s="1" t="s">
        <v>52</v>
      </c>
      <c r="L231" s="1" t="str">
        <f t="shared" si="36"/>
        <v>20220908</v>
      </c>
      <c r="M231" s="1" t="str">
        <f>"070151"</f>
        <v>070151</v>
      </c>
      <c r="N231" s="1" t="s">
        <v>65</v>
      </c>
      <c r="O231" s="1" t="s">
        <v>52</v>
      </c>
      <c r="P231" s="1" t="s">
        <v>55</v>
      </c>
      <c r="Q231" s="1">
        <v>25</v>
      </c>
      <c r="R231" s="1">
        <v>25</v>
      </c>
      <c r="S231" s="1">
        <v>0</v>
      </c>
      <c r="T231" s="1">
        <v>0</v>
      </c>
      <c r="U231" s="1">
        <v>0</v>
      </c>
      <c r="V231" s="1" t="str">
        <f t="shared" si="30"/>
        <v>里程去程</v>
      </c>
      <c r="W231" s="1" t="s">
        <v>35</v>
      </c>
    </row>
    <row r="232" spans="1:23" x14ac:dyDescent="0.3">
      <c r="A232" s="1" t="str">
        <f t="shared" si="34"/>
        <v>59809</v>
      </c>
      <c r="B232" s="1" t="s">
        <v>42</v>
      </c>
      <c r="C232" s="1" t="s">
        <v>43</v>
      </c>
      <c r="D232" s="1" t="str">
        <f t="shared" si="29"/>
        <v>9801</v>
      </c>
      <c r="E232" s="1" t="s">
        <v>25</v>
      </c>
      <c r="F232" s="1" t="str">
        <f>"F2F7D002D7880400C834002000000015"</f>
        <v>F2F7D002D7880400C834002000000015</v>
      </c>
      <c r="G232" s="1" t="s">
        <v>74</v>
      </c>
      <c r="H232" s="1" t="str">
        <f t="shared" si="35"/>
        <v>20220908</v>
      </c>
      <c r="I232" s="1" t="str">
        <f>"080026"</f>
        <v>080026</v>
      </c>
      <c r="J232" s="1" t="s">
        <v>52</v>
      </c>
      <c r="K232" s="1" t="s">
        <v>52</v>
      </c>
      <c r="L232" s="1" t="str">
        <f t="shared" si="36"/>
        <v>20220908</v>
      </c>
      <c r="M232" s="1" t="str">
        <f>"084657"</f>
        <v>084657</v>
      </c>
      <c r="N232" s="1" t="s">
        <v>56</v>
      </c>
      <c r="O232" s="1" t="s">
        <v>45</v>
      </c>
      <c r="P232" s="1" t="s">
        <v>68</v>
      </c>
      <c r="Q232" s="1">
        <v>25</v>
      </c>
      <c r="R232" s="1">
        <v>0</v>
      </c>
      <c r="S232" s="1">
        <v>0</v>
      </c>
      <c r="T232" s="1">
        <v>25</v>
      </c>
      <c r="U232" s="1">
        <v>0</v>
      </c>
      <c r="V232" s="1" t="str">
        <f t="shared" si="30"/>
        <v>里程去程</v>
      </c>
      <c r="W232" s="1" t="s">
        <v>29</v>
      </c>
    </row>
    <row r="233" spans="1:23" x14ac:dyDescent="0.3">
      <c r="A233" s="1" t="str">
        <f t="shared" si="34"/>
        <v>59809</v>
      </c>
      <c r="B233" s="1" t="s">
        <v>42</v>
      </c>
      <c r="C233" s="1" t="s">
        <v>43</v>
      </c>
      <c r="D233" s="1" t="str">
        <f t="shared" si="29"/>
        <v>9801</v>
      </c>
      <c r="E233" s="1" t="s">
        <v>25</v>
      </c>
      <c r="F233" s="1" t="str">
        <f>"32780D0344880400C834002000000015"</f>
        <v>32780D0344880400C834002000000015</v>
      </c>
      <c r="G233" s="1" t="s">
        <v>26</v>
      </c>
      <c r="H233" s="1" t="str">
        <f t="shared" si="35"/>
        <v>20220908</v>
      </c>
      <c r="I233" s="1" t="str">
        <f>"083611"</f>
        <v>083611</v>
      </c>
      <c r="J233" s="1" t="s">
        <v>27</v>
      </c>
      <c r="K233" s="1" t="s">
        <v>28</v>
      </c>
      <c r="L233" s="1" t="str">
        <f t="shared" si="36"/>
        <v>20220908</v>
      </c>
      <c r="M233" s="1" t="str">
        <f>"084535"</f>
        <v>084535</v>
      </c>
      <c r="N233" s="1" t="s">
        <v>56</v>
      </c>
      <c r="O233" s="1" t="s">
        <v>45</v>
      </c>
      <c r="P233" s="1" t="s">
        <v>68</v>
      </c>
      <c r="Q233" s="1">
        <v>13</v>
      </c>
      <c r="R233" s="1">
        <v>0</v>
      </c>
      <c r="S233" s="1">
        <v>0</v>
      </c>
      <c r="T233" s="1">
        <v>13</v>
      </c>
      <c r="U233" s="1">
        <v>0</v>
      </c>
      <c r="V233" s="1" t="str">
        <f t="shared" si="30"/>
        <v>里程去程</v>
      </c>
      <c r="W233" s="1" t="s">
        <v>29</v>
      </c>
    </row>
    <row r="234" spans="1:23" x14ac:dyDescent="0.3">
      <c r="A234" s="1" t="str">
        <f t="shared" si="34"/>
        <v>59809</v>
      </c>
      <c r="B234" s="1" t="s">
        <v>42</v>
      </c>
      <c r="C234" s="1" t="s">
        <v>43</v>
      </c>
      <c r="D234" s="1" t="str">
        <f t="shared" si="29"/>
        <v>9801</v>
      </c>
      <c r="E234" s="1" t="s">
        <v>25</v>
      </c>
      <c r="F234" s="1" t="str">
        <f>"269636433"</f>
        <v>269636433</v>
      </c>
      <c r="G234" s="1" t="s">
        <v>33</v>
      </c>
      <c r="H234" s="1" t="str">
        <f t="shared" si="35"/>
        <v>20220908</v>
      </c>
      <c r="I234" s="1" t="str">
        <f>"084541"</f>
        <v>084541</v>
      </c>
      <c r="J234" s="1" t="s">
        <v>56</v>
      </c>
      <c r="K234" s="1" t="s">
        <v>45</v>
      </c>
      <c r="L234" s="1" t="str">
        <f t="shared" si="36"/>
        <v>20220908</v>
      </c>
      <c r="M234" s="1" t="str">
        <f>"085552"</f>
        <v>085552</v>
      </c>
      <c r="N234" s="1" t="s">
        <v>44</v>
      </c>
      <c r="O234" s="1" t="s">
        <v>45</v>
      </c>
      <c r="P234" s="1" t="s">
        <v>55</v>
      </c>
      <c r="Q234" s="1">
        <v>25</v>
      </c>
      <c r="R234" s="1">
        <v>25</v>
      </c>
      <c r="S234" s="1">
        <v>0</v>
      </c>
      <c r="T234" s="1">
        <v>0</v>
      </c>
      <c r="U234" s="1">
        <v>0</v>
      </c>
      <c r="V234" s="1" t="str">
        <f t="shared" si="30"/>
        <v>里程去程</v>
      </c>
      <c r="W234" s="1" t="s">
        <v>35</v>
      </c>
    </row>
    <row r="235" spans="1:23" x14ac:dyDescent="0.3">
      <c r="A235" s="1" t="str">
        <f t="shared" si="34"/>
        <v>59809</v>
      </c>
      <c r="B235" s="1" t="s">
        <v>42</v>
      </c>
      <c r="C235" s="1" t="s">
        <v>43</v>
      </c>
      <c r="D235" s="1" t="str">
        <f t="shared" si="29"/>
        <v>9801</v>
      </c>
      <c r="E235" s="1" t="s">
        <v>25</v>
      </c>
      <c r="F235" s="1" t="str">
        <f>"E213BD024E880400C834002000000015"</f>
        <v>E213BD024E880400C834002000000015</v>
      </c>
      <c r="G235" s="1" t="s">
        <v>74</v>
      </c>
      <c r="H235" s="1" t="str">
        <f t="shared" si="35"/>
        <v>20220908</v>
      </c>
      <c r="I235" s="1" t="str">
        <f>"093401"</f>
        <v>093401</v>
      </c>
      <c r="J235" s="1" t="s">
        <v>27</v>
      </c>
      <c r="K235" s="1" t="s">
        <v>28</v>
      </c>
      <c r="L235" s="1" t="str">
        <f t="shared" si="36"/>
        <v>20220908</v>
      </c>
      <c r="M235" s="1" t="str">
        <f>"094446"</f>
        <v>094446</v>
      </c>
      <c r="N235" s="1" t="s">
        <v>56</v>
      </c>
      <c r="O235" s="1" t="s">
        <v>45</v>
      </c>
      <c r="P235" s="1" t="s">
        <v>68</v>
      </c>
      <c r="Q235" s="1">
        <v>13</v>
      </c>
      <c r="R235" s="1">
        <v>0</v>
      </c>
      <c r="S235" s="1">
        <v>0</v>
      </c>
      <c r="T235" s="1">
        <v>13</v>
      </c>
      <c r="U235" s="1">
        <v>0</v>
      </c>
      <c r="V235" s="1" t="str">
        <f t="shared" si="30"/>
        <v>里程去程</v>
      </c>
      <c r="W235" s="1" t="s">
        <v>29</v>
      </c>
    </row>
    <row r="236" spans="1:23" x14ac:dyDescent="0.3">
      <c r="A236" s="1" t="str">
        <f t="shared" ref="A236:A269" si="37">"59828"</f>
        <v>59828</v>
      </c>
      <c r="B236" s="1" t="s">
        <v>23</v>
      </c>
      <c r="C236" s="1" t="s">
        <v>24</v>
      </c>
      <c r="D236" s="1" t="str">
        <f t="shared" si="29"/>
        <v>9801</v>
      </c>
      <c r="E236" s="1" t="s">
        <v>25</v>
      </c>
      <c r="F236" s="1" t="str">
        <f>"269636433"</f>
        <v>269636433</v>
      </c>
      <c r="G236" s="1" t="s">
        <v>33</v>
      </c>
      <c r="H236" s="1" t="str">
        <f t="shared" si="35"/>
        <v>20220908</v>
      </c>
      <c r="I236" s="1" t="str">
        <f>"105709"</f>
        <v>105709</v>
      </c>
      <c r="J236" s="1" t="s">
        <v>52</v>
      </c>
      <c r="K236" s="1" t="s">
        <v>52</v>
      </c>
      <c r="L236" s="1" t="str">
        <f t="shared" si="36"/>
        <v>20220908</v>
      </c>
      <c r="M236" s="1" t="str">
        <f>"112744"</f>
        <v>112744</v>
      </c>
      <c r="N236" s="1" t="s">
        <v>84</v>
      </c>
      <c r="O236" s="1" t="s">
        <v>28</v>
      </c>
      <c r="P236" s="1" t="s">
        <v>55</v>
      </c>
      <c r="Q236" s="1">
        <v>25</v>
      </c>
      <c r="R236" s="1">
        <v>25</v>
      </c>
      <c r="S236" s="1">
        <v>0</v>
      </c>
      <c r="T236" s="1">
        <v>0</v>
      </c>
      <c r="U236" s="1">
        <v>0</v>
      </c>
      <c r="V236" s="1" t="str">
        <f t="shared" si="30"/>
        <v>里程去程</v>
      </c>
      <c r="W236" s="1" t="s">
        <v>35</v>
      </c>
    </row>
    <row r="237" spans="1:23" x14ac:dyDescent="0.3">
      <c r="A237" s="1" t="str">
        <f t="shared" si="37"/>
        <v>59828</v>
      </c>
      <c r="B237" s="1" t="s">
        <v>23</v>
      </c>
      <c r="C237" s="1" t="s">
        <v>24</v>
      </c>
      <c r="D237" s="1" t="str">
        <f t="shared" si="29"/>
        <v>9801</v>
      </c>
      <c r="E237" s="1" t="s">
        <v>25</v>
      </c>
      <c r="F237" s="1" t="str">
        <f>"32780D0344880400C834002000000015"</f>
        <v>32780D0344880400C834002000000015</v>
      </c>
      <c r="G237" s="1" t="s">
        <v>26</v>
      </c>
      <c r="H237" s="1" t="str">
        <f t="shared" si="35"/>
        <v>20220908</v>
      </c>
      <c r="I237" s="1" t="str">
        <f>"105723"</f>
        <v>105723</v>
      </c>
      <c r="J237" s="1" t="s">
        <v>52</v>
      </c>
      <c r="K237" s="1" t="s">
        <v>52</v>
      </c>
      <c r="L237" s="1" t="str">
        <f t="shared" si="36"/>
        <v>20220908</v>
      </c>
      <c r="M237" s="1" t="str">
        <f>"113221"</f>
        <v>113221</v>
      </c>
      <c r="N237" s="1" t="s">
        <v>70</v>
      </c>
      <c r="O237" s="1" t="s">
        <v>28</v>
      </c>
      <c r="P237" s="1" t="s">
        <v>68</v>
      </c>
      <c r="Q237" s="1">
        <v>13</v>
      </c>
      <c r="R237" s="1">
        <v>0</v>
      </c>
      <c r="S237" s="1">
        <v>0</v>
      </c>
      <c r="T237" s="1">
        <v>13</v>
      </c>
      <c r="U237" s="1">
        <v>0</v>
      </c>
      <c r="V237" s="1" t="str">
        <f t="shared" si="30"/>
        <v>里程去程</v>
      </c>
      <c r="W237" s="1" t="s">
        <v>29</v>
      </c>
    </row>
    <row r="238" spans="1:23" x14ac:dyDescent="0.3">
      <c r="A238" s="1" t="str">
        <f t="shared" si="37"/>
        <v>59828</v>
      </c>
      <c r="B238" s="1" t="s">
        <v>23</v>
      </c>
      <c r="C238" s="1" t="s">
        <v>24</v>
      </c>
      <c r="D238" s="1" t="str">
        <f t="shared" si="29"/>
        <v>9801</v>
      </c>
      <c r="E238" s="1" t="s">
        <v>25</v>
      </c>
      <c r="F238" s="1" t="str">
        <f>"1725435766"</f>
        <v>1725435766</v>
      </c>
      <c r="G238" s="1" t="s">
        <v>26</v>
      </c>
      <c r="H238" s="1" t="str">
        <f t="shared" si="35"/>
        <v>20220908</v>
      </c>
      <c r="I238" s="1" t="str">
        <f>"110825"</f>
        <v>110825</v>
      </c>
      <c r="J238" s="1" t="s">
        <v>51</v>
      </c>
      <c r="K238" s="1" t="s">
        <v>52</v>
      </c>
      <c r="L238" s="1" t="str">
        <f t="shared" si="36"/>
        <v>20220908</v>
      </c>
      <c r="M238" s="1" t="str">
        <f>"112022"</f>
        <v>112022</v>
      </c>
      <c r="N238" s="1" t="s">
        <v>69</v>
      </c>
      <c r="O238" s="1" t="s">
        <v>52</v>
      </c>
      <c r="P238" s="1" t="s">
        <v>55</v>
      </c>
      <c r="Q238" s="1">
        <v>13</v>
      </c>
      <c r="R238" s="1">
        <v>0</v>
      </c>
      <c r="S238" s="1">
        <v>13</v>
      </c>
      <c r="T238" s="1">
        <v>0</v>
      </c>
      <c r="U238" s="1">
        <v>0</v>
      </c>
      <c r="V238" s="1" t="str">
        <f t="shared" si="30"/>
        <v>里程去程</v>
      </c>
      <c r="W238" s="1" t="s">
        <v>35</v>
      </c>
    </row>
    <row r="239" spans="1:23" x14ac:dyDescent="0.3">
      <c r="A239" s="1" t="str">
        <f t="shared" si="37"/>
        <v>59828</v>
      </c>
      <c r="B239" s="1" t="s">
        <v>23</v>
      </c>
      <c r="C239" s="1" t="s">
        <v>24</v>
      </c>
      <c r="D239" s="1" t="str">
        <f t="shared" si="29"/>
        <v>9801</v>
      </c>
      <c r="E239" s="1" t="s">
        <v>25</v>
      </c>
      <c r="F239" s="1" t="str">
        <f>"703320721"</f>
        <v>703320721</v>
      </c>
      <c r="G239" s="1" t="s">
        <v>33</v>
      </c>
      <c r="H239" s="1" t="str">
        <f t="shared" si="35"/>
        <v>20220908</v>
      </c>
      <c r="I239" s="1" t="str">
        <f>"113412"</f>
        <v>113412</v>
      </c>
      <c r="J239" s="1" t="s">
        <v>27</v>
      </c>
      <c r="K239" s="1" t="s">
        <v>28</v>
      </c>
      <c r="L239" s="1" t="str">
        <f t="shared" si="36"/>
        <v>20220908</v>
      </c>
      <c r="M239" s="1" t="str">
        <f>"115854"</f>
        <v>115854</v>
      </c>
      <c r="N239" s="1" t="s">
        <v>44</v>
      </c>
      <c r="O239" s="1" t="s">
        <v>45</v>
      </c>
      <c r="P239" s="1" t="s">
        <v>55</v>
      </c>
      <c r="Q239" s="1">
        <v>25</v>
      </c>
      <c r="R239" s="1">
        <v>0</v>
      </c>
      <c r="S239" s="1">
        <v>25</v>
      </c>
      <c r="T239" s="1">
        <v>0</v>
      </c>
      <c r="U239" s="1">
        <v>0</v>
      </c>
      <c r="V239" s="1" t="str">
        <f t="shared" si="30"/>
        <v>里程去程</v>
      </c>
      <c r="W239" s="1" t="s">
        <v>35</v>
      </c>
    </row>
    <row r="240" spans="1:23" x14ac:dyDescent="0.3">
      <c r="A240" s="1" t="str">
        <f t="shared" si="37"/>
        <v>59828</v>
      </c>
      <c r="B240" s="1" t="s">
        <v>23</v>
      </c>
      <c r="C240" s="1" t="s">
        <v>24</v>
      </c>
      <c r="D240" s="1" t="str">
        <f t="shared" si="29"/>
        <v>9801</v>
      </c>
      <c r="E240" s="1" t="s">
        <v>25</v>
      </c>
      <c r="F240" s="1" t="str">
        <f>"1653854752"</f>
        <v>1653854752</v>
      </c>
      <c r="G240" s="1" t="s">
        <v>33</v>
      </c>
      <c r="H240" s="1" t="str">
        <f t="shared" si="35"/>
        <v>20220908</v>
      </c>
      <c r="I240" s="1" t="str">
        <f>"113420"</f>
        <v>113420</v>
      </c>
      <c r="J240" s="1" t="s">
        <v>27</v>
      </c>
      <c r="K240" s="1" t="s">
        <v>28</v>
      </c>
      <c r="L240" s="1" t="str">
        <f t="shared" si="36"/>
        <v>20220908</v>
      </c>
      <c r="M240" s="1" t="str">
        <f>"114821"</f>
        <v>114821</v>
      </c>
      <c r="N240" s="1" t="s">
        <v>56</v>
      </c>
      <c r="O240" s="1" t="s">
        <v>45</v>
      </c>
      <c r="P240" s="1" t="s">
        <v>55</v>
      </c>
      <c r="Q240" s="1">
        <v>25</v>
      </c>
      <c r="R240" s="1">
        <v>25</v>
      </c>
      <c r="S240" s="1">
        <v>0</v>
      </c>
      <c r="T240" s="1">
        <v>0</v>
      </c>
      <c r="U240" s="1">
        <v>0</v>
      </c>
      <c r="V240" s="1" t="str">
        <f t="shared" si="30"/>
        <v>里程去程</v>
      </c>
      <c r="W240" s="1" t="s">
        <v>35</v>
      </c>
    </row>
    <row r="241" spans="1:23" x14ac:dyDescent="0.3">
      <c r="A241" s="1" t="str">
        <f t="shared" si="37"/>
        <v>59828</v>
      </c>
      <c r="B241" s="1" t="s">
        <v>23</v>
      </c>
      <c r="C241" s="1" t="s">
        <v>24</v>
      </c>
      <c r="D241" s="1" t="str">
        <f t="shared" si="29"/>
        <v>9801</v>
      </c>
      <c r="E241" s="1" t="s">
        <v>25</v>
      </c>
      <c r="F241" s="1" t="str">
        <f>"43470897"</f>
        <v>43470897</v>
      </c>
      <c r="G241" s="1" t="s">
        <v>33</v>
      </c>
      <c r="H241" s="1" t="str">
        <f t="shared" si="35"/>
        <v>20220908</v>
      </c>
      <c r="I241" s="1" t="str">
        <f>"113424"</f>
        <v>113424</v>
      </c>
      <c r="J241" s="1" t="s">
        <v>27</v>
      </c>
      <c r="K241" s="1" t="s">
        <v>28</v>
      </c>
      <c r="L241" s="1" t="str">
        <f t="shared" si="36"/>
        <v>20220908</v>
      </c>
      <c r="M241" s="1" t="str">
        <f>"115849"</f>
        <v>115849</v>
      </c>
      <c r="N241" s="1" t="s">
        <v>44</v>
      </c>
      <c r="O241" s="1" t="s">
        <v>45</v>
      </c>
      <c r="P241" s="1" t="s">
        <v>55</v>
      </c>
      <c r="Q241" s="1">
        <v>25</v>
      </c>
      <c r="R241" s="1">
        <v>0</v>
      </c>
      <c r="S241" s="1">
        <v>25</v>
      </c>
      <c r="T241" s="1">
        <v>0</v>
      </c>
      <c r="U241" s="1">
        <v>0</v>
      </c>
      <c r="V241" s="1" t="str">
        <f t="shared" si="30"/>
        <v>里程去程</v>
      </c>
      <c r="W241" s="1" t="s">
        <v>35</v>
      </c>
    </row>
    <row r="242" spans="1:23" x14ac:dyDescent="0.3">
      <c r="A242" s="1" t="str">
        <f t="shared" si="37"/>
        <v>59828</v>
      </c>
      <c r="B242" s="1" t="s">
        <v>23</v>
      </c>
      <c r="C242" s="1" t="s">
        <v>24</v>
      </c>
      <c r="D242" s="1" t="str">
        <f t="shared" si="29"/>
        <v>9801</v>
      </c>
      <c r="E242" s="1" t="s">
        <v>25</v>
      </c>
      <c r="F242" s="1" t="str">
        <f>"1454364865"</f>
        <v>1454364865</v>
      </c>
      <c r="G242" s="1" t="s">
        <v>33</v>
      </c>
      <c r="H242" s="1" t="str">
        <f t="shared" si="35"/>
        <v>20220908</v>
      </c>
      <c r="I242" s="1" t="str">
        <f>"113504"</f>
        <v>113504</v>
      </c>
      <c r="J242" s="1" t="s">
        <v>27</v>
      </c>
      <c r="K242" s="1" t="s">
        <v>28</v>
      </c>
      <c r="L242" s="1" t="str">
        <f t="shared" si="36"/>
        <v>20220908</v>
      </c>
      <c r="M242" s="1" t="str">
        <f>"114607"</f>
        <v>114607</v>
      </c>
      <c r="N242" s="1" t="s">
        <v>61</v>
      </c>
      <c r="O242" s="1" t="s">
        <v>45</v>
      </c>
      <c r="P242" s="1" t="s">
        <v>55</v>
      </c>
      <c r="Q242" s="1">
        <v>25</v>
      </c>
      <c r="R242" s="1">
        <v>0</v>
      </c>
      <c r="S242" s="1">
        <v>25</v>
      </c>
      <c r="T242" s="1">
        <v>0</v>
      </c>
      <c r="U242" s="1">
        <v>0</v>
      </c>
      <c r="V242" s="1" t="str">
        <f t="shared" si="30"/>
        <v>里程去程</v>
      </c>
      <c r="W242" s="1" t="s">
        <v>35</v>
      </c>
    </row>
    <row r="243" spans="1:23" x14ac:dyDescent="0.3">
      <c r="A243" s="1" t="str">
        <f t="shared" si="37"/>
        <v>59828</v>
      </c>
      <c r="B243" s="1" t="s">
        <v>23</v>
      </c>
      <c r="C243" s="1" t="s">
        <v>24</v>
      </c>
      <c r="D243" s="1" t="str">
        <f t="shared" si="29"/>
        <v>9801</v>
      </c>
      <c r="E243" s="1" t="s">
        <v>25</v>
      </c>
      <c r="F243" s="1" t="str">
        <f>"1618801701"</f>
        <v>1618801701</v>
      </c>
      <c r="G243" s="1" t="s">
        <v>26</v>
      </c>
      <c r="H243" s="1" t="str">
        <f t="shared" si="35"/>
        <v>20220908</v>
      </c>
      <c r="I243" s="1" t="str">
        <f>"120623"</f>
        <v>120623</v>
      </c>
      <c r="J243" s="1" t="s">
        <v>60</v>
      </c>
      <c r="K243" s="1" t="s">
        <v>52</v>
      </c>
      <c r="L243" s="1" t="str">
        <f t="shared" si="36"/>
        <v>20220908</v>
      </c>
      <c r="M243" s="1" t="str">
        <f>"123514"</f>
        <v>123514</v>
      </c>
      <c r="N243" s="1" t="s">
        <v>70</v>
      </c>
      <c r="O243" s="1" t="s">
        <v>28</v>
      </c>
      <c r="P243" s="1" t="s">
        <v>55</v>
      </c>
      <c r="Q243" s="1">
        <v>13</v>
      </c>
      <c r="R243" s="1">
        <v>13</v>
      </c>
      <c r="S243" s="1">
        <v>0</v>
      </c>
      <c r="T243" s="1">
        <v>0</v>
      </c>
      <c r="U243" s="1">
        <v>0</v>
      </c>
      <c r="V243" s="1" t="str">
        <f t="shared" si="30"/>
        <v>里程去程</v>
      </c>
      <c r="W243" s="1" t="s">
        <v>35</v>
      </c>
    </row>
    <row r="244" spans="1:23" x14ac:dyDescent="0.3">
      <c r="A244" s="1" t="str">
        <f t="shared" si="37"/>
        <v>59828</v>
      </c>
      <c r="B244" s="1" t="s">
        <v>23</v>
      </c>
      <c r="C244" s="1" t="s">
        <v>24</v>
      </c>
      <c r="D244" s="1" t="str">
        <f t="shared" si="29"/>
        <v>9801</v>
      </c>
      <c r="E244" s="1" t="s">
        <v>25</v>
      </c>
      <c r="F244" s="1" t="str">
        <f>"F25B1B03B1880400C834002000000015"</f>
        <v>F25B1B03B1880400C834002000000015</v>
      </c>
      <c r="G244" s="1" t="s">
        <v>26</v>
      </c>
      <c r="H244" s="1" t="str">
        <f t="shared" si="35"/>
        <v>20220908</v>
      </c>
      <c r="I244" s="1" t="str">
        <f>"120632"</f>
        <v>120632</v>
      </c>
      <c r="J244" s="1" t="s">
        <v>60</v>
      </c>
      <c r="K244" s="1" t="s">
        <v>52</v>
      </c>
      <c r="L244" s="1" t="str">
        <f t="shared" si="36"/>
        <v>20220908</v>
      </c>
      <c r="M244" s="1" t="str">
        <f>"123516"</f>
        <v>123516</v>
      </c>
      <c r="N244" s="1" t="s">
        <v>70</v>
      </c>
      <c r="O244" s="1" t="s">
        <v>28</v>
      </c>
      <c r="P244" s="1" t="s">
        <v>68</v>
      </c>
      <c r="Q244" s="1">
        <v>13</v>
      </c>
      <c r="R244" s="1">
        <v>0</v>
      </c>
      <c r="S244" s="1">
        <v>0</v>
      </c>
      <c r="T244" s="1">
        <v>13</v>
      </c>
      <c r="U244" s="1">
        <v>0</v>
      </c>
      <c r="V244" s="1" t="str">
        <f t="shared" si="30"/>
        <v>里程去程</v>
      </c>
      <c r="W244" s="1" t="s">
        <v>29</v>
      </c>
    </row>
    <row r="245" spans="1:23" x14ac:dyDescent="0.3">
      <c r="A245" s="1" t="str">
        <f t="shared" si="37"/>
        <v>59828</v>
      </c>
      <c r="B245" s="1" t="s">
        <v>23</v>
      </c>
      <c r="C245" s="1" t="s">
        <v>24</v>
      </c>
      <c r="D245" s="1" t="str">
        <f t="shared" si="29"/>
        <v>9801</v>
      </c>
      <c r="E245" s="1" t="s">
        <v>25</v>
      </c>
      <c r="F245" s="1" t="str">
        <f>"03A6A9454988040048B994D749703809"</f>
        <v>03A6A9454988040048B994D749703809</v>
      </c>
      <c r="G245" s="1" t="s">
        <v>64</v>
      </c>
      <c r="H245" s="1" t="str">
        <f t="shared" si="35"/>
        <v>20220908</v>
      </c>
      <c r="I245" s="1" t="str">
        <f>"122626"</f>
        <v>122626</v>
      </c>
      <c r="J245" s="1" t="s">
        <v>67</v>
      </c>
      <c r="K245" s="1" t="s">
        <v>52</v>
      </c>
      <c r="L245" s="1" t="str">
        <f t="shared" si="36"/>
        <v>20220908</v>
      </c>
      <c r="M245" s="1" t="str">
        <f>"123520"</f>
        <v>123520</v>
      </c>
      <c r="N245" s="1" t="s">
        <v>70</v>
      </c>
      <c r="O245" s="1" t="s">
        <v>28</v>
      </c>
      <c r="P245" s="1" t="s">
        <v>55</v>
      </c>
      <c r="Q245" s="1">
        <v>13</v>
      </c>
      <c r="R245" s="1">
        <v>13</v>
      </c>
      <c r="S245" s="1">
        <v>0</v>
      </c>
      <c r="T245" s="1">
        <v>0</v>
      </c>
      <c r="U245" s="1">
        <v>0</v>
      </c>
      <c r="V245" s="1" t="str">
        <f t="shared" si="30"/>
        <v>里程去程</v>
      </c>
      <c r="W245" s="1" t="s">
        <v>29</v>
      </c>
    </row>
    <row r="246" spans="1:23" x14ac:dyDescent="0.3">
      <c r="A246" s="1" t="str">
        <f t="shared" si="37"/>
        <v>59828</v>
      </c>
      <c r="B246" s="1" t="s">
        <v>23</v>
      </c>
      <c r="C246" s="1" t="s">
        <v>24</v>
      </c>
      <c r="D246" s="1" t="str">
        <f t="shared" si="29"/>
        <v>9801</v>
      </c>
      <c r="E246" s="1" t="s">
        <v>25</v>
      </c>
      <c r="F246" s="1" t="str">
        <f>"7511161438009850"</f>
        <v>7511161438009850</v>
      </c>
      <c r="G246" s="1" t="s">
        <v>33</v>
      </c>
      <c r="H246" s="1" t="str">
        <f t="shared" si="35"/>
        <v>20220908</v>
      </c>
      <c r="I246" s="1" t="str">
        <f>"123532"</f>
        <v>123532</v>
      </c>
      <c r="J246" s="1" t="s">
        <v>27</v>
      </c>
      <c r="K246" s="1" t="s">
        <v>28</v>
      </c>
      <c r="L246" s="1" t="str">
        <f t="shared" si="36"/>
        <v>20220908</v>
      </c>
      <c r="M246" s="1" t="str">
        <f>"125518"</f>
        <v>125518</v>
      </c>
      <c r="N246" s="1" t="s">
        <v>100</v>
      </c>
      <c r="O246" s="1" t="s">
        <v>45</v>
      </c>
      <c r="P246" s="1" t="s">
        <v>55</v>
      </c>
      <c r="Q246" s="1">
        <v>25</v>
      </c>
      <c r="R246" s="1">
        <v>25</v>
      </c>
      <c r="S246" s="1">
        <v>0</v>
      </c>
      <c r="T246" s="1">
        <v>0</v>
      </c>
      <c r="U246" s="1">
        <v>0</v>
      </c>
      <c r="V246" s="1" t="str">
        <f t="shared" si="30"/>
        <v>里程去程</v>
      </c>
      <c r="W246" s="1" t="s">
        <v>109</v>
      </c>
    </row>
    <row r="247" spans="1:23" x14ac:dyDescent="0.3">
      <c r="A247" s="1" t="str">
        <f t="shared" si="37"/>
        <v>59828</v>
      </c>
      <c r="B247" s="1" t="s">
        <v>23</v>
      </c>
      <c r="C247" s="1" t="s">
        <v>24</v>
      </c>
      <c r="D247" s="1" t="str">
        <f t="shared" si="29"/>
        <v>9801</v>
      </c>
      <c r="E247" s="1" t="s">
        <v>25</v>
      </c>
      <c r="F247" s="1" t="str">
        <f>"951251349"</f>
        <v>951251349</v>
      </c>
      <c r="G247" s="1" t="s">
        <v>74</v>
      </c>
      <c r="H247" s="1" t="str">
        <f t="shared" si="35"/>
        <v>20220908</v>
      </c>
      <c r="I247" s="1" t="str">
        <f>"123533"</f>
        <v>123533</v>
      </c>
      <c r="J247" s="1" t="s">
        <v>27</v>
      </c>
      <c r="K247" s="1" t="s">
        <v>28</v>
      </c>
      <c r="L247" s="1" t="str">
        <f t="shared" si="36"/>
        <v>20220908</v>
      </c>
      <c r="M247" s="1" t="str">
        <f>"125859"</f>
        <v>125859</v>
      </c>
      <c r="N247" s="1" t="s">
        <v>44</v>
      </c>
      <c r="O247" s="1" t="s">
        <v>45</v>
      </c>
      <c r="P247" s="1" t="s">
        <v>55</v>
      </c>
      <c r="Q247" s="1">
        <v>13</v>
      </c>
      <c r="R247" s="1">
        <v>13</v>
      </c>
      <c r="S247" s="1">
        <v>0</v>
      </c>
      <c r="T247" s="1">
        <v>0</v>
      </c>
      <c r="U247" s="1">
        <v>0</v>
      </c>
      <c r="V247" s="1" t="str">
        <f t="shared" si="30"/>
        <v>里程去程</v>
      </c>
      <c r="W247" s="1" t="s">
        <v>35</v>
      </c>
    </row>
    <row r="248" spans="1:23" x14ac:dyDescent="0.3">
      <c r="A248" s="1" t="str">
        <f t="shared" si="37"/>
        <v>59828</v>
      </c>
      <c r="B248" s="1" t="s">
        <v>23</v>
      </c>
      <c r="C248" s="1" t="s">
        <v>24</v>
      </c>
      <c r="D248" s="1" t="str">
        <f t="shared" si="29"/>
        <v>9801</v>
      </c>
      <c r="E248" s="1" t="s">
        <v>25</v>
      </c>
      <c r="F248" s="1" t="str">
        <f>"1741442421"</f>
        <v>1741442421</v>
      </c>
      <c r="G248" s="1" t="s">
        <v>102</v>
      </c>
      <c r="H248" s="1" t="str">
        <f t="shared" si="35"/>
        <v>20220908</v>
      </c>
      <c r="I248" s="1" t="str">
        <f>"123537"</f>
        <v>123537</v>
      </c>
      <c r="J248" s="1" t="s">
        <v>27</v>
      </c>
      <c r="K248" s="1" t="s">
        <v>28</v>
      </c>
      <c r="L248" s="1" t="str">
        <f t="shared" si="36"/>
        <v>20220908</v>
      </c>
      <c r="M248" s="1" t="str">
        <f>"125903"</f>
        <v>125903</v>
      </c>
      <c r="N248" s="1" t="s">
        <v>44</v>
      </c>
      <c r="O248" s="1" t="s">
        <v>45</v>
      </c>
      <c r="P248" s="1" t="s">
        <v>55</v>
      </c>
      <c r="Q248" s="1">
        <v>13</v>
      </c>
      <c r="R248" s="1">
        <v>13</v>
      </c>
      <c r="S248" s="1">
        <v>0</v>
      </c>
      <c r="T248" s="1">
        <v>0</v>
      </c>
      <c r="U248" s="1">
        <v>0</v>
      </c>
      <c r="V248" s="1" t="str">
        <f t="shared" si="30"/>
        <v>里程去程</v>
      </c>
      <c r="W248" s="1" t="s">
        <v>35</v>
      </c>
    </row>
    <row r="249" spans="1:23" x14ac:dyDescent="0.3">
      <c r="A249" s="1" t="str">
        <f t="shared" si="37"/>
        <v>59828</v>
      </c>
      <c r="B249" s="1" t="s">
        <v>23</v>
      </c>
      <c r="C249" s="1" t="s">
        <v>24</v>
      </c>
      <c r="D249" s="1" t="str">
        <f t="shared" si="29"/>
        <v>9801</v>
      </c>
      <c r="E249" s="1" t="s">
        <v>25</v>
      </c>
      <c r="F249" s="1" t="str">
        <f>"1328778177"</f>
        <v>1328778177</v>
      </c>
      <c r="G249" s="1" t="s">
        <v>33</v>
      </c>
      <c r="H249" s="1" t="str">
        <f t="shared" si="35"/>
        <v>20220908</v>
      </c>
      <c r="I249" s="1" t="str">
        <f>"123548"</f>
        <v>123548</v>
      </c>
      <c r="J249" s="1" t="s">
        <v>27</v>
      </c>
      <c r="K249" s="1" t="s">
        <v>28</v>
      </c>
      <c r="L249" s="1" t="str">
        <f t="shared" si="36"/>
        <v>20220908</v>
      </c>
      <c r="M249" s="1" t="str">
        <f>"125856"</f>
        <v>125856</v>
      </c>
      <c r="N249" s="1" t="s">
        <v>44</v>
      </c>
      <c r="O249" s="1" t="s">
        <v>45</v>
      </c>
      <c r="P249" s="1" t="s">
        <v>55</v>
      </c>
      <c r="Q249" s="1">
        <v>25</v>
      </c>
      <c r="R249" s="1">
        <v>25</v>
      </c>
      <c r="S249" s="1">
        <v>0</v>
      </c>
      <c r="T249" s="1">
        <v>0</v>
      </c>
      <c r="U249" s="1">
        <v>0</v>
      </c>
      <c r="V249" s="1" t="str">
        <f t="shared" si="30"/>
        <v>里程去程</v>
      </c>
      <c r="W249" s="1" t="s">
        <v>35</v>
      </c>
    </row>
    <row r="250" spans="1:23" x14ac:dyDescent="0.3">
      <c r="A250" s="1" t="str">
        <f t="shared" si="37"/>
        <v>59828</v>
      </c>
      <c r="B250" s="1" t="s">
        <v>23</v>
      </c>
      <c r="C250" s="1" t="s">
        <v>24</v>
      </c>
      <c r="D250" s="1" t="str">
        <f t="shared" si="29"/>
        <v>9801</v>
      </c>
      <c r="E250" s="1" t="s">
        <v>25</v>
      </c>
      <c r="F250" s="1" t="str">
        <f>"903825701"</f>
        <v>903825701</v>
      </c>
      <c r="G250" s="1" t="s">
        <v>33</v>
      </c>
      <c r="H250" s="1" t="str">
        <f t="shared" si="35"/>
        <v>20220908</v>
      </c>
      <c r="I250" s="1" t="str">
        <f>"123549"</f>
        <v>123549</v>
      </c>
      <c r="J250" s="1" t="s">
        <v>27</v>
      </c>
      <c r="K250" s="1" t="s">
        <v>28</v>
      </c>
      <c r="L250" s="1" t="str">
        <f t="shared" si="36"/>
        <v>20220908</v>
      </c>
      <c r="M250" s="1" t="str">
        <f>"125530"</f>
        <v>125530</v>
      </c>
      <c r="N250" s="1" t="s">
        <v>100</v>
      </c>
      <c r="O250" s="1" t="s">
        <v>45</v>
      </c>
      <c r="P250" s="1" t="s">
        <v>55</v>
      </c>
      <c r="Q250" s="1">
        <v>25</v>
      </c>
      <c r="R250" s="1">
        <v>0</v>
      </c>
      <c r="S250" s="1">
        <v>25</v>
      </c>
      <c r="T250" s="1">
        <v>0</v>
      </c>
      <c r="U250" s="1">
        <v>0</v>
      </c>
      <c r="V250" s="1" t="str">
        <f t="shared" si="30"/>
        <v>里程去程</v>
      </c>
      <c r="W250" s="1" t="s">
        <v>35</v>
      </c>
    </row>
    <row r="251" spans="1:23" x14ac:dyDescent="0.3">
      <c r="A251" s="1" t="str">
        <f t="shared" si="37"/>
        <v>59828</v>
      </c>
      <c r="B251" s="1" t="s">
        <v>23</v>
      </c>
      <c r="C251" s="1" t="s">
        <v>24</v>
      </c>
      <c r="D251" s="1" t="str">
        <f t="shared" si="29"/>
        <v>9801</v>
      </c>
      <c r="E251" s="1" t="s">
        <v>25</v>
      </c>
      <c r="F251" s="1" t="str">
        <f>"1106211637"</f>
        <v>1106211637</v>
      </c>
      <c r="G251" s="1" t="s">
        <v>33</v>
      </c>
      <c r="H251" s="1" t="str">
        <f t="shared" si="35"/>
        <v>20220908</v>
      </c>
      <c r="I251" s="1" t="str">
        <f>"133342"</f>
        <v>133342</v>
      </c>
      <c r="J251" s="1" t="s">
        <v>95</v>
      </c>
      <c r="K251" s="1" t="s">
        <v>28</v>
      </c>
      <c r="L251" s="1" t="str">
        <f t="shared" si="36"/>
        <v>20220908</v>
      </c>
      <c r="M251" s="1" t="str">
        <f>"135421"</f>
        <v>135421</v>
      </c>
      <c r="N251" s="1" t="s">
        <v>44</v>
      </c>
      <c r="O251" s="1" t="s">
        <v>45</v>
      </c>
      <c r="P251" s="1" t="s">
        <v>55</v>
      </c>
      <c r="Q251" s="1">
        <v>25</v>
      </c>
      <c r="R251" s="1">
        <v>25</v>
      </c>
      <c r="S251" s="1">
        <v>0</v>
      </c>
      <c r="T251" s="1">
        <v>0</v>
      </c>
      <c r="U251" s="1">
        <v>0</v>
      </c>
      <c r="V251" s="1" t="str">
        <f t="shared" si="30"/>
        <v>里程去程</v>
      </c>
      <c r="W251" s="1" t="s">
        <v>35</v>
      </c>
    </row>
    <row r="252" spans="1:23" x14ac:dyDescent="0.3">
      <c r="A252" s="1" t="str">
        <f t="shared" si="37"/>
        <v>59828</v>
      </c>
      <c r="B252" s="1" t="s">
        <v>23</v>
      </c>
      <c r="C252" s="1" t="s">
        <v>24</v>
      </c>
      <c r="D252" s="1" t="str">
        <f t="shared" si="29"/>
        <v>9801</v>
      </c>
      <c r="E252" s="1" t="s">
        <v>25</v>
      </c>
      <c r="F252" s="1" t="str">
        <f>"215348806"</f>
        <v>215348806</v>
      </c>
      <c r="G252" s="1" t="s">
        <v>33</v>
      </c>
      <c r="H252" s="1" t="str">
        <f t="shared" si="35"/>
        <v>20220908</v>
      </c>
      <c r="I252" s="1" t="str">
        <f>"133355"</f>
        <v>133355</v>
      </c>
      <c r="J252" s="1" t="s">
        <v>95</v>
      </c>
      <c r="K252" s="1" t="s">
        <v>28</v>
      </c>
      <c r="L252" s="1" t="str">
        <f t="shared" si="36"/>
        <v>20220908</v>
      </c>
      <c r="M252" s="1" t="str">
        <f>"135426"</f>
        <v>135426</v>
      </c>
      <c r="N252" s="1" t="s">
        <v>44</v>
      </c>
      <c r="O252" s="1" t="s">
        <v>45</v>
      </c>
      <c r="P252" s="1" t="s">
        <v>55</v>
      </c>
      <c r="Q252" s="1">
        <v>25</v>
      </c>
      <c r="R252" s="1">
        <v>25</v>
      </c>
      <c r="S252" s="1">
        <v>0</v>
      </c>
      <c r="T252" s="1">
        <v>0</v>
      </c>
      <c r="U252" s="1">
        <v>0</v>
      </c>
      <c r="V252" s="1" t="str">
        <f t="shared" si="30"/>
        <v>里程去程</v>
      </c>
      <c r="W252" s="1" t="s">
        <v>35</v>
      </c>
    </row>
    <row r="253" spans="1:23" x14ac:dyDescent="0.3">
      <c r="A253" s="1" t="str">
        <f t="shared" si="37"/>
        <v>59828</v>
      </c>
      <c r="B253" s="1" t="s">
        <v>23</v>
      </c>
      <c r="C253" s="1" t="s">
        <v>24</v>
      </c>
      <c r="D253" s="1" t="str">
        <f t="shared" si="29"/>
        <v>9801</v>
      </c>
      <c r="E253" s="1" t="s">
        <v>25</v>
      </c>
      <c r="F253" s="1" t="str">
        <f>"3113876214"</f>
        <v>3113876214</v>
      </c>
      <c r="G253" s="1" t="s">
        <v>33</v>
      </c>
      <c r="H253" s="1" t="str">
        <f t="shared" si="35"/>
        <v>20220908</v>
      </c>
      <c r="I253" s="1" t="str">
        <f>"133411"</f>
        <v>133411</v>
      </c>
      <c r="J253" s="1" t="s">
        <v>95</v>
      </c>
      <c r="K253" s="1" t="s">
        <v>28</v>
      </c>
      <c r="L253" s="1" t="str">
        <f t="shared" si="36"/>
        <v>20220908</v>
      </c>
      <c r="M253" s="1" t="str">
        <f>"135127"</f>
        <v>135127</v>
      </c>
      <c r="N253" s="1" t="s">
        <v>44</v>
      </c>
      <c r="O253" s="1" t="s">
        <v>45</v>
      </c>
      <c r="P253" s="1" t="s">
        <v>55</v>
      </c>
      <c r="Q253" s="1">
        <v>25</v>
      </c>
      <c r="R253" s="1">
        <v>25</v>
      </c>
      <c r="S253" s="1">
        <v>0</v>
      </c>
      <c r="T253" s="1">
        <v>0</v>
      </c>
      <c r="U253" s="1">
        <v>0</v>
      </c>
      <c r="V253" s="1" t="str">
        <f t="shared" si="30"/>
        <v>里程去程</v>
      </c>
      <c r="W253" s="1" t="s">
        <v>35</v>
      </c>
    </row>
    <row r="254" spans="1:23" x14ac:dyDescent="0.3">
      <c r="A254" s="1" t="str">
        <f t="shared" si="37"/>
        <v>59828</v>
      </c>
      <c r="B254" s="1" t="s">
        <v>23</v>
      </c>
      <c r="C254" s="1" t="s">
        <v>24</v>
      </c>
      <c r="D254" s="1" t="str">
        <f t="shared" si="29"/>
        <v>9801</v>
      </c>
      <c r="E254" s="1" t="s">
        <v>25</v>
      </c>
      <c r="F254" s="1" t="str">
        <f>"72C56518CA880400C819002000000019"</f>
        <v>72C56518CA880400C819002000000019</v>
      </c>
      <c r="G254" s="1" t="s">
        <v>64</v>
      </c>
      <c r="H254" s="1" t="str">
        <f t="shared" si="35"/>
        <v>20220908</v>
      </c>
      <c r="I254" s="1" t="str">
        <f>"133420"</f>
        <v>133420</v>
      </c>
      <c r="J254" s="1" t="s">
        <v>95</v>
      </c>
      <c r="K254" s="1" t="s">
        <v>28</v>
      </c>
      <c r="L254" s="1" t="str">
        <f t="shared" si="36"/>
        <v>20220908</v>
      </c>
      <c r="M254" s="1" t="str">
        <f>"135124"</f>
        <v>135124</v>
      </c>
      <c r="N254" s="1" t="s">
        <v>44</v>
      </c>
      <c r="O254" s="1" t="s">
        <v>45</v>
      </c>
      <c r="P254" s="1" t="s">
        <v>55</v>
      </c>
      <c r="Q254" s="1">
        <v>13</v>
      </c>
      <c r="R254" s="1">
        <v>13</v>
      </c>
      <c r="S254" s="1">
        <v>0</v>
      </c>
      <c r="T254" s="1">
        <v>0</v>
      </c>
      <c r="U254" s="1">
        <v>0</v>
      </c>
      <c r="V254" s="1" t="str">
        <f t="shared" si="30"/>
        <v>里程去程</v>
      </c>
      <c r="W254" s="1" t="s">
        <v>29</v>
      </c>
    </row>
    <row r="255" spans="1:23" x14ac:dyDescent="0.3">
      <c r="A255" s="1" t="str">
        <f t="shared" si="37"/>
        <v>59828</v>
      </c>
      <c r="B255" s="1" t="s">
        <v>23</v>
      </c>
      <c r="C255" s="1" t="s">
        <v>24</v>
      </c>
      <c r="D255" s="1" t="str">
        <f t="shared" si="29"/>
        <v>9801</v>
      </c>
      <c r="E255" s="1" t="s">
        <v>25</v>
      </c>
      <c r="F255" s="1" t="str">
        <f>"915D49038688040043252B4B0015050F"</f>
        <v>915D49038688040043252B4B0015050F</v>
      </c>
      <c r="G255" s="1" t="s">
        <v>64</v>
      </c>
      <c r="H255" s="1" t="str">
        <f t="shared" si="35"/>
        <v>20220908</v>
      </c>
      <c r="I255" s="1" t="str">
        <f>"133423"</f>
        <v>133423</v>
      </c>
      <c r="J255" s="1" t="s">
        <v>95</v>
      </c>
      <c r="K255" s="1" t="s">
        <v>28</v>
      </c>
      <c r="L255" s="1" t="str">
        <f t="shared" si="36"/>
        <v>20220908</v>
      </c>
      <c r="M255" s="1" t="str">
        <f>"135121"</f>
        <v>135121</v>
      </c>
      <c r="N255" s="1" t="s">
        <v>44</v>
      </c>
      <c r="O255" s="1" t="s">
        <v>45</v>
      </c>
      <c r="P255" s="1" t="s">
        <v>55</v>
      </c>
      <c r="Q255" s="1">
        <v>13</v>
      </c>
      <c r="R255" s="1">
        <v>13</v>
      </c>
      <c r="S255" s="1">
        <v>0</v>
      </c>
      <c r="T255" s="1">
        <v>0</v>
      </c>
      <c r="U255" s="1">
        <v>0</v>
      </c>
      <c r="V255" s="1" t="str">
        <f t="shared" si="30"/>
        <v>里程去程</v>
      </c>
      <c r="W255" s="1" t="s">
        <v>29</v>
      </c>
    </row>
    <row r="256" spans="1:23" x14ac:dyDescent="0.3">
      <c r="A256" s="1" t="str">
        <f t="shared" si="37"/>
        <v>59828</v>
      </c>
      <c r="B256" s="1" t="s">
        <v>23</v>
      </c>
      <c r="C256" s="1" t="s">
        <v>24</v>
      </c>
      <c r="D256" s="1" t="str">
        <f t="shared" si="29"/>
        <v>9801</v>
      </c>
      <c r="E256" s="1" t="s">
        <v>25</v>
      </c>
      <c r="F256" s="1" t="str">
        <f>"1218018517"</f>
        <v>1218018517</v>
      </c>
      <c r="G256" s="1" t="s">
        <v>38</v>
      </c>
      <c r="H256" s="1" t="str">
        <f t="shared" si="35"/>
        <v>20220908</v>
      </c>
      <c r="I256" s="1" t="str">
        <f>"145856"</f>
        <v>145856</v>
      </c>
      <c r="J256" s="1" t="s">
        <v>52</v>
      </c>
      <c r="K256" s="1" t="s">
        <v>52</v>
      </c>
      <c r="L256" s="1" t="str">
        <f t="shared" si="36"/>
        <v>20220908</v>
      </c>
      <c r="M256" s="1" t="str">
        <f>"153540"</f>
        <v>153540</v>
      </c>
      <c r="N256" s="1" t="s">
        <v>70</v>
      </c>
      <c r="O256" s="1" t="s">
        <v>28</v>
      </c>
      <c r="P256" s="1" t="s">
        <v>55</v>
      </c>
      <c r="Q256" s="1">
        <v>25</v>
      </c>
      <c r="R256" s="1">
        <v>0</v>
      </c>
      <c r="S256" s="1">
        <v>25</v>
      </c>
      <c r="T256" s="1">
        <v>0</v>
      </c>
      <c r="U256" s="1">
        <v>0</v>
      </c>
      <c r="V256" s="1" t="str">
        <f t="shared" si="30"/>
        <v>里程去程</v>
      </c>
      <c r="W256" s="1" t="s">
        <v>35</v>
      </c>
    </row>
    <row r="257" spans="1:23" x14ac:dyDescent="0.3">
      <c r="A257" s="1" t="str">
        <f t="shared" si="37"/>
        <v>59828</v>
      </c>
      <c r="B257" s="1" t="s">
        <v>23</v>
      </c>
      <c r="C257" s="1" t="s">
        <v>24</v>
      </c>
      <c r="D257" s="1" t="str">
        <f t="shared" si="29"/>
        <v>9801</v>
      </c>
      <c r="E257" s="1" t="s">
        <v>25</v>
      </c>
      <c r="F257" s="1" t="str">
        <f>"F27CE6026A880400C834002000000015"</f>
        <v>F27CE6026A880400C834002000000015</v>
      </c>
      <c r="G257" s="1" t="s">
        <v>74</v>
      </c>
      <c r="H257" s="1" t="str">
        <f t="shared" si="35"/>
        <v>20220908</v>
      </c>
      <c r="I257" s="1" t="str">
        <f>"145926"</f>
        <v>145926</v>
      </c>
      <c r="J257" s="1" t="s">
        <v>52</v>
      </c>
      <c r="K257" s="1" t="s">
        <v>52</v>
      </c>
      <c r="L257" s="1" t="str">
        <f t="shared" si="36"/>
        <v>20220908</v>
      </c>
      <c r="M257" s="1" t="str">
        <f>"150809"</f>
        <v>150809</v>
      </c>
      <c r="N257" s="1" t="s">
        <v>60</v>
      </c>
      <c r="O257" s="1" t="s">
        <v>52</v>
      </c>
      <c r="P257" s="1" t="s">
        <v>68</v>
      </c>
      <c r="Q257" s="1">
        <v>13</v>
      </c>
      <c r="R257" s="1">
        <v>0</v>
      </c>
      <c r="S257" s="1">
        <v>0</v>
      </c>
      <c r="T257" s="1">
        <v>13</v>
      </c>
      <c r="U257" s="1">
        <v>0</v>
      </c>
      <c r="V257" s="1" t="str">
        <f t="shared" si="30"/>
        <v>里程去程</v>
      </c>
      <c r="W257" s="1" t="s">
        <v>29</v>
      </c>
    </row>
    <row r="258" spans="1:23" x14ac:dyDescent="0.3">
      <c r="A258" s="1" t="str">
        <f t="shared" si="37"/>
        <v>59828</v>
      </c>
      <c r="B258" s="1" t="s">
        <v>23</v>
      </c>
      <c r="C258" s="1" t="s">
        <v>24</v>
      </c>
      <c r="D258" s="1" t="str">
        <f t="shared" ref="D258:D321" si="38">"9801"</f>
        <v>9801</v>
      </c>
      <c r="E258" s="1" t="s">
        <v>25</v>
      </c>
      <c r="F258" s="1" t="str">
        <f>"1672262368"</f>
        <v>1672262368</v>
      </c>
      <c r="G258" s="1" t="s">
        <v>26</v>
      </c>
      <c r="H258" s="1" t="str">
        <f t="shared" si="35"/>
        <v>20220908</v>
      </c>
      <c r="I258" s="1" t="str">
        <f>"153550"</f>
        <v>153550</v>
      </c>
      <c r="J258" s="1" t="s">
        <v>27</v>
      </c>
      <c r="K258" s="1" t="s">
        <v>28</v>
      </c>
      <c r="L258" s="1" t="str">
        <f t="shared" si="36"/>
        <v>20220908</v>
      </c>
      <c r="M258" s="1" t="str">
        <f>"155058"</f>
        <v>155058</v>
      </c>
      <c r="N258" s="1" t="s">
        <v>75</v>
      </c>
      <c r="O258" s="1" t="s">
        <v>45</v>
      </c>
      <c r="P258" s="1" t="s">
        <v>55</v>
      </c>
      <c r="Q258" s="1">
        <v>13</v>
      </c>
      <c r="R258" s="1">
        <v>13</v>
      </c>
      <c r="S258" s="1">
        <v>0</v>
      </c>
      <c r="T258" s="1">
        <v>0</v>
      </c>
      <c r="U258" s="1">
        <v>0</v>
      </c>
      <c r="V258" s="1" t="str">
        <f t="shared" ref="V258:V321" si="39">"里程去程"</f>
        <v>里程去程</v>
      </c>
      <c r="W258" s="1" t="s">
        <v>35</v>
      </c>
    </row>
    <row r="259" spans="1:23" x14ac:dyDescent="0.3">
      <c r="A259" s="1" t="str">
        <f t="shared" si="37"/>
        <v>59828</v>
      </c>
      <c r="B259" s="1" t="s">
        <v>23</v>
      </c>
      <c r="C259" s="1" t="s">
        <v>24</v>
      </c>
      <c r="D259" s="1" t="str">
        <f t="shared" si="38"/>
        <v>9801</v>
      </c>
      <c r="E259" s="1" t="s">
        <v>25</v>
      </c>
      <c r="F259" s="1" t="str">
        <f>"F2F7D002D7880400C834002000000015"</f>
        <v>F2F7D002D7880400C834002000000015</v>
      </c>
      <c r="G259" s="1" t="s">
        <v>74</v>
      </c>
      <c r="H259" s="1" t="str">
        <f t="shared" si="35"/>
        <v>20220908</v>
      </c>
      <c r="I259" s="1" t="str">
        <f>"155210"</f>
        <v>155210</v>
      </c>
      <c r="J259" s="1" t="s">
        <v>75</v>
      </c>
      <c r="K259" s="1" t="s">
        <v>45</v>
      </c>
      <c r="L259" s="1" t="str">
        <f t="shared" si="36"/>
        <v>20220908</v>
      </c>
      <c r="M259" s="1" t="str">
        <f>"155755"</f>
        <v>155755</v>
      </c>
      <c r="N259" s="1" t="s">
        <v>44</v>
      </c>
      <c r="O259" s="1" t="s">
        <v>45</v>
      </c>
      <c r="P259" s="1" t="s">
        <v>68</v>
      </c>
      <c r="Q259" s="1">
        <v>13</v>
      </c>
      <c r="R259" s="1">
        <v>0</v>
      </c>
      <c r="S259" s="1">
        <v>0</v>
      </c>
      <c r="T259" s="1">
        <v>13</v>
      </c>
      <c r="U259" s="1">
        <v>0</v>
      </c>
      <c r="V259" s="1" t="str">
        <f t="shared" si="39"/>
        <v>里程去程</v>
      </c>
      <c r="W259" s="1" t="s">
        <v>29</v>
      </c>
    </row>
    <row r="260" spans="1:23" x14ac:dyDescent="0.3">
      <c r="A260" s="1" t="str">
        <f t="shared" si="37"/>
        <v>59828</v>
      </c>
      <c r="B260" s="1" t="s">
        <v>23</v>
      </c>
      <c r="C260" s="1" t="s">
        <v>24</v>
      </c>
      <c r="D260" s="1" t="str">
        <f t="shared" si="38"/>
        <v>9801</v>
      </c>
      <c r="E260" s="1" t="s">
        <v>25</v>
      </c>
      <c r="F260" s="1" t="str">
        <f>"F2F7D002D7880400C834002000000015"</f>
        <v>F2F7D002D7880400C834002000000015</v>
      </c>
      <c r="G260" s="1" t="s">
        <v>74</v>
      </c>
      <c r="H260" s="1" t="str">
        <f t="shared" si="35"/>
        <v>20220908</v>
      </c>
      <c r="I260" s="1" t="str">
        <f>"160106"</f>
        <v>160106</v>
      </c>
      <c r="J260" s="1" t="s">
        <v>52</v>
      </c>
      <c r="K260" s="1" t="s">
        <v>52</v>
      </c>
      <c r="L260" s="1" t="str">
        <f t="shared" si="36"/>
        <v>20220908</v>
      </c>
      <c r="M260" s="1" t="str">
        <f>"162534"</f>
        <v>162534</v>
      </c>
      <c r="N260" s="1" t="s">
        <v>78</v>
      </c>
      <c r="O260" s="1" t="s">
        <v>52</v>
      </c>
      <c r="P260" s="1" t="s">
        <v>68</v>
      </c>
      <c r="Q260" s="1">
        <v>13</v>
      </c>
      <c r="R260" s="1">
        <v>0</v>
      </c>
      <c r="S260" s="1">
        <v>0</v>
      </c>
      <c r="T260" s="1">
        <v>13</v>
      </c>
      <c r="U260" s="1">
        <v>0</v>
      </c>
      <c r="V260" s="1" t="str">
        <f t="shared" si="39"/>
        <v>里程去程</v>
      </c>
      <c r="W260" s="1" t="s">
        <v>29</v>
      </c>
    </row>
    <row r="261" spans="1:23" x14ac:dyDescent="0.3">
      <c r="A261" s="1" t="str">
        <f t="shared" si="37"/>
        <v>59828</v>
      </c>
      <c r="B261" s="1" t="s">
        <v>23</v>
      </c>
      <c r="C261" s="1" t="s">
        <v>24</v>
      </c>
      <c r="D261" s="1" t="str">
        <f t="shared" si="38"/>
        <v>9801</v>
      </c>
      <c r="E261" s="1" t="s">
        <v>25</v>
      </c>
      <c r="F261" s="1" t="str">
        <f>"C2C219031A880400C834002000000015"</f>
        <v>C2C219031A880400C834002000000015</v>
      </c>
      <c r="G261" s="1" t="s">
        <v>74</v>
      </c>
      <c r="H261" s="1" t="str">
        <f t="shared" si="35"/>
        <v>20220908</v>
      </c>
      <c r="I261" s="1" t="str">
        <f>"160717"</f>
        <v>160717</v>
      </c>
      <c r="J261" s="1" t="s">
        <v>60</v>
      </c>
      <c r="K261" s="1" t="s">
        <v>52</v>
      </c>
      <c r="L261" s="1" t="str">
        <f t="shared" si="36"/>
        <v>20220908</v>
      </c>
      <c r="M261" s="1" t="str">
        <f>"161754"</f>
        <v>161754</v>
      </c>
      <c r="N261" s="1" t="s">
        <v>80</v>
      </c>
      <c r="O261" s="1" t="s">
        <v>52</v>
      </c>
      <c r="P261" s="1" t="s">
        <v>68</v>
      </c>
      <c r="Q261" s="1">
        <v>13</v>
      </c>
      <c r="R261" s="1">
        <v>0</v>
      </c>
      <c r="S261" s="1">
        <v>0</v>
      </c>
      <c r="T261" s="1">
        <v>13</v>
      </c>
      <c r="U261" s="1">
        <v>0</v>
      </c>
      <c r="V261" s="1" t="str">
        <f t="shared" si="39"/>
        <v>里程去程</v>
      </c>
      <c r="W261" s="1" t="s">
        <v>29</v>
      </c>
    </row>
    <row r="262" spans="1:23" x14ac:dyDescent="0.3">
      <c r="A262" s="1" t="str">
        <f t="shared" si="37"/>
        <v>59828</v>
      </c>
      <c r="B262" s="1" t="s">
        <v>23</v>
      </c>
      <c r="C262" s="1" t="s">
        <v>24</v>
      </c>
      <c r="D262" s="1" t="str">
        <f t="shared" si="38"/>
        <v>9801</v>
      </c>
      <c r="E262" s="1" t="s">
        <v>25</v>
      </c>
      <c r="F262" s="1" t="str">
        <f>"894153189"</f>
        <v>894153189</v>
      </c>
      <c r="G262" s="1" t="s">
        <v>33</v>
      </c>
      <c r="H262" s="1" t="str">
        <f t="shared" si="35"/>
        <v>20220908</v>
      </c>
      <c r="I262" s="1" t="str">
        <f>"161320"</f>
        <v>161320</v>
      </c>
      <c r="J262" s="1" t="s">
        <v>72</v>
      </c>
      <c r="K262" s="1" t="s">
        <v>52</v>
      </c>
      <c r="L262" s="1" t="str">
        <f t="shared" si="36"/>
        <v>20220908</v>
      </c>
      <c r="M262" s="1" t="str">
        <f>"163624"</f>
        <v>163624</v>
      </c>
      <c r="N262" s="1" t="s">
        <v>70</v>
      </c>
      <c r="O262" s="1" t="s">
        <v>28</v>
      </c>
      <c r="P262" s="1" t="s">
        <v>55</v>
      </c>
      <c r="Q262" s="1">
        <v>25</v>
      </c>
      <c r="R262" s="1">
        <v>25</v>
      </c>
      <c r="S262" s="1">
        <v>0</v>
      </c>
      <c r="T262" s="1">
        <v>0</v>
      </c>
      <c r="U262" s="1">
        <v>0</v>
      </c>
      <c r="V262" s="1" t="str">
        <f t="shared" si="39"/>
        <v>里程去程</v>
      </c>
      <c r="W262" s="1" t="s">
        <v>35</v>
      </c>
    </row>
    <row r="263" spans="1:23" x14ac:dyDescent="0.3">
      <c r="A263" s="1" t="str">
        <f t="shared" si="37"/>
        <v>59828</v>
      </c>
      <c r="B263" s="1" t="s">
        <v>23</v>
      </c>
      <c r="C263" s="1" t="s">
        <v>24</v>
      </c>
      <c r="D263" s="1" t="str">
        <f t="shared" si="38"/>
        <v>9801</v>
      </c>
      <c r="E263" s="1" t="s">
        <v>25</v>
      </c>
      <c r="F263" s="1" t="str">
        <f>"1323878753"</f>
        <v>1323878753</v>
      </c>
      <c r="G263" s="1" t="s">
        <v>33</v>
      </c>
      <c r="H263" s="1" t="str">
        <f t="shared" si="35"/>
        <v>20220908</v>
      </c>
      <c r="I263" s="1" t="str">
        <f>"163652"</f>
        <v>163652</v>
      </c>
      <c r="J263" s="1" t="s">
        <v>27</v>
      </c>
      <c r="K263" s="1" t="s">
        <v>28</v>
      </c>
      <c r="L263" s="1" t="str">
        <f t="shared" si="36"/>
        <v>20220908</v>
      </c>
      <c r="M263" s="1" t="str">
        <f>"164505"</f>
        <v>164505</v>
      </c>
      <c r="N263" s="1" t="s">
        <v>79</v>
      </c>
      <c r="O263" s="1" t="s">
        <v>45</v>
      </c>
      <c r="P263" s="1" t="s">
        <v>55</v>
      </c>
      <c r="Q263" s="1">
        <v>25</v>
      </c>
      <c r="R263" s="1">
        <v>0</v>
      </c>
      <c r="S263" s="1">
        <v>25</v>
      </c>
      <c r="T263" s="1">
        <v>0</v>
      </c>
      <c r="U263" s="1">
        <v>0</v>
      </c>
      <c r="V263" s="1" t="str">
        <f t="shared" si="39"/>
        <v>里程去程</v>
      </c>
      <c r="W263" s="1" t="s">
        <v>35</v>
      </c>
    </row>
    <row r="264" spans="1:23" x14ac:dyDescent="0.3">
      <c r="A264" s="1" t="str">
        <f t="shared" si="37"/>
        <v>59828</v>
      </c>
      <c r="B264" s="1" t="s">
        <v>23</v>
      </c>
      <c r="C264" s="1" t="s">
        <v>24</v>
      </c>
      <c r="D264" s="1" t="str">
        <f t="shared" si="38"/>
        <v>9801</v>
      </c>
      <c r="E264" s="1" t="s">
        <v>25</v>
      </c>
      <c r="F264" s="1" t="str">
        <f>"72BFE5022A880400C834002000000015"</f>
        <v>72BFE5022A880400C834002000000015</v>
      </c>
      <c r="G264" s="1" t="s">
        <v>26</v>
      </c>
      <c r="H264" s="1" t="str">
        <f t="shared" si="35"/>
        <v>20220908</v>
      </c>
      <c r="I264" s="1" t="str">
        <f>"163658"</f>
        <v>163658</v>
      </c>
      <c r="J264" s="1" t="s">
        <v>27</v>
      </c>
      <c r="K264" s="1" t="s">
        <v>28</v>
      </c>
      <c r="L264" s="1" t="str">
        <f t="shared" si="36"/>
        <v>20220908</v>
      </c>
      <c r="M264" s="1" t="str">
        <f>"164911"</f>
        <v>164911</v>
      </c>
      <c r="N264" s="1" t="s">
        <v>61</v>
      </c>
      <c r="O264" s="1" t="s">
        <v>45</v>
      </c>
      <c r="P264" s="1" t="s">
        <v>68</v>
      </c>
      <c r="Q264" s="1">
        <v>13</v>
      </c>
      <c r="R264" s="1">
        <v>0</v>
      </c>
      <c r="S264" s="1">
        <v>0</v>
      </c>
      <c r="T264" s="1">
        <v>13</v>
      </c>
      <c r="U264" s="1">
        <v>0</v>
      </c>
      <c r="V264" s="1" t="str">
        <f t="shared" si="39"/>
        <v>里程去程</v>
      </c>
      <c r="W264" s="1" t="s">
        <v>29</v>
      </c>
    </row>
    <row r="265" spans="1:23" x14ac:dyDescent="0.3">
      <c r="A265" s="1" t="str">
        <f t="shared" si="37"/>
        <v>59828</v>
      </c>
      <c r="B265" s="1" t="s">
        <v>23</v>
      </c>
      <c r="C265" s="1" t="s">
        <v>24</v>
      </c>
      <c r="D265" s="1" t="str">
        <f t="shared" si="38"/>
        <v>9801</v>
      </c>
      <c r="E265" s="1" t="s">
        <v>25</v>
      </c>
      <c r="F265" s="1" t="str">
        <f>"1078180449"</f>
        <v>1078180449</v>
      </c>
      <c r="G265" s="1" t="s">
        <v>33</v>
      </c>
      <c r="H265" s="1" t="str">
        <f t="shared" si="35"/>
        <v>20220908</v>
      </c>
      <c r="I265" s="1" t="str">
        <f>"201533"</f>
        <v>201533</v>
      </c>
      <c r="J265" s="1" t="s">
        <v>80</v>
      </c>
      <c r="K265" s="1" t="s">
        <v>52</v>
      </c>
      <c r="L265" s="1" t="str">
        <f t="shared" si="36"/>
        <v>20220908</v>
      </c>
      <c r="M265" s="1" t="str">
        <f>"202604"</f>
        <v>202604</v>
      </c>
      <c r="N265" s="1" t="s">
        <v>83</v>
      </c>
      <c r="O265" s="1" t="s">
        <v>52</v>
      </c>
      <c r="P265" s="1" t="s">
        <v>55</v>
      </c>
      <c r="Q265" s="1">
        <v>25</v>
      </c>
      <c r="R265" s="1">
        <v>25</v>
      </c>
      <c r="S265" s="1">
        <v>0</v>
      </c>
      <c r="T265" s="1">
        <v>0</v>
      </c>
      <c r="U265" s="1">
        <v>0</v>
      </c>
      <c r="V265" s="1" t="str">
        <f t="shared" si="39"/>
        <v>里程去程</v>
      </c>
      <c r="W265" s="1" t="s">
        <v>35</v>
      </c>
    </row>
    <row r="266" spans="1:23" x14ac:dyDescent="0.3">
      <c r="A266" s="1" t="str">
        <f t="shared" si="37"/>
        <v>59828</v>
      </c>
      <c r="B266" s="1" t="s">
        <v>23</v>
      </c>
      <c r="C266" s="1" t="s">
        <v>24</v>
      </c>
      <c r="D266" s="1" t="str">
        <f t="shared" si="38"/>
        <v>9801</v>
      </c>
      <c r="E266" s="1" t="s">
        <v>25</v>
      </c>
      <c r="F266" s="1" t="str">
        <f>"118200821"</f>
        <v>118200821</v>
      </c>
      <c r="G266" s="1" t="s">
        <v>33</v>
      </c>
      <c r="H266" s="1" t="str">
        <f t="shared" si="35"/>
        <v>20220908</v>
      </c>
      <c r="I266" s="1" t="str">
        <f>"201536"</f>
        <v>201536</v>
      </c>
      <c r="J266" s="1" t="s">
        <v>80</v>
      </c>
      <c r="K266" s="1" t="s">
        <v>52</v>
      </c>
      <c r="L266" s="1" t="str">
        <f t="shared" si="36"/>
        <v>20220908</v>
      </c>
      <c r="M266" s="1" t="str">
        <f>"202601"</f>
        <v>202601</v>
      </c>
      <c r="N266" s="1" t="s">
        <v>83</v>
      </c>
      <c r="O266" s="1" t="s">
        <v>52</v>
      </c>
      <c r="P266" s="1" t="s">
        <v>55</v>
      </c>
      <c r="Q266" s="1">
        <v>25</v>
      </c>
      <c r="R266" s="1">
        <v>25</v>
      </c>
      <c r="S266" s="1">
        <v>0</v>
      </c>
      <c r="T266" s="1">
        <v>0</v>
      </c>
      <c r="U266" s="1">
        <v>0</v>
      </c>
      <c r="V266" s="1" t="str">
        <f t="shared" si="39"/>
        <v>里程去程</v>
      </c>
      <c r="W266" s="1" t="s">
        <v>35</v>
      </c>
    </row>
    <row r="267" spans="1:23" x14ac:dyDescent="0.3">
      <c r="A267" s="1" t="str">
        <f t="shared" si="37"/>
        <v>59828</v>
      </c>
      <c r="B267" s="1" t="s">
        <v>23</v>
      </c>
      <c r="C267" s="1" t="s">
        <v>24</v>
      </c>
      <c r="D267" s="1" t="str">
        <f t="shared" si="38"/>
        <v>9801</v>
      </c>
      <c r="E267" s="1" t="s">
        <v>25</v>
      </c>
      <c r="F267" s="1" t="str">
        <f>"1113090661"</f>
        <v>1113090661</v>
      </c>
      <c r="G267" s="1" t="s">
        <v>38</v>
      </c>
      <c r="H267" s="1" t="str">
        <f t="shared" si="35"/>
        <v>20220908</v>
      </c>
      <c r="I267" s="1" t="str">
        <f>"203303"</f>
        <v>203303</v>
      </c>
      <c r="J267" s="1" t="s">
        <v>27</v>
      </c>
      <c r="K267" s="1" t="s">
        <v>28</v>
      </c>
      <c r="L267" s="1" t="str">
        <f t="shared" si="36"/>
        <v>20220908</v>
      </c>
      <c r="M267" s="1" t="str">
        <f>"205512"</f>
        <v>205512</v>
      </c>
      <c r="N267" s="1" t="s">
        <v>100</v>
      </c>
      <c r="O267" s="1" t="s">
        <v>45</v>
      </c>
      <c r="P267" s="1" t="s">
        <v>55</v>
      </c>
      <c r="Q267" s="1">
        <v>25</v>
      </c>
      <c r="R267" s="1">
        <v>25</v>
      </c>
      <c r="S267" s="1">
        <v>0</v>
      </c>
      <c r="T267" s="1">
        <v>0</v>
      </c>
      <c r="U267" s="1">
        <v>0</v>
      </c>
      <c r="V267" s="1" t="str">
        <f t="shared" si="39"/>
        <v>里程去程</v>
      </c>
      <c r="W267" s="1" t="s">
        <v>35</v>
      </c>
    </row>
    <row r="268" spans="1:23" x14ac:dyDescent="0.3">
      <c r="A268" s="1" t="str">
        <f t="shared" si="37"/>
        <v>59828</v>
      </c>
      <c r="B268" s="1" t="s">
        <v>23</v>
      </c>
      <c r="C268" s="1" t="s">
        <v>24</v>
      </c>
      <c r="D268" s="1" t="str">
        <f t="shared" si="38"/>
        <v>9801</v>
      </c>
      <c r="E268" s="1" t="s">
        <v>25</v>
      </c>
      <c r="F268" s="1" t="str">
        <f>"1573132776"</f>
        <v>1573132776</v>
      </c>
      <c r="G268" s="1" t="s">
        <v>33</v>
      </c>
      <c r="H268" s="1" t="str">
        <f t="shared" si="35"/>
        <v>20220908</v>
      </c>
      <c r="I268" s="1" t="str">
        <f>"203312"</f>
        <v>203312</v>
      </c>
      <c r="J268" s="1" t="s">
        <v>27</v>
      </c>
      <c r="K268" s="1" t="s">
        <v>28</v>
      </c>
      <c r="L268" s="1" t="str">
        <f t="shared" si="36"/>
        <v>20220908</v>
      </c>
      <c r="M268" s="1" t="str">
        <f>"204536"</f>
        <v>204536</v>
      </c>
      <c r="N268" s="1" t="s">
        <v>45</v>
      </c>
      <c r="O268" s="1" t="s">
        <v>45</v>
      </c>
      <c r="P268" s="1" t="s">
        <v>55</v>
      </c>
      <c r="Q268" s="1">
        <v>25</v>
      </c>
      <c r="R268" s="1">
        <v>25</v>
      </c>
      <c r="S268" s="1">
        <v>0</v>
      </c>
      <c r="T268" s="1">
        <v>0</v>
      </c>
      <c r="U268" s="1">
        <v>0</v>
      </c>
      <c r="V268" s="1" t="str">
        <f t="shared" si="39"/>
        <v>里程去程</v>
      </c>
      <c r="W268" s="1" t="s">
        <v>35</v>
      </c>
    </row>
    <row r="269" spans="1:23" x14ac:dyDescent="0.3">
      <c r="A269" s="1" t="str">
        <f t="shared" si="37"/>
        <v>59828</v>
      </c>
      <c r="B269" s="1" t="s">
        <v>23</v>
      </c>
      <c r="C269" s="1" t="s">
        <v>24</v>
      </c>
      <c r="D269" s="1" t="str">
        <f t="shared" si="38"/>
        <v>9801</v>
      </c>
      <c r="E269" s="1" t="s">
        <v>25</v>
      </c>
      <c r="F269" s="1" t="str">
        <f>"1001140357"</f>
        <v>1001140357</v>
      </c>
      <c r="G269" s="1" t="s">
        <v>33</v>
      </c>
      <c r="H269" s="1" t="str">
        <f t="shared" si="35"/>
        <v>20220908</v>
      </c>
      <c r="I269" s="1" t="str">
        <f>"203333"</f>
        <v>203333</v>
      </c>
      <c r="J269" s="1" t="s">
        <v>27</v>
      </c>
      <c r="K269" s="1" t="s">
        <v>28</v>
      </c>
      <c r="L269" s="1" t="str">
        <f t="shared" si="36"/>
        <v>20220908</v>
      </c>
      <c r="M269" s="1" t="str">
        <f>"204931"</f>
        <v>204931</v>
      </c>
      <c r="N269" s="1" t="s">
        <v>75</v>
      </c>
      <c r="O269" s="1" t="s">
        <v>45</v>
      </c>
      <c r="P269" s="1" t="s">
        <v>55</v>
      </c>
      <c r="Q269" s="1">
        <v>25</v>
      </c>
      <c r="R269" s="1">
        <v>25</v>
      </c>
      <c r="S269" s="1">
        <v>0</v>
      </c>
      <c r="T269" s="1">
        <v>0</v>
      </c>
      <c r="U269" s="1">
        <v>0</v>
      </c>
      <c r="V269" s="1" t="str">
        <f t="shared" si="39"/>
        <v>里程去程</v>
      </c>
      <c r="W269" s="1" t="s">
        <v>35</v>
      </c>
    </row>
    <row r="270" spans="1:23" x14ac:dyDescent="0.3">
      <c r="A270" s="1" t="str">
        <f t="shared" ref="A270:A281" si="40">"59809"</f>
        <v>59809</v>
      </c>
      <c r="B270" s="1" t="s">
        <v>42</v>
      </c>
      <c r="C270" s="1" t="s">
        <v>43</v>
      </c>
      <c r="D270" s="1" t="str">
        <f t="shared" si="38"/>
        <v>9801</v>
      </c>
      <c r="E270" s="1" t="s">
        <v>25</v>
      </c>
      <c r="F270" s="1" t="str">
        <f>"7227E702B0880400C834002000000015"</f>
        <v>7227E702B0880400C834002000000015</v>
      </c>
      <c r="G270" s="1" t="s">
        <v>74</v>
      </c>
      <c r="H270" s="1" t="str">
        <f t="shared" ref="H270:H304" si="41">"20220909"</f>
        <v>20220909</v>
      </c>
      <c r="I270" s="1" t="str">
        <f>"075300"</f>
        <v>075300</v>
      </c>
      <c r="J270" s="1" t="s">
        <v>52</v>
      </c>
      <c r="K270" s="1" t="s">
        <v>52</v>
      </c>
      <c r="L270" s="1" t="str">
        <f t="shared" ref="L270:L304" si="42">"20220909"</f>
        <v>20220909</v>
      </c>
      <c r="M270" s="1" t="str">
        <f>"081610"</f>
        <v>081610</v>
      </c>
      <c r="N270" s="1" t="s">
        <v>80</v>
      </c>
      <c r="O270" s="1" t="s">
        <v>52</v>
      </c>
      <c r="P270" s="1" t="s">
        <v>68</v>
      </c>
      <c r="Q270" s="1">
        <v>13</v>
      </c>
      <c r="R270" s="1">
        <v>0</v>
      </c>
      <c r="S270" s="1">
        <v>0</v>
      </c>
      <c r="T270" s="1">
        <v>13</v>
      </c>
      <c r="U270" s="1">
        <v>0</v>
      </c>
      <c r="V270" s="1" t="str">
        <f t="shared" si="39"/>
        <v>里程去程</v>
      </c>
      <c r="W270" s="1" t="s">
        <v>29</v>
      </c>
    </row>
    <row r="271" spans="1:23" x14ac:dyDescent="0.3">
      <c r="A271" s="1" t="str">
        <f t="shared" si="40"/>
        <v>59809</v>
      </c>
      <c r="B271" s="1" t="s">
        <v>42</v>
      </c>
      <c r="C271" s="1" t="s">
        <v>43</v>
      </c>
      <c r="D271" s="1" t="str">
        <f t="shared" si="38"/>
        <v>9801</v>
      </c>
      <c r="E271" s="1" t="s">
        <v>25</v>
      </c>
      <c r="F271" s="1" t="str">
        <f>"951251349"</f>
        <v>951251349</v>
      </c>
      <c r="G271" s="1" t="s">
        <v>74</v>
      </c>
      <c r="H271" s="1" t="str">
        <f t="shared" si="41"/>
        <v>20220909</v>
      </c>
      <c r="I271" s="1" t="str">
        <f>"075529"</f>
        <v>075529</v>
      </c>
      <c r="J271" s="1" t="s">
        <v>52</v>
      </c>
      <c r="K271" s="1" t="s">
        <v>52</v>
      </c>
      <c r="L271" s="1" t="str">
        <f t="shared" si="42"/>
        <v>20220909</v>
      </c>
      <c r="M271" s="1" t="str">
        <f>"083033"</f>
        <v>083033</v>
      </c>
      <c r="N271" s="1" t="s">
        <v>70</v>
      </c>
      <c r="O271" s="1" t="s">
        <v>28</v>
      </c>
      <c r="P271" s="1" t="s">
        <v>55</v>
      </c>
      <c r="Q271" s="1">
        <v>13</v>
      </c>
      <c r="R271" s="1">
        <v>13</v>
      </c>
      <c r="S271" s="1">
        <v>0</v>
      </c>
      <c r="T271" s="1">
        <v>0</v>
      </c>
      <c r="U271" s="1">
        <v>0</v>
      </c>
      <c r="V271" s="1" t="str">
        <f t="shared" si="39"/>
        <v>里程去程</v>
      </c>
      <c r="W271" s="1" t="s">
        <v>35</v>
      </c>
    </row>
    <row r="272" spans="1:23" x14ac:dyDescent="0.3">
      <c r="A272" s="1" t="str">
        <f t="shared" si="40"/>
        <v>59809</v>
      </c>
      <c r="B272" s="1" t="s">
        <v>42</v>
      </c>
      <c r="C272" s="1" t="s">
        <v>43</v>
      </c>
      <c r="D272" s="1" t="str">
        <f t="shared" si="38"/>
        <v>9801</v>
      </c>
      <c r="E272" s="1" t="s">
        <v>25</v>
      </c>
      <c r="F272" s="1" t="str">
        <f>"640084207"</f>
        <v>640084207</v>
      </c>
      <c r="G272" s="1" t="s">
        <v>33</v>
      </c>
      <c r="H272" s="1" t="str">
        <f t="shared" si="41"/>
        <v>20220909</v>
      </c>
      <c r="I272" s="1" t="str">
        <f>"075545"</f>
        <v>075545</v>
      </c>
      <c r="J272" s="1" t="s">
        <v>52</v>
      </c>
      <c r="K272" s="1" t="s">
        <v>52</v>
      </c>
      <c r="L272" s="1" t="str">
        <f t="shared" si="42"/>
        <v>20220909</v>
      </c>
      <c r="M272" s="1" t="str">
        <f>"083037"</f>
        <v>083037</v>
      </c>
      <c r="N272" s="1" t="s">
        <v>70</v>
      </c>
      <c r="O272" s="1" t="s">
        <v>28</v>
      </c>
      <c r="P272" s="1" t="s">
        <v>55</v>
      </c>
      <c r="Q272" s="1">
        <v>25</v>
      </c>
      <c r="R272" s="1">
        <v>25</v>
      </c>
      <c r="S272" s="1">
        <v>0</v>
      </c>
      <c r="T272" s="1">
        <v>0</v>
      </c>
      <c r="U272" s="1">
        <v>0</v>
      </c>
      <c r="V272" s="1" t="str">
        <f t="shared" si="39"/>
        <v>里程去程</v>
      </c>
      <c r="W272" s="1" t="s">
        <v>35</v>
      </c>
    </row>
    <row r="273" spans="1:23" x14ac:dyDescent="0.3">
      <c r="A273" s="1" t="str">
        <f t="shared" si="40"/>
        <v>59809</v>
      </c>
      <c r="B273" s="1" t="s">
        <v>42</v>
      </c>
      <c r="C273" s="1" t="s">
        <v>43</v>
      </c>
      <c r="D273" s="1" t="str">
        <f t="shared" si="38"/>
        <v>9801</v>
      </c>
      <c r="E273" s="1" t="s">
        <v>25</v>
      </c>
      <c r="F273" s="1" t="str">
        <f>"974013089"</f>
        <v>974013089</v>
      </c>
      <c r="G273" s="1" t="s">
        <v>33</v>
      </c>
      <c r="H273" s="1" t="str">
        <f t="shared" si="41"/>
        <v>20220909</v>
      </c>
      <c r="I273" s="1" t="str">
        <f>"080637"</f>
        <v>080637</v>
      </c>
      <c r="J273" s="1" t="s">
        <v>60</v>
      </c>
      <c r="K273" s="1" t="s">
        <v>52</v>
      </c>
      <c r="L273" s="1" t="str">
        <f t="shared" si="42"/>
        <v>20220909</v>
      </c>
      <c r="M273" s="1" t="str">
        <f>"083031"</f>
        <v>083031</v>
      </c>
      <c r="N273" s="1" t="s">
        <v>70</v>
      </c>
      <c r="O273" s="1" t="s">
        <v>28</v>
      </c>
      <c r="P273" s="1" t="s">
        <v>55</v>
      </c>
      <c r="Q273" s="1">
        <v>25</v>
      </c>
      <c r="R273" s="1">
        <v>25</v>
      </c>
      <c r="S273" s="1">
        <v>0</v>
      </c>
      <c r="T273" s="1">
        <v>0</v>
      </c>
      <c r="U273" s="1">
        <v>0</v>
      </c>
      <c r="V273" s="1" t="str">
        <f t="shared" si="39"/>
        <v>里程去程</v>
      </c>
      <c r="W273" s="1" t="s">
        <v>35</v>
      </c>
    </row>
    <row r="274" spans="1:23" x14ac:dyDescent="0.3">
      <c r="A274" s="1" t="str">
        <f t="shared" si="40"/>
        <v>59809</v>
      </c>
      <c r="B274" s="1" t="s">
        <v>42</v>
      </c>
      <c r="C274" s="1" t="s">
        <v>43</v>
      </c>
      <c r="D274" s="1" t="str">
        <f t="shared" si="38"/>
        <v>9801</v>
      </c>
      <c r="E274" s="1" t="s">
        <v>25</v>
      </c>
      <c r="F274" s="1" t="str">
        <f>"71CFA2322E280400F700000000000000"</f>
        <v>71CFA2322E280400F700000000000000</v>
      </c>
      <c r="G274" s="1" t="s">
        <v>58</v>
      </c>
      <c r="H274" s="1" t="str">
        <f t="shared" si="41"/>
        <v>20220909</v>
      </c>
      <c r="I274" s="1" t="str">
        <f>"080640"</f>
        <v>080640</v>
      </c>
      <c r="J274" s="1" t="s">
        <v>60</v>
      </c>
      <c r="K274" s="1" t="s">
        <v>52</v>
      </c>
      <c r="L274" s="1" t="str">
        <f t="shared" si="42"/>
        <v>20220909</v>
      </c>
      <c r="M274" s="1" t="str">
        <f>"083025"</f>
        <v>083025</v>
      </c>
      <c r="N274" s="1" t="s">
        <v>70</v>
      </c>
      <c r="O274" s="1" t="s">
        <v>28</v>
      </c>
      <c r="P274" s="1" t="s">
        <v>55</v>
      </c>
      <c r="Q274" s="1">
        <v>25</v>
      </c>
      <c r="R274" s="1">
        <v>25</v>
      </c>
      <c r="S274" s="1">
        <v>0</v>
      </c>
      <c r="T274" s="1">
        <v>0</v>
      </c>
      <c r="U274" s="1">
        <v>0</v>
      </c>
      <c r="V274" s="1" t="str">
        <f t="shared" si="39"/>
        <v>里程去程</v>
      </c>
      <c r="W274" s="1" t="s">
        <v>29</v>
      </c>
    </row>
    <row r="275" spans="1:23" x14ac:dyDescent="0.3">
      <c r="A275" s="1" t="str">
        <f t="shared" si="40"/>
        <v>59809</v>
      </c>
      <c r="B275" s="1" t="s">
        <v>42</v>
      </c>
      <c r="C275" s="1" t="s">
        <v>43</v>
      </c>
      <c r="D275" s="1" t="str">
        <f t="shared" si="38"/>
        <v>9801</v>
      </c>
      <c r="E275" s="1" t="s">
        <v>25</v>
      </c>
      <c r="F275" s="1" t="str">
        <f>"595460177"</f>
        <v>595460177</v>
      </c>
      <c r="G275" s="1" t="s">
        <v>33</v>
      </c>
      <c r="H275" s="1" t="str">
        <f t="shared" si="41"/>
        <v>20220909</v>
      </c>
      <c r="I275" s="1" t="str">
        <f>"080644"</f>
        <v>080644</v>
      </c>
      <c r="J275" s="1" t="s">
        <v>60</v>
      </c>
      <c r="K275" s="1" t="s">
        <v>52</v>
      </c>
      <c r="L275" s="1" t="str">
        <f t="shared" si="42"/>
        <v>20220909</v>
      </c>
      <c r="M275" s="1" t="str">
        <f>"083027"</f>
        <v>083027</v>
      </c>
      <c r="N275" s="1" t="s">
        <v>70</v>
      </c>
      <c r="O275" s="1" t="s">
        <v>28</v>
      </c>
      <c r="P275" s="1" t="s">
        <v>55</v>
      </c>
      <c r="Q275" s="1">
        <v>25</v>
      </c>
      <c r="R275" s="1">
        <v>25</v>
      </c>
      <c r="S275" s="1">
        <v>0</v>
      </c>
      <c r="T275" s="1">
        <v>0</v>
      </c>
      <c r="U275" s="1">
        <v>0</v>
      </c>
      <c r="V275" s="1" t="str">
        <f t="shared" si="39"/>
        <v>里程去程</v>
      </c>
      <c r="W275" s="1" t="s">
        <v>35</v>
      </c>
    </row>
    <row r="276" spans="1:23" x14ac:dyDescent="0.3">
      <c r="A276" s="1" t="str">
        <f t="shared" si="40"/>
        <v>59809</v>
      </c>
      <c r="B276" s="1" t="s">
        <v>42</v>
      </c>
      <c r="C276" s="1" t="s">
        <v>43</v>
      </c>
      <c r="D276" s="1" t="str">
        <f t="shared" si="38"/>
        <v>9801</v>
      </c>
      <c r="E276" s="1" t="s">
        <v>25</v>
      </c>
      <c r="F276" s="1" t="str">
        <f>"62790D0315880400C834002000000015"</f>
        <v>62790D0315880400C834002000000015</v>
      </c>
      <c r="G276" s="1" t="s">
        <v>26</v>
      </c>
      <c r="H276" s="1" t="str">
        <f t="shared" si="41"/>
        <v>20220909</v>
      </c>
      <c r="I276" s="1" t="str">
        <f>"092307"</f>
        <v>092307</v>
      </c>
      <c r="J276" s="1" t="s">
        <v>67</v>
      </c>
      <c r="K276" s="1" t="s">
        <v>52</v>
      </c>
      <c r="L276" s="1" t="str">
        <f t="shared" si="42"/>
        <v>20220909</v>
      </c>
      <c r="M276" s="1" t="str">
        <f>"093048"</f>
        <v>093048</v>
      </c>
      <c r="N276" s="1" t="s">
        <v>70</v>
      </c>
      <c r="O276" s="1" t="s">
        <v>28</v>
      </c>
      <c r="P276" s="1" t="s">
        <v>68</v>
      </c>
      <c r="Q276" s="1">
        <v>13</v>
      </c>
      <c r="R276" s="1">
        <v>0</v>
      </c>
      <c r="S276" s="1">
        <v>0</v>
      </c>
      <c r="T276" s="1">
        <v>13</v>
      </c>
      <c r="U276" s="1">
        <v>0</v>
      </c>
      <c r="V276" s="1" t="str">
        <f t="shared" si="39"/>
        <v>里程去程</v>
      </c>
      <c r="W276" s="1" t="s">
        <v>29</v>
      </c>
    </row>
    <row r="277" spans="1:23" x14ac:dyDescent="0.3">
      <c r="A277" s="1" t="str">
        <f t="shared" si="40"/>
        <v>59809</v>
      </c>
      <c r="B277" s="1" t="s">
        <v>42</v>
      </c>
      <c r="C277" s="1" t="s">
        <v>43</v>
      </c>
      <c r="D277" s="1" t="str">
        <f t="shared" si="38"/>
        <v>9801</v>
      </c>
      <c r="E277" s="1" t="s">
        <v>25</v>
      </c>
      <c r="F277" s="1" t="str">
        <f>"E213BD024E880400C834002000000015"</f>
        <v>E213BD024E880400C834002000000015</v>
      </c>
      <c r="G277" s="1" t="s">
        <v>74</v>
      </c>
      <c r="H277" s="1" t="str">
        <f t="shared" si="41"/>
        <v>20220909</v>
      </c>
      <c r="I277" s="1" t="str">
        <f>"093054"</f>
        <v>093054</v>
      </c>
      <c r="J277" s="1" t="s">
        <v>27</v>
      </c>
      <c r="K277" s="1" t="s">
        <v>28</v>
      </c>
      <c r="L277" s="1" t="str">
        <f t="shared" si="42"/>
        <v>20220909</v>
      </c>
      <c r="M277" s="1" t="str">
        <f>"094817"</f>
        <v>094817</v>
      </c>
      <c r="N277" s="1" t="s">
        <v>56</v>
      </c>
      <c r="O277" s="1" t="s">
        <v>45</v>
      </c>
      <c r="P277" s="1" t="s">
        <v>68</v>
      </c>
      <c r="Q277" s="1">
        <v>13</v>
      </c>
      <c r="R277" s="1">
        <v>0</v>
      </c>
      <c r="S277" s="1">
        <v>0</v>
      </c>
      <c r="T277" s="1">
        <v>13</v>
      </c>
      <c r="U277" s="1">
        <v>0</v>
      </c>
      <c r="V277" s="1" t="str">
        <f t="shared" si="39"/>
        <v>里程去程</v>
      </c>
      <c r="W277" s="1" t="s">
        <v>29</v>
      </c>
    </row>
    <row r="278" spans="1:23" x14ac:dyDescent="0.3">
      <c r="A278" s="1" t="str">
        <f t="shared" si="40"/>
        <v>59809</v>
      </c>
      <c r="B278" s="1" t="s">
        <v>42</v>
      </c>
      <c r="C278" s="1" t="s">
        <v>43</v>
      </c>
      <c r="D278" s="1" t="str">
        <f t="shared" si="38"/>
        <v>9801</v>
      </c>
      <c r="E278" s="1" t="s">
        <v>25</v>
      </c>
      <c r="F278" s="1" t="str">
        <f>"F13B475DD08804004325C3F9000E0C0F"</f>
        <v>F13B475DD08804004325C3F9000E0C0F</v>
      </c>
      <c r="G278" s="1" t="s">
        <v>64</v>
      </c>
      <c r="H278" s="1" t="str">
        <f t="shared" si="41"/>
        <v>20220909</v>
      </c>
      <c r="I278" s="1" t="str">
        <f>"093122"</f>
        <v>093122</v>
      </c>
      <c r="J278" s="1" t="s">
        <v>27</v>
      </c>
      <c r="K278" s="1" t="s">
        <v>28</v>
      </c>
      <c r="L278" s="1" t="str">
        <f t="shared" si="42"/>
        <v>20220909</v>
      </c>
      <c r="M278" s="1" t="str">
        <f>"095737"</f>
        <v>095737</v>
      </c>
      <c r="N278" s="1" t="s">
        <v>44</v>
      </c>
      <c r="O278" s="1" t="s">
        <v>45</v>
      </c>
      <c r="P278" s="1" t="s">
        <v>55</v>
      </c>
      <c r="Q278" s="1">
        <v>13</v>
      </c>
      <c r="R278" s="1">
        <v>13</v>
      </c>
      <c r="S278" s="1">
        <v>0</v>
      </c>
      <c r="T278" s="1">
        <v>0</v>
      </c>
      <c r="U278" s="1">
        <v>0</v>
      </c>
      <c r="V278" s="1" t="str">
        <f t="shared" si="39"/>
        <v>里程去程</v>
      </c>
      <c r="W278" s="1" t="s">
        <v>29</v>
      </c>
    </row>
    <row r="279" spans="1:23" x14ac:dyDescent="0.3">
      <c r="A279" s="1" t="str">
        <f t="shared" si="40"/>
        <v>59809</v>
      </c>
      <c r="B279" s="1" t="s">
        <v>42</v>
      </c>
      <c r="C279" s="1" t="s">
        <v>43</v>
      </c>
      <c r="D279" s="1" t="str">
        <f t="shared" si="38"/>
        <v>9801</v>
      </c>
      <c r="E279" s="1" t="s">
        <v>25</v>
      </c>
      <c r="F279" s="1" t="str">
        <f>"6280E61A1E880400C817002000000021"</f>
        <v>6280E61A1E880400C817002000000021</v>
      </c>
      <c r="G279" s="1" t="s">
        <v>58</v>
      </c>
      <c r="H279" s="1" t="str">
        <f t="shared" si="41"/>
        <v>20220909</v>
      </c>
      <c r="I279" s="1" t="str">
        <f>"093131"</f>
        <v>093131</v>
      </c>
      <c r="J279" s="1" t="s">
        <v>27</v>
      </c>
      <c r="K279" s="1" t="s">
        <v>28</v>
      </c>
      <c r="L279" s="1" t="str">
        <f t="shared" si="42"/>
        <v>20220909</v>
      </c>
      <c r="M279" s="1" t="str">
        <f>"095729"</f>
        <v>095729</v>
      </c>
      <c r="N279" s="1" t="s">
        <v>44</v>
      </c>
      <c r="O279" s="1" t="s">
        <v>45</v>
      </c>
      <c r="P279" s="1" t="s">
        <v>55</v>
      </c>
      <c r="Q279" s="1">
        <v>25</v>
      </c>
      <c r="R279" s="1">
        <v>0</v>
      </c>
      <c r="S279" s="1">
        <v>25</v>
      </c>
      <c r="T279" s="1">
        <v>0</v>
      </c>
      <c r="U279" s="1">
        <v>0</v>
      </c>
      <c r="V279" s="1" t="str">
        <f t="shared" si="39"/>
        <v>里程去程</v>
      </c>
      <c r="W279" s="1" t="s">
        <v>29</v>
      </c>
    </row>
    <row r="280" spans="1:23" x14ac:dyDescent="0.3">
      <c r="A280" s="1" t="str">
        <f t="shared" si="40"/>
        <v>59809</v>
      </c>
      <c r="B280" s="1" t="s">
        <v>42</v>
      </c>
      <c r="C280" s="1" t="s">
        <v>43</v>
      </c>
      <c r="D280" s="1" t="str">
        <f t="shared" si="38"/>
        <v>9801</v>
      </c>
      <c r="E280" s="1" t="s">
        <v>25</v>
      </c>
      <c r="F280" s="1" t="str">
        <f>"41814F5AD52804001C00000000000000"</f>
        <v>41814F5AD52804001C00000000000000</v>
      </c>
      <c r="G280" s="1" t="s">
        <v>58</v>
      </c>
      <c r="H280" s="1" t="str">
        <f t="shared" si="41"/>
        <v>20220909</v>
      </c>
      <c r="I280" s="1" t="str">
        <f>"093134"</f>
        <v>093134</v>
      </c>
      <c r="J280" s="1" t="s">
        <v>27</v>
      </c>
      <c r="K280" s="1" t="s">
        <v>28</v>
      </c>
      <c r="L280" s="1" t="str">
        <f t="shared" si="42"/>
        <v>20220909</v>
      </c>
      <c r="M280" s="1" t="str">
        <f>"095734"</f>
        <v>095734</v>
      </c>
      <c r="N280" s="1" t="s">
        <v>44</v>
      </c>
      <c r="O280" s="1" t="s">
        <v>45</v>
      </c>
      <c r="P280" s="1" t="s">
        <v>55</v>
      </c>
      <c r="Q280" s="1">
        <v>25</v>
      </c>
      <c r="R280" s="1">
        <v>25</v>
      </c>
      <c r="S280" s="1">
        <v>0</v>
      </c>
      <c r="T280" s="1">
        <v>0</v>
      </c>
      <c r="U280" s="1">
        <v>0</v>
      </c>
      <c r="V280" s="1" t="str">
        <f t="shared" si="39"/>
        <v>里程去程</v>
      </c>
      <c r="W280" s="1" t="s">
        <v>29</v>
      </c>
    </row>
    <row r="281" spans="1:23" x14ac:dyDescent="0.3">
      <c r="A281" s="1" t="str">
        <f t="shared" si="40"/>
        <v>59809</v>
      </c>
      <c r="B281" s="1" t="s">
        <v>42</v>
      </c>
      <c r="C281" s="1" t="s">
        <v>43</v>
      </c>
      <c r="D281" s="1" t="str">
        <f t="shared" si="38"/>
        <v>9801</v>
      </c>
      <c r="E281" s="1" t="s">
        <v>25</v>
      </c>
      <c r="F281" s="1" t="str">
        <f>"232998305"</f>
        <v>232998305</v>
      </c>
      <c r="G281" s="1" t="s">
        <v>33</v>
      </c>
      <c r="H281" s="1" t="str">
        <f t="shared" si="41"/>
        <v>20220909</v>
      </c>
      <c r="I281" s="1" t="str">
        <f>"093403"</f>
        <v>093403</v>
      </c>
      <c r="J281" s="1" t="s">
        <v>27</v>
      </c>
      <c r="K281" s="1" t="s">
        <v>28</v>
      </c>
      <c r="L281" s="1" t="str">
        <f t="shared" si="42"/>
        <v>20220909</v>
      </c>
      <c r="M281" s="1" t="str">
        <f>"094548"</f>
        <v>094548</v>
      </c>
      <c r="N281" s="1" t="s">
        <v>45</v>
      </c>
      <c r="O281" s="1" t="s">
        <v>45</v>
      </c>
      <c r="P281" s="1" t="s">
        <v>55</v>
      </c>
      <c r="Q281" s="1">
        <v>25</v>
      </c>
      <c r="R281" s="1">
        <v>25</v>
      </c>
      <c r="S281" s="1">
        <v>0</v>
      </c>
      <c r="T281" s="1">
        <v>0</v>
      </c>
      <c r="U281" s="1">
        <v>0</v>
      </c>
      <c r="V281" s="1" t="str">
        <f t="shared" si="39"/>
        <v>里程去程</v>
      </c>
      <c r="W281" s="1" t="s">
        <v>35</v>
      </c>
    </row>
    <row r="282" spans="1:23" x14ac:dyDescent="0.3">
      <c r="A282" s="1" t="str">
        <f t="shared" ref="A282:A304" si="43">"59829"</f>
        <v>59829</v>
      </c>
      <c r="B282" s="1" t="s">
        <v>47</v>
      </c>
      <c r="C282" s="1" t="s">
        <v>48</v>
      </c>
      <c r="D282" s="1" t="str">
        <f t="shared" si="38"/>
        <v>9801</v>
      </c>
      <c r="E282" s="1" t="s">
        <v>25</v>
      </c>
      <c r="F282" s="1" t="str">
        <f>"42AFE60209880400C834002000000015"</f>
        <v>42AFE60209880400C834002000000015</v>
      </c>
      <c r="G282" s="1" t="s">
        <v>74</v>
      </c>
      <c r="H282" s="1" t="str">
        <f t="shared" si="41"/>
        <v>20220909</v>
      </c>
      <c r="I282" s="1" t="str">
        <f>"110627"</f>
        <v>110627</v>
      </c>
      <c r="J282" s="1" t="s">
        <v>52</v>
      </c>
      <c r="K282" s="1" t="s">
        <v>52</v>
      </c>
      <c r="L282" s="1" t="str">
        <f t="shared" si="42"/>
        <v>20220909</v>
      </c>
      <c r="M282" s="1" t="str">
        <f>"112318"</f>
        <v>112318</v>
      </c>
      <c r="N282" s="1" t="s">
        <v>80</v>
      </c>
      <c r="O282" s="1" t="s">
        <v>52</v>
      </c>
      <c r="P282" s="1" t="s">
        <v>68</v>
      </c>
      <c r="Q282" s="1">
        <v>13</v>
      </c>
      <c r="R282" s="1">
        <v>0</v>
      </c>
      <c r="S282" s="1">
        <v>0</v>
      </c>
      <c r="T282" s="1">
        <v>13</v>
      </c>
      <c r="U282" s="1">
        <v>0</v>
      </c>
      <c r="V282" s="1" t="str">
        <f t="shared" si="39"/>
        <v>里程去程</v>
      </c>
      <c r="W282" s="1" t="s">
        <v>29</v>
      </c>
    </row>
    <row r="283" spans="1:23" x14ac:dyDescent="0.3">
      <c r="A283" s="1" t="str">
        <f t="shared" si="43"/>
        <v>59829</v>
      </c>
      <c r="B283" s="1" t="s">
        <v>47</v>
      </c>
      <c r="C283" s="1" t="s">
        <v>48</v>
      </c>
      <c r="D283" s="1" t="str">
        <f t="shared" si="38"/>
        <v>9801</v>
      </c>
      <c r="E283" s="1" t="s">
        <v>25</v>
      </c>
      <c r="F283" s="1" t="str">
        <f>"D2D38A1992880400C824002000000020"</f>
        <v>D2D38A1992880400C824002000000020</v>
      </c>
      <c r="G283" s="1" t="s">
        <v>59</v>
      </c>
      <c r="H283" s="1" t="str">
        <f t="shared" si="41"/>
        <v>20220909</v>
      </c>
      <c r="I283" s="1" t="str">
        <f>"111320"</f>
        <v>111320</v>
      </c>
      <c r="J283" s="1" t="s">
        <v>60</v>
      </c>
      <c r="K283" s="1" t="s">
        <v>52</v>
      </c>
      <c r="L283" s="1" t="str">
        <f t="shared" si="42"/>
        <v>20220909</v>
      </c>
      <c r="M283" s="1" t="str">
        <f>"113955"</f>
        <v>113955</v>
      </c>
      <c r="N283" s="1" t="s">
        <v>70</v>
      </c>
      <c r="O283" s="1" t="s">
        <v>28</v>
      </c>
      <c r="P283" s="1" t="s">
        <v>55</v>
      </c>
      <c r="Q283" s="1">
        <v>25</v>
      </c>
      <c r="R283" s="1">
        <v>25</v>
      </c>
      <c r="S283" s="1">
        <v>0</v>
      </c>
      <c r="T283" s="1">
        <v>0</v>
      </c>
      <c r="U283" s="1">
        <v>0</v>
      </c>
      <c r="V283" s="1" t="str">
        <f t="shared" si="39"/>
        <v>里程去程</v>
      </c>
      <c r="W283" s="1" t="s">
        <v>29</v>
      </c>
    </row>
    <row r="284" spans="1:23" x14ac:dyDescent="0.3">
      <c r="A284" s="1" t="str">
        <f t="shared" si="43"/>
        <v>59829</v>
      </c>
      <c r="B284" s="1" t="s">
        <v>47</v>
      </c>
      <c r="C284" s="1" t="s">
        <v>48</v>
      </c>
      <c r="D284" s="1" t="str">
        <f t="shared" si="38"/>
        <v>9801</v>
      </c>
      <c r="E284" s="1" t="s">
        <v>25</v>
      </c>
      <c r="F284" s="1" t="str">
        <f>"F2F7D002D7880400C834002000000015"</f>
        <v>F2F7D002D7880400C834002000000015</v>
      </c>
      <c r="G284" s="1" t="s">
        <v>74</v>
      </c>
      <c r="H284" s="1" t="str">
        <f t="shared" si="41"/>
        <v>20220909</v>
      </c>
      <c r="I284" s="1" t="str">
        <f>"112343"</f>
        <v>112343</v>
      </c>
      <c r="J284" s="1" t="s">
        <v>80</v>
      </c>
      <c r="K284" s="1" t="s">
        <v>52</v>
      </c>
      <c r="L284" s="1" t="str">
        <f t="shared" si="42"/>
        <v>20220909</v>
      </c>
      <c r="M284" s="1" t="str">
        <f>"113928"</f>
        <v>113928</v>
      </c>
      <c r="N284" s="1" t="s">
        <v>70</v>
      </c>
      <c r="O284" s="1" t="s">
        <v>28</v>
      </c>
      <c r="P284" s="1" t="s">
        <v>68</v>
      </c>
      <c r="Q284" s="1">
        <v>13</v>
      </c>
      <c r="R284" s="1">
        <v>0</v>
      </c>
      <c r="S284" s="1">
        <v>0</v>
      </c>
      <c r="T284" s="1">
        <v>13</v>
      </c>
      <c r="U284" s="1">
        <v>0</v>
      </c>
      <c r="V284" s="1" t="str">
        <f t="shared" si="39"/>
        <v>里程去程</v>
      </c>
      <c r="W284" s="1" t="s">
        <v>29</v>
      </c>
    </row>
    <row r="285" spans="1:23" x14ac:dyDescent="0.3">
      <c r="A285" s="1" t="str">
        <f t="shared" si="43"/>
        <v>59829</v>
      </c>
      <c r="B285" s="1" t="s">
        <v>47</v>
      </c>
      <c r="C285" s="1" t="s">
        <v>48</v>
      </c>
      <c r="D285" s="1" t="str">
        <f t="shared" si="38"/>
        <v>9801</v>
      </c>
      <c r="E285" s="1" t="s">
        <v>25</v>
      </c>
      <c r="F285" s="1" t="str">
        <f>"797182581"</f>
        <v>797182581</v>
      </c>
      <c r="G285" s="1" t="s">
        <v>33</v>
      </c>
      <c r="H285" s="1" t="str">
        <f t="shared" si="41"/>
        <v>20220909</v>
      </c>
      <c r="I285" s="1" t="str">
        <f>"114005"</f>
        <v>114005</v>
      </c>
      <c r="J285" s="1" t="s">
        <v>27</v>
      </c>
      <c r="K285" s="1" t="s">
        <v>28</v>
      </c>
      <c r="L285" s="1" t="str">
        <f t="shared" si="42"/>
        <v>20220909</v>
      </c>
      <c r="M285" s="1" t="str">
        <f>"115225"</f>
        <v>115225</v>
      </c>
      <c r="N285" s="1" t="s">
        <v>61</v>
      </c>
      <c r="O285" s="1" t="s">
        <v>45</v>
      </c>
      <c r="P285" s="1" t="s">
        <v>55</v>
      </c>
      <c r="Q285" s="1">
        <v>25</v>
      </c>
      <c r="R285" s="1">
        <v>25</v>
      </c>
      <c r="S285" s="1">
        <v>0</v>
      </c>
      <c r="T285" s="1">
        <v>0</v>
      </c>
      <c r="U285" s="1">
        <v>0</v>
      </c>
      <c r="V285" s="1" t="str">
        <f t="shared" si="39"/>
        <v>里程去程</v>
      </c>
      <c r="W285" s="1" t="s">
        <v>35</v>
      </c>
    </row>
    <row r="286" spans="1:23" x14ac:dyDescent="0.3">
      <c r="A286" s="1" t="str">
        <f t="shared" si="43"/>
        <v>59829</v>
      </c>
      <c r="B286" s="1" t="s">
        <v>47</v>
      </c>
      <c r="C286" s="1" t="s">
        <v>48</v>
      </c>
      <c r="D286" s="1" t="str">
        <f t="shared" si="38"/>
        <v>9801</v>
      </c>
      <c r="E286" s="1" t="s">
        <v>25</v>
      </c>
      <c r="F286" s="1" t="str">
        <f>"245058805"</f>
        <v>245058805</v>
      </c>
      <c r="G286" s="1" t="s">
        <v>33</v>
      </c>
      <c r="H286" s="1" t="str">
        <f t="shared" si="41"/>
        <v>20220909</v>
      </c>
      <c r="I286" s="1" t="str">
        <f>"114029"</f>
        <v>114029</v>
      </c>
      <c r="J286" s="1" t="s">
        <v>27</v>
      </c>
      <c r="K286" s="1" t="s">
        <v>28</v>
      </c>
      <c r="L286" s="1" t="str">
        <f t="shared" si="42"/>
        <v>20220909</v>
      </c>
      <c r="M286" s="1" t="str">
        <f>"115008"</f>
        <v>115008</v>
      </c>
      <c r="N286" s="1" t="s">
        <v>45</v>
      </c>
      <c r="O286" s="1" t="s">
        <v>45</v>
      </c>
      <c r="P286" s="1" t="s">
        <v>55</v>
      </c>
      <c r="Q286" s="1">
        <v>25</v>
      </c>
      <c r="R286" s="1">
        <v>25</v>
      </c>
      <c r="S286" s="1">
        <v>0</v>
      </c>
      <c r="T286" s="1">
        <v>0</v>
      </c>
      <c r="U286" s="1">
        <v>0</v>
      </c>
      <c r="V286" s="1" t="str">
        <f t="shared" si="39"/>
        <v>里程去程</v>
      </c>
      <c r="W286" s="1" t="s">
        <v>35</v>
      </c>
    </row>
    <row r="287" spans="1:23" x14ac:dyDescent="0.3">
      <c r="A287" s="1" t="str">
        <f t="shared" si="43"/>
        <v>59829</v>
      </c>
      <c r="B287" s="1" t="s">
        <v>47</v>
      </c>
      <c r="C287" s="1" t="s">
        <v>48</v>
      </c>
      <c r="D287" s="1" t="str">
        <f t="shared" si="38"/>
        <v>9801</v>
      </c>
      <c r="E287" s="1" t="s">
        <v>25</v>
      </c>
      <c r="F287" s="1" t="str">
        <f>"538143201"</f>
        <v>538143201</v>
      </c>
      <c r="G287" s="1" t="s">
        <v>33</v>
      </c>
      <c r="H287" s="1" t="str">
        <f t="shared" si="41"/>
        <v>20220909</v>
      </c>
      <c r="I287" s="1" t="str">
        <f>"114031"</f>
        <v>114031</v>
      </c>
      <c r="J287" s="1" t="s">
        <v>27</v>
      </c>
      <c r="K287" s="1" t="s">
        <v>28</v>
      </c>
      <c r="L287" s="1" t="str">
        <f t="shared" si="42"/>
        <v>20220909</v>
      </c>
      <c r="M287" s="1" t="str">
        <f>"115815"</f>
        <v>115815</v>
      </c>
      <c r="N287" s="1" t="s">
        <v>91</v>
      </c>
      <c r="O287" s="1" t="s">
        <v>45</v>
      </c>
      <c r="P287" s="1" t="s">
        <v>55</v>
      </c>
      <c r="Q287" s="1">
        <v>25</v>
      </c>
      <c r="R287" s="1">
        <v>0</v>
      </c>
      <c r="S287" s="1">
        <v>25</v>
      </c>
      <c r="T287" s="1">
        <v>0</v>
      </c>
      <c r="U287" s="1">
        <v>0</v>
      </c>
      <c r="V287" s="1" t="str">
        <f t="shared" si="39"/>
        <v>里程去程</v>
      </c>
      <c r="W287" s="1" t="s">
        <v>35</v>
      </c>
    </row>
    <row r="288" spans="1:23" x14ac:dyDescent="0.3">
      <c r="A288" s="1" t="str">
        <f t="shared" si="43"/>
        <v>59829</v>
      </c>
      <c r="B288" s="1" t="s">
        <v>47</v>
      </c>
      <c r="C288" s="1" t="s">
        <v>48</v>
      </c>
      <c r="D288" s="1" t="str">
        <f t="shared" si="38"/>
        <v>9801</v>
      </c>
      <c r="E288" s="1" t="s">
        <v>25</v>
      </c>
      <c r="F288" s="1" t="str">
        <f>"945387989"</f>
        <v>945387989</v>
      </c>
      <c r="G288" s="1" t="s">
        <v>33</v>
      </c>
      <c r="H288" s="1" t="str">
        <f t="shared" si="41"/>
        <v>20220909</v>
      </c>
      <c r="I288" s="1" t="str">
        <f>"114034"</f>
        <v>114034</v>
      </c>
      <c r="J288" s="1" t="s">
        <v>27</v>
      </c>
      <c r="K288" s="1" t="s">
        <v>28</v>
      </c>
      <c r="L288" s="1" t="str">
        <f t="shared" si="42"/>
        <v>20220909</v>
      </c>
      <c r="M288" s="1" t="str">
        <f>"115818"</f>
        <v>115818</v>
      </c>
      <c r="N288" s="1" t="s">
        <v>91</v>
      </c>
      <c r="O288" s="1" t="s">
        <v>45</v>
      </c>
      <c r="P288" s="1" t="s">
        <v>55</v>
      </c>
      <c r="Q288" s="1">
        <v>25</v>
      </c>
      <c r="R288" s="1">
        <v>0</v>
      </c>
      <c r="S288" s="1">
        <v>25</v>
      </c>
      <c r="T288" s="1">
        <v>0</v>
      </c>
      <c r="U288" s="1">
        <v>0</v>
      </c>
      <c r="V288" s="1" t="str">
        <f t="shared" si="39"/>
        <v>里程去程</v>
      </c>
      <c r="W288" s="1" t="s">
        <v>35</v>
      </c>
    </row>
    <row r="289" spans="1:23" x14ac:dyDescent="0.3">
      <c r="A289" s="1" t="str">
        <f t="shared" si="43"/>
        <v>59829</v>
      </c>
      <c r="B289" s="1" t="s">
        <v>47</v>
      </c>
      <c r="C289" s="1" t="s">
        <v>48</v>
      </c>
      <c r="D289" s="1" t="str">
        <f t="shared" si="38"/>
        <v>9801</v>
      </c>
      <c r="E289" s="1" t="s">
        <v>25</v>
      </c>
      <c r="F289" s="1" t="str">
        <f>"2581869224"</f>
        <v>2581869224</v>
      </c>
      <c r="G289" s="1" t="s">
        <v>33</v>
      </c>
      <c r="H289" s="1" t="str">
        <f t="shared" si="41"/>
        <v>20220909</v>
      </c>
      <c r="I289" s="1" t="str">
        <f>"114037"</f>
        <v>114037</v>
      </c>
      <c r="J289" s="1" t="s">
        <v>27</v>
      </c>
      <c r="K289" s="1" t="s">
        <v>28</v>
      </c>
      <c r="L289" s="1" t="str">
        <f t="shared" si="42"/>
        <v>20220909</v>
      </c>
      <c r="M289" s="1" t="str">
        <f>"115813"</f>
        <v>115813</v>
      </c>
      <c r="N289" s="1" t="s">
        <v>91</v>
      </c>
      <c r="O289" s="1" t="s">
        <v>45</v>
      </c>
      <c r="P289" s="1" t="s">
        <v>55</v>
      </c>
      <c r="Q289" s="1">
        <v>25</v>
      </c>
      <c r="R289" s="1">
        <v>0</v>
      </c>
      <c r="S289" s="1">
        <v>25</v>
      </c>
      <c r="T289" s="1">
        <v>0</v>
      </c>
      <c r="U289" s="1">
        <v>0</v>
      </c>
      <c r="V289" s="1" t="str">
        <f t="shared" si="39"/>
        <v>里程去程</v>
      </c>
      <c r="W289" s="1" t="s">
        <v>35</v>
      </c>
    </row>
    <row r="290" spans="1:23" x14ac:dyDescent="0.3">
      <c r="A290" s="1" t="str">
        <f t="shared" si="43"/>
        <v>59829</v>
      </c>
      <c r="B290" s="1" t="s">
        <v>47</v>
      </c>
      <c r="C290" s="1" t="s">
        <v>48</v>
      </c>
      <c r="D290" s="1" t="str">
        <f t="shared" si="38"/>
        <v>9801</v>
      </c>
      <c r="E290" s="1" t="s">
        <v>25</v>
      </c>
      <c r="F290" s="1" t="str">
        <f>"924703586"</f>
        <v>924703586</v>
      </c>
      <c r="G290" s="1" t="s">
        <v>33</v>
      </c>
      <c r="H290" s="1" t="str">
        <f t="shared" si="41"/>
        <v>20220909</v>
      </c>
      <c r="I290" s="1" t="str">
        <f>"114041"</f>
        <v>114041</v>
      </c>
      <c r="J290" s="1" t="s">
        <v>27</v>
      </c>
      <c r="K290" s="1" t="s">
        <v>28</v>
      </c>
      <c r="L290" s="1" t="str">
        <f t="shared" si="42"/>
        <v>20220909</v>
      </c>
      <c r="M290" s="1" t="str">
        <f>"120320"</f>
        <v>120320</v>
      </c>
      <c r="N290" s="1" t="s">
        <v>44</v>
      </c>
      <c r="O290" s="1" t="s">
        <v>45</v>
      </c>
      <c r="P290" s="1" t="s">
        <v>55</v>
      </c>
      <c r="Q290" s="1">
        <v>25</v>
      </c>
      <c r="R290" s="1">
        <v>25</v>
      </c>
      <c r="S290" s="1">
        <v>0</v>
      </c>
      <c r="T290" s="1">
        <v>0</v>
      </c>
      <c r="U290" s="1">
        <v>0</v>
      </c>
      <c r="V290" s="1" t="str">
        <f t="shared" si="39"/>
        <v>里程去程</v>
      </c>
      <c r="W290" s="1" t="s">
        <v>35</v>
      </c>
    </row>
    <row r="291" spans="1:23" x14ac:dyDescent="0.3">
      <c r="A291" s="1" t="str">
        <f t="shared" si="43"/>
        <v>59829</v>
      </c>
      <c r="B291" s="1" t="s">
        <v>47</v>
      </c>
      <c r="C291" s="1" t="s">
        <v>48</v>
      </c>
      <c r="D291" s="1" t="str">
        <f t="shared" si="38"/>
        <v>9801</v>
      </c>
      <c r="E291" s="1" t="s">
        <v>25</v>
      </c>
      <c r="F291" s="1" t="str">
        <f>"1102204821"</f>
        <v>1102204821</v>
      </c>
      <c r="G291" s="1" t="s">
        <v>33</v>
      </c>
      <c r="H291" s="1" t="str">
        <f t="shared" si="41"/>
        <v>20220909</v>
      </c>
      <c r="I291" s="1" t="str">
        <f>"114045"</f>
        <v>114045</v>
      </c>
      <c r="J291" s="1" t="s">
        <v>27</v>
      </c>
      <c r="K291" s="1" t="s">
        <v>28</v>
      </c>
      <c r="L291" s="1" t="str">
        <f t="shared" si="42"/>
        <v>20220909</v>
      </c>
      <c r="M291" s="1" t="str">
        <f>"115253"</f>
        <v>115253</v>
      </c>
      <c r="N291" s="1" t="s">
        <v>56</v>
      </c>
      <c r="O291" s="1" t="s">
        <v>45</v>
      </c>
      <c r="P291" s="1" t="s">
        <v>55</v>
      </c>
      <c r="Q291" s="1">
        <v>25</v>
      </c>
      <c r="R291" s="1">
        <v>25</v>
      </c>
      <c r="S291" s="1">
        <v>0</v>
      </c>
      <c r="T291" s="1">
        <v>0</v>
      </c>
      <c r="U291" s="1">
        <v>0</v>
      </c>
      <c r="V291" s="1" t="str">
        <f t="shared" si="39"/>
        <v>里程去程</v>
      </c>
      <c r="W291" s="1" t="s">
        <v>35</v>
      </c>
    </row>
    <row r="292" spans="1:23" x14ac:dyDescent="0.3">
      <c r="A292" s="1" t="str">
        <f t="shared" si="43"/>
        <v>59829</v>
      </c>
      <c r="B292" s="1" t="s">
        <v>47</v>
      </c>
      <c r="C292" s="1" t="s">
        <v>48</v>
      </c>
      <c r="D292" s="1" t="str">
        <f t="shared" si="38"/>
        <v>9801</v>
      </c>
      <c r="E292" s="1" t="s">
        <v>25</v>
      </c>
      <c r="F292" s="1" t="str">
        <f>"591493455"</f>
        <v>591493455</v>
      </c>
      <c r="G292" s="1" t="s">
        <v>33</v>
      </c>
      <c r="H292" s="1" t="str">
        <f t="shared" si="41"/>
        <v>20220909</v>
      </c>
      <c r="I292" s="1" t="str">
        <f>"123839"</f>
        <v>123839</v>
      </c>
      <c r="J292" s="1" t="s">
        <v>27</v>
      </c>
      <c r="K292" s="1" t="s">
        <v>28</v>
      </c>
      <c r="L292" s="1" t="str">
        <f t="shared" si="42"/>
        <v>20220909</v>
      </c>
      <c r="M292" s="1" t="str">
        <f>"125240"</f>
        <v>125240</v>
      </c>
      <c r="N292" s="1" t="s">
        <v>75</v>
      </c>
      <c r="O292" s="1" t="s">
        <v>45</v>
      </c>
      <c r="P292" s="1" t="s">
        <v>55</v>
      </c>
      <c r="Q292" s="1">
        <v>25</v>
      </c>
      <c r="R292" s="1">
        <v>25</v>
      </c>
      <c r="S292" s="1">
        <v>0</v>
      </c>
      <c r="T292" s="1">
        <v>0</v>
      </c>
      <c r="U292" s="1">
        <v>0</v>
      </c>
      <c r="V292" s="1" t="str">
        <f t="shared" si="39"/>
        <v>里程去程</v>
      </c>
      <c r="W292" s="1" t="s">
        <v>35</v>
      </c>
    </row>
    <row r="293" spans="1:23" x14ac:dyDescent="0.3">
      <c r="A293" s="1" t="str">
        <f t="shared" si="43"/>
        <v>59829</v>
      </c>
      <c r="B293" s="1" t="s">
        <v>47</v>
      </c>
      <c r="C293" s="1" t="s">
        <v>48</v>
      </c>
      <c r="D293" s="1" t="str">
        <f t="shared" si="38"/>
        <v>9801</v>
      </c>
      <c r="E293" s="1" t="s">
        <v>25</v>
      </c>
      <c r="F293" s="1" t="str">
        <f>"9017193007019518"</f>
        <v>9017193007019518</v>
      </c>
      <c r="G293" s="1" t="s">
        <v>33</v>
      </c>
      <c r="H293" s="1" t="str">
        <f t="shared" si="41"/>
        <v>20220909</v>
      </c>
      <c r="I293" s="1" t="str">
        <f>"123847"</f>
        <v>123847</v>
      </c>
      <c r="J293" s="1" t="s">
        <v>27</v>
      </c>
      <c r="K293" s="1" t="s">
        <v>28</v>
      </c>
      <c r="L293" s="1" t="str">
        <f t="shared" si="42"/>
        <v>20220909</v>
      </c>
      <c r="M293" s="1" t="str">
        <f>"130316"</f>
        <v>130316</v>
      </c>
      <c r="N293" s="1" t="s">
        <v>44</v>
      </c>
      <c r="O293" s="1" t="s">
        <v>45</v>
      </c>
      <c r="P293" s="1" t="s">
        <v>55</v>
      </c>
      <c r="Q293" s="1">
        <v>25</v>
      </c>
      <c r="R293" s="1">
        <v>0</v>
      </c>
      <c r="S293" s="1">
        <v>25</v>
      </c>
      <c r="T293" s="1">
        <v>0</v>
      </c>
      <c r="U293" s="1">
        <v>0</v>
      </c>
      <c r="V293" s="1" t="str">
        <f t="shared" si="39"/>
        <v>里程去程</v>
      </c>
      <c r="W293" s="1" t="s">
        <v>109</v>
      </c>
    </row>
    <row r="294" spans="1:23" x14ac:dyDescent="0.3">
      <c r="A294" s="1" t="str">
        <f t="shared" si="43"/>
        <v>59829</v>
      </c>
      <c r="B294" s="1" t="s">
        <v>47</v>
      </c>
      <c r="C294" s="1" t="s">
        <v>48</v>
      </c>
      <c r="D294" s="1" t="str">
        <f t="shared" si="38"/>
        <v>9801</v>
      </c>
      <c r="E294" s="1" t="s">
        <v>25</v>
      </c>
      <c r="F294" s="1" t="str">
        <f>"7311140120012326"</f>
        <v>7311140120012326</v>
      </c>
      <c r="G294" s="1" t="s">
        <v>33</v>
      </c>
      <c r="H294" s="1" t="str">
        <f t="shared" si="41"/>
        <v>20220909</v>
      </c>
      <c r="I294" s="1" t="str">
        <f>"123852"</f>
        <v>123852</v>
      </c>
      <c r="J294" s="1" t="s">
        <v>27</v>
      </c>
      <c r="K294" s="1" t="s">
        <v>28</v>
      </c>
      <c r="L294" s="1" t="str">
        <f t="shared" si="42"/>
        <v>20220909</v>
      </c>
      <c r="M294" s="1" t="str">
        <f>"130311"</f>
        <v>130311</v>
      </c>
      <c r="N294" s="1" t="s">
        <v>44</v>
      </c>
      <c r="O294" s="1" t="s">
        <v>45</v>
      </c>
      <c r="P294" s="1" t="s">
        <v>55</v>
      </c>
      <c r="Q294" s="1">
        <v>25</v>
      </c>
      <c r="R294" s="1">
        <v>0</v>
      </c>
      <c r="S294" s="1">
        <v>25</v>
      </c>
      <c r="T294" s="1">
        <v>0</v>
      </c>
      <c r="U294" s="1">
        <v>0</v>
      </c>
      <c r="V294" s="1" t="str">
        <f t="shared" si="39"/>
        <v>里程去程</v>
      </c>
      <c r="W294" s="1" t="s">
        <v>109</v>
      </c>
    </row>
    <row r="295" spans="1:23" x14ac:dyDescent="0.3">
      <c r="A295" s="1" t="str">
        <f t="shared" si="43"/>
        <v>59829</v>
      </c>
      <c r="B295" s="1" t="s">
        <v>47</v>
      </c>
      <c r="C295" s="1" t="s">
        <v>48</v>
      </c>
      <c r="D295" s="1" t="str">
        <f t="shared" si="38"/>
        <v>9801</v>
      </c>
      <c r="E295" s="1" t="s">
        <v>25</v>
      </c>
      <c r="F295" s="1" t="str">
        <f>"1107219413"</f>
        <v>1107219413</v>
      </c>
      <c r="G295" s="1" t="s">
        <v>26</v>
      </c>
      <c r="H295" s="1" t="str">
        <f t="shared" si="41"/>
        <v>20220909</v>
      </c>
      <c r="I295" s="1" t="str">
        <f>"123902"</f>
        <v>123902</v>
      </c>
      <c r="J295" s="1" t="s">
        <v>27</v>
      </c>
      <c r="K295" s="1" t="s">
        <v>28</v>
      </c>
      <c r="L295" s="1" t="str">
        <f t="shared" si="42"/>
        <v>20220909</v>
      </c>
      <c r="M295" s="1" t="str">
        <f>"125256"</f>
        <v>125256</v>
      </c>
      <c r="N295" s="1" t="s">
        <v>75</v>
      </c>
      <c r="O295" s="1" t="s">
        <v>45</v>
      </c>
      <c r="P295" s="1" t="s">
        <v>55</v>
      </c>
      <c r="Q295" s="1">
        <v>13</v>
      </c>
      <c r="R295" s="1">
        <v>13</v>
      </c>
      <c r="S295" s="1">
        <v>0</v>
      </c>
      <c r="T295" s="1">
        <v>0</v>
      </c>
      <c r="U295" s="1">
        <v>0</v>
      </c>
      <c r="V295" s="1" t="str">
        <f t="shared" si="39"/>
        <v>里程去程</v>
      </c>
      <c r="W295" s="1" t="s">
        <v>35</v>
      </c>
    </row>
    <row r="296" spans="1:23" x14ac:dyDescent="0.3">
      <c r="A296" s="1" t="str">
        <f t="shared" si="43"/>
        <v>59829</v>
      </c>
      <c r="B296" s="1" t="s">
        <v>47</v>
      </c>
      <c r="C296" s="1" t="s">
        <v>48</v>
      </c>
      <c r="D296" s="1" t="str">
        <f t="shared" si="38"/>
        <v>9801</v>
      </c>
      <c r="E296" s="1" t="s">
        <v>25</v>
      </c>
      <c r="F296" s="1" t="str">
        <f>"1076855893"</f>
        <v>1076855893</v>
      </c>
      <c r="G296" s="1" t="s">
        <v>33</v>
      </c>
      <c r="H296" s="1" t="str">
        <f t="shared" si="41"/>
        <v>20220909</v>
      </c>
      <c r="I296" s="1" t="str">
        <f>"133630"</f>
        <v>133630</v>
      </c>
      <c r="J296" s="1" t="s">
        <v>28</v>
      </c>
      <c r="K296" s="1" t="s">
        <v>28</v>
      </c>
      <c r="L296" s="1" t="str">
        <f t="shared" si="42"/>
        <v>20220909</v>
      </c>
      <c r="M296" s="1" t="str">
        <f>"135146"</f>
        <v>135146</v>
      </c>
      <c r="N296" s="1" t="s">
        <v>91</v>
      </c>
      <c r="O296" s="1" t="s">
        <v>45</v>
      </c>
      <c r="P296" s="1" t="s">
        <v>55</v>
      </c>
      <c r="Q296" s="1">
        <v>25</v>
      </c>
      <c r="R296" s="1">
        <v>0</v>
      </c>
      <c r="S296" s="1">
        <v>25</v>
      </c>
      <c r="T296" s="1">
        <v>0</v>
      </c>
      <c r="U296" s="1">
        <v>0</v>
      </c>
      <c r="V296" s="1" t="str">
        <f t="shared" si="39"/>
        <v>里程去程</v>
      </c>
      <c r="W296" s="1" t="s">
        <v>35</v>
      </c>
    </row>
    <row r="297" spans="1:23" x14ac:dyDescent="0.3">
      <c r="A297" s="1" t="str">
        <f t="shared" si="43"/>
        <v>59829</v>
      </c>
      <c r="B297" s="1" t="s">
        <v>47</v>
      </c>
      <c r="C297" s="1" t="s">
        <v>48</v>
      </c>
      <c r="D297" s="1" t="str">
        <f t="shared" si="38"/>
        <v>9801</v>
      </c>
      <c r="E297" s="1" t="s">
        <v>25</v>
      </c>
      <c r="F297" s="1" t="str">
        <f>"1069836597"</f>
        <v>1069836597</v>
      </c>
      <c r="G297" s="1" t="s">
        <v>33</v>
      </c>
      <c r="H297" s="1" t="str">
        <f t="shared" si="41"/>
        <v>20220909</v>
      </c>
      <c r="I297" s="1" t="str">
        <f>"133652"</f>
        <v>133652</v>
      </c>
      <c r="J297" s="1" t="s">
        <v>28</v>
      </c>
      <c r="K297" s="1" t="s">
        <v>28</v>
      </c>
      <c r="L297" s="1" t="str">
        <f t="shared" si="42"/>
        <v>20220909</v>
      </c>
      <c r="M297" s="1" t="str">
        <f>"135125"</f>
        <v>135125</v>
      </c>
      <c r="N297" s="1" t="s">
        <v>91</v>
      </c>
      <c r="O297" s="1" t="s">
        <v>45</v>
      </c>
      <c r="P297" s="1" t="s">
        <v>55</v>
      </c>
      <c r="Q297" s="1">
        <v>25</v>
      </c>
      <c r="R297" s="1">
        <v>0</v>
      </c>
      <c r="S297" s="1">
        <v>25</v>
      </c>
      <c r="T297" s="1">
        <v>0</v>
      </c>
      <c r="U297" s="1">
        <v>0</v>
      </c>
      <c r="V297" s="1" t="str">
        <f t="shared" si="39"/>
        <v>里程去程</v>
      </c>
      <c r="W297" s="1" t="s">
        <v>35</v>
      </c>
    </row>
    <row r="298" spans="1:23" x14ac:dyDescent="0.3">
      <c r="A298" s="1" t="str">
        <f t="shared" si="43"/>
        <v>59829</v>
      </c>
      <c r="B298" s="1" t="s">
        <v>47</v>
      </c>
      <c r="C298" s="1" t="s">
        <v>48</v>
      </c>
      <c r="D298" s="1" t="str">
        <f t="shared" si="38"/>
        <v>9801</v>
      </c>
      <c r="E298" s="1" t="s">
        <v>25</v>
      </c>
      <c r="F298" s="1" t="str">
        <f>"2662292687"</f>
        <v>2662292687</v>
      </c>
      <c r="G298" s="1" t="s">
        <v>33</v>
      </c>
      <c r="H298" s="1" t="str">
        <f t="shared" si="41"/>
        <v>20220909</v>
      </c>
      <c r="I298" s="1" t="str">
        <f>"133701"</f>
        <v>133701</v>
      </c>
      <c r="J298" s="1" t="s">
        <v>28</v>
      </c>
      <c r="K298" s="1" t="s">
        <v>28</v>
      </c>
      <c r="L298" s="1" t="str">
        <f t="shared" si="42"/>
        <v>20220909</v>
      </c>
      <c r="M298" s="1" t="str">
        <f>"135712"</f>
        <v>135712</v>
      </c>
      <c r="N298" s="1" t="s">
        <v>44</v>
      </c>
      <c r="O298" s="1" t="s">
        <v>45</v>
      </c>
      <c r="P298" s="1" t="s">
        <v>55</v>
      </c>
      <c r="Q298" s="1">
        <v>25</v>
      </c>
      <c r="R298" s="1">
        <v>25</v>
      </c>
      <c r="S298" s="1">
        <v>0</v>
      </c>
      <c r="T298" s="1">
        <v>0</v>
      </c>
      <c r="U298" s="1">
        <v>0</v>
      </c>
      <c r="V298" s="1" t="str">
        <f t="shared" si="39"/>
        <v>里程去程</v>
      </c>
      <c r="W298" s="1" t="s">
        <v>35</v>
      </c>
    </row>
    <row r="299" spans="1:23" x14ac:dyDescent="0.3">
      <c r="A299" s="1" t="str">
        <f t="shared" si="43"/>
        <v>59829</v>
      </c>
      <c r="B299" s="1" t="s">
        <v>47</v>
      </c>
      <c r="C299" s="1" t="s">
        <v>48</v>
      </c>
      <c r="D299" s="1" t="str">
        <f t="shared" si="38"/>
        <v>9801</v>
      </c>
      <c r="E299" s="1" t="s">
        <v>25</v>
      </c>
      <c r="F299" s="1" t="str">
        <f>"96692865"</f>
        <v>96692865</v>
      </c>
      <c r="G299" s="1" t="s">
        <v>33</v>
      </c>
      <c r="H299" s="1" t="str">
        <f t="shared" si="41"/>
        <v>20220909</v>
      </c>
      <c r="I299" s="1" t="str">
        <f>"133724"</f>
        <v>133724</v>
      </c>
      <c r="J299" s="1" t="s">
        <v>28</v>
      </c>
      <c r="K299" s="1" t="s">
        <v>28</v>
      </c>
      <c r="L299" s="1" t="str">
        <f t="shared" si="42"/>
        <v>20220909</v>
      </c>
      <c r="M299" s="1" t="str">
        <f>"134652"</f>
        <v>134652</v>
      </c>
      <c r="N299" s="1" t="s">
        <v>61</v>
      </c>
      <c r="O299" s="1" t="s">
        <v>45</v>
      </c>
      <c r="P299" s="1" t="s">
        <v>55</v>
      </c>
      <c r="Q299" s="1">
        <v>25</v>
      </c>
      <c r="R299" s="1">
        <v>25</v>
      </c>
      <c r="S299" s="1">
        <v>0</v>
      </c>
      <c r="T299" s="1">
        <v>0</v>
      </c>
      <c r="U299" s="1">
        <v>0</v>
      </c>
      <c r="V299" s="1" t="str">
        <f t="shared" si="39"/>
        <v>里程去程</v>
      </c>
      <c r="W299" s="1" t="s">
        <v>35</v>
      </c>
    </row>
    <row r="300" spans="1:23" x14ac:dyDescent="0.3">
      <c r="A300" s="1" t="str">
        <f t="shared" si="43"/>
        <v>59829</v>
      </c>
      <c r="B300" s="1" t="s">
        <v>47</v>
      </c>
      <c r="C300" s="1" t="s">
        <v>48</v>
      </c>
      <c r="D300" s="1" t="str">
        <f t="shared" si="38"/>
        <v>9801</v>
      </c>
      <c r="E300" s="1" t="s">
        <v>25</v>
      </c>
      <c r="F300" s="1" t="str">
        <f>"894153189"</f>
        <v>894153189</v>
      </c>
      <c r="G300" s="1" t="s">
        <v>33</v>
      </c>
      <c r="H300" s="1" t="str">
        <f t="shared" si="41"/>
        <v>20220909</v>
      </c>
      <c r="I300" s="1" t="str">
        <f>"161435"</f>
        <v>161435</v>
      </c>
      <c r="J300" s="1" t="s">
        <v>72</v>
      </c>
      <c r="K300" s="1" t="s">
        <v>52</v>
      </c>
      <c r="L300" s="1" t="str">
        <f t="shared" si="42"/>
        <v>20220909</v>
      </c>
      <c r="M300" s="1" t="str">
        <f>"163652"</f>
        <v>163652</v>
      </c>
      <c r="N300" s="1" t="s">
        <v>70</v>
      </c>
      <c r="O300" s="1" t="s">
        <v>28</v>
      </c>
      <c r="P300" s="1" t="s">
        <v>55</v>
      </c>
      <c r="Q300" s="1">
        <v>25</v>
      </c>
      <c r="R300" s="1">
        <v>25</v>
      </c>
      <c r="S300" s="1">
        <v>0</v>
      </c>
      <c r="T300" s="1">
        <v>0</v>
      </c>
      <c r="U300" s="1">
        <v>0</v>
      </c>
      <c r="V300" s="1" t="str">
        <f t="shared" si="39"/>
        <v>里程去程</v>
      </c>
      <c r="W300" s="1" t="s">
        <v>35</v>
      </c>
    </row>
    <row r="301" spans="1:23" x14ac:dyDescent="0.3">
      <c r="A301" s="1" t="str">
        <f t="shared" si="43"/>
        <v>59829</v>
      </c>
      <c r="B301" s="1" t="s">
        <v>47</v>
      </c>
      <c r="C301" s="1" t="s">
        <v>48</v>
      </c>
      <c r="D301" s="1" t="str">
        <f t="shared" si="38"/>
        <v>9801</v>
      </c>
      <c r="E301" s="1" t="s">
        <v>25</v>
      </c>
      <c r="F301" s="1" t="str">
        <f>"755182949"</f>
        <v>755182949</v>
      </c>
      <c r="G301" s="1" t="s">
        <v>33</v>
      </c>
      <c r="H301" s="1" t="str">
        <f t="shared" si="41"/>
        <v>20220909</v>
      </c>
      <c r="I301" s="1" t="str">
        <f>"163709"</f>
        <v>163709</v>
      </c>
      <c r="J301" s="1" t="s">
        <v>27</v>
      </c>
      <c r="K301" s="1" t="s">
        <v>28</v>
      </c>
      <c r="L301" s="1" t="str">
        <f t="shared" si="42"/>
        <v>20220909</v>
      </c>
      <c r="M301" s="1" t="str">
        <f>"165323"</f>
        <v>165323</v>
      </c>
      <c r="N301" s="1" t="s">
        <v>91</v>
      </c>
      <c r="O301" s="1" t="s">
        <v>45</v>
      </c>
      <c r="P301" s="1" t="s">
        <v>55</v>
      </c>
      <c r="Q301" s="1">
        <v>25</v>
      </c>
      <c r="R301" s="1">
        <v>25</v>
      </c>
      <c r="S301" s="1">
        <v>0</v>
      </c>
      <c r="T301" s="1">
        <v>0</v>
      </c>
      <c r="U301" s="1">
        <v>0</v>
      </c>
      <c r="V301" s="1" t="str">
        <f t="shared" si="39"/>
        <v>里程去程</v>
      </c>
      <c r="W301" s="1" t="s">
        <v>35</v>
      </c>
    </row>
    <row r="302" spans="1:23" x14ac:dyDescent="0.3">
      <c r="A302" s="1" t="str">
        <f t="shared" si="43"/>
        <v>59829</v>
      </c>
      <c r="B302" s="1" t="s">
        <v>47</v>
      </c>
      <c r="C302" s="1" t="s">
        <v>48</v>
      </c>
      <c r="D302" s="1" t="str">
        <f t="shared" si="38"/>
        <v>9801</v>
      </c>
      <c r="E302" s="1" t="s">
        <v>25</v>
      </c>
      <c r="F302" s="1" t="str">
        <f>"1963511187"</f>
        <v>1963511187</v>
      </c>
      <c r="G302" s="1" t="s">
        <v>33</v>
      </c>
      <c r="H302" s="1" t="str">
        <f t="shared" si="41"/>
        <v>20220909</v>
      </c>
      <c r="I302" s="1" t="str">
        <f>"163713"</f>
        <v>163713</v>
      </c>
      <c r="J302" s="1" t="s">
        <v>27</v>
      </c>
      <c r="K302" s="1" t="s">
        <v>28</v>
      </c>
      <c r="L302" s="1" t="str">
        <f t="shared" si="42"/>
        <v>20220909</v>
      </c>
      <c r="M302" s="1" t="str">
        <f>"165322"</f>
        <v>165322</v>
      </c>
      <c r="N302" s="1" t="s">
        <v>91</v>
      </c>
      <c r="O302" s="1" t="s">
        <v>45</v>
      </c>
      <c r="P302" s="1" t="s">
        <v>55</v>
      </c>
      <c r="Q302" s="1">
        <v>25</v>
      </c>
      <c r="R302" s="1">
        <v>25</v>
      </c>
      <c r="S302" s="1">
        <v>0</v>
      </c>
      <c r="T302" s="1">
        <v>0</v>
      </c>
      <c r="U302" s="1">
        <v>0</v>
      </c>
      <c r="V302" s="1" t="str">
        <f t="shared" si="39"/>
        <v>里程去程</v>
      </c>
      <c r="W302" s="1" t="s">
        <v>35</v>
      </c>
    </row>
    <row r="303" spans="1:23" x14ac:dyDescent="0.3">
      <c r="A303" s="1" t="str">
        <f t="shared" si="43"/>
        <v>59829</v>
      </c>
      <c r="B303" s="1" t="s">
        <v>47</v>
      </c>
      <c r="C303" s="1" t="s">
        <v>48</v>
      </c>
      <c r="D303" s="1" t="str">
        <f t="shared" si="38"/>
        <v>9801</v>
      </c>
      <c r="E303" s="1" t="s">
        <v>25</v>
      </c>
      <c r="F303" s="1" t="str">
        <f>"1607458705"</f>
        <v>1607458705</v>
      </c>
      <c r="G303" s="1" t="s">
        <v>33</v>
      </c>
      <c r="H303" s="1" t="str">
        <f t="shared" si="41"/>
        <v>20220909</v>
      </c>
      <c r="I303" s="1" t="str">
        <f>"163724"</f>
        <v>163724</v>
      </c>
      <c r="J303" s="1" t="s">
        <v>27</v>
      </c>
      <c r="K303" s="1" t="s">
        <v>28</v>
      </c>
      <c r="L303" s="1" t="str">
        <f t="shared" si="42"/>
        <v>20220909</v>
      </c>
      <c r="M303" s="1" t="str">
        <f>"165316"</f>
        <v>165316</v>
      </c>
      <c r="N303" s="1" t="s">
        <v>91</v>
      </c>
      <c r="O303" s="1" t="s">
        <v>45</v>
      </c>
      <c r="P303" s="1" t="s">
        <v>55</v>
      </c>
      <c r="Q303" s="1">
        <v>25</v>
      </c>
      <c r="R303" s="1">
        <v>25</v>
      </c>
      <c r="S303" s="1">
        <v>0</v>
      </c>
      <c r="T303" s="1">
        <v>0</v>
      </c>
      <c r="U303" s="1">
        <v>0</v>
      </c>
      <c r="V303" s="1" t="str">
        <f t="shared" si="39"/>
        <v>里程去程</v>
      </c>
      <c r="W303" s="1" t="s">
        <v>35</v>
      </c>
    </row>
    <row r="304" spans="1:23" x14ac:dyDescent="0.3">
      <c r="A304" s="1" t="str">
        <f t="shared" si="43"/>
        <v>59829</v>
      </c>
      <c r="B304" s="1" t="s">
        <v>47</v>
      </c>
      <c r="C304" s="1" t="s">
        <v>48</v>
      </c>
      <c r="D304" s="1" t="str">
        <f t="shared" si="38"/>
        <v>9801</v>
      </c>
      <c r="E304" s="1" t="s">
        <v>25</v>
      </c>
      <c r="F304" s="1" t="str">
        <f>"1502929265"</f>
        <v>1502929265</v>
      </c>
      <c r="G304" s="1" t="s">
        <v>33</v>
      </c>
      <c r="H304" s="1" t="str">
        <f t="shared" si="41"/>
        <v>20220909</v>
      </c>
      <c r="I304" s="1" t="str">
        <f>"203203"</f>
        <v>203203</v>
      </c>
      <c r="J304" s="1" t="s">
        <v>28</v>
      </c>
      <c r="K304" s="1" t="s">
        <v>28</v>
      </c>
      <c r="L304" s="1" t="str">
        <f t="shared" si="42"/>
        <v>20220909</v>
      </c>
      <c r="M304" s="1" t="str">
        <f>"205750"</f>
        <v>205750</v>
      </c>
      <c r="N304" s="1" t="s">
        <v>44</v>
      </c>
      <c r="O304" s="1" t="s">
        <v>45</v>
      </c>
      <c r="P304" s="1" t="s">
        <v>55</v>
      </c>
      <c r="Q304" s="1">
        <v>25</v>
      </c>
      <c r="R304" s="1">
        <v>25</v>
      </c>
      <c r="S304" s="1">
        <v>0</v>
      </c>
      <c r="T304" s="1">
        <v>0</v>
      </c>
      <c r="U304" s="1">
        <v>0</v>
      </c>
      <c r="V304" s="1" t="str">
        <f t="shared" si="39"/>
        <v>里程去程</v>
      </c>
      <c r="W304" s="1" t="s">
        <v>35</v>
      </c>
    </row>
    <row r="305" spans="1:23" x14ac:dyDescent="0.3">
      <c r="A305" s="1" t="str">
        <f>"59828"</f>
        <v>59828</v>
      </c>
      <c r="B305" s="1" t="s">
        <v>23</v>
      </c>
      <c r="C305" s="1" t="s">
        <v>24</v>
      </c>
      <c r="D305" s="1" t="str">
        <f t="shared" si="38"/>
        <v>9801</v>
      </c>
      <c r="E305" s="1" t="s">
        <v>25</v>
      </c>
      <c r="F305" s="1" t="str">
        <f>"1636928213"</f>
        <v>1636928213</v>
      </c>
      <c r="G305" s="1" t="s">
        <v>33</v>
      </c>
      <c r="H305" s="1" t="str">
        <f t="shared" ref="H305:H330" si="44">"20220910"</f>
        <v>20220910</v>
      </c>
      <c r="I305" s="1" t="str">
        <f>"092024"</f>
        <v>092024</v>
      </c>
      <c r="J305" s="1" t="s">
        <v>69</v>
      </c>
      <c r="K305" s="1" t="s">
        <v>52</v>
      </c>
      <c r="L305" s="1" t="str">
        <f t="shared" ref="L305:L330" si="45">"20220910"</f>
        <v>20220910</v>
      </c>
      <c r="M305" s="1" t="str">
        <f>"093049"</f>
        <v>093049</v>
      </c>
      <c r="N305" s="1" t="s">
        <v>70</v>
      </c>
      <c r="O305" s="1" t="s">
        <v>28</v>
      </c>
      <c r="P305" s="1" t="s">
        <v>55</v>
      </c>
      <c r="Q305" s="1">
        <v>25</v>
      </c>
      <c r="R305" s="1">
        <v>25</v>
      </c>
      <c r="S305" s="1">
        <v>0</v>
      </c>
      <c r="T305" s="1">
        <v>0</v>
      </c>
      <c r="U305" s="1">
        <v>0</v>
      </c>
      <c r="V305" s="1" t="str">
        <f t="shared" si="39"/>
        <v>里程去程</v>
      </c>
      <c r="W305" s="1" t="s">
        <v>35</v>
      </c>
    </row>
    <row r="306" spans="1:23" x14ac:dyDescent="0.3">
      <c r="A306" s="1" t="str">
        <f>"59828"</f>
        <v>59828</v>
      </c>
      <c r="B306" s="1" t="s">
        <v>23</v>
      </c>
      <c r="C306" s="1" t="s">
        <v>24</v>
      </c>
      <c r="D306" s="1" t="str">
        <f t="shared" si="38"/>
        <v>9801</v>
      </c>
      <c r="E306" s="1" t="s">
        <v>25</v>
      </c>
      <c r="F306" s="1" t="str">
        <f>"3608740355"</f>
        <v>3608740355</v>
      </c>
      <c r="G306" s="1" t="s">
        <v>33</v>
      </c>
      <c r="H306" s="1" t="str">
        <f t="shared" si="44"/>
        <v>20220910</v>
      </c>
      <c r="I306" s="1" t="str">
        <f>"092029"</f>
        <v>092029</v>
      </c>
      <c r="J306" s="1" t="s">
        <v>69</v>
      </c>
      <c r="K306" s="1" t="s">
        <v>52</v>
      </c>
      <c r="L306" s="1" t="str">
        <f t="shared" si="45"/>
        <v>20220910</v>
      </c>
      <c r="M306" s="1" t="str">
        <f>"093052"</f>
        <v>093052</v>
      </c>
      <c r="N306" s="1" t="s">
        <v>70</v>
      </c>
      <c r="O306" s="1" t="s">
        <v>28</v>
      </c>
      <c r="P306" s="1" t="s">
        <v>55</v>
      </c>
      <c r="Q306" s="1">
        <v>25</v>
      </c>
      <c r="R306" s="1">
        <v>25</v>
      </c>
      <c r="S306" s="1">
        <v>0</v>
      </c>
      <c r="T306" s="1">
        <v>0</v>
      </c>
      <c r="U306" s="1">
        <v>0</v>
      </c>
      <c r="V306" s="1" t="str">
        <f t="shared" si="39"/>
        <v>里程去程</v>
      </c>
      <c r="W306" s="1" t="s">
        <v>35</v>
      </c>
    </row>
    <row r="307" spans="1:23" x14ac:dyDescent="0.3">
      <c r="A307" s="1" t="str">
        <f>"59828"</f>
        <v>59828</v>
      </c>
      <c r="B307" s="1" t="s">
        <v>23</v>
      </c>
      <c r="C307" s="1" t="s">
        <v>24</v>
      </c>
      <c r="D307" s="1" t="str">
        <f t="shared" si="38"/>
        <v>9801</v>
      </c>
      <c r="E307" s="1" t="s">
        <v>25</v>
      </c>
      <c r="F307" s="1" t="str">
        <f>"6280E61A1E880400C817002000000021"</f>
        <v>6280E61A1E880400C817002000000021</v>
      </c>
      <c r="G307" s="1" t="s">
        <v>58</v>
      </c>
      <c r="H307" s="1" t="str">
        <f t="shared" si="44"/>
        <v>20220910</v>
      </c>
      <c r="I307" s="1" t="str">
        <f>"093108"</f>
        <v>093108</v>
      </c>
      <c r="J307" s="1" t="s">
        <v>27</v>
      </c>
      <c r="K307" s="1" t="s">
        <v>28</v>
      </c>
      <c r="L307" s="1" t="str">
        <f t="shared" si="45"/>
        <v>20220910</v>
      </c>
      <c r="M307" s="1" t="str">
        <f>"095558"</f>
        <v>095558</v>
      </c>
      <c r="N307" s="1" t="s">
        <v>44</v>
      </c>
      <c r="O307" s="1" t="s">
        <v>45</v>
      </c>
      <c r="P307" s="1" t="s">
        <v>55</v>
      </c>
      <c r="Q307" s="1">
        <v>25</v>
      </c>
      <c r="R307" s="1">
        <v>0</v>
      </c>
      <c r="S307" s="1">
        <v>25</v>
      </c>
      <c r="T307" s="1">
        <v>0</v>
      </c>
      <c r="U307" s="1">
        <v>0</v>
      </c>
      <c r="V307" s="1" t="str">
        <f t="shared" si="39"/>
        <v>里程去程</v>
      </c>
      <c r="W307" s="1" t="s">
        <v>29</v>
      </c>
    </row>
    <row r="308" spans="1:23" x14ac:dyDescent="0.3">
      <c r="A308" s="1" t="str">
        <f>"59828"</f>
        <v>59828</v>
      </c>
      <c r="B308" s="1" t="s">
        <v>23</v>
      </c>
      <c r="C308" s="1" t="s">
        <v>24</v>
      </c>
      <c r="D308" s="1" t="str">
        <f t="shared" si="38"/>
        <v>9801</v>
      </c>
      <c r="E308" s="1" t="s">
        <v>25</v>
      </c>
      <c r="F308" s="1" t="str">
        <f>"E213BD024E880400C834002000000015"</f>
        <v>E213BD024E880400C834002000000015</v>
      </c>
      <c r="G308" s="1" t="s">
        <v>74</v>
      </c>
      <c r="H308" s="1" t="str">
        <f t="shared" si="44"/>
        <v>20220910</v>
      </c>
      <c r="I308" s="1" t="str">
        <f>"093143"</f>
        <v>093143</v>
      </c>
      <c r="J308" s="1" t="s">
        <v>27</v>
      </c>
      <c r="K308" s="1" t="s">
        <v>28</v>
      </c>
      <c r="L308" s="1" t="str">
        <f t="shared" si="45"/>
        <v>20220910</v>
      </c>
      <c r="M308" s="1" t="str">
        <f>"095554"</f>
        <v>095554</v>
      </c>
      <c r="N308" s="1" t="s">
        <v>44</v>
      </c>
      <c r="O308" s="1" t="s">
        <v>45</v>
      </c>
      <c r="P308" s="1" t="s">
        <v>68</v>
      </c>
      <c r="Q308" s="1">
        <v>13</v>
      </c>
      <c r="R308" s="1">
        <v>0</v>
      </c>
      <c r="S308" s="1">
        <v>0</v>
      </c>
      <c r="T308" s="1">
        <v>13</v>
      </c>
      <c r="U308" s="1">
        <v>0</v>
      </c>
      <c r="V308" s="1" t="str">
        <f t="shared" si="39"/>
        <v>里程去程</v>
      </c>
      <c r="W308" s="1" t="s">
        <v>29</v>
      </c>
    </row>
    <row r="309" spans="1:23" x14ac:dyDescent="0.3">
      <c r="A309" s="1" t="str">
        <f t="shared" ref="A309:A330" si="46">"59829"</f>
        <v>59829</v>
      </c>
      <c r="B309" s="1" t="s">
        <v>47</v>
      </c>
      <c r="C309" s="1" t="s">
        <v>48</v>
      </c>
      <c r="D309" s="1" t="str">
        <f t="shared" si="38"/>
        <v>9801</v>
      </c>
      <c r="E309" s="1" t="s">
        <v>25</v>
      </c>
      <c r="F309" s="1" t="str">
        <f>"612122529"</f>
        <v>612122529</v>
      </c>
      <c r="G309" s="1" t="s">
        <v>33</v>
      </c>
      <c r="H309" s="1" t="str">
        <f t="shared" si="44"/>
        <v>20220910</v>
      </c>
      <c r="I309" s="1" t="str">
        <f>"120244"</f>
        <v>120244</v>
      </c>
      <c r="J309" s="1" t="s">
        <v>100</v>
      </c>
      <c r="K309" s="1" t="s">
        <v>45</v>
      </c>
      <c r="L309" s="1" t="str">
        <f t="shared" si="45"/>
        <v>20220910</v>
      </c>
      <c r="M309" s="1" t="str">
        <f>"120617"</f>
        <v>120617</v>
      </c>
      <c r="N309" s="1" t="s">
        <v>44</v>
      </c>
      <c r="O309" s="1" t="s">
        <v>45</v>
      </c>
      <c r="P309" s="1" t="s">
        <v>55</v>
      </c>
      <c r="Q309" s="1">
        <v>25</v>
      </c>
      <c r="R309" s="1">
        <v>0</v>
      </c>
      <c r="S309" s="1">
        <v>25</v>
      </c>
      <c r="T309" s="1">
        <v>0</v>
      </c>
      <c r="U309" s="1">
        <v>0</v>
      </c>
      <c r="V309" s="1" t="str">
        <f t="shared" si="39"/>
        <v>里程去程</v>
      </c>
      <c r="W309" s="1" t="s">
        <v>35</v>
      </c>
    </row>
    <row r="310" spans="1:23" x14ac:dyDescent="0.3">
      <c r="A310" s="1" t="str">
        <f t="shared" si="46"/>
        <v>59829</v>
      </c>
      <c r="B310" s="1" t="s">
        <v>47</v>
      </c>
      <c r="C310" s="1" t="s">
        <v>48</v>
      </c>
      <c r="D310" s="1" t="str">
        <f t="shared" si="38"/>
        <v>9801</v>
      </c>
      <c r="E310" s="1" t="s">
        <v>25</v>
      </c>
      <c r="F310" s="1" t="str">
        <f>"1612591253"</f>
        <v>1612591253</v>
      </c>
      <c r="G310" s="1" t="s">
        <v>33</v>
      </c>
      <c r="H310" s="1" t="str">
        <f t="shared" si="44"/>
        <v>20220910</v>
      </c>
      <c r="I310" s="1" t="str">
        <f>"120245"</f>
        <v>120245</v>
      </c>
      <c r="J310" s="1" t="s">
        <v>100</v>
      </c>
      <c r="K310" s="1" t="s">
        <v>45</v>
      </c>
      <c r="L310" s="1" t="str">
        <f t="shared" si="45"/>
        <v>20220910</v>
      </c>
      <c r="M310" s="1" t="str">
        <f>"120614"</f>
        <v>120614</v>
      </c>
      <c r="N310" s="1" t="s">
        <v>44</v>
      </c>
      <c r="O310" s="1" t="s">
        <v>45</v>
      </c>
      <c r="P310" s="1" t="s">
        <v>55</v>
      </c>
      <c r="Q310" s="1">
        <v>25</v>
      </c>
      <c r="R310" s="1">
        <v>0</v>
      </c>
      <c r="S310" s="1">
        <v>25</v>
      </c>
      <c r="T310" s="1">
        <v>0</v>
      </c>
      <c r="U310" s="1">
        <v>0</v>
      </c>
      <c r="V310" s="1" t="str">
        <f t="shared" si="39"/>
        <v>里程去程</v>
      </c>
      <c r="W310" s="1" t="s">
        <v>35</v>
      </c>
    </row>
    <row r="311" spans="1:23" x14ac:dyDescent="0.3">
      <c r="A311" s="1" t="str">
        <f t="shared" si="46"/>
        <v>59829</v>
      </c>
      <c r="B311" s="1" t="s">
        <v>47</v>
      </c>
      <c r="C311" s="1" t="s">
        <v>48</v>
      </c>
      <c r="D311" s="1" t="str">
        <f t="shared" si="38"/>
        <v>9801</v>
      </c>
      <c r="E311" s="1" t="s">
        <v>25</v>
      </c>
      <c r="F311" s="1" t="str">
        <f>"1634461989"</f>
        <v>1634461989</v>
      </c>
      <c r="G311" s="1" t="s">
        <v>33</v>
      </c>
      <c r="H311" s="1" t="str">
        <f t="shared" si="44"/>
        <v>20220910</v>
      </c>
      <c r="I311" s="1" t="str">
        <f>"120248"</f>
        <v>120248</v>
      </c>
      <c r="J311" s="1" t="s">
        <v>100</v>
      </c>
      <c r="K311" s="1" t="s">
        <v>45</v>
      </c>
      <c r="L311" s="1" t="str">
        <f t="shared" si="45"/>
        <v>20220910</v>
      </c>
      <c r="M311" s="1" t="str">
        <f>"120620"</f>
        <v>120620</v>
      </c>
      <c r="N311" s="1" t="s">
        <v>44</v>
      </c>
      <c r="O311" s="1" t="s">
        <v>45</v>
      </c>
      <c r="P311" s="1" t="s">
        <v>55</v>
      </c>
      <c r="Q311" s="1">
        <v>25</v>
      </c>
      <c r="R311" s="1">
        <v>0</v>
      </c>
      <c r="S311" s="1">
        <v>25</v>
      </c>
      <c r="T311" s="1">
        <v>0</v>
      </c>
      <c r="U311" s="1">
        <v>0</v>
      </c>
      <c r="V311" s="1" t="str">
        <f t="shared" si="39"/>
        <v>里程去程</v>
      </c>
      <c r="W311" s="1" t="s">
        <v>35</v>
      </c>
    </row>
    <row r="312" spans="1:23" x14ac:dyDescent="0.3">
      <c r="A312" s="1" t="str">
        <f t="shared" si="46"/>
        <v>59829</v>
      </c>
      <c r="B312" s="1" t="s">
        <v>47</v>
      </c>
      <c r="C312" s="1" t="s">
        <v>48</v>
      </c>
      <c r="D312" s="1" t="str">
        <f t="shared" si="38"/>
        <v>9801</v>
      </c>
      <c r="E312" s="1" t="s">
        <v>25</v>
      </c>
      <c r="F312" s="1" t="str">
        <f>"32780D0344880400C834002000000015"</f>
        <v>32780D0344880400C834002000000015</v>
      </c>
      <c r="G312" s="1" t="s">
        <v>26</v>
      </c>
      <c r="H312" s="1" t="str">
        <f t="shared" si="44"/>
        <v>20220910</v>
      </c>
      <c r="I312" s="1" t="str">
        <f>"120655"</f>
        <v>120655</v>
      </c>
      <c r="J312" s="1" t="s">
        <v>52</v>
      </c>
      <c r="K312" s="1" t="s">
        <v>52</v>
      </c>
      <c r="L312" s="1" t="str">
        <f t="shared" si="45"/>
        <v>20220910</v>
      </c>
      <c r="M312" s="1" t="str">
        <f>"123651"</f>
        <v>123651</v>
      </c>
      <c r="N312" s="1" t="s">
        <v>70</v>
      </c>
      <c r="O312" s="1" t="s">
        <v>28</v>
      </c>
      <c r="P312" s="1" t="s">
        <v>68</v>
      </c>
      <c r="Q312" s="1">
        <v>13</v>
      </c>
      <c r="R312" s="1">
        <v>0</v>
      </c>
      <c r="S312" s="1">
        <v>0</v>
      </c>
      <c r="T312" s="1">
        <v>13</v>
      </c>
      <c r="U312" s="1">
        <v>0</v>
      </c>
      <c r="V312" s="1" t="str">
        <f t="shared" si="39"/>
        <v>里程去程</v>
      </c>
      <c r="W312" s="1" t="s">
        <v>29</v>
      </c>
    </row>
    <row r="313" spans="1:23" x14ac:dyDescent="0.3">
      <c r="A313" s="1" t="str">
        <f t="shared" si="46"/>
        <v>59829</v>
      </c>
      <c r="B313" s="1" t="s">
        <v>47</v>
      </c>
      <c r="C313" s="1" t="s">
        <v>48</v>
      </c>
      <c r="D313" s="1" t="str">
        <f t="shared" si="38"/>
        <v>9801</v>
      </c>
      <c r="E313" s="1" t="s">
        <v>25</v>
      </c>
      <c r="F313" s="1" t="str">
        <f>"1634396261"</f>
        <v>1634396261</v>
      </c>
      <c r="G313" s="1" t="s">
        <v>33</v>
      </c>
      <c r="H313" s="1" t="str">
        <f t="shared" si="44"/>
        <v>20220910</v>
      </c>
      <c r="I313" s="1" t="str">
        <f>"123030"</f>
        <v>123030</v>
      </c>
      <c r="J313" s="1" t="s">
        <v>83</v>
      </c>
      <c r="K313" s="1" t="s">
        <v>52</v>
      </c>
      <c r="L313" s="1" t="str">
        <f t="shared" si="45"/>
        <v>20220910</v>
      </c>
      <c r="M313" s="1" t="str">
        <f>"123801"</f>
        <v>123801</v>
      </c>
      <c r="N313" s="1" t="s">
        <v>70</v>
      </c>
      <c r="O313" s="1" t="s">
        <v>28</v>
      </c>
      <c r="P313" s="1" t="s">
        <v>55</v>
      </c>
      <c r="Q313" s="1">
        <v>25</v>
      </c>
      <c r="R313" s="1">
        <v>25</v>
      </c>
      <c r="S313" s="1">
        <v>0</v>
      </c>
      <c r="T313" s="1">
        <v>0</v>
      </c>
      <c r="U313" s="1">
        <v>0</v>
      </c>
      <c r="V313" s="1" t="str">
        <f t="shared" si="39"/>
        <v>里程去程</v>
      </c>
      <c r="W313" s="1" t="s">
        <v>35</v>
      </c>
    </row>
    <row r="314" spans="1:23" x14ac:dyDescent="0.3">
      <c r="A314" s="1" t="str">
        <f t="shared" si="46"/>
        <v>59829</v>
      </c>
      <c r="B314" s="1" t="s">
        <v>47</v>
      </c>
      <c r="C314" s="1" t="s">
        <v>48</v>
      </c>
      <c r="D314" s="1" t="str">
        <f t="shared" si="38"/>
        <v>9801</v>
      </c>
      <c r="E314" s="1" t="s">
        <v>25</v>
      </c>
      <c r="F314" s="1" t="str">
        <f>"62790D0315880400C834002000000015"</f>
        <v>62790D0315880400C834002000000015</v>
      </c>
      <c r="G314" s="1" t="s">
        <v>26</v>
      </c>
      <c r="H314" s="1" t="str">
        <f t="shared" si="44"/>
        <v>20220910</v>
      </c>
      <c r="I314" s="1" t="str">
        <f>"123034"</f>
        <v>123034</v>
      </c>
      <c r="J314" s="1" t="s">
        <v>83</v>
      </c>
      <c r="K314" s="1" t="s">
        <v>52</v>
      </c>
      <c r="L314" s="1" t="str">
        <f t="shared" si="45"/>
        <v>20220910</v>
      </c>
      <c r="M314" s="1" t="str">
        <f>"123757"</f>
        <v>123757</v>
      </c>
      <c r="N314" s="1" t="s">
        <v>70</v>
      </c>
      <c r="O314" s="1" t="s">
        <v>28</v>
      </c>
      <c r="P314" s="1" t="s">
        <v>68</v>
      </c>
      <c r="Q314" s="1">
        <v>13</v>
      </c>
      <c r="R314" s="1">
        <v>0</v>
      </c>
      <c r="S314" s="1">
        <v>0</v>
      </c>
      <c r="T314" s="1">
        <v>13</v>
      </c>
      <c r="U314" s="1">
        <v>0</v>
      </c>
      <c r="V314" s="1" t="str">
        <f t="shared" si="39"/>
        <v>里程去程</v>
      </c>
      <c r="W314" s="1" t="s">
        <v>29</v>
      </c>
    </row>
    <row r="315" spans="1:23" x14ac:dyDescent="0.3">
      <c r="A315" s="1" t="str">
        <f t="shared" si="46"/>
        <v>59829</v>
      </c>
      <c r="B315" s="1" t="s">
        <v>47</v>
      </c>
      <c r="C315" s="1" t="s">
        <v>48</v>
      </c>
      <c r="D315" s="1" t="str">
        <f t="shared" si="38"/>
        <v>9801</v>
      </c>
      <c r="E315" s="1" t="s">
        <v>25</v>
      </c>
      <c r="F315" s="1" t="str">
        <f>"1695105317"</f>
        <v>1695105317</v>
      </c>
      <c r="G315" s="1" t="s">
        <v>33</v>
      </c>
      <c r="H315" s="1" t="str">
        <f t="shared" si="44"/>
        <v>20220910</v>
      </c>
      <c r="I315" s="1" t="str">
        <f>"123815"</f>
        <v>123815</v>
      </c>
      <c r="J315" s="1" t="s">
        <v>27</v>
      </c>
      <c r="K315" s="1" t="s">
        <v>28</v>
      </c>
      <c r="L315" s="1" t="str">
        <f t="shared" si="45"/>
        <v>20220910</v>
      </c>
      <c r="M315" s="1" t="str">
        <f>"130150"</f>
        <v>130150</v>
      </c>
      <c r="N315" s="1" t="s">
        <v>44</v>
      </c>
      <c r="O315" s="1" t="s">
        <v>45</v>
      </c>
      <c r="P315" s="1" t="s">
        <v>55</v>
      </c>
      <c r="Q315" s="1">
        <v>25</v>
      </c>
      <c r="R315" s="1">
        <v>25</v>
      </c>
      <c r="S315" s="1">
        <v>0</v>
      </c>
      <c r="T315" s="1">
        <v>0</v>
      </c>
      <c r="U315" s="1">
        <v>0</v>
      </c>
      <c r="V315" s="1" t="str">
        <f t="shared" si="39"/>
        <v>里程去程</v>
      </c>
      <c r="W315" s="1" t="s">
        <v>35</v>
      </c>
    </row>
    <row r="316" spans="1:23" x14ac:dyDescent="0.3">
      <c r="A316" s="1" t="str">
        <f t="shared" si="46"/>
        <v>59829</v>
      </c>
      <c r="B316" s="1" t="s">
        <v>47</v>
      </c>
      <c r="C316" s="1" t="s">
        <v>48</v>
      </c>
      <c r="D316" s="1" t="str">
        <f t="shared" si="38"/>
        <v>9801</v>
      </c>
      <c r="E316" s="1" t="s">
        <v>25</v>
      </c>
      <c r="F316" s="1" t="str">
        <f>"1737283381"</f>
        <v>1737283381</v>
      </c>
      <c r="G316" s="1" t="s">
        <v>33</v>
      </c>
      <c r="H316" s="1" t="str">
        <f t="shared" si="44"/>
        <v>20220910</v>
      </c>
      <c r="I316" s="1" t="str">
        <f>"133426"</f>
        <v>133426</v>
      </c>
      <c r="J316" s="1" t="s">
        <v>28</v>
      </c>
      <c r="K316" s="1" t="s">
        <v>28</v>
      </c>
      <c r="L316" s="1" t="str">
        <f t="shared" si="45"/>
        <v>20220910</v>
      </c>
      <c r="M316" s="1" t="str">
        <f>"135724"</f>
        <v>135724</v>
      </c>
      <c r="N316" s="1" t="s">
        <v>44</v>
      </c>
      <c r="O316" s="1" t="s">
        <v>45</v>
      </c>
      <c r="P316" s="1" t="s">
        <v>55</v>
      </c>
      <c r="Q316" s="1">
        <v>25</v>
      </c>
      <c r="R316" s="1">
        <v>25</v>
      </c>
      <c r="S316" s="1">
        <v>0</v>
      </c>
      <c r="T316" s="1">
        <v>0</v>
      </c>
      <c r="U316" s="1">
        <v>0</v>
      </c>
      <c r="V316" s="1" t="str">
        <f t="shared" si="39"/>
        <v>里程去程</v>
      </c>
      <c r="W316" s="1" t="s">
        <v>35</v>
      </c>
    </row>
    <row r="317" spans="1:23" x14ac:dyDescent="0.3">
      <c r="A317" s="1" t="str">
        <f t="shared" si="46"/>
        <v>59829</v>
      </c>
      <c r="B317" s="1" t="s">
        <v>47</v>
      </c>
      <c r="C317" s="1" t="s">
        <v>48</v>
      </c>
      <c r="D317" s="1" t="str">
        <f t="shared" si="38"/>
        <v>9801</v>
      </c>
      <c r="E317" s="1" t="s">
        <v>25</v>
      </c>
      <c r="F317" s="1" t="str">
        <f>"63384849"</f>
        <v>63384849</v>
      </c>
      <c r="G317" s="1" t="s">
        <v>33</v>
      </c>
      <c r="H317" s="1" t="str">
        <f t="shared" si="44"/>
        <v>20220910</v>
      </c>
      <c r="I317" s="1" t="str">
        <f>"133454"</f>
        <v>133454</v>
      </c>
      <c r="J317" s="1" t="s">
        <v>28</v>
      </c>
      <c r="K317" s="1" t="s">
        <v>28</v>
      </c>
      <c r="L317" s="1" t="str">
        <f t="shared" si="45"/>
        <v>20220910</v>
      </c>
      <c r="M317" s="1" t="str">
        <f>"134408"</f>
        <v>134408</v>
      </c>
      <c r="N317" s="1" t="s">
        <v>45</v>
      </c>
      <c r="O317" s="1" t="s">
        <v>45</v>
      </c>
      <c r="P317" s="1" t="s">
        <v>55</v>
      </c>
      <c r="Q317" s="1">
        <v>25</v>
      </c>
      <c r="R317" s="1">
        <v>25</v>
      </c>
      <c r="S317" s="1">
        <v>0</v>
      </c>
      <c r="T317" s="1">
        <v>0</v>
      </c>
      <c r="U317" s="1">
        <v>0</v>
      </c>
      <c r="V317" s="1" t="str">
        <f t="shared" si="39"/>
        <v>里程去程</v>
      </c>
      <c r="W317" s="1" t="s">
        <v>35</v>
      </c>
    </row>
    <row r="318" spans="1:23" x14ac:dyDescent="0.3">
      <c r="A318" s="1" t="str">
        <f t="shared" si="46"/>
        <v>59829</v>
      </c>
      <c r="B318" s="1" t="s">
        <v>47</v>
      </c>
      <c r="C318" s="1" t="s">
        <v>48</v>
      </c>
      <c r="D318" s="1" t="str">
        <f t="shared" si="38"/>
        <v>9801</v>
      </c>
      <c r="E318" s="1" t="s">
        <v>25</v>
      </c>
      <c r="F318" s="1" t="str">
        <f>"729EFE140628040080CEDA1449914018"</f>
        <v>729EFE140628040080CEDA1449914018</v>
      </c>
      <c r="G318" s="1" t="s">
        <v>59</v>
      </c>
      <c r="H318" s="1" t="str">
        <f t="shared" si="44"/>
        <v>20220910</v>
      </c>
      <c r="I318" s="1" t="str">
        <f>"133505"</f>
        <v>133505</v>
      </c>
      <c r="J318" s="1" t="s">
        <v>28</v>
      </c>
      <c r="K318" s="1" t="s">
        <v>28</v>
      </c>
      <c r="L318" s="1" t="str">
        <f t="shared" si="45"/>
        <v>20220910</v>
      </c>
      <c r="M318" s="1" t="str">
        <f>"134404"</f>
        <v>134404</v>
      </c>
      <c r="N318" s="1" t="s">
        <v>45</v>
      </c>
      <c r="O318" s="1" t="s">
        <v>45</v>
      </c>
      <c r="P318" s="1" t="s">
        <v>55</v>
      </c>
      <c r="Q318" s="1">
        <v>25</v>
      </c>
      <c r="R318" s="1">
        <v>25</v>
      </c>
      <c r="S318" s="1">
        <v>0</v>
      </c>
      <c r="T318" s="1">
        <v>0</v>
      </c>
      <c r="U318" s="1">
        <v>0</v>
      </c>
      <c r="V318" s="1" t="str">
        <f t="shared" si="39"/>
        <v>里程去程</v>
      </c>
      <c r="W318" s="1" t="s">
        <v>29</v>
      </c>
    </row>
    <row r="319" spans="1:23" x14ac:dyDescent="0.3">
      <c r="A319" s="1" t="str">
        <f t="shared" si="46"/>
        <v>59829</v>
      </c>
      <c r="B319" s="1" t="s">
        <v>47</v>
      </c>
      <c r="C319" s="1" t="s">
        <v>48</v>
      </c>
      <c r="D319" s="1" t="str">
        <f t="shared" si="38"/>
        <v>9801</v>
      </c>
      <c r="E319" s="1" t="s">
        <v>25</v>
      </c>
      <c r="F319" s="1" t="str">
        <f>"F27CE6026A880400C834002000000015"</f>
        <v>F27CE6026A880400C834002000000015</v>
      </c>
      <c r="G319" s="1" t="s">
        <v>74</v>
      </c>
      <c r="H319" s="1" t="str">
        <f t="shared" si="44"/>
        <v>20220910</v>
      </c>
      <c r="I319" s="1" t="str">
        <f>"150220"</f>
        <v>150220</v>
      </c>
      <c r="J319" s="1" t="s">
        <v>52</v>
      </c>
      <c r="K319" s="1" t="s">
        <v>52</v>
      </c>
      <c r="L319" s="1" t="str">
        <f t="shared" si="45"/>
        <v>20220910</v>
      </c>
      <c r="M319" s="1" t="str">
        <f>"150817"</f>
        <v>150817</v>
      </c>
      <c r="N319" s="1" t="s">
        <v>60</v>
      </c>
      <c r="O319" s="1" t="s">
        <v>52</v>
      </c>
      <c r="P319" s="1" t="s">
        <v>68</v>
      </c>
      <c r="Q319" s="1">
        <v>13</v>
      </c>
      <c r="R319" s="1">
        <v>0</v>
      </c>
      <c r="S319" s="1">
        <v>0</v>
      </c>
      <c r="T319" s="1">
        <v>13</v>
      </c>
      <c r="U319" s="1">
        <v>0</v>
      </c>
      <c r="V319" s="1" t="str">
        <f t="shared" si="39"/>
        <v>里程去程</v>
      </c>
      <c r="W319" s="1" t="s">
        <v>29</v>
      </c>
    </row>
    <row r="320" spans="1:23" x14ac:dyDescent="0.3">
      <c r="A320" s="1" t="str">
        <f t="shared" si="46"/>
        <v>59829</v>
      </c>
      <c r="B320" s="1" t="s">
        <v>47</v>
      </c>
      <c r="C320" s="1" t="s">
        <v>48</v>
      </c>
      <c r="D320" s="1" t="str">
        <f t="shared" si="38"/>
        <v>9801</v>
      </c>
      <c r="E320" s="1" t="s">
        <v>25</v>
      </c>
      <c r="F320" s="1" t="str">
        <f>"C2F219032A880400C834002000000015"</f>
        <v>C2F219032A880400C834002000000015</v>
      </c>
      <c r="G320" s="1" t="s">
        <v>26</v>
      </c>
      <c r="H320" s="1" t="str">
        <f t="shared" si="44"/>
        <v>20220910</v>
      </c>
      <c r="I320" s="1" t="str">
        <f>"150628"</f>
        <v>150628</v>
      </c>
      <c r="J320" s="1" t="s">
        <v>86</v>
      </c>
      <c r="K320" s="1" t="s">
        <v>52</v>
      </c>
      <c r="L320" s="1" t="str">
        <f t="shared" si="45"/>
        <v>20220910</v>
      </c>
      <c r="M320" s="1" t="str">
        <f>"151122"</f>
        <v>151122</v>
      </c>
      <c r="N320" s="1" t="s">
        <v>51</v>
      </c>
      <c r="O320" s="1" t="s">
        <v>52</v>
      </c>
      <c r="P320" s="1" t="s">
        <v>68</v>
      </c>
      <c r="Q320" s="1">
        <v>13</v>
      </c>
      <c r="R320" s="1">
        <v>0</v>
      </c>
      <c r="S320" s="1">
        <v>0</v>
      </c>
      <c r="T320" s="1">
        <v>13</v>
      </c>
      <c r="U320" s="1">
        <v>0</v>
      </c>
      <c r="V320" s="1" t="str">
        <f t="shared" si="39"/>
        <v>里程去程</v>
      </c>
      <c r="W320" s="1" t="s">
        <v>29</v>
      </c>
    </row>
    <row r="321" spans="1:23" x14ac:dyDescent="0.3">
      <c r="A321" s="1" t="str">
        <f t="shared" si="46"/>
        <v>59829</v>
      </c>
      <c r="B321" s="1" t="s">
        <v>47</v>
      </c>
      <c r="C321" s="1" t="s">
        <v>48</v>
      </c>
      <c r="D321" s="1" t="str">
        <f t="shared" si="38"/>
        <v>9801</v>
      </c>
      <c r="E321" s="1" t="s">
        <v>25</v>
      </c>
      <c r="F321" s="1" t="str">
        <f>"82789B0061880400C801002000000015"</f>
        <v>82789B0061880400C801002000000015</v>
      </c>
      <c r="G321" s="1" t="s">
        <v>58</v>
      </c>
      <c r="H321" s="1" t="str">
        <f t="shared" si="44"/>
        <v>20220910</v>
      </c>
      <c r="I321" s="1" t="str">
        <f>"163232"</f>
        <v>163232</v>
      </c>
      <c r="J321" s="1" t="s">
        <v>27</v>
      </c>
      <c r="K321" s="1" t="s">
        <v>28</v>
      </c>
      <c r="L321" s="1" t="str">
        <f t="shared" si="45"/>
        <v>20220910</v>
      </c>
      <c r="M321" s="1" t="str">
        <f>"164531"</f>
        <v>164531</v>
      </c>
      <c r="N321" s="1" t="s">
        <v>45</v>
      </c>
      <c r="O321" s="1" t="s">
        <v>45</v>
      </c>
      <c r="P321" s="1" t="s">
        <v>55</v>
      </c>
      <c r="Q321" s="1">
        <v>25</v>
      </c>
      <c r="R321" s="1">
        <v>0</v>
      </c>
      <c r="S321" s="1">
        <v>25</v>
      </c>
      <c r="T321" s="1">
        <v>0</v>
      </c>
      <c r="U321" s="1">
        <v>0</v>
      </c>
      <c r="V321" s="1" t="str">
        <f t="shared" si="39"/>
        <v>里程去程</v>
      </c>
      <c r="W321" s="1" t="s">
        <v>29</v>
      </c>
    </row>
    <row r="322" spans="1:23" x14ac:dyDescent="0.3">
      <c r="A322" s="1" t="str">
        <f t="shared" si="46"/>
        <v>59829</v>
      </c>
      <c r="B322" s="1" t="s">
        <v>47</v>
      </c>
      <c r="C322" s="1" t="s">
        <v>48</v>
      </c>
      <c r="D322" s="1" t="str">
        <f t="shared" ref="D322:D385" si="47">"9801"</f>
        <v>9801</v>
      </c>
      <c r="E322" s="1" t="s">
        <v>25</v>
      </c>
      <c r="F322" s="1" t="str">
        <f>"1270070065"</f>
        <v>1270070065</v>
      </c>
      <c r="G322" s="1" t="s">
        <v>33</v>
      </c>
      <c r="H322" s="1" t="str">
        <f t="shared" si="44"/>
        <v>20220910</v>
      </c>
      <c r="I322" s="1" t="str">
        <f>"163239"</f>
        <v>163239</v>
      </c>
      <c r="J322" s="1" t="s">
        <v>27</v>
      </c>
      <c r="K322" s="1" t="s">
        <v>28</v>
      </c>
      <c r="L322" s="1" t="str">
        <f t="shared" si="45"/>
        <v>20220910</v>
      </c>
      <c r="M322" s="1" t="str">
        <f>"164533"</f>
        <v>164533</v>
      </c>
      <c r="N322" s="1" t="s">
        <v>45</v>
      </c>
      <c r="O322" s="1" t="s">
        <v>45</v>
      </c>
      <c r="P322" s="1" t="s">
        <v>55</v>
      </c>
      <c r="Q322" s="1">
        <v>25</v>
      </c>
      <c r="R322" s="1">
        <v>25</v>
      </c>
      <c r="S322" s="1">
        <v>0</v>
      </c>
      <c r="T322" s="1">
        <v>0</v>
      </c>
      <c r="U322" s="1">
        <v>0</v>
      </c>
      <c r="V322" s="1" t="str">
        <f t="shared" ref="V322:V385" si="48">"里程去程"</f>
        <v>里程去程</v>
      </c>
      <c r="W322" s="1" t="s">
        <v>35</v>
      </c>
    </row>
    <row r="323" spans="1:23" x14ac:dyDescent="0.3">
      <c r="A323" s="1" t="str">
        <f t="shared" si="46"/>
        <v>59829</v>
      </c>
      <c r="B323" s="1" t="s">
        <v>47</v>
      </c>
      <c r="C323" s="1" t="s">
        <v>48</v>
      </c>
      <c r="D323" s="1" t="str">
        <f t="shared" si="47"/>
        <v>9801</v>
      </c>
      <c r="E323" s="1" t="s">
        <v>25</v>
      </c>
      <c r="F323" s="1" t="str">
        <f>"C2359E167F880400C814002000000019"</f>
        <v>C2359E167F880400C814002000000019</v>
      </c>
      <c r="G323" s="1" t="s">
        <v>82</v>
      </c>
      <c r="H323" s="1" t="str">
        <f t="shared" si="44"/>
        <v>20220910</v>
      </c>
      <c r="I323" s="1" t="str">
        <f>"165136"</f>
        <v>165136</v>
      </c>
      <c r="J323" s="1" t="s">
        <v>91</v>
      </c>
      <c r="K323" s="1" t="s">
        <v>45</v>
      </c>
      <c r="L323" s="1" t="str">
        <f t="shared" si="45"/>
        <v>20220910</v>
      </c>
      <c r="M323" s="1" t="str">
        <f>"165917"</f>
        <v>165917</v>
      </c>
      <c r="N323" s="1" t="s">
        <v>44</v>
      </c>
      <c r="O323" s="1" t="s">
        <v>45</v>
      </c>
      <c r="P323" s="1" t="s">
        <v>55</v>
      </c>
      <c r="Q323" s="1">
        <v>13</v>
      </c>
      <c r="R323" s="1">
        <v>13</v>
      </c>
      <c r="S323" s="1">
        <v>0</v>
      </c>
      <c r="T323" s="1">
        <v>0</v>
      </c>
      <c r="U323" s="1">
        <v>0</v>
      </c>
      <c r="V323" s="1" t="str">
        <f t="shared" si="48"/>
        <v>里程去程</v>
      </c>
      <c r="W323" s="1" t="s">
        <v>29</v>
      </c>
    </row>
    <row r="324" spans="1:23" x14ac:dyDescent="0.3">
      <c r="A324" s="1" t="str">
        <f t="shared" si="46"/>
        <v>59829</v>
      </c>
      <c r="B324" s="1" t="s">
        <v>47</v>
      </c>
      <c r="C324" s="1" t="s">
        <v>48</v>
      </c>
      <c r="D324" s="1" t="str">
        <f t="shared" si="47"/>
        <v>9801</v>
      </c>
      <c r="E324" s="1" t="s">
        <v>25</v>
      </c>
      <c r="F324" s="1" t="str">
        <f>"801654885"</f>
        <v>801654885</v>
      </c>
      <c r="G324" s="1" t="s">
        <v>26</v>
      </c>
      <c r="H324" s="1" t="str">
        <f t="shared" si="44"/>
        <v>20220910</v>
      </c>
      <c r="I324" s="1" t="str">
        <f>"165140"</f>
        <v>165140</v>
      </c>
      <c r="J324" s="1" t="s">
        <v>91</v>
      </c>
      <c r="K324" s="1" t="s">
        <v>45</v>
      </c>
      <c r="L324" s="1" t="str">
        <f t="shared" si="45"/>
        <v>20220910</v>
      </c>
      <c r="M324" s="1" t="str">
        <f>"165915"</f>
        <v>165915</v>
      </c>
      <c r="N324" s="1" t="s">
        <v>44</v>
      </c>
      <c r="O324" s="1" t="s">
        <v>45</v>
      </c>
      <c r="P324" s="1" t="s">
        <v>55</v>
      </c>
      <c r="Q324" s="1">
        <v>13</v>
      </c>
      <c r="R324" s="1">
        <v>13</v>
      </c>
      <c r="S324" s="1">
        <v>0</v>
      </c>
      <c r="T324" s="1">
        <v>0</v>
      </c>
      <c r="U324" s="1">
        <v>0</v>
      </c>
      <c r="V324" s="1" t="str">
        <f t="shared" si="48"/>
        <v>里程去程</v>
      </c>
      <c r="W324" s="1" t="s">
        <v>35</v>
      </c>
    </row>
    <row r="325" spans="1:23" x14ac:dyDescent="0.3">
      <c r="A325" s="1" t="str">
        <f t="shared" si="46"/>
        <v>59829</v>
      </c>
      <c r="B325" s="1" t="s">
        <v>47</v>
      </c>
      <c r="C325" s="1" t="s">
        <v>48</v>
      </c>
      <c r="D325" s="1" t="str">
        <f t="shared" si="47"/>
        <v>9801</v>
      </c>
      <c r="E325" s="1" t="s">
        <v>25</v>
      </c>
      <c r="F325" s="1" t="str">
        <f>"943695589"</f>
        <v>943695589</v>
      </c>
      <c r="G325" s="1" t="s">
        <v>33</v>
      </c>
      <c r="H325" s="1" t="str">
        <f t="shared" si="44"/>
        <v>20220910</v>
      </c>
      <c r="I325" s="1" t="str">
        <f>"165143"</f>
        <v>165143</v>
      </c>
      <c r="J325" s="1" t="s">
        <v>91</v>
      </c>
      <c r="K325" s="1" t="s">
        <v>45</v>
      </c>
      <c r="L325" s="1" t="str">
        <f t="shared" si="45"/>
        <v>20220910</v>
      </c>
      <c r="M325" s="1" t="str">
        <f>"165920"</f>
        <v>165920</v>
      </c>
      <c r="N325" s="1" t="s">
        <v>44</v>
      </c>
      <c r="O325" s="1" t="s">
        <v>45</v>
      </c>
      <c r="P325" s="1" t="s">
        <v>55</v>
      </c>
      <c r="Q325" s="1">
        <v>25</v>
      </c>
      <c r="R325" s="1">
        <v>0</v>
      </c>
      <c r="S325" s="1">
        <v>25</v>
      </c>
      <c r="T325" s="1">
        <v>0</v>
      </c>
      <c r="U325" s="1">
        <v>0</v>
      </c>
      <c r="V325" s="1" t="str">
        <f t="shared" si="48"/>
        <v>里程去程</v>
      </c>
      <c r="W325" s="1" t="s">
        <v>35</v>
      </c>
    </row>
    <row r="326" spans="1:23" x14ac:dyDescent="0.3">
      <c r="A326" s="1" t="str">
        <f t="shared" si="46"/>
        <v>59829</v>
      </c>
      <c r="B326" s="1" t="s">
        <v>47</v>
      </c>
      <c r="C326" s="1" t="s">
        <v>48</v>
      </c>
      <c r="D326" s="1" t="str">
        <f t="shared" si="47"/>
        <v>9801</v>
      </c>
      <c r="E326" s="1" t="s">
        <v>25</v>
      </c>
      <c r="F326" s="1" t="str">
        <f>"1076855893"</f>
        <v>1076855893</v>
      </c>
      <c r="G326" s="1" t="s">
        <v>33</v>
      </c>
      <c r="H326" s="1" t="str">
        <f t="shared" si="44"/>
        <v>20220910</v>
      </c>
      <c r="I326" s="1" t="str">
        <f>"195623"</f>
        <v>195623</v>
      </c>
      <c r="J326" s="1" t="s">
        <v>52</v>
      </c>
      <c r="K326" s="1" t="s">
        <v>52</v>
      </c>
      <c r="L326" s="1" t="str">
        <f t="shared" si="45"/>
        <v>20220910</v>
      </c>
      <c r="M326" s="1" t="str">
        <f>"202502"</f>
        <v>202502</v>
      </c>
      <c r="N326" s="1" t="s">
        <v>83</v>
      </c>
      <c r="O326" s="1" t="s">
        <v>52</v>
      </c>
      <c r="P326" s="1" t="s">
        <v>55</v>
      </c>
      <c r="Q326" s="1">
        <v>25</v>
      </c>
      <c r="R326" s="1">
        <v>0</v>
      </c>
      <c r="S326" s="1">
        <v>25</v>
      </c>
      <c r="T326" s="1">
        <v>0</v>
      </c>
      <c r="U326" s="1">
        <v>0</v>
      </c>
      <c r="V326" s="1" t="str">
        <f t="shared" si="48"/>
        <v>里程去程</v>
      </c>
      <c r="W326" s="1" t="s">
        <v>35</v>
      </c>
    </row>
    <row r="327" spans="1:23" x14ac:dyDescent="0.3">
      <c r="A327" s="1" t="str">
        <f t="shared" si="46"/>
        <v>59829</v>
      </c>
      <c r="B327" s="1" t="s">
        <v>47</v>
      </c>
      <c r="C327" s="1" t="s">
        <v>48</v>
      </c>
      <c r="D327" s="1" t="str">
        <f t="shared" si="47"/>
        <v>9801</v>
      </c>
      <c r="E327" s="1" t="s">
        <v>25</v>
      </c>
      <c r="F327" s="1" t="str">
        <f>"1069836597"</f>
        <v>1069836597</v>
      </c>
      <c r="G327" s="1" t="s">
        <v>33</v>
      </c>
      <c r="H327" s="1" t="str">
        <f t="shared" si="44"/>
        <v>20220910</v>
      </c>
      <c r="I327" s="1" t="str">
        <f>"195640"</f>
        <v>195640</v>
      </c>
      <c r="J327" s="1" t="s">
        <v>52</v>
      </c>
      <c r="K327" s="1" t="s">
        <v>52</v>
      </c>
      <c r="L327" s="1" t="str">
        <f t="shared" si="45"/>
        <v>20220910</v>
      </c>
      <c r="M327" s="1" t="str">
        <f>"202510"</f>
        <v>202510</v>
      </c>
      <c r="N327" s="1" t="s">
        <v>83</v>
      </c>
      <c r="O327" s="1" t="s">
        <v>52</v>
      </c>
      <c r="P327" s="1" t="s">
        <v>55</v>
      </c>
      <c r="Q327" s="1">
        <v>25</v>
      </c>
      <c r="R327" s="1">
        <v>0</v>
      </c>
      <c r="S327" s="1">
        <v>25</v>
      </c>
      <c r="T327" s="1">
        <v>0</v>
      </c>
      <c r="U327" s="1">
        <v>0</v>
      </c>
      <c r="V327" s="1" t="str">
        <f t="shared" si="48"/>
        <v>里程去程</v>
      </c>
      <c r="W327" s="1" t="s">
        <v>35</v>
      </c>
    </row>
    <row r="328" spans="1:23" x14ac:dyDescent="0.3">
      <c r="A328" s="1" t="str">
        <f t="shared" si="46"/>
        <v>59829</v>
      </c>
      <c r="B328" s="1" t="s">
        <v>47</v>
      </c>
      <c r="C328" s="1" t="s">
        <v>48</v>
      </c>
      <c r="D328" s="1" t="str">
        <f t="shared" si="47"/>
        <v>9801</v>
      </c>
      <c r="E328" s="1" t="s">
        <v>25</v>
      </c>
      <c r="F328" s="1" t="str">
        <f>"81C3140F59280400F700000000000000"</f>
        <v>81C3140F59280400F700000000000000</v>
      </c>
      <c r="G328" s="1" t="s">
        <v>58</v>
      </c>
      <c r="H328" s="1" t="str">
        <f t="shared" si="44"/>
        <v>20220910</v>
      </c>
      <c r="I328" s="1" t="str">
        <f>"201244"</f>
        <v>201244</v>
      </c>
      <c r="J328" s="1" t="s">
        <v>72</v>
      </c>
      <c r="K328" s="1" t="s">
        <v>52</v>
      </c>
      <c r="L328" s="1" t="str">
        <f t="shared" si="45"/>
        <v>20220910</v>
      </c>
      <c r="M328" s="1" t="str">
        <f>"202956"</f>
        <v>202956</v>
      </c>
      <c r="N328" s="1" t="s">
        <v>70</v>
      </c>
      <c r="O328" s="1" t="s">
        <v>28</v>
      </c>
      <c r="P328" s="1" t="s">
        <v>55</v>
      </c>
      <c r="Q328" s="1">
        <v>25</v>
      </c>
      <c r="R328" s="1">
        <v>25</v>
      </c>
      <c r="S328" s="1">
        <v>0</v>
      </c>
      <c r="T328" s="1">
        <v>0</v>
      </c>
      <c r="U328" s="1">
        <v>0</v>
      </c>
      <c r="V328" s="1" t="str">
        <f t="shared" si="48"/>
        <v>里程去程</v>
      </c>
      <c r="W328" s="1" t="s">
        <v>29</v>
      </c>
    </row>
    <row r="329" spans="1:23" x14ac:dyDescent="0.3">
      <c r="A329" s="1" t="str">
        <f t="shared" si="46"/>
        <v>59829</v>
      </c>
      <c r="B329" s="1" t="s">
        <v>47</v>
      </c>
      <c r="C329" s="1" t="s">
        <v>48</v>
      </c>
      <c r="D329" s="1" t="str">
        <f t="shared" si="47"/>
        <v>9801</v>
      </c>
      <c r="E329" s="1" t="s">
        <v>25</v>
      </c>
      <c r="F329" s="1" t="str">
        <f>"1821966757"</f>
        <v>1821966757</v>
      </c>
      <c r="G329" s="1" t="s">
        <v>33</v>
      </c>
      <c r="H329" s="1" t="str">
        <f t="shared" si="44"/>
        <v>20220910</v>
      </c>
      <c r="I329" s="1" t="str">
        <f>"201247"</f>
        <v>201247</v>
      </c>
      <c r="J329" s="1" t="s">
        <v>72</v>
      </c>
      <c r="K329" s="1" t="s">
        <v>52</v>
      </c>
      <c r="L329" s="1" t="str">
        <f t="shared" si="45"/>
        <v>20220910</v>
      </c>
      <c r="M329" s="1" t="str">
        <f>"202954"</f>
        <v>202954</v>
      </c>
      <c r="N329" s="1" t="s">
        <v>70</v>
      </c>
      <c r="O329" s="1" t="s">
        <v>28</v>
      </c>
      <c r="P329" s="1" t="s">
        <v>55</v>
      </c>
      <c r="Q329" s="1">
        <v>25</v>
      </c>
      <c r="R329" s="1">
        <v>25</v>
      </c>
      <c r="S329" s="1">
        <v>0</v>
      </c>
      <c r="T329" s="1">
        <v>0</v>
      </c>
      <c r="U329" s="1">
        <v>0</v>
      </c>
      <c r="V329" s="1" t="str">
        <f t="shared" si="48"/>
        <v>里程去程</v>
      </c>
      <c r="W329" s="1" t="s">
        <v>35</v>
      </c>
    </row>
    <row r="330" spans="1:23" x14ac:dyDescent="0.3">
      <c r="A330" s="1" t="str">
        <f t="shared" si="46"/>
        <v>59829</v>
      </c>
      <c r="B330" s="1" t="s">
        <v>47</v>
      </c>
      <c r="C330" s="1" t="s">
        <v>48</v>
      </c>
      <c r="D330" s="1" t="str">
        <f t="shared" si="47"/>
        <v>9801</v>
      </c>
      <c r="E330" s="1" t="s">
        <v>25</v>
      </c>
      <c r="F330" s="1" t="str">
        <f>"2710043119"</f>
        <v>2710043119</v>
      </c>
      <c r="G330" s="1" t="s">
        <v>33</v>
      </c>
      <c r="H330" s="1" t="str">
        <f t="shared" si="44"/>
        <v>20220910</v>
      </c>
      <c r="I330" s="1" t="str">
        <f>"203132"</f>
        <v>203132</v>
      </c>
      <c r="J330" s="1" t="s">
        <v>27</v>
      </c>
      <c r="K330" s="1" t="s">
        <v>28</v>
      </c>
      <c r="L330" s="1" t="str">
        <f t="shared" si="45"/>
        <v>20220910</v>
      </c>
      <c r="M330" s="1" t="str">
        <f>"205549"</f>
        <v>205549</v>
      </c>
      <c r="N330" s="1" t="s">
        <v>44</v>
      </c>
      <c r="O330" s="1" t="s">
        <v>45</v>
      </c>
      <c r="P330" s="1" t="s">
        <v>55</v>
      </c>
      <c r="Q330" s="1">
        <v>25</v>
      </c>
      <c r="R330" s="1">
        <v>0</v>
      </c>
      <c r="S330" s="1">
        <v>25</v>
      </c>
      <c r="T330" s="1">
        <v>0</v>
      </c>
      <c r="U330" s="1">
        <v>0</v>
      </c>
      <c r="V330" s="1" t="str">
        <f t="shared" si="48"/>
        <v>里程去程</v>
      </c>
      <c r="W330" s="1" t="s">
        <v>35</v>
      </c>
    </row>
    <row r="331" spans="1:23" x14ac:dyDescent="0.3">
      <c r="A331" s="1" t="str">
        <f t="shared" ref="A331:A356" si="49">"59809"</f>
        <v>59809</v>
      </c>
      <c r="B331" s="1" t="s">
        <v>42</v>
      </c>
      <c r="C331" s="1" t="s">
        <v>43</v>
      </c>
      <c r="D331" s="1" t="str">
        <f t="shared" si="47"/>
        <v>9801</v>
      </c>
      <c r="E331" s="1" t="s">
        <v>25</v>
      </c>
      <c r="F331" s="1" t="str">
        <f>"1868372705"</f>
        <v>1868372705</v>
      </c>
      <c r="G331" s="1" t="s">
        <v>33</v>
      </c>
      <c r="H331" s="1" t="str">
        <f t="shared" ref="H331:H365" si="50">"20220911"</f>
        <v>20220911</v>
      </c>
      <c r="I331" s="1" t="str">
        <f>"111239"</f>
        <v>111239</v>
      </c>
      <c r="J331" s="1" t="s">
        <v>65</v>
      </c>
      <c r="K331" s="1" t="s">
        <v>52</v>
      </c>
      <c r="L331" s="1" t="str">
        <f t="shared" ref="L331:L356" si="51">"20220911"</f>
        <v>20220911</v>
      </c>
      <c r="M331" s="1" t="str">
        <f>"113102"</f>
        <v>113102</v>
      </c>
      <c r="N331" s="1" t="s">
        <v>70</v>
      </c>
      <c r="O331" s="1" t="s">
        <v>28</v>
      </c>
      <c r="P331" s="1" t="s">
        <v>55</v>
      </c>
      <c r="Q331" s="1">
        <v>25</v>
      </c>
      <c r="R331" s="1">
        <v>25</v>
      </c>
      <c r="S331" s="1">
        <v>0</v>
      </c>
      <c r="T331" s="1">
        <v>0</v>
      </c>
      <c r="U331" s="1">
        <v>0</v>
      </c>
      <c r="V331" s="1" t="str">
        <f t="shared" si="48"/>
        <v>里程去程</v>
      </c>
      <c r="W331" s="1" t="s">
        <v>35</v>
      </c>
    </row>
    <row r="332" spans="1:23" x14ac:dyDescent="0.3">
      <c r="A332" s="1" t="str">
        <f t="shared" si="49"/>
        <v>59809</v>
      </c>
      <c r="B332" s="1" t="s">
        <v>42</v>
      </c>
      <c r="C332" s="1" t="s">
        <v>43</v>
      </c>
      <c r="D332" s="1" t="str">
        <f t="shared" si="47"/>
        <v>9801</v>
      </c>
      <c r="E332" s="1" t="s">
        <v>25</v>
      </c>
      <c r="F332" s="1" t="str">
        <f>"432884369"</f>
        <v>432884369</v>
      </c>
      <c r="G332" s="1" t="s">
        <v>33</v>
      </c>
      <c r="H332" s="1" t="str">
        <f t="shared" si="50"/>
        <v>20220911</v>
      </c>
      <c r="I332" s="1" t="str">
        <f>"111246"</f>
        <v>111246</v>
      </c>
      <c r="J332" s="1" t="s">
        <v>65</v>
      </c>
      <c r="K332" s="1" t="s">
        <v>52</v>
      </c>
      <c r="L332" s="1" t="str">
        <f t="shared" si="51"/>
        <v>20220911</v>
      </c>
      <c r="M332" s="1" t="str">
        <f>"113104"</f>
        <v>113104</v>
      </c>
      <c r="N332" s="1" t="s">
        <v>70</v>
      </c>
      <c r="O332" s="1" t="s">
        <v>28</v>
      </c>
      <c r="P332" s="1" t="s">
        <v>55</v>
      </c>
      <c r="Q332" s="1">
        <v>25</v>
      </c>
      <c r="R332" s="1">
        <v>25</v>
      </c>
      <c r="S332" s="1">
        <v>0</v>
      </c>
      <c r="T332" s="1">
        <v>0</v>
      </c>
      <c r="U332" s="1">
        <v>0</v>
      </c>
      <c r="V332" s="1" t="str">
        <f t="shared" si="48"/>
        <v>里程去程</v>
      </c>
      <c r="W332" s="1" t="s">
        <v>35</v>
      </c>
    </row>
    <row r="333" spans="1:23" x14ac:dyDescent="0.3">
      <c r="A333" s="1" t="str">
        <f t="shared" si="49"/>
        <v>59809</v>
      </c>
      <c r="B333" s="1" t="s">
        <v>42</v>
      </c>
      <c r="C333" s="1" t="s">
        <v>43</v>
      </c>
      <c r="D333" s="1" t="str">
        <f t="shared" si="47"/>
        <v>9801</v>
      </c>
      <c r="E333" s="1" t="s">
        <v>25</v>
      </c>
      <c r="F333" s="1" t="str">
        <f>"141704815"</f>
        <v>141704815</v>
      </c>
      <c r="G333" s="1" t="s">
        <v>33</v>
      </c>
      <c r="H333" s="1" t="str">
        <f t="shared" si="50"/>
        <v>20220911</v>
      </c>
      <c r="I333" s="1" t="str">
        <f>"111849"</f>
        <v>111849</v>
      </c>
      <c r="J333" s="1" t="s">
        <v>69</v>
      </c>
      <c r="K333" s="1" t="s">
        <v>52</v>
      </c>
      <c r="L333" s="1" t="str">
        <f t="shared" si="51"/>
        <v>20220911</v>
      </c>
      <c r="M333" s="1" t="str">
        <f>"113057"</f>
        <v>113057</v>
      </c>
      <c r="N333" s="1" t="s">
        <v>70</v>
      </c>
      <c r="O333" s="1" t="s">
        <v>28</v>
      </c>
      <c r="P333" s="1" t="s">
        <v>55</v>
      </c>
      <c r="Q333" s="1">
        <v>25</v>
      </c>
      <c r="R333" s="1">
        <v>25</v>
      </c>
      <c r="S333" s="1">
        <v>0</v>
      </c>
      <c r="T333" s="1">
        <v>0</v>
      </c>
      <c r="U333" s="1">
        <v>0</v>
      </c>
      <c r="V333" s="1" t="str">
        <f t="shared" si="48"/>
        <v>里程去程</v>
      </c>
      <c r="W333" s="1" t="s">
        <v>35</v>
      </c>
    </row>
    <row r="334" spans="1:23" x14ac:dyDescent="0.3">
      <c r="A334" s="1" t="str">
        <f t="shared" si="49"/>
        <v>59809</v>
      </c>
      <c r="B334" s="1" t="s">
        <v>42</v>
      </c>
      <c r="C334" s="1" t="s">
        <v>43</v>
      </c>
      <c r="D334" s="1" t="str">
        <f t="shared" si="47"/>
        <v>9801</v>
      </c>
      <c r="E334" s="1" t="s">
        <v>25</v>
      </c>
      <c r="F334" s="1" t="str">
        <f>"12BD280285880400C821002000000015"</f>
        <v>12BD280285880400C821002000000015</v>
      </c>
      <c r="G334" s="1" t="s">
        <v>58</v>
      </c>
      <c r="H334" s="1" t="str">
        <f t="shared" si="50"/>
        <v>20220911</v>
      </c>
      <c r="I334" s="1" t="str">
        <f>"112319"</f>
        <v>112319</v>
      </c>
      <c r="J334" s="1" t="s">
        <v>83</v>
      </c>
      <c r="K334" s="1" t="s">
        <v>52</v>
      </c>
      <c r="L334" s="1" t="str">
        <f t="shared" si="51"/>
        <v>20220911</v>
      </c>
      <c r="M334" s="1" t="str">
        <f>"115537"</f>
        <v>115537</v>
      </c>
      <c r="N334" s="1" t="s">
        <v>44</v>
      </c>
      <c r="O334" s="1" t="s">
        <v>45</v>
      </c>
      <c r="P334" s="1" t="s">
        <v>55</v>
      </c>
      <c r="Q334" s="1">
        <v>50</v>
      </c>
      <c r="R334" s="1">
        <v>50</v>
      </c>
      <c r="S334" s="1">
        <v>0</v>
      </c>
      <c r="T334" s="1">
        <v>0</v>
      </c>
      <c r="U334" s="1">
        <v>0</v>
      </c>
      <c r="V334" s="1" t="str">
        <f t="shared" si="48"/>
        <v>里程去程</v>
      </c>
      <c r="W334" s="1" t="s">
        <v>29</v>
      </c>
    </row>
    <row r="335" spans="1:23" x14ac:dyDescent="0.3">
      <c r="A335" s="1" t="str">
        <f t="shared" si="49"/>
        <v>59809</v>
      </c>
      <c r="B335" s="1" t="s">
        <v>42</v>
      </c>
      <c r="C335" s="1" t="s">
        <v>43</v>
      </c>
      <c r="D335" s="1" t="str">
        <f t="shared" si="47"/>
        <v>9801</v>
      </c>
      <c r="E335" s="1" t="s">
        <v>25</v>
      </c>
      <c r="F335" s="1" t="str">
        <f>"1532623633"</f>
        <v>1532623633</v>
      </c>
      <c r="G335" s="1" t="s">
        <v>33</v>
      </c>
      <c r="H335" s="1" t="str">
        <f t="shared" si="50"/>
        <v>20220911</v>
      </c>
      <c r="I335" s="1" t="str">
        <f>"112324"</f>
        <v>112324</v>
      </c>
      <c r="J335" s="1" t="s">
        <v>83</v>
      </c>
      <c r="K335" s="1" t="s">
        <v>52</v>
      </c>
      <c r="L335" s="1" t="str">
        <f t="shared" si="51"/>
        <v>20220911</v>
      </c>
      <c r="M335" s="1" t="str">
        <f>"115540"</f>
        <v>115540</v>
      </c>
      <c r="N335" s="1" t="s">
        <v>44</v>
      </c>
      <c r="O335" s="1" t="s">
        <v>45</v>
      </c>
      <c r="P335" s="1" t="s">
        <v>55</v>
      </c>
      <c r="Q335" s="1">
        <v>50</v>
      </c>
      <c r="R335" s="1">
        <v>50</v>
      </c>
      <c r="S335" s="1">
        <v>0</v>
      </c>
      <c r="T335" s="1">
        <v>0</v>
      </c>
      <c r="U335" s="1">
        <v>0</v>
      </c>
      <c r="V335" s="1" t="str">
        <f t="shared" si="48"/>
        <v>里程去程</v>
      </c>
      <c r="W335" s="1" t="s">
        <v>35</v>
      </c>
    </row>
    <row r="336" spans="1:23" x14ac:dyDescent="0.3">
      <c r="A336" s="1" t="str">
        <f t="shared" si="49"/>
        <v>59809</v>
      </c>
      <c r="B336" s="1" t="s">
        <v>42</v>
      </c>
      <c r="C336" s="1" t="s">
        <v>43</v>
      </c>
      <c r="D336" s="1" t="str">
        <f t="shared" si="47"/>
        <v>9801</v>
      </c>
      <c r="E336" s="1" t="s">
        <v>25</v>
      </c>
      <c r="F336" s="1" t="str">
        <f>"725356549"</f>
        <v>725356549</v>
      </c>
      <c r="G336" s="1" t="s">
        <v>33</v>
      </c>
      <c r="H336" s="1" t="str">
        <f t="shared" si="50"/>
        <v>20220911</v>
      </c>
      <c r="I336" s="1" t="str">
        <f>"113209"</f>
        <v>113209</v>
      </c>
      <c r="J336" s="1" t="s">
        <v>27</v>
      </c>
      <c r="K336" s="1" t="s">
        <v>28</v>
      </c>
      <c r="L336" s="1" t="str">
        <f t="shared" si="51"/>
        <v>20220911</v>
      </c>
      <c r="M336" s="1" t="str">
        <f>"115914"</f>
        <v>115914</v>
      </c>
      <c r="N336" s="1" t="s">
        <v>44</v>
      </c>
      <c r="O336" s="1" t="s">
        <v>45</v>
      </c>
      <c r="P336" s="1" t="s">
        <v>55</v>
      </c>
      <c r="Q336" s="1">
        <v>25</v>
      </c>
      <c r="R336" s="1">
        <v>25</v>
      </c>
      <c r="S336" s="1">
        <v>0</v>
      </c>
      <c r="T336" s="1">
        <v>0</v>
      </c>
      <c r="U336" s="1">
        <v>0</v>
      </c>
      <c r="V336" s="1" t="str">
        <f t="shared" si="48"/>
        <v>里程去程</v>
      </c>
      <c r="W336" s="1" t="s">
        <v>35</v>
      </c>
    </row>
    <row r="337" spans="1:23" x14ac:dyDescent="0.3">
      <c r="A337" s="1" t="str">
        <f t="shared" si="49"/>
        <v>59809</v>
      </c>
      <c r="B337" s="1" t="s">
        <v>42</v>
      </c>
      <c r="C337" s="1" t="s">
        <v>43</v>
      </c>
      <c r="D337" s="1" t="str">
        <f t="shared" si="47"/>
        <v>9801</v>
      </c>
      <c r="E337" s="1" t="s">
        <v>25</v>
      </c>
      <c r="F337" s="1" t="str">
        <f>"728202449"</f>
        <v>728202449</v>
      </c>
      <c r="G337" s="1" t="s">
        <v>33</v>
      </c>
      <c r="H337" s="1" t="str">
        <f t="shared" si="50"/>
        <v>20220911</v>
      </c>
      <c r="I337" s="1" t="str">
        <f>"122935"</f>
        <v>122935</v>
      </c>
      <c r="J337" s="1" t="s">
        <v>27</v>
      </c>
      <c r="K337" s="1" t="s">
        <v>28</v>
      </c>
      <c r="L337" s="1" t="str">
        <f t="shared" si="51"/>
        <v>20220911</v>
      </c>
      <c r="M337" s="1" t="str">
        <f>"125325"</f>
        <v>125325</v>
      </c>
      <c r="N337" s="1" t="s">
        <v>100</v>
      </c>
      <c r="O337" s="1" t="s">
        <v>45</v>
      </c>
      <c r="P337" s="1" t="s">
        <v>55</v>
      </c>
      <c r="Q337" s="1">
        <v>25</v>
      </c>
      <c r="R337" s="1">
        <v>0</v>
      </c>
      <c r="S337" s="1">
        <v>25</v>
      </c>
      <c r="T337" s="1">
        <v>0</v>
      </c>
      <c r="U337" s="1">
        <v>0</v>
      </c>
      <c r="V337" s="1" t="str">
        <f t="shared" si="48"/>
        <v>里程去程</v>
      </c>
      <c r="W337" s="1" t="s">
        <v>35</v>
      </c>
    </row>
    <row r="338" spans="1:23" x14ac:dyDescent="0.3">
      <c r="A338" s="1" t="str">
        <f t="shared" si="49"/>
        <v>59809</v>
      </c>
      <c r="B338" s="1" t="s">
        <v>42</v>
      </c>
      <c r="C338" s="1" t="s">
        <v>43</v>
      </c>
      <c r="D338" s="1" t="str">
        <f t="shared" si="47"/>
        <v>9801</v>
      </c>
      <c r="E338" s="1" t="s">
        <v>25</v>
      </c>
      <c r="F338" s="1" t="str">
        <f>"1751651749"</f>
        <v>1751651749</v>
      </c>
      <c r="G338" s="1" t="s">
        <v>33</v>
      </c>
      <c r="H338" s="1" t="str">
        <f t="shared" si="50"/>
        <v>20220911</v>
      </c>
      <c r="I338" s="1" t="str">
        <f>"122939"</f>
        <v>122939</v>
      </c>
      <c r="J338" s="1" t="s">
        <v>27</v>
      </c>
      <c r="K338" s="1" t="s">
        <v>28</v>
      </c>
      <c r="L338" s="1" t="str">
        <f t="shared" si="51"/>
        <v>20220911</v>
      </c>
      <c r="M338" s="1" t="str">
        <f>"125334"</f>
        <v>125334</v>
      </c>
      <c r="N338" s="1" t="s">
        <v>100</v>
      </c>
      <c r="O338" s="1" t="s">
        <v>45</v>
      </c>
      <c r="P338" s="1" t="s">
        <v>55</v>
      </c>
      <c r="Q338" s="1">
        <v>25</v>
      </c>
      <c r="R338" s="1">
        <v>0</v>
      </c>
      <c r="S338" s="1">
        <v>25</v>
      </c>
      <c r="T338" s="1">
        <v>0</v>
      </c>
      <c r="U338" s="1">
        <v>0</v>
      </c>
      <c r="V338" s="1" t="str">
        <f t="shared" si="48"/>
        <v>里程去程</v>
      </c>
      <c r="W338" s="1" t="s">
        <v>35</v>
      </c>
    </row>
    <row r="339" spans="1:23" x14ac:dyDescent="0.3">
      <c r="A339" s="1" t="str">
        <f t="shared" si="49"/>
        <v>59809</v>
      </c>
      <c r="B339" s="1" t="s">
        <v>42</v>
      </c>
      <c r="C339" s="1" t="s">
        <v>43</v>
      </c>
      <c r="D339" s="1" t="str">
        <f t="shared" si="47"/>
        <v>9801</v>
      </c>
      <c r="E339" s="1" t="s">
        <v>25</v>
      </c>
      <c r="F339" s="1" t="str">
        <f>"750773861"</f>
        <v>750773861</v>
      </c>
      <c r="G339" s="1" t="s">
        <v>33</v>
      </c>
      <c r="H339" s="1" t="str">
        <f t="shared" si="50"/>
        <v>20220911</v>
      </c>
      <c r="I339" s="1" t="str">
        <f>"122945"</f>
        <v>122945</v>
      </c>
      <c r="J339" s="1" t="s">
        <v>27</v>
      </c>
      <c r="K339" s="1" t="s">
        <v>28</v>
      </c>
      <c r="L339" s="1" t="str">
        <f t="shared" si="51"/>
        <v>20220911</v>
      </c>
      <c r="M339" s="1" t="str">
        <f>"124621"</f>
        <v>124621</v>
      </c>
      <c r="N339" s="1" t="s">
        <v>56</v>
      </c>
      <c r="O339" s="1" t="s">
        <v>45</v>
      </c>
      <c r="P339" s="1" t="s">
        <v>55</v>
      </c>
      <c r="Q339" s="1">
        <v>25</v>
      </c>
      <c r="R339" s="1">
        <v>25</v>
      </c>
      <c r="S339" s="1">
        <v>0</v>
      </c>
      <c r="T339" s="1">
        <v>0</v>
      </c>
      <c r="U339" s="1">
        <v>0</v>
      </c>
      <c r="V339" s="1" t="str">
        <f t="shared" si="48"/>
        <v>里程去程</v>
      </c>
      <c r="W339" s="1" t="s">
        <v>35</v>
      </c>
    </row>
    <row r="340" spans="1:23" x14ac:dyDescent="0.3">
      <c r="A340" s="1" t="str">
        <f t="shared" si="49"/>
        <v>59809</v>
      </c>
      <c r="B340" s="1" t="s">
        <v>42</v>
      </c>
      <c r="C340" s="1" t="s">
        <v>43</v>
      </c>
      <c r="D340" s="1" t="str">
        <f t="shared" si="47"/>
        <v>9801</v>
      </c>
      <c r="E340" s="1" t="s">
        <v>25</v>
      </c>
      <c r="F340" s="1" t="str">
        <f>"02E2D30635880400C838002000000015"</f>
        <v>02E2D30635880400C838002000000015</v>
      </c>
      <c r="G340" s="1" t="s">
        <v>26</v>
      </c>
      <c r="H340" s="1" t="str">
        <f t="shared" si="50"/>
        <v>20220911</v>
      </c>
      <c r="I340" s="1" t="str">
        <f>"123014"</f>
        <v>123014</v>
      </c>
      <c r="J340" s="1" t="s">
        <v>27</v>
      </c>
      <c r="K340" s="1" t="s">
        <v>28</v>
      </c>
      <c r="L340" s="1" t="str">
        <f t="shared" si="51"/>
        <v>20220911</v>
      </c>
      <c r="M340" s="1" t="str">
        <f>"124524"</f>
        <v>124524</v>
      </c>
      <c r="N340" s="1" t="s">
        <v>61</v>
      </c>
      <c r="O340" s="1" t="s">
        <v>45</v>
      </c>
      <c r="P340" s="1" t="s">
        <v>68</v>
      </c>
      <c r="Q340" s="1">
        <v>13</v>
      </c>
      <c r="R340" s="1">
        <v>0</v>
      </c>
      <c r="S340" s="1">
        <v>0</v>
      </c>
      <c r="T340" s="1">
        <v>13</v>
      </c>
      <c r="U340" s="1">
        <v>0</v>
      </c>
      <c r="V340" s="1" t="str">
        <f t="shared" si="48"/>
        <v>里程去程</v>
      </c>
      <c r="W340" s="1" t="s">
        <v>29</v>
      </c>
    </row>
    <row r="341" spans="1:23" x14ac:dyDescent="0.3">
      <c r="A341" s="1" t="str">
        <f t="shared" si="49"/>
        <v>59809</v>
      </c>
      <c r="B341" s="1" t="s">
        <v>42</v>
      </c>
      <c r="C341" s="1" t="s">
        <v>43</v>
      </c>
      <c r="D341" s="1" t="str">
        <f t="shared" si="47"/>
        <v>9801</v>
      </c>
      <c r="E341" s="1" t="s">
        <v>25</v>
      </c>
      <c r="F341" s="1" t="str">
        <f>"520DD00689880400C838002000000015"</f>
        <v>520DD00689880400C838002000000015</v>
      </c>
      <c r="G341" s="1" t="s">
        <v>26</v>
      </c>
      <c r="H341" s="1" t="str">
        <f t="shared" si="50"/>
        <v>20220911</v>
      </c>
      <c r="I341" s="1" t="str">
        <f>"123016"</f>
        <v>123016</v>
      </c>
      <c r="J341" s="1" t="s">
        <v>27</v>
      </c>
      <c r="K341" s="1" t="s">
        <v>28</v>
      </c>
      <c r="L341" s="1" t="str">
        <f t="shared" si="51"/>
        <v>20220911</v>
      </c>
      <c r="M341" s="1" t="str">
        <f>"124528"</f>
        <v>124528</v>
      </c>
      <c r="N341" s="1" t="s">
        <v>61</v>
      </c>
      <c r="O341" s="1" t="s">
        <v>45</v>
      </c>
      <c r="P341" s="1" t="s">
        <v>68</v>
      </c>
      <c r="Q341" s="1">
        <v>13</v>
      </c>
      <c r="R341" s="1">
        <v>0</v>
      </c>
      <c r="S341" s="1">
        <v>0</v>
      </c>
      <c r="T341" s="1">
        <v>13</v>
      </c>
      <c r="U341" s="1">
        <v>0</v>
      </c>
      <c r="V341" s="1" t="str">
        <f t="shared" si="48"/>
        <v>里程去程</v>
      </c>
      <c r="W341" s="1" t="s">
        <v>29</v>
      </c>
    </row>
    <row r="342" spans="1:23" x14ac:dyDescent="0.3">
      <c r="A342" s="1" t="str">
        <f t="shared" si="49"/>
        <v>59809</v>
      </c>
      <c r="B342" s="1" t="s">
        <v>42</v>
      </c>
      <c r="C342" s="1" t="s">
        <v>43</v>
      </c>
      <c r="D342" s="1" t="str">
        <f t="shared" si="47"/>
        <v>9801</v>
      </c>
      <c r="E342" s="1" t="s">
        <v>25</v>
      </c>
      <c r="F342" s="1" t="str">
        <f>"B97A3C8E71280400F700000000000000"</f>
        <v>B97A3C8E71280400F700000000000000</v>
      </c>
      <c r="G342" s="1" t="s">
        <v>59</v>
      </c>
      <c r="H342" s="1" t="str">
        <f t="shared" si="50"/>
        <v>20220911</v>
      </c>
      <c r="I342" s="1" t="str">
        <f>"123032"</f>
        <v>123032</v>
      </c>
      <c r="J342" s="1" t="s">
        <v>27</v>
      </c>
      <c r="K342" s="1" t="s">
        <v>28</v>
      </c>
      <c r="L342" s="1" t="str">
        <f t="shared" si="51"/>
        <v>20220911</v>
      </c>
      <c r="M342" s="1" t="str">
        <f>"125853"</f>
        <v>125853</v>
      </c>
      <c r="N342" s="1" t="s">
        <v>44</v>
      </c>
      <c r="O342" s="1" t="s">
        <v>45</v>
      </c>
      <c r="P342" s="1" t="s">
        <v>55</v>
      </c>
      <c r="Q342" s="1">
        <v>25</v>
      </c>
      <c r="R342" s="1">
        <v>25</v>
      </c>
      <c r="S342" s="1">
        <v>0</v>
      </c>
      <c r="T342" s="1">
        <v>0</v>
      </c>
      <c r="U342" s="1">
        <v>0</v>
      </c>
      <c r="V342" s="1" t="str">
        <f t="shared" si="48"/>
        <v>里程去程</v>
      </c>
      <c r="W342" s="1" t="s">
        <v>29</v>
      </c>
    </row>
    <row r="343" spans="1:23" x14ac:dyDescent="0.3">
      <c r="A343" s="1" t="str">
        <f t="shared" si="49"/>
        <v>59809</v>
      </c>
      <c r="B343" s="1" t="s">
        <v>42</v>
      </c>
      <c r="C343" s="1" t="s">
        <v>43</v>
      </c>
      <c r="D343" s="1" t="str">
        <f t="shared" si="47"/>
        <v>9801</v>
      </c>
      <c r="E343" s="1" t="s">
        <v>25</v>
      </c>
      <c r="F343" s="1" t="str">
        <f>"1239496661"</f>
        <v>1239496661</v>
      </c>
      <c r="G343" s="1" t="s">
        <v>33</v>
      </c>
      <c r="H343" s="1" t="str">
        <f t="shared" si="50"/>
        <v>20220911</v>
      </c>
      <c r="I343" s="1" t="str">
        <f>"123058"</f>
        <v>123058</v>
      </c>
      <c r="J343" s="1" t="s">
        <v>27</v>
      </c>
      <c r="K343" s="1" t="s">
        <v>28</v>
      </c>
      <c r="L343" s="1" t="str">
        <f t="shared" si="51"/>
        <v>20220911</v>
      </c>
      <c r="M343" s="1" t="str">
        <f>"124520"</f>
        <v>124520</v>
      </c>
      <c r="N343" s="1" t="s">
        <v>61</v>
      </c>
      <c r="O343" s="1" t="s">
        <v>45</v>
      </c>
      <c r="P343" s="1" t="s">
        <v>55</v>
      </c>
      <c r="Q343" s="1">
        <v>25</v>
      </c>
      <c r="R343" s="1">
        <v>25</v>
      </c>
      <c r="S343" s="1">
        <v>0</v>
      </c>
      <c r="T343" s="1">
        <v>0</v>
      </c>
      <c r="U343" s="1">
        <v>0</v>
      </c>
      <c r="V343" s="1" t="str">
        <f t="shared" si="48"/>
        <v>里程去程</v>
      </c>
      <c r="W343" s="1" t="s">
        <v>35</v>
      </c>
    </row>
    <row r="344" spans="1:23" x14ac:dyDescent="0.3">
      <c r="A344" s="1" t="str">
        <f t="shared" si="49"/>
        <v>59809</v>
      </c>
      <c r="B344" s="1" t="s">
        <v>42</v>
      </c>
      <c r="C344" s="1" t="s">
        <v>43</v>
      </c>
      <c r="D344" s="1" t="str">
        <f t="shared" si="47"/>
        <v>9801</v>
      </c>
      <c r="E344" s="1" t="s">
        <v>25</v>
      </c>
      <c r="F344" s="1" t="str">
        <f>"3237590268"</f>
        <v>3237590268</v>
      </c>
      <c r="G344" s="1" t="s">
        <v>33</v>
      </c>
      <c r="H344" s="1" t="str">
        <f t="shared" si="50"/>
        <v>20220911</v>
      </c>
      <c r="I344" s="1" t="str">
        <f>"123256"</f>
        <v>123256</v>
      </c>
      <c r="J344" s="1" t="s">
        <v>27</v>
      </c>
      <c r="K344" s="1" t="s">
        <v>28</v>
      </c>
      <c r="L344" s="1" t="str">
        <f t="shared" si="51"/>
        <v>20220911</v>
      </c>
      <c r="M344" s="1" t="str">
        <f>"125902"</f>
        <v>125902</v>
      </c>
      <c r="N344" s="1" t="s">
        <v>44</v>
      </c>
      <c r="O344" s="1" t="s">
        <v>45</v>
      </c>
      <c r="P344" s="1" t="s">
        <v>55</v>
      </c>
      <c r="Q344" s="1">
        <v>25</v>
      </c>
      <c r="R344" s="1">
        <v>25</v>
      </c>
      <c r="S344" s="1">
        <v>0</v>
      </c>
      <c r="T344" s="1">
        <v>0</v>
      </c>
      <c r="U344" s="1">
        <v>0</v>
      </c>
      <c r="V344" s="1" t="str">
        <f t="shared" si="48"/>
        <v>里程去程</v>
      </c>
      <c r="W344" s="1" t="s">
        <v>35</v>
      </c>
    </row>
    <row r="345" spans="1:23" x14ac:dyDescent="0.3">
      <c r="A345" s="1" t="str">
        <f t="shared" si="49"/>
        <v>59809</v>
      </c>
      <c r="B345" s="1" t="s">
        <v>42</v>
      </c>
      <c r="C345" s="1" t="s">
        <v>43</v>
      </c>
      <c r="D345" s="1" t="str">
        <f t="shared" si="47"/>
        <v>9801</v>
      </c>
      <c r="E345" s="1" t="s">
        <v>25</v>
      </c>
      <c r="F345" s="1" t="str">
        <f>"1328778177"</f>
        <v>1328778177</v>
      </c>
      <c r="G345" s="1" t="s">
        <v>33</v>
      </c>
      <c r="H345" s="1" t="str">
        <f t="shared" si="50"/>
        <v>20220911</v>
      </c>
      <c r="I345" s="1" t="str">
        <f>"130546"</f>
        <v>130546</v>
      </c>
      <c r="J345" s="1" t="s">
        <v>60</v>
      </c>
      <c r="K345" s="1" t="s">
        <v>52</v>
      </c>
      <c r="L345" s="1" t="str">
        <f t="shared" si="51"/>
        <v>20220911</v>
      </c>
      <c r="M345" s="1" t="str">
        <f>"132806"</f>
        <v>132806</v>
      </c>
      <c r="N345" s="1" t="s">
        <v>70</v>
      </c>
      <c r="O345" s="1" t="s">
        <v>28</v>
      </c>
      <c r="P345" s="1" t="s">
        <v>55</v>
      </c>
      <c r="Q345" s="1">
        <v>25</v>
      </c>
      <c r="R345" s="1">
        <v>25</v>
      </c>
      <c r="S345" s="1">
        <v>0</v>
      </c>
      <c r="T345" s="1">
        <v>0</v>
      </c>
      <c r="U345" s="1">
        <v>0</v>
      </c>
      <c r="V345" s="1" t="str">
        <f t="shared" si="48"/>
        <v>里程去程</v>
      </c>
      <c r="W345" s="1" t="s">
        <v>35</v>
      </c>
    </row>
    <row r="346" spans="1:23" x14ac:dyDescent="0.3">
      <c r="A346" s="1" t="str">
        <f t="shared" si="49"/>
        <v>59809</v>
      </c>
      <c r="B346" s="1" t="s">
        <v>42</v>
      </c>
      <c r="C346" s="1" t="s">
        <v>43</v>
      </c>
      <c r="D346" s="1" t="str">
        <f t="shared" si="47"/>
        <v>9801</v>
      </c>
      <c r="E346" s="1" t="s">
        <v>25</v>
      </c>
      <c r="F346" s="1" t="str">
        <f>"F27CE6026A880400C834002000000015"</f>
        <v>F27CE6026A880400C834002000000015</v>
      </c>
      <c r="G346" s="1" t="s">
        <v>74</v>
      </c>
      <c r="H346" s="1" t="str">
        <f t="shared" si="50"/>
        <v>20220911</v>
      </c>
      <c r="I346" s="1" t="str">
        <f>"145536"</f>
        <v>145536</v>
      </c>
      <c r="J346" s="1" t="s">
        <v>52</v>
      </c>
      <c r="K346" s="1" t="s">
        <v>52</v>
      </c>
      <c r="L346" s="1" t="str">
        <f t="shared" si="51"/>
        <v>20220911</v>
      </c>
      <c r="M346" s="1" t="str">
        <f>"150536"</f>
        <v>150536</v>
      </c>
      <c r="N346" s="1" t="s">
        <v>60</v>
      </c>
      <c r="O346" s="1" t="s">
        <v>52</v>
      </c>
      <c r="P346" s="1" t="s">
        <v>68</v>
      </c>
      <c r="Q346" s="1">
        <v>13</v>
      </c>
      <c r="R346" s="1">
        <v>0</v>
      </c>
      <c r="S346" s="1">
        <v>0</v>
      </c>
      <c r="T346" s="1">
        <v>13</v>
      </c>
      <c r="U346" s="1">
        <v>0</v>
      </c>
      <c r="V346" s="1" t="str">
        <f t="shared" si="48"/>
        <v>里程去程</v>
      </c>
      <c r="W346" s="1" t="s">
        <v>29</v>
      </c>
    </row>
    <row r="347" spans="1:23" x14ac:dyDescent="0.3">
      <c r="A347" s="1" t="str">
        <f t="shared" si="49"/>
        <v>59809</v>
      </c>
      <c r="B347" s="1" t="s">
        <v>42</v>
      </c>
      <c r="C347" s="1" t="s">
        <v>43</v>
      </c>
      <c r="D347" s="1" t="str">
        <f t="shared" si="47"/>
        <v>9801</v>
      </c>
      <c r="E347" s="1" t="s">
        <v>25</v>
      </c>
      <c r="F347" s="1" t="str">
        <f>"C2F219032A880400C834002000000015"</f>
        <v>C2F219032A880400C834002000000015</v>
      </c>
      <c r="G347" s="1" t="s">
        <v>26</v>
      </c>
      <c r="H347" s="1" t="str">
        <f t="shared" si="50"/>
        <v>20220911</v>
      </c>
      <c r="I347" s="1" t="str">
        <f>"150438"</f>
        <v>150438</v>
      </c>
      <c r="J347" s="1" t="s">
        <v>86</v>
      </c>
      <c r="K347" s="1" t="s">
        <v>52</v>
      </c>
      <c r="L347" s="1" t="str">
        <f t="shared" si="51"/>
        <v>20220911</v>
      </c>
      <c r="M347" s="1" t="str">
        <f>"150724"</f>
        <v>150724</v>
      </c>
      <c r="N347" s="1" t="s">
        <v>51</v>
      </c>
      <c r="O347" s="1" t="s">
        <v>52</v>
      </c>
      <c r="P347" s="1" t="s">
        <v>68</v>
      </c>
      <c r="Q347" s="1">
        <v>13</v>
      </c>
      <c r="R347" s="1">
        <v>0</v>
      </c>
      <c r="S347" s="1">
        <v>0</v>
      </c>
      <c r="T347" s="1">
        <v>13</v>
      </c>
      <c r="U347" s="1">
        <v>0</v>
      </c>
      <c r="V347" s="1" t="str">
        <f t="shared" si="48"/>
        <v>里程去程</v>
      </c>
      <c r="W347" s="1" t="s">
        <v>29</v>
      </c>
    </row>
    <row r="348" spans="1:23" x14ac:dyDescent="0.3">
      <c r="A348" s="1" t="str">
        <f t="shared" si="49"/>
        <v>59809</v>
      </c>
      <c r="B348" s="1" t="s">
        <v>42</v>
      </c>
      <c r="C348" s="1" t="s">
        <v>43</v>
      </c>
      <c r="D348" s="1" t="str">
        <f t="shared" si="47"/>
        <v>9801</v>
      </c>
      <c r="E348" s="1" t="s">
        <v>25</v>
      </c>
      <c r="F348" s="1" t="str">
        <f>"1264654885"</f>
        <v>1264654885</v>
      </c>
      <c r="G348" s="1" t="s">
        <v>33</v>
      </c>
      <c r="H348" s="1" t="str">
        <f t="shared" si="50"/>
        <v>20220911</v>
      </c>
      <c r="I348" s="1" t="str">
        <f>"153402"</f>
        <v>153402</v>
      </c>
      <c r="J348" s="1" t="s">
        <v>27</v>
      </c>
      <c r="K348" s="1" t="s">
        <v>28</v>
      </c>
      <c r="L348" s="1" t="str">
        <f t="shared" si="51"/>
        <v>20220911</v>
      </c>
      <c r="M348" s="1" t="str">
        <f>"155741"</f>
        <v>155741</v>
      </c>
      <c r="N348" s="1" t="s">
        <v>44</v>
      </c>
      <c r="O348" s="1" t="s">
        <v>45</v>
      </c>
      <c r="P348" s="1" t="s">
        <v>55</v>
      </c>
      <c r="Q348" s="1">
        <v>25</v>
      </c>
      <c r="R348" s="1">
        <v>25</v>
      </c>
      <c r="S348" s="1">
        <v>0</v>
      </c>
      <c r="T348" s="1">
        <v>0</v>
      </c>
      <c r="U348" s="1">
        <v>0</v>
      </c>
      <c r="V348" s="1" t="str">
        <f t="shared" si="48"/>
        <v>里程去程</v>
      </c>
      <c r="W348" s="1" t="s">
        <v>35</v>
      </c>
    </row>
    <row r="349" spans="1:23" x14ac:dyDescent="0.3">
      <c r="A349" s="1" t="str">
        <f t="shared" si="49"/>
        <v>59809</v>
      </c>
      <c r="B349" s="1" t="s">
        <v>42</v>
      </c>
      <c r="C349" s="1" t="s">
        <v>43</v>
      </c>
      <c r="D349" s="1" t="str">
        <f t="shared" si="47"/>
        <v>9801</v>
      </c>
      <c r="E349" s="1" t="s">
        <v>25</v>
      </c>
      <c r="F349" s="1" t="str">
        <f>"323ED318C7880400C821002000000019"</f>
        <v>323ED318C7880400C821002000000019</v>
      </c>
      <c r="G349" s="1" t="s">
        <v>58</v>
      </c>
      <c r="H349" s="1" t="str">
        <f t="shared" si="50"/>
        <v>20220911</v>
      </c>
      <c r="I349" s="1" t="str">
        <f>"153512"</f>
        <v>153512</v>
      </c>
      <c r="J349" s="1" t="s">
        <v>27</v>
      </c>
      <c r="K349" s="1" t="s">
        <v>28</v>
      </c>
      <c r="L349" s="1" t="str">
        <f t="shared" si="51"/>
        <v>20220911</v>
      </c>
      <c r="M349" s="1" t="str">
        <f>"155732"</f>
        <v>155732</v>
      </c>
      <c r="N349" s="1" t="s">
        <v>44</v>
      </c>
      <c r="O349" s="1" t="s">
        <v>45</v>
      </c>
      <c r="P349" s="1" t="s">
        <v>55</v>
      </c>
      <c r="Q349" s="1">
        <v>25</v>
      </c>
      <c r="R349" s="1">
        <v>25</v>
      </c>
      <c r="S349" s="1">
        <v>0</v>
      </c>
      <c r="T349" s="1">
        <v>0</v>
      </c>
      <c r="U349" s="1">
        <v>0</v>
      </c>
      <c r="V349" s="1" t="str">
        <f t="shared" si="48"/>
        <v>里程去程</v>
      </c>
      <c r="W349" s="1" t="s">
        <v>29</v>
      </c>
    </row>
    <row r="350" spans="1:23" x14ac:dyDescent="0.3">
      <c r="A350" s="1" t="str">
        <f t="shared" si="49"/>
        <v>59809</v>
      </c>
      <c r="B350" s="1" t="s">
        <v>42</v>
      </c>
      <c r="C350" s="1" t="s">
        <v>43</v>
      </c>
      <c r="D350" s="1" t="str">
        <f t="shared" si="47"/>
        <v>9801</v>
      </c>
      <c r="E350" s="1" t="s">
        <v>25</v>
      </c>
      <c r="F350" s="1" t="str">
        <f>"951739489"</f>
        <v>951739489</v>
      </c>
      <c r="G350" s="1" t="s">
        <v>33</v>
      </c>
      <c r="H350" s="1" t="str">
        <f t="shared" si="50"/>
        <v>20220911</v>
      </c>
      <c r="I350" s="1" t="str">
        <f>"155804"</f>
        <v>155804</v>
      </c>
      <c r="J350" s="1" t="s">
        <v>52</v>
      </c>
      <c r="K350" s="1" t="s">
        <v>52</v>
      </c>
      <c r="L350" s="1" t="str">
        <f t="shared" si="51"/>
        <v>20220911</v>
      </c>
      <c r="M350" s="1" t="str">
        <f>"162040"</f>
        <v>162040</v>
      </c>
      <c r="N350" s="1" t="s">
        <v>67</v>
      </c>
      <c r="O350" s="1" t="s">
        <v>52</v>
      </c>
      <c r="P350" s="1" t="s">
        <v>55</v>
      </c>
      <c r="Q350" s="1">
        <v>25</v>
      </c>
      <c r="R350" s="1">
        <v>0</v>
      </c>
      <c r="S350" s="1">
        <v>25</v>
      </c>
      <c r="T350" s="1">
        <v>0</v>
      </c>
      <c r="U350" s="1">
        <v>0</v>
      </c>
      <c r="V350" s="1" t="str">
        <f t="shared" si="48"/>
        <v>里程去程</v>
      </c>
      <c r="W350" s="1" t="s">
        <v>35</v>
      </c>
    </row>
    <row r="351" spans="1:23" x14ac:dyDescent="0.3">
      <c r="A351" s="1" t="str">
        <f t="shared" si="49"/>
        <v>59809</v>
      </c>
      <c r="B351" s="1" t="s">
        <v>42</v>
      </c>
      <c r="C351" s="1" t="s">
        <v>43</v>
      </c>
      <c r="D351" s="1" t="str">
        <f t="shared" si="47"/>
        <v>9801</v>
      </c>
      <c r="E351" s="1" t="s">
        <v>25</v>
      </c>
      <c r="F351" s="1" t="str">
        <f>"E2C1CD0AE4880400C810002000000016"</f>
        <v>E2C1CD0AE4880400C810002000000016</v>
      </c>
      <c r="G351" s="1" t="s">
        <v>58</v>
      </c>
      <c r="H351" s="1" t="str">
        <f t="shared" si="50"/>
        <v>20220911</v>
      </c>
      <c r="I351" s="1" t="str">
        <f>"162809"</f>
        <v>162809</v>
      </c>
      <c r="J351" s="1" t="s">
        <v>27</v>
      </c>
      <c r="K351" s="1" t="s">
        <v>28</v>
      </c>
      <c r="L351" s="1" t="str">
        <f t="shared" si="51"/>
        <v>20220911</v>
      </c>
      <c r="M351" s="1" t="str">
        <f>"165654"</f>
        <v>165654</v>
      </c>
      <c r="N351" s="1" t="s">
        <v>44</v>
      </c>
      <c r="O351" s="1" t="s">
        <v>45</v>
      </c>
      <c r="P351" s="1" t="s">
        <v>55</v>
      </c>
      <c r="Q351" s="1">
        <v>25</v>
      </c>
      <c r="R351" s="1">
        <v>0</v>
      </c>
      <c r="S351" s="1">
        <v>25</v>
      </c>
      <c r="T351" s="1">
        <v>0</v>
      </c>
      <c r="U351" s="1">
        <v>0</v>
      </c>
      <c r="V351" s="1" t="str">
        <f t="shared" si="48"/>
        <v>里程去程</v>
      </c>
      <c r="W351" s="1" t="s">
        <v>29</v>
      </c>
    </row>
    <row r="352" spans="1:23" x14ac:dyDescent="0.3">
      <c r="A352" s="1" t="str">
        <f t="shared" si="49"/>
        <v>59809</v>
      </c>
      <c r="B352" s="1" t="s">
        <v>42</v>
      </c>
      <c r="C352" s="1" t="s">
        <v>43</v>
      </c>
      <c r="D352" s="1" t="str">
        <f t="shared" si="47"/>
        <v>9801</v>
      </c>
      <c r="E352" s="1" t="s">
        <v>25</v>
      </c>
      <c r="F352" s="1" t="str">
        <f>"987447221"</f>
        <v>987447221</v>
      </c>
      <c r="G352" s="1" t="s">
        <v>33</v>
      </c>
      <c r="H352" s="1" t="str">
        <f t="shared" si="50"/>
        <v>20220911</v>
      </c>
      <c r="I352" s="1" t="str">
        <f>"163525"</f>
        <v>163525</v>
      </c>
      <c r="J352" s="1" t="s">
        <v>27</v>
      </c>
      <c r="K352" s="1" t="s">
        <v>28</v>
      </c>
      <c r="L352" s="1" t="str">
        <f t="shared" si="51"/>
        <v>20220911</v>
      </c>
      <c r="M352" s="1" t="str">
        <f>"164924"</f>
        <v>164924</v>
      </c>
      <c r="N352" s="1" t="s">
        <v>75</v>
      </c>
      <c r="O352" s="1" t="s">
        <v>45</v>
      </c>
      <c r="P352" s="1" t="s">
        <v>55</v>
      </c>
      <c r="Q352" s="1">
        <v>25</v>
      </c>
      <c r="R352" s="1">
        <v>0</v>
      </c>
      <c r="S352" s="1">
        <v>25</v>
      </c>
      <c r="T352" s="1">
        <v>0</v>
      </c>
      <c r="U352" s="1">
        <v>0</v>
      </c>
      <c r="V352" s="1" t="str">
        <f t="shared" si="48"/>
        <v>里程去程</v>
      </c>
      <c r="W352" s="1" t="s">
        <v>35</v>
      </c>
    </row>
    <row r="353" spans="1:23" x14ac:dyDescent="0.3">
      <c r="A353" s="1" t="str">
        <f t="shared" si="49"/>
        <v>59809</v>
      </c>
      <c r="B353" s="1" t="s">
        <v>42</v>
      </c>
      <c r="C353" s="1" t="s">
        <v>43</v>
      </c>
      <c r="D353" s="1" t="str">
        <f t="shared" si="47"/>
        <v>9801</v>
      </c>
      <c r="E353" s="1" t="s">
        <v>25</v>
      </c>
      <c r="F353" s="1" t="str">
        <f>"922533413"</f>
        <v>922533413</v>
      </c>
      <c r="G353" s="1" t="s">
        <v>33</v>
      </c>
      <c r="H353" s="1" t="str">
        <f t="shared" si="50"/>
        <v>20220911</v>
      </c>
      <c r="I353" s="1" t="str">
        <f>"163531"</f>
        <v>163531</v>
      </c>
      <c r="J353" s="1" t="s">
        <v>27</v>
      </c>
      <c r="K353" s="1" t="s">
        <v>28</v>
      </c>
      <c r="L353" s="1" t="str">
        <f t="shared" si="51"/>
        <v>20220911</v>
      </c>
      <c r="M353" s="1" t="str">
        <f>"164754"</f>
        <v>164754</v>
      </c>
      <c r="N353" s="1" t="s">
        <v>61</v>
      </c>
      <c r="O353" s="1" t="s">
        <v>45</v>
      </c>
      <c r="P353" s="1" t="s">
        <v>55</v>
      </c>
      <c r="Q353" s="1">
        <v>25</v>
      </c>
      <c r="R353" s="1">
        <v>25</v>
      </c>
      <c r="S353" s="1">
        <v>0</v>
      </c>
      <c r="T353" s="1">
        <v>0</v>
      </c>
      <c r="U353" s="1">
        <v>0</v>
      </c>
      <c r="V353" s="1" t="str">
        <f t="shared" si="48"/>
        <v>里程去程</v>
      </c>
      <c r="W353" s="1" t="s">
        <v>35</v>
      </c>
    </row>
    <row r="354" spans="1:23" x14ac:dyDescent="0.3">
      <c r="A354" s="1" t="str">
        <f t="shared" si="49"/>
        <v>59809</v>
      </c>
      <c r="B354" s="1" t="s">
        <v>42</v>
      </c>
      <c r="C354" s="1" t="s">
        <v>43</v>
      </c>
      <c r="D354" s="1" t="str">
        <f t="shared" si="47"/>
        <v>9801</v>
      </c>
      <c r="E354" s="1" t="s">
        <v>25</v>
      </c>
      <c r="F354" s="1" t="str">
        <f>"1100848005"</f>
        <v>1100848005</v>
      </c>
      <c r="G354" s="1" t="s">
        <v>38</v>
      </c>
      <c r="H354" s="1" t="str">
        <f t="shared" si="50"/>
        <v>20220911</v>
      </c>
      <c r="I354" s="1" t="str">
        <f>"163536"</f>
        <v>163536</v>
      </c>
      <c r="J354" s="1" t="s">
        <v>27</v>
      </c>
      <c r="K354" s="1" t="s">
        <v>28</v>
      </c>
      <c r="L354" s="1" t="str">
        <f t="shared" si="51"/>
        <v>20220911</v>
      </c>
      <c r="M354" s="1" t="str">
        <f>"165910"</f>
        <v>165910</v>
      </c>
      <c r="N354" s="1" t="s">
        <v>44</v>
      </c>
      <c r="O354" s="1" t="s">
        <v>45</v>
      </c>
      <c r="P354" s="1" t="s">
        <v>55</v>
      </c>
      <c r="Q354" s="1">
        <v>25</v>
      </c>
      <c r="R354" s="1">
        <v>25</v>
      </c>
      <c r="S354" s="1">
        <v>0</v>
      </c>
      <c r="T354" s="1">
        <v>0</v>
      </c>
      <c r="U354" s="1">
        <v>0</v>
      </c>
      <c r="V354" s="1" t="str">
        <f t="shared" si="48"/>
        <v>里程去程</v>
      </c>
      <c r="W354" s="1" t="s">
        <v>35</v>
      </c>
    </row>
    <row r="355" spans="1:23" x14ac:dyDescent="0.3">
      <c r="A355" s="1" t="str">
        <f t="shared" si="49"/>
        <v>59809</v>
      </c>
      <c r="B355" s="1" t="s">
        <v>42</v>
      </c>
      <c r="C355" s="1" t="s">
        <v>43</v>
      </c>
      <c r="D355" s="1" t="str">
        <f t="shared" si="47"/>
        <v>9801</v>
      </c>
      <c r="E355" s="1" t="s">
        <v>25</v>
      </c>
      <c r="F355" s="1" t="str">
        <f>"1425603921"</f>
        <v>1425603921</v>
      </c>
      <c r="G355" s="1" t="s">
        <v>33</v>
      </c>
      <c r="H355" s="1" t="str">
        <f t="shared" si="50"/>
        <v>20220911</v>
      </c>
      <c r="I355" s="1" t="str">
        <f>"200016"</f>
        <v>200016</v>
      </c>
      <c r="J355" s="1" t="s">
        <v>52</v>
      </c>
      <c r="K355" s="1" t="s">
        <v>52</v>
      </c>
      <c r="L355" s="1" t="str">
        <f t="shared" si="51"/>
        <v>20220911</v>
      </c>
      <c r="M355" s="1" t="str">
        <f>"200629"</f>
        <v>200629</v>
      </c>
      <c r="N355" s="1" t="s">
        <v>51</v>
      </c>
      <c r="O355" s="1" t="s">
        <v>52</v>
      </c>
      <c r="P355" s="1" t="s">
        <v>55</v>
      </c>
      <c r="Q355" s="1">
        <v>25</v>
      </c>
      <c r="R355" s="1">
        <v>25</v>
      </c>
      <c r="S355" s="1">
        <v>0</v>
      </c>
      <c r="T355" s="1">
        <v>0</v>
      </c>
      <c r="U355" s="1">
        <v>0</v>
      </c>
      <c r="V355" s="1" t="str">
        <f t="shared" si="48"/>
        <v>里程去程</v>
      </c>
      <c r="W355" s="1" t="s">
        <v>35</v>
      </c>
    </row>
    <row r="356" spans="1:23" x14ac:dyDescent="0.3">
      <c r="A356" s="1" t="str">
        <f t="shared" si="49"/>
        <v>59809</v>
      </c>
      <c r="B356" s="1" t="s">
        <v>42</v>
      </c>
      <c r="C356" s="1" t="s">
        <v>43</v>
      </c>
      <c r="D356" s="1" t="str">
        <f t="shared" si="47"/>
        <v>9801</v>
      </c>
      <c r="E356" s="1" t="s">
        <v>25</v>
      </c>
      <c r="F356" s="1" t="str">
        <f>"92D08619DD880400C824002000000020"</f>
        <v>92D08619DD880400C824002000000020</v>
      </c>
      <c r="G356" s="1" t="s">
        <v>59</v>
      </c>
      <c r="H356" s="1" t="str">
        <f t="shared" si="50"/>
        <v>20220911</v>
      </c>
      <c r="I356" s="1" t="str">
        <f>"202935"</f>
        <v>202935</v>
      </c>
      <c r="J356" s="1" t="s">
        <v>27</v>
      </c>
      <c r="K356" s="1" t="s">
        <v>28</v>
      </c>
      <c r="L356" s="1" t="str">
        <f t="shared" si="51"/>
        <v>20220911</v>
      </c>
      <c r="M356" s="1" t="str">
        <f>"204752"</f>
        <v>204752</v>
      </c>
      <c r="N356" s="1" t="s">
        <v>56</v>
      </c>
      <c r="O356" s="1" t="s">
        <v>45</v>
      </c>
      <c r="P356" s="1" t="s">
        <v>55</v>
      </c>
      <c r="Q356" s="1">
        <v>25</v>
      </c>
      <c r="R356" s="1">
        <v>25</v>
      </c>
      <c r="S356" s="1">
        <v>0</v>
      </c>
      <c r="T356" s="1">
        <v>0</v>
      </c>
      <c r="U356" s="1">
        <v>0</v>
      </c>
      <c r="V356" s="1" t="str">
        <f t="shared" si="48"/>
        <v>里程去程</v>
      </c>
      <c r="W356" s="1" t="s">
        <v>29</v>
      </c>
    </row>
    <row r="357" spans="1:23" x14ac:dyDescent="0.3">
      <c r="A357" s="1" t="str">
        <f t="shared" ref="A357:A366" si="52">"59828"</f>
        <v>59828</v>
      </c>
      <c r="B357" s="1" t="s">
        <v>23</v>
      </c>
      <c r="C357" s="1" t="s">
        <v>24</v>
      </c>
      <c r="D357" s="1" t="str">
        <f t="shared" si="47"/>
        <v>9801</v>
      </c>
      <c r="E357" s="1" t="s">
        <v>25</v>
      </c>
      <c r="F357" s="1" t="str">
        <f>"267180529"</f>
        <v>267180529</v>
      </c>
      <c r="G357" s="1" t="s">
        <v>33</v>
      </c>
      <c r="H357" s="1" t="str">
        <f t="shared" si="50"/>
        <v>20220911</v>
      </c>
      <c r="I357" s="1" t="str">
        <f>"060059"</f>
        <v>060059</v>
      </c>
      <c r="J357" s="1" t="s">
        <v>52</v>
      </c>
      <c r="K357" s="1" t="s">
        <v>52</v>
      </c>
      <c r="L357" s="1" t="str">
        <f>""</f>
        <v/>
      </c>
      <c r="M357" s="1" t="str">
        <f>""</f>
        <v/>
      </c>
      <c r="P357" s="1" t="s">
        <v>88</v>
      </c>
      <c r="Q357" s="1">
        <v>25</v>
      </c>
      <c r="R357" s="1">
        <v>25</v>
      </c>
      <c r="S357" s="1">
        <v>0</v>
      </c>
      <c r="T357" s="1">
        <v>0</v>
      </c>
      <c r="U357" s="1">
        <v>0</v>
      </c>
      <c r="V357" s="1" t="str">
        <f t="shared" si="48"/>
        <v>里程去程</v>
      </c>
      <c r="W357" s="1" t="s">
        <v>35</v>
      </c>
    </row>
    <row r="358" spans="1:23" x14ac:dyDescent="0.3">
      <c r="A358" s="1" t="str">
        <f t="shared" si="52"/>
        <v>59828</v>
      </c>
      <c r="B358" s="1" t="s">
        <v>23</v>
      </c>
      <c r="C358" s="1" t="s">
        <v>24</v>
      </c>
      <c r="D358" s="1" t="str">
        <f t="shared" si="47"/>
        <v>9801</v>
      </c>
      <c r="E358" s="1" t="s">
        <v>25</v>
      </c>
      <c r="F358" s="1" t="str">
        <f>"3762696503"</f>
        <v>3762696503</v>
      </c>
      <c r="G358" s="1" t="s">
        <v>33</v>
      </c>
      <c r="H358" s="1" t="str">
        <f t="shared" si="50"/>
        <v>20220911</v>
      </c>
      <c r="I358" s="1" t="str">
        <f>"075558"</f>
        <v>075558</v>
      </c>
      <c r="J358" s="1" t="s">
        <v>52</v>
      </c>
      <c r="K358" s="1" t="s">
        <v>52</v>
      </c>
      <c r="L358" s="1" t="str">
        <f t="shared" ref="L358:L364" si="53">"20220911"</f>
        <v>20220911</v>
      </c>
      <c r="M358" s="1" t="str">
        <f>"082841"</f>
        <v>082841</v>
      </c>
      <c r="N358" s="1" t="s">
        <v>70</v>
      </c>
      <c r="O358" s="1" t="s">
        <v>28</v>
      </c>
      <c r="P358" s="1" t="s">
        <v>55</v>
      </c>
      <c r="Q358" s="1">
        <v>25</v>
      </c>
      <c r="R358" s="1">
        <v>25</v>
      </c>
      <c r="S358" s="1">
        <v>0</v>
      </c>
      <c r="T358" s="1">
        <v>0</v>
      </c>
      <c r="U358" s="1">
        <v>0</v>
      </c>
      <c r="V358" s="1" t="str">
        <f t="shared" si="48"/>
        <v>里程去程</v>
      </c>
      <c r="W358" s="1" t="s">
        <v>35</v>
      </c>
    </row>
    <row r="359" spans="1:23" x14ac:dyDescent="0.3">
      <c r="A359" s="1" t="str">
        <f t="shared" si="52"/>
        <v>59828</v>
      </c>
      <c r="B359" s="1" t="s">
        <v>23</v>
      </c>
      <c r="C359" s="1" t="s">
        <v>24</v>
      </c>
      <c r="D359" s="1" t="str">
        <f t="shared" si="47"/>
        <v>9801</v>
      </c>
      <c r="E359" s="1" t="s">
        <v>25</v>
      </c>
      <c r="F359" s="1" t="str">
        <f>"943727973"</f>
        <v>943727973</v>
      </c>
      <c r="G359" s="1" t="s">
        <v>26</v>
      </c>
      <c r="H359" s="1" t="str">
        <f t="shared" si="50"/>
        <v>20220911</v>
      </c>
      <c r="I359" s="1" t="str">
        <f>"075602"</f>
        <v>075602</v>
      </c>
      <c r="J359" s="1" t="s">
        <v>52</v>
      </c>
      <c r="K359" s="1" t="s">
        <v>52</v>
      </c>
      <c r="L359" s="1" t="str">
        <f t="shared" si="53"/>
        <v>20220911</v>
      </c>
      <c r="M359" s="1" t="str">
        <f>"082837"</f>
        <v>082837</v>
      </c>
      <c r="N359" s="1" t="s">
        <v>70</v>
      </c>
      <c r="O359" s="1" t="s">
        <v>28</v>
      </c>
      <c r="P359" s="1" t="s">
        <v>55</v>
      </c>
      <c r="Q359" s="1">
        <v>13</v>
      </c>
      <c r="R359" s="1">
        <v>13</v>
      </c>
      <c r="S359" s="1">
        <v>0</v>
      </c>
      <c r="T359" s="1">
        <v>0</v>
      </c>
      <c r="U359" s="1">
        <v>0</v>
      </c>
      <c r="V359" s="1" t="str">
        <f t="shared" si="48"/>
        <v>里程去程</v>
      </c>
      <c r="W359" s="1" t="s">
        <v>35</v>
      </c>
    </row>
    <row r="360" spans="1:23" x14ac:dyDescent="0.3">
      <c r="A360" s="1" t="str">
        <f t="shared" si="52"/>
        <v>59828</v>
      </c>
      <c r="B360" s="1" t="s">
        <v>23</v>
      </c>
      <c r="C360" s="1" t="s">
        <v>24</v>
      </c>
      <c r="D360" s="1" t="str">
        <f t="shared" si="47"/>
        <v>9801</v>
      </c>
      <c r="E360" s="1" t="s">
        <v>25</v>
      </c>
      <c r="F360" s="1" t="str">
        <f>"E213BD024E880400C834002000000015"</f>
        <v>E213BD024E880400C834002000000015</v>
      </c>
      <c r="G360" s="1" t="s">
        <v>74</v>
      </c>
      <c r="H360" s="1" t="str">
        <f t="shared" si="50"/>
        <v>20220911</v>
      </c>
      <c r="I360" s="1" t="str">
        <f>"092954"</f>
        <v>092954</v>
      </c>
      <c r="J360" s="1" t="s">
        <v>27</v>
      </c>
      <c r="K360" s="1" t="s">
        <v>28</v>
      </c>
      <c r="L360" s="1" t="str">
        <f t="shared" si="53"/>
        <v>20220911</v>
      </c>
      <c r="M360" s="1" t="str">
        <f>"095650"</f>
        <v>095650</v>
      </c>
      <c r="N360" s="1" t="s">
        <v>44</v>
      </c>
      <c r="O360" s="1" t="s">
        <v>45</v>
      </c>
      <c r="P360" s="1" t="s">
        <v>68</v>
      </c>
      <c r="Q360" s="1">
        <v>13</v>
      </c>
      <c r="R360" s="1">
        <v>0</v>
      </c>
      <c r="S360" s="1">
        <v>0</v>
      </c>
      <c r="T360" s="1">
        <v>13</v>
      </c>
      <c r="U360" s="1">
        <v>0</v>
      </c>
      <c r="V360" s="1" t="str">
        <f t="shared" si="48"/>
        <v>里程去程</v>
      </c>
      <c r="W360" s="1" t="s">
        <v>29</v>
      </c>
    </row>
    <row r="361" spans="1:23" x14ac:dyDescent="0.3">
      <c r="A361" s="1" t="str">
        <f t="shared" si="52"/>
        <v>59828</v>
      </c>
      <c r="B361" s="1" t="s">
        <v>23</v>
      </c>
      <c r="C361" s="1" t="s">
        <v>24</v>
      </c>
      <c r="D361" s="1" t="str">
        <f t="shared" si="47"/>
        <v>9801</v>
      </c>
      <c r="E361" s="1" t="s">
        <v>25</v>
      </c>
      <c r="F361" s="1" t="str">
        <f>"6280E61A1E880400C817002000000021"</f>
        <v>6280E61A1E880400C817002000000021</v>
      </c>
      <c r="G361" s="1" t="s">
        <v>58</v>
      </c>
      <c r="H361" s="1" t="str">
        <f t="shared" si="50"/>
        <v>20220911</v>
      </c>
      <c r="I361" s="1" t="str">
        <f>"092958"</f>
        <v>092958</v>
      </c>
      <c r="J361" s="1" t="s">
        <v>27</v>
      </c>
      <c r="K361" s="1" t="s">
        <v>28</v>
      </c>
      <c r="L361" s="1" t="str">
        <f t="shared" si="53"/>
        <v>20220911</v>
      </c>
      <c r="M361" s="1" t="str">
        <f>"095717"</f>
        <v>095717</v>
      </c>
      <c r="N361" s="1" t="s">
        <v>44</v>
      </c>
      <c r="O361" s="1" t="s">
        <v>45</v>
      </c>
      <c r="P361" s="1" t="s">
        <v>55</v>
      </c>
      <c r="Q361" s="1">
        <v>25</v>
      </c>
      <c r="R361" s="1">
        <v>0</v>
      </c>
      <c r="S361" s="1">
        <v>25</v>
      </c>
      <c r="T361" s="1">
        <v>0</v>
      </c>
      <c r="U361" s="1">
        <v>0</v>
      </c>
      <c r="V361" s="1" t="str">
        <f t="shared" si="48"/>
        <v>里程去程</v>
      </c>
      <c r="W361" s="1" t="s">
        <v>29</v>
      </c>
    </row>
    <row r="362" spans="1:23" x14ac:dyDescent="0.3">
      <c r="A362" s="1" t="str">
        <f t="shared" si="52"/>
        <v>59828</v>
      </c>
      <c r="B362" s="1" t="s">
        <v>23</v>
      </c>
      <c r="C362" s="1" t="s">
        <v>24</v>
      </c>
      <c r="D362" s="1" t="str">
        <f t="shared" si="47"/>
        <v>9801</v>
      </c>
      <c r="E362" s="1" t="s">
        <v>25</v>
      </c>
      <c r="F362" s="1" t="str">
        <f>"1296008913"</f>
        <v>1296008913</v>
      </c>
      <c r="G362" s="1" t="s">
        <v>33</v>
      </c>
      <c r="H362" s="1" t="str">
        <f t="shared" si="50"/>
        <v>20220911</v>
      </c>
      <c r="I362" s="1" t="str">
        <f>"093251"</f>
        <v>093251</v>
      </c>
      <c r="J362" s="1" t="s">
        <v>27</v>
      </c>
      <c r="K362" s="1" t="s">
        <v>28</v>
      </c>
      <c r="L362" s="1" t="str">
        <f t="shared" si="53"/>
        <v>20220911</v>
      </c>
      <c r="M362" s="1" t="str">
        <f>"094827"</f>
        <v>094827</v>
      </c>
      <c r="N362" s="1" t="s">
        <v>56</v>
      </c>
      <c r="O362" s="1" t="s">
        <v>45</v>
      </c>
      <c r="P362" s="1" t="s">
        <v>55</v>
      </c>
      <c r="Q362" s="1">
        <v>25</v>
      </c>
      <c r="R362" s="1">
        <v>25</v>
      </c>
      <c r="S362" s="1">
        <v>0</v>
      </c>
      <c r="T362" s="1">
        <v>0</v>
      </c>
      <c r="U362" s="1">
        <v>0</v>
      </c>
      <c r="V362" s="1" t="str">
        <f t="shared" si="48"/>
        <v>里程去程</v>
      </c>
      <c r="W362" s="1" t="s">
        <v>35</v>
      </c>
    </row>
    <row r="363" spans="1:23" x14ac:dyDescent="0.3">
      <c r="A363" s="1" t="str">
        <f t="shared" si="52"/>
        <v>59828</v>
      </c>
      <c r="B363" s="1" t="s">
        <v>23</v>
      </c>
      <c r="C363" s="1" t="s">
        <v>24</v>
      </c>
      <c r="D363" s="1" t="str">
        <f t="shared" si="47"/>
        <v>9801</v>
      </c>
      <c r="E363" s="1" t="s">
        <v>25</v>
      </c>
      <c r="F363" s="1" t="str">
        <f>"1920293009"</f>
        <v>1920293009</v>
      </c>
      <c r="G363" s="1" t="s">
        <v>33</v>
      </c>
      <c r="H363" s="1" t="str">
        <f t="shared" si="50"/>
        <v>20220911</v>
      </c>
      <c r="I363" s="1" t="str">
        <f>"093259"</f>
        <v>093259</v>
      </c>
      <c r="J363" s="1" t="s">
        <v>27</v>
      </c>
      <c r="K363" s="1" t="s">
        <v>28</v>
      </c>
      <c r="L363" s="1" t="str">
        <f t="shared" si="53"/>
        <v>20220911</v>
      </c>
      <c r="M363" s="1" t="str">
        <f>"094825"</f>
        <v>094825</v>
      </c>
      <c r="N363" s="1" t="s">
        <v>56</v>
      </c>
      <c r="O363" s="1" t="s">
        <v>45</v>
      </c>
      <c r="P363" s="1" t="s">
        <v>55</v>
      </c>
      <c r="Q363" s="1">
        <v>25</v>
      </c>
      <c r="R363" s="1">
        <v>25</v>
      </c>
      <c r="S363" s="1">
        <v>0</v>
      </c>
      <c r="T363" s="1">
        <v>0</v>
      </c>
      <c r="U363" s="1">
        <v>0</v>
      </c>
      <c r="V363" s="1" t="str">
        <f t="shared" si="48"/>
        <v>里程去程</v>
      </c>
      <c r="W363" s="1" t="s">
        <v>35</v>
      </c>
    </row>
    <row r="364" spans="1:23" x14ac:dyDescent="0.3">
      <c r="A364" s="1" t="str">
        <f t="shared" si="52"/>
        <v>59828</v>
      </c>
      <c r="B364" s="1" t="s">
        <v>23</v>
      </c>
      <c r="C364" s="1" t="s">
        <v>24</v>
      </c>
      <c r="D364" s="1" t="str">
        <f t="shared" si="47"/>
        <v>9801</v>
      </c>
      <c r="E364" s="1" t="s">
        <v>25</v>
      </c>
      <c r="F364" s="1" t="str">
        <f>"473697073"</f>
        <v>473697073</v>
      </c>
      <c r="G364" s="1" t="s">
        <v>33</v>
      </c>
      <c r="H364" s="1" t="str">
        <f t="shared" si="50"/>
        <v>20220911</v>
      </c>
      <c r="I364" s="1" t="str">
        <f>"093304"</f>
        <v>093304</v>
      </c>
      <c r="J364" s="1" t="s">
        <v>27</v>
      </c>
      <c r="K364" s="1" t="s">
        <v>28</v>
      </c>
      <c r="L364" s="1" t="str">
        <f t="shared" si="53"/>
        <v>20220911</v>
      </c>
      <c r="M364" s="1" t="str">
        <f>"094823"</f>
        <v>094823</v>
      </c>
      <c r="N364" s="1" t="s">
        <v>56</v>
      </c>
      <c r="O364" s="1" t="s">
        <v>45</v>
      </c>
      <c r="P364" s="1" t="s">
        <v>55</v>
      </c>
      <c r="Q364" s="1">
        <v>25</v>
      </c>
      <c r="R364" s="1">
        <v>25</v>
      </c>
      <c r="S364" s="1">
        <v>0</v>
      </c>
      <c r="T364" s="1">
        <v>0</v>
      </c>
      <c r="U364" s="1">
        <v>0</v>
      </c>
      <c r="V364" s="1" t="str">
        <f t="shared" si="48"/>
        <v>里程去程</v>
      </c>
      <c r="W364" s="1" t="s">
        <v>35</v>
      </c>
    </row>
    <row r="365" spans="1:23" x14ac:dyDescent="0.3">
      <c r="A365" s="1" t="str">
        <f t="shared" si="52"/>
        <v>59828</v>
      </c>
      <c r="B365" s="1" t="s">
        <v>23</v>
      </c>
      <c r="C365" s="1" t="s">
        <v>24</v>
      </c>
      <c r="D365" s="1" t="str">
        <f t="shared" si="47"/>
        <v>9801</v>
      </c>
      <c r="E365" s="1" t="s">
        <v>25</v>
      </c>
      <c r="F365" s="1" t="str">
        <f>"97056008"</f>
        <v>97056008</v>
      </c>
      <c r="G365" s="1" t="s">
        <v>33</v>
      </c>
      <c r="H365" s="1" t="str">
        <f t="shared" si="50"/>
        <v>20220911</v>
      </c>
      <c r="I365" s="1" t="str">
        <f>"093331"</f>
        <v>093331</v>
      </c>
      <c r="J365" s="1" t="s">
        <v>27</v>
      </c>
      <c r="K365" s="1" t="s">
        <v>28</v>
      </c>
      <c r="L365" s="1" t="str">
        <f>""</f>
        <v/>
      </c>
      <c r="M365" s="1" t="str">
        <f>""</f>
        <v/>
      </c>
      <c r="P365" s="1" t="s">
        <v>88</v>
      </c>
      <c r="Q365" s="1">
        <v>25</v>
      </c>
      <c r="R365" s="1">
        <v>25</v>
      </c>
      <c r="S365" s="1">
        <v>0</v>
      </c>
      <c r="T365" s="1">
        <v>0</v>
      </c>
      <c r="U365" s="1">
        <v>0</v>
      </c>
      <c r="V365" s="1" t="str">
        <f t="shared" si="48"/>
        <v>里程去程</v>
      </c>
      <c r="W365" s="1" t="s">
        <v>35</v>
      </c>
    </row>
    <row r="366" spans="1:23" x14ac:dyDescent="0.3">
      <c r="A366" s="1" t="str">
        <f t="shared" si="52"/>
        <v>59828</v>
      </c>
      <c r="B366" s="1" t="s">
        <v>23</v>
      </c>
      <c r="C366" s="1" t="s">
        <v>24</v>
      </c>
      <c r="D366" s="1" t="str">
        <f t="shared" si="47"/>
        <v>9801</v>
      </c>
      <c r="E366" s="1" t="s">
        <v>25</v>
      </c>
      <c r="F366" s="1" t="str">
        <f>"3500998152"</f>
        <v>3500998152</v>
      </c>
      <c r="G366" s="1" t="s">
        <v>33</v>
      </c>
      <c r="H366" s="1" t="s">
        <v>114</v>
      </c>
      <c r="I366" s="1" t="s">
        <v>115</v>
      </c>
      <c r="J366" s="1" t="s">
        <v>56</v>
      </c>
      <c r="K366" s="1" t="s">
        <v>45</v>
      </c>
      <c r="P366" s="1" t="s">
        <v>113</v>
      </c>
      <c r="Q366" s="1">
        <v>25</v>
      </c>
      <c r="R366" s="1">
        <v>0</v>
      </c>
      <c r="S366" s="1">
        <v>0</v>
      </c>
      <c r="T366" s="1">
        <v>0</v>
      </c>
      <c r="U366" s="1">
        <v>0</v>
      </c>
      <c r="V366" s="1" t="str">
        <f t="shared" si="48"/>
        <v>里程去程</v>
      </c>
      <c r="W366" s="1" t="s">
        <v>35</v>
      </c>
    </row>
    <row r="367" spans="1:23" x14ac:dyDescent="0.3">
      <c r="A367" s="1" t="str">
        <f t="shared" ref="A367:A390" si="54">"59809"</f>
        <v>59809</v>
      </c>
      <c r="B367" s="1" t="s">
        <v>42</v>
      </c>
      <c r="C367" s="1" t="s">
        <v>43</v>
      </c>
      <c r="D367" s="1" t="str">
        <f t="shared" si="47"/>
        <v>9801</v>
      </c>
      <c r="E367" s="1" t="s">
        <v>25</v>
      </c>
      <c r="F367" s="1" t="str">
        <f>"32A74602D1880400C821002000000015"</f>
        <v>32A74602D1880400C821002000000015</v>
      </c>
      <c r="G367" s="1" t="s">
        <v>26</v>
      </c>
      <c r="H367" s="1" t="str">
        <f t="shared" ref="H367:H399" si="55">"20220912"</f>
        <v>20220912</v>
      </c>
      <c r="I367" s="1" t="str">
        <f>"110610"</f>
        <v>110610</v>
      </c>
      <c r="J367" s="1" t="s">
        <v>60</v>
      </c>
      <c r="K367" s="1" t="s">
        <v>52</v>
      </c>
      <c r="L367" s="1" t="str">
        <f t="shared" ref="L367:L399" si="56">"20220912"</f>
        <v>20220912</v>
      </c>
      <c r="M367" s="1" t="str">
        <f>"113031"</f>
        <v>113031</v>
      </c>
      <c r="N367" s="1" t="s">
        <v>70</v>
      </c>
      <c r="O367" s="1" t="s">
        <v>28</v>
      </c>
      <c r="P367" s="1" t="s">
        <v>68</v>
      </c>
      <c r="Q367" s="1">
        <v>13</v>
      </c>
      <c r="R367" s="1">
        <v>0</v>
      </c>
      <c r="S367" s="1">
        <v>0</v>
      </c>
      <c r="T367" s="1">
        <v>13</v>
      </c>
      <c r="U367" s="1">
        <v>0</v>
      </c>
      <c r="V367" s="1" t="str">
        <f t="shared" si="48"/>
        <v>里程去程</v>
      </c>
      <c r="W367" s="1" t="s">
        <v>29</v>
      </c>
    </row>
    <row r="368" spans="1:23" x14ac:dyDescent="0.3">
      <c r="A368" s="1" t="str">
        <f t="shared" si="54"/>
        <v>59809</v>
      </c>
      <c r="B368" s="1" t="s">
        <v>42</v>
      </c>
      <c r="C368" s="1" t="s">
        <v>43</v>
      </c>
      <c r="D368" s="1" t="str">
        <f t="shared" si="47"/>
        <v>9801</v>
      </c>
      <c r="E368" s="1" t="s">
        <v>25</v>
      </c>
      <c r="F368" s="1" t="str">
        <f>"1207696517"</f>
        <v>1207696517</v>
      </c>
      <c r="G368" s="1" t="s">
        <v>26</v>
      </c>
      <c r="H368" s="1" t="str">
        <f t="shared" si="55"/>
        <v>20220912</v>
      </c>
      <c r="I368" s="1" t="str">
        <f>"113434"</f>
        <v>113434</v>
      </c>
      <c r="J368" s="1" t="s">
        <v>27</v>
      </c>
      <c r="K368" s="1" t="s">
        <v>28</v>
      </c>
      <c r="L368" s="1" t="str">
        <f t="shared" si="56"/>
        <v>20220912</v>
      </c>
      <c r="M368" s="1" t="str">
        <f>"113542"</f>
        <v>113542</v>
      </c>
      <c r="N368" s="1" t="s">
        <v>70</v>
      </c>
      <c r="O368" s="1" t="s">
        <v>28</v>
      </c>
      <c r="P368" s="1" t="s">
        <v>55</v>
      </c>
      <c r="Q368" s="1">
        <v>13</v>
      </c>
      <c r="R368" s="1">
        <v>13</v>
      </c>
      <c r="S368" s="1">
        <v>0</v>
      </c>
      <c r="T368" s="1">
        <v>0</v>
      </c>
      <c r="U368" s="1">
        <v>0</v>
      </c>
      <c r="V368" s="1" t="str">
        <f t="shared" si="48"/>
        <v>里程去程</v>
      </c>
      <c r="W368" s="1" t="s">
        <v>35</v>
      </c>
    </row>
    <row r="369" spans="1:23" x14ac:dyDescent="0.3">
      <c r="A369" s="1" t="str">
        <f t="shared" si="54"/>
        <v>59809</v>
      </c>
      <c r="B369" s="1" t="s">
        <v>42</v>
      </c>
      <c r="C369" s="1" t="s">
        <v>43</v>
      </c>
      <c r="D369" s="1" t="str">
        <f t="shared" si="47"/>
        <v>9801</v>
      </c>
      <c r="E369" s="1" t="s">
        <v>25</v>
      </c>
      <c r="F369" s="1" t="str">
        <f>"641876385"</f>
        <v>641876385</v>
      </c>
      <c r="G369" s="1" t="s">
        <v>33</v>
      </c>
      <c r="H369" s="1" t="str">
        <f t="shared" si="55"/>
        <v>20220912</v>
      </c>
      <c r="I369" s="1" t="str">
        <f>"113532"</f>
        <v>113532</v>
      </c>
      <c r="J369" s="1" t="s">
        <v>27</v>
      </c>
      <c r="K369" s="1" t="s">
        <v>28</v>
      </c>
      <c r="L369" s="1" t="str">
        <f t="shared" si="56"/>
        <v>20220912</v>
      </c>
      <c r="M369" s="1" t="str">
        <f>"115306"</f>
        <v>115306</v>
      </c>
      <c r="N369" s="1" t="s">
        <v>91</v>
      </c>
      <c r="O369" s="1" t="s">
        <v>45</v>
      </c>
      <c r="P369" s="1" t="s">
        <v>55</v>
      </c>
      <c r="Q369" s="1">
        <v>25</v>
      </c>
      <c r="R369" s="1">
        <v>25</v>
      </c>
      <c r="S369" s="1">
        <v>0</v>
      </c>
      <c r="T369" s="1">
        <v>0</v>
      </c>
      <c r="U369" s="1">
        <v>0</v>
      </c>
      <c r="V369" s="1" t="str">
        <f t="shared" si="48"/>
        <v>里程去程</v>
      </c>
      <c r="W369" s="1" t="s">
        <v>35</v>
      </c>
    </row>
    <row r="370" spans="1:23" x14ac:dyDescent="0.3">
      <c r="A370" s="1" t="str">
        <f t="shared" si="54"/>
        <v>59809</v>
      </c>
      <c r="B370" s="1" t="s">
        <v>42</v>
      </c>
      <c r="C370" s="1" t="s">
        <v>43</v>
      </c>
      <c r="D370" s="1" t="str">
        <f t="shared" si="47"/>
        <v>9801</v>
      </c>
      <c r="E370" s="1" t="s">
        <v>25</v>
      </c>
      <c r="F370" s="1" t="str">
        <f>"394054945"</f>
        <v>394054945</v>
      </c>
      <c r="G370" s="1" t="s">
        <v>33</v>
      </c>
      <c r="H370" s="1" t="str">
        <f t="shared" si="55"/>
        <v>20220912</v>
      </c>
      <c r="I370" s="1" t="str">
        <f>"113550"</f>
        <v>113550</v>
      </c>
      <c r="J370" s="1" t="s">
        <v>27</v>
      </c>
      <c r="K370" s="1" t="s">
        <v>28</v>
      </c>
      <c r="L370" s="1" t="str">
        <f t="shared" si="56"/>
        <v>20220912</v>
      </c>
      <c r="M370" s="1" t="str">
        <f>"114931"</f>
        <v>114931</v>
      </c>
      <c r="N370" s="1" t="s">
        <v>75</v>
      </c>
      <c r="O370" s="1" t="s">
        <v>45</v>
      </c>
      <c r="P370" s="1" t="s">
        <v>55</v>
      </c>
      <c r="Q370" s="1">
        <v>25</v>
      </c>
      <c r="R370" s="1">
        <v>25</v>
      </c>
      <c r="S370" s="1">
        <v>0</v>
      </c>
      <c r="T370" s="1">
        <v>0</v>
      </c>
      <c r="U370" s="1">
        <v>0</v>
      </c>
      <c r="V370" s="1" t="str">
        <f t="shared" si="48"/>
        <v>里程去程</v>
      </c>
      <c r="W370" s="1" t="s">
        <v>35</v>
      </c>
    </row>
    <row r="371" spans="1:23" x14ac:dyDescent="0.3">
      <c r="A371" s="1" t="str">
        <f t="shared" si="54"/>
        <v>59809</v>
      </c>
      <c r="B371" s="1" t="s">
        <v>42</v>
      </c>
      <c r="C371" s="1" t="s">
        <v>43</v>
      </c>
      <c r="D371" s="1" t="str">
        <f t="shared" si="47"/>
        <v>9801</v>
      </c>
      <c r="E371" s="1" t="s">
        <v>25</v>
      </c>
      <c r="F371" s="1" t="str">
        <f>"1227354792"</f>
        <v>1227354792</v>
      </c>
      <c r="G371" s="1" t="s">
        <v>33</v>
      </c>
      <c r="H371" s="1" t="str">
        <f t="shared" si="55"/>
        <v>20220912</v>
      </c>
      <c r="I371" s="1" t="str">
        <f>"113600"</f>
        <v>113600</v>
      </c>
      <c r="J371" s="1" t="s">
        <v>27</v>
      </c>
      <c r="K371" s="1" t="s">
        <v>28</v>
      </c>
      <c r="L371" s="1" t="str">
        <f t="shared" si="56"/>
        <v>20220912</v>
      </c>
      <c r="M371" s="1" t="str">
        <f>"115317"</f>
        <v>115317</v>
      </c>
      <c r="N371" s="1" t="s">
        <v>91</v>
      </c>
      <c r="O371" s="1" t="s">
        <v>45</v>
      </c>
      <c r="P371" s="1" t="s">
        <v>55</v>
      </c>
      <c r="Q371" s="1">
        <v>25</v>
      </c>
      <c r="R371" s="1">
        <v>25</v>
      </c>
      <c r="S371" s="1">
        <v>0</v>
      </c>
      <c r="T371" s="1">
        <v>0</v>
      </c>
      <c r="U371" s="1">
        <v>0</v>
      </c>
      <c r="V371" s="1" t="str">
        <f t="shared" si="48"/>
        <v>里程去程</v>
      </c>
      <c r="W371" s="1" t="s">
        <v>35</v>
      </c>
    </row>
    <row r="372" spans="1:23" x14ac:dyDescent="0.3">
      <c r="A372" s="1" t="str">
        <f t="shared" si="54"/>
        <v>59809</v>
      </c>
      <c r="B372" s="1" t="s">
        <v>42</v>
      </c>
      <c r="C372" s="1" t="s">
        <v>43</v>
      </c>
      <c r="D372" s="1" t="str">
        <f t="shared" si="47"/>
        <v>9801</v>
      </c>
      <c r="E372" s="1" t="s">
        <v>25</v>
      </c>
      <c r="F372" s="1" t="str">
        <f>"F141CA007A880400432494C60006080E"</f>
        <v>F141CA007A880400432494C60006080E</v>
      </c>
      <c r="G372" s="1" t="s">
        <v>26</v>
      </c>
      <c r="H372" s="1" t="str">
        <f t="shared" si="55"/>
        <v>20220912</v>
      </c>
      <c r="I372" s="1" t="str">
        <f>"121444"</f>
        <v>121444</v>
      </c>
      <c r="J372" s="1" t="s">
        <v>65</v>
      </c>
      <c r="K372" s="1" t="s">
        <v>52</v>
      </c>
      <c r="L372" s="1" t="str">
        <f t="shared" si="56"/>
        <v>20220912</v>
      </c>
      <c r="M372" s="1" t="str">
        <f>"123142"</f>
        <v>123142</v>
      </c>
      <c r="N372" s="1" t="s">
        <v>70</v>
      </c>
      <c r="O372" s="1" t="s">
        <v>28</v>
      </c>
      <c r="P372" s="1" t="s">
        <v>55</v>
      </c>
      <c r="Q372" s="1">
        <v>13</v>
      </c>
      <c r="R372" s="1">
        <v>0</v>
      </c>
      <c r="S372" s="1">
        <v>13</v>
      </c>
      <c r="T372" s="1">
        <v>0</v>
      </c>
      <c r="U372" s="1">
        <v>0</v>
      </c>
      <c r="V372" s="1" t="str">
        <f t="shared" si="48"/>
        <v>里程去程</v>
      </c>
      <c r="W372" s="1" t="s">
        <v>29</v>
      </c>
    </row>
    <row r="373" spans="1:23" x14ac:dyDescent="0.3">
      <c r="A373" s="1" t="str">
        <f t="shared" si="54"/>
        <v>59809</v>
      </c>
      <c r="B373" s="1" t="s">
        <v>42</v>
      </c>
      <c r="C373" s="1" t="s">
        <v>43</v>
      </c>
      <c r="D373" s="1" t="str">
        <f t="shared" si="47"/>
        <v>9801</v>
      </c>
      <c r="E373" s="1" t="s">
        <v>25</v>
      </c>
      <c r="F373" s="1" t="str">
        <f>"8227D00277880400C834002000000015"</f>
        <v>8227D00277880400C834002000000015</v>
      </c>
      <c r="G373" s="1" t="s">
        <v>26</v>
      </c>
      <c r="H373" s="1" t="str">
        <f t="shared" si="55"/>
        <v>20220912</v>
      </c>
      <c r="I373" s="1" t="str">
        <f>"122340"</f>
        <v>122340</v>
      </c>
      <c r="J373" s="1" t="s">
        <v>78</v>
      </c>
      <c r="K373" s="1" t="s">
        <v>52</v>
      </c>
      <c r="L373" s="1" t="str">
        <f t="shared" si="56"/>
        <v>20220912</v>
      </c>
      <c r="M373" s="1" t="str">
        <f>"123150"</f>
        <v>123150</v>
      </c>
      <c r="N373" s="1" t="s">
        <v>70</v>
      </c>
      <c r="O373" s="1" t="s">
        <v>28</v>
      </c>
      <c r="P373" s="1" t="s">
        <v>68</v>
      </c>
      <c r="Q373" s="1">
        <v>13</v>
      </c>
      <c r="R373" s="1">
        <v>0</v>
      </c>
      <c r="S373" s="1">
        <v>0</v>
      </c>
      <c r="T373" s="1">
        <v>13</v>
      </c>
      <c r="U373" s="1">
        <v>0</v>
      </c>
      <c r="V373" s="1" t="str">
        <f t="shared" si="48"/>
        <v>里程去程</v>
      </c>
      <c r="W373" s="1" t="s">
        <v>29</v>
      </c>
    </row>
    <row r="374" spans="1:23" x14ac:dyDescent="0.3">
      <c r="A374" s="1" t="str">
        <f t="shared" si="54"/>
        <v>59809</v>
      </c>
      <c r="B374" s="1" t="s">
        <v>42</v>
      </c>
      <c r="C374" s="1" t="s">
        <v>43</v>
      </c>
      <c r="D374" s="1" t="str">
        <f t="shared" si="47"/>
        <v>9801</v>
      </c>
      <c r="E374" s="1" t="s">
        <v>25</v>
      </c>
      <c r="F374" s="1" t="str">
        <f>"41FBDF4A2F280400F700000000000000"</f>
        <v>41FBDF4A2F280400F700000000000000</v>
      </c>
      <c r="G374" s="1" t="s">
        <v>58</v>
      </c>
      <c r="H374" s="1" t="str">
        <f t="shared" si="55"/>
        <v>20220912</v>
      </c>
      <c r="I374" s="1" t="str">
        <f>"123609"</f>
        <v>123609</v>
      </c>
      <c r="J374" s="1" t="s">
        <v>27</v>
      </c>
      <c r="K374" s="1" t="s">
        <v>28</v>
      </c>
      <c r="L374" s="1" t="str">
        <f t="shared" si="56"/>
        <v>20220912</v>
      </c>
      <c r="M374" s="1" t="str">
        <f>"125826"</f>
        <v>125826</v>
      </c>
      <c r="N374" s="1" t="s">
        <v>44</v>
      </c>
      <c r="O374" s="1" t="s">
        <v>45</v>
      </c>
      <c r="P374" s="1" t="s">
        <v>55</v>
      </c>
      <c r="Q374" s="1">
        <v>25</v>
      </c>
      <c r="R374" s="1">
        <v>25</v>
      </c>
      <c r="S374" s="1">
        <v>0</v>
      </c>
      <c r="T374" s="1">
        <v>0</v>
      </c>
      <c r="U374" s="1">
        <v>0</v>
      </c>
      <c r="V374" s="1" t="str">
        <f t="shared" si="48"/>
        <v>里程去程</v>
      </c>
      <c r="W374" s="1" t="s">
        <v>29</v>
      </c>
    </row>
    <row r="375" spans="1:23" x14ac:dyDescent="0.3">
      <c r="A375" s="1" t="str">
        <f t="shared" si="54"/>
        <v>59809</v>
      </c>
      <c r="B375" s="1" t="s">
        <v>42</v>
      </c>
      <c r="C375" s="1" t="s">
        <v>43</v>
      </c>
      <c r="D375" s="1" t="str">
        <f t="shared" si="47"/>
        <v>9801</v>
      </c>
      <c r="E375" s="1" t="s">
        <v>25</v>
      </c>
      <c r="F375" s="1" t="str">
        <f>"1585561153"</f>
        <v>1585561153</v>
      </c>
      <c r="G375" s="1" t="s">
        <v>33</v>
      </c>
      <c r="H375" s="1" t="str">
        <f t="shared" si="55"/>
        <v>20220912</v>
      </c>
      <c r="I375" s="1" t="str">
        <f>"123620"</f>
        <v>123620</v>
      </c>
      <c r="J375" s="1" t="s">
        <v>27</v>
      </c>
      <c r="K375" s="1" t="s">
        <v>28</v>
      </c>
      <c r="L375" s="1" t="str">
        <f t="shared" si="56"/>
        <v>20220912</v>
      </c>
      <c r="M375" s="1" t="str">
        <f>"125822"</f>
        <v>125822</v>
      </c>
      <c r="N375" s="1" t="s">
        <v>44</v>
      </c>
      <c r="O375" s="1" t="s">
        <v>45</v>
      </c>
      <c r="P375" s="1" t="s">
        <v>55</v>
      </c>
      <c r="Q375" s="1">
        <v>25</v>
      </c>
      <c r="R375" s="1">
        <v>25</v>
      </c>
      <c r="S375" s="1">
        <v>0</v>
      </c>
      <c r="T375" s="1">
        <v>0</v>
      </c>
      <c r="U375" s="1">
        <v>0</v>
      </c>
      <c r="V375" s="1" t="str">
        <f t="shared" si="48"/>
        <v>里程去程</v>
      </c>
      <c r="W375" s="1" t="s">
        <v>35</v>
      </c>
    </row>
    <row r="376" spans="1:23" x14ac:dyDescent="0.3">
      <c r="A376" s="1" t="str">
        <f t="shared" si="54"/>
        <v>59809</v>
      </c>
      <c r="B376" s="1" t="s">
        <v>42</v>
      </c>
      <c r="C376" s="1" t="s">
        <v>43</v>
      </c>
      <c r="D376" s="1" t="str">
        <f t="shared" si="47"/>
        <v>9801</v>
      </c>
      <c r="E376" s="1" t="s">
        <v>25</v>
      </c>
      <c r="F376" s="1" t="str">
        <f>"E218F51718880400C814002000000019"</f>
        <v>E218F51718880400C814002000000019</v>
      </c>
      <c r="G376" s="1" t="s">
        <v>59</v>
      </c>
      <c r="H376" s="1" t="str">
        <f t="shared" si="55"/>
        <v>20220912</v>
      </c>
      <c r="I376" s="1" t="str">
        <f>"133005"</f>
        <v>133005</v>
      </c>
      <c r="J376" s="1" t="s">
        <v>27</v>
      </c>
      <c r="K376" s="1" t="s">
        <v>28</v>
      </c>
      <c r="L376" s="1" t="str">
        <f t="shared" si="56"/>
        <v>20220912</v>
      </c>
      <c r="M376" s="1" t="str">
        <f>"135201"</f>
        <v>135201</v>
      </c>
      <c r="N376" s="1" t="s">
        <v>100</v>
      </c>
      <c r="O376" s="1" t="s">
        <v>45</v>
      </c>
      <c r="P376" s="1" t="s">
        <v>55</v>
      </c>
      <c r="Q376" s="1">
        <v>25</v>
      </c>
      <c r="R376" s="1">
        <v>25</v>
      </c>
      <c r="S376" s="1">
        <v>0</v>
      </c>
      <c r="T376" s="1">
        <v>0</v>
      </c>
      <c r="U376" s="1">
        <v>0</v>
      </c>
      <c r="V376" s="1" t="str">
        <f t="shared" si="48"/>
        <v>里程去程</v>
      </c>
      <c r="W376" s="1" t="s">
        <v>29</v>
      </c>
    </row>
    <row r="377" spans="1:23" x14ac:dyDescent="0.3">
      <c r="A377" s="1" t="str">
        <f t="shared" si="54"/>
        <v>59809</v>
      </c>
      <c r="B377" s="1" t="s">
        <v>42</v>
      </c>
      <c r="C377" s="1" t="s">
        <v>43</v>
      </c>
      <c r="D377" s="1" t="str">
        <f t="shared" si="47"/>
        <v>9801</v>
      </c>
      <c r="E377" s="1" t="s">
        <v>25</v>
      </c>
      <c r="F377" s="1" t="str">
        <f>"92DCF009B7880400C810002000000016"</f>
        <v>92DCF009B7880400C810002000000016</v>
      </c>
      <c r="G377" s="1" t="s">
        <v>59</v>
      </c>
      <c r="H377" s="1" t="str">
        <f t="shared" si="55"/>
        <v>20220912</v>
      </c>
      <c r="I377" s="1" t="str">
        <f>"133152"</f>
        <v>133152</v>
      </c>
      <c r="J377" s="1" t="s">
        <v>27</v>
      </c>
      <c r="K377" s="1" t="s">
        <v>28</v>
      </c>
      <c r="L377" s="1" t="str">
        <f t="shared" si="56"/>
        <v>20220912</v>
      </c>
      <c r="M377" s="1" t="str">
        <f>"135718"</f>
        <v>135718</v>
      </c>
      <c r="N377" s="1" t="s">
        <v>44</v>
      </c>
      <c r="O377" s="1" t="s">
        <v>45</v>
      </c>
      <c r="P377" s="1" t="s">
        <v>55</v>
      </c>
      <c r="Q377" s="1">
        <v>25</v>
      </c>
      <c r="R377" s="1">
        <v>25</v>
      </c>
      <c r="S377" s="1">
        <v>0</v>
      </c>
      <c r="T377" s="1">
        <v>0</v>
      </c>
      <c r="U377" s="1">
        <v>0</v>
      </c>
      <c r="V377" s="1" t="str">
        <f t="shared" si="48"/>
        <v>里程去程</v>
      </c>
      <c r="W377" s="1" t="s">
        <v>29</v>
      </c>
    </row>
    <row r="378" spans="1:23" x14ac:dyDescent="0.3">
      <c r="A378" s="1" t="str">
        <f t="shared" si="54"/>
        <v>59809</v>
      </c>
      <c r="B378" s="1" t="s">
        <v>42</v>
      </c>
      <c r="C378" s="1" t="s">
        <v>43</v>
      </c>
      <c r="D378" s="1" t="str">
        <f t="shared" si="47"/>
        <v>9801</v>
      </c>
      <c r="E378" s="1" t="s">
        <v>25</v>
      </c>
      <c r="F378" s="1" t="str">
        <f>"B21E0D08A9880400C847002000000015"</f>
        <v>B21E0D08A9880400C847002000000015</v>
      </c>
      <c r="G378" s="1" t="s">
        <v>59</v>
      </c>
      <c r="H378" s="1" t="str">
        <f t="shared" si="55"/>
        <v>20220912</v>
      </c>
      <c r="I378" s="1" t="str">
        <f>"133205"</f>
        <v>133205</v>
      </c>
      <c r="J378" s="1" t="s">
        <v>27</v>
      </c>
      <c r="K378" s="1" t="s">
        <v>28</v>
      </c>
      <c r="L378" s="1" t="str">
        <f t="shared" si="56"/>
        <v>20220912</v>
      </c>
      <c r="M378" s="1" t="str">
        <f>"135421"</f>
        <v>135421</v>
      </c>
      <c r="N378" s="1" t="s">
        <v>44</v>
      </c>
      <c r="O378" s="1" t="s">
        <v>45</v>
      </c>
      <c r="P378" s="1" t="s">
        <v>55</v>
      </c>
      <c r="Q378" s="1">
        <v>25</v>
      </c>
      <c r="R378" s="1">
        <v>25</v>
      </c>
      <c r="S378" s="1">
        <v>0</v>
      </c>
      <c r="T378" s="1">
        <v>0</v>
      </c>
      <c r="U378" s="1">
        <v>0</v>
      </c>
      <c r="V378" s="1" t="str">
        <f t="shared" si="48"/>
        <v>里程去程</v>
      </c>
      <c r="W378" s="1" t="s">
        <v>29</v>
      </c>
    </row>
    <row r="379" spans="1:23" x14ac:dyDescent="0.3">
      <c r="A379" s="1" t="str">
        <f t="shared" si="54"/>
        <v>59809</v>
      </c>
      <c r="B379" s="1" t="s">
        <v>42</v>
      </c>
      <c r="C379" s="1" t="s">
        <v>43</v>
      </c>
      <c r="D379" s="1" t="str">
        <f t="shared" si="47"/>
        <v>9801</v>
      </c>
      <c r="E379" s="1" t="s">
        <v>25</v>
      </c>
      <c r="F379" s="1" t="str">
        <f>"5219FE02B7880400C834002000000015"</f>
        <v>5219FE02B7880400C834002000000015</v>
      </c>
      <c r="G379" s="1" t="s">
        <v>26</v>
      </c>
      <c r="H379" s="1" t="str">
        <f t="shared" si="55"/>
        <v>20220912</v>
      </c>
      <c r="I379" s="1" t="str">
        <f>"135208"</f>
        <v>135208</v>
      </c>
      <c r="J379" s="1" t="s">
        <v>100</v>
      </c>
      <c r="K379" s="1" t="s">
        <v>45</v>
      </c>
      <c r="L379" s="1" t="str">
        <f t="shared" si="56"/>
        <v>20220912</v>
      </c>
      <c r="M379" s="1" t="str">
        <f>"135713"</f>
        <v>135713</v>
      </c>
      <c r="N379" s="1" t="s">
        <v>44</v>
      </c>
      <c r="O379" s="1" t="s">
        <v>45</v>
      </c>
      <c r="P379" s="1" t="s">
        <v>68</v>
      </c>
      <c r="Q379" s="1">
        <v>13</v>
      </c>
      <c r="R379" s="1">
        <v>0</v>
      </c>
      <c r="S379" s="1">
        <v>0</v>
      </c>
      <c r="T379" s="1">
        <v>13</v>
      </c>
      <c r="U379" s="1">
        <v>0</v>
      </c>
      <c r="V379" s="1" t="str">
        <f t="shared" si="48"/>
        <v>里程去程</v>
      </c>
      <c r="W379" s="1" t="s">
        <v>29</v>
      </c>
    </row>
    <row r="380" spans="1:23" x14ac:dyDescent="0.3">
      <c r="A380" s="1" t="str">
        <f t="shared" si="54"/>
        <v>59809</v>
      </c>
      <c r="B380" s="1" t="s">
        <v>42</v>
      </c>
      <c r="C380" s="1" t="s">
        <v>43</v>
      </c>
      <c r="D380" s="1" t="str">
        <f t="shared" si="47"/>
        <v>9801</v>
      </c>
      <c r="E380" s="1" t="s">
        <v>25</v>
      </c>
      <c r="F380" s="1" t="str">
        <f>"F27CE6026A880400C834002000000015"</f>
        <v>F27CE6026A880400C834002000000015</v>
      </c>
      <c r="G380" s="1" t="s">
        <v>74</v>
      </c>
      <c r="H380" s="1" t="str">
        <f t="shared" si="55"/>
        <v>20220912</v>
      </c>
      <c r="I380" s="1" t="str">
        <f>"145634"</f>
        <v>145634</v>
      </c>
      <c r="J380" s="1" t="s">
        <v>52</v>
      </c>
      <c r="K380" s="1" t="s">
        <v>52</v>
      </c>
      <c r="L380" s="1" t="str">
        <f t="shared" si="56"/>
        <v>20220912</v>
      </c>
      <c r="M380" s="1" t="str">
        <f>"150547"</f>
        <v>150547</v>
      </c>
      <c r="N380" s="1" t="s">
        <v>60</v>
      </c>
      <c r="O380" s="1" t="s">
        <v>52</v>
      </c>
      <c r="P380" s="1" t="s">
        <v>68</v>
      </c>
      <c r="Q380" s="1">
        <v>13</v>
      </c>
      <c r="R380" s="1">
        <v>0</v>
      </c>
      <c r="S380" s="1">
        <v>0</v>
      </c>
      <c r="T380" s="1">
        <v>13</v>
      </c>
      <c r="U380" s="1">
        <v>0</v>
      </c>
      <c r="V380" s="1" t="str">
        <f t="shared" si="48"/>
        <v>里程去程</v>
      </c>
      <c r="W380" s="1" t="s">
        <v>29</v>
      </c>
    </row>
    <row r="381" spans="1:23" x14ac:dyDescent="0.3">
      <c r="A381" s="1" t="str">
        <f t="shared" si="54"/>
        <v>59809</v>
      </c>
      <c r="B381" s="1" t="s">
        <v>42</v>
      </c>
      <c r="C381" s="1" t="s">
        <v>43</v>
      </c>
      <c r="D381" s="1" t="str">
        <f t="shared" si="47"/>
        <v>9801</v>
      </c>
      <c r="E381" s="1" t="s">
        <v>25</v>
      </c>
      <c r="F381" s="1" t="str">
        <f>"C2F219032A880400C834002000000015"</f>
        <v>C2F219032A880400C834002000000015</v>
      </c>
      <c r="G381" s="1" t="s">
        <v>26</v>
      </c>
      <c r="H381" s="1" t="str">
        <f t="shared" si="55"/>
        <v>20220912</v>
      </c>
      <c r="I381" s="1" t="str">
        <f>"150438"</f>
        <v>150438</v>
      </c>
      <c r="J381" s="1" t="s">
        <v>86</v>
      </c>
      <c r="K381" s="1" t="s">
        <v>52</v>
      </c>
      <c r="L381" s="1" t="str">
        <f t="shared" si="56"/>
        <v>20220912</v>
      </c>
      <c r="M381" s="1" t="str">
        <f>"150805"</f>
        <v>150805</v>
      </c>
      <c r="N381" s="1" t="s">
        <v>51</v>
      </c>
      <c r="O381" s="1" t="s">
        <v>52</v>
      </c>
      <c r="P381" s="1" t="s">
        <v>68</v>
      </c>
      <c r="Q381" s="1">
        <v>13</v>
      </c>
      <c r="R381" s="1">
        <v>0</v>
      </c>
      <c r="S381" s="1">
        <v>0</v>
      </c>
      <c r="T381" s="1">
        <v>13</v>
      </c>
      <c r="U381" s="1">
        <v>0</v>
      </c>
      <c r="V381" s="1" t="str">
        <f t="shared" si="48"/>
        <v>里程去程</v>
      </c>
      <c r="W381" s="1" t="s">
        <v>29</v>
      </c>
    </row>
    <row r="382" spans="1:23" x14ac:dyDescent="0.3">
      <c r="A382" s="1" t="str">
        <f t="shared" si="54"/>
        <v>59809</v>
      </c>
      <c r="B382" s="1" t="s">
        <v>42</v>
      </c>
      <c r="C382" s="1" t="s">
        <v>43</v>
      </c>
      <c r="D382" s="1" t="str">
        <f t="shared" si="47"/>
        <v>9801</v>
      </c>
      <c r="E382" s="1" t="s">
        <v>25</v>
      </c>
      <c r="F382" s="1" t="str">
        <f>"A22E861913880400C824002000000020"</f>
        <v>A22E861913880400C824002000000020</v>
      </c>
      <c r="G382" s="1" t="s">
        <v>59</v>
      </c>
      <c r="H382" s="1" t="str">
        <f t="shared" si="55"/>
        <v>20220912</v>
      </c>
      <c r="I382" s="1" t="str">
        <f>"152903"</f>
        <v>152903</v>
      </c>
      <c r="J382" s="1" t="s">
        <v>27</v>
      </c>
      <c r="K382" s="1" t="s">
        <v>28</v>
      </c>
      <c r="L382" s="1" t="str">
        <f t="shared" si="56"/>
        <v>20220912</v>
      </c>
      <c r="M382" s="1" t="str">
        <f>"154505"</f>
        <v>154505</v>
      </c>
      <c r="N382" s="1" t="s">
        <v>61</v>
      </c>
      <c r="O382" s="1" t="s">
        <v>45</v>
      </c>
      <c r="P382" s="1" t="s">
        <v>55</v>
      </c>
      <c r="Q382" s="1">
        <v>25</v>
      </c>
      <c r="R382" s="1">
        <v>25</v>
      </c>
      <c r="S382" s="1">
        <v>0</v>
      </c>
      <c r="T382" s="1">
        <v>0</v>
      </c>
      <c r="U382" s="1">
        <v>0</v>
      </c>
      <c r="V382" s="1" t="str">
        <f t="shared" si="48"/>
        <v>里程去程</v>
      </c>
      <c r="W382" s="1" t="s">
        <v>29</v>
      </c>
    </row>
    <row r="383" spans="1:23" x14ac:dyDescent="0.3">
      <c r="A383" s="1" t="str">
        <f t="shared" si="54"/>
        <v>59809</v>
      </c>
      <c r="B383" s="1" t="s">
        <v>42</v>
      </c>
      <c r="C383" s="1" t="s">
        <v>43</v>
      </c>
      <c r="D383" s="1" t="str">
        <f t="shared" si="47"/>
        <v>9801</v>
      </c>
      <c r="E383" s="1" t="s">
        <v>25</v>
      </c>
      <c r="F383" s="1" t="str">
        <f>"F2F7F100F4880400C801002000000015"</f>
        <v>F2F7F100F4880400C801002000000015</v>
      </c>
      <c r="G383" s="1" t="s">
        <v>58</v>
      </c>
      <c r="H383" s="1" t="str">
        <f t="shared" si="55"/>
        <v>20220912</v>
      </c>
      <c r="I383" s="1" t="str">
        <f>"155630"</f>
        <v>155630</v>
      </c>
      <c r="J383" s="1" t="s">
        <v>52</v>
      </c>
      <c r="K383" s="1" t="s">
        <v>52</v>
      </c>
      <c r="L383" s="1" t="str">
        <f t="shared" si="56"/>
        <v>20220912</v>
      </c>
      <c r="M383" s="1" t="str">
        <f>"163345"</f>
        <v>163345</v>
      </c>
      <c r="N383" s="1" t="s">
        <v>70</v>
      </c>
      <c r="O383" s="1" t="s">
        <v>28</v>
      </c>
      <c r="P383" s="1" t="s">
        <v>55</v>
      </c>
      <c r="Q383" s="1">
        <v>25</v>
      </c>
      <c r="R383" s="1">
        <v>0</v>
      </c>
      <c r="S383" s="1">
        <v>25</v>
      </c>
      <c r="T383" s="1">
        <v>0</v>
      </c>
      <c r="U383" s="1">
        <v>0</v>
      </c>
      <c r="V383" s="1" t="str">
        <f t="shared" si="48"/>
        <v>里程去程</v>
      </c>
      <c r="W383" s="1" t="s">
        <v>29</v>
      </c>
    </row>
    <row r="384" spans="1:23" x14ac:dyDescent="0.3">
      <c r="A384" s="1" t="str">
        <f t="shared" si="54"/>
        <v>59809</v>
      </c>
      <c r="B384" s="1" t="s">
        <v>42</v>
      </c>
      <c r="C384" s="1" t="s">
        <v>43</v>
      </c>
      <c r="D384" s="1" t="str">
        <f t="shared" si="47"/>
        <v>9801</v>
      </c>
      <c r="E384" s="1" t="s">
        <v>25</v>
      </c>
      <c r="F384" s="1" t="str">
        <f>"985824849"</f>
        <v>985824849</v>
      </c>
      <c r="G384" s="1" t="s">
        <v>33</v>
      </c>
      <c r="H384" s="1" t="str">
        <f t="shared" si="55"/>
        <v>20220912</v>
      </c>
      <c r="I384" s="1" t="str">
        <f>"155749"</f>
        <v>155749</v>
      </c>
      <c r="J384" s="1" t="s">
        <v>52</v>
      </c>
      <c r="K384" s="1" t="s">
        <v>52</v>
      </c>
      <c r="L384" s="1" t="str">
        <f t="shared" si="56"/>
        <v>20220912</v>
      </c>
      <c r="M384" s="1" t="str">
        <f>"163342"</f>
        <v>163342</v>
      </c>
      <c r="N384" s="1" t="s">
        <v>70</v>
      </c>
      <c r="O384" s="1" t="s">
        <v>28</v>
      </c>
      <c r="P384" s="1" t="s">
        <v>55</v>
      </c>
      <c r="Q384" s="1">
        <v>25</v>
      </c>
      <c r="R384" s="1">
        <v>0</v>
      </c>
      <c r="S384" s="1">
        <v>25</v>
      </c>
      <c r="T384" s="1">
        <v>0</v>
      </c>
      <c r="U384" s="1">
        <v>0</v>
      </c>
      <c r="V384" s="1" t="str">
        <f t="shared" si="48"/>
        <v>里程去程</v>
      </c>
      <c r="W384" s="1" t="s">
        <v>35</v>
      </c>
    </row>
    <row r="385" spans="1:23" x14ac:dyDescent="0.3">
      <c r="A385" s="1" t="str">
        <f t="shared" si="54"/>
        <v>59809</v>
      </c>
      <c r="B385" s="1" t="s">
        <v>42</v>
      </c>
      <c r="C385" s="1" t="s">
        <v>43</v>
      </c>
      <c r="D385" s="1" t="str">
        <f t="shared" si="47"/>
        <v>9801</v>
      </c>
      <c r="E385" s="1" t="s">
        <v>25</v>
      </c>
      <c r="F385" s="1" t="str">
        <f>"107026497"</f>
        <v>107026497</v>
      </c>
      <c r="G385" s="1" t="s">
        <v>74</v>
      </c>
      <c r="H385" s="1" t="str">
        <f t="shared" si="55"/>
        <v>20220912</v>
      </c>
      <c r="I385" s="1" t="str">
        <f>"155801"</f>
        <v>155801</v>
      </c>
      <c r="J385" s="1" t="s">
        <v>52</v>
      </c>
      <c r="K385" s="1" t="s">
        <v>52</v>
      </c>
      <c r="L385" s="1" t="str">
        <f t="shared" si="56"/>
        <v>20220912</v>
      </c>
      <c r="M385" s="1" t="str">
        <f>"163332"</f>
        <v>163332</v>
      </c>
      <c r="N385" s="1" t="s">
        <v>70</v>
      </c>
      <c r="O385" s="1" t="s">
        <v>28</v>
      </c>
      <c r="P385" s="1" t="s">
        <v>55</v>
      </c>
      <c r="Q385" s="1">
        <v>13</v>
      </c>
      <c r="R385" s="1">
        <v>0</v>
      </c>
      <c r="S385" s="1">
        <v>13</v>
      </c>
      <c r="T385" s="1">
        <v>0</v>
      </c>
      <c r="U385" s="1">
        <v>0</v>
      </c>
      <c r="V385" s="1" t="str">
        <f t="shared" si="48"/>
        <v>里程去程</v>
      </c>
      <c r="W385" s="1" t="s">
        <v>35</v>
      </c>
    </row>
    <row r="386" spans="1:23" x14ac:dyDescent="0.3">
      <c r="A386" s="1" t="str">
        <f t="shared" si="54"/>
        <v>59809</v>
      </c>
      <c r="B386" s="1" t="s">
        <v>42</v>
      </c>
      <c r="C386" s="1" t="s">
        <v>43</v>
      </c>
      <c r="D386" s="1" t="str">
        <f t="shared" ref="D386:D449" si="57">"9801"</f>
        <v>9801</v>
      </c>
      <c r="E386" s="1" t="s">
        <v>25</v>
      </c>
      <c r="F386" s="1" t="str">
        <f>"F215D20237880400C834002000000015"</f>
        <v>F215D20237880400C834002000000015</v>
      </c>
      <c r="G386" s="1" t="s">
        <v>26</v>
      </c>
      <c r="H386" s="1" t="str">
        <f t="shared" si="55"/>
        <v>20220912</v>
      </c>
      <c r="I386" s="1" t="str">
        <f>"160805"</f>
        <v>160805</v>
      </c>
      <c r="J386" s="1" t="s">
        <v>51</v>
      </c>
      <c r="K386" s="1" t="s">
        <v>52</v>
      </c>
      <c r="L386" s="1" t="str">
        <f t="shared" si="56"/>
        <v>20220912</v>
      </c>
      <c r="M386" s="1" t="str">
        <f>"163337"</f>
        <v>163337</v>
      </c>
      <c r="N386" s="1" t="s">
        <v>70</v>
      </c>
      <c r="O386" s="1" t="s">
        <v>28</v>
      </c>
      <c r="P386" s="1" t="s">
        <v>68</v>
      </c>
      <c r="Q386" s="1">
        <v>13</v>
      </c>
      <c r="R386" s="1">
        <v>0</v>
      </c>
      <c r="S386" s="1">
        <v>0</v>
      </c>
      <c r="T386" s="1">
        <v>13</v>
      </c>
      <c r="U386" s="1">
        <v>0</v>
      </c>
      <c r="V386" s="1" t="str">
        <f t="shared" ref="V386:V449" si="58">"里程去程"</f>
        <v>里程去程</v>
      </c>
      <c r="W386" s="1" t="s">
        <v>29</v>
      </c>
    </row>
    <row r="387" spans="1:23" x14ac:dyDescent="0.3">
      <c r="A387" s="1" t="str">
        <f t="shared" si="54"/>
        <v>59809</v>
      </c>
      <c r="B387" s="1" t="s">
        <v>42</v>
      </c>
      <c r="C387" s="1" t="s">
        <v>111</v>
      </c>
      <c r="D387" s="1" t="str">
        <f t="shared" si="57"/>
        <v>9801</v>
      </c>
      <c r="E387" s="1" t="s">
        <v>25</v>
      </c>
      <c r="F387" s="1" t="str">
        <f>"9517171004223866"</f>
        <v>9517171004223866</v>
      </c>
      <c r="G387" s="1" t="s">
        <v>33</v>
      </c>
      <c r="H387" s="1" t="str">
        <f t="shared" si="55"/>
        <v>20220912</v>
      </c>
      <c r="I387" s="1" t="str">
        <f>"162547"</f>
        <v>162547</v>
      </c>
      <c r="J387" s="1" t="s">
        <v>67</v>
      </c>
      <c r="K387" s="1" t="s">
        <v>52</v>
      </c>
      <c r="L387" s="1" t="str">
        <f t="shared" si="56"/>
        <v>20220912</v>
      </c>
      <c r="M387" s="1" t="str">
        <f>"163348"</f>
        <v>163348</v>
      </c>
      <c r="N387" s="1" t="s">
        <v>70</v>
      </c>
      <c r="O387" s="1" t="s">
        <v>28</v>
      </c>
      <c r="P387" s="1" t="s">
        <v>55</v>
      </c>
      <c r="Q387" s="1">
        <v>25</v>
      </c>
      <c r="R387" s="1">
        <v>25</v>
      </c>
      <c r="S387" s="1">
        <v>0</v>
      </c>
      <c r="T387" s="1">
        <v>0</v>
      </c>
      <c r="U387" s="1">
        <v>0</v>
      </c>
      <c r="V387" s="1" t="str">
        <f t="shared" si="58"/>
        <v>里程去程</v>
      </c>
      <c r="W387" s="1" t="s">
        <v>109</v>
      </c>
    </row>
    <row r="388" spans="1:23" x14ac:dyDescent="0.3">
      <c r="A388" s="1" t="str">
        <f t="shared" si="54"/>
        <v>59809</v>
      </c>
      <c r="B388" s="1" t="s">
        <v>42</v>
      </c>
      <c r="C388" s="1" t="s">
        <v>43</v>
      </c>
      <c r="D388" s="1" t="str">
        <f t="shared" si="57"/>
        <v>9801</v>
      </c>
      <c r="E388" s="1" t="s">
        <v>25</v>
      </c>
      <c r="F388" s="1" t="str">
        <f>"3022637810"</f>
        <v>3022637810</v>
      </c>
      <c r="G388" s="1" t="s">
        <v>33</v>
      </c>
      <c r="H388" s="1" t="str">
        <f t="shared" si="55"/>
        <v>20220912</v>
      </c>
      <c r="I388" s="1" t="str">
        <f>"163355"</f>
        <v>163355</v>
      </c>
      <c r="J388" s="1" t="s">
        <v>27</v>
      </c>
      <c r="K388" s="1" t="s">
        <v>28</v>
      </c>
      <c r="L388" s="1" t="str">
        <f t="shared" si="56"/>
        <v>20220912</v>
      </c>
      <c r="M388" s="1" t="str">
        <f>"164558"</f>
        <v>164558</v>
      </c>
      <c r="N388" s="1" t="s">
        <v>56</v>
      </c>
      <c r="O388" s="1" t="s">
        <v>45</v>
      </c>
      <c r="P388" s="1" t="s">
        <v>55</v>
      </c>
      <c r="Q388" s="1">
        <v>25</v>
      </c>
      <c r="R388" s="1">
        <v>25</v>
      </c>
      <c r="S388" s="1">
        <v>0</v>
      </c>
      <c r="T388" s="1">
        <v>0</v>
      </c>
      <c r="U388" s="1">
        <v>0</v>
      </c>
      <c r="V388" s="1" t="str">
        <f t="shared" si="58"/>
        <v>里程去程</v>
      </c>
      <c r="W388" s="1" t="s">
        <v>35</v>
      </c>
    </row>
    <row r="389" spans="1:23" x14ac:dyDescent="0.3">
      <c r="A389" s="1" t="str">
        <f t="shared" si="54"/>
        <v>59809</v>
      </c>
      <c r="B389" s="1" t="s">
        <v>42</v>
      </c>
      <c r="C389" s="1" t="s">
        <v>43</v>
      </c>
      <c r="D389" s="1" t="str">
        <f t="shared" si="57"/>
        <v>9801</v>
      </c>
      <c r="E389" s="1" t="s">
        <v>25</v>
      </c>
      <c r="F389" s="1" t="str">
        <f>"2870046515"</f>
        <v>2870046515</v>
      </c>
      <c r="G389" s="1" t="s">
        <v>33</v>
      </c>
      <c r="H389" s="1" t="str">
        <f t="shared" si="55"/>
        <v>20220912</v>
      </c>
      <c r="I389" s="1" t="str">
        <f>"163358"</f>
        <v>163358</v>
      </c>
      <c r="J389" s="1" t="s">
        <v>27</v>
      </c>
      <c r="K389" s="1" t="s">
        <v>28</v>
      </c>
      <c r="L389" s="1" t="str">
        <f t="shared" si="56"/>
        <v>20220912</v>
      </c>
      <c r="M389" s="1" t="str">
        <f>"165417"</f>
        <v>165417</v>
      </c>
      <c r="N389" s="1" t="s">
        <v>44</v>
      </c>
      <c r="O389" s="1" t="s">
        <v>45</v>
      </c>
      <c r="P389" s="1" t="s">
        <v>55</v>
      </c>
      <c r="Q389" s="1">
        <v>25</v>
      </c>
      <c r="R389" s="1">
        <v>25</v>
      </c>
      <c r="S389" s="1">
        <v>0</v>
      </c>
      <c r="T389" s="1">
        <v>0</v>
      </c>
      <c r="U389" s="1">
        <v>0</v>
      </c>
      <c r="V389" s="1" t="str">
        <f t="shared" si="58"/>
        <v>里程去程</v>
      </c>
      <c r="W389" s="1" t="s">
        <v>35</v>
      </c>
    </row>
    <row r="390" spans="1:23" x14ac:dyDescent="0.3">
      <c r="A390" s="1" t="str">
        <f t="shared" si="54"/>
        <v>59809</v>
      </c>
      <c r="B390" s="1" t="s">
        <v>42</v>
      </c>
      <c r="C390" s="1" t="s">
        <v>43</v>
      </c>
      <c r="D390" s="1" t="str">
        <f t="shared" si="57"/>
        <v>9801</v>
      </c>
      <c r="E390" s="1" t="s">
        <v>25</v>
      </c>
      <c r="F390" s="1" t="str">
        <f>"81291869D92804001C00000000000000"</f>
        <v>81291869D92804001C00000000000000</v>
      </c>
      <c r="G390" s="1" t="s">
        <v>58</v>
      </c>
      <c r="H390" s="1" t="str">
        <f t="shared" si="55"/>
        <v>20220912</v>
      </c>
      <c r="I390" s="1" t="str">
        <f>"203105"</f>
        <v>203105</v>
      </c>
      <c r="J390" s="1" t="s">
        <v>27</v>
      </c>
      <c r="K390" s="1" t="s">
        <v>28</v>
      </c>
      <c r="L390" s="1" t="str">
        <f t="shared" si="56"/>
        <v>20220912</v>
      </c>
      <c r="M390" s="1" t="str">
        <f>"204633"</f>
        <v>204633</v>
      </c>
      <c r="N390" s="1" t="s">
        <v>61</v>
      </c>
      <c r="O390" s="1" t="s">
        <v>45</v>
      </c>
      <c r="P390" s="1" t="s">
        <v>55</v>
      </c>
      <c r="Q390" s="1">
        <v>25</v>
      </c>
      <c r="R390" s="1">
        <v>0</v>
      </c>
      <c r="S390" s="1">
        <v>25</v>
      </c>
      <c r="T390" s="1">
        <v>0</v>
      </c>
      <c r="U390" s="1">
        <v>0</v>
      </c>
      <c r="V390" s="1" t="str">
        <f t="shared" si="58"/>
        <v>里程去程</v>
      </c>
      <c r="W390" s="1" t="s">
        <v>29</v>
      </c>
    </row>
    <row r="391" spans="1:23" x14ac:dyDescent="0.3">
      <c r="A391" s="1" t="str">
        <f t="shared" ref="A391:A399" si="59">"59828"</f>
        <v>59828</v>
      </c>
      <c r="B391" s="1" t="s">
        <v>23</v>
      </c>
      <c r="C391" s="1" t="s">
        <v>24</v>
      </c>
      <c r="D391" s="1" t="str">
        <f t="shared" si="57"/>
        <v>9801</v>
      </c>
      <c r="E391" s="1" t="s">
        <v>25</v>
      </c>
      <c r="F391" s="1" t="str">
        <f>"7227E702B0880400C834002000000015"</f>
        <v>7227E702B0880400C834002000000015</v>
      </c>
      <c r="G391" s="1" t="s">
        <v>74</v>
      </c>
      <c r="H391" s="1" t="str">
        <f t="shared" si="55"/>
        <v>20220912</v>
      </c>
      <c r="I391" s="1" t="str">
        <f>"075805"</f>
        <v>075805</v>
      </c>
      <c r="J391" s="1" t="s">
        <v>52</v>
      </c>
      <c r="K391" s="1" t="s">
        <v>52</v>
      </c>
      <c r="L391" s="1" t="str">
        <f t="shared" si="56"/>
        <v>20220912</v>
      </c>
      <c r="M391" s="1" t="str">
        <f>"081800"</f>
        <v>081800</v>
      </c>
      <c r="N391" s="1" t="s">
        <v>80</v>
      </c>
      <c r="O391" s="1" t="s">
        <v>52</v>
      </c>
      <c r="P391" s="1" t="s">
        <v>68</v>
      </c>
      <c r="Q391" s="1">
        <v>13</v>
      </c>
      <c r="R391" s="1">
        <v>0</v>
      </c>
      <c r="S391" s="1">
        <v>0</v>
      </c>
      <c r="T391" s="1">
        <v>13</v>
      </c>
      <c r="U391" s="1">
        <v>0</v>
      </c>
      <c r="V391" s="1" t="str">
        <f t="shared" si="58"/>
        <v>里程去程</v>
      </c>
      <c r="W391" s="1" t="s">
        <v>29</v>
      </c>
    </row>
    <row r="392" spans="1:23" x14ac:dyDescent="0.3">
      <c r="A392" s="1" t="str">
        <f t="shared" si="59"/>
        <v>59828</v>
      </c>
      <c r="B392" s="1" t="s">
        <v>23</v>
      </c>
      <c r="C392" s="1" t="s">
        <v>24</v>
      </c>
      <c r="D392" s="1" t="str">
        <f t="shared" si="57"/>
        <v>9801</v>
      </c>
      <c r="E392" s="1" t="s">
        <v>25</v>
      </c>
      <c r="F392" s="1" t="str">
        <f>"52E61A03AD880400C834002000000015"</f>
        <v>52E61A03AD880400C834002000000015</v>
      </c>
      <c r="G392" s="1" t="s">
        <v>74</v>
      </c>
      <c r="H392" s="1" t="str">
        <f t="shared" si="55"/>
        <v>20220912</v>
      </c>
      <c r="I392" s="1" t="str">
        <f>"075807"</f>
        <v>075807</v>
      </c>
      <c r="J392" s="1" t="s">
        <v>52</v>
      </c>
      <c r="K392" s="1" t="s">
        <v>52</v>
      </c>
      <c r="L392" s="1" t="str">
        <f t="shared" si="56"/>
        <v>20220912</v>
      </c>
      <c r="M392" s="1" t="str">
        <f>"081803"</f>
        <v>081803</v>
      </c>
      <c r="N392" s="1" t="s">
        <v>80</v>
      </c>
      <c r="O392" s="1" t="s">
        <v>52</v>
      </c>
      <c r="P392" s="1" t="s">
        <v>68</v>
      </c>
      <c r="Q392" s="1">
        <v>13</v>
      </c>
      <c r="R392" s="1">
        <v>0</v>
      </c>
      <c r="S392" s="1">
        <v>0</v>
      </c>
      <c r="T392" s="1">
        <v>13</v>
      </c>
      <c r="U392" s="1">
        <v>0</v>
      </c>
      <c r="V392" s="1" t="str">
        <f t="shared" si="58"/>
        <v>里程去程</v>
      </c>
      <c r="W392" s="1" t="s">
        <v>29</v>
      </c>
    </row>
    <row r="393" spans="1:23" x14ac:dyDescent="0.3">
      <c r="A393" s="1" t="str">
        <f t="shared" si="59"/>
        <v>59828</v>
      </c>
      <c r="B393" s="1" t="s">
        <v>23</v>
      </c>
      <c r="C393" s="1" t="s">
        <v>24</v>
      </c>
      <c r="D393" s="1" t="str">
        <f t="shared" si="57"/>
        <v>9801</v>
      </c>
      <c r="E393" s="1" t="s">
        <v>25</v>
      </c>
      <c r="F393" s="1" t="str">
        <f>"999472933"</f>
        <v>999472933</v>
      </c>
      <c r="G393" s="1" t="s">
        <v>33</v>
      </c>
      <c r="H393" s="1" t="str">
        <f t="shared" si="55"/>
        <v>20220912</v>
      </c>
      <c r="I393" s="1" t="str">
        <f>"083452"</f>
        <v>083452</v>
      </c>
      <c r="J393" s="1" t="s">
        <v>27</v>
      </c>
      <c r="K393" s="1" t="s">
        <v>28</v>
      </c>
      <c r="L393" s="1" t="str">
        <f t="shared" si="56"/>
        <v>20220912</v>
      </c>
      <c r="M393" s="1" t="str">
        <f>"084656"</f>
        <v>084656</v>
      </c>
      <c r="N393" s="1" t="s">
        <v>56</v>
      </c>
      <c r="O393" s="1" t="s">
        <v>45</v>
      </c>
      <c r="P393" s="1" t="s">
        <v>55</v>
      </c>
      <c r="Q393" s="1">
        <v>25</v>
      </c>
      <c r="R393" s="1">
        <v>25</v>
      </c>
      <c r="S393" s="1">
        <v>0</v>
      </c>
      <c r="T393" s="1">
        <v>0</v>
      </c>
      <c r="U393" s="1">
        <v>0</v>
      </c>
      <c r="V393" s="1" t="str">
        <f t="shared" si="58"/>
        <v>里程去程</v>
      </c>
      <c r="W393" s="1" t="s">
        <v>35</v>
      </c>
    </row>
    <row r="394" spans="1:23" x14ac:dyDescent="0.3">
      <c r="A394" s="1" t="str">
        <f t="shared" si="59"/>
        <v>59828</v>
      </c>
      <c r="B394" s="1" t="s">
        <v>23</v>
      </c>
      <c r="C394" s="1" t="s">
        <v>24</v>
      </c>
      <c r="D394" s="1" t="str">
        <f t="shared" si="57"/>
        <v>9801</v>
      </c>
      <c r="E394" s="1" t="s">
        <v>25</v>
      </c>
      <c r="F394" s="1" t="str">
        <f>"E2FD4F134328040080CED99861013018"</f>
        <v>E2FD4F134328040080CED99861013018</v>
      </c>
      <c r="G394" s="1" t="s">
        <v>58</v>
      </c>
      <c r="H394" s="1" t="str">
        <f t="shared" si="55"/>
        <v>20220912</v>
      </c>
      <c r="I394" s="1" t="str">
        <f>"083455"</f>
        <v>083455</v>
      </c>
      <c r="J394" s="1" t="s">
        <v>27</v>
      </c>
      <c r="K394" s="1" t="s">
        <v>28</v>
      </c>
      <c r="L394" s="1" t="str">
        <f t="shared" si="56"/>
        <v>20220912</v>
      </c>
      <c r="M394" s="1" t="str">
        <f>"085211"</f>
        <v>085211</v>
      </c>
      <c r="N394" s="1" t="s">
        <v>91</v>
      </c>
      <c r="O394" s="1" t="s">
        <v>45</v>
      </c>
      <c r="P394" s="1" t="s">
        <v>55</v>
      </c>
      <c r="Q394" s="1">
        <v>25</v>
      </c>
      <c r="R394" s="1">
        <v>25</v>
      </c>
      <c r="S394" s="1">
        <v>0</v>
      </c>
      <c r="T394" s="1">
        <v>0</v>
      </c>
      <c r="U394" s="1">
        <v>0</v>
      </c>
      <c r="V394" s="1" t="str">
        <f t="shared" si="58"/>
        <v>里程去程</v>
      </c>
      <c r="W394" s="1" t="s">
        <v>29</v>
      </c>
    </row>
    <row r="395" spans="1:23" x14ac:dyDescent="0.3">
      <c r="A395" s="1" t="str">
        <f t="shared" si="59"/>
        <v>59828</v>
      </c>
      <c r="B395" s="1" t="s">
        <v>23</v>
      </c>
      <c r="C395" s="1" t="s">
        <v>24</v>
      </c>
      <c r="D395" s="1" t="str">
        <f t="shared" si="57"/>
        <v>9801</v>
      </c>
      <c r="E395" s="1" t="s">
        <v>25</v>
      </c>
      <c r="F395" s="1" t="str">
        <f>"1740615365"</f>
        <v>1740615365</v>
      </c>
      <c r="G395" s="1" t="s">
        <v>33</v>
      </c>
      <c r="H395" s="1" t="str">
        <f t="shared" si="55"/>
        <v>20220912</v>
      </c>
      <c r="I395" s="1" t="str">
        <f>"083503"</f>
        <v>083503</v>
      </c>
      <c r="J395" s="1" t="s">
        <v>27</v>
      </c>
      <c r="K395" s="1" t="s">
        <v>28</v>
      </c>
      <c r="L395" s="1" t="str">
        <f t="shared" si="56"/>
        <v>20220912</v>
      </c>
      <c r="M395" s="1" t="str">
        <f>"084702"</f>
        <v>084702</v>
      </c>
      <c r="N395" s="1" t="s">
        <v>56</v>
      </c>
      <c r="O395" s="1" t="s">
        <v>45</v>
      </c>
      <c r="P395" s="1" t="s">
        <v>55</v>
      </c>
      <c r="Q395" s="1">
        <v>25</v>
      </c>
      <c r="R395" s="1">
        <v>0</v>
      </c>
      <c r="S395" s="1">
        <v>25</v>
      </c>
      <c r="T395" s="1">
        <v>0</v>
      </c>
      <c r="U395" s="1">
        <v>0</v>
      </c>
      <c r="V395" s="1" t="str">
        <f t="shared" si="58"/>
        <v>里程去程</v>
      </c>
      <c r="W395" s="1" t="s">
        <v>35</v>
      </c>
    </row>
    <row r="396" spans="1:23" x14ac:dyDescent="0.3">
      <c r="A396" s="1" t="str">
        <f t="shared" si="59"/>
        <v>59828</v>
      </c>
      <c r="B396" s="1" t="s">
        <v>23</v>
      </c>
      <c r="C396" s="1" t="s">
        <v>24</v>
      </c>
      <c r="D396" s="1" t="str">
        <f t="shared" si="57"/>
        <v>9801</v>
      </c>
      <c r="E396" s="1" t="s">
        <v>25</v>
      </c>
      <c r="F396" s="1" t="str">
        <f>"269636433"</f>
        <v>269636433</v>
      </c>
      <c r="G396" s="1" t="s">
        <v>33</v>
      </c>
      <c r="H396" s="1" t="str">
        <f t="shared" si="55"/>
        <v>20220912</v>
      </c>
      <c r="I396" s="1" t="str">
        <f>"084707"</f>
        <v>084707</v>
      </c>
      <c r="J396" s="1" t="s">
        <v>56</v>
      </c>
      <c r="K396" s="1" t="s">
        <v>45</v>
      </c>
      <c r="L396" s="1" t="str">
        <f t="shared" si="56"/>
        <v>20220912</v>
      </c>
      <c r="M396" s="1" t="str">
        <f>"085719"</f>
        <v>085719</v>
      </c>
      <c r="N396" s="1" t="s">
        <v>44</v>
      </c>
      <c r="O396" s="1" t="s">
        <v>45</v>
      </c>
      <c r="P396" s="1" t="s">
        <v>55</v>
      </c>
      <c r="Q396" s="1">
        <v>25</v>
      </c>
      <c r="R396" s="1">
        <v>25</v>
      </c>
      <c r="S396" s="1">
        <v>0</v>
      </c>
      <c r="T396" s="1">
        <v>0</v>
      </c>
      <c r="U396" s="1">
        <v>0</v>
      </c>
      <c r="V396" s="1" t="str">
        <f t="shared" si="58"/>
        <v>里程去程</v>
      </c>
      <c r="W396" s="1" t="s">
        <v>35</v>
      </c>
    </row>
    <row r="397" spans="1:23" x14ac:dyDescent="0.3">
      <c r="A397" s="1" t="str">
        <f t="shared" si="59"/>
        <v>59828</v>
      </c>
      <c r="B397" s="1" t="s">
        <v>23</v>
      </c>
      <c r="C397" s="1" t="s">
        <v>24</v>
      </c>
      <c r="D397" s="1" t="str">
        <f t="shared" si="57"/>
        <v>9801</v>
      </c>
      <c r="E397" s="1" t="s">
        <v>25</v>
      </c>
      <c r="F397" s="1" t="str">
        <f>"228941743"</f>
        <v>228941743</v>
      </c>
      <c r="G397" s="1" t="s">
        <v>33</v>
      </c>
      <c r="H397" s="1" t="str">
        <f t="shared" si="55"/>
        <v>20220912</v>
      </c>
      <c r="I397" s="1" t="str">
        <f>"091951"</f>
        <v>091951</v>
      </c>
      <c r="J397" s="1" t="s">
        <v>77</v>
      </c>
      <c r="K397" s="1" t="s">
        <v>52</v>
      </c>
      <c r="L397" s="1" t="str">
        <f t="shared" si="56"/>
        <v>20220912</v>
      </c>
      <c r="M397" s="1" t="str">
        <f>"093553"</f>
        <v>093553</v>
      </c>
      <c r="N397" s="1" t="s">
        <v>70</v>
      </c>
      <c r="O397" s="1" t="s">
        <v>28</v>
      </c>
      <c r="P397" s="1" t="s">
        <v>55</v>
      </c>
      <c r="Q397" s="1">
        <v>25</v>
      </c>
      <c r="R397" s="1">
        <v>25</v>
      </c>
      <c r="S397" s="1">
        <v>0</v>
      </c>
      <c r="T397" s="1">
        <v>0</v>
      </c>
      <c r="U397" s="1">
        <v>0</v>
      </c>
      <c r="V397" s="1" t="str">
        <f t="shared" si="58"/>
        <v>里程去程</v>
      </c>
      <c r="W397" s="1" t="s">
        <v>35</v>
      </c>
    </row>
    <row r="398" spans="1:23" x14ac:dyDescent="0.3">
      <c r="A398" s="1" t="str">
        <f t="shared" si="59"/>
        <v>59828</v>
      </c>
      <c r="B398" s="1" t="s">
        <v>23</v>
      </c>
      <c r="C398" s="1" t="s">
        <v>24</v>
      </c>
      <c r="D398" s="1" t="str">
        <f t="shared" si="57"/>
        <v>9801</v>
      </c>
      <c r="E398" s="1" t="s">
        <v>25</v>
      </c>
      <c r="F398" s="1" t="str">
        <f>"708766337"</f>
        <v>708766337</v>
      </c>
      <c r="G398" s="1" t="s">
        <v>33</v>
      </c>
      <c r="H398" s="1" t="str">
        <f t="shared" si="55"/>
        <v>20220912</v>
      </c>
      <c r="I398" s="1" t="str">
        <f>"092002"</f>
        <v>092002</v>
      </c>
      <c r="J398" s="1" t="s">
        <v>77</v>
      </c>
      <c r="K398" s="1" t="s">
        <v>52</v>
      </c>
      <c r="L398" s="1" t="str">
        <f t="shared" si="56"/>
        <v>20220912</v>
      </c>
      <c r="M398" s="1" t="str">
        <f>"093556"</f>
        <v>093556</v>
      </c>
      <c r="N398" s="1" t="s">
        <v>70</v>
      </c>
      <c r="O398" s="1" t="s">
        <v>28</v>
      </c>
      <c r="P398" s="1" t="s">
        <v>55</v>
      </c>
      <c r="Q398" s="1">
        <v>25</v>
      </c>
      <c r="R398" s="1">
        <v>25</v>
      </c>
      <c r="S398" s="1">
        <v>0</v>
      </c>
      <c r="T398" s="1">
        <v>0</v>
      </c>
      <c r="U398" s="1">
        <v>0</v>
      </c>
      <c r="V398" s="1" t="str">
        <f t="shared" si="58"/>
        <v>里程去程</v>
      </c>
      <c r="W398" s="1" t="s">
        <v>35</v>
      </c>
    </row>
    <row r="399" spans="1:23" x14ac:dyDescent="0.3">
      <c r="A399" s="1" t="str">
        <f t="shared" si="59"/>
        <v>59828</v>
      </c>
      <c r="B399" s="1" t="s">
        <v>23</v>
      </c>
      <c r="C399" s="1" t="s">
        <v>24</v>
      </c>
      <c r="D399" s="1" t="str">
        <f t="shared" si="57"/>
        <v>9801</v>
      </c>
      <c r="E399" s="1" t="s">
        <v>25</v>
      </c>
      <c r="F399" s="1" t="str">
        <f>"645256833"</f>
        <v>645256833</v>
      </c>
      <c r="G399" s="1" t="s">
        <v>33</v>
      </c>
      <c r="H399" s="1" t="str">
        <f t="shared" si="55"/>
        <v>20220912</v>
      </c>
      <c r="I399" s="1" t="str">
        <f>"093605"</f>
        <v>093605</v>
      </c>
      <c r="J399" s="1" t="s">
        <v>27</v>
      </c>
      <c r="K399" s="1" t="s">
        <v>28</v>
      </c>
      <c r="L399" s="1" t="str">
        <f t="shared" si="56"/>
        <v>20220912</v>
      </c>
      <c r="M399" s="1" t="str">
        <f>"095342"</f>
        <v>095342</v>
      </c>
      <c r="N399" s="1" t="s">
        <v>91</v>
      </c>
      <c r="O399" s="1" t="s">
        <v>45</v>
      </c>
      <c r="P399" s="1" t="s">
        <v>55</v>
      </c>
      <c r="Q399" s="1">
        <v>25</v>
      </c>
      <c r="R399" s="1">
        <v>25</v>
      </c>
      <c r="S399" s="1">
        <v>0</v>
      </c>
      <c r="T399" s="1">
        <v>0</v>
      </c>
      <c r="U399" s="1">
        <v>0</v>
      </c>
      <c r="V399" s="1" t="str">
        <f t="shared" si="58"/>
        <v>里程去程</v>
      </c>
      <c r="W399" s="1" t="s">
        <v>35</v>
      </c>
    </row>
    <row r="400" spans="1:23" x14ac:dyDescent="0.3">
      <c r="A400" s="1" t="str">
        <f t="shared" ref="A400:A443" si="60">"59825"</f>
        <v>59825</v>
      </c>
      <c r="B400" s="1" t="s">
        <v>30</v>
      </c>
      <c r="C400" s="1" t="s">
        <v>31</v>
      </c>
      <c r="D400" s="1" t="str">
        <f t="shared" si="57"/>
        <v>9801</v>
      </c>
      <c r="E400" s="1" t="s">
        <v>25</v>
      </c>
      <c r="F400" s="1" t="str">
        <f>"1725435766"</f>
        <v>1725435766</v>
      </c>
      <c r="G400" s="1" t="s">
        <v>26</v>
      </c>
      <c r="H400" s="1" t="str">
        <f t="shared" ref="H400:H431" si="61">"20220913"</f>
        <v>20220913</v>
      </c>
      <c r="I400" s="1" t="str">
        <f>"111146"</f>
        <v>111146</v>
      </c>
      <c r="J400" s="1" t="s">
        <v>51</v>
      </c>
      <c r="K400" s="1" t="s">
        <v>52</v>
      </c>
      <c r="L400" s="1" t="str">
        <f t="shared" ref="L400:L431" si="62">"20220913"</f>
        <v>20220913</v>
      </c>
      <c r="M400" s="1" t="str">
        <f>"112337"</f>
        <v>112337</v>
      </c>
      <c r="N400" s="1" t="s">
        <v>77</v>
      </c>
      <c r="O400" s="1" t="s">
        <v>52</v>
      </c>
      <c r="P400" s="1" t="s">
        <v>55</v>
      </c>
      <c r="Q400" s="1">
        <v>13</v>
      </c>
      <c r="R400" s="1">
        <v>0</v>
      </c>
      <c r="S400" s="1">
        <v>13</v>
      </c>
      <c r="T400" s="1">
        <v>0</v>
      </c>
      <c r="U400" s="1">
        <v>0</v>
      </c>
      <c r="V400" s="1" t="str">
        <f t="shared" si="58"/>
        <v>里程去程</v>
      </c>
      <c r="W400" s="1" t="s">
        <v>35</v>
      </c>
    </row>
    <row r="401" spans="1:23" x14ac:dyDescent="0.3">
      <c r="A401" s="1" t="str">
        <f t="shared" si="60"/>
        <v>59825</v>
      </c>
      <c r="B401" s="1" t="s">
        <v>30</v>
      </c>
      <c r="C401" s="1" t="s">
        <v>31</v>
      </c>
      <c r="D401" s="1" t="str">
        <f t="shared" si="57"/>
        <v>9801</v>
      </c>
      <c r="E401" s="1" t="s">
        <v>25</v>
      </c>
      <c r="F401" s="1" t="str">
        <f>"1621114069"</f>
        <v>1621114069</v>
      </c>
      <c r="G401" s="1" t="s">
        <v>26</v>
      </c>
      <c r="H401" s="1" t="str">
        <f t="shared" si="61"/>
        <v>20220913</v>
      </c>
      <c r="I401" s="1" t="str">
        <f>"113708"</f>
        <v>113708</v>
      </c>
      <c r="J401" s="1" t="s">
        <v>27</v>
      </c>
      <c r="K401" s="1" t="s">
        <v>28</v>
      </c>
      <c r="L401" s="1" t="str">
        <f t="shared" si="62"/>
        <v>20220913</v>
      </c>
      <c r="M401" s="1" t="str">
        <f>"115702"</f>
        <v>115702</v>
      </c>
      <c r="N401" s="1" t="s">
        <v>100</v>
      </c>
      <c r="O401" s="1" t="s">
        <v>45</v>
      </c>
      <c r="P401" s="1" t="s">
        <v>55</v>
      </c>
      <c r="Q401" s="1">
        <v>13</v>
      </c>
      <c r="R401" s="1">
        <v>13</v>
      </c>
      <c r="S401" s="1">
        <v>0</v>
      </c>
      <c r="T401" s="1">
        <v>0</v>
      </c>
      <c r="U401" s="1">
        <v>0</v>
      </c>
      <c r="V401" s="1" t="str">
        <f t="shared" si="58"/>
        <v>里程去程</v>
      </c>
      <c r="W401" s="1" t="s">
        <v>35</v>
      </c>
    </row>
    <row r="402" spans="1:23" x14ac:dyDescent="0.3">
      <c r="A402" s="1" t="str">
        <f t="shared" si="60"/>
        <v>59825</v>
      </c>
      <c r="B402" s="1" t="s">
        <v>30</v>
      </c>
      <c r="C402" s="1" t="s">
        <v>31</v>
      </c>
      <c r="D402" s="1" t="str">
        <f t="shared" si="57"/>
        <v>9801</v>
      </c>
      <c r="E402" s="1" t="s">
        <v>25</v>
      </c>
      <c r="F402" s="1" t="str">
        <f>"789612437"</f>
        <v>789612437</v>
      </c>
      <c r="G402" s="1" t="s">
        <v>26</v>
      </c>
      <c r="H402" s="1" t="str">
        <f t="shared" si="61"/>
        <v>20220913</v>
      </c>
      <c r="I402" s="1" t="str">
        <f>"113718"</f>
        <v>113718</v>
      </c>
      <c r="J402" s="1" t="s">
        <v>27</v>
      </c>
      <c r="K402" s="1" t="s">
        <v>28</v>
      </c>
      <c r="L402" s="1" t="str">
        <f t="shared" si="62"/>
        <v>20220913</v>
      </c>
      <c r="M402" s="1" t="str">
        <f>"115659"</f>
        <v>115659</v>
      </c>
      <c r="N402" s="1" t="s">
        <v>100</v>
      </c>
      <c r="O402" s="1" t="s">
        <v>45</v>
      </c>
      <c r="P402" s="1" t="s">
        <v>55</v>
      </c>
      <c r="Q402" s="1">
        <v>13</v>
      </c>
      <c r="R402" s="1">
        <v>13</v>
      </c>
      <c r="S402" s="1">
        <v>0</v>
      </c>
      <c r="T402" s="1">
        <v>0</v>
      </c>
      <c r="U402" s="1">
        <v>0</v>
      </c>
      <c r="V402" s="1" t="str">
        <f t="shared" si="58"/>
        <v>里程去程</v>
      </c>
      <c r="W402" s="1" t="s">
        <v>35</v>
      </c>
    </row>
    <row r="403" spans="1:23" x14ac:dyDescent="0.3">
      <c r="A403" s="1" t="str">
        <f t="shared" si="60"/>
        <v>59825</v>
      </c>
      <c r="B403" s="1" t="s">
        <v>30</v>
      </c>
      <c r="C403" s="1" t="s">
        <v>31</v>
      </c>
      <c r="D403" s="1" t="str">
        <f t="shared" si="57"/>
        <v>9801</v>
      </c>
      <c r="E403" s="1" t="s">
        <v>25</v>
      </c>
      <c r="F403" s="1" t="str">
        <f>"F24C511BF4880400C822002000000021"</f>
        <v>F24C511BF4880400C822002000000021</v>
      </c>
      <c r="G403" s="1" t="s">
        <v>64</v>
      </c>
      <c r="H403" s="1" t="str">
        <f t="shared" si="61"/>
        <v>20220913</v>
      </c>
      <c r="I403" s="1" t="str">
        <f>"113722"</f>
        <v>113722</v>
      </c>
      <c r="J403" s="1" t="s">
        <v>27</v>
      </c>
      <c r="K403" s="1" t="s">
        <v>28</v>
      </c>
      <c r="L403" s="1" t="str">
        <f t="shared" si="62"/>
        <v>20220913</v>
      </c>
      <c r="M403" s="1" t="str">
        <f>"115655"</f>
        <v>115655</v>
      </c>
      <c r="N403" s="1" t="s">
        <v>100</v>
      </c>
      <c r="O403" s="1" t="s">
        <v>45</v>
      </c>
      <c r="P403" s="1" t="s">
        <v>55</v>
      </c>
      <c r="Q403" s="1">
        <v>13</v>
      </c>
      <c r="R403" s="1">
        <v>13</v>
      </c>
      <c r="S403" s="1">
        <v>0</v>
      </c>
      <c r="T403" s="1">
        <v>0</v>
      </c>
      <c r="U403" s="1">
        <v>0</v>
      </c>
      <c r="V403" s="1" t="str">
        <f t="shared" si="58"/>
        <v>里程去程</v>
      </c>
      <c r="W403" s="1" t="s">
        <v>29</v>
      </c>
    </row>
    <row r="404" spans="1:23" x14ac:dyDescent="0.3">
      <c r="A404" s="1" t="str">
        <f t="shared" si="60"/>
        <v>59825</v>
      </c>
      <c r="B404" s="1" t="s">
        <v>30</v>
      </c>
      <c r="C404" s="1" t="s">
        <v>31</v>
      </c>
      <c r="D404" s="1" t="str">
        <f t="shared" si="57"/>
        <v>9801</v>
      </c>
      <c r="E404" s="1" t="s">
        <v>25</v>
      </c>
      <c r="F404" s="1" t="str">
        <f>"808733733"</f>
        <v>808733733</v>
      </c>
      <c r="G404" s="1" t="s">
        <v>33</v>
      </c>
      <c r="H404" s="1" t="str">
        <f t="shared" si="61"/>
        <v>20220913</v>
      </c>
      <c r="I404" s="1" t="str">
        <f>"113724"</f>
        <v>113724</v>
      </c>
      <c r="J404" s="1" t="s">
        <v>27</v>
      </c>
      <c r="K404" s="1" t="s">
        <v>28</v>
      </c>
      <c r="L404" s="1" t="str">
        <f t="shared" si="62"/>
        <v>20220913</v>
      </c>
      <c r="M404" s="1" t="str">
        <f>"115653"</f>
        <v>115653</v>
      </c>
      <c r="N404" s="1" t="s">
        <v>100</v>
      </c>
      <c r="O404" s="1" t="s">
        <v>45</v>
      </c>
      <c r="P404" s="1" t="s">
        <v>55</v>
      </c>
      <c r="Q404" s="1">
        <v>25</v>
      </c>
      <c r="R404" s="1">
        <v>25</v>
      </c>
      <c r="S404" s="1">
        <v>0</v>
      </c>
      <c r="T404" s="1">
        <v>0</v>
      </c>
      <c r="U404" s="1">
        <v>0</v>
      </c>
      <c r="V404" s="1" t="str">
        <f t="shared" si="58"/>
        <v>里程去程</v>
      </c>
      <c r="W404" s="1" t="s">
        <v>35</v>
      </c>
    </row>
    <row r="405" spans="1:23" x14ac:dyDescent="0.3">
      <c r="A405" s="1" t="str">
        <f t="shared" si="60"/>
        <v>59825</v>
      </c>
      <c r="B405" s="1" t="s">
        <v>30</v>
      </c>
      <c r="C405" s="1" t="s">
        <v>31</v>
      </c>
      <c r="D405" s="1" t="str">
        <f t="shared" si="57"/>
        <v>9801</v>
      </c>
      <c r="E405" s="1" t="s">
        <v>25</v>
      </c>
      <c r="F405" s="1" t="str">
        <f>"274258800"</f>
        <v>274258800</v>
      </c>
      <c r="G405" s="1" t="s">
        <v>33</v>
      </c>
      <c r="H405" s="1" t="str">
        <f t="shared" si="61"/>
        <v>20220913</v>
      </c>
      <c r="I405" s="1" t="str">
        <f>"113741"</f>
        <v>113741</v>
      </c>
      <c r="J405" s="1" t="s">
        <v>27</v>
      </c>
      <c r="K405" s="1" t="s">
        <v>28</v>
      </c>
      <c r="L405" s="1" t="str">
        <f t="shared" si="62"/>
        <v>20220913</v>
      </c>
      <c r="M405" s="1" t="str">
        <f>"115911"</f>
        <v>115911</v>
      </c>
      <c r="N405" s="1" t="s">
        <v>44</v>
      </c>
      <c r="O405" s="1" t="s">
        <v>45</v>
      </c>
      <c r="P405" s="1" t="s">
        <v>55</v>
      </c>
      <c r="Q405" s="1">
        <v>25</v>
      </c>
      <c r="R405" s="1">
        <v>25</v>
      </c>
      <c r="S405" s="1">
        <v>0</v>
      </c>
      <c r="T405" s="1">
        <v>0</v>
      </c>
      <c r="U405" s="1">
        <v>0</v>
      </c>
      <c r="V405" s="1" t="str">
        <f t="shared" si="58"/>
        <v>里程去程</v>
      </c>
      <c r="W405" s="1" t="s">
        <v>35</v>
      </c>
    </row>
    <row r="406" spans="1:23" x14ac:dyDescent="0.3">
      <c r="A406" s="1" t="str">
        <f t="shared" si="60"/>
        <v>59825</v>
      </c>
      <c r="B406" s="1" t="s">
        <v>30</v>
      </c>
      <c r="C406" s="1" t="s">
        <v>31</v>
      </c>
      <c r="D406" s="1" t="str">
        <f t="shared" si="57"/>
        <v>9801</v>
      </c>
      <c r="E406" s="1" t="s">
        <v>25</v>
      </c>
      <c r="F406" s="1" t="str">
        <f>"1408331441"</f>
        <v>1408331441</v>
      </c>
      <c r="G406" s="1" t="s">
        <v>26</v>
      </c>
      <c r="H406" s="1" t="str">
        <f t="shared" si="61"/>
        <v>20220913</v>
      </c>
      <c r="I406" s="1" t="str">
        <f>"113746"</f>
        <v>113746</v>
      </c>
      <c r="J406" s="1" t="s">
        <v>27</v>
      </c>
      <c r="K406" s="1" t="s">
        <v>28</v>
      </c>
      <c r="L406" s="1" t="str">
        <f t="shared" si="62"/>
        <v>20220913</v>
      </c>
      <c r="M406" s="1" t="str">
        <f>"120037"</f>
        <v>120037</v>
      </c>
      <c r="N406" s="1" t="s">
        <v>44</v>
      </c>
      <c r="O406" s="1" t="s">
        <v>45</v>
      </c>
      <c r="P406" s="1" t="s">
        <v>55</v>
      </c>
      <c r="Q406" s="1">
        <v>13</v>
      </c>
      <c r="R406" s="1">
        <v>13</v>
      </c>
      <c r="S406" s="1">
        <v>0</v>
      </c>
      <c r="T406" s="1">
        <v>0</v>
      </c>
      <c r="U406" s="1">
        <v>0</v>
      </c>
      <c r="V406" s="1" t="str">
        <f t="shared" si="58"/>
        <v>里程去程</v>
      </c>
      <c r="W406" s="1" t="s">
        <v>35</v>
      </c>
    </row>
    <row r="407" spans="1:23" x14ac:dyDescent="0.3">
      <c r="A407" s="1" t="str">
        <f t="shared" si="60"/>
        <v>59825</v>
      </c>
      <c r="B407" s="1" t="s">
        <v>30</v>
      </c>
      <c r="C407" s="1" t="s">
        <v>31</v>
      </c>
      <c r="D407" s="1" t="str">
        <f t="shared" si="57"/>
        <v>9801</v>
      </c>
      <c r="E407" s="1" t="s">
        <v>25</v>
      </c>
      <c r="F407" s="1" t="str">
        <f>"110234401"</f>
        <v>110234401</v>
      </c>
      <c r="G407" s="1" t="s">
        <v>26</v>
      </c>
      <c r="H407" s="1" t="str">
        <f t="shared" si="61"/>
        <v>20220913</v>
      </c>
      <c r="I407" s="1" t="str">
        <f>"113808"</f>
        <v>113808</v>
      </c>
      <c r="J407" s="1" t="s">
        <v>27</v>
      </c>
      <c r="K407" s="1" t="s">
        <v>28</v>
      </c>
      <c r="L407" s="1" t="str">
        <f t="shared" si="62"/>
        <v>20220913</v>
      </c>
      <c r="M407" s="1" t="str">
        <f>"120033"</f>
        <v>120033</v>
      </c>
      <c r="N407" s="1" t="s">
        <v>44</v>
      </c>
      <c r="O407" s="1" t="s">
        <v>45</v>
      </c>
      <c r="P407" s="1" t="s">
        <v>55</v>
      </c>
      <c r="Q407" s="1">
        <v>13</v>
      </c>
      <c r="R407" s="1">
        <v>13</v>
      </c>
      <c r="S407" s="1">
        <v>0</v>
      </c>
      <c r="T407" s="1">
        <v>0</v>
      </c>
      <c r="U407" s="1">
        <v>0</v>
      </c>
      <c r="V407" s="1" t="str">
        <f t="shared" si="58"/>
        <v>里程去程</v>
      </c>
      <c r="W407" s="1" t="s">
        <v>35</v>
      </c>
    </row>
    <row r="408" spans="1:23" x14ac:dyDescent="0.3">
      <c r="A408" s="1" t="str">
        <f t="shared" si="60"/>
        <v>59825</v>
      </c>
      <c r="B408" s="1" t="s">
        <v>30</v>
      </c>
      <c r="C408" s="1" t="s">
        <v>31</v>
      </c>
      <c r="D408" s="1" t="str">
        <f t="shared" si="57"/>
        <v>9801</v>
      </c>
      <c r="E408" s="1" t="s">
        <v>25</v>
      </c>
      <c r="F408" s="1" t="str">
        <f>"628051759"</f>
        <v>628051759</v>
      </c>
      <c r="G408" s="1" t="s">
        <v>96</v>
      </c>
      <c r="H408" s="1" t="str">
        <f t="shared" si="61"/>
        <v>20220913</v>
      </c>
      <c r="I408" s="1" t="str">
        <f>"113811"</f>
        <v>113811</v>
      </c>
      <c r="J408" s="1" t="s">
        <v>27</v>
      </c>
      <c r="K408" s="1" t="s">
        <v>28</v>
      </c>
      <c r="L408" s="1" t="str">
        <f t="shared" si="62"/>
        <v>20220913</v>
      </c>
      <c r="M408" s="1" t="str">
        <f>"120055"</f>
        <v>120055</v>
      </c>
      <c r="N408" s="1" t="s">
        <v>44</v>
      </c>
      <c r="O408" s="1" t="s">
        <v>45</v>
      </c>
      <c r="P408" s="1" t="s">
        <v>55</v>
      </c>
      <c r="Q408" s="1">
        <v>13</v>
      </c>
      <c r="R408" s="1">
        <v>13</v>
      </c>
      <c r="S408" s="1">
        <v>0</v>
      </c>
      <c r="T408" s="1">
        <v>0</v>
      </c>
      <c r="U408" s="1">
        <v>0</v>
      </c>
      <c r="V408" s="1" t="str">
        <f t="shared" si="58"/>
        <v>里程去程</v>
      </c>
      <c r="W408" s="1" t="s">
        <v>35</v>
      </c>
    </row>
    <row r="409" spans="1:23" x14ac:dyDescent="0.3">
      <c r="A409" s="1" t="str">
        <f t="shared" si="60"/>
        <v>59825</v>
      </c>
      <c r="B409" s="1" t="s">
        <v>30</v>
      </c>
      <c r="C409" s="1" t="s">
        <v>31</v>
      </c>
      <c r="D409" s="1" t="str">
        <f t="shared" si="57"/>
        <v>9801</v>
      </c>
      <c r="E409" s="1" t="s">
        <v>25</v>
      </c>
      <c r="F409" s="1" t="str">
        <f>"1076221589"</f>
        <v>1076221589</v>
      </c>
      <c r="G409" s="1" t="s">
        <v>33</v>
      </c>
      <c r="H409" s="1" t="str">
        <f t="shared" si="61"/>
        <v>20220913</v>
      </c>
      <c r="I409" s="1" t="str">
        <f>"113823"</f>
        <v>113823</v>
      </c>
      <c r="J409" s="1" t="s">
        <v>27</v>
      </c>
      <c r="K409" s="1" t="s">
        <v>28</v>
      </c>
      <c r="L409" s="1" t="str">
        <f t="shared" si="62"/>
        <v>20220913</v>
      </c>
      <c r="M409" s="1" t="str">
        <f>"115920"</f>
        <v>115920</v>
      </c>
      <c r="N409" s="1" t="s">
        <v>44</v>
      </c>
      <c r="O409" s="1" t="s">
        <v>45</v>
      </c>
      <c r="P409" s="1" t="s">
        <v>55</v>
      </c>
      <c r="Q409" s="1">
        <v>25</v>
      </c>
      <c r="R409" s="1">
        <v>25</v>
      </c>
      <c r="S409" s="1">
        <v>0</v>
      </c>
      <c r="T409" s="1">
        <v>0</v>
      </c>
      <c r="U409" s="1">
        <v>0</v>
      </c>
      <c r="V409" s="1" t="str">
        <f t="shared" si="58"/>
        <v>里程去程</v>
      </c>
      <c r="W409" s="1" t="s">
        <v>35</v>
      </c>
    </row>
    <row r="410" spans="1:23" x14ac:dyDescent="0.3">
      <c r="A410" s="1" t="str">
        <f t="shared" si="60"/>
        <v>59825</v>
      </c>
      <c r="B410" s="1" t="s">
        <v>30</v>
      </c>
      <c r="C410" s="1" t="s">
        <v>31</v>
      </c>
      <c r="D410" s="1" t="str">
        <f t="shared" si="57"/>
        <v>9801</v>
      </c>
      <c r="E410" s="1" t="s">
        <v>25</v>
      </c>
      <c r="F410" s="1" t="str">
        <f>"1682057445"</f>
        <v>1682057445</v>
      </c>
      <c r="G410" s="1" t="s">
        <v>33</v>
      </c>
      <c r="H410" s="1" t="str">
        <f t="shared" si="61"/>
        <v>20220913</v>
      </c>
      <c r="I410" s="1" t="str">
        <f>"120121"</f>
        <v>120121</v>
      </c>
      <c r="J410" s="1" t="s">
        <v>52</v>
      </c>
      <c r="K410" s="1" t="s">
        <v>52</v>
      </c>
      <c r="L410" s="1" t="str">
        <f t="shared" si="62"/>
        <v>20220913</v>
      </c>
      <c r="M410" s="1" t="str">
        <f>"123151"</f>
        <v>123151</v>
      </c>
      <c r="N410" s="1" t="s">
        <v>70</v>
      </c>
      <c r="O410" s="1" t="s">
        <v>28</v>
      </c>
      <c r="P410" s="1" t="s">
        <v>55</v>
      </c>
      <c r="Q410" s="1">
        <v>25</v>
      </c>
      <c r="R410" s="1">
        <v>25</v>
      </c>
      <c r="S410" s="1">
        <v>0</v>
      </c>
      <c r="T410" s="1">
        <v>0</v>
      </c>
      <c r="U410" s="1">
        <v>0</v>
      </c>
      <c r="V410" s="1" t="str">
        <f t="shared" si="58"/>
        <v>里程去程</v>
      </c>
      <c r="W410" s="1" t="s">
        <v>35</v>
      </c>
    </row>
    <row r="411" spans="1:23" x14ac:dyDescent="0.3">
      <c r="A411" s="1" t="str">
        <f t="shared" si="60"/>
        <v>59825</v>
      </c>
      <c r="B411" s="1" t="s">
        <v>30</v>
      </c>
      <c r="C411" s="1" t="s">
        <v>31</v>
      </c>
      <c r="D411" s="1" t="str">
        <f t="shared" si="57"/>
        <v>9801</v>
      </c>
      <c r="E411" s="1" t="s">
        <v>25</v>
      </c>
      <c r="F411" s="1" t="str">
        <f>"628051759"</f>
        <v>628051759</v>
      </c>
      <c r="G411" s="1" t="s">
        <v>96</v>
      </c>
      <c r="H411" s="1" t="str">
        <f t="shared" si="61"/>
        <v>20220913</v>
      </c>
      <c r="I411" s="1" t="str">
        <f>"120131"</f>
        <v>120131</v>
      </c>
      <c r="J411" s="1" t="s">
        <v>52</v>
      </c>
      <c r="K411" s="1" t="s">
        <v>52</v>
      </c>
      <c r="L411" s="1" t="str">
        <f t="shared" si="62"/>
        <v>20220913</v>
      </c>
      <c r="M411" s="1" t="str">
        <f>"123142"</f>
        <v>123142</v>
      </c>
      <c r="N411" s="1" t="s">
        <v>70</v>
      </c>
      <c r="O411" s="1" t="s">
        <v>28</v>
      </c>
      <c r="P411" s="1" t="s">
        <v>55</v>
      </c>
      <c r="Q411" s="1">
        <v>13</v>
      </c>
      <c r="R411" s="1">
        <v>13</v>
      </c>
      <c r="S411" s="1">
        <v>0</v>
      </c>
      <c r="T411" s="1">
        <v>0</v>
      </c>
      <c r="U411" s="1">
        <v>0</v>
      </c>
      <c r="V411" s="1" t="str">
        <f t="shared" si="58"/>
        <v>里程去程</v>
      </c>
      <c r="W411" s="1" t="s">
        <v>35</v>
      </c>
    </row>
    <row r="412" spans="1:23" x14ac:dyDescent="0.3">
      <c r="A412" s="1" t="str">
        <f t="shared" si="60"/>
        <v>59825</v>
      </c>
      <c r="B412" s="1" t="s">
        <v>30</v>
      </c>
      <c r="C412" s="1" t="s">
        <v>31</v>
      </c>
      <c r="D412" s="1" t="str">
        <f t="shared" si="57"/>
        <v>9801</v>
      </c>
      <c r="E412" s="1" t="s">
        <v>25</v>
      </c>
      <c r="F412" s="1" t="str">
        <f>"1423105809"</f>
        <v>1423105809</v>
      </c>
      <c r="G412" s="1" t="s">
        <v>33</v>
      </c>
      <c r="H412" s="1" t="str">
        <f t="shared" si="61"/>
        <v>20220913</v>
      </c>
      <c r="I412" s="1" t="str">
        <f>"120721"</f>
        <v>120721</v>
      </c>
      <c r="J412" s="1" t="s">
        <v>60</v>
      </c>
      <c r="K412" s="1" t="s">
        <v>52</v>
      </c>
      <c r="L412" s="1" t="str">
        <f t="shared" si="62"/>
        <v>20220913</v>
      </c>
      <c r="M412" s="1" t="str">
        <f>"123154"</f>
        <v>123154</v>
      </c>
      <c r="N412" s="1" t="s">
        <v>70</v>
      </c>
      <c r="O412" s="1" t="s">
        <v>28</v>
      </c>
      <c r="P412" s="1" t="s">
        <v>55</v>
      </c>
      <c r="Q412" s="1">
        <v>25</v>
      </c>
      <c r="R412" s="1">
        <v>25</v>
      </c>
      <c r="S412" s="1">
        <v>0</v>
      </c>
      <c r="T412" s="1">
        <v>0</v>
      </c>
      <c r="U412" s="1">
        <v>0</v>
      </c>
      <c r="V412" s="1" t="str">
        <f t="shared" si="58"/>
        <v>里程去程</v>
      </c>
      <c r="W412" s="1" t="s">
        <v>35</v>
      </c>
    </row>
    <row r="413" spans="1:23" x14ac:dyDescent="0.3">
      <c r="A413" s="1" t="str">
        <f t="shared" si="60"/>
        <v>59825</v>
      </c>
      <c r="B413" s="1" t="s">
        <v>30</v>
      </c>
      <c r="C413" s="1" t="s">
        <v>31</v>
      </c>
      <c r="D413" s="1" t="str">
        <f t="shared" si="57"/>
        <v>9801</v>
      </c>
      <c r="E413" s="1" t="s">
        <v>25</v>
      </c>
      <c r="F413" s="1" t="str">
        <f>"F25B1B03B1880400C834002000000015"</f>
        <v>F25B1B03B1880400C834002000000015</v>
      </c>
      <c r="G413" s="1" t="s">
        <v>26</v>
      </c>
      <c r="H413" s="1" t="str">
        <f t="shared" si="61"/>
        <v>20220913</v>
      </c>
      <c r="I413" s="1" t="str">
        <f>"120728"</f>
        <v>120728</v>
      </c>
      <c r="J413" s="1" t="s">
        <v>60</v>
      </c>
      <c r="K413" s="1" t="s">
        <v>52</v>
      </c>
      <c r="L413" s="1" t="str">
        <f t="shared" si="62"/>
        <v>20220913</v>
      </c>
      <c r="M413" s="1" t="str">
        <f>"123148"</f>
        <v>123148</v>
      </c>
      <c r="N413" s="1" t="s">
        <v>70</v>
      </c>
      <c r="O413" s="1" t="s">
        <v>28</v>
      </c>
      <c r="P413" s="1" t="s">
        <v>68</v>
      </c>
      <c r="Q413" s="1">
        <v>13</v>
      </c>
      <c r="R413" s="1">
        <v>0</v>
      </c>
      <c r="S413" s="1">
        <v>0</v>
      </c>
      <c r="T413" s="1">
        <v>13</v>
      </c>
      <c r="U413" s="1">
        <v>0</v>
      </c>
      <c r="V413" s="1" t="str">
        <f t="shared" si="58"/>
        <v>里程去程</v>
      </c>
      <c r="W413" s="1" t="s">
        <v>29</v>
      </c>
    </row>
    <row r="414" spans="1:23" x14ac:dyDescent="0.3">
      <c r="A414" s="1" t="str">
        <f t="shared" si="60"/>
        <v>59825</v>
      </c>
      <c r="B414" s="1" t="s">
        <v>30</v>
      </c>
      <c r="C414" s="1" t="s">
        <v>31</v>
      </c>
      <c r="D414" s="1" t="str">
        <f t="shared" si="57"/>
        <v>9801</v>
      </c>
      <c r="E414" s="1" t="s">
        <v>25</v>
      </c>
      <c r="F414" s="1" t="str">
        <f>"4251460257880400C821002000000015"</f>
        <v>4251460257880400C821002000000015</v>
      </c>
      <c r="G414" s="1" t="s">
        <v>26</v>
      </c>
      <c r="H414" s="1" t="str">
        <f t="shared" si="61"/>
        <v>20220913</v>
      </c>
      <c r="I414" s="1" t="str">
        <f>"121858"</f>
        <v>121858</v>
      </c>
      <c r="J414" s="1" t="s">
        <v>69</v>
      </c>
      <c r="K414" s="1" t="s">
        <v>52</v>
      </c>
      <c r="L414" s="1" t="str">
        <f t="shared" si="62"/>
        <v>20220913</v>
      </c>
      <c r="M414" s="1" t="str">
        <f>"122445"</f>
        <v>122445</v>
      </c>
      <c r="N414" s="1" t="s">
        <v>83</v>
      </c>
      <c r="O414" s="1" t="s">
        <v>52</v>
      </c>
      <c r="P414" s="1" t="s">
        <v>68</v>
      </c>
      <c r="Q414" s="1">
        <v>13</v>
      </c>
      <c r="R414" s="1">
        <v>0</v>
      </c>
      <c r="S414" s="1">
        <v>0</v>
      </c>
      <c r="T414" s="1">
        <v>13</v>
      </c>
      <c r="U414" s="1">
        <v>0</v>
      </c>
      <c r="V414" s="1" t="str">
        <f t="shared" si="58"/>
        <v>里程去程</v>
      </c>
      <c r="W414" s="1" t="s">
        <v>29</v>
      </c>
    </row>
    <row r="415" spans="1:23" x14ac:dyDescent="0.3">
      <c r="A415" s="1" t="str">
        <f t="shared" si="60"/>
        <v>59825</v>
      </c>
      <c r="B415" s="1" t="s">
        <v>30</v>
      </c>
      <c r="C415" s="1" t="s">
        <v>31</v>
      </c>
      <c r="D415" s="1" t="str">
        <f t="shared" si="57"/>
        <v>9801</v>
      </c>
      <c r="E415" s="1" t="s">
        <v>25</v>
      </c>
      <c r="F415" s="1" t="str">
        <f>"C5A9C109A4180200D200000C22400417"</f>
        <v>C5A9C109A4180200D200000C22400417</v>
      </c>
      <c r="G415" s="1" t="s">
        <v>58</v>
      </c>
      <c r="H415" s="1" t="str">
        <f t="shared" si="61"/>
        <v>20220913</v>
      </c>
      <c r="I415" s="1" t="str">
        <f>"123219"</f>
        <v>123219</v>
      </c>
      <c r="J415" s="1" t="s">
        <v>27</v>
      </c>
      <c r="K415" s="1" t="s">
        <v>28</v>
      </c>
      <c r="L415" s="1" t="str">
        <f t="shared" si="62"/>
        <v>20220913</v>
      </c>
      <c r="M415" s="1" t="str">
        <f>"125604"</f>
        <v>125604</v>
      </c>
      <c r="N415" s="1" t="s">
        <v>44</v>
      </c>
      <c r="O415" s="1" t="s">
        <v>45</v>
      </c>
      <c r="P415" s="1" t="s">
        <v>55</v>
      </c>
      <c r="Q415" s="1">
        <v>25</v>
      </c>
      <c r="R415" s="1">
        <v>25</v>
      </c>
      <c r="S415" s="1">
        <v>0</v>
      </c>
      <c r="T415" s="1">
        <v>0</v>
      </c>
      <c r="U415" s="1">
        <v>0</v>
      </c>
      <c r="V415" s="1" t="str">
        <f t="shared" si="58"/>
        <v>里程去程</v>
      </c>
      <c r="W415" s="1" t="s">
        <v>29</v>
      </c>
    </row>
    <row r="416" spans="1:23" x14ac:dyDescent="0.3">
      <c r="A416" s="1" t="str">
        <f t="shared" si="60"/>
        <v>59825</v>
      </c>
      <c r="B416" s="1" t="s">
        <v>30</v>
      </c>
      <c r="C416" s="1" t="s">
        <v>31</v>
      </c>
      <c r="D416" s="1" t="str">
        <f t="shared" si="57"/>
        <v>9801</v>
      </c>
      <c r="E416" s="1" t="s">
        <v>25</v>
      </c>
      <c r="F416" s="1" t="str">
        <f>"1586685265"</f>
        <v>1586685265</v>
      </c>
      <c r="G416" s="1" t="s">
        <v>33</v>
      </c>
      <c r="H416" s="1" t="str">
        <f t="shared" si="61"/>
        <v>20220913</v>
      </c>
      <c r="I416" s="1" t="str">
        <f>"123230"</f>
        <v>123230</v>
      </c>
      <c r="J416" s="1" t="s">
        <v>27</v>
      </c>
      <c r="K416" s="1" t="s">
        <v>28</v>
      </c>
      <c r="L416" s="1" t="str">
        <f t="shared" si="62"/>
        <v>20220913</v>
      </c>
      <c r="M416" s="1" t="str">
        <f>"130036"</f>
        <v>130036</v>
      </c>
      <c r="N416" s="1" t="s">
        <v>44</v>
      </c>
      <c r="O416" s="1" t="s">
        <v>45</v>
      </c>
      <c r="P416" s="1" t="s">
        <v>55</v>
      </c>
      <c r="Q416" s="1">
        <v>25</v>
      </c>
      <c r="R416" s="1">
        <v>25</v>
      </c>
      <c r="S416" s="1">
        <v>0</v>
      </c>
      <c r="T416" s="1">
        <v>0</v>
      </c>
      <c r="U416" s="1">
        <v>0</v>
      </c>
      <c r="V416" s="1" t="str">
        <f t="shared" si="58"/>
        <v>里程去程</v>
      </c>
      <c r="W416" s="1" t="s">
        <v>35</v>
      </c>
    </row>
    <row r="417" spans="1:23" x14ac:dyDescent="0.3">
      <c r="A417" s="1" t="str">
        <f t="shared" si="60"/>
        <v>59825</v>
      </c>
      <c r="B417" s="1" t="s">
        <v>30</v>
      </c>
      <c r="C417" s="1" t="s">
        <v>31</v>
      </c>
      <c r="D417" s="1" t="str">
        <f t="shared" si="57"/>
        <v>9801</v>
      </c>
      <c r="E417" s="1" t="s">
        <v>25</v>
      </c>
      <c r="F417" s="1" t="str">
        <f>"161436677"</f>
        <v>161436677</v>
      </c>
      <c r="G417" s="1" t="s">
        <v>33</v>
      </c>
      <c r="H417" s="1" t="str">
        <f t="shared" si="61"/>
        <v>20220913</v>
      </c>
      <c r="I417" s="1" t="str">
        <f>"123233"</f>
        <v>123233</v>
      </c>
      <c r="J417" s="1" t="s">
        <v>27</v>
      </c>
      <c r="K417" s="1" t="s">
        <v>28</v>
      </c>
      <c r="L417" s="1" t="str">
        <f t="shared" si="62"/>
        <v>20220913</v>
      </c>
      <c r="M417" s="1" t="str">
        <f>"130009"</f>
        <v>130009</v>
      </c>
      <c r="N417" s="1" t="s">
        <v>44</v>
      </c>
      <c r="O417" s="1" t="s">
        <v>45</v>
      </c>
      <c r="P417" s="1" t="s">
        <v>55</v>
      </c>
      <c r="Q417" s="1">
        <v>25</v>
      </c>
      <c r="R417" s="1">
        <v>25</v>
      </c>
      <c r="S417" s="1">
        <v>0</v>
      </c>
      <c r="T417" s="1">
        <v>0</v>
      </c>
      <c r="U417" s="1">
        <v>0</v>
      </c>
      <c r="V417" s="1" t="str">
        <f t="shared" si="58"/>
        <v>里程去程</v>
      </c>
      <c r="W417" s="1" t="s">
        <v>35</v>
      </c>
    </row>
    <row r="418" spans="1:23" x14ac:dyDescent="0.3">
      <c r="A418" s="1" t="str">
        <f t="shared" si="60"/>
        <v>59825</v>
      </c>
      <c r="B418" s="1" t="s">
        <v>30</v>
      </c>
      <c r="C418" s="1" t="s">
        <v>31</v>
      </c>
      <c r="D418" s="1" t="str">
        <f t="shared" si="57"/>
        <v>9801</v>
      </c>
      <c r="E418" s="1" t="s">
        <v>25</v>
      </c>
      <c r="F418" s="1" t="str">
        <f>"881678961"</f>
        <v>881678961</v>
      </c>
      <c r="G418" s="1" t="s">
        <v>33</v>
      </c>
      <c r="H418" s="1" t="str">
        <f t="shared" si="61"/>
        <v>20220913</v>
      </c>
      <c r="I418" s="1" t="str">
        <f>"123237"</f>
        <v>123237</v>
      </c>
      <c r="J418" s="1" t="s">
        <v>27</v>
      </c>
      <c r="K418" s="1" t="s">
        <v>28</v>
      </c>
      <c r="L418" s="1" t="str">
        <f t="shared" si="62"/>
        <v>20220913</v>
      </c>
      <c r="M418" s="1" t="str">
        <f>"130048"</f>
        <v>130048</v>
      </c>
      <c r="N418" s="1" t="s">
        <v>44</v>
      </c>
      <c r="O418" s="1" t="s">
        <v>45</v>
      </c>
      <c r="P418" s="1" t="s">
        <v>55</v>
      </c>
      <c r="Q418" s="1">
        <v>25</v>
      </c>
      <c r="R418" s="1">
        <v>0</v>
      </c>
      <c r="S418" s="1">
        <v>25</v>
      </c>
      <c r="T418" s="1">
        <v>0</v>
      </c>
      <c r="U418" s="1">
        <v>0</v>
      </c>
      <c r="V418" s="1" t="str">
        <f t="shared" si="58"/>
        <v>里程去程</v>
      </c>
      <c r="W418" s="1" t="s">
        <v>35</v>
      </c>
    </row>
    <row r="419" spans="1:23" x14ac:dyDescent="0.3">
      <c r="A419" s="1" t="str">
        <f t="shared" si="60"/>
        <v>59825</v>
      </c>
      <c r="B419" s="1" t="s">
        <v>30</v>
      </c>
      <c r="C419" s="1" t="s">
        <v>31</v>
      </c>
      <c r="D419" s="1" t="str">
        <f t="shared" si="57"/>
        <v>9801</v>
      </c>
      <c r="E419" s="1" t="s">
        <v>25</v>
      </c>
      <c r="F419" s="1" t="str">
        <f>"1010025637"</f>
        <v>1010025637</v>
      </c>
      <c r="G419" s="1" t="s">
        <v>33</v>
      </c>
      <c r="H419" s="1" t="str">
        <f t="shared" si="61"/>
        <v>20220913</v>
      </c>
      <c r="I419" s="1" t="str">
        <f>"123240"</f>
        <v>123240</v>
      </c>
      <c r="J419" s="1" t="s">
        <v>27</v>
      </c>
      <c r="K419" s="1" t="s">
        <v>28</v>
      </c>
      <c r="L419" s="1" t="str">
        <f t="shared" si="62"/>
        <v>20220913</v>
      </c>
      <c r="M419" s="1" t="str">
        <f>"130045"</f>
        <v>130045</v>
      </c>
      <c r="N419" s="1" t="s">
        <v>44</v>
      </c>
      <c r="O419" s="1" t="s">
        <v>45</v>
      </c>
      <c r="P419" s="1" t="s">
        <v>55</v>
      </c>
      <c r="Q419" s="1">
        <v>25</v>
      </c>
      <c r="R419" s="1">
        <v>0</v>
      </c>
      <c r="S419" s="1">
        <v>25</v>
      </c>
      <c r="T419" s="1">
        <v>0</v>
      </c>
      <c r="U419" s="1">
        <v>0</v>
      </c>
      <c r="V419" s="1" t="str">
        <f t="shared" si="58"/>
        <v>里程去程</v>
      </c>
      <c r="W419" s="1" t="s">
        <v>35</v>
      </c>
    </row>
    <row r="420" spans="1:23" x14ac:dyDescent="0.3">
      <c r="A420" s="1" t="str">
        <f t="shared" si="60"/>
        <v>59825</v>
      </c>
      <c r="B420" s="1" t="s">
        <v>30</v>
      </c>
      <c r="C420" s="1" t="s">
        <v>31</v>
      </c>
      <c r="D420" s="1" t="str">
        <f t="shared" si="57"/>
        <v>9801</v>
      </c>
      <c r="E420" s="1" t="s">
        <v>25</v>
      </c>
      <c r="F420" s="1" t="str">
        <f>"92B242197B880400C821002000000019"</f>
        <v>92B242197B880400C821002000000019</v>
      </c>
      <c r="G420" s="1" t="s">
        <v>64</v>
      </c>
      <c r="H420" s="1" t="str">
        <f t="shared" si="61"/>
        <v>20220913</v>
      </c>
      <c r="I420" s="1" t="str">
        <f>"123244"</f>
        <v>123244</v>
      </c>
      <c r="J420" s="1" t="s">
        <v>27</v>
      </c>
      <c r="K420" s="1" t="s">
        <v>28</v>
      </c>
      <c r="L420" s="1" t="str">
        <f t="shared" si="62"/>
        <v>20220913</v>
      </c>
      <c r="M420" s="1" t="str">
        <f>"130043"</f>
        <v>130043</v>
      </c>
      <c r="N420" s="1" t="s">
        <v>44</v>
      </c>
      <c r="O420" s="1" t="s">
        <v>45</v>
      </c>
      <c r="P420" s="1" t="s">
        <v>55</v>
      </c>
      <c r="Q420" s="1">
        <v>13</v>
      </c>
      <c r="R420" s="1">
        <v>0</v>
      </c>
      <c r="S420" s="1">
        <v>13</v>
      </c>
      <c r="T420" s="1">
        <v>0</v>
      </c>
      <c r="U420" s="1">
        <v>0</v>
      </c>
      <c r="V420" s="1" t="str">
        <f t="shared" si="58"/>
        <v>里程去程</v>
      </c>
      <c r="W420" s="1" t="s">
        <v>29</v>
      </c>
    </row>
    <row r="421" spans="1:23" x14ac:dyDescent="0.3">
      <c r="A421" s="1" t="str">
        <f t="shared" si="60"/>
        <v>59825</v>
      </c>
      <c r="B421" s="1" t="s">
        <v>30</v>
      </c>
      <c r="C421" s="1" t="s">
        <v>31</v>
      </c>
      <c r="D421" s="1" t="str">
        <f t="shared" si="57"/>
        <v>9801</v>
      </c>
      <c r="E421" s="1" t="s">
        <v>25</v>
      </c>
      <c r="F421" s="1" t="str">
        <f>"1057821877"</f>
        <v>1057821877</v>
      </c>
      <c r="G421" s="1" t="s">
        <v>33</v>
      </c>
      <c r="H421" s="1" t="str">
        <f t="shared" si="61"/>
        <v>20220913</v>
      </c>
      <c r="I421" s="1" t="str">
        <f>"123249"</f>
        <v>123249</v>
      </c>
      <c r="J421" s="1" t="s">
        <v>27</v>
      </c>
      <c r="K421" s="1" t="s">
        <v>28</v>
      </c>
      <c r="L421" s="1" t="str">
        <f t="shared" si="62"/>
        <v>20220913</v>
      </c>
      <c r="M421" s="1" t="str">
        <f>"130039"</f>
        <v>130039</v>
      </c>
      <c r="N421" s="1" t="s">
        <v>44</v>
      </c>
      <c r="O421" s="1" t="s">
        <v>45</v>
      </c>
      <c r="P421" s="1" t="s">
        <v>55</v>
      </c>
      <c r="Q421" s="1">
        <v>25</v>
      </c>
      <c r="R421" s="1">
        <v>0</v>
      </c>
      <c r="S421" s="1">
        <v>25</v>
      </c>
      <c r="T421" s="1">
        <v>0</v>
      </c>
      <c r="U421" s="1">
        <v>0</v>
      </c>
      <c r="V421" s="1" t="str">
        <f t="shared" si="58"/>
        <v>里程去程</v>
      </c>
      <c r="W421" s="1" t="s">
        <v>35</v>
      </c>
    </row>
    <row r="422" spans="1:23" x14ac:dyDescent="0.3">
      <c r="A422" s="1" t="str">
        <f t="shared" si="60"/>
        <v>59825</v>
      </c>
      <c r="B422" s="1" t="s">
        <v>30</v>
      </c>
      <c r="C422" s="1" t="s">
        <v>31</v>
      </c>
      <c r="D422" s="1" t="str">
        <f t="shared" si="57"/>
        <v>9801</v>
      </c>
      <c r="E422" s="1" t="s">
        <v>25</v>
      </c>
      <c r="F422" s="1" t="str">
        <f>"51F2385DC68804004325C3F9000C0C0F"</f>
        <v>51F2385DC68804004325C3F9000C0C0F</v>
      </c>
      <c r="G422" s="1" t="s">
        <v>59</v>
      </c>
      <c r="H422" s="1" t="str">
        <f t="shared" si="61"/>
        <v>20220913</v>
      </c>
      <c r="I422" s="1" t="str">
        <f>"123356"</f>
        <v>123356</v>
      </c>
      <c r="J422" s="1" t="s">
        <v>27</v>
      </c>
      <c r="K422" s="1" t="s">
        <v>28</v>
      </c>
      <c r="L422" s="1" t="str">
        <f t="shared" si="62"/>
        <v>20220913</v>
      </c>
      <c r="M422" s="1" t="str">
        <f>"130058"</f>
        <v>130058</v>
      </c>
      <c r="N422" s="1" t="s">
        <v>44</v>
      </c>
      <c r="O422" s="1" t="s">
        <v>45</v>
      </c>
      <c r="P422" s="1" t="s">
        <v>55</v>
      </c>
      <c r="Q422" s="1">
        <v>25</v>
      </c>
      <c r="R422" s="1">
        <v>25</v>
      </c>
      <c r="S422" s="1">
        <v>0</v>
      </c>
      <c r="T422" s="1">
        <v>0</v>
      </c>
      <c r="U422" s="1">
        <v>0</v>
      </c>
      <c r="V422" s="1" t="str">
        <f t="shared" si="58"/>
        <v>里程去程</v>
      </c>
      <c r="W422" s="1" t="s">
        <v>29</v>
      </c>
    </row>
    <row r="423" spans="1:23" x14ac:dyDescent="0.3">
      <c r="A423" s="1" t="str">
        <f t="shared" si="60"/>
        <v>59825</v>
      </c>
      <c r="B423" s="1" t="s">
        <v>30</v>
      </c>
      <c r="C423" s="1" t="s">
        <v>31</v>
      </c>
      <c r="D423" s="1" t="str">
        <f t="shared" si="57"/>
        <v>9801</v>
      </c>
      <c r="E423" s="1" t="s">
        <v>25</v>
      </c>
      <c r="F423" s="1" t="str">
        <f>"1561925761"</f>
        <v>1561925761</v>
      </c>
      <c r="G423" s="1" t="s">
        <v>33</v>
      </c>
      <c r="H423" s="1" t="str">
        <f t="shared" si="61"/>
        <v>20220913</v>
      </c>
      <c r="I423" s="1" t="str">
        <f>"123408"</f>
        <v>123408</v>
      </c>
      <c r="J423" s="1" t="s">
        <v>27</v>
      </c>
      <c r="K423" s="1" t="s">
        <v>28</v>
      </c>
      <c r="L423" s="1" t="str">
        <f t="shared" si="62"/>
        <v>20220913</v>
      </c>
      <c r="M423" s="1" t="str">
        <f>"124429"</f>
        <v>124429</v>
      </c>
      <c r="N423" s="1" t="s">
        <v>79</v>
      </c>
      <c r="O423" s="1" t="s">
        <v>45</v>
      </c>
      <c r="P423" s="1" t="s">
        <v>55</v>
      </c>
      <c r="Q423" s="1">
        <v>25</v>
      </c>
      <c r="R423" s="1">
        <v>25</v>
      </c>
      <c r="S423" s="1">
        <v>0</v>
      </c>
      <c r="T423" s="1">
        <v>0</v>
      </c>
      <c r="U423" s="1">
        <v>0</v>
      </c>
      <c r="V423" s="1" t="str">
        <f t="shared" si="58"/>
        <v>里程去程</v>
      </c>
      <c r="W423" s="1" t="s">
        <v>35</v>
      </c>
    </row>
    <row r="424" spans="1:23" x14ac:dyDescent="0.3">
      <c r="A424" s="1" t="str">
        <f t="shared" si="60"/>
        <v>59825</v>
      </c>
      <c r="B424" s="1" t="s">
        <v>30</v>
      </c>
      <c r="C424" s="1" t="s">
        <v>31</v>
      </c>
      <c r="D424" s="1" t="str">
        <f t="shared" si="57"/>
        <v>9801</v>
      </c>
      <c r="E424" s="1" t="s">
        <v>25</v>
      </c>
      <c r="F424" s="1" t="str">
        <f>"3907804618"</f>
        <v>3907804618</v>
      </c>
      <c r="G424" s="1" t="s">
        <v>33</v>
      </c>
      <c r="H424" s="1" t="str">
        <f t="shared" si="61"/>
        <v>20220913</v>
      </c>
      <c r="I424" s="1" t="str">
        <f>"123553"</f>
        <v>123553</v>
      </c>
      <c r="J424" s="1" t="s">
        <v>27</v>
      </c>
      <c r="K424" s="1" t="s">
        <v>28</v>
      </c>
      <c r="L424" s="1" t="str">
        <f t="shared" si="62"/>
        <v>20220913</v>
      </c>
      <c r="M424" s="1" t="str">
        <f>"130101"</f>
        <v>130101</v>
      </c>
      <c r="N424" s="1" t="s">
        <v>44</v>
      </c>
      <c r="O424" s="1" t="s">
        <v>45</v>
      </c>
      <c r="P424" s="1" t="s">
        <v>55</v>
      </c>
      <c r="Q424" s="1">
        <v>25</v>
      </c>
      <c r="R424" s="1">
        <v>25</v>
      </c>
      <c r="S424" s="1">
        <v>0</v>
      </c>
      <c r="T424" s="1">
        <v>0</v>
      </c>
      <c r="U424" s="1">
        <v>0</v>
      </c>
      <c r="V424" s="1" t="str">
        <f t="shared" si="58"/>
        <v>里程去程</v>
      </c>
      <c r="W424" s="1" t="s">
        <v>35</v>
      </c>
    </row>
    <row r="425" spans="1:23" x14ac:dyDescent="0.3">
      <c r="A425" s="1" t="str">
        <f t="shared" si="60"/>
        <v>59825</v>
      </c>
      <c r="B425" s="1" t="s">
        <v>30</v>
      </c>
      <c r="C425" s="1" t="s">
        <v>31</v>
      </c>
      <c r="D425" s="1" t="str">
        <f t="shared" si="57"/>
        <v>9801</v>
      </c>
      <c r="E425" s="1" t="s">
        <v>25</v>
      </c>
      <c r="F425" s="1" t="str">
        <f>"3907804618"</f>
        <v>3907804618</v>
      </c>
      <c r="G425" s="1" t="s">
        <v>33</v>
      </c>
      <c r="H425" s="1" t="str">
        <f t="shared" si="61"/>
        <v>20220913</v>
      </c>
      <c r="I425" s="1" t="str">
        <f>"130136"</f>
        <v>130136</v>
      </c>
      <c r="J425" s="1" t="s">
        <v>52</v>
      </c>
      <c r="K425" s="1" t="s">
        <v>52</v>
      </c>
      <c r="L425" s="1" t="str">
        <f t="shared" si="62"/>
        <v>20220913</v>
      </c>
      <c r="M425" s="1" t="str">
        <f>"130702"</f>
        <v>130702</v>
      </c>
      <c r="N425" s="1" t="s">
        <v>60</v>
      </c>
      <c r="O425" s="1" t="s">
        <v>52</v>
      </c>
      <c r="P425" s="1" t="s">
        <v>55</v>
      </c>
      <c r="Q425" s="1">
        <v>25</v>
      </c>
      <c r="R425" s="1">
        <v>25</v>
      </c>
      <c r="S425" s="1">
        <v>0</v>
      </c>
      <c r="T425" s="1">
        <v>0</v>
      </c>
      <c r="U425" s="1">
        <v>0</v>
      </c>
      <c r="V425" s="1" t="str">
        <f t="shared" si="58"/>
        <v>里程去程</v>
      </c>
      <c r="W425" s="1" t="s">
        <v>35</v>
      </c>
    </row>
    <row r="426" spans="1:23" x14ac:dyDescent="0.3">
      <c r="A426" s="1" t="str">
        <f t="shared" si="60"/>
        <v>59825</v>
      </c>
      <c r="B426" s="1" t="s">
        <v>30</v>
      </c>
      <c r="C426" s="1" t="s">
        <v>31</v>
      </c>
      <c r="D426" s="1" t="str">
        <f t="shared" si="57"/>
        <v>9801</v>
      </c>
      <c r="E426" s="1" t="s">
        <v>25</v>
      </c>
      <c r="F426" s="1" t="str">
        <f>"923F4602E9880400C821002000000015"</f>
        <v>923F4602E9880400C821002000000015</v>
      </c>
      <c r="G426" s="1" t="s">
        <v>26</v>
      </c>
      <c r="H426" s="1" t="str">
        <f t="shared" si="61"/>
        <v>20220913</v>
      </c>
      <c r="I426" s="1" t="str">
        <f>"130139"</f>
        <v>130139</v>
      </c>
      <c r="J426" s="1" t="s">
        <v>52</v>
      </c>
      <c r="K426" s="1" t="s">
        <v>52</v>
      </c>
      <c r="L426" s="1" t="str">
        <f t="shared" si="62"/>
        <v>20220913</v>
      </c>
      <c r="M426" s="1" t="str">
        <f>"130722"</f>
        <v>130722</v>
      </c>
      <c r="N426" s="1" t="s">
        <v>60</v>
      </c>
      <c r="O426" s="1" t="s">
        <v>52</v>
      </c>
      <c r="P426" s="1" t="s">
        <v>68</v>
      </c>
      <c r="Q426" s="1">
        <v>13</v>
      </c>
      <c r="R426" s="1">
        <v>0</v>
      </c>
      <c r="S426" s="1">
        <v>0</v>
      </c>
      <c r="T426" s="1">
        <v>13</v>
      </c>
      <c r="U426" s="1">
        <v>0</v>
      </c>
      <c r="V426" s="1" t="str">
        <f t="shared" si="58"/>
        <v>里程去程</v>
      </c>
      <c r="W426" s="1" t="s">
        <v>29</v>
      </c>
    </row>
    <row r="427" spans="1:23" x14ac:dyDescent="0.3">
      <c r="A427" s="1" t="str">
        <f t="shared" si="60"/>
        <v>59825</v>
      </c>
      <c r="B427" s="1" t="s">
        <v>30</v>
      </c>
      <c r="C427" s="1" t="s">
        <v>110</v>
      </c>
      <c r="D427" s="1" t="str">
        <f t="shared" si="57"/>
        <v>9801</v>
      </c>
      <c r="E427" s="1" t="s">
        <v>25</v>
      </c>
      <c r="F427" s="1" t="str">
        <f>"7511200847011585"</f>
        <v>7511200847011585</v>
      </c>
      <c r="G427" s="1" t="s">
        <v>33</v>
      </c>
      <c r="H427" s="1" t="str">
        <f t="shared" si="61"/>
        <v>20220913</v>
      </c>
      <c r="I427" s="1" t="str">
        <f>"133302"</f>
        <v>133302</v>
      </c>
      <c r="J427" s="1" t="s">
        <v>27</v>
      </c>
      <c r="K427" s="1" t="s">
        <v>28</v>
      </c>
      <c r="L427" s="1" t="str">
        <f t="shared" si="62"/>
        <v>20220913</v>
      </c>
      <c r="M427" s="1" t="str">
        <f>"134859"</f>
        <v>134859</v>
      </c>
      <c r="N427" s="1" t="s">
        <v>100</v>
      </c>
      <c r="O427" s="1" t="s">
        <v>45</v>
      </c>
      <c r="P427" s="1" t="s">
        <v>55</v>
      </c>
      <c r="Q427" s="1">
        <v>25</v>
      </c>
      <c r="R427" s="1">
        <v>25</v>
      </c>
      <c r="S427" s="1">
        <v>0</v>
      </c>
      <c r="T427" s="1">
        <v>0</v>
      </c>
      <c r="U427" s="1">
        <v>0</v>
      </c>
      <c r="V427" s="1" t="str">
        <f t="shared" si="58"/>
        <v>里程去程</v>
      </c>
      <c r="W427" s="1" t="s">
        <v>109</v>
      </c>
    </row>
    <row r="428" spans="1:23" x14ac:dyDescent="0.3">
      <c r="A428" s="1" t="str">
        <f t="shared" si="60"/>
        <v>59825</v>
      </c>
      <c r="B428" s="1" t="s">
        <v>30</v>
      </c>
      <c r="C428" s="1" t="s">
        <v>31</v>
      </c>
      <c r="D428" s="1" t="str">
        <f t="shared" si="57"/>
        <v>9801</v>
      </c>
      <c r="E428" s="1" t="s">
        <v>25</v>
      </c>
      <c r="F428" s="1" t="str">
        <f>"F27CE6026A880400C834002000000015"</f>
        <v>F27CE6026A880400C834002000000015</v>
      </c>
      <c r="G428" s="1" t="s">
        <v>74</v>
      </c>
      <c r="H428" s="1" t="str">
        <f t="shared" si="61"/>
        <v>20220913</v>
      </c>
      <c r="I428" s="1" t="str">
        <f>"145840"</f>
        <v>145840</v>
      </c>
      <c r="J428" s="1" t="s">
        <v>52</v>
      </c>
      <c r="K428" s="1" t="s">
        <v>52</v>
      </c>
      <c r="L428" s="1" t="str">
        <f t="shared" si="62"/>
        <v>20220913</v>
      </c>
      <c r="M428" s="1" t="str">
        <f>"150659"</f>
        <v>150659</v>
      </c>
      <c r="N428" s="1" t="s">
        <v>60</v>
      </c>
      <c r="O428" s="1" t="s">
        <v>52</v>
      </c>
      <c r="P428" s="1" t="s">
        <v>68</v>
      </c>
      <c r="Q428" s="1">
        <v>13</v>
      </c>
      <c r="R428" s="1">
        <v>0</v>
      </c>
      <c r="S428" s="1">
        <v>0</v>
      </c>
      <c r="T428" s="1">
        <v>13</v>
      </c>
      <c r="U428" s="1">
        <v>0</v>
      </c>
      <c r="V428" s="1" t="str">
        <f t="shared" si="58"/>
        <v>里程去程</v>
      </c>
      <c r="W428" s="1" t="s">
        <v>29</v>
      </c>
    </row>
    <row r="429" spans="1:23" x14ac:dyDescent="0.3">
      <c r="A429" s="1" t="str">
        <f t="shared" si="60"/>
        <v>59825</v>
      </c>
      <c r="B429" s="1" t="s">
        <v>30</v>
      </c>
      <c r="C429" s="1" t="s">
        <v>31</v>
      </c>
      <c r="D429" s="1" t="str">
        <f t="shared" si="57"/>
        <v>9801</v>
      </c>
      <c r="E429" s="1" t="s">
        <v>25</v>
      </c>
      <c r="F429" s="1" t="str">
        <f>"1825936917"</f>
        <v>1825936917</v>
      </c>
      <c r="G429" s="1" t="s">
        <v>38</v>
      </c>
      <c r="H429" s="1" t="str">
        <f t="shared" si="61"/>
        <v>20220913</v>
      </c>
      <c r="I429" s="1" t="str">
        <f>"150729"</f>
        <v>150729</v>
      </c>
      <c r="J429" s="1" t="s">
        <v>60</v>
      </c>
      <c r="K429" s="1" t="s">
        <v>52</v>
      </c>
      <c r="L429" s="1" t="str">
        <f t="shared" si="62"/>
        <v>20220913</v>
      </c>
      <c r="M429" s="1" t="str">
        <f>"153116"</f>
        <v>153116</v>
      </c>
      <c r="N429" s="1" t="s">
        <v>70</v>
      </c>
      <c r="O429" s="1" t="s">
        <v>28</v>
      </c>
      <c r="P429" s="1" t="s">
        <v>55</v>
      </c>
      <c r="Q429" s="1">
        <v>25</v>
      </c>
      <c r="R429" s="1">
        <v>25</v>
      </c>
      <c r="S429" s="1">
        <v>0</v>
      </c>
      <c r="T429" s="1">
        <v>0</v>
      </c>
      <c r="U429" s="1">
        <v>0</v>
      </c>
      <c r="V429" s="1" t="str">
        <f t="shared" si="58"/>
        <v>里程去程</v>
      </c>
      <c r="W429" s="1" t="s">
        <v>35</v>
      </c>
    </row>
    <row r="430" spans="1:23" x14ac:dyDescent="0.3">
      <c r="A430" s="1" t="str">
        <f t="shared" si="60"/>
        <v>59825</v>
      </c>
      <c r="B430" s="1" t="s">
        <v>30</v>
      </c>
      <c r="C430" s="1" t="s">
        <v>110</v>
      </c>
      <c r="D430" s="1" t="str">
        <f t="shared" si="57"/>
        <v>9801</v>
      </c>
      <c r="E430" s="1" t="s">
        <v>25</v>
      </c>
      <c r="F430" s="1" t="str">
        <f>"5317202019051170"</f>
        <v>5317202019051170</v>
      </c>
      <c r="G430" s="1" t="s">
        <v>33</v>
      </c>
      <c r="H430" s="1" t="str">
        <f t="shared" si="61"/>
        <v>20220913</v>
      </c>
      <c r="I430" s="1" t="str">
        <f>"153408"</f>
        <v>153408</v>
      </c>
      <c r="J430" s="1" t="s">
        <v>27</v>
      </c>
      <c r="K430" s="1" t="s">
        <v>28</v>
      </c>
      <c r="L430" s="1" t="str">
        <f t="shared" si="62"/>
        <v>20220913</v>
      </c>
      <c r="M430" s="1" t="str">
        <f>"155603"</f>
        <v>155603</v>
      </c>
      <c r="N430" s="1" t="s">
        <v>44</v>
      </c>
      <c r="O430" s="1" t="s">
        <v>45</v>
      </c>
      <c r="P430" s="1" t="s">
        <v>55</v>
      </c>
      <c r="Q430" s="1">
        <v>25</v>
      </c>
      <c r="R430" s="1">
        <v>25</v>
      </c>
      <c r="S430" s="1">
        <v>0</v>
      </c>
      <c r="T430" s="1">
        <v>0</v>
      </c>
      <c r="U430" s="1">
        <v>0</v>
      </c>
      <c r="V430" s="1" t="str">
        <f t="shared" si="58"/>
        <v>里程去程</v>
      </c>
      <c r="W430" s="1" t="s">
        <v>109</v>
      </c>
    </row>
    <row r="431" spans="1:23" x14ac:dyDescent="0.3">
      <c r="A431" s="1" t="str">
        <f t="shared" si="60"/>
        <v>59825</v>
      </c>
      <c r="B431" s="1" t="s">
        <v>30</v>
      </c>
      <c r="C431" s="1" t="s">
        <v>31</v>
      </c>
      <c r="D431" s="1" t="str">
        <f t="shared" si="57"/>
        <v>9801</v>
      </c>
      <c r="E431" s="1" t="s">
        <v>25</v>
      </c>
      <c r="F431" s="1" t="str">
        <f>"1834553153"</f>
        <v>1834553153</v>
      </c>
      <c r="G431" s="1" t="s">
        <v>33</v>
      </c>
      <c r="H431" s="1" t="str">
        <f t="shared" si="61"/>
        <v>20220913</v>
      </c>
      <c r="I431" s="1" t="str">
        <f>"153423"</f>
        <v>153423</v>
      </c>
      <c r="J431" s="1" t="s">
        <v>27</v>
      </c>
      <c r="K431" s="1" t="s">
        <v>28</v>
      </c>
      <c r="L431" s="1" t="str">
        <f t="shared" si="62"/>
        <v>20220913</v>
      </c>
      <c r="M431" s="1" t="str">
        <f>"154403"</f>
        <v>154403</v>
      </c>
      <c r="N431" s="1" t="s">
        <v>45</v>
      </c>
      <c r="O431" s="1" t="s">
        <v>45</v>
      </c>
      <c r="P431" s="1" t="s">
        <v>55</v>
      </c>
      <c r="Q431" s="1">
        <v>25</v>
      </c>
      <c r="R431" s="1">
        <v>25</v>
      </c>
      <c r="S431" s="1">
        <v>0</v>
      </c>
      <c r="T431" s="1">
        <v>0</v>
      </c>
      <c r="U431" s="1">
        <v>0</v>
      </c>
      <c r="V431" s="1" t="str">
        <f t="shared" si="58"/>
        <v>里程去程</v>
      </c>
      <c r="W431" s="1" t="s">
        <v>35</v>
      </c>
    </row>
    <row r="432" spans="1:23" x14ac:dyDescent="0.3">
      <c r="A432" s="1" t="str">
        <f t="shared" si="60"/>
        <v>59825</v>
      </c>
      <c r="B432" s="1" t="s">
        <v>30</v>
      </c>
      <c r="C432" s="1" t="s">
        <v>31</v>
      </c>
      <c r="D432" s="1" t="str">
        <f t="shared" si="57"/>
        <v>9801</v>
      </c>
      <c r="E432" s="1" t="s">
        <v>25</v>
      </c>
      <c r="F432" s="1" t="str">
        <f>"A2641D03D8880400C834002000000015"</f>
        <v>A2641D03D8880400C834002000000015</v>
      </c>
      <c r="G432" s="1" t="s">
        <v>26</v>
      </c>
      <c r="H432" s="1" t="str">
        <f t="shared" ref="H432:H450" si="63">"20220913"</f>
        <v>20220913</v>
      </c>
      <c r="I432" s="1" t="str">
        <f>"153433"</f>
        <v>153433</v>
      </c>
      <c r="J432" s="1" t="s">
        <v>27</v>
      </c>
      <c r="K432" s="1" t="s">
        <v>28</v>
      </c>
      <c r="L432" s="1" t="str">
        <f t="shared" ref="L432:L450" si="64">"20220913"</f>
        <v>20220913</v>
      </c>
      <c r="M432" s="1" t="str">
        <f>"155555"</f>
        <v>155555</v>
      </c>
      <c r="N432" s="1" t="s">
        <v>44</v>
      </c>
      <c r="O432" s="1" t="s">
        <v>45</v>
      </c>
      <c r="P432" s="1" t="s">
        <v>68</v>
      </c>
      <c r="Q432" s="1">
        <v>13</v>
      </c>
      <c r="R432" s="1">
        <v>0</v>
      </c>
      <c r="S432" s="1">
        <v>0</v>
      </c>
      <c r="T432" s="1">
        <v>13</v>
      </c>
      <c r="U432" s="1">
        <v>0</v>
      </c>
      <c r="V432" s="1" t="str">
        <f t="shared" si="58"/>
        <v>里程去程</v>
      </c>
      <c r="W432" s="1" t="s">
        <v>29</v>
      </c>
    </row>
    <row r="433" spans="1:23" x14ac:dyDescent="0.3">
      <c r="A433" s="1" t="str">
        <f t="shared" si="60"/>
        <v>59825</v>
      </c>
      <c r="B433" s="1" t="s">
        <v>30</v>
      </c>
      <c r="C433" s="1" t="s">
        <v>31</v>
      </c>
      <c r="D433" s="1" t="str">
        <f t="shared" si="57"/>
        <v>9801</v>
      </c>
      <c r="E433" s="1" t="s">
        <v>25</v>
      </c>
      <c r="F433" s="1" t="str">
        <f>"793886709"</f>
        <v>793886709</v>
      </c>
      <c r="G433" s="1" t="s">
        <v>33</v>
      </c>
      <c r="H433" s="1" t="str">
        <f t="shared" si="63"/>
        <v>20220913</v>
      </c>
      <c r="I433" s="1" t="str">
        <f>"153447"</f>
        <v>153447</v>
      </c>
      <c r="J433" s="1" t="s">
        <v>27</v>
      </c>
      <c r="K433" s="1" t="s">
        <v>28</v>
      </c>
      <c r="L433" s="1" t="str">
        <f t="shared" si="64"/>
        <v>20220913</v>
      </c>
      <c r="M433" s="1" t="str">
        <f>"155558"</f>
        <v>155558</v>
      </c>
      <c r="N433" s="1" t="s">
        <v>44</v>
      </c>
      <c r="O433" s="1" t="s">
        <v>45</v>
      </c>
      <c r="P433" s="1" t="s">
        <v>55</v>
      </c>
      <c r="Q433" s="1">
        <v>25</v>
      </c>
      <c r="R433" s="1">
        <v>25</v>
      </c>
      <c r="S433" s="1">
        <v>0</v>
      </c>
      <c r="T433" s="1">
        <v>0</v>
      </c>
      <c r="U433" s="1">
        <v>0</v>
      </c>
      <c r="V433" s="1" t="str">
        <f t="shared" si="58"/>
        <v>里程去程</v>
      </c>
      <c r="W433" s="1" t="s">
        <v>35</v>
      </c>
    </row>
    <row r="434" spans="1:23" x14ac:dyDescent="0.3">
      <c r="A434" s="1" t="str">
        <f t="shared" si="60"/>
        <v>59825</v>
      </c>
      <c r="B434" s="1" t="s">
        <v>30</v>
      </c>
      <c r="C434" s="1" t="s">
        <v>31</v>
      </c>
      <c r="D434" s="1" t="str">
        <f t="shared" si="57"/>
        <v>9801</v>
      </c>
      <c r="E434" s="1" t="s">
        <v>25</v>
      </c>
      <c r="F434" s="1" t="str">
        <f>"55D2A79CBC88040043265ABE00170710"</f>
        <v>55D2A79CBC88040043265ABE00170710</v>
      </c>
      <c r="G434" s="1" t="s">
        <v>64</v>
      </c>
      <c r="H434" s="1" t="str">
        <f t="shared" si="63"/>
        <v>20220913</v>
      </c>
      <c r="I434" s="1" t="str">
        <f>"155920"</f>
        <v>155920</v>
      </c>
      <c r="J434" s="1" t="s">
        <v>52</v>
      </c>
      <c r="K434" s="1" t="s">
        <v>52</v>
      </c>
      <c r="L434" s="1" t="str">
        <f t="shared" si="64"/>
        <v>20220913</v>
      </c>
      <c r="M434" s="1" t="str">
        <f>"162900"</f>
        <v>162900</v>
      </c>
      <c r="N434" s="1" t="s">
        <v>67</v>
      </c>
      <c r="O434" s="1" t="s">
        <v>52</v>
      </c>
      <c r="P434" s="1" t="s">
        <v>55</v>
      </c>
      <c r="Q434" s="1">
        <v>13</v>
      </c>
      <c r="R434" s="1">
        <v>0</v>
      </c>
      <c r="S434" s="1">
        <v>13</v>
      </c>
      <c r="T434" s="1">
        <v>0</v>
      </c>
      <c r="U434" s="1">
        <v>0</v>
      </c>
      <c r="V434" s="1" t="str">
        <f t="shared" si="58"/>
        <v>里程去程</v>
      </c>
      <c r="W434" s="1" t="s">
        <v>29</v>
      </c>
    </row>
    <row r="435" spans="1:23" x14ac:dyDescent="0.3">
      <c r="A435" s="1" t="str">
        <f t="shared" si="60"/>
        <v>59825</v>
      </c>
      <c r="B435" s="1" t="s">
        <v>30</v>
      </c>
      <c r="C435" s="1" t="s">
        <v>31</v>
      </c>
      <c r="D435" s="1" t="str">
        <f t="shared" si="57"/>
        <v>9801</v>
      </c>
      <c r="E435" s="1" t="s">
        <v>25</v>
      </c>
      <c r="F435" s="1" t="str">
        <f>"C2C219031A880400C834002000000015"</f>
        <v>C2C219031A880400C834002000000015</v>
      </c>
      <c r="G435" s="1" t="s">
        <v>74</v>
      </c>
      <c r="H435" s="1" t="str">
        <f t="shared" si="63"/>
        <v>20220913</v>
      </c>
      <c r="I435" s="1" t="str">
        <f>"160734"</f>
        <v>160734</v>
      </c>
      <c r="J435" s="1" t="s">
        <v>60</v>
      </c>
      <c r="K435" s="1" t="s">
        <v>52</v>
      </c>
      <c r="L435" s="1" t="str">
        <f t="shared" si="64"/>
        <v>20220913</v>
      </c>
      <c r="M435" s="1" t="str">
        <f>"161718"</f>
        <v>161718</v>
      </c>
      <c r="N435" s="1" t="s">
        <v>80</v>
      </c>
      <c r="O435" s="1" t="s">
        <v>52</v>
      </c>
      <c r="P435" s="1" t="s">
        <v>68</v>
      </c>
      <c r="Q435" s="1">
        <v>13</v>
      </c>
      <c r="R435" s="1">
        <v>0</v>
      </c>
      <c r="S435" s="1">
        <v>0</v>
      </c>
      <c r="T435" s="1">
        <v>13</v>
      </c>
      <c r="U435" s="1">
        <v>0</v>
      </c>
      <c r="V435" s="1" t="str">
        <f t="shared" si="58"/>
        <v>里程去程</v>
      </c>
      <c r="W435" s="1" t="s">
        <v>29</v>
      </c>
    </row>
    <row r="436" spans="1:23" x14ac:dyDescent="0.3">
      <c r="A436" s="1" t="str">
        <f t="shared" si="60"/>
        <v>59825</v>
      </c>
      <c r="B436" s="1" t="s">
        <v>30</v>
      </c>
      <c r="C436" s="1" t="s">
        <v>31</v>
      </c>
      <c r="D436" s="1" t="str">
        <f t="shared" si="57"/>
        <v>9801</v>
      </c>
      <c r="E436" s="1" t="s">
        <v>25</v>
      </c>
      <c r="F436" s="1" t="str">
        <f>"F2C64D0E77880400C806002000000018"</f>
        <v>F2C64D0E77880400C806002000000018</v>
      </c>
      <c r="G436" s="1" t="s">
        <v>58</v>
      </c>
      <c r="H436" s="1" t="str">
        <f t="shared" si="63"/>
        <v>20220913</v>
      </c>
      <c r="I436" s="1" t="str">
        <f>"160736"</f>
        <v>160736</v>
      </c>
      <c r="J436" s="1" t="s">
        <v>60</v>
      </c>
      <c r="K436" s="1" t="s">
        <v>52</v>
      </c>
      <c r="L436" s="1" t="str">
        <f t="shared" si="64"/>
        <v>20220913</v>
      </c>
      <c r="M436" s="1" t="str">
        <f>"161802"</f>
        <v>161802</v>
      </c>
      <c r="N436" s="1" t="s">
        <v>80</v>
      </c>
      <c r="O436" s="1" t="s">
        <v>52</v>
      </c>
      <c r="P436" s="1" t="s">
        <v>55</v>
      </c>
      <c r="Q436" s="1">
        <v>25</v>
      </c>
      <c r="R436" s="1">
        <v>25</v>
      </c>
      <c r="S436" s="1">
        <v>0</v>
      </c>
      <c r="T436" s="1">
        <v>0</v>
      </c>
      <c r="U436" s="1">
        <v>0</v>
      </c>
      <c r="V436" s="1" t="str">
        <f t="shared" si="58"/>
        <v>里程去程</v>
      </c>
      <c r="W436" s="1" t="s">
        <v>29</v>
      </c>
    </row>
    <row r="437" spans="1:23" x14ac:dyDescent="0.3">
      <c r="A437" s="1" t="str">
        <f t="shared" si="60"/>
        <v>59825</v>
      </c>
      <c r="B437" s="1" t="s">
        <v>30</v>
      </c>
      <c r="C437" s="1" t="s">
        <v>31</v>
      </c>
      <c r="D437" s="1" t="str">
        <f t="shared" si="57"/>
        <v>9801</v>
      </c>
      <c r="E437" s="1" t="s">
        <v>25</v>
      </c>
      <c r="F437" s="1" t="str">
        <f>"8227D00277880400C834002000000015"</f>
        <v>8227D00277880400C834002000000015</v>
      </c>
      <c r="G437" s="1" t="s">
        <v>26</v>
      </c>
      <c r="H437" s="1" t="str">
        <f t="shared" si="63"/>
        <v>20220913</v>
      </c>
      <c r="I437" s="1" t="str">
        <f>"162711"</f>
        <v>162711</v>
      </c>
      <c r="J437" s="1" t="s">
        <v>78</v>
      </c>
      <c r="K437" s="1" t="s">
        <v>52</v>
      </c>
      <c r="L437" s="1" t="str">
        <f t="shared" si="64"/>
        <v>20220913</v>
      </c>
      <c r="M437" s="1" t="str">
        <f>"163943"</f>
        <v>163943</v>
      </c>
      <c r="N437" s="1" t="s">
        <v>70</v>
      </c>
      <c r="O437" s="1" t="s">
        <v>28</v>
      </c>
      <c r="P437" s="1" t="s">
        <v>68</v>
      </c>
      <c r="Q437" s="1">
        <v>13</v>
      </c>
      <c r="R437" s="1">
        <v>0</v>
      </c>
      <c r="S437" s="1">
        <v>0</v>
      </c>
      <c r="T437" s="1">
        <v>13</v>
      </c>
      <c r="U437" s="1">
        <v>0</v>
      </c>
      <c r="V437" s="1" t="str">
        <f t="shared" si="58"/>
        <v>里程去程</v>
      </c>
      <c r="W437" s="1" t="s">
        <v>29</v>
      </c>
    </row>
    <row r="438" spans="1:23" x14ac:dyDescent="0.3">
      <c r="A438" s="1" t="str">
        <f t="shared" si="60"/>
        <v>59825</v>
      </c>
      <c r="B438" s="1" t="s">
        <v>30</v>
      </c>
      <c r="C438" s="1" t="s">
        <v>31</v>
      </c>
      <c r="D438" s="1" t="str">
        <f t="shared" si="57"/>
        <v>9801</v>
      </c>
      <c r="E438" s="1" t="s">
        <v>25</v>
      </c>
      <c r="F438" s="1" t="str">
        <f>"1103653621"</f>
        <v>1103653621</v>
      </c>
      <c r="G438" s="1" t="s">
        <v>38</v>
      </c>
      <c r="H438" s="1" t="str">
        <f t="shared" si="63"/>
        <v>20220913</v>
      </c>
      <c r="I438" s="1" t="str">
        <f>"163950"</f>
        <v>163950</v>
      </c>
      <c r="J438" s="1" t="s">
        <v>27</v>
      </c>
      <c r="K438" s="1" t="s">
        <v>28</v>
      </c>
      <c r="L438" s="1" t="str">
        <f t="shared" si="64"/>
        <v>20220913</v>
      </c>
      <c r="M438" s="1" t="str">
        <f>"165411"</f>
        <v>165411</v>
      </c>
      <c r="N438" s="1" t="s">
        <v>56</v>
      </c>
      <c r="O438" s="1" t="s">
        <v>45</v>
      </c>
      <c r="P438" s="1" t="s">
        <v>55</v>
      </c>
      <c r="Q438" s="1">
        <v>25</v>
      </c>
      <c r="R438" s="1">
        <v>25</v>
      </c>
      <c r="S438" s="1">
        <v>0</v>
      </c>
      <c r="T438" s="1">
        <v>0</v>
      </c>
      <c r="U438" s="1">
        <v>0</v>
      </c>
      <c r="V438" s="1" t="str">
        <f t="shared" si="58"/>
        <v>里程去程</v>
      </c>
      <c r="W438" s="1" t="s">
        <v>35</v>
      </c>
    </row>
    <row r="439" spans="1:23" x14ac:dyDescent="0.3">
      <c r="A439" s="1" t="str">
        <f t="shared" si="60"/>
        <v>59825</v>
      </c>
      <c r="B439" s="1" t="s">
        <v>30</v>
      </c>
      <c r="C439" s="1" t="s">
        <v>31</v>
      </c>
      <c r="D439" s="1" t="str">
        <f t="shared" si="57"/>
        <v>9801</v>
      </c>
      <c r="E439" s="1" t="s">
        <v>25</v>
      </c>
      <c r="F439" s="1" t="str">
        <f>"1300375009"</f>
        <v>1300375009</v>
      </c>
      <c r="G439" s="1" t="s">
        <v>74</v>
      </c>
      <c r="H439" s="1" t="str">
        <f t="shared" si="63"/>
        <v>20220913</v>
      </c>
      <c r="I439" s="1" t="str">
        <f>"164005"</f>
        <v>164005</v>
      </c>
      <c r="J439" s="1" t="s">
        <v>27</v>
      </c>
      <c r="K439" s="1" t="s">
        <v>28</v>
      </c>
      <c r="L439" s="1" t="str">
        <f t="shared" si="64"/>
        <v>20220913</v>
      </c>
      <c r="M439" s="1" t="str">
        <f>"170524"</f>
        <v>170524</v>
      </c>
      <c r="N439" s="1" t="s">
        <v>44</v>
      </c>
      <c r="O439" s="1" t="s">
        <v>45</v>
      </c>
      <c r="P439" s="1" t="s">
        <v>55</v>
      </c>
      <c r="Q439" s="1">
        <v>13</v>
      </c>
      <c r="R439" s="1">
        <v>13</v>
      </c>
      <c r="S439" s="1">
        <v>0</v>
      </c>
      <c r="T439" s="1">
        <v>0</v>
      </c>
      <c r="U439" s="1">
        <v>0</v>
      </c>
      <c r="V439" s="1" t="str">
        <f t="shared" si="58"/>
        <v>里程去程</v>
      </c>
      <c r="W439" s="1" t="s">
        <v>35</v>
      </c>
    </row>
    <row r="440" spans="1:23" x14ac:dyDescent="0.3">
      <c r="A440" s="1" t="str">
        <f t="shared" si="60"/>
        <v>59825</v>
      </c>
      <c r="B440" s="1" t="s">
        <v>30</v>
      </c>
      <c r="C440" s="1" t="s">
        <v>31</v>
      </c>
      <c r="D440" s="1" t="str">
        <f t="shared" si="57"/>
        <v>9801</v>
      </c>
      <c r="E440" s="1" t="s">
        <v>25</v>
      </c>
      <c r="F440" s="1" t="str">
        <f>"1404051745"</f>
        <v>1404051745</v>
      </c>
      <c r="G440" s="1" t="s">
        <v>102</v>
      </c>
      <c r="H440" s="1" t="str">
        <f t="shared" si="63"/>
        <v>20220913</v>
      </c>
      <c r="I440" s="1" t="str">
        <f>"164010"</f>
        <v>164010</v>
      </c>
      <c r="J440" s="1" t="s">
        <v>27</v>
      </c>
      <c r="K440" s="1" t="s">
        <v>28</v>
      </c>
      <c r="L440" s="1" t="str">
        <f t="shared" si="64"/>
        <v>20220913</v>
      </c>
      <c r="M440" s="1" t="str">
        <f>"170539"</f>
        <v>170539</v>
      </c>
      <c r="N440" s="1" t="s">
        <v>44</v>
      </c>
      <c r="O440" s="1" t="s">
        <v>45</v>
      </c>
      <c r="P440" s="1" t="s">
        <v>55</v>
      </c>
      <c r="Q440" s="1">
        <v>13</v>
      </c>
      <c r="R440" s="1">
        <v>13</v>
      </c>
      <c r="S440" s="1">
        <v>0</v>
      </c>
      <c r="T440" s="1">
        <v>0</v>
      </c>
      <c r="U440" s="1">
        <v>0</v>
      </c>
      <c r="V440" s="1" t="str">
        <f t="shared" si="58"/>
        <v>里程去程</v>
      </c>
      <c r="W440" s="1" t="s">
        <v>35</v>
      </c>
    </row>
    <row r="441" spans="1:23" x14ac:dyDescent="0.3">
      <c r="A441" s="1" t="str">
        <f t="shared" si="60"/>
        <v>59825</v>
      </c>
      <c r="B441" s="1" t="s">
        <v>30</v>
      </c>
      <c r="C441" s="1" t="s">
        <v>31</v>
      </c>
      <c r="D441" s="1" t="str">
        <f t="shared" si="57"/>
        <v>9801</v>
      </c>
      <c r="E441" s="1" t="s">
        <v>25</v>
      </c>
      <c r="F441" s="1" t="str">
        <f>"3717912958"</f>
        <v>3717912958</v>
      </c>
      <c r="G441" s="1" t="s">
        <v>33</v>
      </c>
      <c r="H441" s="1" t="str">
        <f t="shared" si="63"/>
        <v>20220913</v>
      </c>
      <c r="I441" s="1" t="str">
        <f>"164027"</f>
        <v>164027</v>
      </c>
      <c r="J441" s="1" t="s">
        <v>27</v>
      </c>
      <c r="K441" s="1" t="s">
        <v>28</v>
      </c>
      <c r="L441" s="1" t="str">
        <f t="shared" si="64"/>
        <v>20220913</v>
      </c>
      <c r="M441" s="1" t="str">
        <f>"165723"</f>
        <v>165723</v>
      </c>
      <c r="N441" s="1" t="s">
        <v>75</v>
      </c>
      <c r="O441" s="1" t="s">
        <v>45</v>
      </c>
      <c r="P441" s="1" t="s">
        <v>55</v>
      </c>
      <c r="Q441" s="1">
        <v>25</v>
      </c>
      <c r="R441" s="1">
        <v>25</v>
      </c>
      <c r="S441" s="1">
        <v>0</v>
      </c>
      <c r="T441" s="1">
        <v>0</v>
      </c>
      <c r="U441" s="1">
        <v>0</v>
      </c>
      <c r="V441" s="1" t="str">
        <f t="shared" si="58"/>
        <v>里程去程</v>
      </c>
      <c r="W441" s="1" t="s">
        <v>35</v>
      </c>
    </row>
    <row r="442" spans="1:23" x14ac:dyDescent="0.3">
      <c r="A442" s="1" t="str">
        <f t="shared" si="60"/>
        <v>59825</v>
      </c>
      <c r="B442" s="1" t="s">
        <v>30</v>
      </c>
      <c r="C442" s="1" t="s">
        <v>31</v>
      </c>
      <c r="D442" s="1" t="str">
        <f t="shared" si="57"/>
        <v>9801</v>
      </c>
      <c r="E442" s="1" t="s">
        <v>25</v>
      </c>
      <c r="F442" s="1" t="str">
        <f>"55D2A79CBC88040043265ABE00170710"</f>
        <v>55D2A79CBC88040043265ABE00170710</v>
      </c>
      <c r="G442" s="1" t="s">
        <v>64</v>
      </c>
      <c r="H442" s="1" t="str">
        <f t="shared" si="63"/>
        <v>20220913</v>
      </c>
      <c r="I442" s="1" t="str">
        <f>"200253"</f>
        <v>200253</v>
      </c>
      <c r="J442" s="1" t="s">
        <v>52</v>
      </c>
      <c r="K442" s="1" t="s">
        <v>52</v>
      </c>
      <c r="L442" s="1" t="str">
        <f t="shared" si="64"/>
        <v>20220913</v>
      </c>
      <c r="M442" s="1" t="str">
        <f>"202649"</f>
        <v>202649</v>
      </c>
      <c r="N442" s="1" t="s">
        <v>67</v>
      </c>
      <c r="O442" s="1" t="s">
        <v>52</v>
      </c>
      <c r="P442" s="1" t="s">
        <v>55</v>
      </c>
      <c r="Q442" s="1">
        <v>13</v>
      </c>
      <c r="R442" s="1">
        <v>0</v>
      </c>
      <c r="S442" s="1">
        <v>13</v>
      </c>
      <c r="T442" s="1">
        <v>0</v>
      </c>
      <c r="U442" s="1">
        <v>0</v>
      </c>
      <c r="V442" s="1" t="str">
        <f t="shared" si="58"/>
        <v>里程去程</v>
      </c>
      <c r="W442" s="1" t="s">
        <v>29</v>
      </c>
    </row>
    <row r="443" spans="1:23" x14ac:dyDescent="0.3">
      <c r="A443" s="1" t="str">
        <f t="shared" si="60"/>
        <v>59825</v>
      </c>
      <c r="B443" s="1" t="s">
        <v>30</v>
      </c>
      <c r="C443" s="1" t="s">
        <v>31</v>
      </c>
      <c r="D443" s="1" t="str">
        <f t="shared" si="57"/>
        <v>9801</v>
      </c>
      <c r="E443" s="1" t="s">
        <v>25</v>
      </c>
      <c r="F443" s="1" t="str">
        <f>"1129190405"</f>
        <v>1129190405</v>
      </c>
      <c r="G443" s="1" t="s">
        <v>33</v>
      </c>
      <c r="H443" s="1" t="str">
        <f t="shared" si="63"/>
        <v>20220913</v>
      </c>
      <c r="I443" s="1" t="str">
        <f>"202313"</f>
        <v>202313</v>
      </c>
      <c r="J443" s="1" t="s">
        <v>69</v>
      </c>
      <c r="K443" s="1" t="s">
        <v>52</v>
      </c>
      <c r="L443" s="1" t="str">
        <f t="shared" si="64"/>
        <v>20220913</v>
      </c>
      <c r="M443" s="1" t="str">
        <f>"202919"</f>
        <v>202919</v>
      </c>
      <c r="N443" s="1" t="s">
        <v>84</v>
      </c>
      <c r="O443" s="1" t="s">
        <v>28</v>
      </c>
      <c r="P443" s="1" t="s">
        <v>55</v>
      </c>
      <c r="Q443" s="1">
        <v>25</v>
      </c>
      <c r="R443" s="1">
        <v>25</v>
      </c>
      <c r="S443" s="1">
        <v>0</v>
      </c>
      <c r="T443" s="1">
        <v>0</v>
      </c>
      <c r="U443" s="1">
        <v>0</v>
      </c>
      <c r="V443" s="1" t="str">
        <f t="shared" si="58"/>
        <v>里程去程</v>
      </c>
      <c r="W443" s="1" t="s">
        <v>35</v>
      </c>
    </row>
    <row r="444" spans="1:23" x14ac:dyDescent="0.3">
      <c r="A444" s="1" t="str">
        <f t="shared" ref="A444:A450" si="65">"59828"</f>
        <v>59828</v>
      </c>
      <c r="B444" s="1" t="s">
        <v>23</v>
      </c>
      <c r="C444" s="1" t="s">
        <v>24</v>
      </c>
      <c r="D444" s="1" t="str">
        <f t="shared" si="57"/>
        <v>9801</v>
      </c>
      <c r="E444" s="1" t="s">
        <v>25</v>
      </c>
      <c r="F444" s="1" t="str">
        <f>"82D5FB02AE880400C834002000000015"</f>
        <v>82D5FB02AE880400C834002000000015</v>
      </c>
      <c r="G444" s="1" t="s">
        <v>26</v>
      </c>
      <c r="H444" s="1" t="str">
        <f t="shared" si="63"/>
        <v>20220913</v>
      </c>
      <c r="I444" s="1" t="str">
        <f>"080933"</f>
        <v>080933</v>
      </c>
      <c r="J444" s="1" t="s">
        <v>51</v>
      </c>
      <c r="K444" s="1" t="s">
        <v>52</v>
      </c>
      <c r="L444" s="1" t="str">
        <f t="shared" si="64"/>
        <v>20220913</v>
      </c>
      <c r="M444" s="1" t="str">
        <f>"081633"</f>
        <v>081633</v>
      </c>
      <c r="N444" s="1" t="s">
        <v>80</v>
      </c>
      <c r="O444" s="1" t="s">
        <v>52</v>
      </c>
      <c r="P444" s="1" t="s">
        <v>68</v>
      </c>
      <c r="Q444" s="1">
        <v>13</v>
      </c>
      <c r="R444" s="1">
        <v>0</v>
      </c>
      <c r="S444" s="1">
        <v>0</v>
      </c>
      <c r="T444" s="1">
        <v>13</v>
      </c>
      <c r="U444" s="1">
        <v>0</v>
      </c>
      <c r="V444" s="1" t="str">
        <f t="shared" si="58"/>
        <v>里程去程</v>
      </c>
      <c r="W444" s="1" t="s">
        <v>29</v>
      </c>
    </row>
    <row r="445" spans="1:23" x14ac:dyDescent="0.3">
      <c r="A445" s="1" t="str">
        <f t="shared" si="65"/>
        <v>59828</v>
      </c>
      <c r="B445" s="1" t="s">
        <v>23</v>
      </c>
      <c r="C445" s="1" t="s">
        <v>24</v>
      </c>
      <c r="D445" s="1" t="str">
        <f t="shared" si="57"/>
        <v>9801</v>
      </c>
      <c r="E445" s="1" t="s">
        <v>25</v>
      </c>
      <c r="F445" s="1" t="str">
        <f>"F2F7D002D7880400C834002000000015"</f>
        <v>F2F7D002D7880400C834002000000015</v>
      </c>
      <c r="G445" s="1" t="s">
        <v>74</v>
      </c>
      <c r="H445" s="1" t="str">
        <f t="shared" si="63"/>
        <v>20220913</v>
      </c>
      <c r="I445" s="1" t="str">
        <f>"082559"</f>
        <v>082559</v>
      </c>
      <c r="J445" s="1" t="s">
        <v>67</v>
      </c>
      <c r="K445" s="1" t="s">
        <v>52</v>
      </c>
      <c r="L445" s="1" t="str">
        <f t="shared" si="64"/>
        <v>20220913</v>
      </c>
      <c r="M445" s="1" t="str">
        <f>"085603"</f>
        <v>085603</v>
      </c>
      <c r="N445" s="1" t="s">
        <v>44</v>
      </c>
      <c r="O445" s="1" t="s">
        <v>45</v>
      </c>
      <c r="P445" s="1" t="s">
        <v>68</v>
      </c>
      <c r="Q445" s="1">
        <v>25</v>
      </c>
      <c r="R445" s="1">
        <v>0</v>
      </c>
      <c r="S445" s="1">
        <v>0</v>
      </c>
      <c r="T445" s="1">
        <v>25</v>
      </c>
      <c r="U445" s="1">
        <v>0</v>
      </c>
      <c r="V445" s="1" t="str">
        <f t="shared" si="58"/>
        <v>里程去程</v>
      </c>
      <c r="W445" s="1" t="s">
        <v>29</v>
      </c>
    </row>
    <row r="446" spans="1:23" x14ac:dyDescent="0.3">
      <c r="A446" s="1" t="str">
        <f t="shared" si="65"/>
        <v>59828</v>
      </c>
      <c r="B446" s="1" t="s">
        <v>23</v>
      </c>
      <c r="C446" s="1" t="s">
        <v>24</v>
      </c>
      <c r="D446" s="1" t="str">
        <f t="shared" si="57"/>
        <v>9801</v>
      </c>
      <c r="E446" s="1" t="s">
        <v>25</v>
      </c>
      <c r="F446" s="1" t="str">
        <f>"F2F7D002D7880400C834002000000015"</f>
        <v>F2F7D002D7880400C834002000000015</v>
      </c>
      <c r="G446" s="1" t="s">
        <v>74</v>
      </c>
      <c r="H446" s="1" t="str">
        <f t="shared" si="63"/>
        <v>20220913</v>
      </c>
      <c r="I446" s="1" t="str">
        <f>"085741"</f>
        <v>085741</v>
      </c>
      <c r="J446" s="1" t="s">
        <v>52</v>
      </c>
      <c r="K446" s="1" t="s">
        <v>52</v>
      </c>
      <c r="L446" s="1" t="str">
        <f t="shared" si="64"/>
        <v>20220913</v>
      </c>
      <c r="M446" s="1" t="str">
        <f>"090051"</f>
        <v>090051</v>
      </c>
      <c r="N446" s="1" t="s">
        <v>52</v>
      </c>
      <c r="O446" s="1" t="s">
        <v>52</v>
      </c>
      <c r="P446" s="1" t="s">
        <v>68</v>
      </c>
      <c r="Q446" s="1">
        <v>13</v>
      </c>
      <c r="R446" s="1">
        <v>0</v>
      </c>
      <c r="S446" s="1">
        <v>0</v>
      </c>
      <c r="T446" s="1">
        <v>13</v>
      </c>
      <c r="U446" s="1">
        <v>0</v>
      </c>
      <c r="V446" s="1" t="str">
        <f t="shared" si="58"/>
        <v>里程去程</v>
      </c>
      <c r="W446" s="1" t="s">
        <v>29</v>
      </c>
    </row>
    <row r="447" spans="1:23" x14ac:dyDescent="0.3">
      <c r="A447" s="1" t="str">
        <f t="shared" si="65"/>
        <v>59828</v>
      </c>
      <c r="B447" s="1" t="s">
        <v>23</v>
      </c>
      <c r="C447" s="1" t="s">
        <v>24</v>
      </c>
      <c r="D447" s="1" t="str">
        <f t="shared" si="57"/>
        <v>9801</v>
      </c>
      <c r="E447" s="1" t="s">
        <v>25</v>
      </c>
      <c r="F447" s="1" t="str">
        <f>"A0112D71ED8804004885149351802811"</f>
        <v>A0112D71ED8804004885149351802811</v>
      </c>
      <c r="G447" s="1" t="s">
        <v>58</v>
      </c>
      <c r="H447" s="1" t="str">
        <f t="shared" si="63"/>
        <v>20220913</v>
      </c>
      <c r="I447" s="1" t="str">
        <f>"093107"</f>
        <v>093107</v>
      </c>
      <c r="J447" s="1" t="s">
        <v>27</v>
      </c>
      <c r="K447" s="1" t="s">
        <v>28</v>
      </c>
      <c r="L447" s="1" t="str">
        <f t="shared" si="64"/>
        <v>20220913</v>
      </c>
      <c r="M447" s="1" t="str">
        <f>"094242"</f>
        <v>094242</v>
      </c>
      <c r="N447" s="1" t="s">
        <v>70</v>
      </c>
      <c r="O447" s="1" t="s">
        <v>28</v>
      </c>
      <c r="P447" s="1" t="s">
        <v>55</v>
      </c>
      <c r="Q447" s="1">
        <v>25</v>
      </c>
      <c r="R447" s="1">
        <v>0</v>
      </c>
      <c r="S447" s="1">
        <v>25</v>
      </c>
      <c r="T447" s="1">
        <v>0</v>
      </c>
      <c r="U447" s="1">
        <v>0</v>
      </c>
      <c r="V447" s="1" t="str">
        <f t="shared" si="58"/>
        <v>里程去程</v>
      </c>
      <c r="W447" s="1" t="s">
        <v>29</v>
      </c>
    </row>
    <row r="448" spans="1:23" x14ac:dyDescent="0.3">
      <c r="A448" s="1" t="str">
        <f t="shared" si="65"/>
        <v>59828</v>
      </c>
      <c r="B448" s="1" t="s">
        <v>23</v>
      </c>
      <c r="C448" s="1" t="s">
        <v>24</v>
      </c>
      <c r="D448" s="1" t="str">
        <f t="shared" si="57"/>
        <v>9801</v>
      </c>
      <c r="E448" s="1" t="s">
        <v>25</v>
      </c>
      <c r="F448" s="1" t="str">
        <f>"1077257477"</f>
        <v>1077257477</v>
      </c>
      <c r="G448" s="1" t="s">
        <v>33</v>
      </c>
      <c r="H448" s="1" t="str">
        <f t="shared" si="63"/>
        <v>20220913</v>
      </c>
      <c r="I448" s="1" t="str">
        <f>"093111"</f>
        <v>093111</v>
      </c>
      <c r="J448" s="1" t="s">
        <v>27</v>
      </c>
      <c r="K448" s="1" t="s">
        <v>28</v>
      </c>
      <c r="L448" s="1" t="str">
        <f t="shared" si="64"/>
        <v>20220913</v>
      </c>
      <c r="M448" s="1" t="str">
        <f>"094516"</f>
        <v>094516</v>
      </c>
      <c r="N448" s="1" t="s">
        <v>79</v>
      </c>
      <c r="O448" s="1" t="s">
        <v>45</v>
      </c>
      <c r="P448" s="1" t="s">
        <v>55</v>
      </c>
      <c r="Q448" s="1">
        <v>25</v>
      </c>
      <c r="R448" s="1">
        <v>0</v>
      </c>
      <c r="S448" s="1">
        <v>25</v>
      </c>
      <c r="T448" s="1">
        <v>0</v>
      </c>
      <c r="U448" s="1">
        <v>0</v>
      </c>
      <c r="V448" s="1" t="str">
        <f t="shared" si="58"/>
        <v>里程去程</v>
      </c>
      <c r="W448" s="1" t="s">
        <v>35</v>
      </c>
    </row>
    <row r="449" spans="1:23" x14ac:dyDescent="0.3">
      <c r="A449" s="1" t="str">
        <f t="shared" si="65"/>
        <v>59828</v>
      </c>
      <c r="B449" s="1" t="s">
        <v>23</v>
      </c>
      <c r="C449" s="1" t="s">
        <v>24</v>
      </c>
      <c r="D449" s="1" t="str">
        <f t="shared" si="57"/>
        <v>9801</v>
      </c>
      <c r="E449" s="1" t="s">
        <v>25</v>
      </c>
      <c r="F449" s="1" t="str">
        <f>"E213BD024E880400C834002000000015"</f>
        <v>E213BD024E880400C834002000000015</v>
      </c>
      <c r="G449" s="1" t="s">
        <v>74</v>
      </c>
      <c r="H449" s="1" t="str">
        <f t="shared" si="63"/>
        <v>20220913</v>
      </c>
      <c r="I449" s="1" t="str">
        <f>"093114"</f>
        <v>093114</v>
      </c>
      <c r="J449" s="1" t="s">
        <v>27</v>
      </c>
      <c r="K449" s="1" t="s">
        <v>28</v>
      </c>
      <c r="L449" s="1" t="str">
        <f t="shared" si="64"/>
        <v>20220913</v>
      </c>
      <c r="M449" s="1" t="str">
        <f>"094921"</f>
        <v>094921</v>
      </c>
      <c r="N449" s="1" t="s">
        <v>61</v>
      </c>
      <c r="O449" s="1" t="s">
        <v>45</v>
      </c>
      <c r="P449" s="1" t="s">
        <v>68</v>
      </c>
      <c r="Q449" s="1">
        <v>13</v>
      </c>
      <c r="R449" s="1">
        <v>0</v>
      </c>
      <c r="S449" s="1">
        <v>0</v>
      </c>
      <c r="T449" s="1">
        <v>13</v>
      </c>
      <c r="U449" s="1">
        <v>0</v>
      </c>
      <c r="V449" s="1" t="str">
        <f t="shared" si="58"/>
        <v>里程去程</v>
      </c>
      <c r="W449" s="1" t="s">
        <v>29</v>
      </c>
    </row>
    <row r="450" spans="1:23" x14ac:dyDescent="0.3">
      <c r="A450" s="1" t="str">
        <f t="shared" si="65"/>
        <v>59828</v>
      </c>
      <c r="B450" s="1" t="s">
        <v>23</v>
      </c>
      <c r="C450" s="1" t="s">
        <v>24</v>
      </c>
      <c r="D450" s="1" t="str">
        <f t="shared" ref="D450:D513" si="66">"9801"</f>
        <v>9801</v>
      </c>
      <c r="E450" s="1" t="s">
        <v>25</v>
      </c>
      <c r="F450" s="1" t="str">
        <f>"1684668021"</f>
        <v>1684668021</v>
      </c>
      <c r="G450" s="1" t="s">
        <v>33</v>
      </c>
      <c r="H450" s="1" t="str">
        <f t="shared" si="63"/>
        <v>20220913</v>
      </c>
      <c r="I450" s="1" t="str">
        <f>"093215"</f>
        <v>093215</v>
      </c>
      <c r="J450" s="1" t="s">
        <v>27</v>
      </c>
      <c r="K450" s="1" t="s">
        <v>28</v>
      </c>
      <c r="L450" s="1" t="str">
        <f t="shared" si="64"/>
        <v>20220913</v>
      </c>
      <c r="M450" s="1" t="str">
        <f>"095205"</f>
        <v>095205</v>
      </c>
      <c r="N450" s="1" t="s">
        <v>75</v>
      </c>
      <c r="O450" s="1" t="s">
        <v>45</v>
      </c>
      <c r="P450" s="1" t="s">
        <v>55</v>
      </c>
      <c r="Q450" s="1">
        <v>25</v>
      </c>
      <c r="R450" s="1">
        <v>25</v>
      </c>
      <c r="S450" s="1">
        <v>0</v>
      </c>
      <c r="T450" s="1">
        <v>0</v>
      </c>
      <c r="U450" s="1">
        <v>0</v>
      </c>
      <c r="V450" s="1" t="str">
        <f t="shared" ref="V450:V513" si="67">"里程去程"</f>
        <v>里程去程</v>
      </c>
      <c r="W450" s="1" t="s">
        <v>35</v>
      </c>
    </row>
    <row r="451" spans="1:23" x14ac:dyDescent="0.3">
      <c r="A451" s="1" t="str">
        <f t="shared" ref="A451:A482" si="68">"59822"</f>
        <v>59822</v>
      </c>
      <c r="B451" s="1" t="s">
        <v>39</v>
      </c>
      <c r="C451" s="1" t="s">
        <v>40</v>
      </c>
      <c r="D451" s="1" t="str">
        <f t="shared" si="66"/>
        <v>9801</v>
      </c>
      <c r="E451" s="1" t="s">
        <v>25</v>
      </c>
      <c r="F451" s="1" t="str">
        <f>"72191C0374880400C834002000000015"</f>
        <v>72191C0374880400C834002000000015</v>
      </c>
      <c r="G451" s="1" t="s">
        <v>26</v>
      </c>
      <c r="H451" s="1" t="str">
        <f t="shared" ref="H451:H482" si="69">"20220914"</f>
        <v>20220914</v>
      </c>
      <c r="I451" s="1" t="str">
        <f>"105657"</f>
        <v>105657</v>
      </c>
      <c r="J451" s="1" t="s">
        <v>52</v>
      </c>
      <c r="K451" s="1" t="s">
        <v>52</v>
      </c>
      <c r="L451" s="1" t="str">
        <f t="shared" ref="L451:L482" si="70">"20220914"</f>
        <v>20220914</v>
      </c>
      <c r="M451" s="1" t="str">
        <f>"110720"</f>
        <v>110720</v>
      </c>
      <c r="N451" s="1" t="s">
        <v>60</v>
      </c>
      <c r="O451" s="1" t="s">
        <v>52</v>
      </c>
      <c r="P451" s="1" t="s">
        <v>68</v>
      </c>
      <c r="Q451" s="1">
        <v>13</v>
      </c>
      <c r="R451" s="1">
        <v>0</v>
      </c>
      <c r="S451" s="1">
        <v>0</v>
      </c>
      <c r="T451" s="1">
        <v>13</v>
      </c>
      <c r="U451" s="1">
        <v>0</v>
      </c>
      <c r="V451" s="1" t="str">
        <f t="shared" si="67"/>
        <v>里程去程</v>
      </c>
      <c r="W451" s="1" t="s">
        <v>29</v>
      </c>
    </row>
    <row r="452" spans="1:23" x14ac:dyDescent="0.3">
      <c r="A452" s="1" t="str">
        <f t="shared" si="68"/>
        <v>59822</v>
      </c>
      <c r="B452" s="1" t="s">
        <v>39</v>
      </c>
      <c r="C452" s="1" t="s">
        <v>40</v>
      </c>
      <c r="D452" s="1" t="str">
        <f t="shared" si="66"/>
        <v>9801</v>
      </c>
      <c r="E452" s="1" t="s">
        <v>25</v>
      </c>
      <c r="F452" s="1" t="str">
        <f>"106085009"</f>
        <v>106085009</v>
      </c>
      <c r="G452" s="1" t="s">
        <v>33</v>
      </c>
      <c r="H452" s="1" t="str">
        <f t="shared" si="69"/>
        <v>20220914</v>
      </c>
      <c r="I452" s="1" t="str">
        <f>"115503"</f>
        <v>115503</v>
      </c>
      <c r="J452" s="1" t="s">
        <v>52</v>
      </c>
      <c r="K452" s="1" t="s">
        <v>52</v>
      </c>
      <c r="L452" s="1" t="str">
        <f t="shared" si="70"/>
        <v>20220914</v>
      </c>
      <c r="M452" s="1" t="str">
        <f>"122608"</f>
        <v>122608</v>
      </c>
      <c r="N452" s="1" t="s">
        <v>83</v>
      </c>
      <c r="O452" s="1" t="s">
        <v>52</v>
      </c>
      <c r="P452" s="1" t="s">
        <v>55</v>
      </c>
      <c r="Q452" s="1">
        <v>25</v>
      </c>
      <c r="R452" s="1">
        <v>25</v>
      </c>
      <c r="S452" s="1">
        <v>0</v>
      </c>
      <c r="T452" s="1">
        <v>0</v>
      </c>
      <c r="U452" s="1">
        <v>0</v>
      </c>
      <c r="V452" s="1" t="str">
        <f t="shared" si="67"/>
        <v>里程去程</v>
      </c>
      <c r="W452" s="1" t="s">
        <v>35</v>
      </c>
    </row>
    <row r="453" spans="1:23" x14ac:dyDescent="0.3">
      <c r="A453" s="1" t="str">
        <f t="shared" si="68"/>
        <v>59822</v>
      </c>
      <c r="B453" s="1" t="s">
        <v>39</v>
      </c>
      <c r="C453" s="1" t="s">
        <v>40</v>
      </c>
      <c r="D453" s="1" t="str">
        <f t="shared" si="66"/>
        <v>9801</v>
      </c>
      <c r="E453" s="1" t="s">
        <v>25</v>
      </c>
      <c r="F453" s="1" t="str">
        <f>"1672262368"</f>
        <v>1672262368</v>
      </c>
      <c r="G453" s="1" t="s">
        <v>26</v>
      </c>
      <c r="H453" s="1" t="str">
        <f t="shared" si="69"/>
        <v>20220914</v>
      </c>
      <c r="I453" s="1" t="str">
        <f>"115524"</f>
        <v>115524</v>
      </c>
      <c r="J453" s="1" t="s">
        <v>52</v>
      </c>
      <c r="K453" s="1" t="s">
        <v>52</v>
      </c>
      <c r="L453" s="1" t="str">
        <f t="shared" si="70"/>
        <v>20220914</v>
      </c>
      <c r="M453" s="1" t="str">
        <f>"123244"</f>
        <v>123244</v>
      </c>
      <c r="N453" s="1" t="s">
        <v>70</v>
      </c>
      <c r="O453" s="1" t="s">
        <v>28</v>
      </c>
      <c r="P453" s="1" t="s">
        <v>55</v>
      </c>
      <c r="Q453" s="1">
        <v>13</v>
      </c>
      <c r="R453" s="1">
        <v>0</v>
      </c>
      <c r="S453" s="1">
        <v>13</v>
      </c>
      <c r="T453" s="1">
        <v>0</v>
      </c>
      <c r="U453" s="1">
        <v>0</v>
      </c>
      <c r="V453" s="1" t="str">
        <f t="shared" si="67"/>
        <v>里程去程</v>
      </c>
      <c r="W453" s="1" t="s">
        <v>35</v>
      </c>
    </row>
    <row r="454" spans="1:23" x14ac:dyDescent="0.3">
      <c r="A454" s="1" t="str">
        <f t="shared" si="68"/>
        <v>59822</v>
      </c>
      <c r="B454" s="1" t="s">
        <v>39</v>
      </c>
      <c r="C454" s="1" t="s">
        <v>40</v>
      </c>
      <c r="D454" s="1" t="str">
        <f t="shared" si="66"/>
        <v>9801</v>
      </c>
      <c r="E454" s="1" t="s">
        <v>25</v>
      </c>
      <c r="F454" s="1" t="str">
        <f>"1311139025"</f>
        <v>1311139025</v>
      </c>
      <c r="G454" s="1" t="s">
        <v>26</v>
      </c>
      <c r="H454" s="1" t="str">
        <f t="shared" si="69"/>
        <v>20220914</v>
      </c>
      <c r="I454" s="1" t="str">
        <f>"115534"</f>
        <v>115534</v>
      </c>
      <c r="J454" s="1" t="s">
        <v>52</v>
      </c>
      <c r="K454" s="1" t="s">
        <v>52</v>
      </c>
      <c r="L454" s="1" t="str">
        <f t="shared" si="70"/>
        <v>20220914</v>
      </c>
      <c r="M454" s="1" t="str">
        <f>"123238"</f>
        <v>123238</v>
      </c>
      <c r="N454" s="1" t="s">
        <v>70</v>
      </c>
      <c r="O454" s="1" t="s">
        <v>28</v>
      </c>
      <c r="P454" s="1" t="s">
        <v>55</v>
      </c>
      <c r="Q454" s="1">
        <v>13</v>
      </c>
      <c r="R454" s="1">
        <v>0</v>
      </c>
      <c r="S454" s="1">
        <v>13</v>
      </c>
      <c r="T454" s="1">
        <v>0</v>
      </c>
      <c r="U454" s="1">
        <v>0</v>
      </c>
      <c r="V454" s="1" t="str">
        <f t="shared" si="67"/>
        <v>里程去程</v>
      </c>
      <c r="W454" s="1" t="s">
        <v>35</v>
      </c>
    </row>
    <row r="455" spans="1:23" x14ac:dyDescent="0.3">
      <c r="A455" s="1" t="str">
        <f t="shared" si="68"/>
        <v>59822</v>
      </c>
      <c r="B455" s="1" t="s">
        <v>39</v>
      </c>
      <c r="C455" s="1" t="s">
        <v>40</v>
      </c>
      <c r="D455" s="1" t="str">
        <f t="shared" si="66"/>
        <v>9801</v>
      </c>
      <c r="E455" s="1" t="s">
        <v>25</v>
      </c>
      <c r="F455" s="1" t="str">
        <f>"F25B1B03B1880400C834002000000015"</f>
        <v>F25B1B03B1880400C834002000000015</v>
      </c>
      <c r="G455" s="1" t="s">
        <v>26</v>
      </c>
      <c r="H455" s="1" t="str">
        <f t="shared" si="69"/>
        <v>20220914</v>
      </c>
      <c r="I455" s="1" t="str">
        <f>"120601"</f>
        <v>120601</v>
      </c>
      <c r="J455" s="1" t="s">
        <v>60</v>
      </c>
      <c r="K455" s="1" t="s">
        <v>52</v>
      </c>
      <c r="L455" s="1" t="str">
        <f t="shared" si="70"/>
        <v>20220914</v>
      </c>
      <c r="M455" s="1" t="str">
        <f>"123338"</f>
        <v>123338</v>
      </c>
      <c r="N455" s="1" t="s">
        <v>70</v>
      </c>
      <c r="O455" s="1" t="s">
        <v>28</v>
      </c>
      <c r="P455" s="1" t="s">
        <v>68</v>
      </c>
      <c r="Q455" s="1">
        <v>13</v>
      </c>
      <c r="R455" s="1">
        <v>0</v>
      </c>
      <c r="S455" s="1">
        <v>0</v>
      </c>
      <c r="T455" s="1">
        <v>13</v>
      </c>
      <c r="U455" s="1">
        <v>0</v>
      </c>
      <c r="V455" s="1" t="str">
        <f t="shared" si="67"/>
        <v>里程去程</v>
      </c>
      <c r="W455" s="1" t="s">
        <v>29</v>
      </c>
    </row>
    <row r="456" spans="1:23" x14ac:dyDescent="0.3">
      <c r="A456" s="1" t="str">
        <f t="shared" si="68"/>
        <v>59822</v>
      </c>
      <c r="B456" s="1" t="s">
        <v>39</v>
      </c>
      <c r="C456" s="1" t="s">
        <v>40</v>
      </c>
      <c r="D456" s="1" t="str">
        <f t="shared" si="66"/>
        <v>9801</v>
      </c>
      <c r="E456" s="1" t="s">
        <v>25</v>
      </c>
      <c r="F456" s="1" t="str">
        <f>"1423105809"</f>
        <v>1423105809</v>
      </c>
      <c r="G456" s="1" t="s">
        <v>33</v>
      </c>
      <c r="H456" s="1" t="str">
        <f t="shared" si="69"/>
        <v>20220914</v>
      </c>
      <c r="I456" s="1" t="str">
        <f>"120604"</f>
        <v>120604</v>
      </c>
      <c r="J456" s="1" t="s">
        <v>60</v>
      </c>
      <c r="K456" s="1" t="s">
        <v>52</v>
      </c>
      <c r="L456" s="1" t="str">
        <f t="shared" si="70"/>
        <v>20220914</v>
      </c>
      <c r="M456" s="1" t="str">
        <f>"123345"</f>
        <v>123345</v>
      </c>
      <c r="N456" s="1" t="s">
        <v>70</v>
      </c>
      <c r="O456" s="1" t="s">
        <v>28</v>
      </c>
      <c r="P456" s="1" t="s">
        <v>55</v>
      </c>
      <c r="Q456" s="1">
        <v>25</v>
      </c>
      <c r="R456" s="1">
        <v>25</v>
      </c>
      <c r="S456" s="1">
        <v>0</v>
      </c>
      <c r="T456" s="1">
        <v>0</v>
      </c>
      <c r="U456" s="1">
        <v>0</v>
      </c>
      <c r="V456" s="1" t="str">
        <f t="shared" si="67"/>
        <v>里程去程</v>
      </c>
      <c r="W456" s="1" t="s">
        <v>35</v>
      </c>
    </row>
    <row r="457" spans="1:23" x14ac:dyDescent="0.3">
      <c r="A457" s="1" t="str">
        <f t="shared" si="68"/>
        <v>59822</v>
      </c>
      <c r="B457" s="1" t="s">
        <v>39</v>
      </c>
      <c r="C457" s="1" t="s">
        <v>40</v>
      </c>
      <c r="D457" s="1" t="str">
        <f t="shared" si="66"/>
        <v>9801</v>
      </c>
      <c r="E457" s="1" t="s">
        <v>25</v>
      </c>
      <c r="F457" s="1" t="str">
        <f>"4251460257880400C821002000000015"</f>
        <v>4251460257880400C821002000000015</v>
      </c>
      <c r="G457" s="1" t="s">
        <v>26</v>
      </c>
      <c r="H457" s="1" t="str">
        <f t="shared" si="69"/>
        <v>20220914</v>
      </c>
      <c r="I457" s="1" t="str">
        <f>"122031"</f>
        <v>122031</v>
      </c>
      <c r="J457" s="1" t="s">
        <v>69</v>
      </c>
      <c r="K457" s="1" t="s">
        <v>52</v>
      </c>
      <c r="L457" s="1" t="str">
        <f t="shared" si="70"/>
        <v>20220914</v>
      </c>
      <c r="M457" s="1" t="str">
        <f>"122610"</f>
        <v>122610</v>
      </c>
      <c r="N457" s="1" t="s">
        <v>83</v>
      </c>
      <c r="O457" s="1" t="s">
        <v>52</v>
      </c>
      <c r="P457" s="1" t="s">
        <v>68</v>
      </c>
      <c r="Q457" s="1">
        <v>13</v>
      </c>
      <c r="R457" s="1">
        <v>0</v>
      </c>
      <c r="S457" s="1">
        <v>0</v>
      </c>
      <c r="T457" s="1">
        <v>13</v>
      </c>
      <c r="U457" s="1">
        <v>0</v>
      </c>
      <c r="V457" s="1" t="str">
        <f t="shared" si="67"/>
        <v>里程去程</v>
      </c>
      <c r="W457" s="1" t="s">
        <v>29</v>
      </c>
    </row>
    <row r="458" spans="1:23" x14ac:dyDescent="0.3">
      <c r="A458" s="1" t="str">
        <f t="shared" si="68"/>
        <v>59822</v>
      </c>
      <c r="B458" s="1" t="s">
        <v>39</v>
      </c>
      <c r="C458" s="1" t="s">
        <v>40</v>
      </c>
      <c r="D458" s="1" t="str">
        <f t="shared" si="66"/>
        <v>9801</v>
      </c>
      <c r="E458" s="1" t="s">
        <v>25</v>
      </c>
      <c r="F458" s="1" t="str">
        <f>"1078532017"</f>
        <v>1078532017</v>
      </c>
      <c r="G458" s="1" t="s">
        <v>33</v>
      </c>
      <c r="H458" s="1" t="str">
        <f t="shared" si="69"/>
        <v>20220914</v>
      </c>
      <c r="I458" s="1" t="str">
        <f>"123423"</f>
        <v>123423</v>
      </c>
      <c r="J458" s="1" t="s">
        <v>27</v>
      </c>
      <c r="K458" s="1" t="s">
        <v>28</v>
      </c>
      <c r="L458" s="1" t="str">
        <f t="shared" si="70"/>
        <v>20220914</v>
      </c>
      <c r="M458" s="1" t="str">
        <f>"125220"</f>
        <v>125220</v>
      </c>
      <c r="N458" s="1" t="s">
        <v>91</v>
      </c>
      <c r="O458" s="1" t="s">
        <v>45</v>
      </c>
      <c r="P458" s="1" t="s">
        <v>55</v>
      </c>
      <c r="Q458" s="1">
        <v>25</v>
      </c>
      <c r="R458" s="1">
        <v>25</v>
      </c>
      <c r="S458" s="1">
        <v>0</v>
      </c>
      <c r="T458" s="1">
        <v>0</v>
      </c>
      <c r="U458" s="1">
        <v>0</v>
      </c>
      <c r="V458" s="1" t="str">
        <f t="shared" si="67"/>
        <v>里程去程</v>
      </c>
      <c r="W458" s="1" t="s">
        <v>35</v>
      </c>
    </row>
    <row r="459" spans="1:23" x14ac:dyDescent="0.3">
      <c r="A459" s="1" t="str">
        <f t="shared" si="68"/>
        <v>59822</v>
      </c>
      <c r="B459" s="1" t="s">
        <v>39</v>
      </c>
      <c r="C459" s="1" t="s">
        <v>40</v>
      </c>
      <c r="D459" s="1" t="str">
        <f t="shared" si="66"/>
        <v>9801</v>
      </c>
      <c r="E459" s="1" t="s">
        <v>25</v>
      </c>
      <c r="F459" s="1" t="str">
        <f>"620523025"</f>
        <v>620523025</v>
      </c>
      <c r="G459" s="1" t="s">
        <v>33</v>
      </c>
      <c r="H459" s="1" t="str">
        <f t="shared" si="69"/>
        <v>20220914</v>
      </c>
      <c r="I459" s="1" t="str">
        <f>"123424"</f>
        <v>123424</v>
      </c>
      <c r="J459" s="1" t="s">
        <v>27</v>
      </c>
      <c r="K459" s="1" t="s">
        <v>28</v>
      </c>
      <c r="L459" s="1" t="str">
        <f t="shared" si="70"/>
        <v>20220914</v>
      </c>
      <c r="M459" s="1" t="str">
        <f>"125226"</f>
        <v>125226</v>
      </c>
      <c r="N459" s="1" t="s">
        <v>91</v>
      </c>
      <c r="O459" s="1" t="s">
        <v>45</v>
      </c>
      <c r="P459" s="1" t="s">
        <v>55</v>
      </c>
      <c r="Q459" s="1">
        <v>25</v>
      </c>
      <c r="R459" s="1">
        <v>25</v>
      </c>
      <c r="S459" s="1">
        <v>0</v>
      </c>
      <c r="T459" s="1">
        <v>0</v>
      </c>
      <c r="U459" s="1">
        <v>0</v>
      </c>
      <c r="V459" s="1" t="str">
        <f t="shared" si="67"/>
        <v>里程去程</v>
      </c>
      <c r="W459" s="1" t="s">
        <v>35</v>
      </c>
    </row>
    <row r="460" spans="1:23" x14ac:dyDescent="0.3">
      <c r="A460" s="1" t="str">
        <f t="shared" si="68"/>
        <v>59822</v>
      </c>
      <c r="B460" s="1" t="s">
        <v>39</v>
      </c>
      <c r="C460" s="1" t="s">
        <v>40</v>
      </c>
      <c r="D460" s="1" t="str">
        <f t="shared" si="66"/>
        <v>9801</v>
      </c>
      <c r="E460" s="1" t="s">
        <v>25</v>
      </c>
      <c r="F460" s="1" t="str">
        <f>"1115744837"</f>
        <v>1115744837</v>
      </c>
      <c r="G460" s="1" t="s">
        <v>26</v>
      </c>
      <c r="H460" s="1" t="str">
        <f t="shared" si="69"/>
        <v>20220914</v>
      </c>
      <c r="I460" s="1" t="str">
        <f>"123431"</f>
        <v>123431</v>
      </c>
      <c r="J460" s="1" t="s">
        <v>27</v>
      </c>
      <c r="K460" s="1" t="s">
        <v>28</v>
      </c>
      <c r="L460" s="1" t="str">
        <f t="shared" si="70"/>
        <v>20220914</v>
      </c>
      <c r="M460" s="1" t="str">
        <f>"125351"</f>
        <v>125351</v>
      </c>
      <c r="N460" s="1" t="s">
        <v>91</v>
      </c>
      <c r="O460" s="1" t="s">
        <v>45</v>
      </c>
      <c r="P460" s="1" t="s">
        <v>55</v>
      </c>
      <c r="Q460" s="1">
        <v>13</v>
      </c>
      <c r="R460" s="1">
        <v>13</v>
      </c>
      <c r="S460" s="1">
        <v>0</v>
      </c>
      <c r="T460" s="1">
        <v>0</v>
      </c>
      <c r="U460" s="1">
        <v>0</v>
      </c>
      <c r="V460" s="1" t="str">
        <f t="shared" si="67"/>
        <v>里程去程</v>
      </c>
      <c r="W460" s="1" t="s">
        <v>35</v>
      </c>
    </row>
    <row r="461" spans="1:23" x14ac:dyDescent="0.3">
      <c r="A461" s="1" t="str">
        <f t="shared" si="68"/>
        <v>59822</v>
      </c>
      <c r="B461" s="1" t="s">
        <v>39</v>
      </c>
      <c r="C461" s="1" t="s">
        <v>40</v>
      </c>
      <c r="D461" s="1" t="str">
        <f t="shared" si="66"/>
        <v>9801</v>
      </c>
      <c r="E461" s="1" t="s">
        <v>25</v>
      </c>
      <c r="F461" s="1" t="str">
        <f>"807380965"</f>
        <v>807380965</v>
      </c>
      <c r="G461" s="1" t="s">
        <v>26</v>
      </c>
      <c r="H461" s="1" t="str">
        <f t="shared" si="69"/>
        <v>20220914</v>
      </c>
      <c r="I461" s="1" t="str">
        <f>"123445"</f>
        <v>123445</v>
      </c>
      <c r="J461" s="1" t="s">
        <v>27</v>
      </c>
      <c r="K461" s="1" t="s">
        <v>28</v>
      </c>
      <c r="L461" s="1" t="str">
        <f t="shared" si="70"/>
        <v>20220914</v>
      </c>
      <c r="M461" s="1" t="str">
        <f>"125317"</f>
        <v>125317</v>
      </c>
      <c r="N461" s="1" t="s">
        <v>91</v>
      </c>
      <c r="O461" s="1" t="s">
        <v>45</v>
      </c>
      <c r="P461" s="1" t="s">
        <v>55</v>
      </c>
      <c r="Q461" s="1">
        <v>13</v>
      </c>
      <c r="R461" s="1">
        <v>13</v>
      </c>
      <c r="S461" s="1">
        <v>0</v>
      </c>
      <c r="T461" s="1">
        <v>0</v>
      </c>
      <c r="U461" s="1">
        <v>0</v>
      </c>
      <c r="V461" s="1" t="str">
        <f t="shared" si="67"/>
        <v>里程去程</v>
      </c>
      <c r="W461" s="1" t="s">
        <v>35</v>
      </c>
    </row>
    <row r="462" spans="1:23" x14ac:dyDescent="0.3">
      <c r="A462" s="1" t="str">
        <f t="shared" si="68"/>
        <v>59822</v>
      </c>
      <c r="B462" s="1" t="s">
        <v>39</v>
      </c>
      <c r="C462" s="1" t="s">
        <v>40</v>
      </c>
      <c r="D462" s="1" t="str">
        <f t="shared" si="66"/>
        <v>9801</v>
      </c>
      <c r="E462" s="1" t="s">
        <v>25</v>
      </c>
      <c r="F462" s="1" t="str">
        <f>"1727339829"</f>
        <v>1727339829</v>
      </c>
      <c r="G462" s="1" t="s">
        <v>33</v>
      </c>
      <c r="H462" s="1" t="str">
        <f t="shared" si="69"/>
        <v>20220914</v>
      </c>
      <c r="I462" s="1" t="str">
        <f>"123447"</f>
        <v>123447</v>
      </c>
      <c r="J462" s="1" t="s">
        <v>27</v>
      </c>
      <c r="K462" s="1" t="s">
        <v>28</v>
      </c>
      <c r="L462" s="1" t="str">
        <f t="shared" si="70"/>
        <v>20220914</v>
      </c>
      <c r="M462" s="1" t="str">
        <f>"125314"</f>
        <v>125314</v>
      </c>
      <c r="N462" s="1" t="s">
        <v>91</v>
      </c>
      <c r="O462" s="1" t="s">
        <v>45</v>
      </c>
      <c r="P462" s="1" t="s">
        <v>55</v>
      </c>
      <c r="Q462" s="1">
        <v>25</v>
      </c>
      <c r="R462" s="1">
        <v>25</v>
      </c>
      <c r="S462" s="1">
        <v>0</v>
      </c>
      <c r="T462" s="1">
        <v>0</v>
      </c>
      <c r="U462" s="1">
        <v>0</v>
      </c>
      <c r="V462" s="1" t="str">
        <f t="shared" si="67"/>
        <v>里程去程</v>
      </c>
      <c r="W462" s="1" t="s">
        <v>35</v>
      </c>
    </row>
    <row r="463" spans="1:23" x14ac:dyDescent="0.3">
      <c r="A463" s="1" t="str">
        <f t="shared" si="68"/>
        <v>59822</v>
      </c>
      <c r="B463" s="1" t="s">
        <v>39</v>
      </c>
      <c r="C463" s="1" t="s">
        <v>40</v>
      </c>
      <c r="D463" s="1" t="str">
        <f t="shared" si="66"/>
        <v>9801</v>
      </c>
      <c r="E463" s="1" t="s">
        <v>25</v>
      </c>
      <c r="F463" s="1" t="str">
        <f>"1196061205"</f>
        <v>1196061205</v>
      </c>
      <c r="G463" s="1" t="s">
        <v>33</v>
      </c>
      <c r="H463" s="1" t="str">
        <f t="shared" si="69"/>
        <v>20220914</v>
      </c>
      <c r="I463" s="1" t="str">
        <f>"123502"</f>
        <v>123502</v>
      </c>
      <c r="J463" s="1" t="s">
        <v>27</v>
      </c>
      <c r="K463" s="1" t="s">
        <v>28</v>
      </c>
      <c r="L463" s="1" t="str">
        <f t="shared" si="70"/>
        <v>20220914</v>
      </c>
      <c r="M463" s="1" t="str">
        <f>"125355"</f>
        <v>125355</v>
      </c>
      <c r="N463" s="1" t="s">
        <v>91</v>
      </c>
      <c r="O463" s="1" t="s">
        <v>45</v>
      </c>
      <c r="P463" s="1" t="s">
        <v>55</v>
      </c>
      <c r="Q463" s="1">
        <v>25</v>
      </c>
      <c r="R463" s="1">
        <v>25</v>
      </c>
      <c r="S463" s="1">
        <v>0</v>
      </c>
      <c r="T463" s="1">
        <v>0</v>
      </c>
      <c r="U463" s="1">
        <v>0</v>
      </c>
      <c r="V463" s="1" t="str">
        <f t="shared" si="67"/>
        <v>里程去程</v>
      </c>
      <c r="W463" s="1" t="s">
        <v>35</v>
      </c>
    </row>
    <row r="464" spans="1:23" x14ac:dyDescent="0.3">
      <c r="A464" s="1" t="str">
        <f t="shared" si="68"/>
        <v>59822</v>
      </c>
      <c r="B464" s="1" t="s">
        <v>39</v>
      </c>
      <c r="C464" s="1" t="s">
        <v>40</v>
      </c>
      <c r="D464" s="1" t="str">
        <f t="shared" si="66"/>
        <v>9801</v>
      </c>
      <c r="E464" s="1" t="s">
        <v>25</v>
      </c>
      <c r="F464" s="1" t="str">
        <f>"793634709"</f>
        <v>793634709</v>
      </c>
      <c r="G464" s="1" t="s">
        <v>26</v>
      </c>
      <c r="H464" s="1" t="str">
        <f t="shared" si="69"/>
        <v>20220914</v>
      </c>
      <c r="I464" s="1" t="str">
        <f>"123506"</f>
        <v>123506</v>
      </c>
      <c r="J464" s="1" t="s">
        <v>27</v>
      </c>
      <c r="K464" s="1" t="s">
        <v>28</v>
      </c>
      <c r="L464" s="1" t="str">
        <f t="shared" si="70"/>
        <v>20220914</v>
      </c>
      <c r="M464" s="1" t="str">
        <f>"125339"</f>
        <v>125339</v>
      </c>
      <c r="N464" s="1" t="s">
        <v>91</v>
      </c>
      <c r="O464" s="1" t="s">
        <v>45</v>
      </c>
      <c r="P464" s="1" t="s">
        <v>55</v>
      </c>
      <c r="Q464" s="1">
        <v>13</v>
      </c>
      <c r="R464" s="1">
        <v>13</v>
      </c>
      <c r="S464" s="1">
        <v>0</v>
      </c>
      <c r="T464" s="1">
        <v>0</v>
      </c>
      <c r="U464" s="1">
        <v>0</v>
      </c>
      <c r="V464" s="1" t="str">
        <f t="shared" si="67"/>
        <v>里程去程</v>
      </c>
      <c r="W464" s="1" t="s">
        <v>35</v>
      </c>
    </row>
    <row r="465" spans="1:23" x14ac:dyDescent="0.3">
      <c r="A465" s="1" t="str">
        <f t="shared" si="68"/>
        <v>59822</v>
      </c>
      <c r="B465" s="1" t="s">
        <v>39</v>
      </c>
      <c r="C465" s="1" t="s">
        <v>40</v>
      </c>
      <c r="D465" s="1" t="str">
        <f t="shared" si="66"/>
        <v>9801</v>
      </c>
      <c r="E465" s="1" t="s">
        <v>25</v>
      </c>
      <c r="F465" s="1" t="str">
        <f>"1075385649"</f>
        <v>1075385649</v>
      </c>
      <c r="G465" s="1" t="s">
        <v>33</v>
      </c>
      <c r="H465" s="1" t="str">
        <f t="shared" si="69"/>
        <v>20220914</v>
      </c>
      <c r="I465" s="1" t="str">
        <f>"123511"</f>
        <v>123511</v>
      </c>
      <c r="J465" s="1" t="s">
        <v>27</v>
      </c>
      <c r="K465" s="1" t="s">
        <v>28</v>
      </c>
      <c r="L465" s="1" t="str">
        <f t="shared" si="70"/>
        <v>20220914</v>
      </c>
      <c r="M465" s="1" t="str">
        <f>"125342"</f>
        <v>125342</v>
      </c>
      <c r="N465" s="1" t="s">
        <v>91</v>
      </c>
      <c r="O465" s="1" t="s">
        <v>45</v>
      </c>
      <c r="P465" s="1" t="s">
        <v>55</v>
      </c>
      <c r="Q465" s="1">
        <v>25</v>
      </c>
      <c r="R465" s="1">
        <v>25</v>
      </c>
      <c r="S465" s="1">
        <v>0</v>
      </c>
      <c r="T465" s="1">
        <v>0</v>
      </c>
      <c r="U465" s="1">
        <v>0</v>
      </c>
      <c r="V465" s="1" t="str">
        <f t="shared" si="67"/>
        <v>里程去程</v>
      </c>
      <c r="W465" s="1" t="s">
        <v>35</v>
      </c>
    </row>
    <row r="466" spans="1:23" x14ac:dyDescent="0.3">
      <c r="A466" s="1" t="str">
        <f t="shared" si="68"/>
        <v>59822</v>
      </c>
      <c r="B466" s="1" t="s">
        <v>39</v>
      </c>
      <c r="C466" s="1" t="s">
        <v>40</v>
      </c>
      <c r="D466" s="1" t="str">
        <f t="shared" si="66"/>
        <v>9801</v>
      </c>
      <c r="E466" s="1" t="s">
        <v>25</v>
      </c>
      <c r="F466" s="1" t="str">
        <f>"668637157"</f>
        <v>668637157</v>
      </c>
      <c r="G466" s="1" t="s">
        <v>33</v>
      </c>
      <c r="H466" s="1" t="str">
        <f t="shared" si="69"/>
        <v>20220914</v>
      </c>
      <c r="I466" s="1" t="str">
        <f>"123513"</f>
        <v>123513</v>
      </c>
      <c r="J466" s="1" t="s">
        <v>27</v>
      </c>
      <c r="K466" s="1" t="s">
        <v>28</v>
      </c>
      <c r="L466" s="1" t="str">
        <f t="shared" si="70"/>
        <v>20220914</v>
      </c>
      <c r="M466" s="1" t="str">
        <f>"125345"</f>
        <v>125345</v>
      </c>
      <c r="N466" s="1" t="s">
        <v>91</v>
      </c>
      <c r="O466" s="1" t="s">
        <v>45</v>
      </c>
      <c r="P466" s="1" t="s">
        <v>55</v>
      </c>
      <c r="Q466" s="1">
        <v>25</v>
      </c>
      <c r="R466" s="1">
        <v>25</v>
      </c>
      <c r="S466" s="1">
        <v>0</v>
      </c>
      <c r="T466" s="1">
        <v>0</v>
      </c>
      <c r="U466" s="1">
        <v>0</v>
      </c>
      <c r="V466" s="1" t="str">
        <f t="shared" si="67"/>
        <v>里程去程</v>
      </c>
      <c r="W466" s="1" t="s">
        <v>35</v>
      </c>
    </row>
    <row r="467" spans="1:23" x14ac:dyDescent="0.3">
      <c r="A467" s="1" t="str">
        <f t="shared" si="68"/>
        <v>59822</v>
      </c>
      <c r="B467" s="1" t="s">
        <v>39</v>
      </c>
      <c r="C467" s="1" t="s">
        <v>40</v>
      </c>
      <c r="D467" s="1" t="str">
        <f t="shared" si="66"/>
        <v>9801</v>
      </c>
      <c r="E467" s="1" t="s">
        <v>25</v>
      </c>
      <c r="F467" s="1" t="str">
        <f>"1023323605"</f>
        <v>1023323605</v>
      </c>
      <c r="G467" s="1" t="s">
        <v>33</v>
      </c>
      <c r="H467" s="1" t="str">
        <f t="shared" si="69"/>
        <v>20220914</v>
      </c>
      <c r="I467" s="1" t="str">
        <f>"123519"</f>
        <v>123519</v>
      </c>
      <c r="J467" s="1" t="s">
        <v>27</v>
      </c>
      <c r="K467" s="1" t="s">
        <v>28</v>
      </c>
      <c r="L467" s="1" t="str">
        <f t="shared" si="70"/>
        <v>20220914</v>
      </c>
      <c r="M467" s="1" t="str">
        <f>"125403"</f>
        <v>125403</v>
      </c>
      <c r="N467" s="1" t="s">
        <v>91</v>
      </c>
      <c r="O467" s="1" t="s">
        <v>45</v>
      </c>
      <c r="P467" s="1" t="s">
        <v>55</v>
      </c>
      <c r="Q467" s="1">
        <v>25</v>
      </c>
      <c r="R467" s="1">
        <v>25</v>
      </c>
      <c r="S467" s="1">
        <v>0</v>
      </c>
      <c r="T467" s="1">
        <v>0</v>
      </c>
      <c r="U467" s="1">
        <v>0</v>
      </c>
      <c r="V467" s="1" t="str">
        <f t="shared" si="67"/>
        <v>里程去程</v>
      </c>
      <c r="W467" s="1" t="s">
        <v>35</v>
      </c>
    </row>
    <row r="468" spans="1:23" x14ac:dyDescent="0.3">
      <c r="A468" s="1" t="str">
        <f t="shared" si="68"/>
        <v>59822</v>
      </c>
      <c r="B468" s="1" t="s">
        <v>39</v>
      </c>
      <c r="C468" s="1" t="s">
        <v>40</v>
      </c>
      <c r="D468" s="1" t="str">
        <f t="shared" si="66"/>
        <v>9801</v>
      </c>
      <c r="E468" s="1" t="s">
        <v>25</v>
      </c>
      <c r="F468" s="1" t="str">
        <f>"750279361"</f>
        <v>750279361</v>
      </c>
      <c r="G468" s="1" t="s">
        <v>33</v>
      </c>
      <c r="H468" s="1" t="str">
        <f t="shared" si="69"/>
        <v>20220914</v>
      </c>
      <c r="I468" s="1" t="str">
        <f>"123522"</f>
        <v>123522</v>
      </c>
      <c r="J468" s="1" t="s">
        <v>27</v>
      </c>
      <c r="K468" s="1" t="s">
        <v>28</v>
      </c>
      <c r="L468" s="1" t="str">
        <f t="shared" si="70"/>
        <v>20220914</v>
      </c>
      <c r="M468" s="1" t="str">
        <f>"125406"</f>
        <v>125406</v>
      </c>
      <c r="N468" s="1" t="s">
        <v>91</v>
      </c>
      <c r="O468" s="1" t="s">
        <v>45</v>
      </c>
      <c r="P468" s="1" t="s">
        <v>55</v>
      </c>
      <c r="Q468" s="1">
        <v>25</v>
      </c>
      <c r="R468" s="1">
        <v>25</v>
      </c>
      <c r="S468" s="1">
        <v>0</v>
      </c>
      <c r="T468" s="1">
        <v>0</v>
      </c>
      <c r="U468" s="1">
        <v>0</v>
      </c>
      <c r="V468" s="1" t="str">
        <f t="shared" si="67"/>
        <v>里程去程</v>
      </c>
      <c r="W468" s="1" t="s">
        <v>35</v>
      </c>
    </row>
    <row r="469" spans="1:23" x14ac:dyDescent="0.3">
      <c r="A469" s="1" t="str">
        <f t="shared" si="68"/>
        <v>59822</v>
      </c>
      <c r="B469" s="1" t="s">
        <v>39</v>
      </c>
      <c r="C469" s="1" t="s">
        <v>40</v>
      </c>
      <c r="D469" s="1" t="str">
        <f t="shared" si="66"/>
        <v>9801</v>
      </c>
      <c r="E469" s="1" t="s">
        <v>25</v>
      </c>
      <c r="F469" s="1" t="str">
        <f>"3478009790"</f>
        <v>3478009790</v>
      </c>
      <c r="G469" s="1" t="s">
        <v>33</v>
      </c>
      <c r="H469" s="1" t="str">
        <f t="shared" si="69"/>
        <v>20220914</v>
      </c>
      <c r="I469" s="1" t="str">
        <f>"123526"</f>
        <v>123526</v>
      </c>
      <c r="J469" s="1" t="s">
        <v>27</v>
      </c>
      <c r="K469" s="1" t="s">
        <v>28</v>
      </c>
      <c r="L469" s="1" t="str">
        <f t="shared" si="70"/>
        <v>20220914</v>
      </c>
      <c r="M469" s="1" t="str">
        <f>"125309"</f>
        <v>125309</v>
      </c>
      <c r="N469" s="1" t="s">
        <v>91</v>
      </c>
      <c r="O469" s="1" t="s">
        <v>45</v>
      </c>
      <c r="P469" s="1" t="s">
        <v>55</v>
      </c>
      <c r="Q469" s="1">
        <v>25</v>
      </c>
      <c r="R469" s="1">
        <v>25</v>
      </c>
      <c r="S469" s="1">
        <v>0</v>
      </c>
      <c r="T469" s="1">
        <v>0</v>
      </c>
      <c r="U469" s="1">
        <v>0</v>
      </c>
      <c r="V469" s="1" t="str">
        <f t="shared" si="67"/>
        <v>里程去程</v>
      </c>
      <c r="W469" s="1" t="s">
        <v>35</v>
      </c>
    </row>
    <row r="470" spans="1:23" x14ac:dyDescent="0.3">
      <c r="A470" s="1" t="str">
        <f t="shared" si="68"/>
        <v>59822</v>
      </c>
      <c r="B470" s="1" t="s">
        <v>39</v>
      </c>
      <c r="C470" s="1" t="s">
        <v>40</v>
      </c>
      <c r="D470" s="1" t="str">
        <f t="shared" si="66"/>
        <v>9801</v>
      </c>
      <c r="E470" s="1" t="s">
        <v>25</v>
      </c>
      <c r="F470" s="1" t="str">
        <f>"1014787509"</f>
        <v>1014787509</v>
      </c>
      <c r="G470" s="1" t="s">
        <v>33</v>
      </c>
      <c r="H470" s="1" t="str">
        <f t="shared" si="69"/>
        <v>20220914</v>
      </c>
      <c r="I470" s="1" t="str">
        <f>"123529"</f>
        <v>123529</v>
      </c>
      <c r="J470" s="1" t="s">
        <v>27</v>
      </c>
      <c r="K470" s="1" t="s">
        <v>28</v>
      </c>
      <c r="L470" s="1" t="str">
        <f t="shared" si="70"/>
        <v>20220914</v>
      </c>
      <c r="M470" s="1" t="str">
        <f>"125349"</f>
        <v>125349</v>
      </c>
      <c r="N470" s="1" t="s">
        <v>91</v>
      </c>
      <c r="O470" s="1" t="s">
        <v>45</v>
      </c>
      <c r="P470" s="1" t="s">
        <v>55</v>
      </c>
      <c r="Q470" s="1">
        <v>25</v>
      </c>
      <c r="R470" s="1">
        <v>25</v>
      </c>
      <c r="S470" s="1">
        <v>0</v>
      </c>
      <c r="T470" s="1">
        <v>0</v>
      </c>
      <c r="U470" s="1">
        <v>0</v>
      </c>
      <c r="V470" s="1" t="str">
        <f t="shared" si="67"/>
        <v>里程去程</v>
      </c>
      <c r="W470" s="1" t="s">
        <v>35</v>
      </c>
    </row>
    <row r="471" spans="1:23" x14ac:dyDescent="0.3">
      <c r="A471" s="1" t="str">
        <f t="shared" si="68"/>
        <v>59822</v>
      </c>
      <c r="B471" s="1" t="s">
        <v>39</v>
      </c>
      <c r="C471" s="1" t="s">
        <v>40</v>
      </c>
      <c r="D471" s="1" t="str">
        <f t="shared" si="66"/>
        <v>9801</v>
      </c>
      <c r="E471" s="1" t="s">
        <v>25</v>
      </c>
      <c r="F471" s="1" t="str">
        <f>"1049707637"</f>
        <v>1049707637</v>
      </c>
      <c r="G471" s="1" t="s">
        <v>26</v>
      </c>
      <c r="H471" s="1" t="str">
        <f t="shared" si="69"/>
        <v>20220914</v>
      </c>
      <c r="I471" s="1" t="str">
        <f>"123534"</f>
        <v>123534</v>
      </c>
      <c r="J471" s="1" t="s">
        <v>27</v>
      </c>
      <c r="K471" s="1" t="s">
        <v>28</v>
      </c>
      <c r="L471" s="1" t="str">
        <f t="shared" si="70"/>
        <v>20220914</v>
      </c>
      <c r="M471" s="1" t="str">
        <f>"125133"</f>
        <v>125133</v>
      </c>
      <c r="N471" s="1" t="s">
        <v>91</v>
      </c>
      <c r="O471" s="1" t="s">
        <v>45</v>
      </c>
      <c r="P471" s="1" t="s">
        <v>55</v>
      </c>
      <c r="Q471" s="1">
        <v>13</v>
      </c>
      <c r="R471" s="1">
        <v>13</v>
      </c>
      <c r="S471" s="1">
        <v>0</v>
      </c>
      <c r="T471" s="1">
        <v>0</v>
      </c>
      <c r="U471" s="1">
        <v>0</v>
      </c>
      <c r="V471" s="1" t="str">
        <f t="shared" si="67"/>
        <v>里程去程</v>
      </c>
      <c r="W471" s="1" t="s">
        <v>35</v>
      </c>
    </row>
    <row r="472" spans="1:23" x14ac:dyDescent="0.3">
      <c r="A472" s="1" t="str">
        <f t="shared" si="68"/>
        <v>59822</v>
      </c>
      <c r="B472" s="1" t="s">
        <v>39</v>
      </c>
      <c r="C472" s="1" t="s">
        <v>40</v>
      </c>
      <c r="D472" s="1" t="str">
        <f t="shared" si="66"/>
        <v>9801</v>
      </c>
      <c r="E472" s="1" t="s">
        <v>25</v>
      </c>
      <c r="F472" s="1" t="str">
        <f>"1231344821"</f>
        <v>1231344821</v>
      </c>
      <c r="G472" s="1" t="s">
        <v>74</v>
      </c>
      <c r="H472" s="1" t="str">
        <f t="shared" si="69"/>
        <v>20220914</v>
      </c>
      <c r="I472" s="1" t="str">
        <f>"123536"</f>
        <v>123536</v>
      </c>
      <c r="J472" s="1" t="s">
        <v>27</v>
      </c>
      <c r="K472" s="1" t="s">
        <v>28</v>
      </c>
      <c r="L472" s="1" t="str">
        <f t="shared" si="70"/>
        <v>20220914</v>
      </c>
      <c r="M472" s="1" t="str">
        <f>"125109"</f>
        <v>125109</v>
      </c>
      <c r="N472" s="1" t="s">
        <v>91</v>
      </c>
      <c r="O472" s="1" t="s">
        <v>45</v>
      </c>
      <c r="P472" s="1" t="s">
        <v>55</v>
      </c>
      <c r="Q472" s="1">
        <v>13</v>
      </c>
      <c r="R472" s="1">
        <v>13</v>
      </c>
      <c r="S472" s="1">
        <v>0</v>
      </c>
      <c r="T472" s="1">
        <v>0</v>
      </c>
      <c r="U472" s="1">
        <v>0</v>
      </c>
      <c r="V472" s="1" t="str">
        <f t="shared" si="67"/>
        <v>里程去程</v>
      </c>
      <c r="W472" s="1" t="s">
        <v>35</v>
      </c>
    </row>
    <row r="473" spans="1:23" x14ac:dyDescent="0.3">
      <c r="A473" s="1" t="str">
        <f t="shared" si="68"/>
        <v>59822</v>
      </c>
      <c r="B473" s="1" t="s">
        <v>39</v>
      </c>
      <c r="C473" s="1" t="s">
        <v>40</v>
      </c>
      <c r="D473" s="1" t="str">
        <f t="shared" si="66"/>
        <v>9801</v>
      </c>
      <c r="E473" s="1" t="s">
        <v>25</v>
      </c>
      <c r="F473" s="1" t="str">
        <f>"1176944773"</f>
        <v>1176944773</v>
      </c>
      <c r="G473" s="1" t="s">
        <v>102</v>
      </c>
      <c r="H473" s="1" t="str">
        <f t="shared" si="69"/>
        <v>20220914</v>
      </c>
      <c r="I473" s="1" t="str">
        <f>"123542"</f>
        <v>123542</v>
      </c>
      <c r="J473" s="1" t="s">
        <v>27</v>
      </c>
      <c r="K473" s="1" t="s">
        <v>28</v>
      </c>
      <c r="L473" s="1" t="str">
        <f t="shared" si="70"/>
        <v>20220914</v>
      </c>
      <c r="M473" s="1" t="str">
        <f>"125254"</f>
        <v>125254</v>
      </c>
      <c r="N473" s="1" t="s">
        <v>91</v>
      </c>
      <c r="O473" s="1" t="s">
        <v>45</v>
      </c>
      <c r="P473" s="1" t="s">
        <v>55</v>
      </c>
      <c r="Q473" s="1">
        <v>25</v>
      </c>
      <c r="R473" s="1">
        <v>25</v>
      </c>
      <c r="S473" s="1">
        <v>0</v>
      </c>
      <c r="T473" s="1">
        <v>0</v>
      </c>
      <c r="U473" s="1">
        <v>0</v>
      </c>
      <c r="V473" s="1" t="str">
        <f t="shared" si="67"/>
        <v>里程去程</v>
      </c>
      <c r="W473" s="1" t="s">
        <v>35</v>
      </c>
    </row>
    <row r="474" spans="1:23" x14ac:dyDescent="0.3">
      <c r="A474" s="1" t="str">
        <f t="shared" si="68"/>
        <v>59822</v>
      </c>
      <c r="B474" s="1" t="s">
        <v>39</v>
      </c>
      <c r="C474" s="1" t="s">
        <v>40</v>
      </c>
      <c r="D474" s="1" t="str">
        <f t="shared" si="66"/>
        <v>9801</v>
      </c>
      <c r="E474" s="1" t="s">
        <v>25</v>
      </c>
      <c r="F474" s="1" t="str">
        <f>"1737814858"</f>
        <v>1737814858</v>
      </c>
      <c r="G474" s="1" t="s">
        <v>33</v>
      </c>
      <c r="H474" s="1" t="str">
        <f t="shared" si="69"/>
        <v>20220914</v>
      </c>
      <c r="I474" s="1" t="str">
        <f>"123544"</f>
        <v>123544</v>
      </c>
      <c r="J474" s="1" t="s">
        <v>27</v>
      </c>
      <c r="K474" s="1" t="s">
        <v>28</v>
      </c>
      <c r="L474" s="1" t="str">
        <f t="shared" si="70"/>
        <v>20220914</v>
      </c>
      <c r="M474" s="1" t="str">
        <f>"125358"</f>
        <v>125358</v>
      </c>
      <c r="N474" s="1" t="s">
        <v>91</v>
      </c>
      <c r="O474" s="1" t="s">
        <v>45</v>
      </c>
      <c r="P474" s="1" t="s">
        <v>55</v>
      </c>
      <c r="Q474" s="1">
        <v>25</v>
      </c>
      <c r="R474" s="1">
        <v>25</v>
      </c>
      <c r="S474" s="1">
        <v>0</v>
      </c>
      <c r="T474" s="1">
        <v>0</v>
      </c>
      <c r="U474" s="1">
        <v>0</v>
      </c>
      <c r="V474" s="1" t="str">
        <f t="shared" si="67"/>
        <v>里程去程</v>
      </c>
      <c r="W474" s="1" t="s">
        <v>35</v>
      </c>
    </row>
    <row r="475" spans="1:23" x14ac:dyDescent="0.3">
      <c r="A475" s="1" t="str">
        <f t="shared" si="68"/>
        <v>59822</v>
      </c>
      <c r="B475" s="1" t="s">
        <v>39</v>
      </c>
      <c r="C475" s="1" t="s">
        <v>40</v>
      </c>
      <c r="D475" s="1" t="str">
        <f t="shared" si="66"/>
        <v>9801</v>
      </c>
      <c r="E475" s="1" t="s">
        <v>25</v>
      </c>
      <c r="F475" s="1" t="str">
        <f>"1263087829"</f>
        <v>1263087829</v>
      </c>
      <c r="G475" s="1" t="s">
        <v>33</v>
      </c>
      <c r="H475" s="1" t="str">
        <f t="shared" si="69"/>
        <v>20220914</v>
      </c>
      <c r="I475" s="1" t="str">
        <f>"123552"</f>
        <v>123552</v>
      </c>
      <c r="J475" s="1" t="s">
        <v>27</v>
      </c>
      <c r="K475" s="1" t="s">
        <v>28</v>
      </c>
      <c r="L475" s="1" t="str">
        <f t="shared" si="70"/>
        <v>20220914</v>
      </c>
      <c r="M475" s="1" t="str">
        <f>"125242"</f>
        <v>125242</v>
      </c>
      <c r="N475" s="1" t="s">
        <v>91</v>
      </c>
      <c r="O475" s="1" t="s">
        <v>45</v>
      </c>
      <c r="P475" s="1" t="s">
        <v>55</v>
      </c>
      <c r="Q475" s="1">
        <v>25</v>
      </c>
      <c r="R475" s="1">
        <v>0</v>
      </c>
      <c r="S475" s="1">
        <v>25</v>
      </c>
      <c r="T475" s="1">
        <v>0</v>
      </c>
      <c r="U475" s="1">
        <v>0</v>
      </c>
      <c r="V475" s="1" t="str">
        <f t="shared" si="67"/>
        <v>里程去程</v>
      </c>
      <c r="W475" s="1" t="s">
        <v>35</v>
      </c>
    </row>
    <row r="476" spans="1:23" x14ac:dyDescent="0.3">
      <c r="A476" s="1" t="str">
        <f t="shared" si="68"/>
        <v>59822</v>
      </c>
      <c r="B476" s="1" t="s">
        <v>39</v>
      </c>
      <c r="C476" s="1" t="s">
        <v>40</v>
      </c>
      <c r="D476" s="1" t="str">
        <f t="shared" si="66"/>
        <v>9801</v>
      </c>
      <c r="E476" s="1" t="s">
        <v>25</v>
      </c>
      <c r="F476" s="1" t="str">
        <f>"1646286037"</f>
        <v>1646286037</v>
      </c>
      <c r="G476" s="1" t="s">
        <v>26</v>
      </c>
      <c r="H476" s="1" t="str">
        <f t="shared" si="69"/>
        <v>20220914</v>
      </c>
      <c r="I476" s="1" t="str">
        <f>"123608"</f>
        <v>123608</v>
      </c>
      <c r="J476" s="1" t="s">
        <v>27</v>
      </c>
      <c r="K476" s="1" t="s">
        <v>28</v>
      </c>
      <c r="L476" s="1" t="str">
        <f t="shared" si="70"/>
        <v>20220914</v>
      </c>
      <c r="M476" s="1" t="str">
        <f>"125400"</f>
        <v>125400</v>
      </c>
      <c r="N476" s="1" t="s">
        <v>91</v>
      </c>
      <c r="O476" s="1" t="s">
        <v>45</v>
      </c>
      <c r="P476" s="1" t="s">
        <v>55</v>
      </c>
      <c r="Q476" s="1">
        <v>13</v>
      </c>
      <c r="R476" s="1">
        <v>13</v>
      </c>
      <c r="S476" s="1">
        <v>0</v>
      </c>
      <c r="T476" s="1">
        <v>0</v>
      </c>
      <c r="U476" s="1">
        <v>0</v>
      </c>
      <c r="V476" s="1" t="str">
        <f t="shared" si="67"/>
        <v>里程去程</v>
      </c>
      <c r="W476" s="1" t="s">
        <v>35</v>
      </c>
    </row>
    <row r="477" spans="1:23" x14ac:dyDescent="0.3">
      <c r="A477" s="1" t="str">
        <f t="shared" si="68"/>
        <v>59822</v>
      </c>
      <c r="B477" s="1" t="s">
        <v>39</v>
      </c>
      <c r="C477" s="1" t="s">
        <v>40</v>
      </c>
      <c r="D477" s="1" t="str">
        <f t="shared" si="66"/>
        <v>9801</v>
      </c>
      <c r="E477" s="1" t="s">
        <v>25</v>
      </c>
      <c r="F477" s="1" t="str">
        <f>"662576309"</f>
        <v>662576309</v>
      </c>
      <c r="G477" s="1" t="s">
        <v>33</v>
      </c>
      <c r="H477" s="1" t="str">
        <f t="shared" si="69"/>
        <v>20220914</v>
      </c>
      <c r="I477" s="1" t="str">
        <f>"123613"</f>
        <v>123613</v>
      </c>
      <c r="J477" s="1" t="s">
        <v>27</v>
      </c>
      <c r="K477" s="1" t="s">
        <v>28</v>
      </c>
      <c r="L477" s="1" t="str">
        <f t="shared" si="70"/>
        <v>20220914</v>
      </c>
      <c r="M477" s="1" t="str">
        <f>"125331"</f>
        <v>125331</v>
      </c>
      <c r="N477" s="1" t="s">
        <v>91</v>
      </c>
      <c r="O477" s="1" t="s">
        <v>45</v>
      </c>
      <c r="P477" s="1" t="s">
        <v>55</v>
      </c>
      <c r="Q477" s="1">
        <v>25</v>
      </c>
      <c r="R477" s="1">
        <v>25</v>
      </c>
      <c r="S477" s="1">
        <v>0</v>
      </c>
      <c r="T477" s="1">
        <v>0</v>
      </c>
      <c r="U477" s="1">
        <v>0</v>
      </c>
      <c r="V477" s="1" t="str">
        <f t="shared" si="67"/>
        <v>里程去程</v>
      </c>
      <c r="W477" s="1" t="s">
        <v>35</v>
      </c>
    </row>
    <row r="478" spans="1:23" x14ac:dyDescent="0.3">
      <c r="A478" s="1" t="str">
        <f t="shared" si="68"/>
        <v>59822</v>
      </c>
      <c r="B478" s="1" t="s">
        <v>39</v>
      </c>
      <c r="C478" s="1" t="s">
        <v>40</v>
      </c>
      <c r="D478" s="1" t="str">
        <f t="shared" si="66"/>
        <v>9801</v>
      </c>
      <c r="E478" s="1" t="s">
        <v>25</v>
      </c>
      <c r="F478" s="1" t="str">
        <f>"2305384936"</f>
        <v>2305384936</v>
      </c>
      <c r="G478" s="1" t="s">
        <v>33</v>
      </c>
      <c r="H478" s="1" t="str">
        <f t="shared" si="69"/>
        <v>20220914</v>
      </c>
      <c r="I478" s="1" t="str">
        <f>"123622"</f>
        <v>123622</v>
      </c>
      <c r="J478" s="1" t="s">
        <v>27</v>
      </c>
      <c r="K478" s="1" t="s">
        <v>28</v>
      </c>
      <c r="L478" s="1" t="str">
        <f t="shared" si="70"/>
        <v>20220914</v>
      </c>
      <c r="M478" s="1" t="str">
        <f>"125320"</f>
        <v>125320</v>
      </c>
      <c r="N478" s="1" t="s">
        <v>91</v>
      </c>
      <c r="O478" s="1" t="s">
        <v>45</v>
      </c>
      <c r="P478" s="1" t="s">
        <v>55</v>
      </c>
      <c r="Q478" s="1">
        <v>25</v>
      </c>
      <c r="R478" s="1">
        <v>25</v>
      </c>
      <c r="S478" s="1">
        <v>0</v>
      </c>
      <c r="T478" s="1">
        <v>0</v>
      </c>
      <c r="U478" s="1">
        <v>0</v>
      </c>
      <c r="V478" s="1" t="str">
        <f t="shared" si="67"/>
        <v>里程去程</v>
      </c>
      <c r="W478" s="1" t="s">
        <v>35</v>
      </c>
    </row>
    <row r="479" spans="1:23" x14ac:dyDescent="0.3">
      <c r="A479" s="1" t="str">
        <f t="shared" si="68"/>
        <v>59822</v>
      </c>
      <c r="B479" s="1" t="s">
        <v>39</v>
      </c>
      <c r="C479" s="1" t="s">
        <v>40</v>
      </c>
      <c r="D479" s="1" t="str">
        <f t="shared" si="66"/>
        <v>9801</v>
      </c>
      <c r="E479" s="1" t="s">
        <v>25</v>
      </c>
      <c r="F479" s="1" t="str">
        <f>"1020579813"</f>
        <v>1020579813</v>
      </c>
      <c r="G479" s="1" t="s">
        <v>33</v>
      </c>
      <c r="H479" s="1" t="str">
        <f t="shared" si="69"/>
        <v>20220914</v>
      </c>
      <c r="I479" s="1" t="str">
        <f>"123629"</f>
        <v>123629</v>
      </c>
      <c r="J479" s="1" t="s">
        <v>27</v>
      </c>
      <c r="K479" s="1" t="s">
        <v>28</v>
      </c>
      <c r="L479" s="1" t="str">
        <f t="shared" si="70"/>
        <v>20220914</v>
      </c>
      <c r="M479" s="1" t="str">
        <f>"125311"</f>
        <v>125311</v>
      </c>
      <c r="N479" s="1" t="s">
        <v>91</v>
      </c>
      <c r="O479" s="1" t="s">
        <v>45</v>
      </c>
      <c r="P479" s="1" t="s">
        <v>55</v>
      </c>
      <c r="Q479" s="1">
        <v>25</v>
      </c>
      <c r="R479" s="1">
        <v>25</v>
      </c>
      <c r="S479" s="1">
        <v>0</v>
      </c>
      <c r="T479" s="1">
        <v>0</v>
      </c>
      <c r="U479" s="1">
        <v>0</v>
      </c>
      <c r="V479" s="1" t="str">
        <f t="shared" si="67"/>
        <v>里程去程</v>
      </c>
      <c r="W479" s="1" t="s">
        <v>35</v>
      </c>
    </row>
    <row r="480" spans="1:23" x14ac:dyDescent="0.3">
      <c r="A480" s="1" t="str">
        <f t="shared" si="68"/>
        <v>59822</v>
      </c>
      <c r="B480" s="1" t="s">
        <v>39</v>
      </c>
      <c r="C480" s="1" t="s">
        <v>40</v>
      </c>
      <c r="D480" s="1" t="str">
        <f t="shared" si="66"/>
        <v>9801</v>
      </c>
      <c r="E480" s="1" t="s">
        <v>25</v>
      </c>
      <c r="F480" s="1" t="str">
        <f>"1067718309"</f>
        <v>1067718309</v>
      </c>
      <c r="G480" s="1" t="s">
        <v>33</v>
      </c>
      <c r="H480" s="1" t="str">
        <f t="shared" si="69"/>
        <v>20220914</v>
      </c>
      <c r="I480" s="1" t="str">
        <f>"123632"</f>
        <v>123632</v>
      </c>
      <c r="J480" s="1" t="s">
        <v>27</v>
      </c>
      <c r="K480" s="1" t="s">
        <v>28</v>
      </c>
      <c r="L480" s="1" t="str">
        <f t="shared" si="70"/>
        <v>20220914</v>
      </c>
      <c r="M480" s="1" t="str">
        <f>"125323"</f>
        <v>125323</v>
      </c>
      <c r="N480" s="1" t="s">
        <v>91</v>
      </c>
      <c r="O480" s="1" t="s">
        <v>45</v>
      </c>
      <c r="P480" s="1" t="s">
        <v>55</v>
      </c>
      <c r="Q480" s="1">
        <v>25</v>
      </c>
      <c r="R480" s="1">
        <v>25</v>
      </c>
      <c r="S480" s="1">
        <v>0</v>
      </c>
      <c r="T480" s="1">
        <v>0</v>
      </c>
      <c r="U480" s="1">
        <v>0</v>
      </c>
      <c r="V480" s="1" t="str">
        <f t="shared" si="67"/>
        <v>里程去程</v>
      </c>
      <c r="W480" s="1" t="s">
        <v>35</v>
      </c>
    </row>
    <row r="481" spans="1:23" x14ac:dyDescent="0.3">
      <c r="A481" s="1" t="str">
        <f t="shared" si="68"/>
        <v>59822</v>
      </c>
      <c r="B481" s="1" t="s">
        <v>39</v>
      </c>
      <c r="C481" s="1" t="s">
        <v>40</v>
      </c>
      <c r="D481" s="1" t="str">
        <f t="shared" si="66"/>
        <v>9801</v>
      </c>
      <c r="E481" s="1" t="s">
        <v>25</v>
      </c>
      <c r="F481" s="1" t="str">
        <f>"1390273585"</f>
        <v>1390273585</v>
      </c>
      <c r="G481" s="1" t="s">
        <v>26</v>
      </c>
      <c r="H481" s="1" t="str">
        <f t="shared" si="69"/>
        <v>20220914</v>
      </c>
      <c r="I481" s="1" t="str">
        <f>"123636"</f>
        <v>123636</v>
      </c>
      <c r="J481" s="1" t="s">
        <v>27</v>
      </c>
      <c r="K481" s="1" t="s">
        <v>28</v>
      </c>
      <c r="L481" s="1" t="str">
        <f t="shared" si="70"/>
        <v>20220914</v>
      </c>
      <c r="M481" s="1" t="str">
        <f>"125329"</f>
        <v>125329</v>
      </c>
      <c r="N481" s="1" t="s">
        <v>91</v>
      </c>
      <c r="O481" s="1" t="s">
        <v>45</v>
      </c>
      <c r="P481" s="1" t="s">
        <v>55</v>
      </c>
      <c r="Q481" s="1">
        <v>13</v>
      </c>
      <c r="R481" s="1">
        <v>13</v>
      </c>
      <c r="S481" s="1">
        <v>0</v>
      </c>
      <c r="T481" s="1">
        <v>0</v>
      </c>
      <c r="U481" s="1">
        <v>0</v>
      </c>
      <c r="V481" s="1" t="str">
        <f t="shared" si="67"/>
        <v>里程去程</v>
      </c>
      <c r="W481" s="1" t="s">
        <v>35</v>
      </c>
    </row>
    <row r="482" spans="1:23" x14ac:dyDescent="0.3">
      <c r="A482" s="1" t="str">
        <f t="shared" si="68"/>
        <v>59822</v>
      </c>
      <c r="B482" s="1" t="s">
        <v>39</v>
      </c>
      <c r="C482" s="1" t="s">
        <v>40</v>
      </c>
      <c r="D482" s="1" t="str">
        <f t="shared" si="66"/>
        <v>9801</v>
      </c>
      <c r="E482" s="1" t="s">
        <v>25</v>
      </c>
      <c r="F482" s="1" t="str">
        <f>"1218531701"</f>
        <v>1218531701</v>
      </c>
      <c r="G482" s="1" t="s">
        <v>33</v>
      </c>
      <c r="H482" s="1" t="str">
        <f t="shared" si="69"/>
        <v>20220914</v>
      </c>
      <c r="I482" s="1" t="str">
        <f>"123639"</f>
        <v>123639</v>
      </c>
      <c r="J482" s="1" t="s">
        <v>27</v>
      </c>
      <c r="K482" s="1" t="s">
        <v>28</v>
      </c>
      <c r="L482" s="1" t="str">
        <f t="shared" si="70"/>
        <v>20220914</v>
      </c>
      <c r="M482" s="1" t="str">
        <f>"125256"</f>
        <v>125256</v>
      </c>
      <c r="N482" s="1" t="s">
        <v>91</v>
      </c>
      <c r="O482" s="1" t="s">
        <v>45</v>
      </c>
      <c r="P482" s="1" t="s">
        <v>55</v>
      </c>
      <c r="Q482" s="1">
        <v>25</v>
      </c>
      <c r="R482" s="1">
        <v>25</v>
      </c>
      <c r="S482" s="1">
        <v>0</v>
      </c>
      <c r="T482" s="1">
        <v>0</v>
      </c>
      <c r="U482" s="1">
        <v>0</v>
      </c>
      <c r="V482" s="1" t="str">
        <f t="shared" si="67"/>
        <v>里程去程</v>
      </c>
      <c r="W482" s="1" t="s">
        <v>35</v>
      </c>
    </row>
    <row r="483" spans="1:23" x14ac:dyDescent="0.3">
      <c r="A483" s="1" t="str">
        <f t="shared" ref="A483:A514" si="71">"59822"</f>
        <v>59822</v>
      </c>
      <c r="B483" s="1" t="s">
        <v>39</v>
      </c>
      <c r="C483" s="1" t="s">
        <v>40</v>
      </c>
      <c r="D483" s="1" t="str">
        <f t="shared" si="66"/>
        <v>9801</v>
      </c>
      <c r="E483" s="1" t="s">
        <v>25</v>
      </c>
      <c r="F483" s="1" t="str">
        <f>"1108547297"</f>
        <v>1108547297</v>
      </c>
      <c r="G483" s="1" t="s">
        <v>33</v>
      </c>
      <c r="H483" s="1" t="str">
        <f t="shared" ref="H483:H514" si="72">"20220914"</f>
        <v>20220914</v>
      </c>
      <c r="I483" s="1" t="str">
        <f>"123643"</f>
        <v>123643</v>
      </c>
      <c r="J483" s="1" t="s">
        <v>27</v>
      </c>
      <c r="K483" s="1" t="s">
        <v>28</v>
      </c>
      <c r="L483" s="1" t="str">
        <f t="shared" ref="L483:L514" si="73">"20220914"</f>
        <v>20220914</v>
      </c>
      <c r="M483" s="1" t="str">
        <f>"125300"</f>
        <v>125300</v>
      </c>
      <c r="N483" s="1" t="s">
        <v>91</v>
      </c>
      <c r="O483" s="1" t="s">
        <v>45</v>
      </c>
      <c r="P483" s="1" t="s">
        <v>55</v>
      </c>
      <c r="Q483" s="1">
        <v>25</v>
      </c>
      <c r="R483" s="1">
        <v>25</v>
      </c>
      <c r="S483" s="1">
        <v>0</v>
      </c>
      <c r="T483" s="1">
        <v>0</v>
      </c>
      <c r="U483" s="1">
        <v>0</v>
      </c>
      <c r="V483" s="1" t="str">
        <f t="shared" si="67"/>
        <v>里程去程</v>
      </c>
      <c r="W483" s="1" t="s">
        <v>35</v>
      </c>
    </row>
    <row r="484" spans="1:23" x14ac:dyDescent="0.3">
      <c r="A484" s="1" t="str">
        <f t="shared" si="71"/>
        <v>59822</v>
      </c>
      <c r="B484" s="1" t="s">
        <v>39</v>
      </c>
      <c r="C484" s="1" t="s">
        <v>40</v>
      </c>
      <c r="D484" s="1" t="str">
        <f t="shared" si="66"/>
        <v>9801</v>
      </c>
      <c r="E484" s="1" t="s">
        <v>25</v>
      </c>
      <c r="F484" s="1" t="str">
        <f>"1209895909"</f>
        <v>1209895909</v>
      </c>
      <c r="G484" s="1" t="s">
        <v>26</v>
      </c>
      <c r="H484" s="1" t="str">
        <f t="shared" si="72"/>
        <v>20220914</v>
      </c>
      <c r="I484" s="1" t="str">
        <f>"123645"</f>
        <v>123645</v>
      </c>
      <c r="J484" s="1" t="s">
        <v>27</v>
      </c>
      <c r="K484" s="1" t="s">
        <v>28</v>
      </c>
      <c r="L484" s="1" t="str">
        <f t="shared" si="73"/>
        <v>20220914</v>
      </c>
      <c r="M484" s="1" t="str">
        <f>"125335"</f>
        <v>125335</v>
      </c>
      <c r="N484" s="1" t="s">
        <v>91</v>
      </c>
      <c r="O484" s="1" t="s">
        <v>45</v>
      </c>
      <c r="P484" s="1" t="s">
        <v>55</v>
      </c>
      <c r="Q484" s="1">
        <v>13</v>
      </c>
      <c r="R484" s="1">
        <v>13</v>
      </c>
      <c r="S484" s="1">
        <v>0</v>
      </c>
      <c r="T484" s="1">
        <v>0</v>
      </c>
      <c r="U484" s="1">
        <v>0</v>
      </c>
      <c r="V484" s="1" t="str">
        <f t="shared" si="67"/>
        <v>里程去程</v>
      </c>
      <c r="W484" s="1" t="s">
        <v>35</v>
      </c>
    </row>
    <row r="485" spans="1:23" x14ac:dyDescent="0.3">
      <c r="A485" s="1" t="str">
        <f t="shared" si="71"/>
        <v>59822</v>
      </c>
      <c r="B485" s="1" t="s">
        <v>39</v>
      </c>
      <c r="C485" s="1" t="s">
        <v>40</v>
      </c>
      <c r="D485" s="1" t="str">
        <f t="shared" si="66"/>
        <v>9801</v>
      </c>
      <c r="E485" s="1" t="s">
        <v>25</v>
      </c>
      <c r="F485" s="1" t="str">
        <f>"1406484497"</f>
        <v>1406484497</v>
      </c>
      <c r="G485" s="1" t="s">
        <v>26</v>
      </c>
      <c r="H485" s="1" t="str">
        <f t="shared" si="72"/>
        <v>20220914</v>
      </c>
      <c r="I485" s="1" t="str">
        <f>"123651"</f>
        <v>123651</v>
      </c>
      <c r="J485" s="1" t="s">
        <v>27</v>
      </c>
      <c r="K485" s="1" t="s">
        <v>28</v>
      </c>
      <c r="L485" s="1" t="str">
        <f t="shared" si="73"/>
        <v>20220914</v>
      </c>
      <c r="M485" s="1" t="str">
        <f>"125250"</f>
        <v>125250</v>
      </c>
      <c r="N485" s="1" t="s">
        <v>91</v>
      </c>
      <c r="O485" s="1" t="s">
        <v>45</v>
      </c>
      <c r="P485" s="1" t="s">
        <v>55</v>
      </c>
      <c r="Q485" s="1">
        <v>13</v>
      </c>
      <c r="R485" s="1">
        <v>13</v>
      </c>
      <c r="S485" s="1">
        <v>0</v>
      </c>
      <c r="T485" s="1">
        <v>0</v>
      </c>
      <c r="U485" s="1">
        <v>0</v>
      </c>
      <c r="V485" s="1" t="str">
        <f t="shared" si="67"/>
        <v>里程去程</v>
      </c>
      <c r="W485" s="1" t="s">
        <v>35</v>
      </c>
    </row>
    <row r="486" spans="1:23" x14ac:dyDescent="0.3">
      <c r="A486" s="1" t="str">
        <f t="shared" si="71"/>
        <v>59822</v>
      </c>
      <c r="B486" s="1" t="s">
        <v>39</v>
      </c>
      <c r="C486" s="1" t="s">
        <v>40</v>
      </c>
      <c r="D486" s="1" t="str">
        <f t="shared" si="66"/>
        <v>9801</v>
      </c>
      <c r="E486" s="1" t="s">
        <v>25</v>
      </c>
      <c r="F486" s="1" t="str">
        <f>"1305529377"</f>
        <v>1305529377</v>
      </c>
      <c r="G486" s="1" t="s">
        <v>26</v>
      </c>
      <c r="H486" s="1" t="str">
        <f t="shared" si="72"/>
        <v>20220914</v>
      </c>
      <c r="I486" s="1" t="str">
        <f>"123658"</f>
        <v>123658</v>
      </c>
      <c r="J486" s="1" t="s">
        <v>27</v>
      </c>
      <c r="K486" s="1" t="s">
        <v>28</v>
      </c>
      <c r="L486" s="1" t="str">
        <f t="shared" si="73"/>
        <v>20220914</v>
      </c>
      <c r="M486" s="1" t="str">
        <f>"125116"</f>
        <v>125116</v>
      </c>
      <c r="N486" s="1" t="s">
        <v>91</v>
      </c>
      <c r="O486" s="1" t="s">
        <v>45</v>
      </c>
      <c r="P486" s="1" t="s">
        <v>55</v>
      </c>
      <c r="Q486" s="1">
        <v>13</v>
      </c>
      <c r="R486" s="1">
        <v>13</v>
      </c>
      <c r="S486" s="1">
        <v>0</v>
      </c>
      <c r="T486" s="1">
        <v>0</v>
      </c>
      <c r="U486" s="1">
        <v>0</v>
      </c>
      <c r="V486" s="1" t="str">
        <f t="shared" si="67"/>
        <v>里程去程</v>
      </c>
      <c r="W486" s="1" t="s">
        <v>35</v>
      </c>
    </row>
    <row r="487" spans="1:23" x14ac:dyDescent="0.3">
      <c r="A487" s="1" t="str">
        <f t="shared" si="71"/>
        <v>59822</v>
      </c>
      <c r="B487" s="1" t="s">
        <v>39</v>
      </c>
      <c r="C487" s="1" t="s">
        <v>40</v>
      </c>
      <c r="D487" s="1" t="str">
        <f t="shared" si="66"/>
        <v>9801</v>
      </c>
      <c r="E487" s="1" t="s">
        <v>25</v>
      </c>
      <c r="F487" s="1" t="str">
        <f>"1196985669"</f>
        <v>1196985669</v>
      </c>
      <c r="G487" s="1" t="s">
        <v>33</v>
      </c>
      <c r="H487" s="1" t="str">
        <f t="shared" si="72"/>
        <v>20220914</v>
      </c>
      <c r="I487" s="1" t="str">
        <f>"123705"</f>
        <v>123705</v>
      </c>
      <c r="J487" s="1" t="s">
        <v>27</v>
      </c>
      <c r="K487" s="1" t="s">
        <v>28</v>
      </c>
      <c r="L487" s="1" t="str">
        <f t="shared" si="73"/>
        <v>20220914</v>
      </c>
      <c r="M487" s="1" t="str">
        <f>"125221"</f>
        <v>125221</v>
      </c>
      <c r="N487" s="1" t="s">
        <v>91</v>
      </c>
      <c r="O487" s="1" t="s">
        <v>45</v>
      </c>
      <c r="P487" s="1" t="s">
        <v>55</v>
      </c>
      <c r="Q487" s="1">
        <v>25</v>
      </c>
      <c r="R487" s="1">
        <v>25</v>
      </c>
      <c r="S487" s="1">
        <v>0</v>
      </c>
      <c r="T487" s="1">
        <v>0</v>
      </c>
      <c r="U487" s="1">
        <v>0</v>
      </c>
      <c r="V487" s="1" t="str">
        <f t="shared" si="67"/>
        <v>里程去程</v>
      </c>
      <c r="W487" s="1" t="s">
        <v>35</v>
      </c>
    </row>
    <row r="488" spans="1:23" x14ac:dyDescent="0.3">
      <c r="A488" s="1" t="str">
        <f t="shared" si="71"/>
        <v>59822</v>
      </c>
      <c r="B488" s="1" t="s">
        <v>39</v>
      </c>
      <c r="C488" s="1" t="s">
        <v>40</v>
      </c>
      <c r="D488" s="1" t="str">
        <f t="shared" si="66"/>
        <v>9801</v>
      </c>
      <c r="E488" s="1" t="s">
        <v>25</v>
      </c>
      <c r="F488" s="1" t="str">
        <f>"994298805"</f>
        <v>994298805</v>
      </c>
      <c r="G488" s="1" t="s">
        <v>26</v>
      </c>
      <c r="H488" s="1" t="str">
        <f t="shared" si="72"/>
        <v>20220914</v>
      </c>
      <c r="I488" s="1" t="str">
        <f>"123714"</f>
        <v>123714</v>
      </c>
      <c r="J488" s="1" t="s">
        <v>27</v>
      </c>
      <c r="K488" s="1" t="s">
        <v>28</v>
      </c>
      <c r="L488" s="1" t="str">
        <f t="shared" si="73"/>
        <v>20220914</v>
      </c>
      <c r="M488" s="1" t="str">
        <f>"125326"</f>
        <v>125326</v>
      </c>
      <c r="N488" s="1" t="s">
        <v>91</v>
      </c>
      <c r="O488" s="1" t="s">
        <v>45</v>
      </c>
      <c r="P488" s="1" t="s">
        <v>55</v>
      </c>
      <c r="Q488" s="1">
        <v>13</v>
      </c>
      <c r="R488" s="1">
        <v>13</v>
      </c>
      <c r="S488" s="1">
        <v>0</v>
      </c>
      <c r="T488" s="1">
        <v>0</v>
      </c>
      <c r="U488" s="1">
        <v>0</v>
      </c>
      <c r="V488" s="1" t="str">
        <f t="shared" si="67"/>
        <v>里程去程</v>
      </c>
      <c r="W488" s="1" t="s">
        <v>35</v>
      </c>
    </row>
    <row r="489" spans="1:23" x14ac:dyDescent="0.3">
      <c r="A489" s="1" t="str">
        <f t="shared" si="71"/>
        <v>59822</v>
      </c>
      <c r="B489" s="1" t="s">
        <v>39</v>
      </c>
      <c r="C489" s="1" t="s">
        <v>40</v>
      </c>
      <c r="D489" s="1" t="str">
        <f t="shared" si="66"/>
        <v>9801</v>
      </c>
      <c r="E489" s="1" t="s">
        <v>25</v>
      </c>
      <c r="F489" s="1" t="str">
        <f>"F27CE6026A880400C834002000000015"</f>
        <v>F27CE6026A880400C834002000000015</v>
      </c>
      <c r="G489" s="1" t="s">
        <v>74</v>
      </c>
      <c r="H489" s="1" t="str">
        <f t="shared" si="72"/>
        <v>20220914</v>
      </c>
      <c r="I489" s="1" t="str">
        <f>"145606"</f>
        <v>145606</v>
      </c>
      <c r="J489" s="1" t="s">
        <v>52</v>
      </c>
      <c r="K489" s="1" t="s">
        <v>52</v>
      </c>
      <c r="L489" s="1" t="str">
        <f t="shared" si="73"/>
        <v>20220914</v>
      </c>
      <c r="M489" s="1" t="str">
        <f>"150611"</f>
        <v>150611</v>
      </c>
      <c r="N489" s="1" t="s">
        <v>60</v>
      </c>
      <c r="O489" s="1" t="s">
        <v>52</v>
      </c>
      <c r="P489" s="1" t="s">
        <v>68</v>
      </c>
      <c r="Q489" s="1">
        <v>13</v>
      </c>
      <c r="R489" s="1">
        <v>0</v>
      </c>
      <c r="S489" s="1">
        <v>0</v>
      </c>
      <c r="T489" s="1">
        <v>13</v>
      </c>
      <c r="U489" s="1">
        <v>0</v>
      </c>
      <c r="V489" s="1" t="str">
        <f t="shared" si="67"/>
        <v>里程去程</v>
      </c>
      <c r="W489" s="1" t="s">
        <v>29</v>
      </c>
    </row>
    <row r="490" spans="1:23" x14ac:dyDescent="0.3">
      <c r="A490" s="1" t="str">
        <f t="shared" si="71"/>
        <v>59822</v>
      </c>
      <c r="B490" s="1" t="s">
        <v>39</v>
      </c>
      <c r="C490" s="1" t="s">
        <v>40</v>
      </c>
      <c r="D490" s="1" t="str">
        <f t="shared" si="66"/>
        <v>9801</v>
      </c>
      <c r="E490" s="1" t="s">
        <v>25</v>
      </c>
      <c r="F490" s="1" t="str">
        <f>"F2C64D0E77880400C806002000000018"</f>
        <v>F2C64D0E77880400C806002000000018</v>
      </c>
      <c r="G490" s="1" t="s">
        <v>58</v>
      </c>
      <c r="H490" s="1" t="str">
        <f t="shared" si="72"/>
        <v>20220914</v>
      </c>
      <c r="I490" s="1" t="str">
        <f>"150721"</f>
        <v>150721</v>
      </c>
      <c r="J490" s="1" t="s">
        <v>60</v>
      </c>
      <c r="K490" s="1" t="s">
        <v>52</v>
      </c>
      <c r="L490" s="1" t="str">
        <f t="shared" si="73"/>
        <v>20220914</v>
      </c>
      <c r="M490" s="1" t="str">
        <f>"151615"</f>
        <v>151615</v>
      </c>
      <c r="N490" s="1" t="s">
        <v>80</v>
      </c>
      <c r="O490" s="1" t="s">
        <v>52</v>
      </c>
      <c r="P490" s="1" t="s">
        <v>55</v>
      </c>
      <c r="Q490" s="1">
        <v>25</v>
      </c>
      <c r="R490" s="1">
        <v>25</v>
      </c>
      <c r="S490" s="1">
        <v>0</v>
      </c>
      <c r="T490" s="1">
        <v>0</v>
      </c>
      <c r="U490" s="1">
        <v>0</v>
      </c>
      <c r="V490" s="1" t="str">
        <f t="shared" si="67"/>
        <v>里程去程</v>
      </c>
      <c r="W490" s="1" t="s">
        <v>29</v>
      </c>
    </row>
    <row r="491" spans="1:23" x14ac:dyDescent="0.3">
      <c r="A491" s="1" t="str">
        <f t="shared" si="71"/>
        <v>59822</v>
      </c>
      <c r="B491" s="1" t="s">
        <v>39</v>
      </c>
      <c r="C491" s="1" t="s">
        <v>40</v>
      </c>
      <c r="D491" s="1" t="str">
        <f t="shared" si="66"/>
        <v>9801</v>
      </c>
      <c r="E491" s="1" t="s">
        <v>25</v>
      </c>
      <c r="F491" s="1" t="str">
        <f>"F2F7D002D7880400C834002000000015"</f>
        <v>F2F7D002D7880400C834002000000015</v>
      </c>
      <c r="G491" s="1" t="s">
        <v>74</v>
      </c>
      <c r="H491" s="1" t="str">
        <f t="shared" si="72"/>
        <v>20220914</v>
      </c>
      <c r="I491" s="1" t="str">
        <f>"151642"</f>
        <v>151642</v>
      </c>
      <c r="J491" s="1" t="s">
        <v>80</v>
      </c>
      <c r="K491" s="1" t="s">
        <v>52</v>
      </c>
      <c r="L491" s="1" t="str">
        <f t="shared" si="73"/>
        <v>20220914</v>
      </c>
      <c r="M491" s="1" t="str">
        <f>"155605"</f>
        <v>155605</v>
      </c>
      <c r="N491" s="1" t="s">
        <v>44</v>
      </c>
      <c r="O491" s="1" t="s">
        <v>45</v>
      </c>
      <c r="P491" s="1" t="s">
        <v>68</v>
      </c>
      <c r="Q491" s="1">
        <v>25</v>
      </c>
      <c r="R491" s="1">
        <v>0</v>
      </c>
      <c r="S491" s="1">
        <v>0</v>
      </c>
      <c r="T491" s="1">
        <v>25</v>
      </c>
      <c r="U491" s="1">
        <v>0</v>
      </c>
      <c r="V491" s="1" t="str">
        <f t="shared" si="67"/>
        <v>里程去程</v>
      </c>
      <c r="W491" s="1" t="s">
        <v>29</v>
      </c>
    </row>
    <row r="492" spans="1:23" x14ac:dyDescent="0.3">
      <c r="A492" s="1" t="str">
        <f t="shared" si="71"/>
        <v>59822</v>
      </c>
      <c r="B492" s="1" t="s">
        <v>39</v>
      </c>
      <c r="C492" s="1" t="s">
        <v>40</v>
      </c>
      <c r="D492" s="1" t="str">
        <f t="shared" si="66"/>
        <v>9801</v>
      </c>
      <c r="E492" s="1" t="s">
        <v>25</v>
      </c>
      <c r="F492" s="1" t="str">
        <f>"244952257"</f>
        <v>244952257</v>
      </c>
      <c r="G492" s="1" t="s">
        <v>33</v>
      </c>
      <c r="H492" s="1" t="str">
        <f t="shared" si="72"/>
        <v>20220914</v>
      </c>
      <c r="I492" s="1" t="str">
        <f>"153312"</f>
        <v>153312</v>
      </c>
      <c r="J492" s="1" t="s">
        <v>27</v>
      </c>
      <c r="K492" s="1" t="s">
        <v>28</v>
      </c>
      <c r="L492" s="1" t="str">
        <f t="shared" si="73"/>
        <v>20220914</v>
      </c>
      <c r="M492" s="1" t="str">
        <f>"155154"</f>
        <v>155154</v>
      </c>
      <c r="N492" s="1" t="s">
        <v>100</v>
      </c>
      <c r="O492" s="1" t="s">
        <v>45</v>
      </c>
      <c r="P492" s="1" t="s">
        <v>55</v>
      </c>
      <c r="Q492" s="1">
        <v>25</v>
      </c>
      <c r="R492" s="1">
        <v>0</v>
      </c>
      <c r="S492" s="1">
        <v>25</v>
      </c>
      <c r="T492" s="1">
        <v>0</v>
      </c>
      <c r="U492" s="1">
        <v>0</v>
      </c>
      <c r="V492" s="1" t="str">
        <f t="shared" si="67"/>
        <v>里程去程</v>
      </c>
      <c r="W492" s="1" t="s">
        <v>35</v>
      </c>
    </row>
    <row r="493" spans="1:23" x14ac:dyDescent="0.3">
      <c r="A493" s="1" t="str">
        <f t="shared" si="71"/>
        <v>59822</v>
      </c>
      <c r="B493" s="1" t="s">
        <v>39</v>
      </c>
      <c r="C493" s="1" t="s">
        <v>40</v>
      </c>
      <c r="D493" s="1" t="str">
        <f t="shared" si="66"/>
        <v>9801</v>
      </c>
      <c r="E493" s="1" t="s">
        <v>25</v>
      </c>
      <c r="F493" s="1" t="str">
        <f>"3040822515"</f>
        <v>3040822515</v>
      </c>
      <c r="G493" s="1" t="s">
        <v>96</v>
      </c>
      <c r="H493" s="1" t="str">
        <f t="shared" si="72"/>
        <v>20220914</v>
      </c>
      <c r="I493" s="1" t="str">
        <f>"154306"</f>
        <v>154306</v>
      </c>
      <c r="J493" s="1" t="s">
        <v>45</v>
      </c>
      <c r="K493" s="1" t="s">
        <v>45</v>
      </c>
      <c r="L493" s="1" t="str">
        <f t="shared" si="73"/>
        <v>20220914</v>
      </c>
      <c r="M493" s="1" t="str">
        <f>"155616"</f>
        <v>155616</v>
      </c>
      <c r="N493" s="1" t="s">
        <v>44</v>
      </c>
      <c r="O493" s="1" t="s">
        <v>45</v>
      </c>
      <c r="P493" s="1" t="s">
        <v>55</v>
      </c>
      <c r="Q493" s="1">
        <v>13</v>
      </c>
      <c r="R493" s="1">
        <v>13</v>
      </c>
      <c r="S493" s="1">
        <v>0</v>
      </c>
      <c r="T493" s="1">
        <v>0</v>
      </c>
      <c r="U493" s="1">
        <v>0</v>
      </c>
      <c r="V493" s="1" t="str">
        <f t="shared" si="67"/>
        <v>里程去程</v>
      </c>
      <c r="W493" s="1" t="s">
        <v>35</v>
      </c>
    </row>
    <row r="494" spans="1:23" x14ac:dyDescent="0.3">
      <c r="A494" s="1" t="str">
        <f t="shared" si="71"/>
        <v>59822</v>
      </c>
      <c r="B494" s="1" t="s">
        <v>39</v>
      </c>
      <c r="C494" s="1" t="s">
        <v>40</v>
      </c>
      <c r="D494" s="1" t="str">
        <f t="shared" si="66"/>
        <v>9801</v>
      </c>
      <c r="E494" s="1" t="s">
        <v>25</v>
      </c>
      <c r="F494" s="1" t="str">
        <f>"251810511"</f>
        <v>251810511</v>
      </c>
      <c r="G494" s="1" t="s">
        <v>26</v>
      </c>
      <c r="H494" s="1" t="str">
        <f t="shared" si="72"/>
        <v>20220914</v>
      </c>
      <c r="I494" s="1" t="str">
        <f>"154312"</f>
        <v>154312</v>
      </c>
      <c r="J494" s="1" t="s">
        <v>45</v>
      </c>
      <c r="K494" s="1" t="s">
        <v>45</v>
      </c>
      <c r="L494" s="1" t="str">
        <f t="shared" si="73"/>
        <v>20220914</v>
      </c>
      <c r="M494" s="1" t="str">
        <f>"155623"</f>
        <v>155623</v>
      </c>
      <c r="N494" s="1" t="s">
        <v>44</v>
      </c>
      <c r="O494" s="1" t="s">
        <v>45</v>
      </c>
      <c r="P494" s="1" t="s">
        <v>55</v>
      </c>
      <c r="Q494" s="1">
        <v>13</v>
      </c>
      <c r="R494" s="1">
        <v>13</v>
      </c>
      <c r="S494" s="1">
        <v>0</v>
      </c>
      <c r="T494" s="1">
        <v>0</v>
      </c>
      <c r="U494" s="1">
        <v>0</v>
      </c>
      <c r="V494" s="1" t="str">
        <f t="shared" si="67"/>
        <v>里程去程</v>
      </c>
      <c r="W494" s="1" t="s">
        <v>35</v>
      </c>
    </row>
    <row r="495" spans="1:23" x14ac:dyDescent="0.3">
      <c r="A495" s="1" t="str">
        <f t="shared" si="71"/>
        <v>59822</v>
      </c>
      <c r="B495" s="1" t="s">
        <v>39</v>
      </c>
      <c r="C495" s="1" t="s">
        <v>40</v>
      </c>
      <c r="D495" s="1" t="str">
        <f t="shared" si="66"/>
        <v>9801</v>
      </c>
      <c r="E495" s="1" t="s">
        <v>25</v>
      </c>
      <c r="F495" s="1" t="str">
        <f>"380782248"</f>
        <v>380782248</v>
      </c>
      <c r="G495" s="1" t="s">
        <v>33</v>
      </c>
      <c r="H495" s="1" t="str">
        <f t="shared" si="72"/>
        <v>20220914</v>
      </c>
      <c r="I495" s="1" t="str">
        <f>"154315"</f>
        <v>154315</v>
      </c>
      <c r="J495" s="1" t="s">
        <v>45</v>
      </c>
      <c r="K495" s="1" t="s">
        <v>45</v>
      </c>
      <c r="L495" s="1" t="str">
        <f t="shared" si="73"/>
        <v>20220914</v>
      </c>
      <c r="M495" s="1" t="str">
        <f>"155618"</f>
        <v>155618</v>
      </c>
      <c r="N495" s="1" t="s">
        <v>44</v>
      </c>
      <c r="O495" s="1" t="s">
        <v>45</v>
      </c>
      <c r="P495" s="1" t="s">
        <v>55</v>
      </c>
      <c r="Q495" s="1">
        <v>25</v>
      </c>
      <c r="R495" s="1">
        <v>25</v>
      </c>
      <c r="S495" s="1">
        <v>0</v>
      </c>
      <c r="T495" s="1">
        <v>0</v>
      </c>
      <c r="U495" s="1">
        <v>0</v>
      </c>
      <c r="V495" s="1" t="str">
        <f t="shared" si="67"/>
        <v>里程去程</v>
      </c>
      <c r="W495" s="1" t="s">
        <v>35</v>
      </c>
    </row>
    <row r="496" spans="1:23" x14ac:dyDescent="0.3">
      <c r="A496" s="1" t="str">
        <f t="shared" si="71"/>
        <v>59822</v>
      </c>
      <c r="B496" s="1" t="s">
        <v>39</v>
      </c>
      <c r="C496" s="1" t="s">
        <v>40</v>
      </c>
      <c r="D496" s="1" t="str">
        <f t="shared" si="66"/>
        <v>9801</v>
      </c>
      <c r="E496" s="1" t="s">
        <v>25</v>
      </c>
      <c r="F496" s="1" t="str">
        <f>"752850785"</f>
        <v>752850785</v>
      </c>
      <c r="G496" s="1" t="s">
        <v>26</v>
      </c>
      <c r="H496" s="1" t="str">
        <f t="shared" si="72"/>
        <v>20220914</v>
      </c>
      <c r="I496" s="1" t="str">
        <f>"154318"</f>
        <v>154318</v>
      </c>
      <c r="J496" s="1" t="s">
        <v>45</v>
      </c>
      <c r="K496" s="1" t="s">
        <v>45</v>
      </c>
      <c r="L496" s="1" t="str">
        <f t="shared" si="73"/>
        <v>20220914</v>
      </c>
      <c r="M496" s="1" t="str">
        <f>"155612"</f>
        <v>155612</v>
      </c>
      <c r="N496" s="1" t="s">
        <v>44</v>
      </c>
      <c r="O496" s="1" t="s">
        <v>45</v>
      </c>
      <c r="P496" s="1" t="s">
        <v>55</v>
      </c>
      <c r="Q496" s="1">
        <v>13</v>
      </c>
      <c r="R496" s="1">
        <v>13</v>
      </c>
      <c r="S496" s="1">
        <v>0</v>
      </c>
      <c r="T496" s="1">
        <v>0</v>
      </c>
      <c r="U496" s="1">
        <v>0</v>
      </c>
      <c r="V496" s="1" t="str">
        <f t="shared" si="67"/>
        <v>里程去程</v>
      </c>
      <c r="W496" s="1" t="s">
        <v>35</v>
      </c>
    </row>
    <row r="497" spans="1:23" x14ac:dyDescent="0.3">
      <c r="A497" s="1" t="str">
        <f t="shared" si="71"/>
        <v>59822</v>
      </c>
      <c r="B497" s="1" t="s">
        <v>39</v>
      </c>
      <c r="C497" s="1" t="s">
        <v>40</v>
      </c>
      <c r="D497" s="1" t="str">
        <f t="shared" si="66"/>
        <v>9801</v>
      </c>
      <c r="E497" s="1" t="s">
        <v>25</v>
      </c>
      <c r="F497" s="1" t="str">
        <f>"F2F7D002D7880400C834002000000015"</f>
        <v>F2F7D002D7880400C834002000000015</v>
      </c>
      <c r="G497" s="1" t="s">
        <v>74</v>
      </c>
      <c r="H497" s="1" t="str">
        <f t="shared" si="72"/>
        <v>20220914</v>
      </c>
      <c r="I497" s="1" t="str">
        <f>"160959"</f>
        <v>160959</v>
      </c>
      <c r="J497" s="1" t="s">
        <v>51</v>
      </c>
      <c r="K497" s="1" t="s">
        <v>52</v>
      </c>
      <c r="L497" s="1" t="str">
        <f t="shared" si="73"/>
        <v>20220914</v>
      </c>
      <c r="M497" s="1" t="str">
        <f>"162340"</f>
        <v>162340</v>
      </c>
      <c r="N497" s="1" t="s">
        <v>78</v>
      </c>
      <c r="O497" s="1" t="s">
        <v>52</v>
      </c>
      <c r="P497" s="1" t="s">
        <v>68</v>
      </c>
      <c r="Q497" s="1">
        <v>13</v>
      </c>
      <c r="R497" s="1">
        <v>0</v>
      </c>
      <c r="S497" s="1">
        <v>0</v>
      </c>
      <c r="T497" s="1">
        <v>13</v>
      </c>
      <c r="U497" s="1">
        <v>0</v>
      </c>
      <c r="V497" s="1" t="str">
        <f t="shared" si="67"/>
        <v>里程去程</v>
      </c>
      <c r="W497" s="1" t="s">
        <v>29</v>
      </c>
    </row>
    <row r="498" spans="1:23" x14ac:dyDescent="0.3">
      <c r="A498" s="1" t="str">
        <f t="shared" si="71"/>
        <v>59822</v>
      </c>
      <c r="B498" s="1" t="s">
        <v>39</v>
      </c>
      <c r="C498" s="1" t="s">
        <v>40</v>
      </c>
      <c r="D498" s="1" t="str">
        <f t="shared" si="66"/>
        <v>9801</v>
      </c>
      <c r="E498" s="1" t="s">
        <v>25</v>
      </c>
      <c r="F498" s="1" t="str">
        <f>"894153189"</f>
        <v>894153189</v>
      </c>
      <c r="G498" s="1" t="s">
        <v>33</v>
      </c>
      <c r="H498" s="1" t="str">
        <f t="shared" si="72"/>
        <v>20220914</v>
      </c>
      <c r="I498" s="1" t="str">
        <f>"161218"</f>
        <v>161218</v>
      </c>
      <c r="J498" s="1" t="s">
        <v>72</v>
      </c>
      <c r="K498" s="1" t="s">
        <v>52</v>
      </c>
      <c r="L498" s="1" t="str">
        <f t="shared" si="73"/>
        <v>20220914</v>
      </c>
      <c r="M498" s="1" t="str">
        <f>"163334"</f>
        <v>163334</v>
      </c>
      <c r="N498" s="1" t="s">
        <v>70</v>
      </c>
      <c r="O498" s="1" t="s">
        <v>28</v>
      </c>
      <c r="P498" s="1" t="s">
        <v>55</v>
      </c>
      <c r="Q498" s="1">
        <v>25</v>
      </c>
      <c r="R498" s="1">
        <v>25</v>
      </c>
      <c r="S498" s="1">
        <v>0</v>
      </c>
      <c r="T498" s="1">
        <v>0</v>
      </c>
      <c r="U498" s="1">
        <v>0</v>
      </c>
      <c r="V498" s="1" t="str">
        <f t="shared" si="67"/>
        <v>里程去程</v>
      </c>
      <c r="W498" s="1" t="s">
        <v>35</v>
      </c>
    </row>
    <row r="499" spans="1:23" x14ac:dyDescent="0.3">
      <c r="A499" s="1" t="str">
        <f t="shared" si="71"/>
        <v>59822</v>
      </c>
      <c r="B499" s="1" t="s">
        <v>39</v>
      </c>
      <c r="C499" s="1" t="s">
        <v>40</v>
      </c>
      <c r="D499" s="1" t="str">
        <f t="shared" si="66"/>
        <v>9801</v>
      </c>
      <c r="E499" s="1" t="s">
        <v>25</v>
      </c>
      <c r="F499" s="1" t="str">
        <f>"F2C64D0E77880400C806002000000018"</f>
        <v>F2C64D0E77880400C806002000000018</v>
      </c>
      <c r="G499" s="1" t="s">
        <v>58</v>
      </c>
      <c r="H499" s="1" t="str">
        <f t="shared" si="72"/>
        <v>20220914</v>
      </c>
      <c r="I499" s="1" t="str">
        <f>"161619"</f>
        <v>161619</v>
      </c>
      <c r="J499" s="1" t="s">
        <v>80</v>
      </c>
      <c r="K499" s="1" t="s">
        <v>52</v>
      </c>
      <c r="L499" s="1" t="str">
        <f t="shared" si="73"/>
        <v>20220914</v>
      </c>
      <c r="M499" s="1" t="str">
        <f>"163341"</f>
        <v>163341</v>
      </c>
      <c r="N499" s="1" t="s">
        <v>70</v>
      </c>
      <c r="O499" s="1" t="s">
        <v>28</v>
      </c>
      <c r="P499" s="1" t="s">
        <v>55</v>
      </c>
      <c r="Q499" s="1">
        <v>25</v>
      </c>
      <c r="R499" s="1">
        <v>25</v>
      </c>
      <c r="S499" s="1">
        <v>0</v>
      </c>
      <c r="T499" s="1">
        <v>0</v>
      </c>
      <c r="U499" s="1">
        <v>0</v>
      </c>
      <c r="V499" s="1" t="str">
        <f t="shared" si="67"/>
        <v>里程去程</v>
      </c>
      <c r="W499" s="1" t="s">
        <v>29</v>
      </c>
    </row>
    <row r="500" spans="1:23" x14ac:dyDescent="0.3">
      <c r="A500" s="1" t="str">
        <f t="shared" si="71"/>
        <v>59822</v>
      </c>
      <c r="B500" s="1" t="s">
        <v>39</v>
      </c>
      <c r="C500" s="1" t="s">
        <v>40</v>
      </c>
      <c r="D500" s="1" t="str">
        <f t="shared" si="66"/>
        <v>9801</v>
      </c>
      <c r="E500" s="1" t="s">
        <v>25</v>
      </c>
      <c r="F500" s="1" t="str">
        <f>"662576309"</f>
        <v>662576309</v>
      </c>
      <c r="G500" s="1" t="s">
        <v>33</v>
      </c>
      <c r="H500" s="1" t="str">
        <f t="shared" si="72"/>
        <v>20220914</v>
      </c>
      <c r="I500" s="1" t="str">
        <f>"164954"</f>
        <v>164954</v>
      </c>
      <c r="J500" s="1" t="s">
        <v>91</v>
      </c>
      <c r="K500" s="1" t="s">
        <v>45</v>
      </c>
      <c r="L500" s="1" t="str">
        <f t="shared" si="73"/>
        <v>20220914</v>
      </c>
      <c r="M500" s="1" t="str">
        <f>"165940"</f>
        <v>165940</v>
      </c>
      <c r="N500" s="1" t="s">
        <v>44</v>
      </c>
      <c r="O500" s="1" t="s">
        <v>45</v>
      </c>
      <c r="P500" s="1" t="s">
        <v>55</v>
      </c>
      <c r="Q500" s="1">
        <v>25</v>
      </c>
      <c r="R500" s="1">
        <v>25</v>
      </c>
      <c r="S500" s="1">
        <v>0</v>
      </c>
      <c r="T500" s="1">
        <v>0</v>
      </c>
      <c r="U500" s="1">
        <v>0</v>
      </c>
      <c r="V500" s="1" t="str">
        <f t="shared" si="67"/>
        <v>里程去程</v>
      </c>
      <c r="W500" s="1" t="s">
        <v>35</v>
      </c>
    </row>
    <row r="501" spans="1:23" x14ac:dyDescent="0.3">
      <c r="A501" s="1" t="str">
        <f t="shared" si="71"/>
        <v>59822</v>
      </c>
      <c r="B501" s="1" t="s">
        <v>39</v>
      </c>
      <c r="C501" s="1" t="s">
        <v>40</v>
      </c>
      <c r="D501" s="1" t="str">
        <f t="shared" si="66"/>
        <v>9801</v>
      </c>
      <c r="E501" s="1" t="s">
        <v>25</v>
      </c>
      <c r="F501" s="1" t="str">
        <f>"1196985669"</f>
        <v>1196985669</v>
      </c>
      <c r="G501" s="1" t="s">
        <v>33</v>
      </c>
      <c r="H501" s="1" t="str">
        <f t="shared" si="72"/>
        <v>20220914</v>
      </c>
      <c r="I501" s="1" t="str">
        <f>"164956"</f>
        <v>164956</v>
      </c>
      <c r="J501" s="1" t="s">
        <v>91</v>
      </c>
      <c r="K501" s="1" t="s">
        <v>45</v>
      </c>
      <c r="L501" s="1" t="str">
        <f t="shared" si="73"/>
        <v>20220914</v>
      </c>
      <c r="M501" s="1" t="str">
        <f>"165937"</f>
        <v>165937</v>
      </c>
      <c r="N501" s="1" t="s">
        <v>44</v>
      </c>
      <c r="O501" s="1" t="s">
        <v>45</v>
      </c>
      <c r="P501" s="1" t="s">
        <v>55</v>
      </c>
      <c r="Q501" s="1">
        <v>25</v>
      </c>
      <c r="R501" s="1">
        <v>25</v>
      </c>
      <c r="S501" s="1">
        <v>0</v>
      </c>
      <c r="T501" s="1">
        <v>0</v>
      </c>
      <c r="U501" s="1">
        <v>0</v>
      </c>
      <c r="V501" s="1" t="str">
        <f t="shared" si="67"/>
        <v>里程去程</v>
      </c>
      <c r="W501" s="1" t="s">
        <v>35</v>
      </c>
    </row>
    <row r="502" spans="1:23" x14ac:dyDescent="0.3">
      <c r="A502" s="1" t="str">
        <f t="shared" si="71"/>
        <v>59822</v>
      </c>
      <c r="B502" s="1" t="s">
        <v>39</v>
      </c>
      <c r="C502" s="1" t="s">
        <v>40</v>
      </c>
      <c r="D502" s="1" t="str">
        <f t="shared" si="66"/>
        <v>9801</v>
      </c>
      <c r="E502" s="1" t="s">
        <v>25</v>
      </c>
      <c r="F502" s="1" t="str">
        <f>"807380965"</f>
        <v>807380965</v>
      </c>
      <c r="G502" s="1" t="s">
        <v>26</v>
      </c>
      <c r="H502" s="1" t="str">
        <f t="shared" si="72"/>
        <v>20220914</v>
      </c>
      <c r="I502" s="1" t="str">
        <f>"165002"</f>
        <v>165002</v>
      </c>
      <c r="J502" s="1" t="s">
        <v>91</v>
      </c>
      <c r="K502" s="1" t="s">
        <v>45</v>
      </c>
      <c r="L502" s="1" t="str">
        <f t="shared" si="73"/>
        <v>20220914</v>
      </c>
      <c r="M502" s="1" t="str">
        <f>"165927"</f>
        <v>165927</v>
      </c>
      <c r="N502" s="1" t="s">
        <v>44</v>
      </c>
      <c r="O502" s="1" t="s">
        <v>45</v>
      </c>
      <c r="P502" s="1" t="s">
        <v>55</v>
      </c>
      <c r="Q502" s="1">
        <v>13</v>
      </c>
      <c r="R502" s="1">
        <v>0</v>
      </c>
      <c r="S502" s="1">
        <v>13</v>
      </c>
      <c r="T502" s="1">
        <v>0</v>
      </c>
      <c r="U502" s="1">
        <v>0</v>
      </c>
      <c r="V502" s="1" t="str">
        <f t="shared" si="67"/>
        <v>里程去程</v>
      </c>
      <c r="W502" s="1" t="s">
        <v>35</v>
      </c>
    </row>
    <row r="503" spans="1:23" x14ac:dyDescent="0.3">
      <c r="A503" s="1" t="str">
        <f t="shared" si="71"/>
        <v>59822</v>
      </c>
      <c r="B503" s="1" t="s">
        <v>39</v>
      </c>
      <c r="C503" s="1" t="s">
        <v>40</v>
      </c>
      <c r="D503" s="1" t="str">
        <f t="shared" si="66"/>
        <v>9801</v>
      </c>
      <c r="E503" s="1" t="s">
        <v>25</v>
      </c>
      <c r="F503" s="1" t="str">
        <f>"620523025"</f>
        <v>620523025</v>
      </c>
      <c r="G503" s="1" t="s">
        <v>33</v>
      </c>
      <c r="H503" s="1" t="str">
        <f t="shared" si="72"/>
        <v>20220914</v>
      </c>
      <c r="I503" s="1" t="str">
        <f>"165010"</f>
        <v>165010</v>
      </c>
      <c r="J503" s="1" t="s">
        <v>91</v>
      </c>
      <c r="K503" s="1" t="s">
        <v>45</v>
      </c>
      <c r="L503" s="1" t="str">
        <f t="shared" si="73"/>
        <v>20220914</v>
      </c>
      <c r="M503" s="1" t="str">
        <f>"165810"</f>
        <v>165810</v>
      </c>
      <c r="N503" s="1" t="s">
        <v>44</v>
      </c>
      <c r="O503" s="1" t="s">
        <v>45</v>
      </c>
      <c r="P503" s="1" t="s">
        <v>55</v>
      </c>
      <c r="Q503" s="1">
        <v>25</v>
      </c>
      <c r="R503" s="1">
        <v>25</v>
      </c>
      <c r="S503" s="1">
        <v>0</v>
      </c>
      <c r="T503" s="1">
        <v>0</v>
      </c>
      <c r="U503" s="1">
        <v>0</v>
      </c>
      <c r="V503" s="1" t="str">
        <f t="shared" si="67"/>
        <v>里程去程</v>
      </c>
      <c r="W503" s="1" t="s">
        <v>35</v>
      </c>
    </row>
    <row r="504" spans="1:23" x14ac:dyDescent="0.3">
      <c r="A504" s="1" t="str">
        <f t="shared" si="71"/>
        <v>59822</v>
      </c>
      <c r="B504" s="1" t="s">
        <v>39</v>
      </c>
      <c r="C504" s="1" t="s">
        <v>40</v>
      </c>
      <c r="D504" s="1" t="str">
        <f t="shared" si="66"/>
        <v>9801</v>
      </c>
      <c r="E504" s="1" t="s">
        <v>25</v>
      </c>
      <c r="F504" s="1" t="str">
        <f>"1727339829"</f>
        <v>1727339829</v>
      </c>
      <c r="G504" s="1" t="s">
        <v>33</v>
      </c>
      <c r="H504" s="1" t="str">
        <f t="shared" si="72"/>
        <v>20220914</v>
      </c>
      <c r="I504" s="1" t="str">
        <f>"165012"</f>
        <v>165012</v>
      </c>
      <c r="J504" s="1" t="s">
        <v>91</v>
      </c>
      <c r="K504" s="1" t="s">
        <v>45</v>
      </c>
      <c r="L504" s="1" t="str">
        <f t="shared" si="73"/>
        <v>20220914</v>
      </c>
      <c r="M504" s="1" t="str">
        <f>"165932"</f>
        <v>165932</v>
      </c>
      <c r="N504" s="1" t="s">
        <v>44</v>
      </c>
      <c r="O504" s="1" t="s">
        <v>45</v>
      </c>
      <c r="P504" s="1" t="s">
        <v>55</v>
      </c>
      <c r="Q504" s="1">
        <v>25</v>
      </c>
      <c r="R504" s="1">
        <v>25</v>
      </c>
      <c r="S504" s="1">
        <v>0</v>
      </c>
      <c r="T504" s="1">
        <v>0</v>
      </c>
      <c r="U504" s="1">
        <v>0</v>
      </c>
      <c r="V504" s="1" t="str">
        <f t="shared" si="67"/>
        <v>里程去程</v>
      </c>
      <c r="W504" s="1" t="s">
        <v>35</v>
      </c>
    </row>
    <row r="505" spans="1:23" x14ac:dyDescent="0.3">
      <c r="A505" s="1" t="str">
        <f t="shared" si="71"/>
        <v>59822</v>
      </c>
      <c r="B505" s="1" t="s">
        <v>39</v>
      </c>
      <c r="C505" s="1" t="s">
        <v>40</v>
      </c>
      <c r="D505" s="1" t="str">
        <f t="shared" si="66"/>
        <v>9801</v>
      </c>
      <c r="E505" s="1" t="s">
        <v>25</v>
      </c>
      <c r="F505" s="1" t="str">
        <f>"1020579813"</f>
        <v>1020579813</v>
      </c>
      <c r="G505" s="1" t="s">
        <v>33</v>
      </c>
      <c r="H505" s="1" t="str">
        <f t="shared" si="72"/>
        <v>20220914</v>
      </c>
      <c r="I505" s="1" t="str">
        <f>"165017"</f>
        <v>165017</v>
      </c>
      <c r="J505" s="1" t="s">
        <v>91</v>
      </c>
      <c r="K505" s="1" t="s">
        <v>45</v>
      </c>
      <c r="L505" s="1" t="str">
        <f t="shared" si="73"/>
        <v>20220914</v>
      </c>
      <c r="M505" s="1" t="str">
        <f>"165756"</f>
        <v>165756</v>
      </c>
      <c r="N505" s="1" t="s">
        <v>44</v>
      </c>
      <c r="O505" s="1" t="s">
        <v>45</v>
      </c>
      <c r="P505" s="1" t="s">
        <v>55</v>
      </c>
      <c r="Q505" s="1">
        <v>25</v>
      </c>
      <c r="R505" s="1">
        <v>25</v>
      </c>
      <c r="S505" s="1">
        <v>0</v>
      </c>
      <c r="T505" s="1">
        <v>0</v>
      </c>
      <c r="U505" s="1">
        <v>0</v>
      </c>
      <c r="V505" s="1" t="str">
        <f t="shared" si="67"/>
        <v>里程去程</v>
      </c>
      <c r="W505" s="1" t="s">
        <v>35</v>
      </c>
    </row>
    <row r="506" spans="1:23" x14ac:dyDescent="0.3">
      <c r="A506" s="1" t="str">
        <f t="shared" si="71"/>
        <v>59822</v>
      </c>
      <c r="B506" s="1" t="s">
        <v>39</v>
      </c>
      <c r="C506" s="1" t="s">
        <v>40</v>
      </c>
      <c r="D506" s="1" t="str">
        <f t="shared" si="66"/>
        <v>9801</v>
      </c>
      <c r="E506" s="1" t="s">
        <v>25</v>
      </c>
      <c r="F506" s="1" t="str">
        <f>"1078532017"</f>
        <v>1078532017</v>
      </c>
      <c r="G506" s="1" t="s">
        <v>33</v>
      </c>
      <c r="H506" s="1" t="str">
        <f t="shared" si="72"/>
        <v>20220914</v>
      </c>
      <c r="I506" s="1" t="str">
        <f>"165019"</f>
        <v>165019</v>
      </c>
      <c r="J506" s="1" t="s">
        <v>91</v>
      </c>
      <c r="K506" s="1" t="s">
        <v>45</v>
      </c>
      <c r="L506" s="1" t="str">
        <f t="shared" si="73"/>
        <v>20220914</v>
      </c>
      <c r="M506" s="1" t="str">
        <f>"165806"</f>
        <v>165806</v>
      </c>
      <c r="N506" s="1" t="s">
        <v>44</v>
      </c>
      <c r="O506" s="1" t="s">
        <v>45</v>
      </c>
      <c r="P506" s="1" t="s">
        <v>55</v>
      </c>
      <c r="Q506" s="1">
        <v>25</v>
      </c>
      <c r="R506" s="1">
        <v>25</v>
      </c>
      <c r="S506" s="1">
        <v>0</v>
      </c>
      <c r="T506" s="1">
        <v>0</v>
      </c>
      <c r="U506" s="1">
        <v>0</v>
      </c>
      <c r="V506" s="1" t="str">
        <f t="shared" si="67"/>
        <v>里程去程</v>
      </c>
      <c r="W506" s="1" t="s">
        <v>35</v>
      </c>
    </row>
    <row r="507" spans="1:23" x14ac:dyDescent="0.3">
      <c r="A507" s="1" t="str">
        <f t="shared" si="71"/>
        <v>59822</v>
      </c>
      <c r="B507" s="1" t="s">
        <v>39</v>
      </c>
      <c r="C507" s="1" t="s">
        <v>40</v>
      </c>
      <c r="D507" s="1" t="str">
        <f t="shared" si="66"/>
        <v>9801</v>
      </c>
      <c r="E507" s="1" t="s">
        <v>25</v>
      </c>
      <c r="F507" s="1" t="str">
        <f>"1067718309"</f>
        <v>1067718309</v>
      </c>
      <c r="G507" s="1" t="s">
        <v>33</v>
      </c>
      <c r="H507" s="1" t="str">
        <f t="shared" si="72"/>
        <v>20220914</v>
      </c>
      <c r="I507" s="1" t="str">
        <f>"165023"</f>
        <v>165023</v>
      </c>
      <c r="J507" s="1" t="s">
        <v>91</v>
      </c>
      <c r="K507" s="1" t="s">
        <v>45</v>
      </c>
      <c r="L507" s="1" t="str">
        <f t="shared" si="73"/>
        <v>20220914</v>
      </c>
      <c r="M507" s="1" t="str">
        <f>"165753"</f>
        <v>165753</v>
      </c>
      <c r="N507" s="1" t="s">
        <v>44</v>
      </c>
      <c r="O507" s="1" t="s">
        <v>45</v>
      </c>
      <c r="P507" s="1" t="s">
        <v>55</v>
      </c>
      <c r="Q507" s="1">
        <v>25</v>
      </c>
      <c r="R507" s="1">
        <v>25</v>
      </c>
      <c r="S507" s="1">
        <v>0</v>
      </c>
      <c r="T507" s="1">
        <v>0</v>
      </c>
      <c r="U507" s="1">
        <v>0</v>
      </c>
      <c r="V507" s="1" t="str">
        <f t="shared" si="67"/>
        <v>里程去程</v>
      </c>
      <c r="W507" s="1" t="s">
        <v>35</v>
      </c>
    </row>
    <row r="508" spans="1:23" x14ac:dyDescent="0.3">
      <c r="A508" s="1" t="str">
        <f t="shared" si="71"/>
        <v>59822</v>
      </c>
      <c r="B508" s="1" t="s">
        <v>39</v>
      </c>
      <c r="C508" s="1" t="s">
        <v>40</v>
      </c>
      <c r="D508" s="1" t="str">
        <f t="shared" si="66"/>
        <v>9801</v>
      </c>
      <c r="E508" s="1" t="s">
        <v>25</v>
      </c>
      <c r="F508" s="1" t="str">
        <f>"1023323605"</f>
        <v>1023323605</v>
      </c>
      <c r="G508" s="1" t="s">
        <v>33</v>
      </c>
      <c r="H508" s="1" t="str">
        <f t="shared" si="72"/>
        <v>20220914</v>
      </c>
      <c r="I508" s="1" t="str">
        <f>"165025"</f>
        <v>165025</v>
      </c>
      <c r="J508" s="1" t="s">
        <v>91</v>
      </c>
      <c r="K508" s="1" t="s">
        <v>45</v>
      </c>
      <c r="L508" s="1" t="str">
        <f t="shared" si="73"/>
        <v>20220914</v>
      </c>
      <c r="M508" s="1" t="str">
        <f>"165930"</f>
        <v>165930</v>
      </c>
      <c r="N508" s="1" t="s">
        <v>44</v>
      </c>
      <c r="O508" s="1" t="s">
        <v>45</v>
      </c>
      <c r="P508" s="1" t="s">
        <v>55</v>
      </c>
      <c r="Q508" s="1">
        <v>25</v>
      </c>
      <c r="R508" s="1">
        <v>25</v>
      </c>
      <c r="S508" s="1">
        <v>0</v>
      </c>
      <c r="T508" s="1">
        <v>0</v>
      </c>
      <c r="U508" s="1">
        <v>0</v>
      </c>
      <c r="V508" s="1" t="str">
        <f t="shared" si="67"/>
        <v>里程去程</v>
      </c>
      <c r="W508" s="1" t="s">
        <v>35</v>
      </c>
    </row>
    <row r="509" spans="1:23" x14ac:dyDescent="0.3">
      <c r="A509" s="1" t="str">
        <f t="shared" si="71"/>
        <v>59822</v>
      </c>
      <c r="B509" s="1" t="s">
        <v>39</v>
      </c>
      <c r="C509" s="1" t="s">
        <v>40</v>
      </c>
      <c r="D509" s="1" t="str">
        <f t="shared" si="66"/>
        <v>9801</v>
      </c>
      <c r="E509" s="1" t="s">
        <v>25</v>
      </c>
      <c r="F509" s="1" t="str">
        <f>"1115744837"</f>
        <v>1115744837</v>
      </c>
      <c r="G509" s="1" t="s">
        <v>26</v>
      </c>
      <c r="H509" s="1" t="str">
        <f t="shared" si="72"/>
        <v>20220914</v>
      </c>
      <c r="I509" s="1" t="str">
        <f>"165028"</f>
        <v>165028</v>
      </c>
      <c r="J509" s="1" t="s">
        <v>91</v>
      </c>
      <c r="K509" s="1" t="s">
        <v>45</v>
      </c>
      <c r="L509" s="1" t="str">
        <f t="shared" si="73"/>
        <v>20220914</v>
      </c>
      <c r="M509" s="1" t="str">
        <f>"165920"</f>
        <v>165920</v>
      </c>
      <c r="N509" s="1" t="s">
        <v>44</v>
      </c>
      <c r="O509" s="1" t="s">
        <v>45</v>
      </c>
      <c r="P509" s="1" t="s">
        <v>55</v>
      </c>
      <c r="Q509" s="1">
        <v>13</v>
      </c>
      <c r="R509" s="1">
        <v>0</v>
      </c>
      <c r="S509" s="1">
        <v>13</v>
      </c>
      <c r="T509" s="1">
        <v>0</v>
      </c>
      <c r="U509" s="1">
        <v>0</v>
      </c>
      <c r="V509" s="1" t="str">
        <f t="shared" si="67"/>
        <v>里程去程</v>
      </c>
      <c r="W509" s="1" t="s">
        <v>35</v>
      </c>
    </row>
    <row r="510" spans="1:23" x14ac:dyDescent="0.3">
      <c r="A510" s="1" t="str">
        <f t="shared" si="71"/>
        <v>59822</v>
      </c>
      <c r="B510" s="1" t="s">
        <v>39</v>
      </c>
      <c r="C510" s="1" t="s">
        <v>40</v>
      </c>
      <c r="D510" s="1" t="str">
        <f t="shared" si="66"/>
        <v>9801</v>
      </c>
      <c r="E510" s="1" t="s">
        <v>25</v>
      </c>
      <c r="F510" s="1" t="str">
        <f>"668637157"</f>
        <v>668637157</v>
      </c>
      <c r="G510" s="1" t="s">
        <v>33</v>
      </c>
      <c r="H510" s="1" t="str">
        <f t="shared" si="72"/>
        <v>20220914</v>
      </c>
      <c r="I510" s="1" t="str">
        <f>"165033"</f>
        <v>165033</v>
      </c>
      <c r="J510" s="1" t="s">
        <v>91</v>
      </c>
      <c r="K510" s="1" t="s">
        <v>45</v>
      </c>
      <c r="L510" s="1" t="str">
        <f t="shared" si="73"/>
        <v>20220914</v>
      </c>
      <c r="M510" s="1" t="str">
        <f>"165914"</f>
        <v>165914</v>
      </c>
      <c r="N510" s="1" t="s">
        <v>44</v>
      </c>
      <c r="O510" s="1" t="s">
        <v>45</v>
      </c>
      <c r="P510" s="1" t="s">
        <v>55</v>
      </c>
      <c r="Q510" s="1">
        <v>25</v>
      </c>
      <c r="R510" s="1">
        <v>25</v>
      </c>
      <c r="S510" s="1">
        <v>0</v>
      </c>
      <c r="T510" s="1">
        <v>0</v>
      </c>
      <c r="U510" s="1">
        <v>0</v>
      </c>
      <c r="V510" s="1" t="str">
        <f t="shared" si="67"/>
        <v>里程去程</v>
      </c>
      <c r="W510" s="1" t="s">
        <v>35</v>
      </c>
    </row>
    <row r="511" spans="1:23" x14ac:dyDescent="0.3">
      <c r="A511" s="1" t="str">
        <f t="shared" si="71"/>
        <v>59822</v>
      </c>
      <c r="B511" s="1" t="s">
        <v>39</v>
      </c>
      <c r="C511" s="1" t="s">
        <v>40</v>
      </c>
      <c r="D511" s="1" t="str">
        <f t="shared" si="66"/>
        <v>9801</v>
      </c>
      <c r="E511" s="1" t="s">
        <v>25</v>
      </c>
      <c r="F511" s="1" t="str">
        <f>"1049707637"</f>
        <v>1049707637</v>
      </c>
      <c r="G511" s="1" t="s">
        <v>26</v>
      </c>
      <c r="H511" s="1" t="str">
        <f t="shared" si="72"/>
        <v>20220914</v>
      </c>
      <c r="I511" s="1" t="str">
        <f>"165035"</f>
        <v>165035</v>
      </c>
      <c r="J511" s="1" t="s">
        <v>91</v>
      </c>
      <c r="K511" s="1" t="s">
        <v>45</v>
      </c>
      <c r="L511" s="1" t="str">
        <f t="shared" si="73"/>
        <v>20220914</v>
      </c>
      <c r="M511" s="1" t="str">
        <f>"165902"</f>
        <v>165902</v>
      </c>
      <c r="N511" s="1" t="s">
        <v>44</v>
      </c>
      <c r="O511" s="1" t="s">
        <v>45</v>
      </c>
      <c r="P511" s="1" t="s">
        <v>55</v>
      </c>
      <c r="Q511" s="1">
        <v>13</v>
      </c>
      <c r="R511" s="1">
        <v>0</v>
      </c>
      <c r="S511" s="1">
        <v>13</v>
      </c>
      <c r="T511" s="1">
        <v>0</v>
      </c>
      <c r="U511" s="1">
        <v>0</v>
      </c>
      <c r="V511" s="1" t="str">
        <f t="shared" si="67"/>
        <v>里程去程</v>
      </c>
      <c r="W511" s="1" t="s">
        <v>35</v>
      </c>
    </row>
    <row r="512" spans="1:23" x14ac:dyDescent="0.3">
      <c r="A512" s="1" t="str">
        <f t="shared" si="71"/>
        <v>59822</v>
      </c>
      <c r="B512" s="1" t="s">
        <v>39</v>
      </c>
      <c r="C512" s="1" t="s">
        <v>40</v>
      </c>
      <c r="D512" s="1" t="str">
        <f t="shared" si="66"/>
        <v>9801</v>
      </c>
      <c r="E512" s="1" t="s">
        <v>25</v>
      </c>
      <c r="F512" s="1" t="str">
        <f>"1263087829"</f>
        <v>1263087829</v>
      </c>
      <c r="G512" s="1" t="s">
        <v>33</v>
      </c>
      <c r="H512" s="1" t="str">
        <f t="shared" si="72"/>
        <v>20220914</v>
      </c>
      <c r="I512" s="1" t="str">
        <f>"165038"</f>
        <v>165038</v>
      </c>
      <c r="J512" s="1" t="s">
        <v>91</v>
      </c>
      <c r="K512" s="1" t="s">
        <v>45</v>
      </c>
      <c r="L512" s="1" t="str">
        <f t="shared" si="73"/>
        <v>20220914</v>
      </c>
      <c r="M512" s="1" t="str">
        <f>"165859"</f>
        <v>165859</v>
      </c>
      <c r="N512" s="1" t="s">
        <v>44</v>
      </c>
      <c r="O512" s="1" t="s">
        <v>45</v>
      </c>
      <c r="P512" s="1" t="s">
        <v>55</v>
      </c>
      <c r="Q512" s="1">
        <v>25</v>
      </c>
      <c r="R512" s="1">
        <v>25</v>
      </c>
      <c r="S512" s="1">
        <v>0</v>
      </c>
      <c r="T512" s="1">
        <v>0</v>
      </c>
      <c r="U512" s="1">
        <v>0</v>
      </c>
      <c r="V512" s="1" t="str">
        <f t="shared" si="67"/>
        <v>里程去程</v>
      </c>
      <c r="W512" s="1" t="s">
        <v>35</v>
      </c>
    </row>
    <row r="513" spans="1:23" x14ac:dyDescent="0.3">
      <c r="A513" s="1" t="str">
        <f t="shared" si="71"/>
        <v>59822</v>
      </c>
      <c r="B513" s="1" t="s">
        <v>39</v>
      </c>
      <c r="C513" s="1" t="s">
        <v>40</v>
      </c>
      <c r="D513" s="1" t="str">
        <f t="shared" si="66"/>
        <v>9801</v>
      </c>
      <c r="E513" s="1" t="s">
        <v>25</v>
      </c>
      <c r="F513" s="1" t="str">
        <f>"1231344821"</f>
        <v>1231344821</v>
      </c>
      <c r="G513" s="1" t="s">
        <v>74</v>
      </c>
      <c r="H513" s="1" t="str">
        <f t="shared" si="72"/>
        <v>20220914</v>
      </c>
      <c r="I513" s="1" t="str">
        <f>"165042"</f>
        <v>165042</v>
      </c>
      <c r="J513" s="1" t="s">
        <v>91</v>
      </c>
      <c r="K513" s="1" t="s">
        <v>45</v>
      </c>
      <c r="L513" s="1" t="str">
        <f t="shared" si="73"/>
        <v>20220914</v>
      </c>
      <c r="M513" s="1" t="str">
        <f>"165722"</f>
        <v>165722</v>
      </c>
      <c r="N513" s="1" t="s">
        <v>44</v>
      </c>
      <c r="O513" s="1" t="s">
        <v>45</v>
      </c>
      <c r="P513" s="1" t="s">
        <v>55</v>
      </c>
      <c r="Q513" s="1">
        <v>13</v>
      </c>
      <c r="R513" s="1">
        <v>0</v>
      </c>
      <c r="S513" s="1">
        <v>13</v>
      </c>
      <c r="T513" s="1">
        <v>0</v>
      </c>
      <c r="U513" s="1">
        <v>0</v>
      </c>
      <c r="V513" s="1" t="str">
        <f t="shared" si="67"/>
        <v>里程去程</v>
      </c>
      <c r="W513" s="1" t="s">
        <v>35</v>
      </c>
    </row>
    <row r="514" spans="1:23" x14ac:dyDescent="0.3">
      <c r="A514" s="1" t="str">
        <f t="shared" si="71"/>
        <v>59822</v>
      </c>
      <c r="B514" s="1" t="s">
        <v>39</v>
      </c>
      <c r="C514" s="1" t="s">
        <v>40</v>
      </c>
      <c r="D514" s="1" t="str">
        <f t="shared" ref="D514:D577" si="74">"9801"</f>
        <v>9801</v>
      </c>
      <c r="E514" s="1" t="s">
        <v>25</v>
      </c>
      <c r="F514" s="1" t="str">
        <f>"1014787509"</f>
        <v>1014787509</v>
      </c>
      <c r="G514" s="1" t="s">
        <v>33</v>
      </c>
      <c r="H514" s="1" t="str">
        <f t="shared" si="72"/>
        <v>20220914</v>
      </c>
      <c r="I514" s="1" t="str">
        <f>"165047"</f>
        <v>165047</v>
      </c>
      <c r="J514" s="1" t="s">
        <v>91</v>
      </c>
      <c r="K514" s="1" t="s">
        <v>45</v>
      </c>
      <c r="L514" s="1" t="str">
        <f t="shared" si="73"/>
        <v>20220914</v>
      </c>
      <c r="M514" s="1" t="str">
        <f>"165905"</f>
        <v>165905</v>
      </c>
      <c r="N514" s="1" t="s">
        <v>44</v>
      </c>
      <c r="O514" s="1" t="s">
        <v>45</v>
      </c>
      <c r="P514" s="1" t="s">
        <v>55</v>
      </c>
      <c r="Q514" s="1">
        <v>25</v>
      </c>
      <c r="R514" s="1">
        <v>25</v>
      </c>
      <c r="S514" s="1">
        <v>0</v>
      </c>
      <c r="T514" s="1">
        <v>0</v>
      </c>
      <c r="U514" s="1">
        <v>0</v>
      </c>
      <c r="V514" s="1" t="str">
        <f t="shared" ref="V514:V577" si="75">"里程去程"</f>
        <v>里程去程</v>
      </c>
      <c r="W514" s="1" t="s">
        <v>35</v>
      </c>
    </row>
    <row r="515" spans="1:23" x14ac:dyDescent="0.3">
      <c r="A515" s="1" t="str">
        <f t="shared" ref="A515:A533" si="76">"59822"</f>
        <v>59822</v>
      </c>
      <c r="B515" s="1" t="s">
        <v>39</v>
      </c>
      <c r="C515" s="1" t="s">
        <v>40</v>
      </c>
      <c r="D515" s="1" t="str">
        <f t="shared" si="74"/>
        <v>9801</v>
      </c>
      <c r="E515" s="1" t="s">
        <v>25</v>
      </c>
      <c r="F515" s="1" t="str">
        <f>"1176944773"</f>
        <v>1176944773</v>
      </c>
      <c r="G515" s="1" t="s">
        <v>33</v>
      </c>
      <c r="H515" s="1" t="str">
        <f t="shared" ref="H515:H537" si="77">"20220914"</f>
        <v>20220914</v>
      </c>
      <c r="I515" s="1" t="str">
        <f>"165051"</f>
        <v>165051</v>
      </c>
      <c r="J515" s="1" t="s">
        <v>91</v>
      </c>
      <c r="K515" s="1" t="s">
        <v>45</v>
      </c>
      <c r="L515" s="1" t="str">
        <f t="shared" ref="L515:L537" si="78">"20220914"</f>
        <v>20220914</v>
      </c>
      <c r="M515" s="1" t="str">
        <f>"165842"</f>
        <v>165842</v>
      </c>
      <c r="N515" s="1" t="s">
        <v>44</v>
      </c>
      <c r="O515" s="1" t="s">
        <v>45</v>
      </c>
      <c r="P515" s="1" t="s">
        <v>55</v>
      </c>
      <c r="Q515" s="1">
        <v>25</v>
      </c>
      <c r="R515" s="1">
        <v>25</v>
      </c>
      <c r="S515" s="1">
        <v>0</v>
      </c>
      <c r="T515" s="1">
        <v>0</v>
      </c>
      <c r="U515" s="1">
        <v>0</v>
      </c>
      <c r="V515" s="1" t="str">
        <f t="shared" si="75"/>
        <v>里程去程</v>
      </c>
      <c r="W515" s="1" t="s">
        <v>35</v>
      </c>
    </row>
    <row r="516" spans="1:23" x14ac:dyDescent="0.3">
      <c r="A516" s="1" t="str">
        <f t="shared" si="76"/>
        <v>59822</v>
      </c>
      <c r="B516" s="1" t="s">
        <v>39</v>
      </c>
      <c r="C516" s="1" t="s">
        <v>40</v>
      </c>
      <c r="D516" s="1" t="str">
        <f t="shared" si="74"/>
        <v>9801</v>
      </c>
      <c r="E516" s="1" t="s">
        <v>25</v>
      </c>
      <c r="F516" s="1" t="str">
        <f>"3478009790"</f>
        <v>3478009790</v>
      </c>
      <c r="G516" s="1" t="s">
        <v>33</v>
      </c>
      <c r="H516" s="1" t="str">
        <f t="shared" si="77"/>
        <v>20220914</v>
      </c>
      <c r="I516" s="1" t="str">
        <f>"165054"</f>
        <v>165054</v>
      </c>
      <c r="J516" s="1" t="s">
        <v>91</v>
      </c>
      <c r="K516" s="1" t="s">
        <v>45</v>
      </c>
      <c r="L516" s="1" t="str">
        <f t="shared" si="78"/>
        <v>20220914</v>
      </c>
      <c r="M516" s="1" t="str">
        <f>"165827"</f>
        <v>165827</v>
      </c>
      <c r="N516" s="1" t="s">
        <v>44</v>
      </c>
      <c r="O516" s="1" t="s">
        <v>45</v>
      </c>
      <c r="P516" s="1" t="s">
        <v>55</v>
      </c>
      <c r="Q516" s="1">
        <v>25</v>
      </c>
      <c r="R516" s="1">
        <v>25</v>
      </c>
      <c r="S516" s="1">
        <v>0</v>
      </c>
      <c r="T516" s="1">
        <v>0</v>
      </c>
      <c r="U516" s="1">
        <v>0</v>
      </c>
      <c r="V516" s="1" t="str">
        <f t="shared" si="75"/>
        <v>里程去程</v>
      </c>
      <c r="W516" s="1" t="s">
        <v>35</v>
      </c>
    </row>
    <row r="517" spans="1:23" x14ac:dyDescent="0.3">
      <c r="A517" s="1" t="str">
        <f t="shared" si="76"/>
        <v>59822</v>
      </c>
      <c r="B517" s="1" t="s">
        <v>39</v>
      </c>
      <c r="C517" s="1" t="s">
        <v>40</v>
      </c>
      <c r="D517" s="1" t="str">
        <f t="shared" si="74"/>
        <v>9801</v>
      </c>
      <c r="E517" s="1" t="s">
        <v>25</v>
      </c>
      <c r="F517" s="1" t="str">
        <f>"2305384936"</f>
        <v>2305384936</v>
      </c>
      <c r="G517" s="1" t="s">
        <v>33</v>
      </c>
      <c r="H517" s="1" t="str">
        <f t="shared" si="77"/>
        <v>20220914</v>
      </c>
      <c r="I517" s="1" t="str">
        <f>"165057"</f>
        <v>165057</v>
      </c>
      <c r="J517" s="1" t="s">
        <v>91</v>
      </c>
      <c r="K517" s="1" t="s">
        <v>45</v>
      </c>
      <c r="L517" s="1" t="str">
        <f t="shared" si="78"/>
        <v>20220914</v>
      </c>
      <c r="M517" s="1" t="str">
        <f>"165830"</f>
        <v>165830</v>
      </c>
      <c r="N517" s="1" t="s">
        <v>44</v>
      </c>
      <c r="O517" s="1" t="s">
        <v>45</v>
      </c>
      <c r="P517" s="1" t="s">
        <v>55</v>
      </c>
      <c r="Q517" s="1">
        <v>25</v>
      </c>
      <c r="R517" s="1">
        <v>25</v>
      </c>
      <c r="S517" s="1">
        <v>0</v>
      </c>
      <c r="T517" s="1">
        <v>0</v>
      </c>
      <c r="U517" s="1">
        <v>0</v>
      </c>
      <c r="V517" s="1" t="str">
        <f t="shared" si="75"/>
        <v>里程去程</v>
      </c>
      <c r="W517" s="1" t="s">
        <v>35</v>
      </c>
    </row>
    <row r="518" spans="1:23" x14ac:dyDescent="0.3">
      <c r="A518" s="1" t="str">
        <f t="shared" si="76"/>
        <v>59822</v>
      </c>
      <c r="B518" s="1" t="s">
        <v>39</v>
      </c>
      <c r="C518" s="1" t="s">
        <v>40</v>
      </c>
      <c r="D518" s="1" t="str">
        <f t="shared" si="74"/>
        <v>9801</v>
      </c>
      <c r="E518" s="1" t="s">
        <v>25</v>
      </c>
      <c r="F518" s="1" t="str">
        <f>"1390273585"</f>
        <v>1390273585</v>
      </c>
      <c r="G518" s="1" t="s">
        <v>26</v>
      </c>
      <c r="H518" s="1" t="str">
        <f t="shared" si="77"/>
        <v>20220914</v>
      </c>
      <c r="I518" s="1" t="str">
        <f>"165058"</f>
        <v>165058</v>
      </c>
      <c r="J518" s="1" t="s">
        <v>91</v>
      </c>
      <c r="K518" s="1" t="s">
        <v>45</v>
      </c>
      <c r="L518" s="1" t="str">
        <f t="shared" si="78"/>
        <v>20220914</v>
      </c>
      <c r="M518" s="1" t="str">
        <f>"165917"</f>
        <v>165917</v>
      </c>
      <c r="N518" s="1" t="s">
        <v>44</v>
      </c>
      <c r="O518" s="1" t="s">
        <v>45</v>
      </c>
      <c r="P518" s="1" t="s">
        <v>55</v>
      </c>
      <c r="Q518" s="1">
        <v>13</v>
      </c>
      <c r="R518" s="1">
        <v>0</v>
      </c>
      <c r="S518" s="1">
        <v>13</v>
      </c>
      <c r="T518" s="1">
        <v>0</v>
      </c>
      <c r="U518" s="1">
        <v>0</v>
      </c>
      <c r="V518" s="1" t="str">
        <f t="shared" si="75"/>
        <v>里程去程</v>
      </c>
      <c r="W518" s="1" t="s">
        <v>35</v>
      </c>
    </row>
    <row r="519" spans="1:23" x14ac:dyDescent="0.3">
      <c r="A519" s="1" t="str">
        <f t="shared" si="76"/>
        <v>59822</v>
      </c>
      <c r="B519" s="1" t="s">
        <v>39</v>
      </c>
      <c r="C519" s="1" t="s">
        <v>40</v>
      </c>
      <c r="D519" s="1" t="str">
        <f t="shared" si="74"/>
        <v>9801</v>
      </c>
      <c r="E519" s="1" t="s">
        <v>25</v>
      </c>
      <c r="F519" s="1" t="str">
        <f>"278713281"</f>
        <v>278713281</v>
      </c>
      <c r="G519" s="1" t="s">
        <v>33</v>
      </c>
      <c r="H519" s="1" t="str">
        <f t="shared" si="77"/>
        <v>20220914</v>
      </c>
      <c r="I519" s="1" t="str">
        <f>"165102"</f>
        <v>165102</v>
      </c>
      <c r="J519" s="1" t="s">
        <v>91</v>
      </c>
      <c r="K519" s="1" t="s">
        <v>45</v>
      </c>
      <c r="L519" s="1" t="str">
        <f t="shared" si="78"/>
        <v>20220914</v>
      </c>
      <c r="M519" s="1" t="str">
        <f>"165853"</f>
        <v>165853</v>
      </c>
      <c r="N519" s="1" t="s">
        <v>44</v>
      </c>
      <c r="O519" s="1" t="s">
        <v>45</v>
      </c>
      <c r="P519" s="1" t="s">
        <v>55</v>
      </c>
      <c r="Q519" s="1">
        <v>25</v>
      </c>
      <c r="R519" s="1">
        <v>25</v>
      </c>
      <c r="S519" s="1">
        <v>0</v>
      </c>
      <c r="T519" s="1">
        <v>0</v>
      </c>
      <c r="U519" s="1">
        <v>0</v>
      </c>
      <c r="V519" s="1" t="str">
        <f t="shared" si="75"/>
        <v>里程去程</v>
      </c>
      <c r="W519" s="1" t="s">
        <v>35</v>
      </c>
    </row>
    <row r="520" spans="1:23" x14ac:dyDescent="0.3">
      <c r="A520" s="1" t="str">
        <f t="shared" si="76"/>
        <v>59822</v>
      </c>
      <c r="B520" s="1" t="s">
        <v>39</v>
      </c>
      <c r="C520" s="1" t="s">
        <v>40</v>
      </c>
      <c r="D520" s="1" t="str">
        <f t="shared" si="74"/>
        <v>9801</v>
      </c>
      <c r="E520" s="1" t="s">
        <v>25</v>
      </c>
      <c r="F520" s="1" t="str">
        <f>"1305529377"</f>
        <v>1305529377</v>
      </c>
      <c r="G520" s="1" t="s">
        <v>26</v>
      </c>
      <c r="H520" s="1" t="str">
        <f t="shared" si="77"/>
        <v>20220914</v>
      </c>
      <c r="I520" s="1" t="str">
        <f>"165106"</f>
        <v>165106</v>
      </c>
      <c r="J520" s="1" t="s">
        <v>91</v>
      </c>
      <c r="K520" s="1" t="s">
        <v>45</v>
      </c>
      <c r="L520" s="1" t="str">
        <f t="shared" si="78"/>
        <v>20220914</v>
      </c>
      <c r="M520" s="1" t="str">
        <f>"165846"</f>
        <v>165846</v>
      </c>
      <c r="N520" s="1" t="s">
        <v>44</v>
      </c>
      <c r="O520" s="1" t="s">
        <v>45</v>
      </c>
      <c r="P520" s="1" t="s">
        <v>55</v>
      </c>
      <c r="Q520" s="1">
        <v>13</v>
      </c>
      <c r="R520" s="1">
        <v>0</v>
      </c>
      <c r="S520" s="1">
        <v>13</v>
      </c>
      <c r="T520" s="1">
        <v>0</v>
      </c>
      <c r="U520" s="1">
        <v>0</v>
      </c>
      <c r="V520" s="1" t="str">
        <f t="shared" si="75"/>
        <v>里程去程</v>
      </c>
      <c r="W520" s="1" t="s">
        <v>35</v>
      </c>
    </row>
    <row r="521" spans="1:23" x14ac:dyDescent="0.3">
      <c r="A521" s="1" t="str">
        <f t="shared" si="76"/>
        <v>59822</v>
      </c>
      <c r="B521" s="1" t="s">
        <v>39</v>
      </c>
      <c r="C521" s="1" t="s">
        <v>40</v>
      </c>
      <c r="D521" s="1" t="str">
        <f t="shared" si="74"/>
        <v>9801</v>
      </c>
      <c r="E521" s="1" t="s">
        <v>25</v>
      </c>
      <c r="F521" s="1" t="str">
        <f>"1646286037"</f>
        <v>1646286037</v>
      </c>
      <c r="G521" s="1" t="s">
        <v>26</v>
      </c>
      <c r="H521" s="1" t="str">
        <f t="shared" si="77"/>
        <v>20220914</v>
      </c>
      <c r="I521" s="1" t="str">
        <f>"165111"</f>
        <v>165111</v>
      </c>
      <c r="J521" s="1" t="s">
        <v>91</v>
      </c>
      <c r="K521" s="1" t="s">
        <v>45</v>
      </c>
      <c r="L521" s="1" t="str">
        <f t="shared" si="78"/>
        <v>20220914</v>
      </c>
      <c r="M521" s="1" t="str">
        <f>"165924"</f>
        <v>165924</v>
      </c>
      <c r="N521" s="1" t="s">
        <v>44</v>
      </c>
      <c r="O521" s="1" t="s">
        <v>45</v>
      </c>
      <c r="P521" s="1" t="s">
        <v>55</v>
      </c>
      <c r="Q521" s="1">
        <v>13</v>
      </c>
      <c r="R521" s="1">
        <v>0</v>
      </c>
      <c r="S521" s="1">
        <v>13</v>
      </c>
      <c r="T521" s="1">
        <v>0</v>
      </c>
      <c r="U521" s="1">
        <v>0</v>
      </c>
      <c r="V521" s="1" t="str">
        <f t="shared" si="75"/>
        <v>里程去程</v>
      </c>
      <c r="W521" s="1" t="s">
        <v>35</v>
      </c>
    </row>
    <row r="522" spans="1:23" x14ac:dyDescent="0.3">
      <c r="A522" s="1" t="str">
        <f t="shared" si="76"/>
        <v>59822</v>
      </c>
      <c r="B522" s="1" t="s">
        <v>39</v>
      </c>
      <c r="C522" s="1" t="s">
        <v>40</v>
      </c>
      <c r="D522" s="1" t="str">
        <f t="shared" si="74"/>
        <v>9801</v>
      </c>
      <c r="E522" s="1" t="s">
        <v>25</v>
      </c>
      <c r="F522" s="1" t="str">
        <f>"994298805"</f>
        <v>994298805</v>
      </c>
      <c r="G522" s="1" t="s">
        <v>26</v>
      </c>
      <c r="H522" s="1" t="str">
        <f t="shared" si="77"/>
        <v>20220914</v>
      </c>
      <c r="I522" s="1" t="str">
        <f>"165115"</f>
        <v>165115</v>
      </c>
      <c r="J522" s="1" t="s">
        <v>91</v>
      </c>
      <c r="K522" s="1" t="s">
        <v>45</v>
      </c>
      <c r="L522" s="1" t="str">
        <f t="shared" si="78"/>
        <v>20220914</v>
      </c>
      <c r="M522" s="1" t="str">
        <f>"165911"</f>
        <v>165911</v>
      </c>
      <c r="N522" s="1" t="s">
        <v>44</v>
      </c>
      <c r="O522" s="1" t="s">
        <v>45</v>
      </c>
      <c r="P522" s="1" t="s">
        <v>55</v>
      </c>
      <c r="Q522" s="1">
        <v>13</v>
      </c>
      <c r="R522" s="1">
        <v>0</v>
      </c>
      <c r="S522" s="1">
        <v>13</v>
      </c>
      <c r="T522" s="1">
        <v>0</v>
      </c>
      <c r="U522" s="1">
        <v>0</v>
      </c>
      <c r="V522" s="1" t="str">
        <f t="shared" si="75"/>
        <v>里程去程</v>
      </c>
      <c r="W522" s="1" t="s">
        <v>35</v>
      </c>
    </row>
    <row r="523" spans="1:23" x14ac:dyDescent="0.3">
      <c r="A523" s="1" t="str">
        <f t="shared" si="76"/>
        <v>59822</v>
      </c>
      <c r="B523" s="1" t="s">
        <v>39</v>
      </c>
      <c r="C523" s="1" t="s">
        <v>40</v>
      </c>
      <c r="D523" s="1" t="str">
        <f t="shared" si="74"/>
        <v>9801</v>
      </c>
      <c r="E523" s="1" t="s">
        <v>25</v>
      </c>
      <c r="F523" s="1" t="str">
        <f>"750279361"</f>
        <v>750279361</v>
      </c>
      <c r="G523" s="1" t="s">
        <v>33</v>
      </c>
      <c r="H523" s="1" t="str">
        <f t="shared" si="77"/>
        <v>20220914</v>
      </c>
      <c r="I523" s="1" t="str">
        <f>"165120"</f>
        <v>165120</v>
      </c>
      <c r="J523" s="1" t="s">
        <v>91</v>
      </c>
      <c r="K523" s="1" t="s">
        <v>45</v>
      </c>
      <c r="L523" s="1" t="str">
        <f t="shared" si="78"/>
        <v>20220914</v>
      </c>
      <c r="M523" s="1" t="str">
        <f>"165849"</f>
        <v>165849</v>
      </c>
      <c r="N523" s="1" t="s">
        <v>44</v>
      </c>
      <c r="O523" s="1" t="s">
        <v>45</v>
      </c>
      <c r="P523" s="1" t="s">
        <v>55</v>
      </c>
      <c r="Q523" s="1">
        <v>25</v>
      </c>
      <c r="R523" s="1">
        <v>25</v>
      </c>
      <c r="S523" s="1">
        <v>0</v>
      </c>
      <c r="T523" s="1">
        <v>0</v>
      </c>
      <c r="U523" s="1">
        <v>0</v>
      </c>
      <c r="V523" s="1" t="str">
        <f t="shared" si="75"/>
        <v>里程去程</v>
      </c>
      <c r="W523" s="1" t="s">
        <v>35</v>
      </c>
    </row>
    <row r="524" spans="1:23" x14ac:dyDescent="0.3">
      <c r="A524" s="1" t="str">
        <f t="shared" si="76"/>
        <v>59822</v>
      </c>
      <c r="B524" s="1" t="s">
        <v>39</v>
      </c>
      <c r="C524" s="1" t="s">
        <v>40</v>
      </c>
      <c r="D524" s="1" t="str">
        <f t="shared" si="74"/>
        <v>9801</v>
      </c>
      <c r="E524" s="1" t="s">
        <v>25</v>
      </c>
      <c r="F524" s="1" t="str">
        <f>"1108547297"</f>
        <v>1108547297</v>
      </c>
      <c r="G524" s="1" t="s">
        <v>33</v>
      </c>
      <c r="H524" s="1" t="str">
        <f t="shared" si="77"/>
        <v>20220914</v>
      </c>
      <c r="I524" s="1" t="str">
        <f>"165122"</f>
        <v>165122</v>
      </c>
      <c r="J524" s="1" t="s">
        <v>91</v>
      </c>
      <c r="K524" s="1" t="s">
        <v>45</v>
      </c>
      <c r="L524" s="1" t="str">
        <f t="shared" si="78"/>
        <v>20220914</v>
      </c>
      <c r="M524" s="1" t="str">
        <f>"165835"</f>
        <v>165835</v>
      </c>
      <c r="N524" s="1" t="s">
        <v>44</v>
      </c>
      <c r="O524" s="1" t="s">
        <v>45</v>
      </c>
      <c r="P524" s="1" t="s">
        <v>55</v>
      </c>
      <c r="Q524" s="1">
        <v>25</v>
      </c>
      <c r="R524" s="1">
        <v>25</v>
      </c>
      <c r="S524" s="1">
        <v>0</v>
      </c>
      <c r="T524" s="1">
        <v>0</v>
      </c>
      <c r="U524" s="1">
        <v>0</v>
      </c>
      <c r="V524" s="1" t="str">
        <f t="shared" si="75"/>
        <v>里程去程</v>
      </c>
      <c r="W524" s="1" t="s">
        <v>35</v>
      </c>
    </row>
    <row r="525" spans="1:23" x14ac:dyDescent="0.3">
      <c r="A525" s="1" t="str">
        <f t="shared" si="76"/>
        <v>59822</v>
      </c>
      <c r="B525" s="1" t="s">
        <v>39</v>
      </c>
      <c r="C525" s="1" t="s">
        <v>40</v>
      </c>
      <c r="D525" s="1" t="str">
        <f t="shared" si="74"/>
        <v>9801</v>
      </c>
      <c r="E525" s="1" t="s">
        <v>25</v>
      </c>
      <c r="F525" s="1" t="str">
        <f>"1218531701"</f>
        <v>1218531701</v>
      </c>
      <c r="G525" s="1" t="s">
        <v>33</v>
      </c>
      <c r="H525" s="1" t="str">
        <f t="shared" si="77"/>
        <v>20220914</v>
      </c>
      <c r="I525" s="1" t="str">
        <f>"165126"</f>
        <v>165126</v>
      </c>
      <c r="J525" s="1" t="s">
        <v>91</v>
      </c>
      <c r="K525" s="1" t="s">
        <v>45</v>
      </c>
      <c r="L525" s="1" t="str">
        <f t="shared" si="78"/>
        <v>20220914</v>
      </c>
      <c r="M525" s="1" t="str">
        <f>"165838"</f>
        <v>165838</v>
      </c>
      <c r="N525" s="1" t="s">
        <v>44</v>
      </c>
      <c r="O525" s="1" t="s">
        <v>45</v>
      </c>
      <c r="P525" s="1" t="s">
        <v>55</v>
      </c>
      <c r="Q525" s="1">
        <v>25</v>
      </c>
      <c r="R525" s="1">
        <v>25</v>
      </c>
      <c r="S525" s="1">
        <v>0</v>
      </c>
      <c r="T525" s="1">
        <v>0</v>
      </c>
      <c r="U525" s="1">
        <v>0</v>
      </c>
      <c r="V525" s="1" t="str">
        <f t="shared" si="75"/>
        <v>里程去程</v>
      </c>
      <c r="W525" s="1" t="s">
        <v>35</v>
      </c>
    </row>
    <row r="526" spans="1:23" x14ac:dyDescent="0.3">
      <c r="A526" s="1" t="str">
        <f t="shared" si="76"/>
        <v>59822</v>
      </c>
      <c r="B526" s="1" t="s">
        <v>39</v>
      </c>
      <c r="C526" s="1" t="s">
        <v>40</v>
      </c>
      <c r="D526" s="1" t="str">
        <f t="shared" si="74"/>
        <v>9801</v>
      </c>
      <c r="E526" s="1" t="s">
        <v>25</v>
      </c>
      <c r="F526" s="1" t="str">
        <f>"1737814858"</f>
        <v>1737814858</v>
      </c>
      <c r="G526" s="1" t="s">
        <v>33</v>
      </c>
      <c r="H526" s="1" t="str">
        <f t="shared" si="77"/>
        <v>20220914</v>
      </c>
      <c r="I526" s="1" t="str">
        <f>"165133"</f>
        <v>165133</v>
      </c>
      <c r="J526" s="1" t="s">
        <v>91</v>
      </c>
      <c r="K526" s="1" t="s">
        <v>45</v>
      </c>
      <c r="L526" s="1" t="str">
        <f t="shared" si="78"/>
        <v>20220914</v>
      </c>
      <c r="M526" s="1" t="str">
        <f>"165814"</f>
        <v>165814</v>
      </c>
      <c r="N526" s="1" t="s">
        <v>44</v>
      </c>
      <c r="O526" s="1" t="s">
        <v>45</v>
      </c>
      <c r="P526" s="1" t="s">
        <v>55</v>
      </c>
      <c r="Q526" s="1">
        <v>25</v>
      </c>
      <c r="R526" s="1">
        <v>25</v>
      </c>
      <c r="S526" s="1">
        <v>0</v>
      </c>
      <c r="T526" s="1">
        <v>0</v>
      </c>
      <c r="U526" s="1">
        <v>0</v>
      </c>
      <c r="V526" s="1" t="str">
        <f t="shared" si="75"/>
        <v>里程去程</v>
      </c>
      <c r="W526" s="1" t="s">
        <v>35</v>
      </c>
    </row>
    <row r="527" spans="1:23" x14ac:dyDescent="0.3">
      <c r="A527" s="1" t="str">
        <f t="shared" si="76"/>
        <v>59822</v>
      </c>
      <c r="B527" s="1" t="s">
        <v>39</v>
      </c>
      <c r="C527" s="1" t="s">
        <v>40</v>
      </c>
      <c r="D527" s="1" t="str">
        <f t="shared" si="74"/>
        <v>9801</v>
      </c>
      <c r="E527" s="1" t="s">
        <v>25</v>
      </c>
      <c r="F527" s="1" t="str">
        <f>"793634709"</f>
        <v>793634709</v>
      </c>
      <c r="G527" s="1" t="s">
        <v>26</v>
      </c>
      <c r="H527" s="1" t="str">
        <f t="shared" si="77"/>
        <v>20220914</v>
      </c>
      <c r="I527" s="1" t="str">
        <f>"165136"</f>
        <v>165136</v>
      </c>
      <c r="J527" s="1" t="s">
        <v>91</v>
      </c>
      <c r="K527" s="1" t="s">
        <v>45</v>
      </c>
      <c r="L527" s="1" t="str">
        <f t="shared" si="78"/>
        <v>20220914</v>
      </c>
      <c r="M527" s="1" t="str">
        <f>"165803"</f>
        <v>165803</v>
      </c>
      <c r="N527" s="1" t="s">
        <v>44</v>
      </c>
      <c r="O527" s="1" t="s">
        <v>45</v>
      </c>
      <c r="P527" s="1" t="s">
        <v>55</v>
      </c>
      <c r="Q527" s="1">
        <v>13</v>
      </c>
      <c r="R527" s="1">
        <v>0</v>
      </c>
      <c r="S527" s="1">
        <v>13</v>
      </c>
      <c r="T527" s="1">
        <v>0</v>
      </c>
      <c r="U527" s="1">
        <v>0</v>
      </c>
      <c r="V527" s="1" t="str">
        <f t="shared" si="75"/>
        <v>里程去程</v>
      </c>
      <c r="W527" s="1" t="s">
        <v>35</v>
      </c>
    </row>
    <row r="528" spans="1:23" x14ac:dyDescent="0.3">
      <c r="A528" s="1" t="str">
        <f t="shared" si="76"/>
        <v>59822</v>
      </c>
      <c r="B528" s="1" t="s">
        <v>39</v>
      </c>
      <c r="C528" s="1" t="s">
        <v>40</v>
      </c>
      <c r="D528" s="1" t="str">
        <f t="shared" si="74"/>
        <v>9801</v>
      </c>
      <c r="E528" s="1" t="s">
        <v>25</v>
      </c>
      <c r="F528" s="1" t="str">
        <f>"1075385649"</f>
        <v>1075385649</v>
      </c>
      <c r="G528" s="1" t="s">
        <v>33</v>
      </c>
      <c r="H528" s="1" t="str">
        <f t="shared" si="77"/>
        <v>20220914</v>
      </c>
      <c r="I528" s="1" t="str">
        <f>"165140"</f>
        <v>165140</v>
      </c>
      <c r="J528" s="1" t="s">
        <v>91</v>
      </c>
      <c r="K528" s="1" t="s">
        <v>45</v>
      </c>
      <c r="L528" s="1" t="str">
        <f t="shared" si="78"/>
        <v>20220914</v>
      </c>
      <c r="M528" s="1" t="str">
        <f>"165759"</f>
        <v>165759</v>
      </c>
      <c r="N528" s="1" t="s">
        <v>44</v>
      </c>
      <c r="O528" s="1" t="s">
        <v>45</v>
      </c>
      <c r="P528" s="1" t="s">
        <v>55</v>
      </c>
      <c r="Q528" s="1">
        <v>25</v>
      </c>
      <c r="R528" s="1">
        <v>25</v>
      </c>
      <c r="S528" s="1">
        <v>0</v>
      </c>
      <c r="T528" s="1">
        <v>0</v>
      </c>
      <c r="U528" s="1">
        <v>0</v>
      </c>
      <c r="V528" s="1" t="str">
        <f t="shared" si="75"/>
        <v>里程去程</v>
      </c>
      <c r="W528" s="1" t="s">
        <v>35</v>
      </c>
    </row>
    <row r="529" spans="1:23" x14ac:dyDescent="0.3">
      <c r="A529" s="1" t="str">
        <f t="shared" si="76"/>
        <v>59822</v>
      </c>
      <c r="B529" s="1" t="s">
        <v>39</v>
      </c>
      <c r="C529" s="1" t="s">
        <v>40</v>
      </c>
      <c r="D529" s="1" t="str">
        <f t="shared" si="74"/>
        <v>9801</v>
      </c>
      <c r="E529" s="1" t="s">
        <v>25</v>
      </c>
      <c r="F529" s="1" t="str">
        <f>"1406484497"</f>
        <v>1406484497</v>
      </c>
      <c r="G529" s="1" t="s">
        <v>26</v>
      </c>
      <c r="H529" s="1" t="str">
        <f t="shared" si="77"/>
        <v>20220914</v>
      </c>
      <c r="I529" s="1" t="str">
        <f>"165144"</f>
        <v>165144</v>
      </c>
      <c r="J529" s="1" t="s">
        <v>91</v>
      </c>
      <c r="K529" s="1" t="s">
        <v>45</v>
      </c>
      <c r="L529" s="1" t="str">
        <f t="shared" si="78"/>
        <v>20220914</v>
      </c>
      <c r="M529" s="1" t="str">
        <f>"165725"</f>
        <v>165725</v>
      </c>
      <c r="N529" s="1" t="s">
        <v>44</v>
      </c>
      <c r="O529" s="1" t="s">
        <v>45</v>
      </c>
      <c r="P529" s="1" t="s">
        <v>55</v>
      </c>
      <c r="Q529" s="1">
        <v>13</v>
      </c>
      <c r="R529" s="1">
        <v>0</v>
      </c>
      <c r="S529" s="1">
        <v>13</v>
      </c>
      <c r="T529" s="1">
        <v>0</v>
      </c>
      <c r="U529" s="1">
        <v>0</v>
      </c>
      <c r="V529" s="1" t="str">
        <f t="shared" si="75"/>
        <v>里程去程</v>
      </c>
      <c r="W529" s="1" t="s">
        <v>35</v>
      </c>
    </row>
    <row r="530" spans="1:23" x14ac:dyDescent="0.3">
      <c r="A530" s="1" t="str">
        <f t="shared" si="76"/>
        <v>59822</v>
      </c>
      <c r="B530" s="1" t="s">
        <v>39</v>
      </c>
      <c r="C530" s="1" t="s">
        <v>40</v>
      </c>
      <c r="D530" s="1" t="str">
        <f t="shared" si="74"/>
        <v>9801</v>
      </c>
      <c r="E530" s="1" t="s">
        <v>25</v>
      </c>
      <c r="F530" s="1" t="str">
        <f>"1209895909"</f>
        <v>1209895909</v>
      </c>
      <c r="G530" s="1" t="s">
        <v>26</v>
      </c>
      <c r="H530" s="1" t="str">
        <f t="shared" si="77"/>
        <v>20220914</v>
      </c>
      <c r="I530" s="1" t="str">
        <f>"165146"</f>
        <v>165146</v>
      </c>
      <c r="J530" s="1" t="s">
        <v>91</v>
      </c>
      <c r="K530" s="1" t="s">
        <v>45</v>
      </c>
      <c r="L530" s="1" t="str">
        <f t="shared" si="78"/>
        <v>20220914</v>
      </c>
      <c r="M530" s="1" t="str">
        <f>"165831"</f>
        <v>165831</v>
      </c>
      <c r="N530" s="1" t="s">
        <v>44</v>
      </c>
      <c r="O530" s="1" t="s">
        <v>45</v>
      </c>
      <c r="P530" s="1" t="s">
        <v>55</v>
      </c>
      <c r="Q530" s="1">
        <v>13</v>
      </c>
      <c r="R530" s="1">
        <v>0</v>
      </c>
      <c r="S530" s="1">
        <v>13</v>
      </c>
      <c r="T530" s="1">
        <v>0</v>
      </c>
      <c r="U530" s="1">
        <v>0</v>
      </c>
      <c r="V530" s="1" t="str">
        <f t="shared" si="75"/>
        <v>里程去程</v>
      </c>
      <c r="W530" s="1" t="s">
        <v>35</v>
      </c>
    </row>
    <row r="531" spans="1:23" x14ac:dyDescent="0.3">
      <c r="A531" s="1" t="str">
        <f t="shared" si="76"/>
        <v>59822</v>
      </c>
      <c r="B531" s="1" t="s">
        <v>39</v>
      </c>
      <c r="C531" s="1" t="s">
        <v>40</v>
      </c>
      <c r="D531" s="1" t="str">
        <f t="shared" si="74"/>
        <v>9801</v>
      </c>
      <c r="E531" s="1" t="s">
        <v>25</v>
      </c>
      <c r="F531" s="1" t="str">
        <f>"1196061205"</f>
        <v>1196061205</v>
      </c>
      <c r="G531" s="1" t="s">
        <v>33</v>
      </c>
      <c r="H531" s="1" t="str">
        <f t="shared" si="77"/>
        <v>20220914</v>
      </c>
      <c r="I531" s="1" t="str">
        <f>"170004"</f>
        <v>170004</v>
      </c>
      <c r="J531" s="1" t="s">
        <v>52</v>
      </c>
      <c r="K531" s="1" t="s">
        <v>52</v>
      </c>
      <c r="L531" s="1" t="str">
        <f t="shared" si="78"/>
        <v>20220914</v>
      </c>
      <c r="M531" s="1" t="str">
        <f>"170007"</f>
        <v>170007</v>
      </c>
      <c r="N531" s="1" t="s">
        <v>60</v>
      </c>
      <c r="O531" s="1" t="s">
        <v>52</v>
      </c>
      <c r="P531" s="1" t="s">
        <v>55</v>
      </c>
      <c r="Q531" s="1">
        <v>25</v>
      </c>
      <c r="R531" s="1">
        <v>25</v>
      </c>
      <c r="S531" s="1">
        <v>0</v>
      </c>
      <c r="T531" s="1">
        <v>0</v>
      </c>
      <c r="U531" s="1">
        <v>0</v>
      </c>
      <c r="V531" s="1" t="str">
        <f t="shared" si="75"/>
        <v>里程去程</v>
      </c>
      <c r="W531" s="1" t="s">
        <v>35</v>
      </c>
    </row>
    <row r="532" spans="1:23" x14ac:dyDescent="0.3">
      <c r="A532" s="1" t="str">
        <f t="shared" si="76"/>
        <v>59822</v>
      </c>
      <c r="B532" s="1" t="s">
        <v>39</v>
      </c>
      <c r="C532" s="1" t="s">
        <v>40</v>
      </c>
      <c r="D532" s="1" t="str">
        <f t="shared" si="74"/>
        <v>9801</v>
      </c>
      <c r="E532" s="1" t="s">
        <v>25</v>
      </c>
      <c r="F532" s="1" t="str">
        <f>"1435527281"</f>
        <v>1435527281</v>
      </c>
      <c r="G532" s="1" t="s">
        <v>33</v>
      </c>
      <c r="H532" s="1" t="str">
        <f t="shared" si="77"/>
        <v>20220914</v>
      </c>
      <c r="I532" s="1" t="str">
        <f>"203131"</f>
        <v>203131</v>
      </c>
      <c r="J532" s="1" t="s">
        <v>27</v>
      </c>
      <c r="K532" s="1" t="s">
        <v>28</v>
      </c>
      <c r="L532" s="1" t="str">
        <f t="shared" si="78"/>
        <v>20220914</v>
      </c>
      <c r="M532" s="1" t="str">
        <f>"205559"</f>
        <v>205559</v>
      </c>
      <c r="N532" s="1" t="s">
        <v>44</v>
      </c>
      <c r="O532" s="1" t="s">
        <v>45</v>
      </c>
      <c r="P532" s="1" t="s">
        <v>55</v>
      </c>
      <c r="Q532" s="1">
        <v>25</v>
      </c>
      <c r="R532" s="1">
        <v>0</v>
      </c>
      <c r="S532" s="1">
        <v>25</v>
      </c>
      <c r="T532" s="1">
        <v>0</v>
      </c>
      <c r="U532" s="1">
        <v>0</v>
      </c>
      <c r="V532" s="1" t="str">
        <f t="shared" si="75"/>
        <v>里程去程</v>
      </c>
      <c r="W532" s="1" t="s">
        <v>35</v>
      </c>
    </row>
    <row r="533" spans="1:23" x14ac:dyDescent="0.3">
      <c r="A533" s="1" t="str">
        <f t="shared" si="76"/>
        <v>59822</v>
      </c>
      <c r="B533" s="1" t="s">
        <v>39</v>
      </c>
      <c r="C533" s="1" t="s">
        <v>40</v>
      </c>
      <c r="D533" s="1" t="str">
        <f t="shared" si="74"/>
        <v>9801</v>
      </c>
      <c r="E533" s="1" t="s">
        <v>25</v>
      </c>
      <c r="F533" s="1" t="str">
        <f>"1765800449"</f>
        <v>1765800449</v>
      </c>
      <c r="G533" s="1" t="s">
        <v>33</v>
      </c>
      <c r="H533" s="1" t="str">
        <f t="shared" si="77"/>
        <v>20220914</v>
      </c>
      <c r="I533" s="1" t="str">
        <f>"203133"</f>
        <v>203133</v>
      </c>
      <c r="J533" s="1" t="s">
        <v>27</v>
      </c>
      <c r="K533" s="1" t="s">
        <v>28</v>
      </c>
      <c r="L533" s="1" t="str">
        <f t="shared" si="78"/>
        <v>20220914</v>
      </c>
      <c r="M533" s="1" t="str">
        <f>"205556"</f>
        <v>205556</v>
      </c>
      <c r="N533" s="1" t="s">
        <v>44</v>
      </c>
      <c r="O533" s="1" t="s">
        <v>45</v>
      </c>
      <c r="P533" s="1" t="s">
        <v>55</v>
      </c>
      <c r="Q533" s="1">
        <v>25</v>
      </c>
      <c r="R533" s="1">
        <v>0</v>
      </c>
      <c r="S533" s="1">
        <v>25</v>
      </c>
      <c r="T533" s="1">
        <v>0</v>
      </c>
      <c r="U533" s="1">
        <v>0</v>
      </c>
      <c r="V533" s="1" t="str">
        <f t="shared" si="75"/>
        <v>里程去程</v>
      </c>
      <c r="W533" s="1" t="s">
        <v>35</v>
      </c>
    </row>
    <row r="534" spans="1:23" x14ac:dyDescent="0.3">
      <c r="A534" s="1" t="str">
        <f>"59828"</f>
        <v>59828</v>
      </c>
      <c r="B534" s="1" t="s">
        <v>23</v>
      </c>
      <c r="C534" s="1" t="s">
        <v>24</v>
      </c>
      <c r="D534" s="1" t="str">
        <f t="shared" si="74"/>
        <v>9801</v>
      </c>
      <c r="E534" s="1" t="s">
        <v>25</v>
      </c>
      <c r="F534" s="1" t="str">
        <f>"7227E702B0880400C834002000000015"</f>
        <v>7227E702B0880400C834002000000015</v>
      </c>
      <c r="G534" s="1" t="s">
        <v>74</v>
      </c>
      <c r="H534" s="1" t="str">
        <f t="shared" si="77"/>
        <v>20220914</v>
      </c>
      <c r="I534" s="1" t="str">
        <f>"075753"</f>
        <v>075753</v>
      </c>
      <c r="J534" s="1" t="s">
        <v>52</v>
      </c>
      <c r="K534" s="1" t="s">
        <v>52</v>
      </c>
      <c r="L534" s="1" t="str">
        <f t="shared" si="78"/>
        <v>20220914</v>
      </c>
      <c r="M534" s="1" t="str">
        <f>"081626"</f>
        <v>081626</v>
      </c>
      <c r="N534" s="1" t="s">
        <v>80</v>
      </c>
      <c r="O534" s="1" t="s">
        <v>52</v>
      </c>
      <c r="P534" s="1" t="s">
        <v>68</v>
      </c>
      <c r="Q534" s="1">
        <v>13</v>
      </c>
      <c r="R534" s="1">
        <v>0</v>
      </c>
      <c r="S534" s="1">
        <v>0</v>
      </c>
      <c r="T534" s="1">
        <v>13</v>
      </c>
      <c r="U534" s="1">
        <v>0</v>
      </c>
      <c r="V534" s="1" t="str">
        <f t="shared" si="75"/>
        <v>里程去程</v>
      </c>
      <c r="W534" s="1" t="s">
        <v>29</v>
      </c>
    </row>
    <row r="535" spans="1:23" x14ac:dyDescent="0.3">
      <c r="A535" s="1" t="str">
        <f>"59828"</f>
        <v>59828</v>
      </c>
      <c r="B535" s="1" t="s">
        <v>23</v>
      </c>
      <c r="C535" s="1" t="s">
        <v>24</v>
      </c>
      <c r="D535" s="1" t="str">
        <f t="shared" si="74"/>
        <v>9801</v>
      </c>
      <c r="E535" s="1" t="s">
        <v>25</v>
      </c>
      <c r="F535" s="1" t="str">
        <f>"427BB21B90880400C822002000000021"</f>
        <v>427BB21B90880400C822002000000021</v>
      </c>
      <c r="G535" s="1" t="s">
        <v>58</v>
      </c>
      <c r="H535" s="1" t="str">
        <f t="shared" si="77"/>
        <v>20220914</v>
      </c>
      <c r="I535" s="1" t="str">
        <f>"083525"</f>
        <v>083525</v>
      </c>
      <c r="J535" s="1" t="s">
        <v>27</v>
      </c>
      <c r="K535" s="1" t="s">
        <v>28</v>
      </c>
      <c r="L535" s="1" t="str">
        <f t="shared" si="78"/>
        <v>20220914</v>
      </c>
      <c r="M535" s="1" t="str">
        <f>"084817"</f>
        <v>084817</v>
      </c>
      <c r="N535" s="1" t="s">
        <v>56</v>
      </c>
      <c r="O535" s="1" t="s">
        <v>45</v>
      </c>
      <c r="P535" s="1" t="s">
        <v>55</v>
      </c>
      <c r="Q535" s="1">
        <v>25</v>
      </c>
      <c r="R535" s="1">
        <v>25</v>
      </c>
      <c r="S535" s="1">
        <v>0</v>
      </c>
      <c r="T535" s="1">
        <v>0</v>
      </c>
      <c r="U535" s="1">
        <v>0</v>
      </c>
      <c r="V535" s="1" t="str">
        <f t="shared" si="75"/>
        <v>里程去程</v>
      </c>
      <c r="W535" s="1" t="s">
        <v>29</v>
      </c>
    </row>
    <row r="536" spans="1:23" x14ac:dyDescent="0.3">
      <c r="A536" s="1" t="str">
        <f>"59828"</f>
        <v>59828</v>
      </c>
      <c r="B536" s="1" t="s">
        <v>23</v>
      </c>
      <c r="C536" s="1" t="s">
        <v>24</v>
      </c>
      <c r="D536" s="1" t="str">
        <f t="shared" si="74"/>
        <v>9801</v>
      </c>
      <c r="E536" s="1" t="s">
        <v>25</v>
      </c>
      <c r="F536" s="1" t="str">
        <f>"32780D0344880400C834002000000015"</f>
        <v>32780D0344880400C834002000000015</v>
      </c>
      <c r="G536" s="1" t="s">
        <v>26</v>
      </c>
      <c r="H536" s="1" t="str">
        <f t="shared" si="77"/>
        <v>20220914</v>
      </c>
      <c r="I536" s="1" t="str">
        <f>"083636"</f>
        <v>083636</v>
      </c>
      <c r="J536" s="1" t="s">
        <v>27</v>
      </c>
      <c r="K536" s="1" t="s">
        <v>28</v>
      </c>
      <c r="L536" s="1" t="str">
        <f t="shared" si="78"/>
        <v>20220914</v>
      </c>
      <c r="M536" s="1" t="str">
        <f>"085523"</f>
        <v>085523</v>
      </c>
      <c r="N536" s="1" t="s">
        <v>44</v>
      </c>
      <c r="O536" s="1" t="s">
        <v>45</v>
      </c>
      <c r="P536" s="1" t="s">
        <v>68</v>
      </c>
      <c r="Q536" s="1">
        <v>13</v>
      </c>
      <c r="R536" s="1">
        <v>0</v>
      </c>
      <c r="S536" s="1">
        <v>0</v>
      </c>
      <c r="T536" s="1">
        <v>13</v>
      </c>
      <c r="U536" s="1">
        <v>0</v>
      </c>
      <c r="V536" s="1" t="str">
        <f t="shared" si="75"/>
        <v>里程去程</v>
      </c>
      <c r="W536" s="1" t="s">
        <v>29</v>
      </c>
    </row>
    <row r="537" spans="1:23" x14ac:dyDescent="0.3">
      <c r="A537" s="1" t="str">
        <f>"59828"</f>
        <v>59828</v>
      </c>
      <c r="B537" s="1" t="s">
        <v>23</v>
      </c>
      <c r="C537" s="1" t="s">
        <v>24</v>
      </c>
      <c r="D537" s="1" t="str">
        <f t="shared" si="74"/>
        <v>9801</v>
      </c>
      <c r="E537" s="1" t="s">
        <v>25</v>
      </c>
      <c r="F537" s="1" t="str">
        <f>"6280E61A1E880400C817002000000021"</f>
        <v>6280E61A1E880400C817002000000021</v>
      </c>
      <c r="G537" s="1" t="s">
        <v>58</v>
      </c>
      <c r="H537" s="1" t="str">
        <f t="shared" si="77"/>
        <v>20220914</v>
      </c>
      <c r="I537" s="1" t="str">
        <f>"093220"</f>
        <v>093220</v>
      </c>
      <c r="J537" s="1" t="s">
        <v>27</v>
      </c>
      <c r="K537" s="1" t="s">
        <v>28</v>
      </c>
      <c r="L537" s="1" t="str">
        <f t="shared" si="78"/>
        <v>20220914</v>
      </c>
      <c r="M537" s="1" t="str">
        <f>"094855"</f>
        <v>094855</v>
      </c>
      <c r="N537" s="1" t="s">
        <v>56</v>
      </c>
      <c r="O537" s="1" t="s">
        <v>45</v>
      </c>
      <c r="P537" s="1" t="s">
        <v>55</v>
      </c>
      <c r="Q537" s="1">
        <v>25</v>
      </c>
      <c r="R537" s="1">
        <v>0</v>
      </c>
      <c r="S537" s="1">
        <v>25</v>
      </c>
      <c r="T537" s="1">
        <v>0</v>
      </c>
      <c r="U537" s="1">
        <v>0</v>
      </c>
      <c r="V537" s="1" t="str">
        <f t="shared" si="75"/>
        <v>里程去程</v>
      </c>
      <c r="W537" s="1" t="s">
        <v>29</v>
      </c>
    </row>
    <row r="538" spans="1:23" x14ac:dyDescent="0.3">
      <c r="A538" s="1" t="str">
        <f t="shared" ref="A538:A549" si="79">"59809"</f>
        <v>59809</v>
      </c>
      <c r="B538" s="1" t="s">
        <v>42</v>
      </c>
      <c r="C538" s="1" t="s">
        <v>43</v>
      </c>
      <c r="D538" s="1" t="str">
        <f t="shared" si="74"/>
        <v>9801</v>
      </c>
      <c r="E538" s="1" t="s">
        <v>25</v>
      </c>
      <c r="F538" s="1" t="str">
        <f>"1406666913"</f>
        <v>1406666913</v>
      </c>
      <c r="G538" s="1" t="s">
        <v>26</v>
      </c>
      <c r="H538" s="1" t="str">
        <f t="shared" ref="H538:H578" si="80">"20220915"</f>
        <v>20220915</v>
      </c>
      <c r="I538" s="1" t="str">
        <f>"083006"</f>
        <v>083006</v>
      </c>
      <c r="J538" s="1" t="s">
        <v>27</v>
      </c>
      <c r="K538" s="1" t="s">
        <v>28</v>
      </c>
      <c r="L538" s="1" t="str">
        <f t="shared" ref="L538:L578" si="81">"20220915"</f>
        <v>20220915</v>
      </c>
      <c r="M538" s="1" t="str">
        <f>"085548"</f>
        <v>085548</v>
      </c>
      <c r="N538" s="1" t="s">
        <v>44</v>
      </c>
      <c r="O538" s="1" t="s">
        <v>45</v>
      </c>
      <c r="P538" s="1" t="s">
        <v>55</v>
      </c>
      <c r="Q538" s="1">
        <v>13</v>
      </c>
      <c r="R538" s="1">
        <v>13</v>
      </c>
      <c r="S538" s="1">
        <v>0</v>
      </c>
      <c r="T538" s="1">
        <v>0</v>
      </c>
      <c r="U538" s="1">
        <v>0</v>
      </c>
      <c r="V538" s="1" t="str">
        <f t="shared" si="75"/>
        <v>里程去程</v>
      </c>
      <c r="W538" s="1" t="s">
        <v>35</v>
      </c>
    </row>
    <row r="539" spans="1:23" x14ac:dyDescent="0.3">
      <c r="A539" s="1" t="str">
        <f t="shared" si="79"/>
        <v>59809</v>
      </c>
      <c r="B539" s="1" t="s">
        <v>42</v>
      </c>
      <c r="C539" s="1" t="s">
        <v>43</v>
      </c>
      <c r="D539" s="1" t="str">
        <f t="shared" si="74"/>
        <v>9801</v>
      </c>
      <c r="E539" s="1" t="s">
        <v>25</v>
      </c>
      <c r="F539" s="1" t="str">
        <f>"1407663569"</f>
        <v>1407663569</v>
      </c>
      <c r="G539" s="1" t="s">
        <v>26</v>
      </c>
      <c r="H539" s="1" t="str">
        <f t="shared" si="80"/>
        <v>20220915</v>
      </c>
      <c r="I539" s="1" t="str">
        <f>"083016"</f>
        <v>083016</v>
      </c>
      <c r="J539" s="1" t="s">
        <v>27</v>
      </c>
      <c r="K539" s="1" t="s">
        <v>28</v>
      </c>
      <c r="L539" s="1" t="str">
        <f t="shared" si="81"/>
        <v>20220915</v>
      </c>
      <c r="M539" s="1" t="str">
        <f>"085541"</f>
        <v>085541</v>
      </c>
      <c r="N539" s="1" t="s">
        <v>44</v>
      </c>
      <c r="O539" s="1" t="s">
        <v>45</v>
      </c>
      <c r="P539" s="1" t="s">
        <v>55</v>
      </c>
      <c r="Q539" s="1">
        <v>13</v>
      </c>
      <c r="R539" s="1">
        <v>13</v>
      </c>
      <c r="S539" s="1">
        <v>0</v>
      </c>
      <c r="T539" s="1">
        <v>0</v>
      </c>
      <c r="U539" s="1">
        <v>0</v>
      </c>
      <c r="V539" s="1" t="str">
        <f t="shared" si="75"/>
        <v>里程去程</v>
      </c>
      <c r="W539" s="1" t="s">
        <v>35</v>
      </c>
    </row>
    <row r="540" spans="1:23" x14ac:dyDescent="0.3">
      <c r="A540" s="1" t="str">
        <f t="shared" si="79"/>
        <v>59809</v>
      </c>
      <c r="B540" s="1" t="s">
        <v>42</v>
      </c>
      <c r="C540" s="1" t="s">
        <v>43</v>
      </c>
      <c r="D540" s="1" t="str">
        <f t="shared" si="74"/>
        <v>9801</v>
      </c>
      <c r="E540" s="1" t="s">
        <v>25</v>
      </c>
      <c r="F540" s="1" t="str">
        <f>"72D4CB066B880400C838002000000015"</f>
        <v>72D4CB066B880400C838002000000015</v>
      </c>
      <c r="G540" s="1" t="s">
        <v>26</v>
      </c>
      <c r="H540" s="1" t="str">
        <f t="shared" si="80"/>
        <v>20220915</v>
      </c>
      <c r="I540" s="1" t="str">
        <f>"083019"</f>
        <v>083019</v>
      </c>
      <c r="J540" s="1" t="s">
        <v>27</v>
      </c>
      <c r="K540" s="1" t="s">
        <v>28</v>
      </c>
      <c r="L540" s="1" t="str">
        <f t="shared" si="81"/>
        <v>20220915</v>
      </c>
      <c r="M540" s="1" t="str">
        <f>"084407"</f>
        <v>084407</v>
      </c>
      <c r="N540" s="1" t="s">
        <v>45</v>
      </c>
      <c r="O540" s="1" t="s">
        <v>45</v>
      </c>
      <c r="P540" s="1" t="s">
        <v>68</v>
      </c>
      <c r="Q540" s="1">
        <v>13</v>
      </c>
      <c r="R540" s="1">
        <v>0</v>
      </c>
      <c r="S540" s="1">
        <v>0</v>
      </c>
      <c r="T540" s="1">
        <v>13</v>
      </c>
      <c r="U540" s="1">
        <v>0</v>
      </c>
      <c r="V540" s="1" t="str">
        <f t="shared" si="75"/>
        <v>里程去程</v>
      </c>
      <c r="W540" s="1" t="s">
        <v>29</v>
      </c>
    </row>
    <row r="541" spans="1:23" x14ac:dyDescent="0.3">
      <c r="A541" s="1" t="str">
        <f t="shared" si="79"/>
        <v>59809</v>
      </c>
      <c r="B541" s="1" t="s">
        <v>42</v>
      </c>
      <c r="C541" s="1" t="s">
        <v>43</v>
      </c>
      <c r="D541" s="1" t="str">
        <f t="shared" si="74"/>
        <v>9801</v>
      </c>
      <c r="E541" s="1" t="s">
        <v>25</v>
      </c>
      <c r="F541" s="1" t="str">
        <f>"2030765248"</f>
        <v>2030765248</v>
      </c>
      <c r="G541" s="1" t="s">
        <v>33</v>
      </c>
      <c r="H541" s="1" t="str">
        <f t="shared" si="80"/>
        <v>20220915</v>
      </c>
      <c r="I541" s="1" t="str">
        <f>"085616"</f>
        <v>085616</v>
      </c>
      <c r="J541" s="1" t="s">
        <v>52</v>
      </c>
      <c r="K541" s="1" t="s">
        <v>52</v>
      </c>
      <c r="L541" s="1" t="str">
        <f t="shared" si="81"/>
        <v>20220915</v>
      </c>
      <c r="M541" s="1" t="str">
        <f>"090705"</f>
        <v>090705</v>
      </c>
      <c r="N541" s="1" t="s">
        <v>60</v>
      </c>
      <c r="O541" s="1" t="s">
        <v>52</v>
      </c>
      <c r="P541" s="1" t="s">
        <v>55</v>
      </c>
      <c r="Q541" s="1">
        <v>25</v>
      </c>
      <c r="R541" s="1">
        <v>0</v>
      </c>
      <c r="S541" s="1">
        <v>25</v>
      </c>
      <c r="T541" s="1">
        <v>0</v>
      </c>
      <c r="U541" s="1">
        <v>0</v>
      </c>
      <c r="V541" s="1" t="str">
        <f t="shared" si="75"/>
        <v>里程去程</v>
      </c>
      <c r="W541" s="1" t="s">
        <v>35</v>
      </c>
    </row>
    <row r="542" spans="1:23" x14ac:dyDescent="0.3">
      <c r="A542" s="1" t="str">
        <f t="shared" si="79"/>
        <v>59809</v>
      </c>
      <c r="B542" s="1" t="s">
        <v>42</v>
      </c>
      <c r="C542" s="1" t="s">
        <v>43</v>
      </c>
      <c r="D542" s="1" t="str">
        <f t="shared" si="74"/>
        <v>9801</v>
      </c>
      <c r="E542" s="1" t="s">
        <v>25</v>
      </c>
      <c r="F542" s="1" t="str">
        <f>"82D5FB02AE880400C834002000000015"</f>
        <v>82D5FB02AE880400C834002000000015</v>
      </c>
      <c r="G542" s="1" t="s">
        <v>26</v>
      </c>
      <c r="H542" s="1" t="str">
        <f t="shared" si="80"/>
        <v>20220915</v>
      </c>
      <c r="I542" s="1" t="str">
        <f>"090457"</f>
        <v>090457</v>
      </c>
      <c r="J542" s="1" t="s">
        <v>86</v>
      </c>
      <c r="K542" s="1" t="s">
        <v>52</v>
      </c>
      <c r="L542" s="1" t="str">
        <f t="shared" si="81"/>
        <v>20220915</v>
      </c>
      <c r="M542" s="1" t="str">
        <f>"090939"</f>
        <v>090939</v>
      </c>
      <c r="N542" s="1" t="s">
        <v>51</v>
      </c>
      <c r="O542" s="1" t="s">
        <v>52</v>
      </c>
      <c r="P542" s="1" t="s">
        <v>68</v>
      </c>
      <c r="Q542" s="1">
        <v>13</v>
      </c>
      <c r="R542" s="1">
        <v>0</v>
      </c>
      <c r="S542" s="1">
        <v>0</v>
      </c>
      <c r="T542" s="1">
        <v>13</v>
      </c>
      <c r="U542" s="1">
        <v>0</v>
      </c>
      <c r="V542" s="1" t="str">
        <f t="shared" si="75"/>
        <v>里程去程</v>
      </c>
      <c r="W542" s="1" t="s">
        <v>29</v>
      </c>
    </row>
    <row r="543" spans="1:23" x14ac:dyDescent="0.3">
      <c r="A543" s="1" t="str">
        <f t="shared" si="79"/>
        <v>59809</v>
      </c>
      <c r="B543" s="1" t="s">
        <v>42</v>
      </c>
      <c r="C543" s="1" t="s">
        <v>43</v>
      </c>
      <c r="D543" s="1" t="str">
        <f t="shared" si="74"/>
        <v>9801</v>
      </c>
      <c r="E543" s="1" t="s">
        <v>25</v>
      </c>
      <c r="F543" s="1" t="str">
        <f>"821C1A0387880400C834002000000015"</f>
        <v>821C1A0387880400C834002000000015</v>
      </c>
      <c r="G543" s="1" t="s">
        <v>26</v>
      </c>
      <c r="H543" s="1" t="str">
        <f t="shared" si="80"/>
        <v>20220915</v>
      </c>
      <c r="I543" s="1" t="str">
        <f>"090717"</f>
        <v>090717</v>
      </c>
      <c r="J543" s="1" t="s">
        <v>60</v>
      </c>
      <c r="K543" s="1" t="s">
        <v>52</v>
      </c>
      <c r="L543" s="1" t="str">
        <f t="shared" si="81"/>
        <v>20220915</v>
      </c>
      <c r="M543" s="1" t="str">
        <f>"091510"</f>
        <v>091510</v>
      </c>
      <c r="N543" s="1" t="s">
        <v>80</v>
      </c>
      <c r="O543" s="1" t="s">
        <v>52</v>
      </c>
      <c r="P543" s="1" t="s">
        <v>68</v>
      </c>
      <c r="Q543" s="1">
        <v>13</v>
      </c>
      <c r="R543" s="1">
        <v>0</v>
      </c>
      <c r="S543" s="1">
        <v>0</v>
      </c>
      <c r="T543" s="1">
        <v>13</v>
      </c>
      <c r="U543" s="1">
        <v>0</v>
      </c>
      <c r="V543" s="1" t="str">
        <f t="shared" si="75"/>
        <v>里程去程</v>
      </c>
      <c r="W543" s="1" t="s">
        <v>29</v>
      </c>
    </row>
    <row r="544" spans="1:23" x14ac:dyDescent="0.3">
      <c r="A544" s="1" t="str">
        <f t="shared" si="79"/>
        <v>59809</v>
      </c>
      <c r="B544" s="1" t="s">
        <v>42</v>
      </c>
      <c r="C544" s="1" t="s">
        <v>43</v>
      </c>
      <c r="D544" s="1" t="str">
        <f t="shared" si="74"/>
        <v>9801</v>
      </c>
      <c r="E544" s="1" t="s">
        <v>25</v>
      </c>
      <c r="F544" s="1" t="str">
        <f>"170D28DCEE880400432537E50019030F"</f>
        <v>170D28DCEE880400432537E50019030F</v>
      </c>
      <c r="G544" s="1" t="s">
        <v>58</v>
      </c>
      <c r="H544" s="1" t="str">
        <f t="shared" si="80"/>
        <v>20220915</v>
      </c>
      <c r="I544" s="1" t="str">
        <f>"090727"</f>
        <v>090727</v>
      </c>
      <c r="J544" s="1" t="s">
        <v>60</v>
      </c>
      <c r="K544" s="1" t="s">
        <v>52</v>
      </c>
      <c r="L544" s="1" t="str">
        <f t="shared" si="81"/>
        <v>20220915</v>
      </c>
      <c r="M544" s="1" t="str">
        <f>"093106"</f>
        <v>093106</v>
      </c>
      <c r="N544" s="1" t="s">
        <v>70</v>
      </c>
      <c r="O544" s="1" t="s">
        <v>28</v>
      </c>
      <c r="P544" s="1" t="s">
        <v>55</v>
      </c>
      <c r="Q544" s="1">
        <v>25</v>
      </c>
      <c r="R544" s="1">
        <v>25</v>
      </c>
      <c r="S544" s="1">
        <v>0</v>
      </c>
      <c r="T544" s="1">
        <v>0</v>
      </c>
      <c r="U544" s="1">
        <v>0</v>
      </c>
      <c r="V544" s="1" t="str">
        <f t="shared" si="75"/>
        <v>里程去程</v>
      </c>
      <c r="W544" s="1" t="s">
        <v>29</v>
      </c>
    </row>
    <row r="545" spans="1:23" x14ac:dyDescent="0.3">
      <c r="A545" s="1" t="str">
        <f t="shared" si="79"/>
        <v>59809</v>
      </c>
      <c r="B545" s="1" t="s">
        <v>42</v>
      </c>
      <c r="C545" s="1" t="s">
        <v>43</v>
      </c>
      <c r="D545" s="1" t="str">
        <f t="shared" si="74"/>
        <v>9801</v>
      </c>
      <c r="E545" s="1" t="s">
        <v>25</v>
      </c>
      <c r="F545" s="1" t="str">
        <f>"E293E60295880400C834002000000015"</f>
        <v>E293E60295880400C834002000000015</v>
      </c>
      <c r="G545" s="1" t="s">
        <v>74</v>
      </c>
      <c r="H545" s="1" t="str">
        <f t="shared" si="80"/>
        <v>20220915</v>
      </c>
      <c r="I545" s="1" t="str">
        <f>"091520"</f>
        <v>091520</v>
      </c>
      <c r="J545" s="1" t="s">
        <v>80</v>
      </c>
      <c r="K545" s="1" t="s">
        <v>52</v>
      </c>
      <c r="L545" s="1" t="str">
        <f t="shared" si="81"/>
        <v>20220915</v>
      </c>
      <c r="M545" s="1" t="str">
        <f>"093049"</f>
        <v>093049</v>
      </c>
      <c r="N545" s="1" t="s">
        <v>70</v>
      </c>
      <c r="O545" s="1" t="s">
        <v>28</v>
      </c>
      <c r="P545" s="1" t="s">
        <v>68</v>
      </c>
      <c r="Q545" s="1">
        <v>13</v>
      </c>
      <c r="R545" s="1">
        <v>0</v>
      </c>
      <c r="S545" s="1">
        <v>0</v>
      </c>
      <c r="T545" s="1">
        <v>13</v>
      </c>
      <c r="U545" s="1">
        <v>0</v>
      </c>
      <c r="V545" s="1" t="str">
        <f t="shared" si="75"/>
        <v>里程去程</v>
      </c>
      <c r="W545" s="1" t="s">
        <v>29</v>
      </c>
    </row>
    <row r="546" spans="1:23" x14ac:dyDescent="0.3">
      <c r="A546" s="1" t="str">
        <f t="shared" si="79"/>
        <v>59809</v>
      </c>
      <c r="B546" s="1" t="s">
        <v>42</v>
      </c>
      <c r="C546" s="1" t="s">
        <v>43</v>
      </c>
      <c r="D546" s="1" t="str">
        <f t="shared" si="74"/>
        <v>9801</v>
      </c>
      <c r="E546" s="1" t="s">
        <v>25</v>
      </c>
      <c r="F546" s="1" t="str">
        <f>"C2C219031A880400C834002000000015"</f>
        <v>C2C219031A880400C834002000000015</v>
      </c>
      <c r="G546" s="1" t="s">
        <v>74</v>
      </c>
      <c r="H546" s="1" t="str">
        <f t="shared" si="80"/>
        <v>20220915</v>
      </c>
      <c r="I546" s="1" t="str">
        <f>"091526"</f>
        <v>091526</v>
      </c>
      <c r="J546" s="1" t="s">
        <v>80</v>
      </c>
      <c r="K546" s="1" t="s">
        <v>52</v>
      </c>
      <c r="L546" s="1" t="str">
        <f t="shared" si="81"/>
        <v>20220915</v>
      </c>
      <c r="M546" s="1" t="str">
        <f>"093054"</f>
        <v>093054</v>
      </c>
      <c r="N546" s="1" t="s">
        <v>70</v>
      </c>
      <c r="O546" s="1" t="s">
        <v>28</v>
      </c>
      <c r="P546" s="1" t="s">
        <v>68</v>
      </c>
      <c r="Q546" s="1">
        <v>13</v>
      </c>
      <c r="R546" s="1">
        <v>0</v>
      </c>
      <c r="S546" s="1">
        <v>0</v>
      </c>
      <c r="T546" s="1">
        <v>13</v>
      </c>
      <c r="U546" s="1">
        <v>0</v>
      </c>
      <c r="V546" s="1" t="str">
        <f t="shared" si="75"/>
        <v>里程去程</v>
      </c>
      <c r="W546" s="1" t="s">
        <v>29</v>
      </c>
    </row>
    <row r="547" spans="1:23" x14ac:dyDescent="0.3">
      <c r="A547" s="1" t="str">
        <f t="shared" si="79"/>
        <v>59809</v>
      </c>
      <c r="B547" s="1" t="s">
        <v>42</v>
      </c>
      <c r="C547" s="1" t="s">
        <v>43</v>
      </c>
      <c r="D547" s="1" t="str">
        <f t="shared" si="74"/>
        <v>9801</v>
      </c>
      <c r="E547" s="1" t="s">
        <v>25</v>
      </c>
      <c r="F547" s="1" t="str">
        <f>"4229480221880400C821002000000015"</f>
        <v>4229480221880400C821002000000015</v>
      </c>
      <c r="G547" s="1" t="s">
        <v>26</v>
      </c>
      <c r="H547" s="1" t="str">
        <f t="shared" si="80"/>
        <v>20220915</v>
      </c>
      <c r="I547" s="1" t="str">
        <f>"092008"</f>
        <v>092008</v>
      </c>
      <c r="J547" s="1" t="s">
        <v>69</v>
      </c>
      <c r="K547" s="1" t="s">
        <v>52</v>
      </c>
      <c r="L547" s="1" t="str">
        <f t="shared" si="81"/>
        <v>20220915</v>
      </c>
      <c r="M547" s="1" t="str">
        <f>"093103"</f>
        <v>093103</v>
      </c>
      <c r="N547" s="1" t="s">
        <v>70</v>
      </c>
      <c r="O547" s="1" t="s">
        <v>28</v>
      </c>
      <c r="P547" s="1" t="s">
        <v>68</v>
      </c>
      <c r="Q547" s="1">
        <v>13</v>
      </c>
      <c r="R547" s="1">
        <v>0</v>
      </c>
      <c r="S547" s="1">
        <v>0</v>
      </c>
      <c r="T547" s="1">
        <v>13</v>
      </c>
      <c r="U547" s="1">
        <v>0</v>
      </c>
      <c r="V547" s="1" t="str">
        <f t="shared" si="75"/>
        <v>里程去程</v>
      </c>
      <c r="W547" s="1" t="s">
        <v>29</v>
      </c>
    </row>
    <row r="548" spans="1:23" x14ac:dyDescent="0.3">
      <c r="A548" s="1" t="str">
        <f t="shared" si="79"/>
        <v>59809</v>
      </c>
      <c r="B548" s="1" t="s">
        <v>42</v>
      </c>
      <c r="C548" s="1" t="s">
        <v>43</v>
      </c>
      <c r="D548" s="1" t="str">
        <f t="shared" si="74"/>
        <v>9801</v>
      </c>
      <c r="E548" s="1" t="s">
        <v>25</v>
      </c>
      <c r="F548" s="1" t="str">
        <f>"554627147"</f>
        <v>554627147</v>
      </c>
      <c r="G548" s="1" t="s">
        <v>33</v>
      </c>
      <c r="H548" s="1" t="str">
        <f t="shared" si="80"/>
        <v>20220915</v>
      </c>
      <c r="I548" s="1" t="str">
        <f>"093125"</f>
        <v>093125</v>
      </c>
      <c r="J548" s="1" t="s">
        <v>27</v>
      </c>
      <c r="K548" s="1" t="s">
        <v>28</v>
      </c>
      <c r="L548" s="1" t="str">
        <f t="shared" si="81"/>
        <v>20220915</v>
      </c>
      <c r="M548" s="1" t="str">
        <f>"094302"</f>
        <v>094302</v>
      </c>
      <c r="N548" s="1" t="s">
        <v>45</v>
      </c>
      <c r="O548" s="1" t="s">
        <v>45</v>
      </c>
      <c r="P548" s="1" t="s">
        <v>55</v>
      </c>
      <c r="Q548" s="1">
        <v>25</v>
      </c>
      <c r="R548" s="1">
        <v>25</v>
      </c>
      <c r="S548" s="1">
        <v>0</v>
      </c>
      <c r="T548" s="1">
        <v>0</v>
      </c>
      <c r="U548" s="1">
        <v>0</v>
      </c>
      <c r="V548" s="1" t="str">
        <f t="shared" si="75"/>
        <v>里程去程</v>
      </c>
      <c r="W548" s="1" t="s">
        <v>35</v>
      </c>
    </row>
    <row r="549" spans="1:23" x14ac:dyDescent="0.3">
      <c r="A549" s="1" t="str">
        <f t="shared" si="79"/>
        <v>59809</v>
      </c>
      <c r="B549" s="1" t="s">
        <v>42</v>
      </c>
      <c r="C549" s="1" t="s">
        <v>43</v>
      </c>
      <c r="D549" s="1" t="str">
        <f t="shared" si="74"/>
        <v>9801</v>
      </c>
      <c r="E549" s="1" t="s">
        <v>25</v>
      </c>
      <c r="F549" s="1" t="str">
        <f>"3583387812"</f>
        <v>3583387812</v>
      </c>
      <c r="G549" s="1" t="s">
        <v>33</v>
      </c>
      <c r="H549" s="1" t="str">
        <f t="shared" si="80"/>
        <v>20220915</v>
      </c>
      <c r="I549" s="1" t="str">
        <f>"093128"</f>
        <v>093128</v>
      </c>
      <c r="J549" s="1" t="s">
        <v>27</v>
      </c>
      <c r="K549" s="1" t="s">
        <v>28</v>
      </c>
      <c r="L549" s="1" t="str">
        <f t="shared" si="81"/>
        <v>20220915</v>
      </c>
      <c r="M549" s="1" t="str">
        <f>"094304"</f>
        <v>094304</v>
      </c>
      <c r="N549" s="1" t="s">
        <v>45</v>
      </c>
      <c r="O549" s="1" t="s">
        <v>45</v>
      </c>
      <c r="P549" s="1" t="s">
        <v>55</v>
      </c>
      <c r="Q549" s="1">
        <v>25</v>
      </c>
      <c r="R549" s="1">
        <v>25</v>
      </c>
      <c r="S549" s="1">
        <v>0</v>
      </c>
      <c r="T549" s="1">
        <v>0</v>
      </c>
      <c r="U549" s="1">
        <v>0</v>
      </c>
      <c r="V549" s="1" t="str">
        <f t="shared" si="75"/>
        <v>里程去程</v>
      </c>
      <c r="W549" s="1" t="s">
        <v>35</v>
      </c>
    </row>
    <row r="550" spans="1:23" x14ac:dyDescent="0.3">
      <c r="A550" s="1" t="str">
        <f t="shared" ref="A550:A578" si="82">"59822"</f>
        <v>59822</v>
      </c>
      <c r="B550" s="1" t="s">
        <v>39</v>
      </c>
      <c r="C550" s="1" t="s">
        <v>40</v>
      </c>
      <c r="D550" s="1" t="str">
        <f t="shared" si="74"/>
        <v>9801</v>
      </c>
      <c r="E550" s="1" t="s">
        <v>25</v>
      </c>
      <c r="F550" s="1" t="str">
        <f>"725BF502DE880400C834002000000015"</f>
        <v>725BF502DE880400C834002000000015</v>
      </c>
      <c r="G550" s="1" t="s">
        <v>58</v>
      </c>
      <c r="H550" s="1" t="str">
        <f t="shared" si="80"/>
        <v>20220915</v>
      </c>
      <c r="I550" s="1" t="str">
        <f>"110610"</f>
        <v>110610</v>
      </c>
      <c r="J550" s="1" t="s">
        <v>60</v>
      </c>
      <c r="K550" s="1" t="s">
        <v>52</v>
      </c>
      <c r="L550" s="1" t="str">
        <f t="shared" si="81"/>
        <v>20220915</v>
      </c>
      <c r="M550" s="1" t="str">
        <f>"113301"</f>
        <v>113301</v>
      </c>
      <c r="N550" s="1" t="s">
        <v>70</v>
      </c>
      <c r="O550" s="1" t="s">
        <v>28</v>
      </c>
      <c r="P550" s="1" t="s">
        <v>55</v>
      </c>
      <c r="Q550" s="1">
        <v>25</v>
      </c>
      <c r="R550" s="1">
        <v>25</v>
      </c>
      <c r="S550" s="1">
        <v>0</v>
      </c>
      <c r="T550" s="1">
        <v>0</v>
      </c>
      <c r="U550" s="1">
        <v>0</v>
      </c>
      <c r="V550" s="1" t="str">
        <f t="shared" si="75"/>
        <v>里程去程</v>
      </c>
      <c r="W550" s="1" t="s">
        <v>29</v>
      </c>
    </row>
    <row r="551" spans="1:23" x14ac:dyDescent="0.3">
      <c r="A551" s="1" t="str">
        <f t="shared" si="82"/>
        <v>59822</v>
      </c>
      <c r="B551" s="1" t="s">
        <v>39</v>
      </c>
      <c r="C551" s="1" t="s">
        <v>40</v>
      </c>
      <c r="D551" s="1" t="str">
        <f t="shared" si="74"/>
        <v>9801</v>
      </c>
      <c r="E551" s="1" t="s">
        <v>25</v>
      </c>
      <c r="F551" s="1" t="str">
        <f>"4229480221880400C821002000000015"</f>
        <v>4229480221880400C821002000000015</v>
      </c>
      <c r="G551" s="1" t="s">
        <v>26</v>
      </c>
      <c r="H551" s="1" t="str">
        <f t="shared" si="80"/>
        <v>20220915</v>
      </c>
      <c r="I551" s="1" t="str">
        <f>"110625"</f>
        <v>110625</v>
      </c>
      <c r="J551" s="1" t="s">
        <v>60</v>
      </c>
      <c r="K551" s="1" t="s">
        <v>52</v>
      </c>
      <c r="L551" s="1" t="str">
        <f t="shared" si="81"/>
        <v>20220915</v>
      </c>
      <c r="M551" s="1" t="str">
        <f>"111110"</f>
        <v>111110</v>
      </c>
      <c r="N551" s="1" t="s">
        <v>72</v>
      </c>
      <c r="O551" s="1" t="s">
        <v>52</v>
      </c>
      <c r="P551" s="1" t="s">
        <v>68</v>
      </c>
      <c r="Q551" s="1">
        <v>13</v>
      </c>
      <c r="R551" s="1">
        <v>0</v>
      </c>
      <c r="S551" s="1">
        <v>0</v>
      </c>
      <c r="T551" s="1">
        <v>13</v>
      </c>
      <c r="U551" s="1">
        <v>0</v>
      </c>
      <c r="V551" s="1" t="str">
        <f t="shared" si="75"/>
        <v>里程去程</v>
      </c>
      <c r="W551" s="1" t="s">
        <v>29</v>
      </c>
    </row>
    <row r="552" spans="1:23" x14ac:dyDescent="0.3">
      <c r="A552" s="1" t="str">
        <f t="shared" si="82"/>
        <v>59822</v>
      </c>
      <c r="B552" s="1" t="s">
        <v>39</v>
      </c>
      <c r="C552" s="1" t="s">
        <v>40</v>
      </c>
      <c r="D552" s="1" t="str">
        <f t="shared" si="74"/>
        <v>9801</v>
      </c>
      <c r="E552" s="1" t="s">
        <v>25</v>
      </c>
      <c r="F552" s="1" t="str">
        <f>"A256660290880400C821002000000015"</f>
        <v>A256660290880400C821002000000015</v>
      </c>
      <c r="G552" s="1" t="s">
        <v>26</v>
      </c>
      <c r="H552" s="1" t="str">
        <f t="shared" si="80"/>
        <v>20220915</v>
      </c>
      <c r="I552" s="1" t="str">
        <f>"110628"</f>
        <v>110628</v>
      </c>
      <c r="J552" s="1" t="s">
        <v>60</v>
      </c>
      <c r="K552" s="1" t="s">
        <v>52</v>
      </c>
      <c r="L552" s="1" t="str">
        <f t="shared" si="81"/>
        <v>20220915</v>
      </c>
      <c r="M552" s="1" t="str">
        <f>"111107"</f>
        <v>111107</v>
      </c>
      <c r="N552" s="1" t="s">
        <v>72</v>
      </c>
      <c r="O552" s="1" t="s">
        <v>52</v>
      </c>
      <c r="P552" s="1" t="s">
        <v>68</v>
      </c>
      <c r="Q552" s="1">
        <v>13</v>
      </c>
      <c r="R552" s="1">
        <v>0</v>
      </c>
      <c r="S552" s="1">
        <v>0</v>
      </c>
      <c r="T552" s="1">
        <v>13</v>
      </c>
      <c r="U552" s="1">
        <v>0</v>
      </c>
      <c r="V552" s="1" t="str">
        <f t="shared" si="75"/>
        <v>里程去程</v>
      </c>
      <c r="W552" s="1" t="s">
        <v>29</v>
      </c>
    </row>
    <row r="553" spans="1:23" x14ac:dyDescent="0.3">
      <c r="A553" s="1" t="str">
        <f t="shared" si="82"/>
        <v>59822</v>
      </c>
      <c r="B553" s="1" t="s">
        <v>39</v>
      </c>
      <c r="C553" s="1" t="s">
        <v>40</v>
      </c>
      <c r="D553" s="1" t="str">
        <f t="shared" si="74"/>
        <v>9801</v>
      </c>
      <c r="E553" s="1" t="s">
        <v>25</v>
      </c>
      <c r="F553" s="1" t="str">
        <f>"59B2B61F428804004326A82E00010211"</f>
        <v>59B2B61F428804004326A82E00010211</v>
      </c>
      <c r="G553" s="1" t="s">
        <v>26</v>
      </c>
      <c r="H553" s="1" t="str">
        <f t="shared" si="80"/>
        <v>20220915</v>
      </c>
      <c r="I553" s="1" t="str">
        <f>"110630"</f>
        <v>110630</v>
      </c>
      <c r="J553" s="1" t="s">
        <v>60</v>
      </c>
      <c r="K553" s="1" t="s">
        <v>52</v>
      </c>
      <c r="L553" s="1" t="str">
        <f t="shared" si="81"/>
        <v>20220915</v>
      </c>
      <c r="M553" s="1" t="str">
        <f>"111103"</f>
        <v>111103</v>
      </c>
      <c r="N553" s="1" t="s">
        <v>72</v>
      </c>
      <c r="O553" s="1" t="s">
        <v>52</v>
      </c>
      <c r="P553" s="1" t="s">
        <v>55</v>
      </c>
      <c r="Q553" s="1">
        <v>13</v>
      </c>
      <c r="R553" s="1">
        <v>13</v>
      </c>
      <c r="S553" s="1">
        <v>0</v>
      </c>
      <c r="T553" s="1">
        <v>0</v>
      </c>
      <c r="U553" s="1">
        <v>0</v>
      </c>
      <c r="V553" s="1" t="str">
        <f t="shared" si="75"/>
        <v>里程去程</v>
      </c>
      <c r="W553" s="1" t="s">
        <v>29</v>
      </c>
    </row>
    <row r="554" spans="1:23" x14ac:dyDescent="0.3">
      <c r="A554" s="1" t="str">
        <f t="shared" si="82"/>
        <v>59822</v>
      </c>
      <c r="B554" s="1" t="s">
        <v>39</v>
      </c>
      <c r="C554" s="1" t="s">
        <v>40</v>
      </c>
      <c r="D554" s="1" t="str">
        <f t="shared" si="74"/>
        <v>9801</v>
      </c>
      <c r="E554" s="1" t="s">
        <v>25</v>
      </c>
      <c r="F554" s="1" t="str">
        <f>"930452901"</f>
        <v>930452901</v>
      </c>
      <c r="G554" s="1" t="s">
        <v>33</v>
      </c>
      <c r="H554" s="1" t="str">
        <f t="shared" si="80"/>
        <v>20220915</v>
      </c>
      <c r="I554" s="1" t="str">
        <f>"110811"</f>
        <v>110811</v>
      </c>
      <c r="J554" s="1" t="s">
        <v>51</v>
      </c>
      <c r="K554" s="1" t="s">
        <v>52</v>
      </c>
      <c r="L554" s="1" t="str">
        <f t="shared" si="81"/>
        <v>20220915</v>
      </c>
      <c r="M554" s="1" t="str">
        <f>"111113"</f>
        <v>111113</v>
      </c>
      <c r="N554" s="1" t="s">
        <v>72</v>
      </c>
      <c r="O554" s="1" t="s">
        <v>52</v>
      </c>
      <c r="P554" s="1" t="s">
        <v>55</v>
      </c>
      <c r="Q554" s="1">
        <v>25</v>
      </c>
      <c r="R554" s="1">
        <v>25</v>
      </c>
      <c r="S554" s="1">
        <v>0</v>
      </c>
      <c r="T554" s="1">
        <v>0</v>
      </c>
      <c r="U554" s="1">
        <v>0</v>
      </c>
      <c r="V554" s="1" t="str">
        <f t="shared" si="75"/>
        <v>里程去程</v>
      </c>
      <c r="W554" s="1" t="s">
        <v>35</v>
      </c>
    </row>
    <row r="555" spans="1:23" x14ac:dyDescent="0.3">
      <c r="A555" s="1" t="str">
        <f t="shared" si="82"/>
        <v>59822</v>
      </c>
      <c r="B555" s="1" t="s">
        <v>39</v>
      </c>
      <c r="C555" s="1" t="s">
        <v>40</v>
      </c>
      <c r="D555" s="1" t="str">
        <f t="shared" si="74"/>
        <v>9801</v>
      </c>
      <c r="E555" s="1" t="s">
        <v>25</v>
      </c>
      <c r="F555" s="1" t="str">
        <f>"1713615269"</f>
        <v>1713615269</v>
      </c>
      <c r="G555" s="1" t="s">
        <v>33</v>
      </c>
      <c r="H555" s="1" t="str">
        <f t="shared" si="80"/>
        <v>20220915</v>
      </c>
      <c r="I555" s="1" t="str">
        <f>"111245"</f>
        <v>111245</v>
      </c>
      <c r="J555" s="1" t="s">
        <v>65</v>
      </c>
      <c r="K555" s="1" t="s">
        <v>52</v>
      </c>
      <c r="L555" s="1" t="str">
        <f t="shared" si="81"/>
        <v>20220915</v>
      </c>
      <c r="M555" s="1" t="str">
        <f>"113242"</f>
        <v>113242</v>
      </c>
      <c r="N555" s="1" t="s">
        <v>70</v>
      </c>
      <c r="O555" s="1" t="s">
        <v>28</v>
      </c>
      <c r="P555" s="1" t="s">
        <v>55</v>
      </c>
      <c r="Q555" s="1">
        <v>25</v>
      </c>
      <c r="R555" s="1">
        <v>0</v>
      </c>
      <c r="S555" s="1">
        <v>25</v>
      </c>
      <c r="T555" s="1">
        <v>0</v>
      </c>
      <c r="U555" s="1">
        <v>0</v>
      </c>
      <c r="V555" s="1" t="str">
        <f t="shared" si="75"/>
        <v>里程去程</v>
      </c>
      <c r="W555" s="1" t="s">
        <v>35</v>
      </c>
    </row>
    <row r="556" spans="1:23" x14ac:dyDescent="0.3">
      <c r="A556" s="1" t="str">
        <f t="shared" si="82"/>
        <v>59822</v>
      </c>
      <c r="B556" s="1" t="s">
        <v>39</v>
      </c>
      <c r="C556" s="1" t="s">
        <v>40</v>
      </c>
      <c r="D556" s="1" t="str">
        <f t="shared" si="74"/>
        <v>9801</v>
      </c>
      <c r="E556" s="1" t="s">
        <v>25</v>
      </c>
      <c r="F556" s="1" t="str">
        <f>"2015905008"</f>
        <v>2015905008</v>
      </c>
      <c r="G556" s="1" t="s">
        <v>33</v>
      </c>
      <c r="H556" s="1" t="str">
        <f t="shared" si="80"/>
        <v>20220915</v>
      </c>
      <c r="I556" s="1" t="str">
        <f>"113329"</f>
        <v>113329</v>
      </c>
      <c r="J556" s="1" t="s">
        <v>27</v>
      </c>
      <c r="K556" s="1" t="s">
        <v>28</v>
      </c>
      <c r="L556" s="1" t="str">
        <f t="shared" si="81"/>
        <v>20220915</v>
      </c>
      <c r="M556" s="1" t="str">
        <f>"114759"</f>
        <v>114759</v>
      </c>
      <c r="N556" s="1" t="s">
        <v>61</v>
      </c>
      <c r="O556" s="1" t="s">
        <v>45</v>
      </c>
      <c r="P556" s="1" t="s">
        <v>55</v>
      </c>
      <c r="Q556" s="1">
        <v>25</v>
      </c>
      <c r="R556" s="1">
        <v>25</v>
      </c>
      <c r="S556" s="1">
        <v>0</v>
      </c>
      <c r="T556" s="1">
        <v>0</v>
      </c>
      <c r="U556" s="1">
        <v>0</v>
      </c>
      <c r="V556" s="1" t="str">
        <f t="shared" si="75"/>
        <v>里程去程</v>
      </c>
      <c r="W556" s="1" t="s">
        <v>35</v>
      </c>
    </row>
    <row r="557" spans="1:23" x14ac:dyDescent="0.3">
      <c r="A557" s="1" t="str">
        <f t="shared" si="82"/>
        <v>59822</v>
      </c>
      <c r="B557" s="1" t="s">
        <v>39</v>
      </c>
      <c r="C557" s="1" t="s">
        <v>40</v>
      </c>
      <c r="D557" s="1" t="str">
        <f t="shared" si="74"/>
        <v>9801</v>
      </c>
      <c r="E557" s="1" t="s">
        <v>25</v>
      </c>
      <c r="F557" s="1" t="str">
        <f>"1734483201"</f>
        <v>1734483201</v>
      </c>
      <c r="G557" s="1" t="s">
        <v>26</v>
      </c>
      <c r="H557" s="1" t="str">
        <f t="shared" si="80"/>
        <v>20220915</v>
      </c>
      <c r="I557" s="1" t="str">
        <f>"113356"</f>
        <v>113356</v>
      </c>
      <c r="J557" s="1" t="s">
        <v>27</v>
      </c>
      <c r="K557" s="1" t="s">
        <v>28</v>
      </c>
      <c r="L557" s="1" t="str">
        <f t="shared" si="81"/>
        <v>20220915</v>
      </c>
      <c r="M557" s="1" t="str">
        <f>"114728"</f>
        <v>114728</v>
      </c>
      <c r="N557" s="1" t="s">
        <v>61</v>
      </c>
      <c r="O557" s="1" t="s">
        <v>45</v>
      </c>
      <c r="P557" s="1" t="s">
        <v>55</v>
      </c>
      <c r="Q557" s="1">
        <v>13</v>
      </c>
      <c r="R557" s="1">
        <v>0</v>
      </c>
      <c r="S557" s="1">
        <v>13</v>
      </c>
      <c r="T557" s="1">
        <v>0</v>
      </c>
      <c r="U557" s="1">
        <v>0</v>
      </c>
      <c r="V557" s="1" t="str">
        <f t="shared" si="75"/>
        <v>里程去程</v>
      </c>
      <c r="W557" s="1" t="s">
        <v>35</v>
      </c>
    </row>
    <row r="558" spans="1:23" x14ac:dyDescent="0.3">
      <c r="A558" s="1" t="str">
        <f t="shared" si="82"/>
        <v>59822</v>
      </c>
      <c r="B558" s="1" t="s">
        <v>39</v>
      </c>
      <c r="C558" s="1" t="s">
        <v>40</v>
      </c>
      <c r="D558" s="1" t="str">
        <f t="shared" si="74"/>
        <v>9801</v>
      </c>
      <c r="E558" s="1" t="s">
        <v>25</v>
      </c>
      <c r="F558" s="1" t="str">
        <f>"3638280790"</f>
        <v>3638280790</v>
      </c>
      <c r="G558" s="1" t="s">
        <v>33</v>
      </c>
      <c r="H558" s="1" t="str">
        <f t="shared" si="80"/>
        <v>20220915</v>
      </c>
      <c r="I558" s="1" t="str">
        <f>"113507"</f>
        <v>113507</v>
      </c>
      <c r="J558" s="1" t="s">
        <v>27</v>
      </c>
      <c r="K558" s="1" t="s">
        <v>28</v>
      </c>
      <c r="L558" s="1" t="str">
        <f t="shared" si="81"/>
        <v>20220915</v>
      </c>
      <c r="M558" s="1" t="str">
        <f>"115734"</f>
        <v>115734</v>
      </c>
      <c r="N558" s="1" t="s">
        <v>44</v>
      </c>
      <c r="O558" s="1" t="s">
        <v>45</v>
      </c>
      <c r="P558" s="1" t="s">
        <v>55</v>
      </c>
      <c r="Q558" s="1">
        <v>25</v>
      </c>
      <c r="R558" s="1">
        <v>25</v>
      </c>
      <c r="S558" s="1">
        <v>0</v>
      </c>
      <c r="T558" s="1">
        <v>0</v>
      </c>
      <c r="U558" s="1">
        <v>0</v>
      </c>
      <c r="V558" s="1" t="str">
        <f t="shared" si="75"/>
        <v>里程去程</v>
      </c>
      <c r="W558" s="1" t="s">
        <v>35</v>
      </c>
    </row>
    <row r="559" spans="1:23" x14ac:dyDescent="0.3">
      <c r="A559" s="1" t="str">
        <f t="shared" si="82"/>
        <v>59822</v>
      </c>
      <c r="B559" s="1" t="s">
        <v>39</v>
      </c>
      <c r="C559" s="1" t="s">
        <v>40</v>
      </c>
      <c r="D559" s="1" t="str">
        <f t="shared" si="74"/>
        <v>9801</v>
      </c>
      <c r="E559" s="1" t="s">
        <v>25</v>
      </c>
      <c r="F559" s="1" t="str">
        <f>"4251460257880400C821002000000015"</f>
        <v>4251460257880400C821002000000015</v>
      </c>
      <c r="G559" s="1" t="s">
        <v>26</v>
      </c>
      <c r="H559" s="1" t="str">
        <f t="shared" si="80"/>
        <v>20220915</v>
      </c>
      <c r="I559" s="1" t="str">
        <f>"122139"</f>
        <v>122139</v>
      </c>
      <c r="J559" s="1" t="s">
        <v>69</v>
      </c>
      <c r="K559" s="1" t="s">
        <v>52</v>
      </c>
      <c r="L559" s="1" t="str">
        <f t="shared" si="81"/>
        <v>20220915</v>
      </c>
      <c r="M559" s="1" t="str">
        <f>"122617"</f>
        <v>122617</v>
      </c>
      <c r="N559" s="1" t="s">
        <v>83</v>
      </c>
      <c r="O559" s="1" t="s">
        <v>52</v>
      </c>
      <c r="P559" s="1" t="s">
        <v>68</v>
      </c>
      <c r="Q559" s="1">
        <v>13</v>
      </c>
      <c r="R559" s="1">
        <v>0</v>
      </c>
      <c r="S559" s="1">
        <v>0</v>
      </c>
      <c r="T559" s="1">
        <v>13</v>
      </c>
      <c r="U559" s="1">
        <v>0</v>
      </c>
      <c r="V559" s="1" t="str">
        <f t="shared" si="75"/>
        <v>里程去程</v>
      </c>
      <c r="W559" s="1" t="s">
        <v>29</v>
      </c>
    </row>
    <row r="560" spans="1:23" x14ac:dyDescent="0.3">
      <c r="A560" s="1" t="str">
        <f t="shared" si="82"/>
        <v>59822</v>
      </c>
      <c r="B560" s="1" t="s">
        <v>39</v>
      </c>
      <c r="C560" s="1" t="s">
        <v>40</v>
      </c>
      <c r="D560" s="1" t="str">
        <f t="shared" si="74"/>
        <v>9801</v>
      </c>
      <c r="E560" s="1" t="s">
        <v>25</v>
      </c>
      <c r="F560" s="1" t="str">
        <f>"8227D00277880400C834002000000015"</f>
        <v>8227D00277880400C834002000000015</v>
      </c>
      <c r="G560" s="1" t="s">
        <v>26</v>
      </c>
      <c r="H560" s="1" t="str">
        <f t="shared" si="80"/>
        <v>20220915</v>
      </c>
      <c r="I560" s="1" t="str">
        <f>"122340"</f>
        <v>122340</v>
      </c>
      <c r="J560" s="1" t="s">
        <v>78</v>
      </c>
      <c r="K560" s="1" t="s">
        <v>52</v>
      </c>
      <c r="L560" s="1" t="str">
        <f t="shared" si="81"/>
        <v>20220915</v>
      </c>
      <c r="M560" s="1" t="str">
        <f>"123314"</f>
        <v>123314</v>
      </c>
      <c r="N560" s="1" t="s">
        <v>70</v>
      </c>
      <c r="O560" s="1" t="s">
        <v>28</v>
      </c>
      <c r="P560" s="1" t="s">
        <v>68</v>
      </c>
      <c r="Q560" s="1">
        <v>13</v>
      </c>
      <c r="R560" s="1">
        <v>0</v>
      </c>
      <c r="S560" s="1">
        <v>0</v>
      </c>
      <c r="T560" s="1">
        <v>13</v>
      </c>
      <c r="U560" s="1">
        <v>0</v>
      </c>
      <c r="V560" s="1" t="str">
        <f t="shared" si="75"/>
        <v>里程去程</v>
      </c>
      <c r="W560" s="1" t="s">
        <v>29</v>
      </c>
    </row>
    <row r="561" spans="1:23" x14ac:dyDescent="0.3">
      <c r="A561" s="1" t="str">
        <f t="shared" si="82"/>
        <v>59822</v>
      </c>
      <c r="B561" s="1" t="s">
        <v>39</v>
      </c>
      <c r="C561" s="1" t="s">
        <v>40</v>
      </c>
      <c r="D561" s="1" t="str">
        <f t="shared" si="74"/>
        <v>9801</v>
      </c>
      <c r="E561" s="1" t="s">
        <v>25</v>
      </c>
      <c r="F561" s="1" t="str">
        <f>"780625985"</f>
        <v>780625985</v>
      </c>
      <c r="G561" s="1" t="s">
        <v>26</v>
      </c>
      <c r="H561" s="1" t="str">
        <f t="shared" si="80"/>
        <v>20220915</v>
      </c>
      <c r="I561" s="1" t="str">
        <f>"122501"</f>
        <v>122501</v>
      </c>
      <c r="J561" s="1" t="s">
        <v>67</v>
      </c>
      <c r="K561" s="1" t="s">
        <v>52</v>
      </c>
      <c r="L561" s="1" t="str">
        <f t="shared" si="81"/>
        <v>20220915</v>
      </c>
      <c r="M561" s="1" t="str">
        <f>"123252"</f>
        <v>123252</v>
      </c>
      <c r="N561" s="1" t="s">
        <v>70</v>
      </c>
      <c r="O561" s="1" t="s">
        <v>28</v>
      </c>
      <c r="P561" s="1" t="s">
        <v>55</v>
      </c>
      <c r="Q561" s="1">
        <v>13</v>
      </c>
      <c r="R561" s="1">
        <v>13</v>
      </c>
      <c r="S561" s="1">
        <v>0</v>
      </c>
      <c r="T561" s="1">
        <v>0</v>
      </c>
      <c r="U561" s="1">
        <v>0</v>
      </c>
      <c r="V561" s="1" t="str">
        <f t="shared" si="75"/>
        <v>里程去程</v>
      </c>
      <c r="W561" s="1" t="s">
        <v>35</v>
      </c>
    </row>
    <row r="562" spans="1:23" x14ac:dyDescent="0.3">
      <c r="A562" s="1" t="str">
        <f t="shared" si="82"/>
        <v>59822</v>
      </c>
      <c r="B562" s="1" t="s">
        <v>39</v>
      </c>
      <c r="C562" s="1" t="s">
        <v>40</v>
      </c>
      <c r="D562" s="1" t="str">
        <f t="shared" si="74"/>
        <v>9801</v>
      </c>
      <c r="E562" s="1" t="s">
        <v>25</v>
      </c>
      <c r="F562" s="1" t="str">
        <f>"2048091840"</f>
        <v>2048091840</v>
      </c>
      <c r="G562" s="1" t="s">
        <v>33</v>
      </c>
      <c r="H562" s="1" t="str">
        <f t="shared" si="80"/>
        <v>20220915</v>
      </c>
      <c r="I562" s="1" t="str">
        <f>"122646"</f>
        <v>122646</v>
      </c>
      <c r="J562" s="1" t="s">
        <v>83</v>
      </c>
      <c r="K562" s="1" t="s">
        <v>52</v>
      </c>
      <c r="L562" s="1" t="str">
        <f t="shared" si="81"/>
        <v>20220915</v>
      </c>
      <c r="M562" s="1" t="str">
        <f>"123319"</f>
        <v>123319</v>
      </c>
      <c r="N562" s="1" t="s">
        <v>70</v>
      </c>
      <c r="O562" s="1" t="s">
        <v>28</v>
      </c>
      <c r="P562" s="1" t="s">
        <v>55</v>
      </c>
      <c r="Q562" s="1">
        <v>25</v>
      </c>
      <c r="R562" s="1">
        <v>25</v>
      </c>
      <c r="S562" s="1">
        <v>0</v>
      </c>
      <c r="T562" s="1">
        <v>0</v>
      </c>
      <c r="U562" s="1">
        <v>0</v>
      </c>
      <c r="V562" s="1" t="str">
        <f t="shared" si="75"/>
        <v>里程去程</v>
      </c>
      <c r="W562" s="1" t="s">
        <v>35</v>
      </c>
    </row>
    <row r="563" spans="1:23" x14ac:dyDescent="0.3">
      <c r="A563" s="1" t="str">
        <f t="shared" si="82"/>
        <v>59822</v>
      </c>
      <c r="B563" s="1" t="s">
        <v>39</v>
      </c>
      <c r="C563" s="1" t="s">
        <v>40</v>
      </c>
      <c r="D563" s="1" t="str">
        <f t="shared" si="74"/>
        <v>9801</v>
      </c>
      <c r="E563" s="1" t="s">
        <v>25</v>
      </c>
      <c r="F563" s="1" t="str">
        <f>"274258800"</f>
        <v>274258800</v>
      </c>
      <c r="G563" s="1" t="s">
        <v>33</v>
      </c>
      <c r="H563" s="1" t="str">
        <f t="shared" si="80"/>
        <v>20220915</v>
      </c>
      <c r="I563" s="1" t="str">
        <f>"125641"</f>
        <v>125641</v>
      </c>
      <c r="J563" s="1" t="s">
        <v>52</v>
      </c>
      <c r="K563" s="1" t="s">
        <v>52</v>
      </c>
      <c r="L563" s="1" t="str">
        <f t="shared" si="81"/>
        <v>20220915</v>
      </c>
      <c r="M563" s="1" t="str">
        <f>"132939"</f>
        <v>132939</v>
      </c>
      <c r="N563" s="1" t="s">
        <v>70</v>
      </c>
      <c r="O563" s="1" t="s">
        <v>28</v>
      </c>
      <c r="P563" s="1" t="s">
        <v>55</v>
      </c>
      <c r="Q563" s="1">
        <v>25</v>
      </c>
      <c r="R563" s="1">
        <v>25</v>
      </c>
      <c r="S563" s="1">
        <v>0</v>
      </c>
      <c r="T563" s="1">
        <v>0</v>
      </c>
      <c r="U563" s="1">
        <v>0</v>
      </c>
      <c r="V563" s="1" t="str">
        <f t="shared" si="75"/>
        <v>里程去程</v>
      </c>
      <c r="W563" s="1" t="s">
        <v>35</v>
      </c>
    </row>
    <row r="564" spans="1:23" x14ac:dyDescent="0.3">
      <c r="A564" s="1" t="str">
        <f t="shared" si="82"/>
        <v>59822</v>
      </c>
      <c r="B564" s="1" t="s">
        <v>39</v>
      </c>
      <c r="C564" s="1" t="s">
        <v>40</v>
      </c>
      <c r="D564" s="1" t="str">
        <f t="shared" si="74"/>
        <v>9801</v>
      </c>
      <c r="E564" s="1" t="s">
        <v>25</v>
      </c>
      <c r="F564" s="1" t="str">
        <f>"1076221589"</f>
        <v>1076221589</v>
      </c>
      <c r="G564" s="1" t="s">
        <v>33</v>
      </c>
      <c r="H564" s="1" t="str">
        <f t="shared" si="80"/>
        <v>20220915</v>
      </c>
      <c r="I564" s="1" t="str">
        <f>"125645"</f>
        <v>125645</v>
      </c>
      <c r="J564" s="1" t="s">
        <v>52</v>
      </c>
      <c r="K564" s="1" t="s">
        <v>52</v>
      </c>
      <c r="L564" s="1" t="str">
        <f t="shared" si="81"/>
        <v>20220915</v>
      </c>
      <c r="M564" s="1" t="str">
        <f>"132946"</f>
        <v>132946</v>
      </c>
      <c r="N564" s="1" t="s">
        <v>70</v>
      </c>
      <c r="O564" s="1" t="s">
        <v>28</v>
      </c>
      <c r="P564" s="1" t="s">
        <v>55</v>
      </c>
      <c r="Q564" s="1">
        <v>25</v>
      </c>
      <c r="R564" s="1">
        <v>25</v>
      </c>
      <c r="S564" s="1">
        <v>0</v>
      </c>
      <c r="T564" s="1">
        <v>0</v>
      </c>
      <c r="U564" s="1">
        <v>0</v>
      </c>
      <c r="V564" s="1" t="str">
        <f t="shared" si="75"/>
        <v>里程去程</v>
      </c>
      <c r="W564" s="1" t="s">
        <v>35</v>
      </c>
    </row>
    <row r="565" spans="1:23" x14ac:dyDescent="0.3">
      <c r="A565" s="1" t="str">
        <f t="shared" si="82"/>
        <v>59822</v>
      </c>
      <c r="B565" s="1" t="s">
        <v>39</v>
      </c>
      <c r="C565" s="1" t="s">
        <v>40</v>
      </c>
      <c r="D565" s="1" t="str">
        <f t="shared" si="74"/>
        <v>9801</v>
      </c>
      <c r="E565" s="1" t="s">
        <v>25</v>
      </c>
      <c r="F565" s="1" t="str">
        <f>"F25B1B03B1880400C834002000000015"</f>
        <v>F25B1B03B1880400C834002000000015</v>
      </c>
      <c r="G565" s="1" t="s">
        <v>26</v>
      </c>
      <c r="H565" s="1" t="str">
        <f t="shared" si="80"/>
        <v>20220915</v>
      </c>
      <c r="I565" s="1" t="str">
        <f>"130552"</f>
        <v>130552</v>
      </c>
      <c r="J565" s="1" t="s">
        <v>60</v>
      </c>
      <c r="K565" s="1" t="s">
        <v>52</v>
      </c>
      <c r="L565" s="1" t="str">
        <f t="shared" si="81"/>
        <v>20220915</v>
      </c>
      <c r="M565" s="1" t="str">
        <f>"132933"</f>
        <v>132933</v>
      </c>
      <c r="N565" s="1" t="s">
        <v>70</v>
      </c>
      <c r="O565" s="1" t="s">
        <v>28</v>
      </c>
      <c r="P565" s="1" t="s">
        <v>68</v>
      </c>
      <c r="Q565" s="1">
        <v>13</v>
      </c>
      <c r="R565" s="1">
        <v>0</v>
      </c>
      <c r="S565" s="1">
        <v>0</v>
      </c>
      <c r="T565" s="1">
        <v>13</v>
      </c>
      <c r="U565" s="1">
        <v>0</v>
      </c>
      <c r="V565" s="1" t="str">
        <f t="shared" si="75"/>
        <v>里程去程</v>
      </c>
      <c r="W565" s="1" t="s">
        <v>29</v>
      </c>
    </row>
    <row r="566" spans="1:23" x14ac:dyDescent="0.3">
      <c r="A566" s="1" t="str">
        <f t="shared" si="82"/>
        <v>59822</v>
      </c>
      <c r="B566" s="1" t="s">
        <v>39</v>
      </c>
      <c r="C566" s="1" t="s">
        <v>40</v>
      </c>
      <c r="D566" s="1" t="str">
        <f t="shared" si="74"/>
        <v>9801</v>
      </c>
      <c r="E566" s="1" t="s">
        <v>25</v>
      </c>
      <c r="F566" s="1" t="str">
        <f>"F27CE6026A880400C834002000000015"</f>
        <v>F27CE6026A880400C834002000000015</v>
      </c>
      <c r="G566" s="1" t="s">
        <v>74</v>
      </c>
      <c r="H566" s="1" t="str">
        <f t="shared" si="80"/>
        <v>20220915</v>
      </c>
      <c r="I566" s="1" t="str">
        <f>"150102"</f>
        <v>150102</v>
      </c>
      <c r="J566" s="1" t="s">
        <v>52</v>
      </c>
      <c r="K566" s="1" t="s">
        <v>52</v>
      </c>
      <c r="L566" s="1" t="str">
        <f t="shared" si="81"/>
        <v>20220915</v>
      </c>
      <c r="M566" s="1" t="str">
        <f>"150727"</f>
        <v>150727</v>
      </c>
      <c r="N566" s="1" t="s">
        <v>60</v>
      </c>
      <c r="O566" s="1" t="s">
        <v>52</v>
      </c>
      <c r="P566" s="1" t="s">
        <v>68</v>
      </c>
      <c r="Q566" s="1">
        <v>13</v>
      </c>
      <c r="R566" s="1">
        <v>0</v>
      </c>
      <c r="S566" s="1">
        <v>0</v>
      </c>
      <c r="T566" s="1">
        <v>13</v>
      </c>
      <c r="U566" s="1">
        <v>0</v>
      </c>
      <c r="V566" s="1" t="str">
        <f t="shared" si="75"/>
        <v>里程去程</v>
      </c>
      <c r="W566" s="1" t="s">
        <v>29</v>
      </c>
    </row>
    <row r="567" spans="1:23" x14ac:dyDescent="0.3">
      <c r="A567" s="1" t="str">
        <f t="shared" si="82"/>
        <v>59822</v>
      </c>
      <c r="B567" s="1" t="s">
        <v>39</v>
      </c>
      <c r="C567" s="1" t="s">
        <v>40</v>
      </c>
      <c r="D567" s="1" t="str">
        <f t="shared" si="74"/>
        <v>9801</v>
      </c>
      <c r="E567" s="1" t="s">
        <v>25</v>
      </c>
      <c r="F567" s="1" t="str">
        <f>"A256660290880400C821002000000015"</f>
        <v>A256660290880400C821002000000015</v>
      </c>
      <c r="G567" s="1" t="s">
        <v>26</v>
      </c>
      <c r="H567" s="1" t="str">
        <f t="shared" si="80"/>
        <v>20220915</v>
      </c>
      <c r="I567" s="1" t="str">
        <f>"150810"</f>
        <v>150810</v>
      </c>
      <c r="J567" s="1" t="s">
        <v>60</v>
      </c>
      <c r="K567" s="1" t="s">
        <v>52</v>
      </c>
      <c r="L567" s="1" t="str">
        <f t="shared" si="81"/>
        <v>20220915</v>
      </c>
      <c r="M567" s="1" t="str">
        <f>"153111"</f>
        <v>153111</v>
      </c>
      <c r="N567" s="1" t="s">
        <v>70</v>
      </c>
      <c r="O567" s="1" t="s">
        <v>28</v>
      </c>
      <c r="P567" s="1" t="s">
        <v>68</v>
      </c>
      <c r="Q567" s="1">
        <v>13</v>
      </c>
      <c r="R567" s="1">
        <v>0</v>
      </c>
      <c r="S567" s="1">
        <v>0</v>
      </c>
      <c r="T567" s="1">
        <v>13</v>
      </c>
      <c r="U567" s="1">
        <v>0</v>
      </c>
      <c r="V567" s="1" t="str">
        <f t="shared" si="75"/>
        <v>里程去程</v>
      </c>
      <c r="W567" s="1" t="s">
        <v>29</v>
      </c>
    </row>
    <row r="568" spans="1:23" x14ac:dyDescent="0.3">
      <c r="A568" s="1" t="str">
        <f t="shared" si="82"/>
        <v>59822</v>
      </c>
      <c r="B568" s="1" t="s">
        <v>39</v>
      </c>
      <c r="C568" s="1" t="s">
        <v>40</v>
      </c>
      <c r="D568" s="1" t="str">
        <f t="shared" si="74"/>
        <v>9801</v>
      </c>
      <c r="E568" s="1" t="s">
        <v>25</v>
      </c>
      <c r="F568" s="1" t="str">
        <f>"59B2B61F428804004326A82E00010211"</f>
        <v>59B2B61F428804004326A82E00010211</v>
      </c>
      <c r="G568" s="1" t="s">
        <v>26</v>
      </c>
      <c r="H568" s="1" t="str">
        <f t="shared" si="80"/>
        <v>20220915</v>
      </c>
      <c r="I568" s="1" t="str">
        <f>"150813"</f>
        <v>150813</v>
      </c>
      <c r="J568" s="1" t="s">
        <v>60</v>
      </c>
      <c r="K568" s="1" t="s">
        <v>52</v>
      </c>
      <c r="L568" s="1" t="str">
        <f t="shared" si="81"/>
        <v>20220915</v>
      </c>
      <c r="M568" s="1" t="str">
        <f>"153114"</f>
        <v>153114</v>
      </c>
      <c r="N568" s="1" t="s">
        <v>70</v>
      </c>
      <c r="O568" s="1" t="s">
        <v>28</v>
      </c>
      <c r="P568" s="1" t="s">
        <v>55</v>
      </c>
      <c r="Q568" s="1">
        <v>13</v>
      </c>
      <c r="R568" s="1">
        <v>13</v>
      </c>
      <c r="S568" s="1">
        <v>0</v>
      </c>
      <c r="T568" s="1">
        <v>0</v>
      </c>
      <c r="U568" s="1">
        <v>0</v>
      </c>
      <c r="V568" s="1" t="str">
        <f t="shared" si="75"/>
        <v>里程去程</v>
      </c>
      <c r="W568" s="1" t="s">
        <v>29</v>
      </c>
    </row>
    <row r="569" spans="1:23" x14ac:dyDescent="0.3">
      <c r="A569" s="1" t="str">
        <f t="shared" si="82"/>
        <v>59822</v>
      </c>
      <c r="B569" s="1" t="s">
        <v>39</v>
      </c>
      <c r="C569" s="1" t="s">
        <v>40</v>
      </c>
      <c r="D569" s="1" t="str">
        <f t="shared" si="74"/>
        <v>9801</v>
      </c>
      <c r="E569" s="1" t="s">
        <v>25</v>
      </c>
      <c r="F569" s="1" t="str">
        <f>"4229480221880400C821002000000015"</f>
        <v>4229480221880400C821002000000015</v>
      </c>
      <c r="G569" s="1" t="s">
        <v>26</v>
      </c>
      <c r="H569" s="1" t="str">
        <f t="shared" si="80"/>
        <v>20220915</v>
      </c>
      <c r="I569" s="1" t="str">
        <f>"150820"</f>
        <v>150820</v>
      </c>
      <c r="J569" s="1" t="s">
        <v>60</v>
      </c>
      <c r="K569" s="1" t="s">
        <v>52</v>
      </c>
      <c r="L569" s="1" t="str">
        <f t="shared" si="81"/>
        <v>20220915</v>
      </c>
      <c r="M569" s="1" t="str">
        <f>"152015"</f>
        <v>152015</v>
      </c>
      <c r="N569" s="1" t="s">
        <v>69</v>
      </c>
      <c r="O569" s="1" t="s">
        <v>52</v>
      </c>
      <c r="P569" s="1" t="s">
        <v>68</v>
      </c>
      <c r="Q569" s="1">
        <v>13</v>
      </c>
      <c r="R569" s="1">
        <v>0</v>
      </c>
      <c r="S569" s="1">
        <v>0</v>
      </c>
      <c r="T569" s="1">
        <v>13</v>
      </c>
      <c r="U569" s="1">
        <v>0</v>
      </c>
      <c r="V569" s="1" t="str">
        <f t="shared" si="75"/>
        <v>里程去程</v>
      </c>
      <c r="W569" s="1" t="s">
        <v>29</v>
      </c>
    </row>
    <row r="570" spans="1:23" x14ac:dyDescent="0.3">
      <c r="A570" s="1" t="str">
        <f t="shared" si="82"/>
        <v>59822</v>
      </c>
      <c r="B570" s="1" t="s">
        <v>39</v>
      </c>
      <c r="C570" s="1" t="s">
        <v>40</v>
      </c>
      <c r="D570" s="1" t="str">
        <f t="shared" si="74"/>
        <v>9801</v>
      </c>
      <c r="E570" s="1" t="s">
        <v>25</v>
      </c>
      <c r="F570" s="1" t="str">
        <f>"029E1A0385880400C834002000000015"</f>
        <v>029E1A0385880400C834002000000015</v>
      </c>
      <c r="G570" s="1" t="s">
        <v>26</v>
      </c>
      <c r="H570" s="1" t="str">
        <f t="shared" si="80"/>
        <v>20220915</v>
      </c>
      <c r="I570" s="1" t="str">
        <f>"151245"</f>
        <v>151245</v>
      </c>
      <c r="J570" s="1" t="s">
        <v>72</v>
      </c>
      <c r="K570" s="1" t="s">
        <v>52</v>
      </c>
      <c r="L570" s="1" t="str">
        <f t="shared" si="81"/>
        <v>20220915</v>
      </c>
      <c r="M570" s="1" t="str">
        <f>"153118"</f>
        <v>153118</v>
      </c>
      <c r="N570" s="1" t="s">
        <v>70</v>
      </c>
      <c r="O570" s="1" t="s">
        <v>28</v>
      </c>
      <c r="P570" s="1" t="s">
        <v>68</v>
      </c>
      <c r="Q570" s="1">
        <v>13</v>
      </c>
      <c r="R570" s="1">
        <v>0</v>
      </c>
      <c r="S570" s="1">
        <v>0</v>
      </c>
      <c r="T570" s="1">
        <v>13</v>
      </c>
      <c r="U570" s="1">
        <v>0</v>
      </c>
      <c r="V570" s="1" t="str">
        <f t="shared" si="75"/>
        <v>里程去程</v>
      </c>
      <c r="W570" s="1" t="s">
        <v>29</v>
      </c>
    </row>
    <row r="571" spans="1:23" x14ac:dyDescent="0.3">
      <c r="A571" s="1" t="str">
        <f t="shared" si="82"/>
        <v>59822</v>
      </c>
      <c r="B571" s="1" t="s">
        <v>39</v>
      </c>
      <c r="C571" s="1" t="s">
        <v>40</v>
      </c>
      <c r="D571" s="1" t="str">
        <f t="shared" si="74"/>
        <v>9801</v>
      </c>
      <c r="E571" s="1" t="s">
        <v>25</v>
      </c>
      <c r="F571" s="1" t="str">
        <f>"821C1A0387880400C834002000000015"</f>
        <v>821C1A0387880400C834002000000015</v>
      </c>
      <c r="G571" s="1" t="s">
        <v>26</v>
      </c>
      <c r="H571" s="1" t="str">
        <f t="shared" si="80"/>
        <v>20220915</v>
      </c>
      <c r="I571" s="1" t="str">
        <f>"151613"</f>
        <v>151613</v>
      </c>
      <c r="J571" s="1" t="s">
        <v>80</v>
      </c>
      <c r="K571" s="1" t="s">
        <v>52</v>
      </c>
      <c r="L571" s="1" t="str">
        <f t="shared" si="81"/>
        <v>20220915</v>
      </c>
      <c r="M571" s="1" t="str">
        <f>"153108"</f>
        <v>153108</v>
      </c>
      <c r="N571" s="1" t="s">
        <v>70</v>
      </c>
      <c r="O571" s="1" t="s">
        <v>28</v>
      </c>
      <c r="P571" s="1" t="s">
        <v>68</v>
      </c>
      <c r="Q571" s="1">
        <v>13</v>
      </c>
      <c r="R571" s="1">
        <v>0</v>
      </c>
      <c r="S571" s="1">
        <v>0</v>
      </c>
      <c r="T571" s="1">
        <v>13</v>
      </c>
      <c r="U571" s="1">
        <v>0</v>
      </c>
      <c r="V571" s="1" t="str">
        <f t="shared" si="75"/>
        <v>里程去程</v>
      </c>
      <c r="W571" s="1" t="s">
        <v>29</v>
      </c>
    </row>
    <row r="572" spans="1:23" x14ac:dyDescent="0.3">
      <c r="A572" s="1" t="str">
        <f t="shared" si="82"/>
        <v>59822</v>
      </c>
      <c r="B572" s="1" t="s">
        <v>39</v>
      </c>
      <c r="C572" s="1" t="s">
        <v>40</v>
      </c>
      <c r="D572" s="1" t="str">
        <f t="shared" si="74"/>
        <v>9801</v>
      </c>
      <c r="E572" s="1" t="s">
        <v>25</v>
      </c>
      <c r="F572" s="1" t="str">
        <f>"3756075971"</f>
        <v>3756075971</v>
      </c>
      <c r="G572" s="1" t="s">
        <v>33</v>
      </c>
      <c r="H572" s="1" t="str">
        <f t="shared" si="80"/>
        <v>20220915</v>
      </c>
      <c r="I572" s="1" t="str">
        <f>"153201"</f>
        <v>153201</v>
      </c>
      <c r="J572" s="1" t="s">
        <v>27</v>
      </c>
      <c r="K572" s="1" t="s">
        <v>28</v>
      </c>
      <c r="L572" s="1" t="str">
        <f t="shared" si="81"/>
        <v>20220915</v>
      </c>
      <c r="M572" s="1" t="str">
        <f>"154951"</f>
        <v>154951</v>
      </c>
      <c r="N572" s="1" t="s">
        <v>75</v>
      </c>
      <c r="O572" s="1" t="s">
        <v>45</v>
      </c>
      <c r="P572" s="1" t="s">
        <v>55</v>
      </c>
      <c r="Q572" s="1">
        <v>25</v>
      </c>
      <c r="R572" s="1">
        <v>25</v>
      </c>
      <c r="S572" s="1">
        <v>0</v>
      </c>
      <c r="T572" s="1">
        <v>0</v>
      </c>
      <c r="U572" s="1">
        <v>0</v>
      </c>
      <c r="V572" s="1" t="str">
        <f t="shared" si="75"/>
        <v>里程去程</v>
      </c>
      <c r="W572" s="1" t="s">
        <v>35</v>
      </c>
    </row>
    <row r="573" spans="1:23" x14ac:dyDescent="0.3">
      <c r="A573" s="1" t="str">
        <f t="shared" si="82"/>
        <v>59822</v>
      </c>
      <c r="B573" s="1" t="s">
        <v>39</v>
      </c>
      <c r="C573" s="1" t="s">
        <v>40</v>
      </c>
      <c r="D573" s="1" t="str">
        <f t="shared" si="74"/>
        <v>9801</v>
      </c>
      <c r="E573" s="1" t="s">
        <v>25</v>
      </c>
      <c r="F573" s="1" t="str">
        <f>"728589185"</f>
        <v>728589185</v>
      </c>
      <c r="G573" s="1" t="s">
        <v>33</v>
      </c>
      <c r="H573" s="1" t="str">
        <f t="shared" si="80"/>
        <v>20220915</v>
      </c>
      <c r="I573" s="1" t="str">
        <f>"153313"</f>
        <v>153313</v>
      </c>
      <c r="J573" s="1" t="s">
        <v>27</v>
      </c>
      <c r="K573" s="1" t="s">
        <v>28</v>
      </c>
      <c r="L573" s="1" t="str">
        <f t="shared" si="81"/>
        <v>20220915</v>
      </c>
      <c r="M573" s="1" t="str">
        <f>"155746"</f>
        <v>155746</v>
      </c>
      <c r="N573" s="1" t="s">
        <v>44</v>
      </c>
      <c r="O573" s="1" t="s">
        <v>45</v>
      </c>
      <c r="P573" s="1" t="s">
        <v>55</v>
      </c>
      <c r="Q573" s="1">
        <v>25</v>
      </c>
      <c r="R573" s="1">
        <v>25</v>
      </c>
      <c r="S573" s="1">
        <v>0</v>
      </c>
      <c r="T573" s="1">
        <v>0</v>
      </c>
      <c r="U573" s="1">
        <v>0</v>
      </c>
      <c r="V573" s="1" t="str">
        <f t="shared" si="75"/>
        <v>里程去程</v>
      </c>
      <c r="W573" s="1" t="s">
        <v>35</v>
      </c>
    </row>
    <row r="574" spans="1:23" x14ac:dyDescent="0.3">
      <c r="A574" s="1" t="str">
        <f t="shared" si="82"/>
        <v>59822</v>
      </c>
      <c r="B574" s="1" t="s">
        <v>39</v>
      </c>
      <c r="C574" s="1" t="s">
        <v>40</v>
      </c>
      <c r="D574" s="1" t="str">
        <f t="shared" si="74"/>
        <v>9801</v>
      </c>
      <c r="E574" s="1" t="s">
        <v>25</v>
      </c>
      <c r="F574" s="1" t="str">
        <f>"1030501089"</f>
        <v>1030501089</v>
      </c>
      <c r="G574" s="1" t="s">
        <v>33</v>
      </c>
      <c r="H574" s="1" t="str">
        <f t="shared" si="80"/>
        <v>20220915</v>
      </c>
      <c r="I574" s="1" t="str">
        <f>"153330"</f>
        <v>153330</v>
      </c>
      <c r="J574" s="1" t="s">
        <v>27</v>
      </c>
      <c r="K574" s="1" t="s">
        <v>28</v>
      </c>
      <c r="L574" s="1" t="str">
        <f t="shared" si="81"/>
        <v>20220915</v>
      </c>
      <c r="M574" s="1" t="str">
        <f>"155647"</f>
        <v>155647</v>
      </c>
      <c r="N574" s="1" t="s">
        <v>44</v>
      </c>
      <c r="O574" s="1" t="s">
        <v>45</v>
      </c>
      <c r="P574" s="1" t="s">
        <v>55</v>
      </c>
      <c r="Q574" s="1">
        <v>25</v>
      </c>
      <c r="R574" s="1">
        <v>25</v>
      </c>
      <c r="S574" s="1">
        <v>0</v>
      </c>
      <c r="T574" s="1">
        <v>0</v>
      </c>
      <c r="U574" s="1">
        <v>0</v>
      </c>
      <c r="V574" s="1" t="str">
        <f t="shared" si="75"/>
        <v>里程去程</v>
      </c>
      <c r="W574" s="1" t="s">
        <v>35</v>
      </c>
    </row>
    <row r="575" spans="1:23" x14ac:dyDescent="0.3">
      <c r="A575" s="1" t="str">
        <f t="shared" si="82"/>
        <v>59822</v>
      </c>
      <c r="B575" s="1" t="s">
        <v>39</v>
      </c>
      <c r="C575" s="1" t="s">
        <v>40</v>
      </c>
      <c r="D575" s="1" t="str">
        <f t="shared" si="74"/>
        <v>9801</v>
      </c>
      <c r="E575" s="1" t="s">
        <v>25</v>
      </c>
      <c r="F575" s="1" t="str">
        <f>"029E1A0385880400C834002000000015"</f>
        <v>029E1A0385880400C834002000000015</v>
      </c>
      <c r="G575" s="1" t="s">
        <v>26</v>
      </c>
      <c r="H575" s="1" t="str">
        <f t="shared" si="80"/>
        <v>20220915</v>
      </c>
      <c r="I575" s="1" t="str">
        <f>"153551"</f>
        <v>153551</v>
      </c>
      <c r="J575" s="1" t="s">
        <v>27</v>
      </c>
      <c r="K575" s="1" t="s">
        <v>28</v>
      </c>
      <c r="L575" s="1" t="str">
        <f t="shared" si="81"/>
        <v>20220915</v>
      </c>
      <c r="M575" s="1" t="str">
        <f>"154943"</f>
        <v>154943</v>
      </c>
      <c r="N575" s="1" t="s">
        <v>75</v>
      </c>
      <c r="O575" s="1" t="s">
        <v>45</v>
      </c>
      <c r="P575" s="1" t="s">
        <v>68</v>
      </c>
      <c r="Q575" s="1">
        <v>13</v>
      </c>
      <c r="R575" s="1">
        <v>0</v>
      </c>
      <c r="S575" s="1">
        <v>0</v>
      </c>
      <c r="T575" s="1">
        <v>13</v>
      </c>
      <c r="U575" s="1">
        <v>0</v>
      </c>
      <c r="V575" s="1" t="str">
        <f t="shared" si="75"/>
        <v>里程去程</v>
      </c>
      <c r="W575" s="1" t="s">
        <v>29</v>
      </c>
    </row>
    <row r="576" spans="1:23" x14ac:dyDescent="0.3">
      <c r="A576" s="1" t="str">
        <f t="shared" si="82"/>
        <v>59822</v>
      </c>
      <c r="B576" s="1" t="s">
        <v>39</v>
      </c>
      <c r="C576" s="1" t="s">
        <v>40</v>
      </c>
      <c r="D576" s="1" t="str">
        <f t="shared" si="74"/>
        <v>9801</v>
      </c>
      <c r="E576" s="1" t="s">
        <v>25</v>
      </c>
      <c r="F576" s="1" t="str">
        <f>"0107F800FE880400432494C6000E080E"</f>
        <v>0107F800FE880400432494C6000E080E</v>
      </c>
      <c r="G576" s="1" t="s">
        <v>59</v>
      </c>
      <c r="H576" s="1" t="str">
        <f t="shared" si="80"/>
        <v>20220915</v>
      </c>
      <c r="I576" s="1" t="str">
        <f>"155809"</f>
        <v>155809</v>
      </c>
      <c r="J576" s="1" t="s">
        <v>52</v>
      </c>
      <c r="K576" s="1" t="s">
        <v>52</v>
      </c>
      <c r="L576" s="1" t="str">
        <f t="shared" si="81"/>
        <v>20220915</v>
      </c>
      <c r="M576" s="1" t="str">
        <f>"160704"</f>
        <v>160704</v>
      </c>
      <c r="N576" s="1" t="s">
        <v>60</v>
      </c>
      <c r="O576" s="1" t="s">
        <v>52</v>
      </c>
      <c r="P576" s="1" t="s">
        <v>55</v>
      </c>
      <c r="Q576" s="1">
        <v>25</v>
      </c>
      <c r="R576" s="1">
        <v>25</v>
      </c>
      <c r="S576" s="1">
        <v>0</v>
      </c>
      <c r="T576" s="1">
        <v>0</v>
      </c>
      <c r="U576" s="1">
        <v>0</v>
      </c>
      <c r="V576" s="1" t="str">
        <f t="shared" si="75"/>
        <v>里程去程</v>
      </c>
      <c r="W576" s="1" t="s">
        <v>29</v>
      </c>
    </row>
    <row r="577" spans="1:23" x14ac:dyDescent="0.3">
      <c r="A577" s="1" t="str">
        <f t="shared" si="82"/>
        <v>59822</v>
      </c>
      <c r="B577" s="1" t="s">
        <v>39</v>
      </c>
      <c r="C577" s="1" t="s">
        <v>40</v>
      </c>
      <c r="D577" s="1" t="str">
        <f t="shared" si="74"/>
        <v>9801</v>
      </c>
      <c r="E577" s="1" t="s">
        <v>25</v>
      </c>
      <c r="F577" s="1" t="str">
        <f>"A239F5056B880400C838002000000015"</f>
        <v>A239F5056B880400C838002000000015</v>
      </c>
      <c r="G577" s="1" t="s">
        <v>26</v>
      </c>
      <c r="H577" s="1" t="str">
        <f t="shared" si="80"/>
        <v>20220915</v>
      </c>
      <c r="I577" s="1" t="str">
        <f>"161135"</f>
        <v>161135</v>
      </c>
      <c r="J577" s="1" t="s">
        <v>51</v>
      </c>
      <c r="K577" s="1" t="s">
        <v>52</v>
      </c>
      <c r="L577" s="1" t="str">
        <f t="shared" si="81"/>
        <v>20220915</v>
      </c>
      <c r="M577" s="1" t="str">
        <f>"162620"</f>
        <v>162620</v>
      </c>
      <c r="N577" s="1" t="s">
        <v>67</v>
      </c>
      <c r="O577" s="1" t="s">
        <v>52</v>
      </c>
      <c r="P577" s="1" t="s">
        <v>68</v>
      </c>
      <c r="Q577" s="1">
        <v>13</v>
      </c>
      <c r="R577" s="1">
        <v>0</v>
      </c>
      <c r="S577" s="1">
        <v>0</v>
      </c>
      <c r="T577" s="1">
        <v>13</v>
      </c>
      <c r="U577" s="1">
        <v>0</v>
      </c>
      <c r="V577" s="1" t="str">
        <f t="shared" si="75"/>
        <v>里程去程</v>
      </c>
      <c r="W577" s="1" t="s">
        <v>29</v>
      </c>
    </row>
    <row r="578" spans="1:23" x14ac:dyDescent="0.3">
      <c r="A578" s="1" t="str">
        <f t="shared" si="82"/>
        <v>59822</v>
      </c>
      <c r="B578" s="1" t="s">
        <v>39</v>
      </c>
      <c r="C578" s="1" t="s">
        <v>40</v>
      </c>
      <c r="D578" s="1" t="str">
        <f t="shared" ref="D578:D641" si="83">"9801"</f>
        <v>9801</v>
      </c>
      <c r="E578" s="1" t="s">
        <v>25</v>
      </c>
      <c r="F578" s="1" t="str">
        <f>"1147356277"</f>
        <v>1147356277</v>
      </c>
      <c r="G578" s="1" t="s">
        <v>26</v>
      </c>
      <c r="H578" s="1" t="str">
        <f t="shared" si="80"/>
        <v>20220915</v>
      </c>
      <c r="I578" s="1" t="str">
        <f>"163727"</f>
        <v>163727</v>
      </c>
      <c r="J578" s="1" t="s">
        <v>27</v>
      </c>
      <c r="K578" s="1" t="s">
        <v>28</v>
      </c>
      <c r="L578" s="1" t="str">
        <f t="shared" si="81"/>
        <v>20220915</v>
      </c>
      <c r="M578" s="1" t="str">
        <f>"165008"</f>
        <v>165008</v>
      </c>
      <c r="N578" s="1" t="s">
        <v>61</v>
      </c>
      <c r="O578" s="1" t="s">
        <v>45</v>
      </c>
      <c r="P578" s="1" t="s">
        <v>55</v>
      </c>
      <c r="Q578" s="1">
        <v>13</v>
      </c>
      <c r="R578" s="1">
        <v>0</v>
      </c>
      <c r="S578" s="1">
        <v>13</v>
      </c>
      <c r="T578" s="1">
        <v>0</v>
      </c>
      <c r="U578" s="1">
        <v>0</v>
      </c>
      <c r="V578" s="1" t="str">
        <f t="shared" ref="V578:V641" si="84">"里程去程"</f>
        <v>里程去程</v>
      </c>
      <c r="W578" s="1" t="s">
        <v>35</v>
      </c>
    </row>
    <row r="579" spans="1:23" x14ac:dyDescent="0.3">
      <c r="A579" s="1" t="str">
        <f t="shared" ref="A579:A597" si="85">"59809"</f>
        <v>59809</v>
      </c>
      <c r="B579" s="1" t="s">
        <v>42</v>
      </c>
      <c r="C579" s="1" t="s">
        <v>43</v>
      </c>
      <c r="D579" s="1" t="str">
        <f t="shared" si="83"/>
        <v>9801</v>
      </c>
      <c r="E579" s="1" t="s">
        <v>25</v>
      </c>
      <c r="F579" s="1" t="str">
        <f>"246873423"</f>
        <v>246873423</v>
      </c>
      <c r="G579" s="1" t="s">
        <v>74</v>
      </c>
      <c r="H579" s="1" t="str">
        <f t="shared" ref="H579:H610" si="86">"20220916"</f>
        <v>20220916</v>
      </c>
      <c r="I579" s="1" t="str">
        <f>"075556"</f>
        <v>075556</v>
      </c>
      <c r="J579" s="1" t="s">
        <v>52</v>
      </c>
      <c r="K579" s="1" t="s">
        <v>52</v>
      </c>
      <c r="L579" s="1" t="str">
        <f t="shared" ref="L579:L610" si="87">"20220916"</f>
        <v>20220916</v>
      </c>
      <c r="M579" s="1" t="str">
        <f>"083429"</f>
        <v>083429</v>
      </c>
      <c r="N579" s="1" t="s">
        <v>70</v>
      </c>
      <c r="O579" s="1" t="s">
        <v>28</v>
      </c>
      <c r="P579" s="1" t="s">
        <v>55</v>
      </c>
      <c r="Q579" s="1">
        <v>13</v>
      </c>
      <c r="R579" s="1">
        <v>13</v>
      </c>
      <c r="S579" s="1">
        <v>0</v>
      </c>
      <c r="T579" s="1">
        <v>0</v>
      </c>
      <c r="U579" s="1">
        <v>0</v>
      </c>
      <c r="V579" s="1" t="str">
        <f t="shared" si="84"/>
        <v>里程去程</v>
      </c>
      <c r="W579" s="1" t="s">
        <v>35</v>
      </c>
    </row>
    <row r="580" spans="1:23" x14ac:dyDescent="0.3">
      <c r="A580" s="1" t="str">
        <f t="shared" si="85"/>
        <v>59809</v>
      </c>
      <c r="B580" s="1" t="s">
        <v>42</v>
      </c>
      <c r="C580" s="1" t="s">
        <v>43</v>
      </c>
      <c r="D580" s="1" t="str">
        <f t="shared" si="83"/>
        <v>9801</v>
      </c>
      <c r="E580" s="1" t="s">
        <v>25</v>
      </c>
      <c r="F580" s="1" t="str">
        <f>"1357713809"</f>
        <v>1357713809</v>
      </c>
      <c r="G580" s="1" t="s">
        <v>33</v>
      </c>
      <c r="H580" s="1" t="str">
        <f t="shared" si="86"/>
        <v>20220916</v>
      </c>
      <c r="I580" s="1" t="str">
        <f>"075600"</f>
        <v>075600</v>
      </c>
      <c r="J580" s="1" t="s">
        <v>52</v>
      </c>
      <c r="K580" s="1" t="s">
        <v>52</v>
      </c>
      <c r="L580" s="1" t="str">
        <f t="shared" si="87"/>
        <v>20220916</v>
      </c>
      <c r="M580" s="1" t="str">
        <f>"083426"</f>
        <v>083426</v>
      </c>
      <c r="N580" s="1" t="s">
        <v>70</v>
      </c>
      <c r="O580" s="1" t="s">
        <v>28</v>
      </c>
      <c r="P580" s="1" t="s">
        <v>55</v>
      </c>
      <c r="Q580" s="1">
        <v>25</v>
      </c>
      <c r="R580" s="1">
        <v>25</v>
      </c>
      <c r="S580" s="1">
        <v>0</v>
      </c>
      <c r="T580" s="1">
        <v>0</v>
      </c>
      <c r="U580" s="1">
        <v>0</v>
      </c>
      <c r="V580" s="1" t="str">
        <f t="shared" si="84"/>
        <v>里程去程</v>
      </c>
      <c r="W580" s="1" t="s">
        <v>35</v>
      </c>
    </row>
    <row r="581" spans="1:23" x14ac:dyDescent="0.3">
      <c r="A581" s="1" t="str">
        <f t="shared" si="85"/>
        <v>59809</v>
      </c>
      <c r="B581" s="1" t="s">
        <v>42</v>
      </c>
      <c r="C581" s="1" t="s">
        <v>43</v>
      </c>
      <c r="D581" s="1" t="str">
        <f t="shared" si="83"/>
        <v>9801</v>
      </c>
      <c r="E581" s="1" t="s">
        <v>25</v>
      </c>
      <c r="F581" s="1" t="str">
        <f>"7227E702B0880400C834002000000015"</f>
        <v>7227E702B0880400C834002000000015</v>
      </c>
      <c r="G581" s="1" t="s">
        <v>74</v>
      </c>
      <c r="H581" s="1" t="str">
        <f t="shared" si="86"/>
        <v>20220916</v>
      </c>
      <c r="I581" s="1" t="str">
        <f>"080032"</f>
        <v>080032</v>
      </c>
      <c r="J581" s="1" t="s">
        <v>52</v>
      </c>
      <c r="K581" s="1" t="s">
        <v>52</v>
      </c>
      <c r="L581" s="1" t="str">
        <f t="shared" si="87"/>
        <v>20220916</v>
      </c>
      <c r="M581" s="1" t="str">
        <f>"080637"</f>
        <v>080637</v>
      </c>
      <c r="N581" s="1" t="s">
        <v>60</v>
      </c>
      <c r="O581" s="1" t="s">
        <v>52</v>
      </c>
      <c r="P581" s="1" t="s">
        <v>68</v>
      </c>
      <c r="Q581" s="1">
        <v>13</v>
      </c>
      <c r="R581" s="1">
        <v>0</v>
      </c>
      <c r="S581" s="1">
        <v>0</v>
      </c>
      <c r="T581" s="1">
        <v>13</v>
      </c>
      <c r="U581" s="1">
        <v>0</v>
      </c>
      <c r="V581" s="1" t="str">
        <f t="shared" si="84"/>
        <v>里程去程</v>
      </c>
      <c r="W581" s="1" t="s">
        <v>29</v>
      </c>
    </row>
    <row r="582" spans="1:23" x14ac:dyDescent="0.3">
      <c r="A582" s="1" t="str">
        <f t="shared" si="85"/>
        <v>59809</v>
      </c>
      <c r="B582" s="1" t="s">
        <v>42</v>
      </c>
      <c r="C582" s="1" t="s">
        <v>43</v>
      </c>
      <c r="D582" s="1" t="str">
        <f t="shared" si="83"/>
        <v>9801</v>
      </c>
      <c r="E582" s="1" t="s">
        <v>25</v>
      </c>
      <c r="F582" s="1" t="str">
        <f>"F2F7D002D7880400C834002000000015"</f>
        <v>F2F7D002D7880400C834002000000015</v>
      </c>
      <c r="G582" s="1" t="s">
        <v>74</v>
      </c>
      <c r="H582" s="1" t="str">
        <f t="shared" si="86"/>
        <v>20220916</v>
      </c>
      <c r="I582" s="1" t="str">
        <f>"082537"</f>
        <v>082537</v>
      </c>
      <c r="J582" s="1" t="s">
        <v>67</v>
      </c>
      <c r="K582" s="1" t="s">
        <v>52</v>
      </c>
      <c r="L582" s="1" t="str">
        <f t="shared" si="87"/>
        <v>20220916</v>
      </c>
      <c r="M582" s="1" t="str">
        <f>"084802"</f>
        <v>084802</v>
      </c>
      <c r="N582" s="1" t="s">
        <v>75</v>
      </c>
      <c r="O582" s="1" t="s">
        <v>45</v>
      </c>
      <c r="P582" s="1" t="s">
        <v>68</v>
      </c>
      <c r="Q582" s="1">
        <v>25</v>
      </c>
      <c r="R582" s="1">
        <v>0</v>
      </c>
      <c r="S582" s="1">
        <v>0</v>
      </c>
      <c r="T582" s="1">
        <v>25</v>
      </c>
      <c r="U582" s="1">
        <v>0</v>
      </c>
      <c r="V582" s="1" t="str">
        <f t="shared" si="84"/>
        <v>里程去程</v>
      </c>
      <c r="W582" s="1" t="s">
        <v>29</v>
      </c>
    </row>
    <row r="583" spans="1:23" x14ac:dyDescent="0.3">
      <c r="A583" s="1" t="str">
        <f t="shared" si="85"/>
        <v>59809</v>
      </c>
      <c r="B583" s="1" t="s">
        <v>42</v>
      </c>
      <c r="C583" s="1" t="s">
        <v>43</v>
      </c>
      <c r="D583" s="1" t="str">
        <f t="shared" si="83"/>
        <v>9801</v>
      </c>
      <c r="E583" s="1" t="s">
        <v>25</v>
      </c>
      <c r="F583" s="1" t="str">
        <f>"41D05503C788040043252B4B0017050F"</f>
        <v>41D05503C788040043252B4B0017050F</v>
      </c>
      <c r="G583" s="1" t="s">
        <v>58</v>
      </c>
      <c r="H583" s="1" t="str">
        <f t="shared" si="86"/>
        <v>20220916</v>
      </c>
      <c r="I583" s="1" t="str">
        <f>"083454"</f>
        <v>083454</v>
      </c>
      <c r="J583" s="1" t="s">
        <v>27</v>
      </c>
      <c r="K583" s="1" t="s">
        <v>28</v>
      </c>
      <c r="L583" s="1" t="str">
        <f t="shared" si="87"/>
        <v>20220916</v>
      </c>
      <c r="M583" s="1" t="str">
        <f>"084428"</f>
        <v>084428</v>
      </c>
      <c r="N583" s="1" t="s">
        <v>45</v>
      </c>
      <c r="O583" s="1" t="s">
        <v>45</v>
      </c>
      <c r="P583" s="1" t="s">
        <v>55</v>
      </c>
      <c r="Q583" s="1">
        <v>25</v>
      </c>
      <c r="R583" s="1">
        <v>25</v>
      </c>
      <c r="S583" s="1">
        <v>0</v>
      </c>
      <c r="T583" s="1">
        <v>0</v>
      </c>
      <c r="U583" s="1">
        <v>0</v>
      </c>
      <c r="V583" s="1" t="str">
        <f t="shared" si="84"/>
        <v>里程去程</v>
      </c>
      <c r="W583" s="1" t="s">
        <v>29</v>
      </c>
    </row>
    <row r="584" spans="1:23" x14ac:dyDescent="0.3">
      <c r="A584" s="1" t="str">
        <f t="shared" si="85"/>
        <v>59809</v>
      </c>
      <c r="B584" s="1" t="s">
        <v>42</v>
      </c>
      <c r="C584" s="1" t="s">
        <v>111</v>
      </c>
      <c r="D584" s="1" t="str">
        <f t="shared" si="83"/>
        <v>9801</v>
      </c>
      <c r="E584" s="1" t="s">
        <v>25</v>
      </c>
      <c r="F584" s="1" t="str">
        <f>"9517171004325742"</f>
        <v>9517171004325742</v>
      </c>
      <c r="G584" s="1" t="s">
        <v>33</v>
      </c>
      <c r="H584" s="1" t="str">
        <f t="shared" si="86"/>
        <v>20220916</v>
      </c>
      <c r="I584" s="1" t="str">
        <f>"083458"</f>
        <v>083458</v>
      </c>
      <c r="J584" s="1" t="s">
        <v>27</v>
      </c>
      <c r="K584" s="1" t="s">
        <v>28</v>
      </c>
      <c r="L584" s="1" t="str">
        <f t="shared" si="87"/>
        <v>20220916</v>
      </c>
      <c r="M584" s="1" t="str">
        <f>"084414"</f>
        <v>084414</v>
      </c>
      <c r="N584" s="1" t="s">
        <v>45</v>
      </c>
      <c r="O584" s="1" t="s">
        <v>45</v>
      </c>
      <c r="P584" s="1" t="s">
        <v>55</v>
      </c>
      <c r="Q584" s="1">
        <v>25</v>
      </c>
      <c r="R584" s="1">
        <v>25</v>
      </c>
      <c r="S584" s="1">
        <v>0</v>
      </c>
      <c r="T584" s="1">
        <v>0</v>
      </c>
      <c r="U584" s="1">
        <v>0</v>
      </c>
      <c r="V584" s="1" t="str">
        <f t="shared" si="84"/>
        <v>里程去程</v>
      </c>
      <c r="W584" s="1" t="s">
        <v>109</v>
      </c>
    </row>
    <row r="585" spans="1:23" x14ac:dyDescent="0.3">
      <c r="A585" s="1" t="str">
        <f t="shared" si="85"/>
        <v>59809</v>
      </c>
      <c r="B585" s="1" t="s">
        <v>42</v>
      </c>
      <c r="C585" s="1" t="s">
        <v>43</v>
      </c>
      <c r="D585" s="1" t="str">
        <f t="shared" si="83"/>
        <v>9801</v>
      </c>
      <c r="E585" s="1" t="s">
        <v>25</v>
      </c>
      <c r="F585" s="1" t="str">
        <f>"1260698869"</f>
        <v>1260698869</v>
      </c>
      <c r="G585" s="1" t="s">
        <v>26</v>
      </c>
      <c r="H585" s="1" t="str">
        <f t="shared" si="86"/>
        <v>20220916</v>
      </c>
      <c r="I585" s="1" t="str">
        <f>"083501"</f>
        <v>083501</v>
      </c>
      <c r="J585" s="1" t="s">
        <v>27</v>
      </c>
      <c r="K585" s="1" t="s">
        <v>28</v>
      </c>
      <c r="L585" s="1" t="str">
        <f t="shared" si="87"/>
        <v>20220916</v>
      </c>
      <c r="M585" s="1" t="str">
        <f>"084420"</f>
        <v>084420</v>
      </c>
      <c r="N585" s="1" t="s">
        <v>45</v>
      </c>
      <c r="O585" s="1" t="s">
        <v>45</v>
      </c>
      <c r="P585" s="1" t="s">
        <v>55</v>
      </c>
      <c r="Q585" s="1">
        <v>13</v>
      </c>
      <c r="R585" s="1">
        <v>13</v>
      </c>
      <c r="S585" s="1">
        <v>0</v>
      </c>
      <c r="T585" s="1">
        <v>0</v>
      </c>
      <c r="U585" s="1">
        <v>0</v>
      </c>
      <c r="V585" s="1" t="str">
        <f t="shared" si="84"/>
        <v>里程去程</v>
      </c>
      <c r="W585" s="1" t="s">
        <v>35</v>
      </c>
    </row>
    <row r="586" spans="1:23" x14ac:dyDescent="0.3">
      <c r="A586" s="1" t="str">
        <f t="shared" si="85"/>
        <v>59809</v>
      </c>
      <c r="B586" s="1" t="s">
        <v>42</v>
      </c>
      <c r="C586" s="1" t="s">
        <v>43</v>
      </c>
      <c r="D586" s="1" t="str">
        <f t="shared" si="83"/>
        <v>9801</v>
      </c>
      <c r="E586" s="1" t="s">
        <v>25</v>
      </c>
      <c r="F586" s="1" t="str">
        <f>"994369333"</f>
        <v>994369333</v>
      </c>
      <c r="G586" s="1" t="s">
        <v>26</v>
      </c>
      <c r="H586" s="1" t="str">
        <f t="shared" si="86"/>
        <v>20220916</v>
      </c>
      <c r="I586" s="1" t="str">
        <f>"083504"</f>
        <v>083504</v>
      </c>
      <c r="J586" s="1" t="s">
        <v>27</v>
      </c>
      <c r="K586" s="1" t="s">
        <v>28</v>
      </c>
      <c r="L586" s="1" t="str">
        <f t="shared" si="87"/>
        <v>20220916</v>
      </c>
      <c r="M586" s="1" t="str">
        <f>"084423"</f>
        <v>084423</v>
      </c>
      <c r="N586" s="1" t="s">
        <v>45</v>
      </c>
      <c r="O586" s="1" t="s">
        <v>45</v>
      </c>
      <c r="P586" s="1" t="s">
        <v>55</v>
      </c>
      <c r="Q586" s="1">
        <v>13</v>
      </c>
      <c r="R586" s="1">
        <v>13</v>
      </c>
      <c r="S586" s="1">
        <v>0</v>
      </c>
      <c r="T586" s="1">
        <v>0</v>
      </c>
      <c r="U586" s="1">
        <v>0</v>
      </c>
      <c r="V586" s="1" t="str">
        <f t="shared" si="84"/>
        <v>里程去程</v>
      </c>
      <c r="W586" s="1" t="s">
        <v>35</v>
      </c>
    </row>
    <row r="587" spans="1:23" x14ac:dyDescent="0.3">
      <c r="A587" s="1" t="str">
        <f t="shared" si="85"/>
        <v>59809</v>
      </c>
      <c r="B587" s="1" t="s">
        <v>42</v>
      </c>
      <c r="C587" s="1" t="s">
        <v>43</v>
      </c>
      <c r="D587" s="1" t="str">
        <f t="shared" si="83"/>
        <v>9801</v>
      </c>
      <c r="E587" s="1" t="s">
        <v>25</v>
      </c>
      <c r="F587" s="1" t="str">
        <f>"3238479539"</f>
        <v>3238479539</v>
      </c>
      <c r="G587" s="1" t="s">
        <v>33</v>
      </c>
      <c r="H587" s="1" t="str">
        <f t="shared" si="86"/>
        <v>20220916</v>
      </c>
      <c r="I587" s="1" t="str">
        <f>"083506"</f>
        <v>083506</v>
      </c>
      <c r="J587" s="1" t="s">
        <v>27</v>
      </c>
      <c r="K587" s="1" t="s">
        <v>28</v>
      </c>
      <c r="L587" s="1" t="str">
        <f t="shared" si="87"/>
        <v>20220916</v>
      </c>
      <c r="M587" s="1" t="str">
        <f>"084433"</f>
        <v>084433</v>
      </c>
      <c r="N587" s="1" t="s">
        <v>45</v>
      </c>
      <c r="O587" s="1" t="s">
        <v>45</v>
      </c>
      <c r="P587" s="1" t="s">
        <v>55</v>
      </c>
      <c r="Q587" s="1">
        <v>25</v>
      </c>
      <c r="R587" s="1">
        <v>25</v>
      </c>
      <c r="S587" s="1">
        <v>0</v>
      </c>
      <c r="T587" s="1">
        <v>0</v>
      </c>
      <c r="U587" s="1">
        <v>0</v>
      </c>
      <c r="V587" s="1" t="str">
        <f t="shared" si="84"/>
        <v>里程去程</v>
      </c>
      <c r="W587" s="1" t="s">
        <v>35</v>
      </c>
    </row>
    <row r="588" spans="1:23" x14ac:dyDescent="0.3">
      <c r="A588" s="1" t="str">
        <f t="shared" si="85"/>
        <v>59809</v>
      </c>
      <c r="B588" s="1" t="s">
        <v>42</v>
      </c>
      <c r="C588" s="1" t="s">
        <v>43</v>
      </c>
      <c r="D588" s="1" t="str">
        <f t="shared" si="83"/>
        <v>9801</v>
      </c>
      <c r="E588" s="1" t="s">
        <v>25</v>
      </c>
      <c r="F588" s="1" t="str">
        <f>"660993845"</f>
        <v>660993845</v>
      </c>
      <c r="G588" s="1" t="s">
        <v>33</v>
      </c>
      <c r="H588" s="1" t="str">
        <f t="shared" si="86"/>
        <v>20220916</v>
      </c>
      <c r="I588" s="1" t="str">
        <f>"083518"</f>
        <v>083518</v>
      </c>
      <c r="J588" s="1" t="s">
        <v>27</v>
      </c>
      <c r="K588" s="1" t="s">
        <v>28</v>
      </c>
      <c r="L588" s="1" t="str">
        <f t="shared" si="87"/>
        <v>20220916</v>
      </c>
      <c r="M588" s="1" t="str">
        <f>"084417"</f>
        <v>084417</v>
      </c>
      <c r="N588" s="1" t="s">
        <v>45</v>
      </c>
      <c r="O588" s="1" t="s">
        <v>45</v>
      </c>
      <c r="P588" s="1" t="s">
        <v>55</v>
      </c>
      <c r="Q588" s="1">
        <v>25</v>
      </c>
      <c r="R588" s="1">
        <v>25</v>
      </c>
      <c r="S588" s="1">
        <v>0</v>
      </c>
      <c r="T588" s="1">
        <v>0</v>
      </c>
      <c r="U588" s="1">
        <v>0</v>
      </c>
      <c r="V588" s="1" t="str">
        <f t="shared" si="84"/>
        <v>里程去程</v>
      </c>
      <c r="W588" s="1" t="s">
        <v>35</v>
      </c>
    </row>
    <row r="589" spans="1:23" x14ac:dyDescent="0.3">
      <c r="A589" s="1" t="str">
        <f t="shared" si="85"/>
        <v>59809</v>
      </c>
      <c r="B589" s="1" t="s">
        <v>42</v>
      </c>
      <c r="C589" s="1" t="s">
        <v>43</v>
      </c>
      <c r="D589" s="1" t="str">
        <f t="shared" si="83"/>
        <v>9801</v>
      </c>
      <c r="E589" s="1" t="s">
        <v>25</v>
      </c>
      <c r="F589" s="1" t="str">
        <f>"57704897"</f>
        <v>57704897</v>
      </c>
      <c r="G589" s="1" t="s">
        <v>33</v>
      </c>
      <c r="H589" s="1" t="str">
        <f t="shared" si="86"/>
        <v>20220916</v>
      </c>
      <c r="I589" s="1" t="str">
        <f>"083521"</f>
        <v>083521</v>
      </c>
      <c r="J589" s="1" t="s">
        <v>27</v>
      </c>
      <c r="K589" s="1" t="s">
        <v>28</v>
      </c>
      <c r="L589" s="1" t="str">
        <f t="shared" si="87"/>
        <v>20220916</v>
      </c>
      <c r="M589" s="1" t="str">
        <f>"084426"</f>
        <v>084426</v>
      </c>
      <c r="N589" s="1" t="s">
        <v>45</v>
      </c>
      <c r="O589" s="1" t="s">
        <v>45</v>
      </c>
      <c r="P589" s="1" t="s">
        <v>55</v>
      </c>
      <c r="Q589" s="1">
        <v>25</v>
      </c>
      <c r="R589" s="1">
        <v>25</v>
      </c>
      <c r="S589" s="1">
        <v>0</v>
      </c>
      <c r="T589" s="1">
        <v>0</v>
      </c>
      <c r="U589" s="1">
        <v>0</v>
      </c>
      <c r="V589" s="1" t="str">
        <f t="shared" si="84"/>
        <v>里程去程</v>
      </c>
      <c r="W589" s="1" t="s">
        <v>35</v>
      </c>
    </row>
    <row r="590" spans="1:23" x14ac:dyDescent="0.3">
      <c r="A590" s="1" t="str">
        <f t="shared" si="85"/>
        <v>59809</v>
      </c>
      <c r="B590" s="1" t="s">
        <v>42</v>
      </c>
      <c r="C590" s="1" t="s">
        <v>43</v>
      </c>
      <c r="D590" s="1" t="str">
        <f t="shared" si="83"/>
        <v>9801</v>
      </c>
      <c r="E590" s="1" t="s">
        <v>25</v>
      </c>
      <c r="F590" s="1" t="str">
        <f>"1478557231"</f>
        <v>1478557231</v>
      </c>
      <c r="G590" s="1" t="s">
        <v>33</v>
      </c>
      <c r="H590" s="1" t="str">
        <f t="shared" si="86"/>
        <v>20220916</v>
      </c>
      <c r="I590" s="1" t="str">
        <f>"083529"</f>
        <v>083529</v>
      </c>
      <c r="J590" s="1" t="s">
        <v>27</v>
      </c>
      <c r="K590" s="1" t="s">
        <v>28</v>
      </c>
      <c r="L590" s="1" t="str">
        <f t="shared" si="87"/>
        <v>20220916</v>
      </c>
      <c r="M590" s="1" t="str">
        <f>"084430"</f>
        <v>084430</v>
      </c>
      <c r="N590" s="1" t="s">
        <v>45</v>
      </c>
      <c r="O590" s="1" t="s">
        <v>45</v>
      </c>
      <c r="P590" s="1" t="s">
        <v>55</v>
      </c>
      <c r="Q590" s="1">
        <v>25</v>
      </c>
      <c r="R590" s="1">
        <v>25</v>
      </c>
      <c r="S590" s="1">
        <v>0</v>
      </c>
      <c r="T590" s="1">
        <v>0</v>
      </c>
      <c r="U590" s="1">
        <v>0</v>
      </c>
      <c r="V590" s="1" t="str">
        <f t="shared" si="84"/>
        <v>里程去程</v>
      </c>
      <c r="W590" s="1" t="s">
        <v>35</v>
      </c>
    </row>
    <row r="591" spans="1:23" x14ac:dyDescent="0.3">
      <c r="A591" s="1" t="str">
        <f t="shared" si="85"/>
        <v>59809</v>
      </c>
      <c r="B591" s="1" t="s">
        <v>42</v>
      </c>
      <c r="C591" s="1" t="s">
        <v>43</v>
      </c>
      <c r="D591" s="1" t="str">
        <f t="shared" si="83"/>
        <v>9801</v>
      </c>
      <c r="E591" s="1" t="s">
        <v>25</v>
      </c>
      <c r="F591" s="1" t="str">
        <f>"1221230485"</f>
        <v>1221230485</v>
      </c>
      <c r="G591" s="1" t="s">
        <v>38</v>
      </c>
      <c r="H591" s="1" t="str">
        <f t="shared" si="86"/>
        <v>20220916</v>
      </c>
      <c r="I591" s="1" t="str">
        <f>"093128"</f>
        <v>093128</v>
      </c>
      <c r="J591" s="1" t="s">
        <v>27</v>
      </c>
      <c r="K591" s="1" t="s">
        <v>28</v>
      </c>
      <c r="L591" s="1" t="str">
        <f t="shared" si="87"/>
        <v>20220916</v>
      </c>
      <c r="M591" s="1" t="str">
        <f>"094827"</f>
        <v>094827</v>
      </c>
      <c r="N591" s="1" t="s">
        <v>56</v>
      </c>
      <c r="O591" s="1" t="s">
        <v>45</v>
      </c>
      <c r="P591" s="1" t="s">
        <v>55</v>
      </c>
      <c r="Q591" s="1">
        <v>25</v>
      </c>
      <c r="R591" s="1">
        <v>25</v>
      </c>
      <c r="S591" s="1">
        <v>0</v>
      </c>
      <c r="T591" s="1">
        <v>0</v>
      </c>
      <c r="U591" s="1">
        <v>0</v>
      </c>
      <c r="V591" s="1" t="str">
        <f t="shared" si="84"/>
        <v>里程去程</v>
      </c>
      <c r="W591" s="1" t="s">
        <v>35</v>
      </c>
    </row>
    <row r="592" spans="1:23" x14ac:dyDescent="0.3">
      <c r="A592" s="1" t="str">
        <f t="shared" si="85"/>
        <v>59809</v>
      </c>
      <c r="B592" s="1" t="s">
        <v>42</v>
      </c>
      <c r="C592" s="1" t="s">
        <v>43</v>
      </c>
      <c r="D592" s="1" t="str">
        <f t="shared" si="83"/>
        <v>9801</v>
      </c>
      <c r="E592" s="1" t="s">
        <v>25</v>
      </c>
      <c r="F592" s="1" t="str">
        <f>"1311662705"</f>
        <v>1311662705</v>
      </c>
      <c r="G592" s="1" t="s">
        <v>33</v>
      </c>
      <c r="H592" s="1" t="str">
        <f t="shared" si="86"/>
        <v>20220916</v>
      </c>
      <c r="I592" s="1" t="str">
        <f>"093146"</f>
        <v>093146</v>
      </c>
      <c r="J592" s="1" t="s">
        <v>27</v>
      </c>
      <c r="K592" s="1" t="s">
        <v>28</v>
      </c>
      <c r="L592" s="1" t="str">
        <f t="shared" si="87"/>
        <v>20220916</v>
      </c>
      <c r="M592" s="1" t="str">
        <f>"095725"</f>
        <v>095725</v>
      </c>
      <c r="N592" s="1" t="s">
        <v>44</v>
      </c>
      <c r="O592" s="1" t="s">
        <v>45</v>
      </c>
      <c r="P592" s="1" t="s">
        <v>55</v>
      </c>
      <c r="Q592" s="1">
        <v>25</v>
      </c>
      <c r="R592" s="1">
        <v>25</v>
      </c>
      <c r="S592" s="1">
        <v>0</v>
      </c>
      <c r="T592" s="1">
        <v>0</v>
      </c>
      <c r="U592" s="1">
        <v>0</v>
      </c>
      <c r="V592" s="1" t="str">
        <f t="shared" si="84"/>
        <v>里程去程</v>
      </c>
      <c r="W592" s="1" t="s">
        <v>35</v>
      </c>
    </row>
    <row r="593" spans="1:23" x14ac:dyDescent="0.3">
      <c r="A593" s="1" t="str">
        <f t="shared" si="85"/>
        <v>59809</v>
      </c>
      <c r="B593" s="1" t="s">
        <v>42</v>
      </c>
      <c r="C593" s="1" t="s">
        <v>43</v>
      </c>
      <c r="D593" s="1" t="str">
        <f t="shared" si="83"/>
        <v>9801</v>
      </c>
      <c r="E593" s="1" t="s">
        <v>25</v>
      </c>
      <c r="F593" s="1" t="str">
        <f>"12F3331AC8880400C810002000000021"</f>
        <v>12F3331AC8880400C810002000000021</v>
      </c>
      <c r="G593" s="1" t="s">
        <v>26</v>
      </c>
      <c r="H593" s="1" t="str">
        <f t="shared" si="86"/>
        <v>20220916</v>
      </c>
      <c r="I593" s="1" t="str">
        <f>"093148"</f>
        <v>093148</v>
      </c>
      <c r="J593" s="1" t="s">
        <v>27</v>
      </c>
      <c r="K593" s="1" t="s">
        <v>28</v>
      </c>
      <c r="L593" s="1" t="str">
        <f t="shared" si="87"/>
        <v>20220916</v>
      </c>
      <c r="M593" s="1" t="str">
        <f>"094721"</f>
        <v>094721</v>
      </c>
      <c r="N593" s="1" t="s">
        <v>61</v>
      </c>
      <c r="O593" s="1" t="s">
        <v>45</v>
      </c>
      <c r="P593" s="1" t="s">
        <v>55</v>
      </c>
      <c r="Q593" s="1">
        <v>13</v>
      </c>
      <c r="R593" s="1">
        <v>13</v>
      </c>
      <c r="S593" s="1">
        <v>0</v>
      </c>
      <c r="T593" s="1">
        <v>0</v>
      </c>
      <c r="U593" s="1">
        <v>0</v>
      </c>
      <c r="V593" s="1" t="str">
        <f t="shared" si="84"/>
        <v>里程去程</v>
      </c>
      <c r="W593" s="1" t="s">
        <v>29</v>
      </c>
    </row>
    <row r="594" spans="1:23" x14ac:dyDescent="0.3">
      <c r="A594" s="1" t="str">
        <f t="shared" si="85"/>
        <v>59809</v>
      </c>
      <c r="B594" s="1" t="s">
        <v>42</v>
      </c>
      <c r="C594" s="1" t="s">
        <v>43</v>
      </c>
      <c r="D594" s="1" t="str">
        <f t="shared" si="83"/>
        <v>9801</v>
      </c>
      <c r="E594" s="1" t="s">
        <v>25</v>
      </c>
      <c r="F594" s="1" t="str">
        <f>"6280E61A1E880400C817002000000021"</f>
        <v>6280E61A1E880400C817002000000021</v>
      </c>
      <c r="G594" s="1" t="s">
        <v>58</v>
      </c>
      <c r="H594" s="1" t="str">
        <f t="shared" si="86"/>
        <v>20220916</v>
      </c>
      <c r="I594" s="1" t="str">
        <f>"093223"</f>
        <v>093223</v>
      </c>
      <c r="J594" s="1" t="s">
        <v>27</v>
      </c>
      <c r="K594" s="1" t="s">
        <v>28</v>
      </c>
      <c r="L594" s="1" t="str">
        <f t="shared" si="87"/>
        <v>20220916</v>
      </c>
      <c r="M594" s="1" t="str">
        <f>"094831"</f>
        <v>094831</v>
      </c>
      <c r="N594" s="1" t="s">
        <v>56</v>
      </c>
      <c r="O594" s="1" t="s">
        <v>45</v>
      </c>
      <c r="P594" s="1" t="s">
        <v>55</v>
      </c>
      <c r="Q594" s="1">
        <v>25</v>
      </c>
      <c r="R594" s="1">
        <v>0</v>
      </c>
      <c r="S594" s="1">
        <v>25</v>
      </c>
      <c r="T594" s="1">
        <v>0</v>
      </c>
      <c r="U594" s="1">
        <v>0</v>
      </c>
      <c r="V594" s="1" t="str">
        <f t="shared" si="84"/>
        <v>里程去程</v>
      </c>
      <c r="W594" s="1" t="s">
        <v>29</v>
      </c>
    </row>
    <row r="595" spans="1:23" x14ac:dyDescent="0.3">
      <c r="A595" s="1" t="str">
        <f t="shared" si="85"/>
        <v>59809</v>
      </c>
      <c r="B595" s="1" t="s">
        <v>42</v>
      </c>
      <c r="C595" s="1" t="s">
        <v>43</v>
      </c>
      <c r="D595" s="1" t="str">
        <f t="shared" si="83"/>
        <v>9801</v>
      </c>
      <c r="E595" s="1" t="s">
        <v>25</v>
      </c>
      <c r="F595" s="1" t="str">
        <f>"E2BBCC1683880400C814002000000019"</f>
        <v>E2BBCC1683880400C814002000000019</v>
      </c>
      <c r="G595" s="1" t="s">
        <v>64</v>
      </c>
      <c r="H595" s="1" t="str">
        <f t="shared" si="86"/>
        <v>20220916</v>
      </c>
      <c r="I595" s="1" t="str">
        <f>"093236"</f>
        <v>093236</v>
      </c>
      <c r="J595" s="1" t="s">
        <v>27</v>
      </c>
      <c r="K595" s="1" t="s">
        <v>28</v>
      </c>
      <c r="L595" s="1" t="str">
        <f t="shared" si="87"/>
        <v>20220916</v>
      </c>
      <c r="M595" s="1" t="str">
        <f>"094534"</f>
        <v>094534</v>
      </c>
      <c r="N595" s="1" t="s">
        <v>45</v>
      </c>
      <c r="O595" s="1" t="s">
        <v>45</v>
      </c>
      <c r="P595" s="1" t="s">
        <v>55</v>
      </c>
      <c r="Q595" s="1">
        <v>13</v>
      </c>
      <c r="R595" s="1">
        <v>13</v>
      </c>
      <c r="S595" s="1">
        <v>0</v>
      </c>
      <c r="T595" s="1">
        <v>0</v>
      </c>
      <c r="U595" s="1">
        <v>0</v>
      </c>
      <c r="V595" s="1" t="str">
        <f t="shared" si="84"/>
        <v>里程去程</v>
      </c>
      <c r="W595" s="1" t="s">
        <v>29</v>
      </c>
    </row>
    <row r="596" spans="1:23" x14ac:dyDescent="0.3">
      <c r="A596" s="1" t="str">
        <f t="shared" si="85"/>
        <v>59809</v>
      </c>
      <c r="B596" s="1" t="s">
        <v>42</v>
      </c>
      <c r="C596" s="1" t="s">
        <v>43</v>
      </c>
      <c r="D596" s="1" t="str">
        <f t="shared" si="83"/>
        <v>9801</v>
      </c>
      <c r="E596" s="1" t="s">
        <v>25</v>
      </c>
      <c r="F596" s="1" t="str">
        <f>"A977E80F398804004326A4E6000D0211"</f>
        <v>A977E80F398804004326A4E6000D0211</v>
      </c>
      <c r="G596" s="1" t="s">
        <v>64</v>
      </c>
      <c r="H596" s="1" t="str">
        <f t="shared" si="86"/>
        <v>20220916</v>
      </c>
      <c r="I596" s="1" t="str">
        <f>"093427"</f>
        <v>093427</v>
      </c>
      <c r="J596" s="1" t="s">
        <v>27</v>
      </c>
      <c r="K596" s="1" t="s">
        <v>28</v>
      </c>
      <c r="L596" s="1" t="str">
        <f t="shared" si="87"/>
        <v>20220916</v>
      </c>
      <c r="M596" s="1" t="str">
        <f>"095859"</f>
        <v>095859</v>
      </c>
      <c r="N596" s="1" t="s">
        <v>44</v>
      </c>
      <c r="O596" s="1" t="s">
        <v>45</v>
      </c>
      <c r="P596" s="1" t="s">
        <v>55</v>
      </c>
      <c r="Q596" s="1">
        <v>13</v>
      </c>
      <c r="R596" s="1">
        <v>13</v>
      </c>
      <c r="S596" s="1">
        <v>0</v>
      </c>
      <c r="T596" s="1">
        <v>0</v>
      </c>
      <c r="U596" s="1">
        <v>0</v>
      </c>
      <c r="V596" s="1" t="str">
        <f t="shared" si="84"/>
        <v>里程去程</v>
      </c>
      <c r="W596" s="1" t="s">
        <v>29</v>
      </c>
    </row>
    <row r="597" spans="1:23" x14ac:dyDescent="0.3">
      <c r="A597" s="1" t="str">
        <f t="shared" si="85"/>
        <v>59809</v>
      </c>
      <c r="B597" s="1" t="s">
        <v>42</v>
      </c>
      <c r="C597" s="1" t="s">
        <v>43</v>
      </c>
      <c r="D597" s="1" t="str">
        <f t="shared" si="83"/>
        <v>9801</v>
      </c>
      <c r="E597" s="1" t="s">
        <v>25</v>
      </c>
      <c r="F597" s="1" t="str">
        <f>"A7D452F5D4880400432517C1000F040F"</f>
        <v>A7D452F5D4880400432517C1000F040F</v>
      </c>
      <c r="G597" s="1" t="s">
        <v>58</v>
      </c>
      <c r="H597" s="1" t="str">
        <f t="shared" si="86"/>
        <v>20220916</v>
      </c>
      <c r="I597" s="1" t="str">
        <f>"093434"</f>
        <v>093434</v>
      </c>
      <c r="J597" s="1" t="s">
        <v>27</v>
      </c>
      <c r="K597" s="1" t="s">
        <v>28</v>
      </c>
      <c r="L597" s="1" t="str">
        <f t="shared" si="87"/>
        <v>20220916</v>
      </c>
      <c r="M597" s="1" t="str">
        <f>"095856"</f>
        <v>095856</v>
      </c>
      <c r="N597" s="1" t="s">
        <v>44</v>
      </c>
      <c r="O597" s="1" t="s">
        <v>45</v>
      </c>
      <c r="P597" s="1" t="s">
        <v>55</v>
      </c>
      <c r="Q597" s="1">
        <v>25</v>
      </c>
      <c r="R597" s="1">
        <v>25</v>
      </c>
      <c r="S597" s="1">
        <v>0</v>
      </c>
      <c r="T597" s="1">
        <v>0</v>
      </c>
      <c r="U597" s="1">
        <v>0</v>
      </c>
      <c r="V597" s="1" t="str">
        <f t="shared" si="84"/>
        <v>里程去程</v>
      </c>
      <c r="W597" s="1" t="s">
        <v>29</v>
      </c>
    </row>
    <row r="598" spans="1:23" x14ac:dyDescent="0.3">
      <c r="A598" s="1" t="str">
        <f t="shared" ref="A598:A627" si="88">"59822"</f>
        <v>59822</v>
      </c>
      <c r="B598" s="1" t="s">
        <v>39</v>
      </c>
      <c r="C598" s="1" t="s">
        <v>40</v>
      </c>
      <c r="D598" s="1" t="str">
        <f t="shared" si="83"/>
        <v>9801</v>
      </c>
      <c r="E598" s="1" t="s">
        <v>25</v>
      </c>
      <c r="F598" s="1" t="str">
        <f>"42AFE60209880400C834002000000015"</f>
        <v>42AFE60209880400C834002000000015</v>
      </c>
      <c r="G598" s="1" t="s">
        <v>74</v>
      </c>
      <c r="H598" s="1" t="str">
        <f t="shared" si="86"/>
        <v>20220916</v>
      </c>
      <c r="I598" s="1" t="str">
        <f>"105753"</f>
        <v>105753</v>
      </c>
      <c r="J598" s="1" t="s">
        <v>52</v>
      </c>
      <c r="K598" s="1" t="s">
        <v>52</v>
      </c>
      <c r="L598" s="1" t="str">
        <f t="shared" si="87"/>
        <v>20220916</v>
      </c>
      <c r="M598" s="1" t="str">
        <f>"111529"</f>
        <v>111529</v>
      </c>
      <c r="N598" s="1" t="s">
        <v>80</v>
      </c>
      <c r="O598" s="1" t="s">
        <v>52</v>
      </c>
      <c r="P598" s="1" t="s">
        <v>68</v>
      </c>
      <c r="Q598" s="1">
        <v>13</v>
      </c>
      <c r="R598" s="1">
        <v>0</v>
      </c>
      <c r="S598" s="1">
        <v>0</v>
      </c>
      <c r="T598" s="1">
        <v>13</v>
      </c>
      <c r="U598" s="1">
        <v>0</v>
      </c>
      <c r="V598" s="1" t="str">
        <f t="shared" si="84"/>
        <v>里程去程</v>
      </c>
      <c r="W598" s="1" t="s">
        <v>29</v>
      </c>
    </row>
    <row r="599" spans="1:23" x14ac:dyDescent="0.3">
      <c r="A599" s="1" t="str">
        <f t="shared" si="88"/>
        <v>59822</v>
      </c>
      <c r="B599" s="1" t="s">
        <v>39</v>
      </c>
      <c r="C599" s="1" t="s">
        <v>40</v>
      </c>
      <c r="D599" s="1" t="str">
        <f t="shared" si="83"/>
        <v>9801</v>
      </c>
      <c r="E599" s="1" t="s">
        <v>25</v>
      </c>
      <c r="F599" s="1" t="str">
        <f>"1390838465"</f>
        <v>1390838465</v>
      </c>
      <c r="G599" s="1" t="s">
        <v>26</v>
      </c>
      <c r="H599" s="1" t="str">
        <f t="shared" si="86"/>
        <v>20220916</v>
      </c>
      <c r="I599" s="1" t="str">
        <f>"113416"</f>
        <v>113416</v>
      </c>
      <c r="J599" s="1" t="s">
        <v>27</v>
      </c>
      <c r="K599" s="1" t="s">
        <v>28</v>
      </c>
      <c r="L599" s="1" t="str">
        <f t="shared" si="87"/>
        <v>20220916</v>
      </c>
      <c r="M599" s="1" t="str">
        <f>"114742"</f>
        <v>114742</v>
      </c>
      <c r="N599" s="1" t="s">
        <v>61</v>
      </c>
      <c r="O599" s="1" t="s">
        <v>45</v>
      </c>
      <c r="P599" s="1" t="s">
        <v>55</v>
      </c>
      <c r="Q599" s="1">
        <v>13</v>
      </c>
      <c r="R599" s="1">
        <v>13</v>
      </c>
      <c r="S599" s="1">
        <v>0</v>
      </c>
      <c r="T599" s="1">
        <v>0</v>
      </c>
      <c r="U599" s="1">
        <v>0</v>
      </c>
      <c r="V599" s="1" t="str">
        <f t="shared" si="84"/>
        <v>里程去程</v>
      </c>
      <c r="W599" s="1" t="s">
        <v>35</v>
      </c>
    </row>
    <row r="600" spans="1:23" x14ac:dyDescent="0.3">
      <c r="A600" s="1" t="str">
        <f t="shared" si="88"/>
        <v>59822</v>
      </c>
      <c r="B600" s="1" t="s">
        <v>39</v>
      </c>
      <c r="C600" s="1" t="s">
        <v>40</v>
      </c>
      <c r="D600" s="1" t="str">
        <f t="shared" si="83"/>
        <v>9801</v>
      </c>
      <c r="E600" s="1" t="s">
        <v>25</v>
      </c>
      <c r="F600" s="1" t="str">
        <f>"1741726117"</f>
        <v>1741726117</v>
      </c>
      <c r="G600" s="1" t="s">
        <v>26</v>
      </c>
      <c r="H600" s="1" t="str">
        <f t="shared" si="86"/>
        <v>20220916</v>
      </c>
      <c r="I600" s="1" t="str">
        <f>"113419"</f>
        <v>113419</v>
      </c>
      <c r="J600" s="1" t="s">
        <v>27</v>
      </c>
      <c r="K600" s="1" t="s">
        <v>28</v>
      </c>
      <c r="L600" s="1" t="str">
        <f t="shared" si="87"/>
        <v>20220916</v>
      </c>
      <c r="M600" s="1" t="str">
        <f>"114741"</f>
        <v>114741</v>
      </c>
      <c r="N600" s="1" t="s">
        <v>61</v>
      </c>
      <c r="O600" s="1" t="s">
        <v>45</v>
      </c>
      <c r="P600" s="1" t="s">
        <v>55</v>
      </c>
      <c r="Q600" s="1">
        <v>13</v>
      </c>
      <c r="R600" s="1">
        <v>13</v>
      </c>
      <c r="S600" s="1">
        <v>0</v>
      </c>
      <c r="T600" s="1">
        <v>0</v>
      </c>
      <c r="U600" s="1">
        <v>0</v>
      </c>
      <c r="V600" s="1" t="str">
        <f t="shared" si="84"/>
        <v>里程去程</v>
      </c>
      <c r="W600" s="1" t="s">
        <v>35</v>
      </c>
    </row>
    <row r="601" spans="1:23" x14ac:dyDescent="0.3">
      <c r="A601" s="1" t="str">
        <f t="shared" si="88"/>
        <v>59822</v>
      </c>
      <c r="B601" s="1" t="s">
        <v>39</v>
      </c>
      <c r="C601" s="1" t="s">
        <v>40</v>
      </c>
      <c r="D601" s="1" t="str">
        <f t="shared" si="83"/>
        <v>9801</v>
      </c>
      <c r="E601" s="1" t="s">
        <v>25</v>
      </c>
      <c r="F601" s="1" t="str">
        <f>"459281953"</f>
        <v>459281953</v>
      </c>
      <c r="G601" s="1" t="s">
        <v>26</v>
      </c>
      <c r="H601" s="1" t="str">
        <f t="shared" si="86"/>
        <v>20220916</v>
      </c>
      <c r="I601" s="1" t="str">
        <f>"113421"</f>
        <v>113421</v>
      </c>
      <c r="J601" s="1" t="s">
        <v>27</v>
      </c>
      <c r="K601" s="1" t="s">
        <v>28</v>
      </c>
      <c r="L601" s="1" t="str">
        <f t="shared" si="87"/>
        <v>20220916</v>
      </c>
      <c r="M601" s="1" t="str">
        <f>"114753"</f>
        <v>114753</v>
      </c>
      <c r="N601" s="1" t="s">
        <v>61</v>
      </c>
      <c r="O601" s="1" t="s">
        <v>45</v>
      </c>
      <c r="P601" s="1" t="s">
        <v>55</v>
      </c>
      <c r="Q601" s="1">
        <v>13</v>
      </c>
      <c r="R601" s="1">
        <v>13</v>
      </c>
      <c r="S601" s="1">
        <v>0</v>
      </c>
      <c r="T601" s="1">
        <v>0</v>
      </c>
      <c r="U601" s="1">
        <v>0</v>
      </c>
      <c r="V601" s="1" t="str">
        <f t="shared" si="84"/>
        <v>里程去程</v>
      </c>
      <c r="W601" s="1" t="s">
        <v>35</v>
      </c>
    </row>
    <row r="602" spans="1:23" x14ac:dyDescent="0.3">
      <c r="A602" s="1" t="str">
        <f t="shared" si="88"/>
        <v>59822</v>
      </c>
      <c r="B602" s="1" t="s">
        <v>39</v>
      </c>
      <c r="C602" s="1" t="s">
        <v>40</v>
      </c>
      <c r="D602" s="1" t="str">
        <f t="shared" si="83"/>
        <v>9801</v>
      </c>
      <c r="E602" s="1" t="s">
        <v>25</v>
      </c>
      <c r="F602" s="1" t="str">
        <f>"2792931695"</f>
        <v>2792931695</v>
      </c>
      <c r="G602" s="1" t="s">
        <v>26</v>
      </c>
      <c r="H602" s="1" t="str">
        <f t="shared" si="86"/>
        <v>20220916</v>
      </c>
      <c r="I602" s="1" t="str">
        <f>"113429"</f>
        <v>113429</v>
      </c>
      <c r="J602" s="1" t="s">
        <v>27</v>
      </c>
      <c r="K602" s="1" t="s">
        <v>28</v>
      </c>
      <c r="L602" s="1" t="str">
        <f t="shared" si="87"/>
        <v>20220916</v>
      </c>
      <c r="M602" s="1" t="str">
        <f>"114755"</f>
        <v>114755</v>
      </c>
      <c r="N602" s="1" t="s">
        <v>61</v>
      </c>
      <c r="O602" s="1" t="s">
        <v>45</v>
      </c>
      <c r="P602" s="1" t="s">
        <v>55</v>
      </c>
      <c r="Q602" s="1">
        <v>13</v>
      </c>
      <c r="R602" s="1">
        <v>13</v>
      </c>
      <c r="S602" s="1">
        <v>0</v>
      </c>
      <c r="T602" s="1">
        <v>0</v>
      </c>
      <c r="U602" s="1">
        <v>0</v>
      </c>
      <c r="V602" s="1" t="str">
        <f t="shared" si="84"/>
        <v>里程去程</v>
      </c>
      <c r="W602" s="1" t="s">
        <v>35</v>
      </c>
    </row>
    <row r="603" spans="1:23" x14ac:dyDescent="0.3">
      <c r="A603" s="1" t="str">
        <f t="shared" si="88"/>
        <v>59822</v>
      </c>
      <c r="B603" s="1" t="s">
        <v>39</v>
      </c>
      <c r="C603" s="1" t="s">
        <v>40</v>
      </c>
      <c r="D603" s="1" t="str">
        <f t="shared" si="83"/>
        <v>9801</v>
      </c>
      <c r="E603" s="1" t="s">
        <v>25</v>
      </c>
      <c r="F603" s="1" t="str">
        <f>"7311150214007183"</f>
        <v>7311150214007183</v>
      </c>
      <c r="G603" s="1" t="s">
        <v>33</v>
      </c>
      <c r="H603" s="1" t="str">
        <f t="shared" si="86"/>
        <v>20220916</v>
      </c>
      <c r="I603" s="1" t="str">
        <f>"113432"</f>
        <v>113432</v>
      </c>
      <c r="J603" s="1" t="s">
        <v>27</v>
      </c>
      <c r="K603" s="1" t="s">
        <v>28</v>
      </c>
      <c r="L603" s="1" t="str">
        <f t="shared" si="87"/>
        <v>20220916</v>
      </c>
      <c r="M603" s="1" t="str">
        <f>"114800"</f>
        <v>114800</v>
      </c>
      <c r="N603" s="1" t="s">
        <v>61</v>
      </c>
      <c r="O603" s="1" t="s">
        <v>45</v>
      </c>
      <c r="P603" s="1" t="s">
        <v>55</v>
      </c>
      <c r="Q603" s="1">
        <v>25</v>
      </c>
      <c r="R603" s="1">
        <v>25</v>
      </c>
      <c r="S603" s="1">
        <v>0</v>
      </c>
      <c r="T603" s="1">
        <v>0</v>
      </c>
      <c r="U603" s="1">
        <v>0</v>
      </c>
      <c r="V603" s="1" t="str">
        <f t="shared" si="84"/>
        <v>里程去程</v>
      </c>
      <c r="W603" s="1" t="s">
        <v>109</v>
      </c>
    </row>
    <row r="604" spans="1:23" x14ac:dyDescent="0.3">
      <c r="A604" s="1" t="str">
        <f t="shared" si="88"/>
        <v>59822</v>
      </c>
      <c r="B604" s="1" t="s">
        <v>39</v>
      </c>
      <c r="C604" s="1" t="s">
        <v>40</v>
      </c>
      <c r="D604" s="1" t="str">
        <f t="shared" si="83"/>
        <v>9801</v>
      </c>
      <c r="E604" s="1" t="s">
        <v>25</v>
      </c>
      <c r="F604" s="1" t="str">
        <f>"410781265"</f>
        <v>410781265</v>
      </c>
      <c r="G604" s="1" t="s">
        <v>33</v>
      </c>
      <c r="H604" s="1" t="str">
        <f t="shared" si="86"/>
        <v>20220916</v>
      </c>
      <c r="I604" s="1" t="str">
        <f>"113436"</f>
        <v>113436</v>
      </c>
      <c r="J604" s="1" t="s">
        <v>27</v>
      </c>
      <c r="K604" s="1" t="s">
        <v>28</v>
      </c>
      <c r="L604" s="1" t="str">
        <f t="shared" si="87"/>
        <v>20220916</v>
      </c>
      <c r="M604" s="1" t="str">
        <f>"114854"</f>
        <v>114854</v>
      </c>
      <c r="N604" s="1" t="s">
        <v>56</v>
      </c>
      <c r="O604" s="1" t="s">
        <v>45</v>
      </c>
      <c r="P604" s="1" t="s">
        <v>55</v>
      </c>
      <c r="Q604" s="1">
        <v>25</v>
      </c>
      <c r="R604" s="1">
        <v>25</v>
      </c>
      <c r="S604" s="1">
        <v>0</v>
      </c>
      <c r="T604" s="1">
        <v>0</v>
      </c>
      <c r="U604" s="1">
        <v>0</v>
      </c>
      <c r="V604" s="1" t="str">
        <f t="shared" si="84"/>
        <v>里程去程</v>
      </c>
      <c r="W604" s="1" t="s">
        <v>35</v>
      </c>
    </row>
    <row r="605" spans="1:23" x14ac:dyDescent="0.3">
      <c r="A605" s="1" t="str">
        <f t="shared" si="88"/>
        <v>59822</v>
      </c>
      <c r="B605" s="1" t="s">
        <v>39</v>
      </c>
      <c r="C605" s="1" t="s">
        <v>40</v>
      </c>
      <c r="D605" s="1" t="str">
        <f t="shared" si="83"/>
        <v>9801</v>
      </c>
      <c r="E605" s="1" t="s">
        <v>25</v>
      </c>
      <c r="F605" s="1" t="str">
        <f>"C200FE023E880400C834002000000015"</f>
        <v>C200FE023E880400C834002000000015</v>
      </c>
      <c r="G605" s="1" t="s">
        <v>26</v>
      </c>
      <c r="H605" s="1" t="str">
        <f t="shared" si="86"/>
        <v>20220916</v>
      </c>
      <c r="I605" s="1" t="str">
        <f>"113438"</f>
        <v>113438</v>
      </c>
      <c r="J605" s="1" t="s">
        <v>27</v>
      </c>
      <c r="K605" s="1" t="s">
        <v>28</v>
      </c>
      <c r="L605" s="1" t="str">
        <f t="shared" si="87"/>
        <v>20220916</v>
      </c>
      <c r="M605" s="1" t="str">
        <f>"114851"</f>
        <v>114851</v>
      </c>
      <c r="N605" s="1" t="s">
        <v>56</v>
      </c>
      <c r="O605" s="1" t="s">
        <v>45</v>
      </c>
      <c r="P605" s="1" t="s">
        <v>68</v>
      </c>
      <c r="Q605" s="1">
        <v>13</v>
      </c>
      <c r="R605" s="1">
        <v>0</v>
      </c>
      <c r="S605" s="1">
        <v>0</v>
      </c>
      <c r="T605" s="1">
        <v>13</v>
      </c>
      <c r="U605" s="1">
        <v>0</v>
      </c>
      <c r="V605" s="1" t="str">
        <f t="shared" si="84"/>
        <v>里程去程</v>
      </c>
      <c r="W605" s="1" t="s">
        <v>29</v>
      </c>
    </row>
    <row r="606" spans="1:23" x14ac:dyDescent="0.3">
      <c r="A606" s="1" t="str">
        <f t="shared" si="88"/>
        <v>59822</v>
      </c>
      <c r="B606" s="1" t="s">
        <v>39</v>
      </c>
      <c r="C606" s="1" t="s">
        <v>40</v>
      </c>
      <c r="D606" s="1" t="str">
        <f t="shared" si="83"/>
        <v>9801</v>
      </c>
      <c r="E606" s="1" t="s">
        <v>25</v>
      </c>
      <c r="F606" s="1" t="str">
        <f>"1745389445"</f>
        <v>1745389445</v>
      </c>
      <c r="G606" s="1" t="s">
        <v>74</v>
      </c>
      <c r="H606" s="1" t="str">
        <f t="shared" si="86"/>
        <v>20220916</v>
      </c>
      <c r="I606" s="1" t="str">
        <f>"113441"</f>
        <v>113441</v>
      </c>
      <c r="J606" s="1" t="s">
        <v>27</v>
      </c>
      <c r="K606" s="1" t="s">
        <v>28</v>
      </c>
      <c r="L606" s="1" t="str">
        <f t="shared" si="87"/>
        <v>20220916</v>
      </c>
      <c r="M606" s="1" t="str">
        <f>"114804"</f>
        <v>114804</v>
      </c>
      <c r="N606" s="1" t="s">
        <v>61</v>
      </c>
      <c r="O606" s="1" t="s">
        <v>45</v>
      </c>
      <c r="P606" s="1" t="s">
        <v>55</v>
      </c>
      <c r="Q606" s="1">
        <v>13</v>
      </c>
      <c r="R606" s="1">
        <v>13</v>
      </c>
      <c r="S606" s="1">
        <v>0</v>
      </c>
      <c r="T606" s="1">
        <v>0</v>
      </c>
      <c r="U606" s="1">
        <v>0</v>
      </c>
      <c r="V606" s="1" t="str">
        <f t="shared" si="84"/>
        <v>里程去程</v>
      </c>
      <c r="W606" s="1" t="s">
        <v>35</v>
      </c>
    </row>
    <row r="607" spans="1:23" x14ac:dyDescent="0.3">
      <c r="A607" s="1" t="str">
        <f t="shared" si="88"/>
        <v>59822</v>
      </c>
      <c r="B607" s="1" t="s">
        <v>39</v>
      </c>
      <c r="C607" s="1" t="s">
        <v>40</v>
      </c>
      <c r="D607" s="1" t="str">
        <f t="shared" si="83"/>
        <v>9801</v>
      </c>
      <c r="E607" s="1" t="s">
        <v>25</v>
      </c>
      <c r="F607" s="1" t="str">
        <f>"2164215016"</f>
        <v>2164215016</v>
      </c>
      <c r="G607" s="1" t="s">
        <v>74</v>
      </c>
      <c r="H607" s="1" t="str">
        <f t="shared" si="86"/>
        <v>20220916</v>
      </c>
      <c r="I607" s="1" t="str">
        <f>"113448"</f>
        <v>113448</v>
      </c>
      <c r="J607" s="1" t="s">
        <v>27</v>
      </c>
      <c r="K607" s="1" t="s">
        <v>28</v>
      </c>
      <c r="L607" s="1" t="str">
        <f t="shared" si="87"/>
        <v>20220916</v>
      </c>
      <c r="M607" s="1" t="str">
        <f>"114747"</f>
        <v>114747</v>
      </c>
      <c r="N607" s="1" t="s">
        <v>61</v>
      </c>
      <c r="O607" s="1" t="s">
        <v>45</v>
      </c>
      <c r="P607" s="1" t="s">
        <v>55</v>
      </c>
      <c r="Q607" s="1">
        <v>13</v>
      </c>
      <c r="R607" s="1">
        <v>13</v>
      </c>
      <c r="S607" s="1">
        <v>0</v>
      </c>
      <c r="T607" s="1">
        <v>0</v>
      </c>
      <c r="U607" s="1">
        <v>0</v>
      </c>
      <c r="V607" s="1" t="str">
        <f t="shared" si="84"/>
        <v>里程去程</v>
      </c>
      <c r="W607" s="1" t="s">
        <v>35</v>
      </c>
    </row>
    <row r="608" spans="1:23" x14ac:dyDescent="0.3">
      <c r="A608" s="1" t="str">
        <f t="shared" si="88"/>
        <v>59822</v>
      </c>
      <c r="B608" s="1" t="s">
        <v>39</v>
      </c>
      <c r="C608" s="1" t="s">
        <v>40</v>
      </c>
      <c r="D608" s="1" t="str">
        <f t="shared" si="83"/>
        <v>9801</v>
      </c>
      <c r="E608" s="1" t="s">
        <v>25</v>
      </c>
      <c r="F608" s="1" t="str">
        <f>"7211220643010772"</f>
        <v>7211220643010772</v>
      </c>
      <c r="G608" s="1" t="s">
        <v>33</v>
      </c>
      <c r="H608" s="1" t="str">
        <f t="shared" si="86"/>
        <v>20220916</v>
      </c>
      <c r="I608" s="1" t="str">
        <f>"113816"</f>
        <v>113816</v>
      </c>
      <c r="J608" s="1" t="s">
        <v>27</v>
      </c>
      <c r="K608" s="1" t="s">
        <v>28</v>
      </c>
      <c r="L608" s="1" t="str">
        <f t="shared" si="87"/>
        <v>20220916</v>
      </c>
      <c r="M608" s="1" t="str">
        <f>"114808"</f>
        <v>114808</v>
      </c>
      <c r="N608" s="1" t="s">
        <v>61</v>
      </c>
      <c r="O608" s="1" t="s">
        <v>45</v>
      </c>
      <c r="P608" s="1" t="s">
        <v>55</v>
      </c>
      <c r="Q608" s="1">
        <v>25</v>
      </c>
      <c r="R608" s="1">
        <v>25</v>
      </c>
      <c r="S608" s="1">
        <v>0</v>
      </c>
      <c r="T608" s="1">
        <v>0</v>
      </c>
      <c r="U608" s="1">
        <v>0</v>
      </c>
      <c r="V608" s="1" t="str">
        <f t="shared" si="84"/>
        <v>里程去程</v>
      </c>
      <c r="W608" s="1" t="s">
        <v>109</v>
      </c>
    </row>
    <row r="609" spans="1:23" x14ac:dyDescent="0.3">
      <c r="A609" s="1" t="str">
        <f t="shared" si="88"/>
        <v>59822</v>
      </c>
      <c r="B609" s="1" t="s">
        <v>39</v>
      </c>
      <c r="C609" s="1" t="s">
        <v>40</v>
      </c>
      <c r="D609" s="1" t="str">
        <f t="shared" si="83"/>
        <v>9801</v>
      </c>
      <c r="E609" s="1" t="s">
        <v>25</v>
      </c>
      <c r="F609" s="1" t="str">
        <f>"F25B1B03B1880400C834002000000015"</f>
        <v>F25B1B03B1880400C834002000000015</v>
      </c>
      <c r="G609" s="1" t="s">
        <v>26</v>
      </c>
      <c r="H609" s="1" t="str">
        <f t="shared" si="86"/>
        <v>20220916</v>
      </c>
      <c r="I609" s="1" t="str">
        <f>"120608"</f>
        <v>120608</v>
      </c>
      <c r="J609" s="1" t="s">
        <v>60</v>
      </c>
      <c r="K609" s="1" t="s">
        <v>52</v>
      </c>
      <c r="L609" s="1" t="str">
        <f t="shared" si="87"/>
        <v>20220916</v>
      </c>
      <c r="M609" s="1" t="str">
        <f>"123013"</f>
        <v>123013</v>
      </c>
      <c r="N609" s="1" t="s">
        <v>79</v>
      </c>
      <c r="O609" s="1" t="s">
        <v>45</v>
      </c>
      <c r="P609" s="1" t="s">
        <v>68</v>
      </c>
      <c r="Q609" s="1">
        <v>25</v>
      </c>
      <c r="R609" s="1">
        <v>0</v>
      </c>
      <c r="S609" s="1">
        <v>0</v>
      </c>
      <c r="T609" s="1">
        <v>25</v>
      </c>
      <c r="U609" s="1">
        <v>0</v>
      </c>
      <c r="V609" s="1" t="str">
        <f t="shared" si="84"/>
        <v>里程去程</v>
      </c>
      <c r="W609" s="1" t="s">
        <v>29</v>
      </c>
    </row>
    <row r="610" spans="1:23" x14ac:dyDescent="0.3">
      <c r="A610" s="1" t="str">
        <f t="shared" si="88"/>
        <v>59822</v>
      </c>
      <c r="B610" s="1" t="s">
        <v>39</v>
      </c>
      <c r="C610" s="1" t="s">
        <v>40</v>
      </c>
      <c r="D610" s="1" t="str">
        <f t="shared" si="83"/>
        <v>9801</v>
      </c>
      <c r="E610" s="1" t="s">
        <v>25</v>
      </c>
      <c r="F610" s="1" t="str">
        <f>"4251460257880400C821002000000015"</f>
        <v>4251460257880400C821002000000015</v>
      </c>
      <c r="G610" s="1" t="s">
        <v>26</v>
      </c>
      <c r="H610" s="1" t="str">
        <f t="shared" si="86"/>
        <v>20220916</v>
      </c>
      <c r="I610" s="1" t="str">
        <f>"121852"</f>
        <v>121852</v>
      </c>
      <c r="J610" s="1" t="s">
        <v>69</v>
      </c>
      <c r="K610" s="1" t="s">
        <v>52</v>
      </c>
      <c r="L610" s="1" t="str">
        <f t="shared" si="87"/>
        <v>20220916</v>
      </c>
      <c r="M610" s="1" t="str">
        <f>"122321"</f>
        <v>122321</v>
      </c>
      <c r="N610" s="1" t="s">
        <v>83</v>
      </c>
      <c r="O610" s="1" t="s">
        <v>52</v>
      </c>
      <c r="P610" s="1" t="s">
        <v>68</v>
      </c>
      <c r="Q610" s="1">
        <v>13</v>
      </c>
      <c r="R610" s="1">
        <v>0</v>
      </c>
      <c r="S610" s="1">
        <v>0</v>
      </c>
      <c r="T610" s="1">
        <v>13</v>
      </c>
      <c r="U610" s="1">
        <v>0</v>
      </c>
      <c r="V610" s="1" t="str">
        <f t="shared" si="84"/>
        <v>里程去程</v>
      </c>
      <c r="W610" s="1" t="s">
        <v>29</v>
      </c>
    </row>
    <row r="611" spans="1:23" x14ac:dyDescent="0.3">
      <c r="A611" s="1" t="str">
        <f t="shared" si="88"/>
        <v>59822</v>
      </c>
      <c r="B611" s="1" t="s">
        <v>39</v>
      </c>
      <c r="C611" s="1" t="s">
        <v>40</v>
      </c>
      <c r="D611" s="1" t="str">
        <f t="shared" si="83"/>
        <v>9801</v>
      </c>
      <c r="E611" s="1" t="s">
        <v>25</v>
      </c>
      <c r="F611" s="1" t="str">
        <f>"32780D0344880400C834002000000015"</f>
        <v>32780D0344880400C834002000000015</v>
      </c>
      <c r="G611" s="1" t="s">
        <v>26</v>
      </c>
      <c r="H611" s="1" t="str">
        <f t="shared" ref="H611:H627" si="89">"20220916"</f>
        <v>20220916</v>
      </c>
      <c r="I611" s="1" t="str">
        <f>"122808"</f>
        <v>122808</v>
      </c>
      <c r="J611" s="1" t="s">
        <v>27</v>
      </c>
      <c r="K611" s="1" t="s">
        <v>28</v>
      </c>
      <c r="L611" s="1" t="str">
        <f t="shared" ref="L611:L627" si="90">"20220916"</f>
        <v>20220916</v>
      </c>
      <c r="M611" s="1" t="str">
        <f>"122833"</f>
        <v>122833</v>
      </c>
      <c r="N611" s="1" t="s">
        <v>79</v>
      </c>
      <c r="O611" s="1" t="s">
        <v>45</v>
      </c>
      <c r="P611" s="1" t="s">
        <v>68</v>
      </c>
      <c r="Q611" s="1">
        <v>13</v>
      </c>
      <c r="R611" s="1">
        <v>0</v>
      </c>
      <c r="S611" s="1">
        <v>0</v>
      </c>
      <c r="T611" s="1">
        <v>13</v>
      </c>
      <c r="U611" s="1">
        <v>0</v>
      </c>
      <c r="V611" s="1" t="str">
        <f t="shared" si="84"/>
        <v>里程去程</v>
      </c>
      <c r="W611" s="1" t="s">
        <v>29</v>
      </c>
    </row>
    <row r="612" spans="1:23" x14ac:dyDescent="0.3">
      <c r="A612" s="1" t="str">
        <f t="shared" si="88"/>
        <v>59822</v>
      </c>
      <c r="B612" s="1" t="s">
        <v>39</v>
      </c>
      <c r="C612" s="1" t="s">
        <v>40</v>
      </c>
      <c r="D612" s="1" t="str">
        <f t="shared" si="83"/>
        <v>9801</v>
      </c>
      <c r="E612" s="1" t="s">
        <v>25</v>
      </c>
      <c r="F612" s="1" t="str">
        <f>"565563361"</f>
        <v>565563361</v>
      </c>
      <c r="G612" s="1" t="s">
        <v>33</v>
      </c>
      <c r="H612" s="1" t="str">
        <f t="shared" si="89"/>
        <v>20220916</v>
      </c>
      <c r="I612" s="1" t="str">
        <f>"123037"</f>
        <v>123037</v>
      </c>
      <c r="J612" s="1" t="s">
        <v>70</v>
      </c>
      <c r="K612" s="1" t="s">
        <v>28</v>
      </c>
      <c r="L612" s="1" t="str">
        <f t="shared" si="90"/>
        <v>20220916</v>
      </c>
      <c r="M612" s="1" t="str">
        <f>"124649"</f>
        <v>124649</v>
      </c>
      <c r="N612" s="1" t="s">
        <v>56</v>
      </c>
      <c r="O612" s="1" t="s">
        <v>45</v>
      </c>
      <c r="P612" s="1" t="s">
        <v>55</v>
      </c>
      <c r="Q612" s="1">
        <v>25</v>
      </c>
      <c r="R612" s="1">
        <v>25</v>
      </c>
      <c r="S612" s="1">
        <v>0</v>
      </c>
      <c r="T612" s="1">
        <v>0</v>
      </c>
      <c r="U612" s="1">
        <v>0</v>
      </c>
      <c r="V612" s="1" t="str">
        <f t="shared" si="84"/>
        <v>里程去程</v>
      </c>
      <c r="W612" s="1" t="s">
        <v>35</v>
      </c>
    </row>
    <row r="613" spans="1:23" x14ac:dyDescent="0.3">
      <c r="A613" s="1" t="str">
        <f t="shared" si="88"/>
        <v>59822</v>
      </c>
      <c r="B613" s="1" t="s">
        <v>39</v>
      </c>
      <c r="C613" s="1" t="s">
        <v>40</v>
      </c>
      <c r="D613" s="1" t="str">
        <f t="shared" si="83"/>
        <v>9801</v>
      </c>
      <c r="E613" s="1" t="s">
        <v>25</v>
      </c>
      <c r="F613" s="1" t="str">
        <f>"4125507245"</f>
        <v>4125507245</v>
      </c>
      <c r="G613" s="1" t="s">
        <v>33</v>
      </c>
      <c r="H613" s="1" t="str">
        <f t="shared" si="89"/>
        <v>20220916</v>
      </c>
      <c r="I613" s="1" t="str">
        <f>"123052"</f>
        <v>123052</v>
      </c>
      <c r="J613" s="1" t="s">
        <v>70</v>
      </c>
      <c r="K613" s="1" t="s">
        <v>28</v>
      </c>
      <c r="L613" s="1" t="str">
        <f t="shared" si="90"/>
        <v>20220916</v>
      </c>
      <c r="M613" s="1" t="str">
        <f>"125622"</f>
        <v>125622</v>
      </c>
      <c r="N613" s="1" t="s">
        <v>44</v>
      </c>
      <c r="O613" s="1" t="s">
        <v>45</v>
      </c>
      <c r="P613" s="1" t="s">
        <v>55</v>
      </c>
      <c r="Q613" s="1">
        <v>25</v>
      </c>
      <c r="R613" s="1">
        <v>25</v>
      </c>
      <c r="S613" s="1">
        <v>0</v>
      </c>
      <c r="T613" s="1">
        <v>0</v>
      </c>
      <c r="U613" s="1">
        <v>0</v>
      </c>
      <c r="V613" s="1" t="str">
        <f t="shared" si="84"/>
        <v>里程去程</v>
      </c>
      <c r="W613" s="1" t="s">
        <v>35</v>
      </c>
    </row>
    <row r="614" spans="1:23" x14ac:dyDescent="0.3">
      <c r="A614" s="1" t="str">
        <f t="shared" si="88"/>
        <v>59822</v>
      </c>
      <c r="B614" s="1" t="s">
        <v>39</v>
      </c>
      <c r="C614" s="1" t="s">
        <v>40</v>
      </c>
      <c r="D614" s="1" t="str">
        <f t="shared" si="83"/>
        <v>9801</v>
      </c>
      <c r="E614" s="1" t="s">
        <v>25</v>
      </c>
      <c r="F614" s="1" t="str">
        <f>"1533659608"</f>
        <v>1533659608</v>
      </c>
      <c r="G614" s="1" t="s">
        <v>33</v>
      </c>
      <c r="H614" s="1" t="str">
        <f t="shared" si="89"/>
        <v>20220916</v>
      </c>
      <c r="I614" s="1" t="str">
        <f>"123101"</f>
        <v>123101</v>
      </c>
      <c r="J614" s="1" t="s">
        <v>70</v>
      </c>
      <c r="K614" s="1" t="s">
        <v>28</v>
      </c>
      <c r="L614" s="1" t="str">
        <f t="shared" si="90"/>
        <v>20220916</v>
      </c>
      <c r="M614" s="1" t="str">
        <f>"125625"</f>
        <v>125625</v>
      </c>
      <c r="N614" s="1" t="s">
        <v>44</v>
      </c>
      <c r="O614" s="1" t="s">
        <v>45</v>
      </c>
      <c r="P614" s="1" t="s">
        <v>55</v>
      </c>
      <c r="Q614" s="1">
        <v>25</v>
      </c>
      <c r="R614" s="1">
        <v>25</v>
      </c>
      <c r="S614" s="1">
        <v>0</v>
      </c>
      <c r="T614" s="1">
        <v>0</v>
      </c>
      <c r="U614" s="1">
        <v>0</v>
      </c>
      <c r="V614" s="1" t="str">
        <f t="shared" si="84"/>
        <v>里程去程</v>
      </c>
      <c r="W614" s="1" t="s">
        <v>35</v>
      </c>
    </row>
    <row r="615" spans="1:23" x14ac:dyDescent="0.3">
      <c r="A615" s="1" t="str">
        <f t="shared" si="88"/>
        <v>59822</v>
      </c>
      <c r="B615" s="1" t="s">
        <v>39</v>
      </c>
      <c r="C615" s="1" t="s">
        <v>40</v>
      </c>
      <c r="D615" s="1" t="str">
        <f t="shared" si="83"/>
        <v>9801</v>
      </c>
      <c r="E615" s="1" t="s">
        <v>25</v>
      </c>
      <c r="F615" s="1" t="str">
        <f>"1077105317"</f>
        <v>1077105317</v>
      </c>
      <c r="G615" s="1" t="s">
        <v>33</v>
      </c>
      <c r="H615" s="1" t="str">
        <f t="shared" si="89"/>
        <v>20220916</v>
      </c>
      <c r="I615" s="1" t="str">
        <f>"123125"</f>
        <v>123125</v>
      </c>
      <c r="J615" s="1" t="s">
        <v>70</v>
      </c>
      <c r="K615" s="1" t="s">
        <v>28</v>
      </c>
      <c r="L615" s="1" t="str">
        <f t="shared" si="90"/>
        <v>20220916</v>
      </c>
      <c r="M615" s="1" t="str">
        <f>"124952"</f>
        <v>124952</v>
      </c>
      <c r="N615" s="1" t="s">
        <v>91</v>
      </c>
      <c r="O615" s="1" t="s">
        <v>45</v>
      </c>
      <c r="P615" s="1" t="s">
        <v>55</v>
      </c>
      <c r="Q615" s="1">
        <v>25</v>
      </c>
      <c r="R615" s="1">
        <v>25</v>
      </c>
      <c r="S615" s="1">
        <v>0</v>
      </c>
      <c r="T615" s="1">
        <v>0</v>
      </c>
      <c r="U615" s="1">
        <v>0</v>
      </c>
      <c r="V615" s="1" t="str">
        <f t="shared" si="84"/>
        <v>里程去程</v>
      </c>
      <c r="W615" s="1" t="s">
        <v>35</v>
      </c>
    </row>
    <row r="616" spans="1:23" x14ac:dyDescent="0.3">
      <c r="A616" s="1" t="str">
        <f t="shared" si="88"/>
        <v>59822</v>
      </c>
      <c r="B616" s="1" t="s">
        <v>39</v>
      </c>
      <c r="C616" s="1" t="s">
        <v>40</v>
      </c>
      <c r="D616" s="1" t="str">
        <f t="shared" si="83"/>
        <v>9801</v>
      </c>
      <c r="E616" s="1" t="s">
        <v>25</v>
      </c>
      <c r="F616" s="1" t="str">
        <f>"1677253200"</f>
        <v>1677253200</v>
      </c>
      <c r="G616" s="1" t="s">
        <v>33</v>
      </c>
      <c r="H616" s="1" t="str">
        <f t="shared" si="89"/>
        <v>20220916</v>
      </c>
      <c r="I616" s="1" t="str">
        <f>"123134"</f>
        <v>123134</v>
      </c>
      <c r="J616" s="1" t="s">
        <v>70</v>
      </c>
      <c r="K616" s="1" t="s">
        <v>28</v>
      </c>
      <c r="L616" s="1" t="str">
        <f t="shared" si="90"/>
        <v>20220916</v>
      </c>
      <c r="M616" s="1" t="str">
        <f>"124945"</f>
        <v>124945</v>
      </c>
      <c r="N616" s="1" t="s">
        <v>91</v>
      </c>
      <c r="O616" s="1" t="s">
        <v>45</v>
      </c>
      <c r="P616" s="1" t="s">
        <v>55</v>
      </c>
      <c r="Q616" s="1">
        <v>25</v>
      </c>
      <c r="R616" s="1">
        <v>25</v>
      </c>
      <c r="S616" s="1">
        <v>0</v>
      </c>
      <c r="T616" s="1">
        <v>0</v>
      </c>
      <c r="U616" s="1">
        <v>0</v>
      </c>
      <c r="V616" s="1" t="str">
        <f t="shared" si="84"/>
        <v>里程去程</v>
      </c>
      <c r="W616" s="1" t="s">
        <v>35</v>
      </c>
    </row>
    <row r="617" spans="1:23" x14ac:dyDescent="0.3">
      <c r="A617" s="1" t="str">
        <f t="shared" si="88"/>
        <v>59822</v>
      </c>
      <c r="B617" s="1" t="s">
        <v>39</v>
      </c>
      <c r="C617" s="1" t="s">
        <v>40</v>
      </c>
      <c r="D617" s="1" t="str">
        <f t="shared" si="83"/>
        <v>9801</v>
      </c>
      <c r="E617" s="1" t="s">
        <v>25</v>
      </c>
      <c r="F617" s="1" t="str">
        <f>"F27CE6026A880400C834002000000015"</f>
        <v>F27CE6026A880400C834002000000015</v>
      </c>
      <c r="G617" s="1" t="s">
        <v>74</v>
      </c>
      <c r="H617" s="1" t="str">
        <f t="shared" si="89"/>
        <v>20220916</v>
      </c>
      <c r="I617" s="1" t="str">
        <f>"145951"</f>
        <v>145951</v>
      </c>
      <c r="J617" s="1" t="s">
        <v>52</v>
      </c>
      <c r="K617" s="1" t="s">
        <v>52</v>
      </c>
      <c r="L617" s="1" t="str">
        <f t="shared" si="90"/>
        <v>20220916</v>
      </c>
      <c r="M617" s="1" t="str">
        <f>"150521"</f>
        <v>150521</v>
      </c>
      <c r="N617" s="1" t="s">
        <v>60</v>
      </c>
      <c r="O617" s="1" t="s">
        <v>52</v>
      </c>
      <c r="P617" s="1" t="s">
        <v>68</v>
      </c>
      <c r="Q617" s="1">
        <v>13</v>
      </c>
      <c r="R617" s="1">
        <v>0</v>
      </c>
      <c r="S617" s="1">
        <v>0</v>
      </c>
      <c r="T617" s="1">
        <v>13</v>
      </c>
      <c r="U617" s="1">
        <v>0</v>
      </c>
      <c r="V617" s="1" t="str">
        <f t="shared" si="84"/>
        <v>里程去程</v>
      </c>
      <c r="W617" s="1" t="s">
        <v>29</v>
      </c>
    </row>
    <row r="618" spans="1:23" x14ac:dyDescent="0.3">
      <c r="A618" s="1" t="str">
        <f t="shared" si="88"/>
        <v>59822</v>
      </c>
      <c r="B618" s="1" t="s">
        <v>39</v>
      </c>
      <c r="C618" s="1" t="s">
        <v>40</v>
      </c>
      <c r="D618" s="1" t="str">
        <f t="shared" si="83"/>
        <v>9801</v>
      </c>
      <c r="E618" s="1" t="s">
        <v>25</v>
      </c>
      <c r="F618" s="1" t="str">
        <f>"1104754597"</f>
        <v>1104754597</v>
      </c>
      <c r="G618" s="1" t="s">
        <v>38</v>
      </c>
      <c r="H618" s="1" t="str">
        <f t="shared" si="89"/>
        <v>20220916</v>
      </c>
      <c r="I618" s="1" t="str">
        <f>"150621"</f>
        <v>150621</v>
      </c>
      <c r="J618" s="1" t="s">
        <v>60</v>
      </c>
      <c r="K618" s="1" t="s">
        <v>52</v>
      </c>
      <c r="L618" s="1" t="str">
        <f t="shared" si="90"/>
        <v>20220916</v>
      </c>
      <c r="M618" s="1" t="str">
        <f>"153116"</f>
        <v>153116</v>
      </c>
      <c r="N618" s="1" t="s">
        <v>70</v>
      </c>
      <c r="O618" s="1" t="s">
        <v>28</v>
      </c>
      <c r="P618" s="1" t="s">
        <v>55</v>
      </c>
      <c r="Q618" s="1">
        <v>25</v>
      </c>
      <c r="R618" s="1">
        <v>25</v>
      </c>
      <c r="S618" s="1">
        <v>0</v>
      </c>
      <c r="T618" s="1">
        <v>0</v>
      </c>
      <c r="U618" s="1">
        <v>0</v>
      </c>
      <c r="V618" s="1" t="str">
        <f t="shared" si="84"/>
        <v>里程去程</v>
      </c>
      <c r="W618" s="1" t="s">
        <v>35</v>
      </c>
    </row>
    <row r="619" spans="1:23" x14ac:dyDescent="0.3">
      <c r="A619" s="1" t="str">
        <f t="shared" si="88"/>
        <v>59822</v>
      </c>
      <c r="B619" s="1" t="s">
        <v>39</v>
      </c>
      <c r="C619" s="1" t="s">
        <v>40</v>
      </c>
      <c r="D619" s="1" t="str">
        <f t="shared" si="83"/>
        <v>9801</v>
      </c>
      <c r="E619" s="1" t="s">
        <v>25</v>
      </c>
      <c r="F619" s="1" t="str">
        <f>"1663021445"</f>
        <v>1663021445</v>
      </c>
      <c r="G619" s="1" t="s">
        <v>74</v>
      </c>
      <c r="H619" s="1" t="str">
        <f t="shared" si="89"/>
        <v>20220916</v>
      </c>
      <c r="I619" s="1" t="str">
        <f>"152336"</f>
        <v>152336</v>
      </c>
      <c r="J619" s="1" t="s">
        <v>67</v>
      </c>
      <c r="K619" s="1" t="s">
        <v>52</v>
      </c>
      <c r="L619" s="1" t="str">
        <f t="shared" si="90"/>
        <v>20220916</v>
      </c>
      <c r="M619" s="1" t="str">
        <f>"153045"</f>
        <v>153045</v>
      </c>
      <c r="N619" s="1" t="s">
        <v>70</v>
      </c>
      <c r="O619" s="1" t="s">
        <v>28</v>
      </c>
      <c r="P619" s="1" t="s">
        <v>55</v>
      </c>
      <c r="Q619" s="1">
        <v>13</v>
      </c>
      <c r="R619" s="1">
        <v>13</v>
      </c>
      <c r="S619" s="1">
        <v>0</v>
      </c>
      <c r="T619" s="1">
        <v>0</v>
      </c>
      <c r="U619" s="1">
        <v>0</v>
      </c>
      <c r="V619" s="1" t="str">
        <f t="shared" si="84"/>
        <v>里程去程</v>
      </c>
      <c r="W619" s="1" t="s">
        <v>35</v>
      </c>
    </row>
    <row r="620" spans="1:23" x14ac:dyDescent="0.3">
      <c r="A620" s="1" t="str">
        <f t="shared" si="88"/>
        <v>59822</v>
      </c>
      <c r="B620" s="1" t="s">
        <v>39</v>
      </c>
      <c r="C620" s="1" t="s">
        <v>40</v>
      </c>
      <c r="D620" s="1" t="str">
        <f t="shared" si="83"/>
        <v>9801</v>
      </c>
      <c r="E620" s="1" t="s">
        <v>25</v>
      </c>
      <c r="F620" s="1" t="str">
        <f>"1693417729"</f>
        <v>1693417729</v>
      </c>
      <c r="G620" s="1" t="s">
        <v>33</v>
      </c>
      <c r="H620" s="1" t="str">
        <f t="shared" si="89"/>
        <v>20220916</v>
      </c>
      <c r="I620" s="1" t="str">
        <f>"155423"</f>
        <v>155423</v>
      </c>
      <c r="J620" s="1" t="s">
        <v>91</v>
      </c>
      <c r="K620" s="1" t="s">
        <v>45</v>
      </c>
      <c r="L620" s="1" t="str">
        <f t="shared" si="90"/>
        <v>20220916</v>
      </c>
      <c r="M620" s="1" t="str">
        <f>"160149"</f>
        <v>160149</v>
      </c>
      <c r="N620" s="1" t="s">
        <v>44</v>
      </c>
      <c r="O620" s="1" t="s">
        <v>45</v>
      </c>
      <c r="P620" s="1" t="s">
        <v>55</v>
      </c>
      <c r="Q620" s="1">
        <v>25</v>
      </c>
      <c r="R620" s="1">
        <v>25</v>
      </c>
      <c r="S620" s="1">
        <v>0</v>
      </c>
      <c r="T620" s="1">
        <v>0</v>
      </c>
      <c r="U620" s="1">
        <v>0</v>
      </c>
      <c r="V620" s="1" t="str">
        <f t="shared" si="84"/>
        <v>里程去程</v>
      </c>
      <c r="W620" s="1" t="s">
        <v>35</v>
      </c>
    </row>
    <row r="621" spans="1:23" x14ac:dyDescent="0.3">
      <c r="A621" s="1" t="str">
        <f t="shared" si="88"/>
        <v>59822</v>
      </c>
      <c r="B621" s="1" t="s">
        <v>39</v>
      </c>
      <c r="C621" s="1" t="s">
        <v>40</v>
      </c>
      <c r="D621" s="1" t="str">
        <f t="shared" si="83"/>
        <v>9801</v>
      </c>
      <c r="E621" s="1" t="s">
        <v>25</v>
      </c>
      <c r="F621" s="1" t="str">
        <f>"929885461"</f>
        <v>929885461</v>
      </c>
      <c r="G621" s="1" t="s">
        <v>33</v>
      </c>
      <c r="H621" s="1" t="str">
        <f t="shared" si="89"/>
        <v>20220916</v>
      </c>
      <c r="I621" s="1" t="str">
        <f>"160858"</f>
        <v>160858</v>
      </c>
      <c r="J621" s="1" t="s">
        <v>60</v>
      </c>
      <c r="K621" s="1" t="s">
        <v>52</v>
      </c>
      <c r="L621" s="1" t="str">
        <f t="shared" si="90"/>
        <v>20220916</v>
      </c>
      <c r="M621" s="1" t="str">
        <f>"163659"</f>
        <v>163659</v>
      </c>
      <c r="N621" s="1" t="s">
        <v>70</v>
      </c>
      <c r="O621" s="1" t="s">
        <v>28</v>
      </c>
      <c r="P621" s="1" t="s">
        <v>55</v>
      </c>
      <c r="Q621" s="1">
        <v>25</v>
      </c>
      <c r="R621" s="1">
        <v>25</v>
      </c>
      <c r="S621" s="1">
        <v>0</v>
      </c>
      <c r="T621" s="1">
        <v>0</v>
      </c>
      <c r="U621" s="1">
        <v>0</v>
      </c>
      <c r="V621" s="1" t="str">
        <f t="shared" si="84"/>
        <v>里程去程</v>
      </c>
      <c r="W621" s="1" t="s">
        <v>35</v>
      </c>
    </row>
    <row r="622" spans="1:23" x14ac:dyDescent="0.3">
      <c r="A622" s="1" t="str">
        <f t="shared" si="88"/>
        <v>59822</v>
      </c>
      <c r="B622" s="1" t="s">
        <v>39</v>
      </c>
      <c r="C622" s="1" t="s">
        <v>40</v>
      </c>
      <c r="D622" s="1" t="str">
        <f t="shared" si="83"/>
        <v>9801</v>
      </c>
      <c r="E622" s="1" t="s">
        <v>25</v>
      </c>
      <c r="F622" s="1" t="str">
        <f>"7227E702B0880400C834002000000015"</f>
        <v>7227E702B0880400C834002000000015</v>
      </c>
      <c r="G622" s="1" t="s">
        <v>74</v>
      </c>
      <c r="H622" s="1" t="str">
        <f t="shared" si="89"/>
        <v>20220916</v>
      </c>
      <c r="I622" s="1" t="str">
        <f>"160902"</f>
        <v>160902</v>
      </c>
      <c r="J622" s="1" t="s">
        <v>60</v>
      </c>
      <c r="K622" s="1" t="s">
        <v>52</v>
      </c>
      <c r="L622" s="1" t="str">
        <f t="shared" si="90"/>
        <v>20220916</v>
      </c>
      <c r="M622" s="1" t="str">
        <f>"161938"</f>
        <v>161938</v>
      </c>
      <c r="N622" s="1" t="s">
        <v>80</v>
      </c>
      <c r="O622" s="1" t="s">
        <v>52</v>
      </c>
      <c r="P622" s="1" t="s">
        <v>68</v>
      </c>
      <c r="Q622" s="1">
        <v>13</v>
      </c>
      <c r="R622" s="1">
        <v>0</v>
      </c>
      <c r="S622" s="1">
        <v>0</v>
      </c>
      <c r="T622" s="1">
        <v>13</v>
      </c>
      <c r="U622" s="1">
        <v>0</v>
      </c>
      <c r="V622" s="1" t="str">
        <f t="shared" si="84"/>
        <v>里程去程</v>
      </c>
      <c r="W622" s="1" t="s">
        <v>29</v>
      </c>
    </row>
    <row r="623" spans="1:23" x14ac:dyDescent="0.3">
      <c r="A623" s="1" t="str">
        <f t="shared" si="88"/>
        <v>59822</v>
      </c>
      <c r="B623" s="1" t="s">
        <v>39</v>
      </c>
      <c r="C623" s="1" t="s">
        <v>40</v>
      </c>
      <c r="D623" s="1" t="str">
        <f t="shared" si="83"/>
        <v>9801</v>
      </c>
      <c r="E623" s="1" t="s">
        <v>25</v>
      </c>
      <c r="F623" s="1" t="str">
        <f>"894153189"</f>
        <v>894153189</v>
      </c>
      <c r="G623" s="1" t="s">
        <v>33</v>
      </c>
      <c r="H623" s="1" t="str">
        <f t="shared" si="89"/>
        <v>20220916</v>
      </c>
      <c r="I623" s="1" t="str">
        <f>"161443"</f>
        <v>161443</v>
      </c>
      <c r="J623" s="1" t="s">
        <v>72</v>
      </c>
      <c r="K623" s="1" t="s">
        <v>52</v>
      </c>
      <c r="L623" s="1" t="str">
        <f t="shared" si="90"/>
        <v>20220916</v>
      </c>
      <c r="M623" s="1" t="str">
        <f>"163702"</f>
        <v>163702</v>
      </c>
      <c r="N623" s="1" t="s">
        <v>70</v>
      </c>
      <c r="O623" s="1" t="s">
        <v>28</v>
      </c>
      <c r="P623" s="1" t="s">
        <v>55</v>
      </c>
      <c r="Q623" s="1">
        <v>25</v>
      </c>
      <c r="R623" s="1">
        <v>25</v>
      </c>
      <c r="S623" s="1">
        <v>0</v>
      </c>
      <c r="T623" s="1">
        <v>0</v>
      </c>
      <c r="U623" s="1">
        <v>0</v>
      </c>
      <c r="V623" s="1" t="str">
        <f t="shared" si="84"/>
        <v>里程去程</v>
      </c>
      <c r="W623" s="1" t="s">
        <v>35</v>
      </c>
    </row>
    <row r="624" spans="1:23" x14ac:dyDescent="0.3">
      <c r="A624" s="1" t="str">
        <f t="shared" si="88"/>
        <v>59822</v>
      </c>
      <c r="B624" s="1" t="s">
        <v>39</v>
      </c>
      <c r="C624" s="1" t="s">
        <v>40</v>
      </c>
      <c r="D624" s="1" t="str">
        <f t="shared" si="83"/>
        <v>9801</v>
      </c>
      <c r="E624" s="1" t="s">
        <v>25</v>
      </c>
      <c r="F624" s="1" t="str">
        <f>"1764580097"</f>
        <v>1764580097</v>
      </c>
      <c r="G624" s="1" t="s">
        <v>33</v>
      </c>
      <c r="H624" s="1" t="str">
        <f t="shared" si="89"/>
        <v>20220916</v>
      </c>
      <c r="I624" s="1" t="str">
        <f>"163711"</f>
        <v>163711</v>
      </c>
      <c r="J624" s="1" t="s">
        <v>27</v>
      </c>
      <c r="K624" s="1" t="s">
        <v>28</v>
      </c>
      <c r="L624" s="1" t="str">
        <f t="shared" si="90"/>
        <v>20220916</v>
      </c>
      <c r="M624" s="1" t="str">
        <f>"170143"</f>
        <v>170143</v>
      </c>
      <c r="N624" s="1" t="s">
        <v>44</v>
      </c>
      <c r="O624" s="1" t="s">
        <v>45</v>
      </c>
      <c r="P624" s="1" t="s">
        <v>55</v>
      </c>
      <c r="Q624" s="1">
        <v>25</v>
      </c>
      <c r="R624" s="1">
        <v>0</v>
      </c>
      <c r="S624" s="1">
        <v>25</v>
      </c>
      <c r="T624" s="1">
        <v>0</v>
      </c>
      <c r="U624" s="1">
        <v>0</v>
      </c>
      <c r="V624" s="1" t="str">
        <f t="shared" si="84"/>
        <v>里程去程</v>
      </c>
      <c r="W624" s="1" t="s">
        <v>35</v>
      </c>
    </row>
    <row r="625" spans="1:23" x14ac:dyDescent="0.3">
      <c r="A625" s="1" t="str">
        <f t="shared" si="88"/>
        <v>59822</v>
      </c>
      <c r="B625" s="1" t="s">
        <v>39</v>
      </c>
      <c r="C625" s="1" t="s">
        <v>40</v>
      </c>
      <c r="D625" s="1" t="str">
        <f t="shared" si="83"/>
        <v>9801</v>
      </c>
      <c r="E625" s="1" t="s">
        <v>25</v>
      </c>
      <c r="F625" s="1" t="str">
        <f>"93C7C7E97A88040047BA141551301010"</f>
        <v>93C7C7E97A88040047BA141551301010</v>
      </c>
      <c r="G625" s="1" t="s">
        <v>58</v>
      </c>
      <c r="H625" s="1" t="str">
        <f t="shared" si="89"/>
        <v>20220916</v>
      </c>
      <c r="I625" s="1" t="str">
        <f>"163725"</f>
        <v>163725</v>
      </c>
      <c r="J625" s="1" t="s">
        <v>27</v>
      </c>
      <c r="K625" s="1" t="s">
        <v>28</v>
      </c>
      <c r="L625" s="1" t="str">
        <f t="shared" si="90"/>
        <v>20220916</v>
      </c>
      <c r="M625" s="1" t="str">
        <f>"164821"</f>
        <v>164821</v>
      </c>
      <c r="N625" s="1" t="s">
        <v>45</v>
      </c>
      <c r="O625" s="1" t="s">
        <v>45</v>
      </c>
      <c r="P625" s="1" t="s">
        <v>55</v>
      </c>
      <c r="Q625" s="1">
        <v>25</v>
      </c>
      <c r="R625" s="1">
        <v>25</v>
      </c>
      <c r="S625" s="1">
        <v>0</v>
      </c>
      <c r="T625" s="1">
        <v>0</v>
      </c>
      <c r="U625" s="1">
        <v>0</v>
      </c>
      <c r="V625" s="1" t="str">
        <f t="shared" si="84"/>
        <v>里程去程</v>
      </c>
      <c r="W625" s="1" t="s">
        <v>29</v>
      </c>
    </row>
    <row r="626" spans="1:23" x14ac:dyDescent="0.3">
      <c r="A626" s="1" t="str">
        <f t="shared" si="88"/>
        <v>59822</v>
      </c>
      <c r="B626" s="1" t="s">
        <v>39</v>
      </c>
      <c r="C626" s="1" t="s">
        <v>40</v>
      </c>
      <c r="D626" s="1" t="str">
        <f t="shared" si="83"/>
        <v>9801</v>
      </c>
      <c r="E626" s="1" t="s">
        <v>25</v>
      </c>
      <c r="F626" s="1" t="str">
        <f>"F2F7D002D7880400C834002000000015"</f>
        <v>F2F7D002D7880400C834002000000015</v>
      </c>
      <c r="G626" s="1" t="s">
        <v>74</v>
      </c>
      <c r="H626" s="1" t="str">
        <f t="shared" si="89"/>
        <v>20220916</v>
      </c>
      <c r="I626" s="1" t="str">
        <f>"165534"</f>
        <v>165534</v>
      </c>
      <c r="J626" s="1" t="s">
        <v>75</v>
      </c>
      <c r="K626" s="1" t="s">
        <v>45</v>
      </c>
      <c r="L626" s="1" t="str">
        <f t="shared" si="90"/>
        <v>20220916</v>
      </c>
      <c r="M626" s="1" t="str">
        <f>"170052"</f>
        <v>170052</v>
      </c>
      <c r="N626" s="1" t="s">
        <v>44</v>
      </c>
      <c r="O626" s="1" t="s">
        <v>45</v>
      </c>
      <c r="P626" s="1" t="s">
        <v>68</v>
      </c>
      <c r="Q626" s="1">
        <v>13</v>
      </c>
      <c r="R626" s="1">
        <v>0</v>
      </c>
      <c r="S626" s="1">
        <v>0</v>
      </c>
      <c r="T626" s="1">
        <v>13</v>
      </c>
      <c r="U626" s="1">
        <v>0</v>
      </c>
      <c r="V626" s="1" t="str">
        <f t="shared" si="84"/>
        <v>里程去程</v>
      </c>
      <c r="W626" s="1" t="s">
        <v>29</v>
      </c>
    </row>
    <row r="627" spans="1:23" x14ac:dyDescent="0.3">
      <c r="A627" s="1" t="str">
        <f t="shared" si="88"/>
        <v>59822</v>
      </c>
      <c r="B627" s="1" t="s">
        <v>39</v>
      </c>
      <c r="C627" s="1" t="s">
        <v>40</v>
      </c>
      <c r="D627" s="1" t="str">
        <f t="shared" si="83"/>
        <v>9801</v>
      </c>
      <c r="E627" s="1" t="s">
        <v>25</v>
      </c>
      <c r="F627" s="1" t="str">
        <f>"2597873551"</f>
        <v>2597873551</v>
      </c>
      <c r="G627" s="1" t="s">
        <v>33</v>
      </c>
      <c r="H627" s="1" t="str">
        <f t="shared" si="89"/>
        <v>20220916</v>
      </c>
      <c r="I627" s="1" t="str">
        <f>"203724"</f>
        <v>203724</v>
      </c>
      <c r="J627" s="1" t="s">
        <v>27</v>
      </c>
      <c r="K627" s="1" t="s">
        <v>28</v>
      </c>
      <c r="L627" s="1" t="str">
        <f t="shared" si="90"/>
        <v>20220916</v>
      </c>
      <c r="M627" s="1" t="str">
        <f>"204803"</f>
        <v>204803</v>
      </c>
      <c r="N627" s="1" t="s">
        <v>56</v>
      </c>
      <c r="O627" s="1" t="s">
        <v>45</v>
      </c>
      <c r="P627" s="1" t="s">
        <v>55</v>
      </c>
      <c r="Q627" s="1">
        <v>25</v>
      </c>
      <c r="R627" s="1">
        <v>25</v>
      </c>
      <c r="S627" s="1">
        <v>0</v>
      </c>
      <c r="T627" s="1">
        <v>0</v>
      </c>
      <c r="U627" s="1">
        <v>0</v>
      </c>
      <c r="V627" s="1" t="str">
        <f t="shared" si="84"/>
        <v>里程去程</v>
      </c>
      <c r="W627" s="1" t="s">
        <v>35</v>
      </c>
    </row>
    <row r="628" spans="1:23" x14ac:dyDescent="0.3">
      <c r="A628" s="1" t="str">
        <f>"59809"</f>
        <v>59809</v>
      </c>
      <c r="B628" s="1" t="s">
        <v>42</v>
      </c>
      <c r="C628" s="1" t="s">
        <v>43</v>
      </c>
      <c r="D628" s="1" t="str">
        <f t="shared" si="83"/>
        <v>9801</v>
      </c>
      <c r="E628" s="1" t="s">
        <v>25</v>
      </c>
      <c r="F628" s="1" t="str">
        <f>"1030853493"</f>
        <v>1030853493</v>
      </c>
      <c r="G628" s="1" t="s">
        <v>38</v>
      </c>
      <c r="H628" s="1" t="str">
        <f t="shared" ref="H628:H662" si="91">"20220917"</f>
        <v>20220917</v>
      </c>
      <c r="I628" s="1" t="str">
        <f>"082710"</f>
        <v>082710</v>
      </c>
      <c r="J628" s="1" t="s">
        <v>27</v>
      </c>
      <c r="K628" s="1" t="s">
        <v>28</v>
      </c>
      <c r="L628" s="1" t="str">
        <f t="shared" ref="L628:L662" si="92">"20220917"</f>
        <v>20220917</v>
      </c>
      <c r="M628" s="1" t="str">
        <f>"085616"</f>
        <v>085616</v>
      </c>
      <c r="N628" s="1" t="s">
        <v>44</v>
      </c>
      <c r="O628" s="1" t="s">
        <v>45</v>
      </c>
      <c r="P628" s="1" t="s">
        <v>55</v>
      </c>
      <c r="Q628" s="1">
        <v>25</v>
      </c>
      <c r="R628" s="1">
        <v>25</v>
      </c>
      <c r="S628" s="1">
        <v>0</v>
      </c>
      <c r="T628" s="1">
        <v>0</v>
      </c>
      <c r="U628" s="1">
        <v>0</v>
      </c>
      <c r="V628" s="1" t="str">
        <f t="shared" si="84"/>
        <v>里程去程</v>
      </c>
      <c r="W628" s="1" t="s">
        <v>35</v>
      </c>
    </row>
    <row r="629" spans="1:23" x14ac:dyDescent="0.3">
      <c r="A629" s="1" t="str">
        <f>"59809"</f>
        <v>59809</v>
      </c>
      <c r="B629" s="1" t="s">
        <v>42</v>
      </c>
      <c r="C629" s="1" t="s">
        <v>43</v>
      </c>
      <c r="D629" s="1" t="str">
        <f t="shared" si="83"/>
        <v>9801</v>
      </c>
      <c r="E629" s="1" t="s">
        <v>25</v>
      </c>
      <c r="F629" s="1" t="str">
        <f>"32780D0344880400C834002000000015"</f>
        <v>32780D0344880400C834002000000015</v>
      </c>
      <c r="G629" s="1" t="s">
        <v>26</v>
      </c>
      <c r="H629" s="1" t="str">
        <f t="shared" si="91"/>
        <v>20220917</v>
      </c>
      <c r="I629" s="1" t="str">
        <f>"083621"</f>
        <v>083621</v>
      </c>
      <c r="J629" s="1" t="s">
        <v>27</v>
      </c>
      <c r="K629" s="1" t="s">
        <v>28</v>
      </c>
      <c r="L629" s="1" t="str">
        <f t="shared" si="92"/>
        <v>20220917</v>
      </c>
      <c r="M629" s="1" t="str">
        <f>"084233"</f>
        <v>084233</v>
      </c>
      <c r="N629" s="1" t="s">
        <v>79</v>
      </c>
      <c r="O629" s="1" t="s">
        <v>45</v>
      </c>
      <c r="P629" s="1" t="s">
        <v>68</v>
      </c>
      <c r="Q629" s="1">
        <v>13</v>
      </c>
      <c r="R629" s="1">
        <v>0</v>
      </c>
      <c r="S629" s="1">
        <v>0</v>
      </c>
      <c r="T629" s="1">
        <v>13</v>
      </c>
      <c r="U629" s="1">
        <v>0</v>
      </c>
      <c r="V629" s="1" t="str">
        <f t="shared" si="84"/>
        <v>里程去程</v>
      </c>
      <c r="W629" s="1" t="s">
        <v>29</v>
      </c>
    </row>
    <row r="630" spans="1:23" x14ac:dyDescent="0.3">
      <c r="A630" s="1" t="str">
        <f>"59809"</f>
        <v>59809</v>
      </c>
      <c r="B630" s="1" t="s">
        <v>42</v>
      </c>
      <c r="C630" s="1" t="s">
        <v>43</v>
      </c>
      <c r="D630" s="1" t="str">
        <f t="shared" si="83"/>
        <v>9801</v>
      </c>
      <c r="E630" s="1" t="s">
        <v>25</v>
      </c>
      <c r="F630" s="1" t="str">
        <f>"32780D0344880400C834002000000015"</f>
        <v>32780D0344880400C834002000000015</v>
      </c>
      <c r="G630" s="1" t="s">
        <v>26</v>
      </c>
      <c r="H630" s="1" t="str">
        <f t="shared" si="91"/>
        <v>20220917</v>
      </c>
      <c r="I630" s="1" t="str">
        <f>"084449"</f>
        <v>084449</v>
      </c>
      <c r="J630" s="1" t="s">
        <v>45</v>
      </c>
      <c r="K630" s="1" t="s">
        <v>45</v>
      </c>
      <c r="L630" s="1" t="str">
        <f t="shared" si="92"/>
        <v>20220917</v>
      </c>
      <c r="M630" s="1" t="str">
        <f>"084648"</f>
        <v>084648</v>
      </c>
      <c r="N630" s="1" t="s">
        <v>56</v>
      </c>
      <c r="O630" s="1" t="s">
        <v>45</v>
      </c>
      <c r="P630" s="1" t="s">
        <v>68</v>
      </c>
      <c r="Q630" s="1">
        <v>13</v>
      </c>
      <c r="R630" s="1">
        <v>0</v>
      </c>
      <c r="S630" s="1">
        <v>0</v>
      </c>
      <c r="T630" s="1">
        <v>13</v>
      </c>
      <c r="U630" s="1">
        <v>0</v>
      </c>
      <c r="V630" s="1" t="str">
        <f t="shared" si="84"/>
        <v>里程去程</v>
      </c>
      <c r="W630" s="1" t="s">
        <v>29</v>
      </c>
    </row>
    <row r="631" spans="1:23" x14ac:dyDescent="0.3">
      <c r="A631" s="1" t="str">
        <f>"59809"</f>
        <v>59809</v>
      </c>
      <c r="B631" s="1" t="s">
        <v>42</v>
      </c>
      <c r="C631" s="1" t="s">
        <v>43</v>
      </c>
      <c r="D631" s="1" t="str">
        <f t="shared" si="83"/>
        <v>9801</v>
      </c>
      <c r="E631" s="1" t="s">
        <v>25</v>
      </c>
      <c r="F631" s="1" t="str">
        <f>"1636928213"</f>
        <v>1636928213</v>
      </c>
      <c r="G631" s="1" t="s">
        <v>33</v>
      </c>
      <c r="H631" s="1" t="str">
        <f t="shared" si="91"/>
        <v>20220917</v>
      </c>
      <c r="I631" s="1" t="str">
        <f>"091905"</f>
        <v>091905</v>
      </c>
      <c r="J631" s="1" t="s">
        <v>69</v>
      </c>
      <c r="K631" s="1" t="s">
        <v>52</v>
      </c>
      <c r="L631" s="1" t="str">
        <f t="shared" si="92"/>
        <v>20220917</v>
      </c>
      <c r="M631" s="1" t="str">
        <f>"092948"</f>
        <v>092948</v>
      </c>
      <c r="N631" s="1" t="s">
        <v>70</v>
      </c>
      <c r="O631" s="1" t="s">
        <v>28</v>
      </c>
      <c r="P631" s="1" t="s">
        <v>55</v>
      </c>
      <c r="Q631" s="1">
        <v>25</v>
      </c>
      <c r="R631" s="1">
        <v>25</v>
      </c>
      <c r="S631" s="1">
        <v>0</v>
      </c>
      <c r="T631" s="1">
        <v>0</v>
      </c>
      <c r="U631" s="1">
        <v>0</v>
      </c>
      <c r="V631" s="1" t="str">
        <f t="shared" si="84"/>
        <v>里程去程</v>
      </c>
      <c r="W631" s="1" t="s">
        <v>35</v>
      </c>
    </row>
    <row r="632" spans="1:23" x14ac:dyDescent="0.3">
      <c r="A632" s="1" t="str">
        <f>"59809"</f>
        <v>59809</v>
      </c>
      <c r="B632" s="1" t="s">
        <v>42</v>
      </c>
      <c r="C632" s="1" t="s">
        <v>43</v>
      </c>
      <c r="D632" s="1" t="str">
        <f t="shared" si="83"/>
        <v>9801</v>
      </c>
      <c r="E632" s="1" t="s">
        <v>25</v>
      </c>
      <c r="F632" s="1" t="str">
        <f>"E213BD024E880400C834002000000015"</f>
        <v>E213BD024E880400C834002000000015</v>
      </c>
      <c r="G632" s="1" t="s">
        <v>74</v>
      </c>
      <c r="H632" s="1" t="str">
        <f t="shared" si="91"/>
        <v>20220917</v>
      </c>
      <c r="I632" s="1" t="str">
        <f>"093007"</f>
        <v>093007</v>
      </c>
      <c r="J632" s="1" t="s">
        <v>27</v>
      </c>
      <c r="K632" s="1" t="s">
        <v>28</v>
      </c>
      <c r="L632" s="1" t="str">
        <f t="shared" si="92"/>
        <v>20220917</v>
      </c>
      <c r="M632" s="1" t="str">
        <f>"094349"</f>
        <v>094349</v>
      </c>
      <c r="N632" s="1" t="s">
        <v>61</v>
      </c>
      <c r="O632" s="1" t="s">
        <v>45</v>
      </c>
      <c r="P632" s="1" t="s">
        <v>68</v>
      </c>
      <c r="Q632" s="1">
        <v>13</v>
      </c>
      <c r="R632" s="1">
        <v>0</v>
      </c>
      <c r="S632" s="1">
        <v>0</v>
      </c>
      <c r="T632" s="1">
        <v>13</v>
      </c>
      <c r="U632" s="1">
        <v>0</v>
      </c>
      <c r="V632" s="1" t="str">
        <f t="shared" si="84"/>
        <v>里程去程</v>
      </c>
      <c r="W632" s="1" t="s">
        <v>29</v>
      </c>
    </row>
    <row r="633" spans="1:23" x14ac:dyDescent="0.3">
      <c r="A633" s="1" t="str">
        <f t="shared" ref="A633:A662" si="93">"59828"</f>
        <v>59828</v>
      </c>
      <c r="B633" s="1" t="s">
        <v>23</v>
      </c>
      <c r="C633" s="1" t="s">
        <v>24</v>
      </c>
      <c r="D633" s="1" t="str">
        <f t="shared" si="83"/>
        <v>9801</v>
      </c>
      <c r="E633" s="1" t="s">
        <v>25</v>
      </c>
      <c r="F633" s="1" t="str">
        <f>"A239F5056B880400C838002000000015"</f>
        <v>A239F5056B880400C838002000000015</v>
      </c>
      <c r="G633" s="1" t="s">
        <v>26</v>
      </c>
      <c r="H633" s="1" t="str">
        <f t="shared" si="91"/>
        <v>20220917</v>
      </c>
      <c r="I633" s="1" t="str">
        <f>"110941"</f>
        <v>110941</v>
      </c>
      <c r="J633" s="1" t="s">
        <v>51</v>
      </c>
      <c r="K633" s="1" t="s">
        <v>52</v>
      </c>
      <c r="L633" s="1" t="str">
        <f t="shared" si="92"/>
        <v>20220917</v>
      </c>
      <c r="M633" s="1" t="str">
        <f>"112502"</f>
        <v>112502</v>
      </c>
      <c r="N633" s="1" t="s">
        <v>67</v>
      </c>
      <c r="O633" s="1" t="s">
        <v>52</v>
      </c>
      <c r="P633" s="1" t="s">
        <v>68</v>
      </c>
      <c r="Q633" s="1">
        <v>13</v>
      </c>
      <c r="R633" s="1">
        <v>0</v>
      </c>
      <c r="S633" s="1">
        <v>0</v>
      </c>
      <c r="T633" s="1">
        <v>13</v>
      </c>
      <c r="U633" s="1">
        <v>0</v>
      </c>
      <c r="V633" s="1" t="str">
        <f t="shared" si="84"/>
        <v>里程去程</v>
      </c>
      <c r="W633" s="1" t="s">
        <v>29</v>
      </c>
    </row>
    <row r="634" spans="1:23" x14ac:dyDescent="0.3">
      <c r="A634" s="1" t="str">
        <f t="shared" si="93"/>
        <v>59828</v>
      </c>
      <c r="B634" s="1" t="s">
        <v>23</v>
      </c>
      <c r="C634" s="1" t="s">
        <v>24</v>
      </c>
      <c r="D634" s="1" t="str">
        <f t="shared" si="83"/>
        <v>9801</v>
      </c>
      <c r="E634" s="1" t="s">
        <v>25</v>
      </c>
      <c r="F634" s="1" t="str">
        <f>"715596933"</f>
        <v>715596933</v>
      </c>
      <c r="G634" s="1" t="s">
        <v>33</v>
      </c>
      <c r="H634" s="1" t="str">
        <f t="shared" si="91"/>
        <v>20220917</v>
      </c>
      <c r="I634" s="1" t="str">
        <f>"121716"</f>
        <v>121716</v>
      </c>
      <c r="J634" s="1" t="s">
        <v>80</v>
      </c>
      <c r="K634" s="1" t="s">
        <v>52</v>
      </c>
      <c r="L634" s="1" t="str">
        <f t="shared" si="92"/>
        <v>20220917</v>
      </c>
      <c r="M634" s="1" t="str">
        <f>"123318"</f>
        <v>123318</v>
      </c>
      <c r="N634" s="1" t="s">
        <v>70</v>
      </c>
      <c r="O634" s="1" t="s">
        <v>28</v>
      </c>
      <c r="P634" s="1" t="s">
        <v>55</v>
      </c>
      <c r="Q634" s="1">
        <v>25</v>
      </c>
      <c r="R634" s="1">
        <v>25</v>
      </c>
      <c r="S634" s="1">
        <v>0</v>
      </c>
      <c r="T634" s="1">
        <v>0</v>
      </c>
      <c r="U634" s="1">
        <v>0</v>
      </c>
      <c r="V634" s="1" t="str">
        <f t="shared" si="84"/>
        <v>里程去程</v>
      </c>
      <c r="W634" s="1" t="s">
        <v>35</v>
      </c>
    </row>
    <row r="635" spans="1:23" x14ac:dyDescent="0.3">
      <c r="A635" s="1" t="str">
        <f t="shared" si="93"/>
        <v>59828</v>
      </c>
      <c r="B635" s="1" t="s">
        <v>23</v>
      </c>
      <c r="C635" s="1" t="s">
        <v>24</v>
      </c>
      <c r="D635" s="1" t="str">
        <f t="shared" si="83"/>
        <v>9801</v>
      </c>
      <c r="E635" s="1" t="s">
        <v>25</v>
      </c>
      <c r="F635" s="1" t="str">
        <f>"32AA6002FA880400C821002000000015"</f>
        <v>32AA6002FA880400C821002000000015</v>
      </c>
      <c r="G635" s="1" t="s">
        <v>58</v>
      </c>
      <c r="H635" s="1" t="str">
        <f t="shared" si="91"/>
        <v>20220917</v>
      </c>
      <c r="I635" s="1" t="str">
        <f>"122256"</f>
        <v>122256</v>
      </c>
      <c r="J635" s="1" t="s">
        <v>69</v>
      </c>
      <c r="K635" s="1" t="s">
        <v>52</v>
      </c>
      <c r="L635" s="1" t="str">
        <f t="shared" si="92"/>
        <v>20220917</v>
      </c>
      <c r="M635" s="1" t="str">
        <f>"123324"</f>
        <v>123324</v>
      </c>
      <c r="N635" s="1" t="s">
        <v>70</v>
      </c>
      <c r="O635" s="1" t="s">
        <v>28</v>
      </c>
      <c r="P635" s="1" t="s">
        <v>55</v>
      </c>
      <c r="Q635" s="1">
        <v>25</v>
      </c>
      <c r="R635" s="1">
        <v>25</v>
      </c>
      <c r="S635" s="1">
        <v>0</v>
      </c>
      <c r="T635" s="1">
        <v>0</v>
      </c>
      <c r="U635" s="1">
        <v>0</v>
      </c>
      <c r="V635" s="1" t="str">
        <f t="shared" si="84"/>
        <v>里程去程</v>
      </c>
      <c r="W635" s="1" t="s">
        <v>29</v>
      </c>
    </row>
    <row r="636" spans="1:23" x14ac:dyDescent="0.3">
      <c r="A636" s="1" t="str">
        <f t="shared" si="93"/>
        <v>59828</v>
      </c>
      <c r="B636" s="1" t="s">
        <v>23</v>
      </c>
      <c r="C636" s="1" t="s">
        <v>24</v>
      </c>
      <c r="D636" s="1" t="str">
        <f t="shared" si="83"/>
        <v>9801</v>
      </c>
      <c r="E636" s="1" t="s">
        <v>25</v>
      </c>
      <c r="F636" s="1" t="str">
        <f>"1240765621"</f>
        <v>1240765621</v>
      </c>
      <c r="G636" s="1" t="s">
        <v>26</v>
      </c>
      <c r="H636" s="1" t="str">
        <f t="shared" si="91"/>
        <v>20220917</v>
      </c>
      <c r="I636" s="1" t="str">
        <f>"123330"</f>
        <v>123330</v>
      </c>
      <c r="J636" s="1" t="s">
        <v>27</v>
      </c>
      <c r="K636" s="1" t="s">
        <v>28</v>
      </c>
      <c r="L636" s="1" t="str">
        <f t="shared" si="92"/>
        <v>20220917</v>
      </c>
      <c r="M636" s="1" t="str">
        <f>"124432"</f>
        <v>124432</v>
      </c>
      <c r="N636" s="1" t="s">
        <v>61</v>
      </c>
      <c r="O636" s="1" t="s">
        <v>45</v>
      </c>
      <c r="P636" s="1" t="s">
        <v>55</v>
      </c>
      <c r="Q636" s="1">
        <v>13</v>
      </c>
      <c r="R636" s="1">
        <v>13</v>
      </c>
      <c r="S636" s="1">
        <v>0</v>
      </c>
      <c r="T636" s="1">
        <v>0</v>
      </c>
      <c r="U636" s="1">
        <v>0</v>
      </c>
      <c r="V636" s="1" t="str">
        <f t="shared" si="84"/>
        <v>里程去程</v>
      </c>
      <c r="W636" s="1" t="s">
        <v>35</v>
      </c>
    </row>
    <row r="637" spans="1:23" x14ac:dyDescent="0.3">
      <c r="A637" s="1" t="str">
        <f t="shared" si="93"/>
        <v>59828</v>
      </c>
      <c r="B637" s="1" t="s">
        <v>23</v>
      </c>
      <c r="C637" s="1" t="s">
        <v>24</v>
      </c>
      <c r="D637" s="1" t="str">
        <f t="shared" si="83"/>
        <v>9801</v>
      </c>
      <c r="E637" s="1" t="s">
        <v>25</v>
      </c>
      <c r="F637" s="1" t="str">
        <f>"976682245"</f>
        <v>976682245</v>
      </c>
      <c r="G637" s="1" t="s">
        <v>33</v>
      </c>
      <c r="H637" s="1" t="str">
        <f t="shared" si="91"/>
        <v>20220917</v>
      </c>
      <c r="I637" s="1" t="str">
        <f>"123334"</f>
        <v>123334</v>
      </c>
      <c r="J637" s="1" t="s">
        <v>27</v>
      </c>
      <c r="K637" s="1" t="s">
        <v>28</v>
      </c>
      <c r="L637" s="1" t="str">
        <f t="shared" si="92"/>
        <v>20220917</v>
      </c>
      <c r="M637" s="1" t="str">
        <f>"124429"</f>
        <v>124429</v>
      </c>
      <c r="N637" s="1" t="s">
        <v>61</v>
      </c>
      <c r="O637" s="1" t="s">
        <v>45</v>
      </c>
      <c r="P637" s="1" t="s">
        <v>55</v>
      </c>
      <c r="Q637" s="1">
        <v>25</v>
      </c>
      <c r="R637" s="1">
        <v>25</v>
      </c>
      <c r="S637" s="1">
        <v>0</v>
      </c>
      <c r="T637" s="1">
        <v>0</v>
      </c>
      <c r="U637" s="1">
        <v>0</v>
      </c>
      <c r="V637" s="1" t="str">
        <f t="shared" si="84"/>
        <v>里程去程</v>
      </c>
      <c r="W637" s="1" t="s">
        <v>35</v>
      </c>
    </row>
    <row r="638" spans="1:23" x14ac:dyDescent="0.3">
      <c r="A638" s="1" t="str">
        <f t="shared" si="93"/>
        <v>59828</v>
      </c>
      <c r="B638" s="1" t="s">
        <v>23</v>
      </c>
      <c r="C638" s="1" t="s">
        <v>24</v>
      </c>
      <c r="D638" s="1" t="str">
        <f t="shared" si="83"/>
        <v>9801</v>
      </c>
      <c r="E638" s="1" t="s">
        <v>25</v>
      </c>
      <c r="F638" s="1" t="str">
        <f>"2E750CA0F788040047C1365743F02810"</f>
        <v>2E750CA0F788040047C1365743F02810</v>
      </c>
      <c r="G638" s="1" t="s">
        <v>58</v>
      </c>
      <c r="H638" s="1" t="str">
        <f t="shared" si="91"/>
        <v>20220917</v>
      </c>
      <c r="I638" s="1" t="str">
        <f>"123350"</f>
        <v>123350</v>
      </c>
      <c r="J638" s="1" t="s">
        <v>27</v>
      </c>
      <c r="K638" s="1" t="s">
        <v>28</v>
      </c>
      <c r="L638" s="1" t="str">
        <f t="shared" si="92"/>
        <v>20220917</v>
      </c>
      <c r="M638" s="1" t="str">
        <f>"125415"</f>
        <v>125415</v>
      </c>
      <c r="N638" s="1" t="s">
        <v>44</v>
      </c>
      <c r="O638" s="1" t="s">
        <v>45</v>
      </c>
      <c r="P638" s="1" t="s">
        <v>55</v>
      </c>
      <c r="Q638" s="1">
        <v>25</v>
      </c>
      <c r="R638" s="1">
        <v>25</v>
      </c>
      <c r="S638" s="1">
        <v>0</v>
      </c>
      <c r="T638" s="1">
        <v>0</v>
      </c>
      <c r="U638" s="1">
        <v>0</v>
      </c>
      <c r="V638" s="1" t="str">
        <f t="shared" si="84"/>
        <v>里程去程</v>
      </c>
      <c r="W638" s="1" t="s">
        <v>29</v>
      </c>
    </row>
    <row r="639" spans="1:23" x14ac:dyDescent="0.3">
      <c r="A639" s="1" t="str">
        <f t="shared" si="93"/>
        <v>59828</v>
      </c>
      <c r="B639" s="1" t="s">
        <v>23</v>
      </c>
      <c r="C639" s="1" t="s">
        <v>24</v>
      </c>
      <c r="D639" s="1" t="str">
        <f t="shared" si="83"/>
        <v>9801</v>
      </c>
      <c r="E639" s="1" t="s">
        <v>25</v>
      </c>
      <c r="F639" s="1" t="str">
        <f>"E2927D0508880400C838002000000015"</f>
        <v>E2927D0508880400C838002000000015</v>
      </c>
      <c r="G639" s="1" t="s">
        <v>58</v>
      </c>
      <c r="H639" s="1" t="str">
        <f t="shared" si="91"/>
        <v>20220917</v>
      </c>
      <c r="I639" s="1" t="str">
        <f>"123352"</f>
        <v>123352</v>
      </c>
      <c r="J639" s="1" t="s">
        <v>27</v>
      </c>
      <c r="K639" s="1" t="s">
        <v>28</v>
      </c>
      <c r="L639" s="1" t="str">
        <f t="shared" si="92"/>
        <v>20220917</v>
      </c>
      <c r="M639" s="1" t="str">
        <f>"125419"</f>
        <v>125419</v>
      </c>
      <c r="N639" s="1" t="s">
        <v>44</v>
      </c>
      <c r="O639" s="1" t="s">
        <v>45</v>
      </c>
      <c r="P639" s="1" t="s">
        <v>55</v>
      </c>
      <c r="Q639" s="1">
        <v>25</v>
      </c>
      <c r="R639" s="1">
        <v>25</v>
      </c>
      <c r="S639" s="1">
        <v>0</v>
      </c>
      <c r="T639" s="1">
        <v>0</v>
      </c>
      <c r="U639" s="1">
        <v>0</v>
      </c>
      <c r="V639" s="1" t="str">
        <f t="shared" si="84"/>
        <v>里程去程</v>
      </c>
      <c r="W639" s="1" t="s">
        <v>29</v>
      </c>
    </row>
    <row r="640" spans="1:23" x14ac:dyDescent="0.3">
      <c r="A640" s="1" t="str">
        <f t="shared" si="93"/>
        <v>59828</v>
      </c>
      <c r="B640" s="1" t="s">
        <v>23</v>
      </c>
      <c r="C640" s="1" t="s">
        <v>24</v>
      </c>
      <c r="D640" s="1" t="str">
        <f t="shared" si="83"/>
        <v>9801</v>
      </c>
      <c r="E640" s="1" t="s">
        <v>25</v>
      </c>
      <c r="F640" s="1" t="str">
        <f>"96594849"</f>
        <v>96594849</v>
      </c>
      <c r="G640" s="1" t="s">
        <v>33</v>
      </c>
      <c r="H640" s="1" t="str">
        <f t="shared" si="91"/>
        <v>20220917</v>
      </c>
      <c r="I640" s="1" t="str">
        <f>"123357"</f>
        <v>123357</v>
      </c>
      <c r="J640" s="1" t="s">
        <v>27</v>
      </c>
      <c r="K640" s="1" t="s">
        <v>28</v>
      </c>
      <c r="L640" s="1" t="str">
        <f t="shared" si="92"/>
        <v>20220917</v>
      </c>
      <c r="M640" s="1" t="str">
        <f>"125717"</f>
        <v>125717</v>
      </c>
      <c r="N640" s="1" t="s">
        <v>44</v>
      </c>
      <c r="O640" s="1" t="s">
        <v>45</v>
      </c>
      <c r="P640" s="1" t="s">
        <v>55</v>
      </c>
      <c r="Q640" s="1">
        <v>25</v>
      </c>
      <c r="R640" s="1">
        <v>25</v>
      </c>
      <c r="S640" s="1">
        <v>0</v>
      </c>
      <c r="T640" s="1">
        <v>0</v>
      </c>
      <c r="U640" s="1">
        <v>0</v>
      </c>
      <c r="V640" s="1" t="str">
        <f t="shared" si="84"/>
        <v>里程去程</v>
      </c>
      <c r="W640" s="1" t="s">
        <v>35</v>
      </c>
    </row>
    <row r="641" spans="1:23" x14ac:dyDescent="0.3">
      <c r="A641" s="1" t="str">
        <f t="shared" si="93"/>
        <v>59828</v>
      </c>
      <c r="B641" s="1" t="s">
        <v>23</v>
      </c>
      <c r="C641" s="1" t="s">
        <v>24</v>
      </c>
      <c r="D641" s="1" t="str">
        <f t="shared" si="83"/>
        <v>9801</v>
      </c>
      <c r="E641" s="1" t="s">
        <v>25</v>
      </c>
      <c r="F641" s="1" t="str">
        <f>"1699395637"</f>
        <v>1699395637</v>
      </c>
      <c r="G641" s="1" t="s">
        <v>33</v>
      </c>
      <c r="H641" s="1" t="str">
        <f t="shared" si="91"/>
        <v>20220917</v>
      </c>
      <c r="I641" s="1" t="str">
        <f>"123505"</f>
        <v>123505</v>
      </c>
      <c r="J641" s="1" t="s">
        <v>27</v>
      </c>
      <c r="K641" s="1" t="s">
        <v>28</v>
      </c>
      <c r="L641" s="1" t="str">
        <f t="shared" si="92"/>
        <v>20220917</v>
      </c>
      <c r="M641" s="1" t="str">
        <f>"125004"</f>
        <v>125004</v>
      </c>
      <c r="N641" s="1" t="s">
        <v>91</v>
      </c>
      <c r="O641" s="1" t="s">
        <v>45</v>
      </c>
      <c r="P641" s="1" t="s">
        <v>55</v>
      </c>
      <c r="Q641" s="1">
        <v>25</v>
      </c>
      <c r="R641" s="1">
        <v>25</v>
      </c>
      <c r="S641" s="1">
        <v>0</v>
      </c>
      <c r="T641" s="1">
        <v>0</v>
      </c>
      <c r="U641" s="1">
        <v>0</v>
      </c>
      <c r="V641" s="1" t="str">
        <f t="shared" si="84"/>
        <v>里程去程</v>
      </c>
      <c r="W641" s="1" t="s">
        <v>35</v>
      </c>
    </row>
    <row r="642" spans="1:23" x14ac:dyDescent="0.3">
      <c r="A642" s="1" t="str">
        <f t="shared" si="93"/>
        <v>59828</v>
      </c>
      <c r="B642" s="1" t="s">
        <v>23</v>
      </c>
      <c r="C642" s="1" t="s">
        <v>24</v>
      </c>
      <c r="D642" s="1" t="str">
        <f t="shared" ref="D642:D705" si="94">"9801"</f>
        <v>9801</v>
      </c>
      <c r="E642" s="1" t="s">
        <v>25</v>
      </c>
      <c r="F642" s="1" t="str">
        <f>"F13B475DD08804004325C3F9000E0C0F"</f>
        <v>F13B475DD08804004325C3F9000E0C0F</v>
      </c>
      <c r="G642" s="1" t="s">
        <v>64</v>
      </c>
      <c r="H642" s="1" t="str">
        <f t="shared" si="91"/>
        <v>20220917</v>
      </c>
      <c r="I642" s="1" t="str">
        <f>"125816"</f>
        <v>125816</v>
      </c>
      <c r="J642" s="1" t="s">
        <v>52</v>
      </c>
      <c r="K642" s="1" t="s">
        <v>52</v>
      </c>
      <c r="L642" s="1" t="str">
        <f t="shared" si="92"/>
        <v>20220917</v>
      </c>
      <c r="M642" s="1" t="str">
        <f>"132513"</f>
        <v>132513</v>
      </c>
      <c r="N642" s="1" t="s">
        <v>70</v>
      </c>
      <c r="O642" s="1" t="s">
        <v>28</v>
      </c>
      <c r="P642" s="1" t="s">
        <v>55</v>
      </c>
      <c r="Q642" s="1">
        <v>13</v>
      </c>
      <c r="R642" s="1">
        <v>13</v>
      </c>
      <c r="S642" s="1">
        <v>0</v>
      </c>
      <c r="T642" s="1">
        <v>0</v>
      </c>
      <c r="U642" s="1">
        <v>0</v>
      </c>
      <c r="V642" s="1" t="str">
        <f t="shared" ref="V642:V705" si="95">"里程去程"</f>
        <v>里程去程</v>
      </c>
      <c r="W642" s="1" t="s">
        <v>29</v>
      </c>
    </row>
    <row r="643" spans="1:23" x14ac:dyDescent="0.3">
      <c r="A643" s="1" t="str">
        <f t="shared" si="93"/>
        <v>59828</v>
      </c>
      <c r="B643" s="1" t="s">
        <v>23</v>
      </c>
      <c r="C643" s="1" t="s">
        <v>24</v>
      </c>
      <c r="D643" s="1" t="str">
        <f t="shared" si="94"/>
        <v>9801</v>
      </c>
      <c r="E643" s="1" t="s">
        <v>25</v>
      </c>
      <c r="F643" s="1" t="str">
        <f>"667801365"</f>
        <v>667801365</v>
      </c>
      <c r="G643" s="1" t="s">
        <v>33</v>
      </c>
      <c r="H643" s="1" t="str">
        <f t="shared" si="91"/>
        <v>20220917</v>
      </c>
      <c r="I643" s="1" t="str">
        <f>"130018"</f>
        <v>130018</v>
      </c>
      <c r="J643" s="1" t="s">
        <v>52</v>
      </c>
      <c r="K643" s="1" t="s">
        <v>52</v>
      </c>
      <c r="L643" s="1" t="str">
        <f t="shared" si="92"/>
        <v>20220917</v>
      </c>
      <c r="M643" s="1" t="str">
        <f>"132452"</f>
        <v>132452</v>
      </c>
      <c r="N643" s="1" t="s">
        <v>70</v>
      </c>
      <c r="O643" s="1" t="s">
        <v>28</v>
      </c>
      <c r="P643" s="1" t="s">
        <v>55</v>
      </c>
      <c r="Q643" s="1">
        <v>25</v>
      </c>
      <c r="R643" s="1">
        <v>25</v>
      </c>
      <c r="S643" s="1">
        <v>0</v>
      </c>
      <c r="T643" s="1">
        <v>0</v>
      </c>
      <c r="U643" s="1">
        <v>0</v>
      </c>
      <c r="V643" s="1" t="str">
        <f t="shared" si="95"/>
        <v>里程去程</v>
      </c>
      <c r="W643" s="1" t="s">
        <v>35</v>
      </c>
    </row>
    <row r="644" spans="1:23" x14ac:dyDescent="0.3">
      <c r="A644" s="1" t="str">
        <f t="shared" si="93"/>
        <v>59828</v>
      </c>
      <c r="B644" s="1" t="s">
        <v>23</v>
      </c>
      <c r="C644" s="1" t="s">
        <v>24</v>
      </c>
      <c r="D644" s="1" t="str">
        <f t="shared" si="94"/>
        <v>9801</v>
      </c>
      <c r="E644" s="1" t="s">
        <v>25</v>
      </c>
      <c r="F644" s="1" t="str">
        <f>"7311150203009510"</f>
        <v>7311150203009510</v>
      </c>
      <c r="G644" s="1" t="s">
        <v>33</v>
      </c>
      <c r="H644" s="1" t="str">
        <f t="shared" si="91"/>
        <v>20220917</v>
      </c>
      <c r="I644" s="1" t="str">
        <f>"130024"</f>
        <v>130024</v>
      </c>
      <c r="J644" s="1" t="s">
        <v>52</v>
      </c>
      <c r="K644" s="1" t="s">
        <v>52</v>
      </c>
      <c r="L644" s="1" t="str">
        <f t="shared" si="92"/>
        <v>20220917</v>
      </c>
      <c r="M644" s="1" t="str">
        <f>"132501"</f>
        <v>132501</v>
      </c>
      <c r="N644" s="1" t="s">
        <v>70</v>
      </c>
      <c r="O644" s="1" t="s">
        <v>28</v>
      </c>
      <c r="P644" s="1" t="s">
        <v>55</v>
      </c>
      <c r="Q644" s="1">
        <v>25</v>
      </c>
      <c r="R644" s="1">
        <v>25</v>
      </c>
      <c r="S644" s="1">
        <v>0</v>
      </c>
      <c r="T644" s="1">
        <v>0</v>
      </c>
      <c r="U644" s="1">
        <v>0</v>
      </c>
      <c r="V644" s="1" t="str">
        <f t="shared" si="95"/>
        <v>里程去程</v>
      </c>
      <c r="W644" s="1" t="s">
        <v>109</v>
      </c>
    </row>
    <row r="645" spans="1:23" x14ac:dyDescent="0.3">
      <c r="A645" s="1" t="str">
        <f t="shared" si="93"/>
        <v>59828</v>
      </c>
      <c r="B645" s="1" t="s">
        <v>23</v>
      </c>
      <c r="C645" s="1" t="s">
        <v>24</v>
      </c>
      <c r="D645" s="1" t="str">
        <f t="shared" si="94"/>
        <v>9801</v>
      </c>
      <c r="E645" s="1" t="s">
        <v>25</v>
      </c>
      <c r="F645" s="1" t="str">
        <f>"3229192931"</f>
        <v>3229192931</v>
      </c>
      <c r="G645" s="1" t="s">
        <v>33</v>
      </c>
      <c r="H645" s="1" t="str">
        <f t="shared" si="91"/>
        <v>20220917</v>
      </c>
      <c r="I645" s="1" t="str">
        <f>"130031"</f>
        <v>130031</v>
      </c>
      <c r="J645" s="1" t="s">
        <v>52</v>
      </c>
      <c r="K645" s="1" t="s">
        <v>52</v>
      </c>
      <c r="L645" s="1" t="str">
        <f t="shared" si="92"/>
        <v>20220917</v>
      </c>
      <c r="M645" s="1" t="str">
        <f>"132458"</f>
        <v>132458</v>
      </c>
      <c r="N645" s="1" t="s">
        <v>70</v>
      </c>
      <c r="O645" s="1" t="s">
        <v>28</v>
      </c>
      <c r="P645" s="1" t="s">
        <v>55</v>
      </c>
      <c r="Q645" s="1">
        <v>25</v>
      </c>
      <c r="R645" s="1">
        <v>25</v>
      </c>
      <c r="S645" s="1">
        <v>0</v>
      </c>
      <c r="T645" s="1">
        <v>0</v>
      </c>
      <c r="U645" s="1">
        <v>0</v>
      </c>
      <c r="V645" s="1" t="str">
        <f t="shared" si="95"/>
        <v>里程去程</v>
      </c>
      <c r="W645" s="1" t="s">
        <v>35</v>
      </c>
    </row>
    <row r="646" spans="1:23" x14ac:dyDescent="0.3">
      <c r="A646" s="1" t="str">
        <f t="shared" si="93"/>
        <v>59828</v>
      </c>
      <c r="B646" s="1" t="s">
        <v>23</v>
      </c>
      <c r="C646" s="1" t="s">
        <v>24</v>
      </c>
      <c r="D646" s="1" t="str">
        <f t="shared" si="94"/>
        <v>9801</v>
      </c>
      <c r="E646" s="1" t="s">
        <v>25</v>
      </c>
      <c r="F646" s="1" t="str">
        <f>"566236449"</f>
        <v>566236449</v>
      </c>
      <c r="G646" s="1" t="s">
        <v>33</v>
      </c>
      <c r="H646" s="1" t="str">
        <f t="shared" si="91"/>
        <v>20220917</v>
      </c>
      <c r="I646" s="1" t="str">
        <f>"130035"</f>
        <v>130035</v>
      </c>
      <c r="J646" s="1" t="s">
        <v>52</v>
      </c>
      <c r="K646" s="1" t="s">
        <v>52</v>
      </c>
      <c r="L646" s="1" t="str">
        <f t="shared" si="92"/>
        <v>20220917</v>
      </c>
      <c r="M646" s="1" t="str">
        <f>"132456"</f>
        <v>132456</v>
      </c>
      <c r="N646" s="1" t="s">
        <v>70</v>
      </c>
      <c r="O646" s="1" t="s">
        <v>28</v>
      </c>
      <c r="P646" s="1" t="s">
        <v>55</v>
      </c>
      <c r="Q646" s="1">
        <v>25</v>
      </c>
      <c r="R646" s="1">
        <v>25</v>
      </c>
      <c r="S646" s="1">
        <v>0</v>
      </c>
      <c r="T646" s="1">
        <v>0</v>
      </c>
      <c r="U646" s="1">
        <v>0</v>
      </c>
      <c r="V646" s="1" t="str">
        <f t="shared" si="95"/>
        <v>里程去程</v>
      </c>
      <c r="W646" s="1" t="s">
        <v>35</v>
      </c>
    </row>
    <row r="647" spans="1:23" x14ac:dyDescent="0.3">
      <c r="A647" s="1" t="str">
        <f t="shared" si="93"/>
        <v>59828</v>
      </c>
      <c r="B647" s="1" t="s">
        <v>23</v>
      </c>
      <c r="C647" s="1" t="s">
        <v>24</v>
      </c>
      <c r="D647" s="1" t="str">
        <f t="shared" si="94"/>
        <v>9801</v>
      </c>
      <c r="E647" s="1" t="s">
        <v>25</v>
      </c>
      <c r="F647" s="1" t="str">
        <f>"1030853493"</f>
        <v>1030853493</v>
      </c>
      <c r="G647" s="1" t="s">
        <v>38</v>
      </c>
      <c r="H647" s="1" t="str">
        <f t="shared" si="91"/>
        <v>20220917</v>
      </c>
      <c r="I647" s="1" t="str">
        <f>"130755"</f>
        <v>130755</v>
      </c>
      <c r="J647" s="1" t="s">
        <v>51</v>
      </c>
      <c r="K647" s="1" t="s">
        <v>52</v>
      </c>
      <c r="L647" s="1" t="str">
        <f t="shared" si="92"/>
        <v>20220917</v>
      </c>
      <c r="M647" s="1" t="str">
        <f>"132537"</f>
        <v>132537</v>
      </c>
      <c r="N647" s="1" t="s">
        <v>70</v>
      </c>
      <c r="O647" s="1" t="s">
        <v>28</v>
      </c>
      <c r="P647" s="1" t="s">
        <v>55</v>
      </c>
      <c r="Q647" s="1">
        <v>25</v>
      </c>
      <c r="R647" s="1">
        <v>25</v>
      </c>
      <c r="S647" s="1">
        <v>0</v>
      </c>
      <c r="T647" s="1">
        <v>0</v>
      </c>
      <c r="U647" s="1">
        <v>0</v>
      </c>
      <c r="V647" s="1" t="str">
        <f t="shared" si="95"/>
        <v>里程去程</v>
      </c>
      <c r="W647" s="1" t="s">
        <v>35</v>
      </c>
    </row>
    <row r="648" spans="1:23" x14ac:dyDescent="0.3">
      <c r="A648" s="1" t="str">
        <f t="shared" si="93"/>
        <v>59828</v>
      </c>
      <c r="B648" s="1" t="s">
        <v>23</v>
      </c>
      <c r="C648" s="1" t="s">
        <v>24</v>
      </c>
      <c r="D648" s="1" t="str">
        <f t="shared" si="94"/>
        <v>9801</v>
      </c>
      <c r="E648" s="1" t="s">
        <v>25</v>
      </c>
      <c r="F648" s="1" t="str">
        <f>"2698035450"</f>
        <v>2698035450</v>
      </c>
      <c r="G648" s="1" t="s">
        <v>33</v>
      </c>
      <c r="H648" s="1" t="str">
        <f t="shared" si="91"/>
        <v>20220917</v>
      </c>
      <c r="I648" s="1" t="str">
        <f>"130919"</f>
        <v>130919</v>
      </c>
      <c r="J648" s="1" t="s">
        <v>72</v>
      </c>
      <c r="K648" s="1" t="s">
        <v>52</v>
      </c>
      <c r="L648" s="1" t="str">
        <f t="shared" si="92"/>
        <v>20220917</v>
      </c>
      <c r="M648" s="1" t="str">
        <f>"132529"</f>
        <v>132529</v>
      </c>
      <c r="N648" s="1" t="s">
        <v>70</v>
      </c>
      <c r="O648" s="1" t="s">
        <v>28</v>
      </c>
      <c r="P648" s="1" t="s">
        <v>55</v>
      </c>
      <c r="Q648" s="1">
        <v>25</v>
      </c>
      <c r="R648" s="1">
        <v>25</v>
      </c>
      <c r="S648" s="1">
        <v>0</v>
      </c>
      <c r="T648" s="1">
        <v>0</v>
      </c>
      <c r="U648" s="1">
        <v>0</v>
      </c>
      <c r="V648" s="1" t="str">
        <f t="shared" si="95"/>
        <v>里程去程</v>
      </c>
      <c r="W648" s="1" t="s">
        <v>35</v>
      </c>
    </row>
    <row r="649" spans="1:23" x14ac:dyDescent="0.3">
      <c r="A649" s="1" t="str">
        <f t="shared" si="93"/>
        <v>59828</v>
      </c>
      <c r="B649" s="1" t="s">
        <v>23</v>
      </c>
      <c r="C649" s="1" t="s">
        <v>24</v>
      </c>
      <c r="D649" s="1" t="str">
        <f t="shared" si="94"/>
        <v>9801</v>
      </c>
      <c r="E649" s="1" t="s">
        <v>25</v>
      </c>
      <c r="F649" s="1" t="str">
        <f>"1711532037"</f>
        <v>1711532037</v>
      </c>
      <c r="G649" s="1" t="s">
        <v>33</v>
      </c>
      <c r="H649" s="1" t="str">
        <f t="shared" si="91"/>
        <v>20220917</v>
      </c>
      <c r="I649" s="1" t="str">
        <f>"131728"</f>
        <v>131728</v>
      </c>
      <c r="J649" s="1" t="s">
        <v>78</v>
      </c>
      <c r="K649" s="1" t="s">
        <v>52</v>
      </c>
      <c r="L649" s="1" t="str">
        <f t="shared" si="92"/>
        <v>20220917</v>
      </c>
      <c r="M649" s="1" t="str">
        <f>"132535"</f>
        <v>132535</v>
      </c>
      <c r="N649" s="1" t="s">
        <v>70</v>
      </c>
      <c r="O649" s="1" t="s">
        <v>28</v>
      </c>
      <c r="P649" s="1" t="s">
        <v>55</v>
      </c>
      <c r="Q649" s="1">
        <v>25</v>
      </c>
      <c r="R649" s="1">
        <v>0</v>
      </c>
      <c r="S649" s="1">
        <v>25</v>
      </c>
      <c r="T649" s="1">
        <v>0</v>
      </c>
      <c r="U649" s="1">
        <v>0</v>
      </c>
      <c r="V649" s="1" t="str">
        <f t="shared" si="95"/>
        <v>里程去程</v>
      </c>
      <c r="W649" s="1" t="s">
        <v>35</v>
      </c>
    </row>
    <row r="650" spans="1:23" x14ac:dyDescent="0.3">
      <c r="A650" s="1" t="str">
        <f t="shared" si="93"/>
        <v>59828</v>
      </c>
      <c r="B650" s="1" t="s">
        <v>23</v>
      </c>
      <c r="C650" s="1" t="s">
        <v>24</v>
      </c>
      <c r="D650" s="1" t="str">
        <f t="shared" si="94"/>
        <v>9801</v>
      </c>
      <c r="E650" s="1" t="s">
        <v>25</v>
      </c>
      <c r="F650" s="1" t="str">
        <f>"2071028406"</f>
        <v>2071028406</v>
      </c>
      <c r="G650" s="1" t="s">
        <v>33</v>
      </c>
      <c r="H650" s="1" t="str">
        <f t="shared" si="91"/>
        <v>20220917</v>
      </c>
      <c r="I650" s="1" t="str">
        <f>"131730"</f>
        <v>131730</v>
      </c>
      <c r="J650" s="1" t="s">
        <v>78</v>
      </c>
      <c r="K650" s="1" t="s">
        <v>52</v>
      </c>
      <c r="L650" s="1" t="str">
        <f t="shared" si="92"/>
        <v>20220917</v>
      </c>
      <c r="M650" s="1" t="str">
        <f>"132532"</f>
        <v>132532</v>
      </c>
      <c r="N650" s="1" t="s">
        <v>70</v>
      </c>
      <c r="O650" s="1" t="s">
        <v>28</v>
      </c>
      <c r="P650" s="1" t="s">
        <v>55</v>
      </c>
      <c r="Q650" s="1">
        <v>25</v>
      </c>
      <c r="R650" s="1">
        <v>0</v>
      </c>
      <c r="S650" s="1">
        <v>25</v>
      </c>
      <c r="T650" s="1">
        <v>0</v>
      </c>
      <c r="U650" s="1">
        <v>0</v>
      </c>
      <c r="V650" s="1" t="str">
        <f t="shared" si="95"/>
        <v>里程去程</v>
      </c>
      <c r="W650" s="1" t="s">
        <v>35</v>
      </c>
    </row>
    <row r="651" spans="1:23" x14ac:dyDescent="0.3">
      <c r="A651" s="1" t="str">
        <f t="shared" si="93"/>
        <v>59828</v>
      </c>
      <c r="B651" s="1" t="s">
        <v>23</v>
      </c>
      <c r="C651" s="1" t="s">
        <v>24</v>
      </c>
      <c r="D651" s="1" t="str">
        <f t="shared" si="94"/>
        <v>9801</v>
      </c>
      <c r="E651" s="1" t="s">
        <v>25</v>
      </c>
      <c r="F651" s="1" t="str">
        <f>"C200FE023E880400C834002000000015"</f>
        <v>C200FE023E880400C834002000000015</v>
      </c>
      <c r="G651" s="1" t="s">
        <v>26</v>
      </c>
      <c r="H651" s="1" t="str">
        <f t="shared" si="91"/>
        <v>20220917</v>
      </c>
      <c r="I651" s="1" t="str">
        <f>"132857"</f>
        <v>132857</v>
      </c>
      <c r="J651" s="1" t="s">
        <v>27</v>
      </c>
      <c r="K651" s="1" t="s">
        <v>28</v>
      </c>
      <c r="L651" s="1" t="str">
        <f t="shared" si="92"/>
        <v>20220917</v>
      </c>
      <c r="M651" s="1" t="str">
        <f>"134520"</f>
        <v>134520</v>
      </c>
      <c r="N651" s="1" t="s">
        <v>61</v>
      </c>
      <c r="O651" s="1" t="s">
        <v>45</v>
      </c>
      <c r="P651" s="1" t="s">
        <v>68</v>
      </c>
      <c r="Q651" s="1">
        <v>13</v>
      </c>
      <c r="R651" s="1">
        <v>0</v>
      </c>
      <c r="S651" s="1">
        <v>0</v>
      </c>
      <c r="T651" s="1">
        <v>13</v>
      </c>
      <c r="U651" s="1">
        <v>0</v>
      </c>
      <c r="V651" s="1" t="str">
        <f t="shared" si="95"/>
        <v>里程去程</v>
      </c>
      <c r="W651" s="1" t="s">
        <v>29</v>
      </c>
    </row>
    <row r="652" spans="1:23" x14ac:dyDescent="0.3">
      <c r="A652" s="1" t="str">
        <f t="shared" si="93"/>
        <v>59828</v>
      </c>
      <c r="B652" s="1" t="s">
        <v>23</v>
      </c>
      <c r="C652" s="1" t="s">
        <v>24</v>
      </c>
      <c r="D652" s="1" t="str">
        <f t="shared" si="94"/>
        <v>9801</v>
      </c>
      <c r="E652" s="1" t="s">
        <v>25</v>
      </c>
      <c r="F652" s="1" t="str">
        <f>"1073212389"</f>
        <v>1073212389</v>
      </c>
      <c r="G652" s="1" t="s">
        <v>33</v>
      </c>
      <c r="H652" s="1" t="str">
        <f t="shared" si="91"/>
        <v>20220917</v>
      </c>
      <c r="I652" s="1" t="str">
        <f>"132905"</f>
        <v>132905</v>
      </c>
      <c r="J652" s="1" t="s">
        <v>27</v>
      </c>
      <c r="K652" s="1" t="s">
        <v>28</v>
      </c>
      <c r="L652" s="1" t="str">
        <f t="shared" si="92"/>
        <v>20220917</v>
      </c>
      <c r="M652" s="1" t="str">
        <f>"135743"</f>
        <v>135743</v>
      </c>
      <c r="N652" s="1" t="s">
        <v>44</v>
      </c>
      <c r="O652" s="1" t="s">
        <v>45</v>
      </c>
      <c r="P652" s="1" t="s">
        <v>55</v>
      </c>
      <c r="Q652" s="1">
        <v>25</v>
      </c>
      <c r="R652" s="1">
        <v>25</v>
      </c>
      <c r="S652" s="1">
        <v>0</v>
      </c>
      <c r="T652" s="1">
        <v>0</v>
      </c>
      <c r="U652" s="1">
        <v>0</v>
      </c>
      <c r="V652" s="1" t="str">
        <f t="shared" si="95"/>
        <v>里程去程</v>
      </c>
      <c r="W652" s="1" t="s">
        <v>35</v>
      </c>
    </row>
    <row r="653" spans="1:23" x14ac:dyDescent="0.3">
      <c r="A653" s="1" t="str">
        <f t="shared" si="93"/>
        <v>59828</v>
      </c>
      <c r="B653" s="1" t="s">
        <v>23</v>
      </c>
      <c r="C653" s="1" t="s">
        <v>24</v>
      </c>
      <c r="D653" s="1" t="str">
        <f t="shared" si="94"/>
        <v>9801</v>
      </c>
      <c r="E653" s="1" t="s">
        <v>25</v>
      </c>
      <c r="F653" s="1" t="str">
        <f>"1072282901"</f>
        <v>1072282901</v>
      </c>
      <c r="G653" s="1" t="s">
        <v>33</v>
      </c>
      <c r="H653" s="1" t="str">
        <f t="shared" si="91"/>
        <v>20220917</v>
      </c>
      <c r="I653" s="1" t="str">
        <f>"132907"</f>
        <v>132907</v>
      </c>
      <c r="J653" s="1" t="s">
        <v>27</v>
      </c>
      <c r="K653" s="1" t="s">
        <v>28</v>
      </c>
      <c r="L653" s="1" t="str">
        <f t="shared" si="92"/>
        <v>20220917</v>
      </c>
      <c r="M653" s="1" t="str">
        <f>"135748"</f>
        <v>135748</v>
      </c>
      <c r="N653" s="1" t="s">
        <v>44</v>
      </c>
      <c r="O653" s="1" t="s">
        <v>45</v>
      </c>
      <c r="P653" s="1" t="s">
        <v>55</v>
      </c>
      <c r="Q653" s="1">
        <v>25</v>
      </c>
      <c r="R653" s="1">
        <v>25</v>
      </c>
      <c r="S653" s="1">
        <v>0</v>
      </c>
      <c r="T653" s="1">
        <v>0</v>
      </c>
      <c r="U653" s="1">
        <v>0</v>
      </c>
      <c r="V653" s="1" t="str">
        <f t="shared" si="95"/>
        <v>里程去程</v>
      </c>
      <c r="W653" s="1" t="s">
        <v>35</v>
      </c>
    </row>
    <row r="654" spans="1:23" x14ac:dyDescent="0.3">
      <c r="A654" s="1" t="str">
        <f t="shared" si="93"/>
        <v>59828</v>
      </c>
      <c r="B654" s="1" t="s">
        <v>23</v>
      </c>
      <c r="C654" s="1" t="s">
        <v>24</v>
      </c>
      <c r="D654" s="1" t="str">
        <f t="shared" si="94"/>
        <v>9801</v>
      </c>
      <c r="E654" s="1" t="s">
        <v>25</v>
      </c>
      <c r="F654" s="1" t="str">
        <f>"5283B41B7E880400C822002000000021"</f>
        <v>5283B41B7E880400C822002000000021</v>
      </c>
      <c r="G654" s="1" t="s">
        <v>59</v>
      </c>
      <c r="H654" s="1" t="str">
        <f t="shared" si="91"/>
        <v>20220917</v>
      </c>
      <c r="I654" s="1" t="str">
        <f>"132913"</f>
        <v>132913</v>
      </c>
      <c r="J654" s="1" t="s">
        <v>27</v>
      </c>
      <c r="K654" s="1" t="s">
        <v>28</v>
      </c>
      <c r="L654" s="1" t="str">
        <f t="shared" si="92"/>
        <v>20220917</v>
      </c>
      <c r="M654" s="1" t="str">
        <f>"134803"</f>
        <v>134803</v>
      </c>
      <c r="N654" s="1" t="s">
        <v>75</v>
      </c>
      <c r="O654" s="1" t="s">
        <v>45</v>
      </c>
      <c r="P654" s="1" t="s">
        <v>55</v>
      </c>
      <c r="Q654" s="1">
        <v>25</v>
      </c>
      <c r="R654" s="1">
        <v>25</v>
      </c>
      <c r="S654" s="1">
        <v>0</v>
      </c>
      <c r="T654" s="1">
        <v>0</v>
      </c>
      <c r="U654" s="1">
        <v>0</v>
      </c>
      <c r="V654" s="1" t="str">
        <f t="shared" si="95"/>
        <v>里程去程</v>
      </c>
      <c r="W654" s="1" t="s">
        <v>29</v>
      </c>
    </row>
    <row r="655" spans="1:23" x14ac:dyDescent="0.3">
      <c r="A655" s="1" t="str">
        <f t="shared" si="93"/>
        <v>59828</v>
      </c>
      <c r="B655" s="1" t="s">
        <v>23</v>
      </c>
      <c r="C655" s="1" t="s">
        <v>24</v>
      </c>
      <c r="D655" s="1" t="str">
        <f t="shared" si="94"/>
        <v>9801</v>
      </c>
      <c r="E655" s="1" t="s">
        <v>25</v>
      </c>
      <c r="F655" s="1" t="str">
        <f>"461273873"</f>
        <v>461273873</v>
      </c>
      <c r="G655" s="1" t="s">
        <v>38</v>
      </c>
      <c r="H655" s="1" t="str">
        <f t="shared" si="91"/>
        <v>20220917</v>
      </c>
      <c r="I655" s="1" t="str">
        <f>"132916"</f>
        <v>132916</v>
      </c>
      <c r="J655" s="1" t="s">
        <v>27</v>
      </c>
      <c r="K655" s="1" t="s">
        <v>28</v>
      </c>
      <c r="L655" s="1" t="str">
        <f t="shared" si="92"/>
        <v>20220917</v>
      </c>
      <c r="M655" s="1" t="str">
        <f>"135739"</f>
        <v>135739</v>
      </c>
      <c r="N655" s="1" t="s">
        <v>44</v>
      </c>
      <c r="O655" s="1" t="s">
        <v>45</v>
      </c>
      <c r="P655" s="1" t="s">
        <v>55</v>
      </c>
      <c r="Q655" s="1">
        <v>25</v>
      </c>
      <c r="R655" s="1">
        <v>25</v>
      </c>
      <c r="S655" s="1">
        <v>0</v>
      </c>
      <c r="T655" s="1">
        <v>0</v>
      </c>
      <c r="U655" s="1">
        <v>0</v>
      </c>
      <c r="V655" s="1" t="str">
        <f t="shared" si="95"/>
        <v>里程去程</v>
      </c>
      <c r="W655" s="1" t="s">
        <v>35</v>
      </c>
    </row>
    <row r="656" spans="1:23" x14ac:dyDescent="0.3">
      <c r="A656" s="1" t="str">
        <f t="shared" si="93"/>
        <v>59828</v>
      </c>
      <c r="B656" s="1" t="s">
        <v>23</v>
      </c>
      <c r="C656" s="1" t="s">
        <v>24</v>
      </c>
      <c r="D656" s="1" t="str">
        <f t="shared" si="94"/>
        <v>9801</v>
      </c>
      <c r="E656" s="1" t="s">
        <v>25</v>
      </c>
      <c r="F656" s="1" t="str">
        <f>"461273873"</f>
        <v>461273873</v>
      </c>
      <c r="G656" s="1" t="s">
        <v>38</v>
      </c>
      <c r="H656" s="1" t="str">
        <f t="shared" si="91"/>
        <v>20220917</v>
      </c>
      <c r="I656" s="1" t="str">
        <f>"145616"</f>
        <v>145616</v>
      </c>
      <c r="J656" s="1" t="s">
        <v>52</v>
      </c>
      <c r="K656" s="1" t="s">
        <v>52</v>
      </c>
      <c r="L656" s="1" t="str">
        <f t="shared" si="92"/>
        <v>20220917</v>
      </c>
      <c r="M656" s="1" t="str">
        <f>"153540"</f>
        <v>153540</v>
      </c>
      <c r="N656" s="1" t="s">
        <v>70</v>
      </c>
      <c r="O656" s="1" t="s">
        <v>28</v>
      </c>
      <c r="P656" s="1" t="s">
        <v>55</v>
      </c>
      <c r="Q656" s="1">
        <v>25</v>
      </c>
      <c r="R656" s="1">
        <v>25</v>
      </c>
      <c r="S656" s="1">
        <v>0</v>
      </c>
      <c r="T656" s="1">
        <v>0</v>
      </c>
      <c r="U656" s="1">
        <v>0</v>
      </c>
      <c r="V656" s="1" t="str">
        <f t="shared" si="95"/>
        <v>里程去程</v>
      </c>
      <c r="W656" s="1" t="s">
        <v>35</v>
      </c>
    </row>
    <row r="657" spans="1:23" x14ac:dyDescent="0.3">
      <c r="A657" s="1" t="str">
        <f t="shared" si="93"/>
        <v>59828</v>
      </c>
      <c r="B657" s="1" t="s">
        <v>23</v>
      </c>
      <c r="C657" s="1" t="s">
        <v>24</v>
      </c>
      <c r="D657" s="1" t="str">
        <f t="shared" si="94"/>
        <v>9801</v>
      </c>
      <c r="E657" s="1" t="s">
        <v>25</v>
      </c>
      <c r="F657" s="1" t="str">
        <f>"F27CE6026A880400C834002000000015"</f>
        <v>F27CE6026A880400C834002000000015</v>
      </c>
      <c r="G657" s="1" t="s">
        <v>74</v>
      </c>
      <c r="H657" s="1" t="str">
        <f t="shared" si="91"/>
        <v>20220917</v>
      </c>
      <c r="I657" s="1" t="str">
        <f>"145653"</f>
        <v>145653</v>
      </c>
      <c r="J657" s="1" t="s">
        <v>52</v>
      </c>
      <c r="K657" s="1" t="s">
        <v>52</v>
      </c>
      <c r="L657" s="1" t="str">
        <f t="shared" si="92"/>
        <v>20220917</v>
      </c>
      <c r="M657" s="1" t="str">
        <f>"150849"</f>
        <v>150849</v>
      </c>
      <c r="N657" s="1" t="s">
        <v>60</v>
      </c>
      <c r="O657" s="1" t="s">
        <v>52</v>
      </c>
      <c r="P657" s="1" t="s">
        <v>68</v>
      </c>
      <c r="Q657" s="1">
        <v>13</v>
      </c>
      <c r="R657" s="1">
        <v>0</v>
      </c>
      <c r="S657" s="1">
        <v>0</v>
      </c>
      <c r="T657" s="1">
        <v>13</v>
      </c>
      <c r="U657" s="1">
        <v>0</v>
      </c>
      <c r="V657" s="1" t="str">
        <f t="shared" si="95"/>
        <v>里程去程</v>
      </c>
      <c r="W657" s="1" t="s">
        <v>29</v>
      </c>
    </row>
    <row r="658" spans="1:23" x14ac:dyDescent="0.3">
      <c r="A658" s="1" t="str">
        <f t="shared" si="93"/>
        <v>59828</v>
      </c>
      <c r="B658" s="1" t="s">
        <v>23</v>
      </c>
      <c r="C658" s="1" t="s">
        <v>24</v>
      </c>
      <c r="D658" s="1" t="str">
        <f t="shared" si="94"/>
        <v>9801</v>
      </c>
      <c r="E658" s="1" t="s">
        <v>25</v>
      </c>
      <c r="F658" s="1" t="str">
        <f>"C2F219032A880400C834002000000015"</f>
        <v>C2F219032A880400C834002000000015</v>
      </c>
      <c r="G658" s="1" t="s">
        <v>26</v>
      </c>
      <c r="H658" s="1" t="str">
        <f t="shared" si="91"/>
        <v>20220917</v>
      </c>
      <c r="I658" s="1" t="str">
        <f>"150622"</f>
        <v>150622</v>
      </c>
      <c r="J658" s="1" t="s">
        <v>86</v>
      </c>
      <c r="K658" s="1" t="s">
        <v>52</v>
      </c>
      <c r="L658" s="1" t="str">
        <f t="shared" si="92"/>
        <v>20220917</v>
      </c>
      <c r="M658" s="1" t="str">
        <f>"151116"</f>
        <v>151116</v>
      </c>
      <c r="N658" s="1" t="s">
        <v>51</v>
      </c>
      <c r="O658" s="1" t="s">
        <v>52</v>
      </c>
      <c r="P658" s="1" t="s">
        <v>68</v>
      </c>
      <c r="Q658" s="1">
        <v>13</v>
      </c>
      <c r="R658" s="1">
        <v>0</v>
      </c>
      <c r="S658" s="1">
        <v>0</v>
      </c>
      <c r="T658" s="1">
        <v>13</v>
      </c>
      <c r="U658" s="1">
        <v>0</v>
      </c>
      <c r="V658" s="1" t="str">
        <f t="shared" si="95"/>
        <v>里程去程</v>
      </c>
      <c r="W658" s="1" t="s">
        <v>29</v>
      </c>
    </row>
    <row r="659" spans="1:23" x14ac:dyDescent="0.3">
      <c r="A659" s="1" t="str">
        <f t="shared" si="93"/>
        <v>59828</v>
      </c>
      <c r="B659" s="1" t="s">
        <v>23</v>
      </c>
      <c r="C659" s="1" t="s">
        <v>24</v>
      </c>
      <c r="D659" s="1" t="str">
        <f t="shared" si="94"/>
        <v>9801</v>
      </c>
      <c r="E659" s="1" t="s">
        <v>25</v>
      </c>
      <c r="F659" s="1" t="str">
        <f>"832913249"</f>
        <v>832913249</v>
      </c>
      <c r="G659" s="1" t="s">
        <v>33</v>
      </c>
      <c r="H659" s="1" t="str">
        <f t="shared" si="91"/>
        <v>20220917</v>
      </c>
      <c r="I659" s="1" t="str">
        <f>"162911"</f>
        <v>162911</v>
      </c>
      <c r="J659" s="1" t="s">
        <v>67</v>
      </c>
      <c r="K659" s="1" t="s">
        <v>52</v>
      </c>
      <c r="L659" s="1" t="str">
        <f t="shared" si="92"/>
        <v>20220917</v>
      </c>
      <c r="M659" s="1" t="str">
        <f>"163626"</f>
        <v>163626</v>
      </c>
      <c r="N659" s="1" t="s">
        <v>70</v>
      </c>
      <c r="O659" s="1" t="s">
        <v>28</v>
      </c>
      <c r="P659" s="1" t="s">
        <v>55</v>
      </c>
      <c r="Q659" s="1">
        <v>25</v>
      </c>
      <c r="R659" s="1">
        <v>25</v>
      </c>
      <c r="S659" s="1">
        <v>0</v>
      </c>
      <c r="T659" s="1">
        <v>0</v>
      </c>
      <c r="U659" s="1">
        <v>0</v>
      </c>
      <c r="V659" s="1" t="str">
        <f t="shared" si="95"/>
        <v>里程去程</v>
      </c>
      <c r="W659" s="1" t="s">
        <v>35</v>
      </c>
    </row>
    <row r="660" spans="1:23" x14ac:dyDescent="0.3">
      <c r="A660" s="1" t="str">
        <f t="shared" si="93"/>
        <v>59828</v>
      </c>
      <c r="B660" s="1" t="s">
        <v>23</v>
      </c>
      <c r="C660" s="1" t="s">
        <v>24</v>
      </c>
      <c r="D660" s="1" t="str">
        <f t="shared" si="94"/>
        <v>9801</v>
      </c>
      <c r="E660" s="1" t="s">
        <v>25</v>
      </c>
      <c r="F660" s="1" t="str">
        <f>"1480457519"</f>
        <v>1480457519</v>
      </c>
      <c r="G660" s="1" t="s">
        <v>33</v>
      </c>
      <c r="H660" s="1" t="str">
        <f t="shared" si="91"/>
        <v>20220917</v>
      </c>
      <c r="I660" s="1" t="str">
        <f>"163651"</f>
        <v>163651</v>
      </c>
      <c r="J660" s="1" t="s">
        <v>27</v>
      </c>
      <c r="K660" s="1" t="s">
        <v>28</v>
      </c>
      <c r="L660" s="1" t="str">
        <f t="shared" si="92"/>
        <v>20220917</v>
      </c>
      <c r="M660" s="1" t="str">
        <f>"165744"</f>
        <v>165744</v>
      </c>
      <c r="N660" s="1" t="s">
        <v>44</v>
      </c>
      <c r="O660" s="1" t="s">
        <v>45</v>
      </c>
      <c r="P660" s="1" t="s">
        <v>55</v>
      </c>
      <c r="Q660" s="1">
        <v>25</v>
      </c>
      <c r="R660" s="1">
        <v>25</v>
      </c>
      <c r="S660" s="1">
        <v>0</v>
      </c>
      <c r="T660" s="1">
        <v>0</v>
      </c>
      <c r="U660" s="1">
        <v>0</v>
      </c>
      <c r="V660" s="1" t="str">
        <f t="shared" si="95"/>
        <v>里程去程</v>
      </c>
      <c r="W660" s="1" t="s">
        <v>35</v>
      </c>
    </row>
    <row r="661" spans="1:23" x14ac:dyDescent="0.3">
      <c r="A661" s="1" t="str">
        <f t="shared" si="93"/>
        <v>59828</v>
      </c>
      <c r="B661" s="1" t="s">
        <v>23</v>
      </c>
      <c r="C661" s="1" t="s">
        <v>24</v>
      </c>
      <c r="D661" s="1" t="str">
        <f t="shared" si="94"/>
        <v>9801</v>
      </c>
      <c r="E661" s="1" t="s">
        <v>25</v>
      </c>
      <c r="F661" s="1" t="str">
        <f>"42601B033A880400C834002000000015"</f>
        <v>42601B033A880400C834002000000015</v>
      </c>
      <c r="G661" s="1" t="s">
        <v>26</v>
      </c>
      <c r="H661" s="1" t="str">
        <f t="shared" si="91"/>
        <v>20220917</v>
      </c>
      <c r="I661" s="1" t="str">
        <f>"163702"</f>
        <v>163702</v>
      </c>
      <c r="J661" s="1" t="s">
        <v>27</v>
      </c>
      <c r="K661" s="1" t="s">
        <v>28</v>
      </c>
      <c r="L661" s="1" t="str">
        <f t="shared" si="92"/>
        <v>20220917</v>
      </c>
      <c r="M661" s="1" t="str">
        <f>"170051"</f>
        <v>170051</v>
      </c>
      <c r="N661" s="1" t="s">
        <v>44</v>
      </c>
      <c r="O661" s="1" t="s">
        <v>45</v>
      </c>
      <c r="P661" s="1" t="s">
        <v>68</v>
      </c>
      <c r="Q661" s="1">
        <v>13</v>
      </c>
      <c r="R661" s="1">
        <v>0</v>
      </c>
      <c r="S661" s="1">
        <v>0</v>
      </c>
      <c r="T661" s="1">
        <v>13</v>
      </c>
      <c r="U661" s="1">
        <v>0</v>
      </c>
      <c r="V661" s="1" t="str">
        <f t="shared" si="95"/>
        <v>里程去程</v>
      </c>
      <c r="W661" s="1" t="s">
        <v>29</v>
      </c>
    </row>
    <row r="662" spans="1:23" x14ac:dyDescent="0.3">
      <c r="A662" s="1" t="str">
        <f t="shared" si="93"/>
        <v>59828</v>
      </c>
      <c r="B662" s="1" t="s">
        <v>23</v>
      </c>
      <c r="C662" s="1" t="s">
        <v>24</v>
      </c>
      <c r="D662" s="1" t="str">
        <f t="shared" si="94"/>
        <v>9801</v>
      </c>
      <c r="E662" s="1" t="s">
        <v>25</v>
      </c>
      <c r="F662" s="1" t="str">
        <f>"1737963496"</f>
        <v>1737963496</v>
      </c>
      <c r="G662" s="1" t="s">
        <v>33</v>
      </c>
      <c r="H662" s="1" t="str">
        <f t="shared" si="91"/>
        <v>20220917</v>
      </c>
      <c r="I662" s="1" t="str">
        <f>"203517"</f>
        <v>203517</v>
      </c>
      <c r="J662" s="1" t="s">
        <v>27</v>
      </c>
      <c r="K662" s="1" t="s">
        <v>28</v>
      </c>
      <c r="L662" s="1" t="str">
        <f t="shared" si="92"/>
        <v>20220917</v>
      </c>
      <c r="M662" s="1" t="str">
        <f>"205118"</f>
        <v>205118</v>
      </c>
      <c r="N662" s="1" t="s">
        <v>91</v>
      </c>
      <c r="O662" s="1" t="s">
        <v>45</v>
      </c>
      <c r="P662" s="1" t="s">
        <v>55</v>
      </c>
      <c r="Q662" s="1">
        <v>25</v>
      </c>
      <c r="R662" s="1">
        <v>25</v>
      </c>
      <c r="S662" s="1">
        <v>0</v>
      </c>
      <c r="T662" s="1">
        <v>0</v>
      </c>
      <c r="U662" s="1">
        <v>0</v>
      </c>
      <c r="V662" s="1" t="str">
        <f t="shared" si="95"/>
        <v>里程去程</v>
      </c>
      <c r="W662" s="1" t="s">
        <v>35</v>
      </c>
    </row>
    <row r="663" spans="1:23" x14ac:dyDescent="0.3">
      <c r="A663" s="1" t="str">
        <f t="shared" ref="A663:A669" si="96">"59809"</f>
        <v>59809</v>
      </c>
      <c r="B663" s="1" t="s">
        <v>42</v>
      </c>
      <c r="C663" s="1" t="s">
        <v>43</v>
      </c>
      <c r="D663" s="1" t="str">
        <f t="shared" si="94"/>
        <v>9801</v>
      </c>
      <c r="E663" s="1" t="s">
        <v>25</v>
      </c>
      <c r="F663" s="1" t="str">
        <f>"42720D033E880400C834002000000015"</f>
        <v>42720D033E880400C834002000000015</v>
      </c>
      <c r="G663" s="1" t="s">
        <v>26</v>
      </c>
      <c r="H663" s="1" t="str">
        <f t="shared" ref="H663:H700" si="97">"20220918"</f>
        <v>20220918</v>
      </c>
      <c r="I663" s="1" t="str">
        <f>"083849"</f>
        <v>083849</v>
      </c>
      <c r="J663" s="1" t="s">
        <v>27</v>
      </c>
      <c r="K663" s="1" t="s">
        <v>28</v>
      </c>
      <c r="L663" s="1" t="str">
        <f t="shared" ref="L663:L700" si="98">"20220918"</f>
        <v>20220918</v>
      </c>
      <c r="M663" s="1" t="str">
        <f>"085540"</f>
        <v>085540</v>
      </c>
      <c r="N663" s="1" t="s">
        <v>44</v>
      </c>
      <c r="O663" s="1" t="s">
        <v>45</v>
      </c>
      <c r="P663" s="1" t="s">
        <v>68</v>
      </c>
      <c r="Q663" s="1">
        <v>13</v>
      </c>
      <c r="R663" s="1">
        <v>0</v>
      </c>
      <c r="S663" s="1">
        <v>0</v>
      </c>
      <c r="T663" s="1">
        <v>13</v>
      </c>
      <c r="U663" s="1">
        <v>0</v>
      </c>
      <c r="V663" s="1" t="str">
        <f t="shared" si="95"/>
        <v>里程去程</v>
      </c>
      <c r="W663" s="1" t="s">
        <v>29</v>
      </c>
    </row>
    <row r="664" spans="1:23" x14ac:dyDescent="0.3">
      <c r="A664" s="1" t="str">
        <f t="shared" si="96"/>
        <v>59809</v>
      </c>
      <c r="B664" s="1" t="s">
        <v>42</v>
      </c>
      <c r="C664" s="1" t="s">
        <v>43</v>
      </c>
      <c r="D664" s="1" t="str">
        <f t="shared" si="94"/>
        <v>9801</v>
      </c>
      <c r="E664" s="1" t="s">
        <v>25</v>
      </c>
      <c r="F664" s="1" t="str">
        <f>"1174552241"</f>
        <v>1174552241</v>
      </c>
      <c r="G664" s="1" t="s">
        <v>33</v>
      </c>
      <c r="H664" s="1" t="str">
        <f t="shared" si="97"/>
        <v>20220918</v>
      </c>
      <c r="I664" s="1" t="str">
        <f>"085744"</f>
        <v>085744</v>
      </c>
      <c r="J664" s="1" t="s">
        <v>52</v>
      </c>
      <c r="K664" s="1" t="s">
        <v>52</v>
      </c>
      <c r="L664" s="1" t="str">
        <f t="shared" si="98"/>
        <v>20220918</v>
      </c>
      <c r="M664" s="1" t="str">
        <f>"092821"</f>
        <v>092821</v>
      </c>
      <c r="N664" s="1" t="s">
        <v>70</v>
      </c>
      <c r="O664" s="1" t="s">
        <v>28</v>
      </c>
      <c r="P664" s="1" t="s">
        <v>55</v>
      </c>
      <c r="Q664" s="1">
        <v>25</v>
      </c>
      <c r="R664" s="1">
        <v>25</v>
      </c>
      <c r="S664" s="1">
        <v>0</v>
      </c>
      <c r="T664" s="1">
        <v>0</v>
      </c>
      <c r="U664" s="1">
        <v>0</v>
      </c>
      <c r="V664" s="1" t="str">
        <f t="shared" si="95"/>
        <v>里程去程</v>
      </c>
      <c r="W664" s="1" t="s">
        <v>35</v>
      </c>
    </row>
    <row r="665" spans="1:23" x14ac:dyDescent="0.3">
      <c r="A665" s="1" t="str">
        <f t="shared" si="96"/>
        <v>59809</v>
      </c>
      <c r="B665" s="1" t="s">
        <v>42</v>
      </c>
      <c r="C665" s="1" t="s">
        <v>43</v>
      </c>
      <c r="D665" s="1" t="str">
        <f t="shared" si="94"/>
        <v>9801</v>
      </c>
      <c r="E665" s="1" t="s">
        <v>25</v>
      </c>
      <c r="F665" s="1" t="str">
        <f>"1225696177"</f>
        <v>1225696177</v>
      </c>
      <c r="G665" s="1" t="s">
        <v>33</v>
      </c>
      <c r="H665" s="1" t="str">
        <f t="shared" si="97"/>
        <v>20220918</v>
      </c>
      <c r="I665" s="1" t="str">
        <f>"092845"</f>
        <v>092845</v>
      </c>
      <c r="J665" s="1" t="s">
        <v>27</v>
      </c>
      <c r="K665" s="1" t="s">
        <v>28</v>
      </c>
      <c r="L665" s="1" t="str">
        <f t="shared" si="98"/>
        <v>20220918</v>
      </c>
      <c r="M665" s="1" t="str">
        <f>"094534"</f>
        <v>094534</v>
      </c>
      <c r="N665" s="1" t="s">
        <v>45</v>
      </c>
      <c r="O665" s="1" t="s">
        <v>45</v>
      </c>
      <c r="P665" s="1" t="s">
        <v>55</v>
      </c>
      <c r="Q665" s="1">
        <v>25</v>
      </c>
      <c r="R665" s="1">
        <v>25</v>
      </c>
      <c r="S665" s="1">
        <v>0</v>
      </c>
      <c r="T665" s="1">
        <v>0</v>
      </c>
      <c r="U665" s="1">
        <v>0</v>
      </c>
      <c r="V665" s="1" t="str">
        <f t="shared" si="95"/>
        <v>里程去程</v>
      </c>
      <c r="W665" s="1" t="s">
        <v>35</v>
      </c>
    </row>
    <row r="666" spans="1:23" x14ac:dyDescent="0.3">
      <c r="A666" s="1" t="str">
        <f t="shared" si="96"/>
        <v>59809</v>
      </c>
      <c r="B666" s="1" t="s">
        <v>42</v>
      </c>
      <c r="C666" s="1" t="s">
        <v>43</v>
      </c>
      <c r="D666" s="1" t="str">
        <f t="shared" si="94"/>
        <v>9801</v>
      </c>
      <c r="E666" s="1" t="s">
        <v>25</v>
      </c>
      <c r="F666" s="1" t="str">
        <f>"1342938097"</f>
        <v>1342938097</v>
      </c>
      <c r="G666" s="1" t="s">
        <v>33</v>
      </c>
      <c r="H666" s="1" t="str">
        <f t="shared" si="97"/>
        <v>20220918</v>
      </c>
      <c r="I666" s="1" t="str">
        <f>"092848"</f>
        <v>092848</v>
      </c>
      <c r="J666" s="1" t="s">
        <v>27</v>
      </c>
      <c r="K666" s="1" t="s">
        <v>28</v>
      </c>
      <c r="L666" s="1" t="str">
        <f t="shared" si="98"/>
        <v>20220918</v>
      </c>
      <c r="M666" s="1" t="str">
        <f>"094531"</f>
        <v>094531</v>
      </c>
      <c r="N666" s="1" t="s">
        <v>45</v>
      </c>
      <c r="O666" s="1" t="s">
        <v>45</v>
      </c>
      <c r="P666" s="1" t="s">
        <v>55</v>
      </c>
      <c r="Q666" s="1">
        <v>25</v>
      </c>
      <c r="R666" s="1">
        <v>25</v>
      </c>
      <c r="S666" s="1">
        <v>0</v>
      </c>
      <c r="T666" s="1">
        <v>0</v>
      </c>
      <c r="U666" s="1">
        <v>0</v>
      </c>
      <c r="V666" s="1" t="str">
        <f t="shared" si="95"/>
        <v>里程去程</v>
      </c>
      <c r="W666" s="1" t="s">
        <v>35</v>
      </c>
    </row>
    <row r="667" spans="1:23" x14ac:dyDescent="0.3">
      <c r="A667" s="1" t="str">
        <f t="shared" si="96"/>
        <v>59809</v>
      </c>
      <c r="B667" s="1" t="s">
        <v>42</v>
      </c>
      <c r="C667" s="1" t="s">
        <v>43</v>
      </c>
      <c r="D667" s="1" t="str">
        <f t="shared" si="94"/>
        <v>9801</v>
      </c>
      <c r="E667" s="1" t="s">
        <v>25</v>
      </c>
      <c r="F667" s="1" t="str">
        <f>"139676709"</f>
        <v>139676709</v>
      </c>
      <c r="G667" s="1" t="s">
        <v>33</v>
      </c>
      <c r="H667" s="1" t="str">
        <f t="shared" si="97"/>
        <v>20220918</v>
      </c>
      <c r="I667" s="1" t="str">
        <f>"092855"</f>
        <v>092855</v>
      </c>
      <c r="J667" s="1" t="s">
        <v>27</v>
      </c>
      <c r="K667" s="1" t="s">
        <v>28</v>
      </c>
      <c r="L667" s="1" t="str">
        <f t="shared" si="98"/>
        <v>20220918</v>
      </c>
      <c r="M667" s="1" t="str">
        <f>"094740"</f>
        <v>094740</v>
      </c>
      <c r="N667" s="1" t="s">
        <v>61</v>
      </c>
      <c r="O667" s="1" t="s">
        <v>45</v>
      </c>
      <c r="P667" s="1" t="s">
        <v>55</v>
      </c>
      <c r="Q667" s="1">
        <v>25</v>
      </c>
      <c r="R667" s="1">
        <v>25</v>
      </c>
      <c r="S667" s="1">
        <v>0</v>
      </c>
      <c r="T667" s="1">
        <v>0</v>
      </c>
      <c r="U667" s="1">
        <v>0</v>
      </c>
      <c r="V667" s="1" t="str">
        <f t="shared" si="95"/>
        <v>里程去程</v>
      </c>
      <c r="W667" s="1" t="s">
        <v>35</v>
      </c>
    </row>
    <row r="668" spans="1:23" x14ac:dyDescent="0.3">
      <c r="A668" s="1" t="str">
        <f t="shared" si="96"/>
        <v>59809</v>
      </c>
      <c r="B668" s="1" t="s">
        <v>42</v>
      </c>
      <c r="C668" s="1" t="s">
        <v>43</v>
      </c>
      <c r="D668" s="1" t="str">
        <f t="shared" si="94"/>
        <v>9801</v>
      </c>
      <c r="E668" s="1" t="s">
        <v>25</v>
      </c>
      <c r="F668" s="1" t="str">
        <f>"1716949589"</f>
        <v>1716949589</v>
      </c>
      <c r="G668" s="1" t="s">
        <v>33</v>
      </c>
      <c r="H668" s="1" t="str">
        <f t="shared" si="97"/>
        <v>20220918</v>
      </c>
      <c r="I668" s="1" t="str">
        <f>"093207"</f>
        <v>093207</v>
      </c>
      <c r="J668" s="1" t="s">
        <v>27</v>
      </c>
      <c r="K668" s="1" t="s">
        <v>28</v>
      </c>
      <c r="L668" s="1" t="str">
        <f t="shared" si="98"/>
        <v>20220918</v>
      </c>
      <c r="M668" s="1" t="str">
        <f>"094542"</f>
        <v>094542</v>
      </c>
      <c r="N668" s="1" t="s">
        <v>45</v>
      </c>
      <c r="O668" s="1" t="s">
        <v>45</v>
      </c>
      <c r="P668" s="1" t="s">
        <v>55</v>
      </c>
      <c r="Q668" s="1">
        <v>25</v>
      </c>
      <c r="R668" s="1">
        <v>25</v>
      </c>
      <c r="S668" s="1">
        <v>0</v>
      </c>
      <c r="T668" s="1">
        <v>0</v>
      </c>
      <c r="U668" s="1">
        <v>0</v>
      </c>
      <c r="V668" s="1" t="str">
        <f t="shared" si="95"/>
        <v>里程去程</v>
      </c>
      <c r="W668" s="1" t="s">
        <v>35</v>
      </c>
    </row>
    <row r="669" spans="1:23" x14ac:dyDescent="0.3">
      <c r="A669" s="1" t="str">
        <f t="shared" si="96"/>
        <v>59809</v>
      </c>
      <c r="B669" s="1" t="s">
        <v>42</v>
      </c>
      <c r="C669" s="1" t="s">
        <v>43</v>
      </c>
      <c r="D669" s="1" t="str">
        <f t="shared" si="94"/>
        <v>9801</v>
      </c>
      <c r="E669" s="1" t="s">
        <v>25</v>
      </c>
      <c r="F669" s="1" t="str">
        <f>"4202467196"</f>
        <v>4202467196</v>
      </c>
      <c r="G669" s="1" t="s">
        <v>26</v>
      </c>
      <c r="H669" s="1" t="str">
        <f t="shared" si="97"/>
        <v>20220918</v>
      </c>
      <c r="I669" s="1" t="str">
        <f>"093521"</f>
        <v>093521</v>
      </c>
      <c r="J669" s="1" t="s">
        <v>27</v>
      </c>
      <c r="K669" s="1" t="s">
        <v>28</v>
      </c>
      <c r="L669" s="1" t="str">
        <f t="shared" si="98"/>
        <v>20220918</v>
      </c>
      <c r="M669" s="1" t="str">
        <f>"095551"</f>
        <v>095551</v>
      </c>
      <c r="N669" s="1" t="s">
        <v>44</v>
      </c>
      <c r="O669" s="1" t="s">
        <v>45</v>
      </c>
      <c r="P669" s="1" t="s">
        <v>55</v>
      </c>
      <c r="Q669" s="1">
        <v>13</v>
      </c>
      <c r="R669" s="1">
        <v>13</v>
      </c>
      <c r="S669" s="1">
        <v>0</v>
      </c>
      <c r="T669" s="1">
        <v>0</v>
      </c>
      <c r="U669" s="1">
        <v>0</v>
      </c>
      <c r="V669" s="1" t="str">
        <f t="shared" si="95"/>
        <v>里程去程</v>
      </c>
      <c r="W669" s="1" t="s">
        <v>35</v>
      </c>
    </row>
    <row r="670" spans="1:23" x14ac:dyDescent="0.3">
      <c r="A670" s="1" t="str">
        <f t="shared" ref="A670:A700" si="99">"59828"</f>
        <v>59828</v>
      </c>
      <c r="B670" s="1" t="s">
        <v>23</v>
      </c>
      <c r="C670" s="1" t="s">
        <v>24</v>
      </c>
      <c r="D670" s="1" t="str">
        <f t="shared" si="94"/>
        <v>9801</v>
      </c>
      <c r="E670" s="1" t="s">
        <v>25</v>
      </c>
      <c r="F670" s="1" t="str">
        <f>"612034191"</f>
        <v>612034191</v>
      </c>
      <c r="G670" s="1" t="s">
        <v>33</v>
      </c>
      <c r="H670" s="1" t="str">
        <f t="shared" si="97"/>
        <v>20220918</v>
      </c>
      <c r="I670" s="1" t="str">
        <f>"112322"</f>
        <v>112322</v>
      </c>
      <c r="J670" s="1" t="s">
        <v>83</v>
      </c>
      <c r="K670" s="1" t="s">
        <v>52</v>
      </c>
      <c r="L670" s="1" t="str">
        <f t="shared" si="98"/>
        <v>20220918</v>
      </c>
      <c r="M670" s="1" t="str">
        <f>"113103"</f>
        <v>113103</v>
      </c>
      <c r="N670" s="1" t="s">
        <v>70</v>
      </c>
      <c r="O670" s="1" t="s">
        <v>28</v>
      </c>
      <c r="P670" s="1" t="s">
        <v>55</v>
      </c>
      <c r="Q670" s="1">
        <v>25</v>
      </c>
      <c r="R670" s="1">
        <v>25</v>
      </c>
      <c r="S670" s="1">
        <v>0</v>
      </c>
      <c r="T670" s="1">
        <v>0</v>
      </c>
      <c r="U670" s="1">
        <v>0</v>
      </c>
      <c r="V670" s="1" t="str">
        <f t="shared" si="95"/>
        <v>里程去程</v>
      </c>
      <c r="W670" s="1" t="s">
        <v>35</v>
      </c>
    </row>
    <row r="671" spans="1:23" x14ac:dyDescent="0.3">
      <c r="A671" s="1" t="str">
        <f t="shared" si="99"/>
        <v>59828</v>
      </c>
      <c r="B671" s="1" t="s">
        <v>23</v>
      </c>
      <c r="C671" s="1" t="s">
        <v>24</v>
      </c>
      <c r="D671" s="1" t="str">
        <f t="shared" si="94"/>
        <v>9801</v>
      </c>
      <c r="E671" s="1" t="s">
        <v>25</v>
      </c>
      <c r="F671" s="1" t="str">
        <f>"2122891334"</f>
        <v>2122891334</v>
      </c>
      <c r="G671" s="1" t="s">
        <v>33</v>
      </c>
      <c r="H671" s="1" t="str">
        <f t="shared" si="97"/>
        <v>20220918</v>
      </c>
      <c r="I671" s="1" t="str">
        <f>"112329"</f>
        <v>112329</v>
      </c>
      <c r="J671" s="1" t="s">
        <v>83</v>
      </c>
      <c r="K671" s="1" t="s">
        <v>52</v>
      </c>
      <c r="L671" s="1" t="str">
        <f t="shared" si="98"/>
        <v>20220918</v>
      </c>
      <c r="M671" s="1" t="str">
        <f>"113109"</f>
        <v>113109</v>
      </c>
      <c r="N671" s="1" t="s">
        <v>70</v>
      </c>
      <c r="O671" s="1" t="s">
        <v>28</v>
      </c>
      <c r="P671" s="1" t="s">
        <v>55</v>
      </c>
      <c r="Q671" s="1">
        <v>25</v>
      </c>
      <c r="R671" s="1">
        <v>25</v>
      </c>
      <c r="S671" s="1">
        <v>0</v>
      </c>
      <c r="T671" s="1">
        <v>0</v>
      </c>
      <c r="U671" s="1">
        <v>0</v>
      </c>
      <c r="V671" s="1" t="str">
        <f t="shared" si="95"/>
        <v>里程去程</v>
      </c>
      <c r="W671" s="1" t="s">
        <v>35</v>
      </c>
    </row>
    <row r="672" spans="1:23" x14ac:dyDescent="0.3">
      <c r="A672" s="1" t="str">
        <f t="shared" si="99"/>
        <v>59828</v>
      </c>
      <c r="B672" s="1" t="s">
        <v>23</v>
      </c>
      <c r="C672" s="1" t="s">
        <v>24</v>
      </c>
      <c r="D672" s="1" t="str">
        <f t="shared" si="94"/>
        <v>9801</v>
      </c>
      <c r="E672" s="1" t="s">
        <v>25</v>
      </c>
      <c r="F672" s="1" t="str">
        <f>"1144178677"</f>
        <v>1144178677</v>
      </c>
      <c r="G672" s="1" t="s">
        <v>33</v>
      </c>
      <c r="H672" s="1" t="str">
        <f t="shared" si="97"/>
        <v>20220918</v>
      </c>
      <c r="I672" s="1" t="str">
        <f>"112334"</f>
        <v>112334</v>
      </c>
      <c r="J672" s="1" t="s">
        <v>83</v>
      </c>
      <c r="K672" s="1" t="s">
        <v>52</v>
      </c>
      <c r="L672" s="1" t="str">
        <f t="shared" si="98"/>
        <v>20220918</v>
      </c>
      <c r="M672" s="1" t="str">
        <f>"113106"</f>
        <v>113106</v>
      </c>
      <c r="N672" s="1" t="s">
        <v>70</v>
      </c>
      <c r="O672" s="1" t="s">
        <v>28</v>
      </c>
      <c r="P672" s="1" t="s">
        <v>55</v>
      </c>
      <c r="Q672" s="1">
        <v>25</v>
      </c>
      <c r="R672" s="1">
        <v>25</v>
      </c>
      <c r="S672" s="1">
        <v>0</v>
      </c>
      <c r="T672" s="1">
        <v>0</v>
      </c>
      <c r="U672" s="1">
        <v>0</v>
      </c>
      <c r="V672" s="1" t="str">
        <f t="shared" si="95"/>
        <v>里程去程</v>
      </c>
      <c r="W672" s="1" t="s">
        <v>35</v>
      </c>
    </row>
    <row r="673" spans="1:23" x14ac:dyDescent="0.3">
      <c r="A673" s="1" t="str">
        <f t="shared" si="99"/>
        <v>59828</v>
      </c>
      <c r="B673" s="1" t="s">
        <v>23</v>
      </c>
      <c r="C673" s="1" t="s">
        <v>24</v>
      </c>
      <c r="D673" s="1" t="str">
        <f t="shared" si="94"/>
        <v>9801</v>
      </c>
      <c r="E673" s="1" t="s">
        <v>25</v>
      </c>
      <c r="F673" s="1" t="str">
        <f>"540097441"</f>
        <v>540097441</v>
      </c>
      <c r="G673" s="1" t="s">
        <v>26</v>
      </c>
      <c r="H673" s="1" t="str">
        <f t="shared" si="97"/>
        <v>20220918</v>
      </c>
      <c r="I673" s="1" t="str">
        <f>"113141"</f>
        <v>113141</v>
      </c>
      <c r="J673" s="1" t="s">
        <v>27</v>
      </c>
      <c r="K673" s="1" t="s">
        <v>28</v>
      </c>
      <c r="L673" s="1" t="str">
        <f t="shared" si="98"/>
        <v>20220918</v>
      </c>
      <c r="M673" s="1" t="str">
        <f>"114714"</f>
        <v>114714</v>
      </c>
      <c r="N673" s="1" t="s">
        <v>61</v>
      </c>
      <c r="O673" s="1" t="s">
        <v>45</v>
      </c>
      <c r="P673" s="1" t="s">
        <v>55</v>
      </c>
      <c r="Q673" s="1">
        <v>13</v>
      </c>
      <c r="R673" s="1">
        <v>13</v>
      </c>
      <c r="S673" s="1">
        <v>0</v>
      </c>
      <c r="T673" s="1">
        <v>0</v>
      </c>
      <c r="U673" s="1">
        <v>0</v>
      </c>
      <c r="V673" s="1" t="str">
        <f t="shared" si="95"/>
        <v>里程去程</v>
      </c>
      <c r="W673" s="1" t="s">
        <v>35</v>
      </c>
    </row>
    <row r="674" spans="1:23" x14ac:dyDescent="0.3">
      <c r="A674" s="1" t="str">
        <f t="shared" si="99"/>
        <v>59828</v>
      </c>
      <c r="B674" s="1" t="s">
        <v>23</v>
      </c>
      <c r="C674" s="1" t="s">
        <v>24</v>
      </c>
      <c r="D674" s="1" t="str">
        <f t="shared" si="94"/>
        <v>9801</v>
      </c>
      <c r="E674" s="1" t="s">
        <v>25</v>
      </c>
      <c r="F674" s="1" t="str">
        <f>"1390089377"</f>
        <v>1390089377</v>
      </c>
      <c r="G674" s="1" t="s">
        <v>26</v>
      </c>
      <c r="H674" s="1" t="str">
        <f t="shared" si="97"/>
        <v>20220918</v>
      </c>
      <c r="I674" s="1" t="str">
        <f>"113143"</f>
        <v>113143</v>
      </c>
      <c r="J674" s="1" t="s">
        <v>27</v>
      </c>
      <c r="K674" s="1" t="s">
        <v>28</v>
      </c>
      <c r="L674" s="1" t="str">
        <f t="shared" si="98"/>
        <v>20220918</v>
      </c>
      <c r="M674" s="1" t="str">
        <f>"114718"</f>
        <v>114718</v>
      </c>
      <c r="N674" s="1" t="s">
        <v>61</v>
      </c>
      <c r="O674" s="1" t="s">
        <v>45</v>
      </c>
      <c r="P674" s="1" t="s">
        <v>55</v>
      </c>
      <c r="Q674" s="1">
        <v>13</v>
      </c>
      <c r="R674" s="1">
        <v>13</v>
      </c>
      <c r="S674" s="1">
        <v>0</v>
      </c>
      <c r="T674" s="1">
        <v>0</v>
      </c>
      <c r="U674" s="1">
        <v>0</v>
      </c>
      <c r="V674" s="1" t="str">
        <f t="shared" si="95"/>
        <v>里程去程</v>
      </c>
      <c r="W674" s="1" t="s">
        <v>35</v>
      </c>
    </row>
    <row r="675" spans="1:23" x14ac:dyDescent="0.3">
      <c r="A675" s="1" t="str">
        <f t="shared" si="99"/>
        <v>59828</v>
      </c>
      <c r="B675" s="1" t="s">
        <v>23</v>
      </c>
      <c r="C675" s="1" t="s">
        <v>24</v>
      </c>
      <c r="D675" s="1" t="str">
        <f t="shared" si="94"/>
        <v>9801</v>
      </c>
      <c r="E675" s="1" t="s">
        <v>25</v>
      </c>
      <c r="F675" s="1" t="str">
        <f>"1341060913"</f>
        <v>1341060913</v>
      </c>
      <c r="G675" s="1" t="s">
        <v>33</v>
      </c>
      <c r="H675" s="1" t="str">
        <f t="shared" si="97"/>
        <v>20220918</v>
      </c>
      <c r="I675" s="1" t="str">
        <f>"113444"</f>
        <v>113444</v>
      </c>
      <c r="J675" s="1" t="s">
        <v>27</v>
      </c>
      <c r="K675" s="1" t="s">
        <v>28</v>
      </c>
      <c r="L675" s="1" t="str">
        <f t="shared" si="98"/>
        <v>20220918</v>
      </c>
      <c r="M675" s="1" t="str">
        <f>"114720"</f>
        <v>114720</v>
      </c>
      <c r="N675" s="1" t="s">
        <v>61</v>
      </c>
      <c r="O675" s="1" t="s">
        <v>45</v>
      </c>
      <c r="P675" s="1" t="s">
        <v>55</v>
      </c>
      <c r="Q675" s="1">
        <v>25</v>
      </c>
      <c r="R675" s="1">
        <v>25</v>
      </c>
      <c r="S675" s="1">
        <v>0</v>
      </c>
      <c r="T675" s="1">
        <v>0</v>
      </c>
      <c r="U675" s="1">
        <v>0</v>
      </c>
      <c r="V675" s="1" t="str">
        <f t="shared" si="95"/>
        <v>里程去程</v>
      </c>
      <c r="W675" s="1" t="s">
        <v>35</v>
      </c>
    </row>
    <row r="676" spans="1:23" x14ac:dyDescent="0.3">
      <c r="A676" s="1" t="str">
        <f t="shared" si="99"/>
        <v>59828</v>
      </c>
      <c r="B676" s="1" t="s">
        <v>23</v>
      </c>
      <c r="C676" s="1" t="s">
        <v>24</v>
      </c>
      <c r="D676" s="1" t="str">
        <f t="shared" si="94"/>
        <v>9801</v>
      </c>
      <c r="E676" s="1" t="s">
        <v>25</v>
      </c>
      <c r="F676" s="1" t="str">
        <f>"224661035"</f>
        <v>224661035</v>
      </c>
      <c r="G676" s="1" t="s">
        <v>33</v>
      </c>
      <c r="H676" s="1" t="str">
        <f t="shared" si="97"/>
        <v>20220918</v>
      </c>
      <c r="I676" s="1" t="str">
        <f>"120748"</f>
        <v>120748</v>
      </c>
      <c r="J676" s="1" t="s">
        <v>60</v>
      </c>
      <c r="K676" s="1" t="s">
        <v>52</v>
      </c>
      <c r="L676" s="1" t="str">
        <f t="shared" si="98"/>
        <v>20220918</v>
      </c>
      <c r="M676" s="1" t="str">
        <f>"122903"</f>
        <v>122903</v>
      </c>
      <c r="N676" s="1" t="s">
        <v>70</v>
      </c>
      <c r="O676" s="1" t="s">
        <v>28</v>
      </c>
      <c r="P676" s="1" t="s">
        <v>55</v>
      </c>
      <c r="Q676" s="1">
        <v>25</v>
      </c>
      <c r="R676" s="1">
        <v>25</v>
      </c>
      <c r="S676" s="1">
        <v>0</v>
      </c>
      <c r="T676" s="1">
        <v>0</v>
      </c>
      <c r="U676" s="1">
        <v>0</v>
      </c>
      <c r="V676" s="1" t="str">
        <f t="shared" si="95"/>
        <v>里程去程</v>
      </c>
      <c r="W676" s="1" t="s">
        <v>35</v>
      </c>
    </row>
    <row r="677" spans="1:23" x14ac:dyDescent="0.3">
      <c r="A677" s="1" t="str">
        <f t="shared" si="99"/>
        <v>59828</v>
      </c>
      <c r="B677" s="1" t="s">
        <v>23</v>
      </c>
      <c r="C677" s="1" t="s">
        <v>24</v>
      </c>
      <c r="D677" s="1" t="str">
        <f t="shared" si="94"/>
        <v>9801</v>
      </c>
      <c r="E677" s="1" t="s">
        <v>25</v>
      </c>
      <c r="F677" s="1" t="str">
        <f>"975538033"</f>
        <v>975538033</v>
      </c>
      <c r="G677" s="1" t="s">
        <v>33</v>
      </c>
      <c r="H677" s="1" t="str">
        <f t="shared" si="97"/>
        <v>20220918</v>
      </c>
      <c r="I677" s="1" t="str">
        <f>"120751"</f>
        <v>120751</v>
      </c>
      <c r="J677" s="1" t="s">
        <v>60</v>
      </c>
      <c r="K677" s="1" t="s">
        <v>52</v>
      </c>
      <c r="L677" s="1" t="str">
        <f t="shared" si="98"/>
        <v>20220918</v>
      </c>
      <c r="M677" s="1" t="str">
        <f>"122918"</f>
        <v>122918</v>
      </c>
      <c r="N677" s="1" t="s">
        <v>70</v>
      </c>
      <c r="O677" s="1" t="s">
        <v>28</v>
      </c>
      <c r="P677" s="1" t="s">
        <v>55</v>
      </c>
      <c r="Q677" s="1">
        <v>25</v>
      </c>
      <c r="R677" s="1">
        <v>25</v>
      </c>
      <c r="S677" s="1">
        <v>0</v>
      </c>
      <c r="T677" s="1">
        <v>0</v>
      </c>
      <c r="U677" s="1">
        <v>0</v>
      </c>
      <c r="V677" s="1" t="str">
        <f t="shared" si="95"/>
        <v>里程去程</v>
      </c>
      <c r="W677" s="1" t="s">
        <v>35</v>
      </c>
    </row>
    <row r="678" spans="1:23" x14ac:dyDescent="0.3">
      <c r="A678" s="1" t="str">
        <f t="shared" si="99"/>
        <v>59828</v>
      </c>
      <c r="B678" s="1" t="s">
        <v>23</v>
      </c>
      <c r="C678" s="1" t="s">
        <v>24</v>
      </c>
      <c r="D678" s="1" t="str">
        <f t="shared" si="94"/>
        <v>9801</v>
      </c>
      <c r="E678" s="1" t="s">
        <v>25</v>
      </c>
      <c r="F678" s="1" t="str">
        <f>"1134601301"</f>
        <v>1134601301</v>
      </c>
      <c r="G678" s="1" t="s">
        <v>33</v>
      </c>
      <c r="H678" s="1" t="str">
        <f t="shared" si="97"/>
        <v>20220918</v>
      </c>
      <c r="I678" s="1" t="str">
        <f>"123232"</f>
        <v>123232</v>
      </c>
      <c r="J678" s="1" t="s">
        <v>27</v>
      </c>
      <c r="K678" s="1" t="s">
        <v>28</v>
      </c>
      <c r="L678" s="1" t="str">
        <f t="shared" si="98"/>
        <v>20220918</v>
      </c>
      <c r="M678" s="1" t="str">
        <f>"125340"</f>
        <v>125340</v>
      </c>
      <c r="N678" s="1" t="s">
        <v>100</v>
      </c>
      <c r="O678" s="1" t="s">
        <v>45</v>
      </c>
      <c r="P678" s="1" t="s">
        <v>55</v>
      </c>
      <c r="Q678" s="1">
        <v>25</v>
      </c>
      <c r="R678" s="1">
        <v>25</v>
      </c>
      <c r="S678" s="1">
        <v>0</v>
      </c>
      <c r="T678" s="1">
        <v>0</v>
      </c>
      <c r="U678" s="1">
        <v>0</v>
      </c>
      <c r="V678" s="1" t="str">
        <f t="shared" si="95"/>
        <v>里程去程</v>
      </c>
      <c r="W678" s="1" t="s">
        <v>35</v>
      </c>
    </row>
    <row r="679" spans="1:23" x14ac:dyDescent="0.3">
      <c r="A679" s="1" t="str">
        <f t="shared" si="99"/>
        <v>59828</v>
      </c>
      <c r="B679" s="1" t="s">
        <v>23</v>
      </c>
      <c r="C679" s="1" t="s">
        <v>24</v>
      </c>
      <c r="D679" s="1" t="str">
        <f t="shared" si="94"/>
        <v>9801</v>
      </c>
      <c r="E679" s="1" t="s">
        <v>25</v>
      </c>
      <c r="F679" s="1" t="str">
        <f>"E1C2C141A3280400F700000000000000"</f>
        <v>E1C2C141A3280400F700000000000000</v>
      </c>
      <c r="G679" s="1" t="s">
        <v>58</v>
      </c>
      <c r="H679" s="1" t="str">
        <f t="shared" si="97"/>
        <v>20220918</v>
      </c>
      <c r="I679" s="1" t="str">
        <f>"123234"</f>
        <v>123234</v>
      </c>
      <c r="J679" s="1" t="s">
        <v>27</v>
      </c>
      <c r="K679" s="1" t="s">
        <v>28</v>
      </c>
      <c r="L679" s="1" t="str">
        <f t="shared" si="98"/>
        <v>20220918</v>
      </c>
      <c r="M679" s="1" t="str">
        <f>"125606"</f>
        <v>125606</v>
      </c>
      <c r="N679" s="1" t="s">
        <v>44</v>
      </c>
      <c r="O679" s="1" t="s">
        <v>45</v>
      </c>
      <c r="P679" s="1" t="s">
        <v>55</v>
      </c>
      <c r="Q679" s="1">
        <v>25</v>
      </c>
      <c r="R679" s="1">
        <v>25</v>
      </c>
      <c r="S679" s="1">
        <v>0</v>
      </c>
      <c r="T679" s="1">
        <v>0</v>
      </c>
      <c r="U679" s="1">
        <v>0</v>
      </c>
      <c r="V679" s="1" t="str">
        <f t="shared" si="95"/>
        <v>里程去程</v>
      </c>
      <c r="W679" s="1" t="s">
        <v>29</v>
      </c>
    </row>
    <row r="680" spans="1:23" x14ac:dyDescent="0.3">
      <c r="A680" s="1" t="str">
        <f t="shared" si="99"/>
        <v>59828</v>
      </c>
      <c r="B680" s="1" t="s">
        <v>23</v>
      </c>
      <c r="C680" s="1" t="s">
        <v>24</v>
      </c>
      <c r="D680" s="1" t="str">
        <f t="shared" si="94"/>
        <v>9801</v>
      </c>
      <c r="E680" s="1" t="s">
        <v>25</v>
      </c>
      <c r="F680" s="1" t="str">
        <f>"B1F6E100A6880400432494C6000A080E"</f>
        <v>B1F6E100A6880400432494C6000A080E</v>
      </c>
      <c r="G680" s="1" t="s">
        <v>58</v>
      </c>
      <c r="H680" s="1" t="str">
        <f t="shared" si="97"/>
        <v>20220918</v>
      </c>
      <c r="I680" s="1" t="str">
        <f>"123239"</f>
        <v>123239</v>
      </c>
      <c r="J680" s="1" t="s">
        <v>27</v>
      </c>
      <c r="K680" s="1" t="s">
        <v>28</v>
      </c>
      <c r="L680" s="1" t="str">
        <f t="shared" si="98"/>
        <v>20220918</v>
      </c>
      <c r="M680" s="1" t="str">
        <f>"125600"</f>
        <v>125600</v>
      </c>
      <c r="N680" s="1" t="s">
        <v>44</v>
      </c>
      <c r="O680" s="1" t="s">
        <v>45</v>
      </c>
      <c r="P680" s="1" t="s">
        <v>55</v>
      </c>
      <c r="Q680" s="1">
        <v>25</v>
      </c>
      <c r="R680" s="1">
        <v>25</v>
      </c>
      <c r="S680" s="1">
        <v>0</v>
      </c>
      <c r="T680" s="1">
        <v>0</v>
      </c>
      <c r="U680" s="1">
        <v>0</v>
      </c>
      <c r="V680" s="1" t="str">
        <f t="shared" si="95"/>
        <v>里程去程</v>
      </c>
      <c r="W680" s="1" t="s">
        <v>29</v>
      </c>
    </row>
    <row r="681" spans="1:23" x14ac:dyDescent="0.3">
      <c r="A681" s="1" t="str">
        <f t="shared" si="99"/>
        <v>59828</v>
      </c>
      <c r="B681" s="1" t="s">
        <v>23</v>
      </c>
      <c r="C681" s="1" t="s">
        <v>24</v>
      </c>
      <c r="D681" s="1" t="str">
        <f t="shared" si="94"/>
        <v>9801</v>
      </c>
      <c r="E681" s="1" t="s">
        <v>25</v>
      </c>
      <c r="F681" s="1" t="str">
        <f>"967412997"</f>
        <v>967412997</v>
      </c>
      <c r="G681" s="1" t="s">
        <v>33</v>
      </c>
      <c r="H681" s="1" t="str">
        <f t="shared" si="97"/>
        <v>20220918</v>
      </c>
      <c r="I681" s="1" t="str">
        <f>"123246"</f>
        <v>123246</v>
      </c>
      <c r="J681" s="1" t="s">
        <v>27</v>
      </c>
      <c r="K681" s="1" t="s">
        <v>28</v>
      </c>
      <c r="L681" s="1" t="str">
        <f t="shared" si="98"/>
        <v>20220918</v>
      </c>
      <c r="M681" s="1" t="str">
        <f>"124624"</f>
        <v>124624</v>
      </c>
      <c r="N681" s="1" t="s">
        <v>56</v>
      </c>
      <c r="O681" s="1" t="s">
        <v>45</v>
      </c>
      <c r="P681" s="1" t="s">
        <v>55</v>
      </c>
      <c r="Q681" s="1">
        <v>25</v>
      </c>
      <c r="R681" s="1">
        <v>25</v>
      </c>
      <c r="S681" s="1">
        <v>0</v>
      </c>
      <c r="T681" s="1">
        <v>0</v>
      </c>
      <c r="U681" s="1">
        <v>0</v>
      </c>
      <c r="V681" s="1" t="str">
        <f t="shared" si="95"/>
        <v>里程去程</v>
      </c>
      <c r="W681" s="1" t="s">
        <v>35</v>
      </c>
    </row>
    <row r="682" spans="1:23" x14ac:dyDescent="0.3">
      <c r="A682" s="1" t="str">
        <f t="shared" si="99"/>
        <v>59828</v>
      </c>
      <c r="B682" s="1" t="s">
        <v>23</v>
      </c>
      <c r="C682" s="1" t="s">
        <v>24</v>
      </c>
      <c r="D682" s="1" t="str">
        <f t="shared" si="94"/>
        <v>9801</v>
      </c>
      <c r="E682" s="1" t="s">
        <v>25</v>
      </c>
      <c r="F682" s="1" t="str">
        <f>"D7D57EF18D880400432517BF0008040F"</f>
        <v>D7D57EF18D880400432517BF0008040F</v>
      </c>
      <c r="G682" s="1" t="s">
        <v>58</v>
      </c>
      <c r="H682" s="1" t="str">
        <f t="shared" si="97"/>
        <v>20220918</v>
      </c>
      <c r="I682" s="1" t="str">
        <f>"130805"</f>
        <v>130805</v>
      </c>
      <c r="J682" s="1" t="s">
        <v>51</v>
      </c>
      <c r="K682" s="1" t="s">
        <v>52</v>
      </c>
      <c r="L682" s="1" t="str">
        <f t="shared" si="98"/>
        <v>20220918</v>
      </c>
      <c r="M682" s="1" t="str">
        <f>"132945"</f>
        <v>132945</v>
      </c>
      <c r="N682" s="1" t="s">
        <v>70</v>
      </c>
      <c r="O682" s="1" t="s">
        <v>28</v>
      </c>
      <c r="P682" s="1" t="s">
        <v>55</v>
      </c>
      <c r="Q682" s="1">
        <v>25</v>
      </c>
      <c r="R682" s="1">
        <v>25</v>
      </c>
      <c r="S682" s="1">
        <v>0</v>
      </c>
      <c r="T682" s="1">
        <v>0</v>
      </c>
      <c r="U682" s="1">
        <v>0</v>
      </c>
      <c r="V682" s="1" t="str">
        <f t="shared" si="95"/>
        <v>里程去程</v>
      </c>
      <c r="W682" s="1" t="s">
        <v>29</v>
      </c>
    </row>
    <row r="683" spans="1:23" x14ac:dyDescent="0.3">
      <c r="A683" s="1" t="str">
        <f t="shared" si="99"/>
        <v>59828</v>
      </c>
      <c r="B683" s="1" t="s">
        <v>23</v>
      </c>
      <c r="C683" s="1" t="s">
        <v>24</v>
      </c>
      <c r="D683" s="1" t="str">
        <f t="shared" si="94"/>
        <v>9801</v>
      </c>
      <c r="E683" s="1" t="s">
        <v>25</v>
      </c>
      <c r="F683" s="1" t="str">
        <f>"A253B11555880400C810002000000019"</f>
        <v>A253B11555880400C810002000000019</v>
      </c>
      <c r="G683" s="1" t="s">
        <v>59</v>
      </c>
      <c r="H683" s="1" t="str">
        <f t="shared" si="97"/>
        <v>20220918</v>
      </c>
      <c r="I683" s="1" t="str">
        <f>"130808"</f>
        <v>130808</v>
      </c>
      <c r="J683" s="1" t="s">
        <v>51</v>
      </c>
      <c r="K683" s="1" t="s">
        <v>52</v>
      </c>
      <c r="L683" s="1" t="str">
        <f t="shared" si="98"/>
        <v>20220918</v>
      </c>
      <c r="M683" s="1" t="str">
        <f>"132940"</f>
        <v>132940</v>
      </c>
      <c r="N683" s="1" t="s">
        <v>70</v>
      </c>
      <c r="O683" s="1" t="s">
        <v>28</v>
      </c>
      <c r="P683" s="1" t="s">
        <v>55</v>
      </c>
      <c r="Q683" s="1">
        <v>13</v>
      </c>
      <c r="R683" s="1">
        <v>13</v>
      </c>
      <c r="S683" s="1">
        <v>0</v>
      </c>
      <c r="T683" s="1">
        <v>0</v>
      </c>
      <c r="U683" s="1">
        <v>0</v>
      </c>
      <c r="V683" s="1" t="str">
        <f t="shared" si="95"/>
        <v>里程去程</v>
      </c>
      <c r="W683" s="1" t="s">
        <v>29</v>
      </c>
    </row>
    <row r="684" spans="1:23" x14ac:dyDescent="0.3">
      <c r="A684" s="1" t="str">
        <f t="shared" si="99"/>
        <v>59828</v>
      </c>
      <c r="B684" s="1" t="s">
        <v>23</v>
      </c>
      <c r="C684" s="1" t="s">
        <v>24</v>
      </c>
      <c r="D684" s="1" t="str">
        <f t="shared" si="94"/>
        <v>9801</v>
      </c>
      <c r="E684" s="1" t="s">
        <v>25</v>
      </c>
      <c r="F684" s="1" t="str">
        <f>"B1D5CA9D3388040043261F6100110110"</f>
        <v>B1D5CA9D3388040043261F6100110110</v>
      </c>
      <c r="G684" s="1" t="s">
        <v>58</v>
      </c>
      <c r="H684" s="1" t="str">
        <f t="shared" si="97"/>
        <v>20220918</v>
      </c>
      <c r="I684" s="1" t="str">
        <f>"130811"</f>
        <v>130811</v>
      </c>
      <c r="J684" s="1" t="s">
        <v>51</v>
      </c>
      <c r="K684" s="1" t="s">
        <v>52</v>
      </c>
      <c r="L684" s="1" t="str">
        <f t="shared" si="98"/>
        <v>20220918</v>
      </c>
      <c r="M684" s="1" t="str">
        <f>"132942"</f>
        <v>132942</v>
      </c>
      <c r="N684" s="1" t="s">
        <v>70</v>
      </c>
      <c r="O684" s="1" t="s">
        <v>28</v>
      </c>
      <c r="P684" s="1" t="s">
        <v>55</v>
      </c>
      <c r="Q684" s="1">
        <v>25</v>
      </c>
      <c r="R684" s="1">
        <v>25</v>
      </c>
      <c r="S684" s="1">
        <v>0</v>
      </c>
      <c r="T684" s="1">
        <v>0</v>
      </c>
      <c r="U684" s="1">
        <v>0</v>
      </c>
      <c r="V684" s="1" t="str">
        <f t="shared" si="95"/>
        <v>里程去程</v>
      </c>
      <c r="W684" s="1" t="s">
        <v>29</v>
      </c>
    </row>
    <row r="685" spans="1:23" x14ac:dyDescent="0.3">
      <c r="A685" s="1" t="str">
        <f t="shared" si="99"/>
        <v>59828</v>
      </c>
      <c r="B685" s="1" t="s">
        <v>23</v>
      </c>
      <c r="C685" s="1" t="s">
        <v>24</v>
      </c>
      <c r="D685" s="1" t="str">
        <f t="shared" si="94"/>
        <v>9801</v>
      </c>
      <c r="E685" s="1" t="s">
        <v>25</v>
      </c>
      <c r="F685" s="1" t="str">
        <f>"7212F11889880400C821002000000019"</f>
        <v>7212F11889880400C821002000000019</v>
      </c>
      <c r="G685" s="1" t="s">
        <v>58</v>
      </c>
      <c r="H685" s="1" t="str">
        <f t="shared" si="97"/>
        <v>20220918</v>
      </c>
      <c r="I685" s="1" t="str">
        <f>"130813"</f>
        <v>130813</v>
      </c>
      <c r="J685" s="1" t="s">
        <v>51</v>
      </c>
      <c r="K685" s="1" t="s">
        <v>52</v>
      </c>
      <c r="L685" s="1" t="str">
        <f t="shared" si="98"/>
        <v>20220918</v>
      </c>
      <c r="M685" s="1" t="str">
        <f>"132947"</f>
        <v>132947</v>
      </c>
      <c r="N685" s="1" t="s">
        <v>70</v>
      </c>
      <c r="O685" s="1" t="s">
        <v>28</v>
      </c>
      <c r="P685" s="1" t="s">
        <v>55</v>
      </c>
      <c r="Q685" s="1">
        <v>25</v>
      </c>
      <c r="R685" s="1">
        <v>25</v>
      </c>
      <c r="S685" s="1">
        <v>0</v>
      </c>
      <c r="T685" s="1">
        <v>0</v>
      </c>
      <c r="U685" s="1">
        <v>0</v>
      </c>
      <c r="V685" s="1" t="str">
        <f t="shared" si="95"/>
        <v>里程去程</v>
      </c>
      <c r="W685" s="1" t="s">
        <v>29</v>
      </c>
    </row>
    <row r="686" spans="1:23" x14ac:dyDescent="0.3">
      <c r="A686" s="1" t="str">
        <f t="shared" si="99"/>
        <v>59828</v>
      </c>
      <c r="B686" s="1" t="s">
        <v>23</v>
      </c>
      <c r="C686" s="1" t="s">
        <v>24</v>
      </c>
      <c r="D686" s="1" t="str">
        <f t="shared" si="94"/>
        <v>9801</v>
      </c>
      <c r="E686" s="1" t="s">
        <v>25</v>
      </c>
      <c r="F686" s="1" t="str">
        <f>"1476683887"</f>
        <v>1476683887</v>
      </c>
      <c r="G686" s="1" t="s">
        <v>33</v>
      </c>
      <c r="H686" s="1" t="str">
        <f t="shared" si="97"/>
        <v>20220918</v>
      </c>
      <c r="I686" s="1" t="str">
        <f>"133513"</f>
        <v>133513</v>
      </c>
      <c r="J686" s="1" t="s">
        <v>27</v>
      </c>
      <c r="K686" s="1" t="s">
        <v>28</v>
      </c>
      <c r="L686" s="1" t="str">
        <f t="shared" si="98"/>
        <v>20220918</v>
      </c>
      <c r="M686" s="1" t="str">
        <f>"135916"</f>
        <v>135916</v>
      </c>
      <c r="N686" s="1" t="s">
        <v>44</v>
      </c>
      <c r="O686" s="1" t="s">
        <v>45</v>
      </c>
      <c r="P686" s="1" t="s">
        <v>55</v>
      </c>
      <c r="Q686" s="1">
        <v>25</v>
      </c>
      <c r="R686" s="1">
        <v>0</v>
      </c>
      <c r="S686" s="1">
        <v>25</v>
      </c>
      <c r="T686" s="1">
        <v>0</v>
      </c>
      <c r="U686" s="1">
        <v>0</v>
      </c>
      <c r="V686" s="1" t="str">
        <f t="shared" si="95"/>
        <v>里程去程</v>
      </c>
      <c r="W686" s="1" t="s">
        <v>35</v>
      </c>
    </row>
    <row r="687" spans="1:23" x14ac:dyDescent="0.3">
      <c r="A687" s="1" t="str">
        <f t="shared" si="99"/>
        <v>59828</v>
      </c>
      <c r="B687" s="1" t="s">
        <v>23</v>
      </c>
      <c r="C687" s="1" t="s">
        <v>24</v>
      </c>
      <c r="D687" s="1" t="str">
        <f t="shared" si="94"/>
        <v>9801</v>
      </c>
      <c r="E687" s="1" t="s">
        <v>25</v>
      </c>
      <c r="F687" s="1" t="str">
        <f>"1047965173"</f>
        <v>1047965173</v>
      </c>
      <c r="G687" s="1" t="s">
        <v>33</v>
      </c>
      <c r="H687" s="1" t="str">
        <f t="shared" si="97"/>
        <v>20220918</v>
      </c>
      <c r="I687" s="1" t="str">
        <f>"145717"</f>
        <v>145717</v>
      </c>
      <c r="J687" s="1" t="s">
        <v>52</v>
      </c>
      <c r="K687" s="1" t="s">
        <v>52</v>
      </c>
      <c r="L687" s="1" t="str">
        <f t="shared" si="98"/>
        <v>20220918</v>
      </c>
      <c r="M687" s="1" t="str">
        <f>"152643"</f>
        <v>152643</v>
      </c>
      <c r="N687" s="1" t="s">
        <v>70</v>
      </c>
      <c r="O687" s="1" t="s">
        <v>28</v>
      </c>
      <c r="P687" s="1" t="s">
        <v>55</v>
      </c>
      <c r="Q687" s="1">
        <v>25</v>
      </c>
      <c r="R687" s="1">
        <v>25</v>
      </c>
      <c r="S687" s="1">
        <v>0</v>
      </c>
      <c r="T687" s="1">
        <v>0</v>
      </c>
      <c r="U687" s="1">
        <v>0</v>
      </c>
      <c r="V687" s="1" t="str">
        <f t="shared" si="95"/>
        <v>里程去程</v>
      </c>
      <c r="W687" s="1" t="s">
        <v>35</v>
      </c>
    </row>
    <row r="688" spans="1:23" x14ac:dyDescent="0.3">
      <c r="A688" s="1" t="str">
        <f t="shared" si="99"/>
        <v>59828</v>
      </c>
      <c r="B688" s="1" t="s">
        <v>23</v>
      </c>
      <c r="C688" s="1" t="s">
        <v>24</v>
      </c>
      <c r="D688" s="1" t="str">
        <f t="shared" si="94"/>
        <v>9801</v>
      </c>
      <c r="E688" s="1" t="s">
        <v>25</v>
      </c>
      <c r="F688" s="1" t="str">
        <f>"F27CE6026A880400C834002000000015"</f>
        <v>F27CE6026A880400C834002000000015</v>
      </c>
      <c r="G688" s="1" t="s">
        <v>74</v>
      </c>
      <c r="H688" s="1" t="str">
        <f t="shared" si="97"/>
        <v>20220918</v>
      </c>
      <c r="I688" s="1" t="str">
        <f>"145742"</f>
        <v>145742</v>
      </c>
      <c r="J688" s="1" t="s">
        <v>52</v>
      </c>
      <c r="K688" s="1" t="s">
        <v>52</v>
      </c>
      <c r="L688" s="1" t="str">
        <f t="shared" si="98"/>
        <v>20220918</v>
      </c>
      <c r="M688" s="1" t="str">
        <f>"150600"</f>
        <v>150600</v>
      </c>
      <c r="N688" s="1" t="s">
        <v>60</v>
      </c>
      <c r="O688" s="1" t="s">
        <v>52</v>
      </c>
      <c r="P688" s="1" t="s">
        <v>68</v>
      </c>
      <c r="Q688" s="1">
        <v>13</v>
      </c>
      <c r="R688" s="1">
        <v>0</v>
      </c>
      <c r="S688" s="1">
        <v>0</v>
      </c>
      <c r="T688" s="1">
        <v>13</v>
      </c>
      <c r="U688" s="1">
        <v>0</v>
      </c>
      <c r="V688" s="1" t="str">
        <f t="shared" si="95"/>
        <v>里程去程</v>
      </c>
      <c r="W688" s="1" t="s">
        <v>29</v>
      </c>
    </row>
    <row r="689" spans="1:23" x14ac:dyDescent="0.3">
      <c r="A689" s="1" t="str">
        <f t="shared" si="99"/>
        <v>59828</v>
      </c>
      <c r="B689" s="1" t="s">
        <v>23</v>
      </c>
      <c r="C689" s="1" t="s">
        <v>24</v>
      </c>
      <c r="D689" s="1" t="str">
        <f t="shared" si="94"/>
        <v>9801</v>
      </c>
      <c r="E689" s="1" t="s">
        <v>25</v>
      </c>
      <c r="F689" s="1" t="str">
        <f>"C2F219032A880400C834002000000015"</f>
        <v>C2F219032A880400C834002000000015</v>
      </c>
      <c r="G689" s="1" t="s">
        <v>26</v>
      </c>
      <c r="H689" s="1" t="str">
        <f t="shared" si="97"/>
        <v>20220918</v>
      </c>
      <c r="I689" s="1" t="str">
        <f>"150437"</f>
        <v>150437</v>
      </c>
      <c r="J689" s="1" t="s">
        <v>86</v>
      </c>
      <c r="K689" s="1" t="s">
        <v>52</v>
      </c>
      <c r="L689" s="1" t="str">
        <f t="shared" si="98"/>
        <v>20220918</v>
      </c>
      <c r="M689" s="1" t="str">
        <f>"150805"</f>
        <v>150805</v>
      </c>
      <c r="N689" s="1" t="s">
        <v>51</v>
      </c>
      <c r="O689" s="1" t="s">
        <v>52</v>
      </c>
      <c r="P689" s="1" t="s">
        <v>68</v>
      </c>
      <c r="Q689" s="1">
        <v>13</v>
      </c>
      <c r="R689" s="1">
        <v>0</v>
      </c>
      <c r="S689" s="1">
        <v>0</v>
      </c>
      <c r="T689" s="1">
        <v>13</v>
      </c>
      <c r="U689" s="1">
        <v>0</v>
      </c>
      <c r="V689" s="1" t="str">
        <f t="shared" si="95"/>
        <v>里程去程</v>
      </c>
      <c r="W689" s="1" t="s">
        <v>29</v>
      </c>
    </row>
    <row r="690" spans="1:23" x14ac:dyDescent="0.3">
      <c r="A690" s="1" t="str">
        <f t="shared" si="99"/>
        <v>59828</v>
      </c>
      <c r="B690" s="1" t="s">
        <v>23</v>
      </c>
      <c r="C690" s="1" t="s">
        <v>24</v>
      </c>
      <c r="D690" s="1" t="str">
        <f t="shared" si="94"/>
        <v>9801</v>
      </c>
      <c r="E690" s="1" t="s">
        <v>25</v>
      </c>
      <c r="F690" s="1" t="str">
        <f>"1130610597"</f>
        <v>1130610597</v>
      </c>
      <c r="G690" s="1" t="s">
        <v>38</v>
      </c>
      <c r="H690" s="1" t="str">
        <f t="shared" si="97"/>
        <v>20220918</v>
      </c>
      <c r="I690" s="1" t="str">
        <f>"153524"</f>
        <v>153524</v>
      </c>
      <c r="J690" s="1" t="s">
        <v>27</v>
      </c>
      <c r="K690" s="1" t="s">
        <v>28</v>
      </c>
      <c r="L690" s="1" t="str">
        <f t="shared" si="98"/>
        <v>20220918</v>
      </c>
      <c r="M690" s="1" t="str">
        <f>"155741"</f>
        <v>155741</v>
      </c>
      <c r="N690" s="1" t="s">
        <v>44</v>
      </c>
      <c r="O690" s="1" t="s">
        <v>45</v>
      </c>
      <c r="P690" s="1" t="s">
        <v>55</v>
      </c>
      <c r="Q690" s="1">
        <v>25</v>
      </c>
      <c r="R690" s="1">
        <v>25</v>
      </c>
      <c r="S690" s="1">
        <v>0</v>
      </c>
      <c r="T690" s="1">
        <v>0</v>
      </c>
      <c r="U690" s="1">
        <v>0</v>
      </c>
      <c r="V690" s="1" t="str">
        <f t="shared" si="95"/>
        <v>里程去程</v>
      </c>
      <c r="W690" s="1" t="s">
        <v>35</v>
      </c>
    </row>
    <row r="691" spans="1:23" x14ac:dyDescent="0.3">
      <c r="A691" s="1" t="str">
        <f t="shared" si="99"/>
        <v>59828</v>
      </c>
      <c r="B691" s="1" t="s">
        <v>23</v>
      </c>
      <c r="C691" s="1" t="s">
        <v>24</v>
      </c>
      <c r="D691" s="1" t="str">
        <f t="shared" si="94"/>
        <v>9801</v>
      </c>
      <c r="E691" s="1" t="s">
        <v>25</v>
      </c>
      <c r="F691" s="1" t="str">
        <f>"7511161438009850"</f>
        <v>7511161438009850</v>
      </c>
      <c r="G691" s="1" t="s">
        <v>33</v>
      </c>
      <c r="H691" s="1" t="str">
        <f t="shared" si="97"/>
        <v>20220918</v>
      </c>
      <c r="I691" s="1" t="str">
        <f>"155405"</f>
        <v>155405</v>
      </c>
      <c r="J691" s="1" t="s">
        <v>100</v>
      </c>
      <c r="K691" s="1" t="s">
        <v>45</v>
      </c>
      <c r="L691" s="1" t="str">
        <f t="shared" si="98"/>
        <v>20220918</v>
      </c>
      <c r="M691" s="1" t="str">
        <f>"155744"</f>
        <v>155744</v>
      </c>
      <c r="N691" s="1" t="s">
        <v>44</v>
      </c>
      <c r="O691" s="1" t="s">
        <v>45</v>
      </c>
      <c r="P691" s="1" t="s">
        <v>55</v>
      </c>
      <c r="Q691" s="1">
        <v>25</v>
      </c>
      <c r="R691" s="1">
        <v>25</v>
      </c>
      <c r="S691" s="1">
        <v>0</v>
      </c>
      <c r="T691" s="1">
        <v>0</v>
      </c>
      <c r="U691" s="1">
        <v>0</v>
      </c>
      <c r="V691" s="1" t="str">
        <f t="shared" si="95"/>
        <v>里程去程</v>
      </c>
      <c r="W691" s="1" t="s">
        <v>109</v>
      </c>
    </row>
    <row r="692" spans="1:23" x14ac:dyDescent="0.3">
      <c r="A692" s="1" t="str">
        <f t="shared" si="99"/>
        <v>59828</v>
      </c>
      <c r="B692" s="1" t="s">
        <v>23</v>
      </c>
      <c r="C692" s="1" t="s">
        <v>24</v>
      </c>
      <c r="D692" s="1" t="str">
        <f t="shared" si="94"/>
        <v>9801</v>
      </c>
      <c r="E692" s="1" t="s">
        <v>25</v>
      </c>
      <c r="F692" s="1" t="str">
        <f>"3921423709"</f>
        <v>3921423709</v>
      </c>
      <c r="G692" s="1" t="s">
        <v>33</v>
      </c>
      <c r="H692" s="1" t="str">
        <f t="shared" si="97"/>
        <v>20220918</v>
      </c>
      <c r="I692" s="1" t="str">
        <f>"162058"</f>
        <v>162058</v>
      </c>
      <c r="J692" s="1" t="s">
        <v>69</v>
      </c>
      <c r="K692" s="1" t="s">
        <v>52</v>
      </c>
      <c r="L692" s="1" t="str">
        <f t="shared" si="98"/>
        <v>20220918</v>
      </c>
      <c r="M692" s="1" t="str">
        <f>"163151"</f>
        <v>163151</v>
      </c>
      <c r="N692" s="1" t="s">
        <v>70</v>
      </c>
      <c r="O692" s="1" t="s">
        <v>28</v>
      </c>
      <c r="P692" s="1" t="s">
        <v>55</v>
      </c>
      <c r="Q692" s="1">
        <v>25</v>
      </c>
      <c r="R692" s="1">
        <v>25</v>
      </c>
      <c r="S692" s="1">
        <v>0</v>
      </c>
      <c r="T692" s="1">
        <v>0</v>
      </c>
      <c r="U692" s="1">
        <v>0</v>
      </c>
      <c r="V692" s="1" t="str">
        <f t="shared" si="95"/>
        <v>里程去程</v>
      </c>
      <c r="W692" s="1" t="s">
        <v>35</v>
      </c>
    </row>
    <row r="693" spans="1:23" x14ac:dyDescent="0.3">
      <c r="A693" s="1" t="str">
        <f t="shared" si="99"/>
        <v>59828</v>
      </c>
      <c r="B693" s="1" t="s">
        <v>23</v>
      </c>
      <c r="C693" s="1" t="s">
        <v>24</v>
      </c>
      <c r="D693" s="1" t="str">
        <f t="shared" si="94"/>
        <v>9801</v>
      </c>
      <c r="E693" s="1" t="s">
        <v>25</v>
      </c>
      <c r="F693" s="1" t="str">
        <f>"1560889679"</f>
        <v>1560889679</v>
      </c>
      <c r="G693" s="1" t="s">
        <v>33</v>
      </c>
      <c r="H693" s="1" t="str">
        <f t="shared" si="97"/>
        <v>20220918</v>
      </c>
      <c r="I693" s="1" t="str">
        <f>"163229"</f>
        <v>163229</v>
      </c>
      <c r="J693" s="1" t="s">
        <v>27</v>
      </c>
      <c r="K693" s="1" t="s">
        <v>28</v>
      </c>
      <c r="L693" s="1" t="str">
        <f t="shared" si="98"/>
        <v>20220918</v>
      </c>
      <c r="M693" s="1" t="str">
        <f>"170037"</f>
        <v>170037</v>
      </c>
      <c r="N693" s="1" t="s">
        <v>44</v>
      </c>
      <c r="O693" s="1" t="s">
        <v>45</v>
      </c>
      <c r="P693" s="1" t="s">
        <v>55</v>
      </c>
      <c r="Q693" s="1">
        <v>25</v>
      </c>
      <c r="R693" s="1">
        <v>25</v>
      </c>
      <c r="S693" s="1">
        <v>0</v>
      </c>
      <c r="T693" s="1">
        <v>0</v>
      </c>
      <c r="U693" s="1">
        <v>0</v>
      </c>
      <c r="V693" s="1" t="str">
        <f t="shared" si="95"/>
        <v>里程去程</v>
      </c>
      <c r="W693" s="1" t="s">
        <v>35</v>
      </c>
    </row>
    <row r="694" spans="1:23" x14ac:dyDescent="0.3">
      <c r="A694" s="1" t="str">
        <f t="shared" si="99"/>
        <v>59828</v>
      </c>
      <c r="B694" s="1" t="s">
        <v>23</v>
      </c>
      <c r="C694" s="1" t="s">
        <v>24</v>
      </c>
      <c r="D694" s="1" t="str">
        <f t="shared" si="94"/>
        <v>9801</v>
      </c>
      <c r="E694" s="1" t="s">
        <v>25</v>
      </c>
      <c r="F694" s="1" t="str">
        <f>"80BA1E5C78880400468F74D84D102411"</f>
        <v>80BA1E5C78880400468F74D84D102411</v>
      </c>
      <c r="G694" s="1" t="s">
        <v>59</v>
      </c>
      <c r="H694" s="1" t="str">
        <f t="shared" si="97"/>
        <v>20220918</v>
      </c>
      <c r="I694" s="1" t="str">
        <f>"163237"</f>
        <v>163237</v>
      </c>
      <c r="J694" s="1" t="s">
        <v>27</v>
      </c>
      <c r="K694" s="1" t="s">
        <v>28</v>
      </c>
      <c r="L694" s="1" t="str">
        <f t="shared" si="98"/>
        <v>20220918</v>
      </c>
      <c r="M694" s="1" t="str">
        <f>"170048"</f>
        <v>170048</v>
      </c>
      <c r="N694" s="1" t="s">
        <v>44</v>
      </c>
      <c r="O694" s="1" t="s">
        <v>45</v>
      </c>
      <c r="P694" s="1" t="s">
        <v>55</v>
      </c>
      <c r="Q694" s="1">
        <v>25</v>
      </c>
      <c r="R694" s="1">
        <v>25</v>
      </c>
      <c r="S694" s="1">
        <v>0</v>
      </c>
      <c r="T694" s="1">
        <v>0</v>
      </c>
      <c r="U694" s="1">
        <v>0</v>
      </c>
      <c r="V694" s="1" t="str">
        <f t="shared" si="95"/>
        <v>里程去程</v>
      </c>
      <c r="W694" s="1" t="s">
        <v>29</v>
      </c>
    </row>
    <row r="695" spans="1:23" x14ac:dyDescent="0.3">
      <c r="A695" s="1" t="str">
        <f t="shared" si="99"/>
        <v>59828</v>
      </c>
      <c r="B695" s="1" t="s">
        <v>23</v>
      </c>
      <c r="C695" s="1" t="s">
        <v>24</v>
      </c>
      <c r="D695" s="1" t="str">
        <f t="shared" si="94"/>
        <v>9801</v>
      </c>
      <c r="E695" s="1" t="s">
        <v>25</v>
      </c>
      <c r="F695" s="1" t="str">
        <f>"120B971B95880400C822002000000021"</f>
        <v>120B971B95880400C822002000000021</v>
      </c>
      <c r="G695" s="1" t="s">
        <v>58</v>
      </c>
      <c r="H695" s="1" t="str">
        <f t="shared" si="97"/>
        <v>20220918</v>
      </c>
      <c r="I695" s="1" t="str">
        <f>"163245"</f>
        <v>163245</v>
      </c>
      <c r="J695" s="1" t="s">
        <v>27</v>
      </c>
      <c r="K695" s="1" t="s">
        <v>28</v>
      </c>
      <c r="L695" s="1" t="str">
        <f t="shared" si="98"/>
        <v>20220918</v>
      </c>
      <c r="M695" s="1" t="str">
        <f>"164904"</f>
        <v>164904</v>
      </c>
      <c r="N695" s="1" t="s">
        <v>56</v>
      </c>
      <c r="O695" s="1" t="s">
        <v>45</v>
      </c>
      <c r="P695" s="1" t="s">
        <v>55</v>
      </c>
      <c r="Q695" s="1">
        <v>25</v>
      </c>
      <c r="R695" s="1">
        <v>25</v>
      </c>
      <c r="S695" s="1">
        <v>0</v>
      </c>
      <c r="T695" s="1">
        <v>0</v>
      </c>
      <c r="U695" s="1">
        <v>0</v>
      </c>
      <c r="V695" s="1" t="str">
        <f t="shared" si="95"/>
        <v>里程去程</v>
      </c>
      <c r="W695" s="1" t="s">
        <v>29</v>
      </c>
    </row>
    <row r="696" spans="1:23" x14ac:dyDescent="0.3">
      <c r="A696" s="1" t="str">
        <f t="shared" si="99"/>
        <v>59828</v>
      </c>
      <c r="B696" s="1" t="s">
        <v>23</v>
      </c>
      <c r="C696" s="1" t="s">
        <v>24</v>
      </c>
      <c r="D696" s="1" t="str">
        <f t="shared" si="94"/>
        <v>9801</v>
      </c>
      <c r="E696" s="1" t="s">
        <v>25</v>
      </c>
      <c r="F696" s="1" t="str">
        <f>"1353927921"</f>
        <v>1353927921</v>
      </c>
      <c r="G696" s="1" t="s">
        <v>33</v>
      </c>
      <c r="H696" s="1" t="str">
        <f t="shared" si="97"/>
        <v>20220918</v>
      </c>
      <c r="I696" s="1" t="str">
        <f>"163249"</f>
        <v>163249</v>
      </c>
      <c r="J696" s="1" t="s">
        <v>27</v>
      </c>
      <c r="K696" s="1" t="s">
        <v>28</v>
      </c>
      <c r="L696" s="1" t="str">
        <f t="shared" si="98"/>
        <v>20220918</v>
      </c>
      <c r="M696" s="1" t="str">
        <f>"165916"</f>
        <v>165916</v>
      </c>
      <c r="N696" s="1" t="s">
        <v>44</v>
      </c>
      <c r="O696" s="1" t="s">
        <v>45</v>
      </c>
      <c r="P696" s="1" t="s">
        <v>55</v>
      </c>
      <c r="Q696" s="1">
        <v>25</v>
      </c>
      <c r="R696" s="1">
        <v>25</v>
      </c>
      <c r="S696" s="1">
        <v>0</v>
      </c>
      <c r="T696" s="1">
        <v>0</v>
      </c>
      <c r="U696" s="1">
        <v>0</v>
      </c>
      <c r="V696" s="1" t="str">
        <f t="shared" si="95"/>
        <v>里程去程</v>
      </c>
      <c r="W696" s="1" t="s">
        <v>35</v>
      </c>
    </row>
    <row r="697" spans="1:23" x14ac:dyDescent="0.3">
      <c r="A697" s="1" t="str">
        <f t="shared" si="99"/>
        <v>59828</v>
      </c>
      <c r="B697" s="1" t="s">
        <v>23</v>
      </c>
      <c r="C697" s="1" t="s">
        <v>24</v>
      </c>
      <c r="D697" s="1" t="str">
        <f t="shared" si="94"/>
        <v>9801</v>
      </c>
      <c r="E697" s="1" t="s">
        <v>25</v>
      </c>
      <c r="F697" s="1" t="str">
        <f>"2697033039"</f>
        <v>2697033039</v>
      </c>
      <c r="G697" s="1" t="s">
        <v>26</v>
      </c>
      <c r="H697" s="1" t="str">
        <f t="shared" si="97"/>
        <v>20220918</v>
      </c>
      <c r="I697" s="1" t="str">
        <f>"164609"</f>
        <v>164609</v>
      </c>
      <c r="J697" s="1" t="s">
        <v>45</v>
      </c>
      <c r="K697" s="1" t="s">
        <v>45</v>
      </c>
      <c r="L697" s="1" t="str">
        <f t="shared" si="98"/>
        <v>20220918</v>
      </c>
      <c r="M697" s="1" t="str">
        <f>"170100"</f>
        <v>170100</v>
      </c>
      <c r="N697" s="1" t="s">
        <v>44</v>
      </c>
      <c r="O697" s="1" t="s">
        <v>45</v>
      </c>
      <c r="P697" s="1" t="s">
        <v>55</v>
      </c>
      <c r="Q697" s="1">
        <v>13</v>
      </c>
      <c r="R697" s="1">
        <v>13</v>
      </c>
      <c r="S697" s="1">
        <v>0</v>
      </c>
      <c r="T697" s="1">
        <v>0</v>
      </c>
      <c r="U697" s="1">
        <v>0</v>
      </c>
      <c r="V697" s="1" t="str">
        <f t="shared" si="95"/>
        <v>里程去程</v>
      </c>
      <c r="W697" s="1" t="s">
        <v>35</v>
      </c>
    </row>
    <row r="698" spans="1:23" x14ac:dyDescent="0.3">
      <c r="A698" s="1" t="str">
        <f t="shared" si="99"/>
        <v>59828</v>
      </c>
      <c r="B698" s="1" t="s">
        <v>23</v>
      </c>
      <c r="C698" s="1" t="s">
        <v>24</v>
      </c>
      <c r="D698" s="1" t="str">
        <f t="shared" si="94"/>
        <v>9801</v>
      </c>
      <c r="E698" s="1" t="s">
        <v>25</v>
      </c>
      <c r="F698" s="1" t="str">
        <f>"224208623"</f>
        <v>224208623</v>
      </c>
      <c r="G698" s="1" t="s">
        <v>26</v>
      </c>
      <c r="H698" s="1" t="str">
        <f t="shared" si="97"/>
        <v>20220918</v>
      </c>
      <c r="I698" s="1" t="str">
        <f>"164612"</f>
        <v>164612</v>
      </c>
      <c r="J698" s="1" t="s">
        <v>45</v>
      </c>
      <c r="K698" s="1" t="s">
        <v>45</v>
      </c>
      <c r="L698" s="1" t="str">
        <f t="shared" si="98"/>
        <v>20220918</v>
      </c>
      <c r="M698" s="1" t="str">
        <f>"170058"</f>
        <v>170058</v>
      </c>
      <c r="N698" s="1" t="s">
        <v>44</v>
      </c>
      <c r="O698" s="1" t="s">
        <v>45</v>
      </c>
      <c r="P698" s="1" t="s">
        <v>55</v>
      </c>
      <c r="Q698" s="1">
        <v>13</v>
      </c>
      <c r="R698" s="1">
        <v>13</v>
      </c>
      <c r="S698" s="1">
        <v>0</v>
      </c>
      <c r="T698" s="1">
        <v>0</v>
      </c>
      <c r="U698" s="1">
        <v>0</v>
      </c>
      <c r="V698" s="1" t="str">
        <f t="shared" si="95"/>
        <v>里程去程</v>
      </c>
      <c r="W698" s="1" t="s">
        <v>35</v>
      </c>
    </row>
    <row r="699" spans="1:23" x14ac:dyDescent="0.3">
      <c r="A699" s="1" t="str">
        <f t="shared" si="99"/>
        <v>59828</v>
      </c>
      <c r="B699" s="1" t="s">
        <v>23</v>
      </c>
      <c r="C699" s="1" t="s">
        <v>24</v>
      </c>
      <c r="D699" s="1" t="str">
        <f t="shared" si="94"/>
        <v>9801</v>
      </c>
      <c r="E699" s="1" t="s">
        <v>25</v>
      </c>
      <c r="F699" s="1" t="str">
        <f>"611749009"</f>
        <v>611749009</v>
      </c>
      <c r="G699" s="1" t="s">
        <v>33</v>
      </c>
      <c r="H699" s="1" t="str">
        <f t="shared" si="97"/>
        <v>20220918</v>
      </c>
      <c r="I699" s="1" t="str">
        <f>"164624"</f>
        <v>164624</v>
      </c>
      <c r="J699" s="1" t="s">
        <v>45</v>
      </c>
      <c r="K699" s="1" t="s">
        <v>45</v>
      </c>
      <c r="L699" s="1" t="str">
        <f t="shared" si="98"/>
        <v>20220918</v>
      </c>
      <c r="M699" s="1" t="str">
        <f>"170105"</f>
        <v>170105</v>
      </c>
      <c r="N699" s="1" t="s">
        <v>44</v>
      </c>
      <c r="O699" s="1" t="s">
        <v>45</v>
      </c>
      <c r="P699" s="1" t="s">
        <v>55</v>
      </c>
      <c r="Q699" s="1">
        <v>25</v>
      </c>
      <c r="R699" s="1">
        <v>25</v>
      </c>
      <c r="S699" s="1">
        <v>0</v>
      </c>
      <c r="T699" s="1">
        <v>0</v>
      </c>
      <c r="U699" s="1">
        <v>0</v>
      </c>
      <c r="V699" s="1" t="str">
        <f t="shared" si="95"/>
        <v>里程去程</v>
      </c>
      <c r="W699" s="1" t="s">
        <v>35</v>
      </c>
    </row>
    <row r="700" spans="1:23" x14ac:dyDescent="0.3">
      <c r="A700" s="1" t="str">
        <f t="shared" si="99"/>
        <v>59828</v>
      </c>
      <c r="B700" s="1" t="s">
        <v>23</v>
      </c>
      <c r="C700" s="1" t="s">
        <v>24</v>
      </c>
      <c r="D700" s="1" t="str">
        <f t="shared" si="94"/>
        <v>9801</v>
      </c>
      <c r="E700" s="1" t="s">
        <v>25</v>
      </c>
      <c r="F700" s="1" t="str">
        <f>"5C98FF7C478804004751861865104907"</f>
        <v>5C98FF7C478804004751861865104907</v>
      </c>
      <c r="G700" s="1" t="s">
        <v>82</v>
      </c>
      <c r="H700" s="1" t="str">
        <f t="shared" si="97"/>
        <v>20220918</v>
      </c>
      <c r="I700" s="1" t="str">
        <f>"203247"</f>
        <v>203247</v>
      </c>
      <c r="J700" s="1" t="s">
        <v>27</v>
      </c>
      <c r="K700" s="1" t="s">
        <v>28</v>
      </c>
      <c r="L700" s="1" t="str">
        <f t="shared" si="98"/>
        <v>20220918</v>
      </c>
      <c r="M700" s="1" t="str">
        <f>"205609"</f>
        <v>205609</v>
      </c>
      <c r="N700" s="1" t="s">
        <v>44</v>
      </c>
      <c r="O700" s="1" t="s">
        <v>45</v>
      </c>
      <c r="P700" s="1" t="s">
        <v>55</v>
      </c>
      <c r="Q700" s="1">
        <v>13</v>
      </c>
      <c r="R700" s="1">
        <v>0</v>
      </c>
      <c r="S700" s="1">
        <v>13</v>
      </c>
      <c r="T700" s="1">
        <v>0</v>
      </c>
      <c r="U700" s="1">
        <v>0</v>
      </c>
      <c r="V700" s="1" t="str">
        <f t="shared" si="95"/>
        <v>里程去程</v>
      </c>
      <c r="W700" s="1" t="s">
        <v>29</v>
      </c>
    </row>
    <row r="701" spans="1:23" x14ac:dyDescent="0.3">
      <c r="A701" s="1" t="str">
        <f t="shared" ref="A701:A707" si="100">"59809"</f>
        <v>59809</v>
      </c>
      <c r="B701" s="1" t="s">
        <v>42</v>
      </c>
      <c r="C701" s="1" t="s">
        <v>43</v>
      </c>
      <c r="D701" s="1" t="str">
        <f t="shared" si="94"/>
        <v>9801</v>
      </c>
      <c r="E701" s="1" t="s">
        <v>25</v>
      </c>
      <c r="F701" s="1" t="str">
        <f>"7227E702B0880400C834002000000015"</f>
        <v>7227E702B0880400C834002000000015</v>
      </c>
      <c r="G701" s="1" t="s">
        <v>74</v>
      </c>
      <c r="H701" s="1" t="str">
        <f t="shared" ref="H701:H718" si="101">"20220919"</f>
        <v>20220919</v>
      </c>
      <c r="I701" s="1" t="str">
        <f>"075522"</f>
        <v>075522</v>
      </c>
      <c r="J701" s="1" t="s">
        <v>52</v>
      </c>
      <c r="K701" s="1" t="s">
        <v>52</v>
      </c>
      <c r="L701" s="1" t="str">
        <f t="shared" ref="L701:L718" si="102">"20220919"</f>
        <v>20220919</v>
      </c>
      <c r="M701" s="1" t="str">
        <f>"080553"</f>
        <v>080553</v>
      </c>
      <c r="N701" s="1" t="s">
        <v>60</v>
      </c>
      <c r="O701" s="1" t="s">
        <v>52</v>
      </c>
      <c r="P701" s="1" t="s">
        <v>68</v>
      </c>
      <c r="Q701" s="1">
        <v>13</v>
      </c>
      <c r="R701" s="1">
        <v>0</v>
      </c>
      <c r="S701" s="1">
        <v>0</v>
      </c>
      <c r="T701" s="1">
        <v>13</v>
      </c>
      <c r="U701" s="1">
        <v>0</v>
      </c>
      <c r="V701" s="1" t="str">
        <f t="shared" si="95"/>
        <v>里程去程</v>
      </c>
      <c r="W701" s="1" t="s">
        <v>29</v>
      </c>
    </row>
    <row r="702" spans="1:23" x14ac:dyDescent="0.3">
      <c r="A702" s="1" t="str">
        <f t="shared" si="100"/>
        <v>59809</v>
      </c>
      <c r="B702" s="1" t="s">
        <v>42</v>
      </c>
      <c r="C702" s="1" t="s">
        <v>43</v>
      </c>
      <c r="D702" s="1" t="str">
        <f t="shared" si="94"/>
        <v>9801</v>
      </c>
      <c r="E702" s="1" t="s">
        <v>25</v>
      </c>
      <c r="F702" s="1" t="str">
        <f>"821C1A0387880400C834002000000015"</f>
        <v>821C1A0387880400C834002000000015</v>
      </c>
      <c r="G702" s="1" t="s">
        <v>26</v>
      </c>
      <c r="H702" s="1" t="str">
        <f t="shared" si="101"/>
        <v>20220919</v>
      </c>
      <c r="I702" s="1" t="str">
        <f>"081337"</f>
        <v>081337</v>
      </c>
      <c r="J702" s="1" t="s">
        <v>80</v>
      </c>
      <c r="K702" s="1" t="s">
        <v>52</v>
      </c>
      <c r="L702" s="1" t="str">
        <f t="shared" si="102"/>
        <v>20220919</v>
      </c>
      <c r="M702" s="1" t="str">
        <f>"083000"</f>
        <v>083000</v>
      </c>
      <c r="N702" s="1" t="s">
        <v>70</v>
      </c>
      <c r="O702" s="1" t="s">
        <v>28</v>
      </c>
      <c r="P702" s="1" t="s">
        <v>68</v>
      </c>
      <c r="Q702" s="1">
        <v>13</v>
      </c>
      <c r="R702" s="1">
        <v>0</v>
      </c>
      <c r="S702" s="1">
        <v>0</v>
      </c>
      <c r="T702" s="1">
        <v>13</v>
      </c>
      <c r="U702" s="1">
        <v>0</v>
      </c>
      <c r="V702" s="1" t="str">
        <f t="shared" si="95"/>
        <v>里程去程</v>
      </c>
      <c r="W702" s="1" t="s">
        <v>29</v>
      </c>
    </row>
    <row r="703" spans="1:23" x14ac:dyDescent="0.3">
      <c r="A703" s="1" t="str">
        <f t="shared" si="100"/>
        <v>59809</v>
      </c>
      <c r="B703" s="1" t="s">
        <v>42</v>
      </c>
      <c r="C703" s="1" t="s">
        <v>43</v>
      </c>
      <c r="D703" s="1" t="str">
        <f t="shared" si="94"/>
        <v>9801</v>
      </c>
      <c r="E703" s="1" t="s">
        <v>25</v>
      </c>
      <c r="F703" s="1" t="str">
        <f>"224661035"</f>
        <v>224661035</v>
      </c>
      <c r="G703" s="1" t="s">
        <v>33</v>
      </c>
      <c r="H703" s="1" t="str">
        <f t="shared" si="101"/>
        <v>20220919</v>
      </c>
      <c r="I703" s="1" t="str">
        <f>"090604"</f>
        <v>090604</v>
      </c>
      <c r="J703" s="1" t="s">
        <v>60</v>
      </c>
      <c r="K703" s="1" t="s">
        <v>52</v>
      </c>
      <c r="L703" s="1" t="str">
        <f t="shared" si="102"/>
        <v>20220919</v>
      </c>
      <c r="M703" s="1" t="str">
        <f>"092917"</f>
        <v>092917</v>
      </c>
      <c r="N703" s="1" t="s">
        <v>70</v>
      </c>
      <c r="O703" s="1" t="s">
        <v>28</v>
      </c>
      <c r="P703" s="1" t="s">
        <v>55</v>
      </c>
      <c r="Q703" s="1">
        <v>25</v>
      </c>
      <c r="R703" s="1">
        <v>25</v>
      </c>
      <c r="S703" s="1">
        <v>0</v>
      </c>
      <c r="T703" s="1">
        <v>0</v>
      </c>
      <c r="U703" s="1">
        <v>0</v>
      </c>
      <c r="V703" s="1" t="str">
        <f t="shared" si="95"/>
        <v>里程去程</v>
      </c>
      <c r="W703" s="1" t="s">
        <v>35</v>
      </c>
    </row>
    <row r="704" spans="1:23" x14ac:dyDescent="0.3">
      <c r="A704" s="1" t="str">
        <f t="shared" si="100"/>
        <v>59809</v>
      </c>
      <c r="B704" s="1" t="s">
        <v>42</v>
      </c>
      <c r="C704" s="1" t="s">
        <v>43</v>
      </c>
      <c r="D704" s="1" t="str">
        <f t="shared" si="94"/>
        <v>9801</v>
      </c>
      <c r="E704" s="1" t="s">
        <v>25</v>
      </c>
      <c r="F704" s="1" t="str">
        <f>"975538033"</f>
        <v>975538033</v>
      </c>
      <c r="G704" s="1" t="s">
        <v>33</v>
      </c>
      <c r="H704" s="1" t="str">
        <f t="shared" si="101"/>
        <v>20220919</v>
      </c>
      <c r="I704" s="1" t="str">
        <f>"090606"</f>
        <v>090606</v>
      </c>
      <c r="J704" s="1" t="s">
        <v>60</v>
      </c>
      <c r="K704" s="1" t="s">
        <v>52</v>
      </c>
      <c r="L704" s="1" t="str">
        <f t="shared" si="102"/>
        <v>20220919</v>
      </c>
      <c r="M704" s="1" t="str">
        <f>"092920"</f>
        <v>092920</v>
      </c>
      <c r="N704" s="1" t="s">
        <v>70</v>
      </c>
      <c r="O704" s="1" t="s">
        <v>28</v>
      </c>
      <c r="P704" s="1" t="s">
        <v>55</v>
      </c>
      <c r="Q704" s="1">
        <v>25</v>
      </c>
      <c r="R704" s="1">
        <v>25</v>
      </c>
      <c r="S704" s="1">
        <v>0</v>
      </c>
      <c r="T704" s="1">
        <v>0</v>
      </c>
      <c r="U704" s="1">
        <v>0</v>
      </c>
      <c r="V704" s="1" t="str">
        <f t="shared" si="95"/>
        <v>里程去程</v>
      </c>
      <c r="W704" s="1" t="s">
        <v>35</v>
      </c>
    </row>
    <row r="705" spans="1:23" x14ac:dyDescent="0.3">
      <c r="A705" s="1" t="str">
        <f t="shared" si="100"/>
        <v>59809</v>
      </c>
      <c r="B705" s="1" t="s">
        <v>42</v>
      </c>
      <c r="C705" s="1" t="s">
        <v>43</v>
      </c>
      <c r="D705" s="1" t="str">
        <f t="shared" si="94"/>
        <v>9801</v>
      </c>
      <c r="E705" s="1" t="s">
        <v>25</v>
      </c>
      <c r="F705" s="1" t="str">
        <f>"7227E702B0880400C834002000000015"</f>
        <v>7227E702B0880400C834002000000015</v>
      </c>
      <c r="G705" s="1" t="s">
        <v>74</v>
      </c>
      <c r="H705" s="1" t="str">
        <f t="shared" si="101"/>
        <v>20220919</v>
      </c>
      <c r="I705" s="1" t="str">
        <f>"090610"</f>
        <v>090610</v>
      </c>
      <c r="J705" s="1" t="s">
        <v>60</v>
      </c>
      <c r="K705" s="1" t="s">
        <v>52</v>
      </c>
      <c r="L705" s="1" t="str">
        <f t="shared" si="102"/>
        <v>20220919</v>
      </c>
      <c r="M705" s="1" t="str">
        <f>"091433"</f>
        <v>091433</v>
      </c>
      <c r="N705" s="1" t="s">
        <v>80</v>
      </c>
      <c r="O705" s="1" t="s">
        <v>52</v>
      </c>
      <c r="P705" s="1" t="s">
        <v>68</v>
      </c>
      <c r="Q705" s="1">
        <v>13</v>
      </c>
      <c r="R705" s="1">
        <v>0</v>
      </c>
      <c r="S705" s="1">
        <v>0</v>
      </c>
      <c r="T705" s="1">
        <v>13</v>
      </c>
      <c r="U705" s="1">
        <v>0</v>
      </c>
      <c r="V705" s="1" t="str">
        <f t="shared" si="95"/>
        <v>里程去程</v>
      </c>
      <c r="W705" s="1" t="s">
        <v>29</v>
      </c>
    </row>
    <row r="706" spans="1:23" x14ac:dyDescent="0.3">
      <c r="A706" s="1" t="str">
        <f t="shared" si="100"/>
        <v>59809</v>
      </c>
      <c r="B706" s="1" t="s">
        <v>42</v>
      </c>
      <c r="C706" s="1" t="s">
        <v>43</v>
      </c>
      <c r="D706" s="1" t="str">
        <f t="shared" ref="D706:D769" si="103">"9801"</f>
        <v>9801</v>
      </c>
      <c r="E706" s="1" t="s">
        <v>25</v>
      </c>
      <c r="F706" s="1" t="str">
        <f>"1033709953"</f>
        <v>1033709953</v>
      </c>
      <c r="G706" s="1" t="s">
        <v>33</v>
      </c>
      <c r="H706" s="1" t="str">
        <f t="shared" si="101"/>
        <v>20220919</v>
      </c>
      <c r="I706" s="1" t="str">
        <f>"091034"</f>
        <v>091034</v>
      </c>
      <c r="J706" s="1" t="s">
        <v>72</v>
      </c>
      <c r="K706" s="1" t="s">
        <v>52</v>
      </c>
      <c r="L706" s="1" t="str">
        <f t="shared" si="102"/>
        <v>20220919</v>
      </c>
      <c r="M706" s="1" t="str">
        <f>"092922"</f>
        <v>092922</v>
      </c>
      <c r="N706" s="1" t="s">
        <v>70</v>
      </c>
      <c r="O706" s="1" t="s">
        <v>28</v>
      </c>
      <c r="P706" s="1" t="s">
        <v>55</v>
      </c>
      <c r="Q706" s="1">
        <v>25</v>
      </c>
      <c r="R706" s="1">
        <v>25</v>
      </c>
      <c r="S706" s="1">
        <v>0</v>
      </c>
      <c r="T706" s="1">
        <v>0</v>
      </c>
      <c r="U706" s="1">
        <v>0</v>
      </c>
      <c r="V706" s="1" t="str">
        <f t="shared" ref="V706:V769" si="104">"里程去程"</f>
        <v>里程去程</v>
      </c>
      <c r="W706" s="1" t="s">
        <v>35</v>
      </c>
    </row>
    <row r="707" spans="1:23" x14ac:dyDescent="0.3">
      <c r="A707" s="1" t="str">
        <f t="shared" si="100"/>
        <v>59809</v>
      </c>
      <c r="B707" s="1" t="s">
        <v>42</v>
      </c>
      <c r="C707" s="1" t="s">
        <v>43</v>
      </c>
      <c r="D707" s="1" t="str">
        <f t="shared" si="103"/>
        <v>9801</v>
      </c>
      <c r="E707" s="1" t="s">
        <v>25</v>
      </c>
      <c r="F707" s="1" t="str">
        <f>"240658853"</f>
        <v>240658853</v>
      </c>
      <c r="G707" s="1" t="s">
        <v>33</v>
      </c>
      <c r="H707" s="1" t="str">
        <f t="shared" si="101"/>
        <v>20220919</v>
      </c>
      <c r="I707" s="1" t="str">
        <f>"092956"</f>
        <v>092956</v>
      </c>
      <c r="J707" s="1" t="s">
        <v>27</v>
      </c>
      <c r="K707" s="1" t="s">
        <v>28</v>
      </c>
      <c r="L707" s="1" t="str">
        <f t="shared" si="102"/>
        <v>20220919</v>
      </c>
      <c r="M707" s="1" t="str">
        <f>"095603"</f>
        <v>095603</v>
      </c>
      <c r="N707" s="1" t="s">
        <v>44</v>
      </c>
      <c r="O707" s="1" t="s">
        <v>45</v>
      </c>
      <c r="P707" s="1" t="s">
        <v>55</v>
      </c>
      <c r="Q707" s="1">
        <v>25</v>
      </c>
      <c r="R707" s="1">
        <v>25</v>
      </c>
      <c r="S707" s="1">
        <v>0</v>
      </c>
      <c r="T707" s="1">
        <v>0</v>
      </c>
      <c r="U707" s="1">
        <v>0</v>
      </c>
      <c r="V707" s="1" t="str">
        <f t="shared" si="104"/>
        <v>里程去程</v>
      </c>
      <c r="W707" s="1" t="s">
        <v>35</v>
      </c>
    </row>
    <row r="708" spans="1:23" x14ac:dyDescent="0.3">
      <c r="A708" s="1" t="str">
        <f t="shared" ref="A708:A718" si="105">"59828"</f>
        <v>59828</v>
      </c>
      <c r="B708" s="1" t="s">
        <v>23</v>
      </c>
      <c r="C708" s="1" t="s">
        <v>24</v>
      </c>
      <c r="D708" s="1" t="str">
        <f t="shared" si="103"/>
        <v>9801</v>
      </c>
      <c r="E708" s="1" t="s">
        <v>25</v>
      </c>
      <c r="F708" s="1" t="str">
        <f>"42AFE60209880400C834002000000015"</f>
        <v>42AFE60209880400C834002000000015</v>
      </c>
      <c r="G708" s="1" t="s">
        <v>74</v>
      </c>
      <c r="H708" s="1" t="str">
        <f t="shared" si="101"/>
        <v>20220919</v>
      </c>
      <c r="I708" s="1" t="str">
        <f>"105957"</f>
        <v>105957</v>
      </c>
      <c r="J708" s="1" t="s">
        <v>52</v>
      </c>
      <c r="K708" s="1" t="s">
        <v>52</v>
      </c>
      <c r="L708" s="1" t="str">
        <f t="shared" si="102"/>
        <v>20220919</v>
      </c>
      <c r="M708" s="1" t="str">
        <f>"111530"</f>
        <v>111530</v>
      </c>
      <c r="N708" s="1" t="s">
        <v>80</v>
      </c>
      <c r="O708" s="1" t="s">
        <v>52</v>
      </c>
      <c r="P708" s="1" t="s">
        <v>68</v>
      </c>
      <c r="Q708" s="1">
        <v>13</v>
      </c>
      <c r="R708" s="1">
        <v>0</v>
      </c>
      <c r="S708" s="1">
        <v>0</v>
      </c>
      <c r="T708" s="1">
        <v>13</v>
      </c>
      <c r="U708" s="1">
        <v>0</v>
      </c>
      <c r="V708" s="1" t="str">
        <f t="shared" si="104"/>
        <v>里程去程</v>
      </c>
      <c r="W708" s="1" t="s">
        <v>29</v>
      </c>
    </row>
    <row r="709" spans="1:23" x14ac:dyDescent="0.3">
      <c r="A709" s="1" t="str">
        <f t="shared" si="105"/>
        <v>59828</v>
      </c>
      <c r="B709" s="1" t="s">
        <v>23</v>
      </c>
      <c r="C709" s="1" t="s">
        <v>24</v>
      </c>
      <c r="D709" s="1" t="str">
        <f t="shared" si="103"/>
        <v>9801</v>
      </c>
      <c r="E709" s="1" t="s">
        <v>25</v>
      </c>
      <c r="F709" s="1" t="str">
        <f>"477450417"</f>
        <v>477450417</v>
      </c>
      <c r="G709" s="1" t="s">
        <v>33</v>
      </c>
      <c r="H709" s="1" t="str">
        <f t="shared" si="101"/>
        <v>20220919</v>
      </c>
      <c r="I709" s="1" t="str">
        <f>"113551"</f>
        <v>113551</v>
      </c>
      <c r="J709" s="1" t="s">
        <v>27</v>
      </c>
      <c r="K709" s="1" t="s">
        <v>28</v>
      </c>
      <c r="L709" s="1" t="str">
        <f t="shared" si="102"/>
        <v>20220919</v>
      </c>
      <c r="M709" s="1" t="str">
        <f>"114601"</f>
        <v>114601</v>
      </c>
      <c r="N709" s="1" t="s">
        <v>45</v>
      </c>
      <c r="O709" s="1" t="s">
        <v>45</v>
      </c>
      <c r="P709" s="1" t="s">
        <v>55</v>
      </c>
      <c r="Q709" s="1">
        <v>25</v>
      </c>
      <c r="R709" s="1">
        <v>25</v>
      </c>
      <c r="S709" s="1">
        <v>0</v>
      </c>
      <c r="T709" s="1">
        <v>0</v>
      </c>
      <c r="U709" s="1">
        <v>0</v>
      </c>
      <c r="V709" s="1" t="str">
        <f t="shared" si="104"/>
        <v>里程去程</v>
      </c>
      <c r="W709" s="1" t="s">
        <v>35</v>
      </c>
    </row>
    <row r="710" spans="1:23" x14ac:dyDescent="0.3">
      <c r="A710" s="1" t="str">
        <f t="shared" si="105"/>
        <v>59828</v>
      </c>
      <c r="B710" s="1" t="s">
        <v>23</v>
      </c>
      <c r="C710" s="1" t="s">
        <v>24</v>
      </c>
      <c r="D710" s="1" t="str">
        <f t="shared" si="103"/>
        <v>9801</v>
      </c>
      <c r="E710" s="1" t="s">
        <v>25</v>
      </c>
      <c r="F710" s="1" t="str">
        <f>"4251460257880400C821002000000015"</f>
        <v>4251460257880400C821002000000015</v>
      </c>
      <c r="G710" s="1" t="s">
        <v>26</v>
      </c>
      <c r="H710" s="1" t="str">
        <f t="shared" si="101"/>
        <v>20220919</v>
      </c>
      <c r="I710" s="1" t="str">
        <f>"122328"</f>
        <v>122328</v>
      </c>
      <c r="J710" s="1" t="s">
        <v>69</v>
      </c>
      <c r="K710" s="1" t="s">
        <v>52</v>
      </c>
      <c r="L710" s="1" t="str">
        <f t="shared" si="102"/>
        <v>20220919</v>
      </c>
      <c r="M710" s="1" t="str">
        <f>"122858"</f>
        <v>122858</v>
      </c>
      <c r="N710" s="1" t="s">
        <v>83</v>
      </c>
      <c r="O710" s="1" t="s">
        <v>52</v>
      </c>
      <c r="P710" s="1" t="s">
        <v>68</v>
      </c>
      <c r="Q710" s="1">
        <v>13</v>
      </c>
      <c r="R710" s="1">
        <v>0</v>
      </c>
      <c r="S710" s="1">
        <v>0</v>
      </c>
      <c r="T710" s="1">
        <v>13</v>
      </c>
      <c r="U710" s="1">
        <v>0</v>
      </c>
      <c r="V710" s="1" t="str">
        <f t="shared" si="104"/>
        <v>里程去程</v>
      </c>
      <c r="W710" s="1" t="s">
        <v>29</v>
      </c>
    </row>
    <row r="711" spans="1:23" x14ac:dyDescent="0.3">
      <c r="A711" s="1" t="str">
        <f t="shared" si="105"/>
        <v>59828</v>
      </c>
      <c r="B711" s="1" t="s">
        <v>23</v>
      </c>
      <c r="C711" s="1" t="s">
        <v>24</v>
      </c>
      <c r="D711" s="1" t="str">
        <f t="shared" si="103"/>
        <v>9801</v>
      </c>
      <c r="E711" s="1" t="s">
        <v>25</v>
      </c>
      <c r="F711" s="1" t="str">
        <f>"8227D00277880400C834002000000015"</f>
        <v>8227D00277880400C834002000000015</v>
      </c>
      <c r="G711" s="1" t="s">
        <v>26</v>
      </c>
      <c r="H711" s="1" t="str">
        <f t="shared" si="101"/>
        <v>20220919</v>
      </c>
      <c r="I711" s="1" t="str">
        <f>"122556"</f>
        <v>122556</v>
      </c>
      <c r="J711" s="1" t="s">
        <v>78</v>
      </c>
      <c r="K711" s="1" t="s">
        <v>52</v>
      </c>
      <c r="L711" s="1" t="str">
        <f t="shared" si="102"/>
        <v>20220919</v>
      </c>
      <c r="M711" s="1" t="str">
        <f>"123611"</f>
        <v>123611</v>
      </c>
      <c r="N711" s="1" t="s">
        <v>70</v>
      </c>
      <c r="O711" s="1" t="s">
        <v>28</v>
      </c>
      <c r="P711" s="1" t="s">
        <v>68</v>
      </c>
      <c r="Q711" s="1">
        <v>13</v>
      </c>
      <c r="R711" s="1">
        <v>0</v>
      </c>
      <c r="S711" s="1">
        <v>0</v>
      </c>
      <c r="T711" s="1">
        <v>13</v>
      </c>
      <c r="U711" s="1">
        <v>0</v>
      </c>
      <c r="V711" s="1" t="str">
        <f t="shared" si="104"/>
        <v>里程去程</v>
      </c>
      <c r="W711" s="1" t="s">
        <v>29</v>
      </c>
    </row>
    <row r="712" spans="1:23" x14ac:dyDescent="0.3">
      <c r="A712" s="1" t="str">
        <f t="shared" si="105"/>
        <v>59828</v>
      </c>
      <c r="B712" s="1" t="s">
        <v>23</v>
      </c>
      <c r="C712" s="1" t="s">
        <v>24</v>
      </c>
      <c r="D712" s="1" t="str">
        <f t="shared" si="103"/>
        <v>9801</v>
      </c>
      <c r="E712" s="1" t="s">
        <v>25</v>
      </c>
      <c r="F712" s="1" t="str">
        <f>"1379696577"</f>
        <v>1379696577</v>
      </c>
      <c r="G712" s="1" t="s">
        <v>33</v>
      </c>
      <c r="H712" s="1" t="str">
        <f t="shared" si="101"/>
        <v>20220919</v>
      </c>
      <c r="I712" s="1" t="str">
        <f>"125935"</f>
        <v>125935</v>
      </c>
      <c r="J712" s="1" t="s">
        <v>52</v>
      </c>
      <c r="K712" s="1" t="s">
        <v>52</v>
      </c>
      <c r="L712" s="1" t="str">
        <f t="shared" si="102"/>
        <v>20220919</v>
      </c>
      <c r="M712" s="1" t="str">
        <f>"132937"</f>
        <v>132937</v>
      </c>
      <c r="N712" s="1" t="s">
        <v>70</v>
      </c>
      <c r="O712" s="1" t="s">
        <v>28</v>
      </c>
      <c r="P712" s="1" t="s">
        <v>55</v>
      </c>
      <c r="Q712" s="1">
        <v>25</v>
      </c>
      <c r="R712" s="1">
        <v>25</v>
      </c>
      <c r="S712" s="1">
        <v>0</v>
      </c>
      <c r="T712" s="1">
        <v>0</v>
      </c>
      <c r="U712" s="1">
        <v>0</v>
      </c>
      <c r="V712" s="1" t="str">
        <f t="shared" si="104"/>
        <v>里程去程</v>
      </c>
      <c r="W712" s="1" t="s">
        <v>35</v>
      </c>
    </row>
    <row r="713" spans="1:23" x14ac:dyDescent="0.3">
      <c r="A713" s="1" t="str">
        <f t="shared" si="105"/>
        <v>59828</v>
      </c>
      <c r="B713" s="1" t="s">
        <v>23</v>
      </c>
      <c r="C713" s="1" t="s">
        <v>24</v>
      </c>
      <c r="D713" s="1" t="str">
        <f t="shared" si="103"/>
        <v>9801</v>
      </c>
      <c r="E713" s="1" t="s">
        <v>25</v>
      </c>
      <c r="F713" s="1" t="str">
        <f>"82D5FB02AE880400C834002000000015"</f>
        <v>82D5FB02AE880400C834002000000015</v>
      </c>
      <c r="G713" s="1" t="s">
        <v>26</v>
      </c>
      <c r="H713" s="1" t="str">
        <f t="shared" si="101"/>
        <v>20220919</v>
      </c>
      <c r="I713" s="1" t="str">
        <f>"130802"</f>
        <v>130802</v>
      </c>
      <c r="J713" s="1" t="s">
        <v>51</v>
      </c>
      <c r="K713" s="1" t="s">
        <v>52</v>
      </c>
      <c r="L713" s="1" t="str">
        <f t="shared" si="102"/>
        <v>20220919</v>
      </c>
      <c r="M713" s="1" t="str">
        <f>"131229"</f>
        <v>131229</v>
      </c>
      <c r="N713" s="1" t="s">
        <v>65</v>
      </c>
      <c r="O713" s="1" t="s">
        <v>52</v>
      </c>
      <c r="P713" s="1" t="s">
        <v>68</v>
      </c>
      <c r="Q713" s="1">
        <v>13</v>
      </c>
      <c r="R713" s="1">
        <v>0</v>
      </c>
      <c r="S713" s="1">
        <v>0</v>
      </c>
      <c r="T713" s="1">
        <v>13</v>
      </c>
      <c r="U713" s="1">
        <v>0</v>
      </c>
      <c r="V713" s="1" t="str">
        <f t="shared" si="104"/>
        <v>里程去程</v>
      </c>
      <c r="W713" s="1" t="s">
        <v>29</v>
      </c>
    </row>
    <row r="714" spans="1:23" x14ac:dyDescent="0.3">
      <c r="A714" s="1" t="str">
        <f t="shared" si="105"/>
        <v>59828</v>
      </c>
      <c r="B714" s="1" t="s">
        <v>23</v>
      </c>
      <c r="C714" s="1" t="s">
        <v>24</v>
      </c>
      <c r="D714" s="1" t="str">
        <f t="shared" si="103"/>
        <v>9801</v>
      </c>
      <c r="E714" s="1" t="s">
        <v>25</v>
      </c>
      <c r="F714" s="1" t="str">
        <f>"1735249109"</f>
        <v>1735249109</v>
      </c>
      <c r="G714" s="1" t="s">
        <v>33</v>
      </c>
      <c r="H714" s="1" t="str">
        <f t="shared" si="101"/>
        <v>20220919</v>
      </c>
      <c r="I714" s="1" t="str">
        <f>"133319"</f>
        <v>133319</v>
      </c>
      <c r="J714" s="1" t="s">
        <v>27</v>
      </c>
      <c r="K714" s="1" t="s">
        <v>28</v>
      </c>
      <c r="L714" s="1" t="str">
        <f t="shared" si="102"/>
        <v>20220919</v>
      </c>
      <c r="M714" s="1" t="str">
        <f>"135601"</f>
        <v>135601</v>
      </c>
      <c r="N714" s="1" t="s">
        <v>44</v>
      </c>
      <c r="O714" s="1" t="s">
        <v>45</v>
      </c>
      <c r="P714" s="1" t="s">
        <v>55</v>
      </c>
      <c r="Q714" s="1">
        <v>25</v>
      </c>
      <c r="R714" s="1">
        <v>0</v>
      </c>
      <c r="S714" s="1">
        <v>25</v>
      </c>
      <c r="T714" s="1">
        <v>0</v>
      </c>
      <c r="U714" s="1">
        <v>0</v>
      </c>
      <c r="V714" s="1" t="str">
        <f t="shared" si="104"/>
        <v>里程去程</v>
      </c>
      <c r="W714" s="1" t="s">
        <v>35</v>
      </c>
    </row>
    <row r="715" spans="1:23" x14ac:dyDescent="0.3">
      <c r="A715" s="1" t="str">
        <f t="shared" si="105"/>
        <v>59828</v>
      </c>
      <c r="B715" s="1" t="s">
        <v>23</v>
      </c>
      <c r="C715" s="1" t="s">
        <v>24</v>
      </c>
      <c r="D715" s="1" t="str">
        <f t="shared" si="103"/>
        <v>9801</v>
      </c>
      <c r="E715" s="1" t="s">
        <v>25</v>
      </c>
      <c r="F715" s="1" t="str">
        <f>"1647675345"</f>
        <v>1647675345</v>
      </c>
      <c r="G715" s="1" t="s">
        <v>33</v>
      </c>
      <c r="H715" s="1" t="str">
        <f t="shared" si="101"/>
        <v>20220919</v>
      </c>
      <c r="I715" s="1" t="str">
        <f>"133446"</f>
        <v>133446</v>
      </c>
      <c r="J715" s="1" t="s">
        <v>27</v>
      </c>
      <c r="K715" s="1" t="s">
        <v>28</v>
      </c>
      <c r="L715" s="1" t="str">
        <f t="shared" si="102"/>
        <v>20220919</v>
      </c>
      <c r="M715" s="1" t="str">
        <f>"135549"</f>
        <v>135549</v>
      </c>
      <c r="N715" s="1" t="s">
        <v>44</v>
      </c>
      <c r="O715" s="1" t="s">
        <v>45</v>
      </c>
      <c r="P715" s="1" t="s">
        <v>55</v>
      </c>
      <c r="Q715" s="1">
        <v>25</v>
      </c>
      <c r="R715" s="1">
        <v>25</v>
      </c>
      <c r="S715" s="1">
        <v>0</v>
      </c>
      <c r="T715" s="1">
        <v>0</v>
      </c>
      <c r="U715" s="1">
        <v>0</v>
      </c>
      <c r="V715" s="1" t="str">
        <f t="shared" si="104"/>
        <v>里程去程</v>
      </c>
      <c r="W715" s="1" t="s">
        <v>35</v>
      </c>
    </row>
    <row r="716" spans="1:23" x14ac:dyDescent="0.3">
      <c r="A716" s="1" t="str">
        <f t="shared" si="105"/>
        <v>59828</v>
      </c>
      <c r="B716" s="1" t="s">
        <v>23</v>
      </c>
      <c r="C716" s="1" t="s">
        <v>24</v>
      </c>
      <c r="D716" s="1" t="str">
        <f t="shared" si="103"/>
        <v>9801</v>
      </c>
      <c r="E716" s="1" t="s">
        <v>25</v>
      </c>
      <c r="F716" s="1" t="str">
        <f>"F27CE6026A880400C834002000000015"</f>
        <v>F27CE6026A880400C834002000000015</v>
      </c>
      <c r="G716" s="1" t="s">
        <v>74</v>
      </c>
      <c r="H716" s="1" t="str">
        <f t="shared" si="101"/>
        <v>20220919</v>
      </c>
      <c r="I716" s="1" t="str">
        <f>"145847"</f>
        <v>145847</v>
      </c>
      <c r="J716" s="1" t="s">
        <v>52</v>
      </c>
      <c r="K716" s="1" t="s">
        <v>52</v>
      </c>
      <c r="L716" s="1" t="str">
        <f t="shared" si="102"/>
        <v>20220919</v>
      </c>
      <c r="M716" s="1" t="str">
        <f>"150513"</f>
        <v>150513</v>
      </c>
      <c r="N716" s="1" t="s">
        <v>60</v>
      </c>
      <c r="O716" s="1" t="s">
        <v>52</v>
      </c>
      <c r="P716" s="1" t="s">
        <v>68</v>
      </c>
      <c r="Q716" s="1">
        <v>13</v>
      </c>
      <c r="R716" s="1">
        <v>0</v>
      </c>
      <c r="S716" s="1">
        <v>0</v>
      </c>
      <c r="T716" s="1">
        <v>13</v>
      </c>
      <c r="U716" s="1">
        <v>0</v>
      </c>
      <c r="V716" s="1" t="str">
        <f t="shared" si="104"/>
        <v>里程去程</v>
      </c>
      <c r="W716" s="1" t="s">
        <v>29</v>
      </c>
    </row>
    <row r="717" spans="1:23" x14ac:dyDescent="0.3">
      <c r="A717" s="1" t="str">
        <f t="shared" si="105"/>
        <v>59828</v>
      </c>
      <c r="B717" s="1" t="s">
        <v>23</v>
      </c>
      <c r="C717" s="1" t="s">
        <v>24</v>
      </c>
      <c r="D717" s="1" t="str">
        <f t="shared" si="103"/>
        <v>9801</v>
      </c>
      <c r="E717" s="1" t="s">
        <v>25</v>
      </c>
      <c r="F717" s="1" t="str">
        <f>"32780D0344880400C834002000000015"</f>
        <v>32780D0344880400C834002000000015</v>
      </c>
      <c r="G717" s="1" t="s">
        <v>26</v>
      </c>
      <c r="H717" s="1" t="str">
        <f t="shared" si="101"/>
        <v>20220919</v>
      </c>
      <c r="I717" s="1" t="str">
        <f>"155745"</f>
        <v>155745</v>
      </c>
      <c r="J717" s="1" t="s">
        <v>52</v>
      </c>
      <c r="K717" s="1" t="s">
        <v>52</v>
      </c>
      <c r="L717" s="1" t="str">
        <f t="shared" si="102"/>
        <v>20220919</v>
      </c>
      <c r="M717" s="1" t="str">
        <f>"163515"</f>
        <v>163515</v>
      </c>
      <c r="N717" s="1" t="s">
        <v>70</v>
      </c>
      <c r="O717" s="1" t="s">
        <v>28</v>
      </c>
      <c r="P717" s="1" t="s">
        <v>68</v>
      </c>
      <c r="Q717" s="1">
        <v>13</v>
      </c>
      <c r="R717" s="1">
        <v>0</v>
      </c>
      <c r="S717" s="1">
        <v>0</v>
      </c>
      <c r="T717" s="1">
        <v>13</v>
      </c>
      <c r="U717" s="1">
        <v>0</v>
      </c>
      <c r="V717" s="1" t="str">
        <f t="shared" si="104"/>
        <v>里程去程</v>
      </c>
      <c r="W717" s="1" t="s">
        <v>29</v>
      </c>
    </row>
    <row r="718" spans="1:23" x14ac:dyDescent="0.3">
      <c r="A718" s="1" t="str">
        <f t="shared" si="105"/>
        <v>59828</v>
      </c>
      <c r="B718" s="1" t="s">
        <v>23</v>
      </c>
      <c r="C718" s="1" t="s">
        <v>24</v>
      </c>
      <c r="D718" s="1" t="str">
        <f t="shared" si="103"/>
        <v>9801</v>
      </c>
      <c r="E718" s="1" t="s">
        <v>25</v>
      </c>
      <c r="F718" s="1" t="str">
        <f>"C2C219031A880400C834002000000015"</f>
        <v>C2C219031A880400C834002000000015</v>
      </c>
      <c r="G718" s="1" t="s">
        <v>74</v>
      </c>
      <c r="H718" s="1" t="str">
        <f t="shared" si="101"/>
        <v>20220919</v>
      </c>
      <c r="I718" s="1" t="str">
        <f>"160723"</f>
        <v>160723</v>
      </c>
      <c r="J718" s="1" t="s">
        <v>60</v>
      </c>
      <c r="K718" s="1" t="s">
        <v>52</v>
      </c>
      <c r="L718" s="1" t="str">
        <f t="shared" si="102"/>
        <v>20220919</v>
      </c>
      <c r="M718" s="1" t="str">
        <f>"161716"</f>
        <v>161716</v>
      </c>
      <c r="N718" s="1" t="s">
        <v>80</v>
      </c>
      <c r="O718" s="1" t="s">
        <v>52</v>
      </c>
      <c r="P718" s="1" t="s">
        <v>68</v>
      </c>
      <c r="Q718" s="1">
        <v>13</v>
      </c>
      <c r="R718" s="1">
        <v>0</v>
      </c>
      <c r="S718" s="1">
        <v>0</v>
      </c>
      <c r="T718" s="1">
        <v>13</v>
      </c>
      <c r="U718" s="1">
        <v>0</v>
      </c>
      <c r="V718" s="1" t="str">
        <f t="shared" si="104"/>
        <v>里程去程</v>
      </c>
      <c r="W718" s="1" t="s">
        <v>29</v>
      </c>
    </row>
    <row r="719" spans="1:23" x14ac:dyDescent="0.3">
      <c r="A719" s="1" t="str">
        <f t="shared" ref="A719:A724" si="106">"59820"</f>
        <v>59820</v>
      </c>
      <c r="B719" s="1" t="s">
        <v>53</v>
      </c>
      <c r="C719" s="1" t="s">
        <v>54</v>
      </c>
      <c r="D719" s="1" t="str">
        <f t="shared" si="103"/>
        <v>9801</v>
      </c>
      <c r="E719" s="1" t="s">
        <v>25</v>
      </c>
      <c r="F719" s="1" t="str">
        <f>"1204061808880400C814002000000019"</f>
        <v>1204061808880400C814002000000019</v>
      </c>
      <c r="G719" s="1" t="s">
        <v>59</v>
      </c>
      <c r="H719" s="1" t="str">
        <f t="shared" ref="H719:H742" si="107">"20220920"</f>
        <v>20220920</v>
      </c>
      <c r="I719" s="1" t="str">
        <f>"083311"</f>
        <v>083311</v>
      </c>
      <c r="J719" s="1" t="s">
        <v>27</v>
      </c>
      <c r="K719" s="1" t="s">
        <v>28</v>
      </c>
      <c r="L719" s="1" t="str">
        <f t="shared" ref="L719:L742" si="108">"20220920"</f>
        <v>20220920</v>
      </c>
      <c r="M719" s="1" t="str">
        <f>"085434"</f>
        <v>085434</v>
      </c>
      <c r="N719" s="1" t="s">
        <v>44</v>
      </c>
      <c r="O719" s="1" t="s">
        <v>45</v>
      </c>
      <c r="P719" s="1" t="s">
        <v>55</v>
      </c>
      <c r="Q719" s="1">
        <v>25</v>
      </c>
      <c r="R719" s="1">
        <v>0</v>
      </c>
      <c r="S719" s="1">
        <v>25</v>
      </c>
      <c r="T719" s="1">
        <v>0</v>
      </c>
      <c r="U719" s="1">
        <v>0</v>
      </c>
      <c r="V719" s="1" t="str">
        <f t="shared" si="104"/>
        <v>里程去程</v>
      </c>
      <c r="W719" s="1" t="s">
        <v>29</v>
      </c>
    </row>
    <row r="720" spans="1:23" x14ac:dyDescent="0.3">
      <c r="A720" s="1" t="str">
        <f t="shared" si="106"/>
        <v>59820</v>
      </c>
      <c r="B720" s="1" t="s">
        <v>53</v>
      </c>
      <c r="C720" s="1" t="s">
        <v>54</v>
      </c>
      <c r="D720" s="1" t="str">
        <f t="shared" si="103"/>
        <v>9801</v>
      </c>
      <c r="E720" s="1" t="s">
        <v>25</v>
      </c>
      <c r="F720" s="1" t="str">
        <f>"1304950097"</f>
        <v>1304950097</v>
      </c>
      <c r="G720" s="1" t="s">
        <v>26</v>
      </c>
      <c r="H720" s="1" t="str">
        <f t="shared" si="107"/>
        <v>20220920</v>
      </c>
      <c r="I720" s="1" t="str">
        <f>"083324"</f>
        <v>083324</v>
      </c>
      <c r="J720" s="1" t="s">
        <v>27</v>
      </c>
      <c r="K720" s="1" t="s">
        <v>28</v>
      </c>
      <c r="L720" s="1" t="str">
        <f t="shared" si="108"/>
        <v>20220920</v>
      </c>
      <c r="M720" s="1" t="str">
        <f>"085431"</f>
        <v>085431</v>
      </c>
      <c r="N720" s="1" t="s">
        <v>44</v>
      </c>
      <c r="O720" s="1" t="s">
        <v>45</v>
      </c>
      <c r="P720" s="1" t="s">
        <v>55</v>
      </c>
      <c r="Q720" s="1">
        <v>13</v>
      </c>
      <c r="R720" s="1">
        <v>0</v>
      </c>
      <c r="S720" s="1">
        <v>13</v>
      </c>
      <c r="T720" s="1">
        <v>0</v>
      </c>
      <c r="U720" s="1">
        <v>0</v>
      </c>
      <c r="V720" s="1" t="str">
        <f t="shared" si="104"/>
        <v>里程去程</v>
      </c>
      <c r="W720" s="1" t="s">
        <v>35</v>
      </c>
    </row>
    <row r="721" spans="1:23" x14ac:dyDescent="0.3">
      <c r="A721" s="1" t="str">
        <f t="shared" si="106"/>
        <v>59820</v>
      </c>
      <c r="B721" s="1" t="s">
        <v>53</v>
      </c>
      <c r="C721" s="1" t="s">
        <v>54</v>
      </c>
      <c r="D721" s="1" t="str">
        <f t="shared" si="103"/>
        <v>9801</v>
      </c>
      <c r="E721" s="1" t="s">
        <v>25</v>
      </c>
      <c r="F721" s="1" t="str">
        <f>"E220D10211880400C834002000000015"</f>
        <v>E220D10211880400C834002000000015</v>
      </c>
      <c r="G721" s="1" t="s">
        <v>74</v>
      </c>
      <c r="H721" s="1" t="str">
        <f t="shared" si="107"/>
        <v>20220920</v>
      </c>
      <c r="I721" s="1" t="str">
        <f>"084246"</f>
        <v>084246</v>
      </c>
      <c r="J721" s="1" t="s">
        <v>79</v>
      </c>
      <c r="K721" s="1" t="s">
        <v>45</v>
      </c>
      <c r="L721" s="1" t="str">
        <f t="shared" si="108"/>
        <v>20220920</v>
      </c>
      <c r="M721" s="1" t="str">
        <f>"085009"</f>
        <v>085009</v>
      </c>
      <c r="N721" s="1" t="s">
        <v>91</v>
      </c>
      <c r="O721" s="1" t="s">
        <v>45</v>
      </c>
      <c r="P721" s="1" t="s">
        <v>68</v>
      </c>
      <c r="Q721" s="1">
        <v>13</v>
      </c>
      <c r="R721" s="1">
        <v>0</v>
      </c>
      <c r="S721" s="1">
        <v>0</v>
      </c>
      <c r="T721" s="1">
        <v>13</v>
      </c>
      <c r="U721" s="1">
        <v>0</v>
      </c>
      <c r="V721" s="1" t="str">
        <f t="shared" si="104"/>
        <v>里程去程</v>
      </c>
      <c r="W721" s="1" t="s">
        <v>29</v>
      </c>
    </row>
    <row r="722" spans="1:23" x14ac:dyDescent="0.3">
      <c r="A722" s="1" t="str">
        <f t="shared" si="106"/>
        <v>59820</v>
      </c>
      <c r="B722" s="1" t="s">
        <v>53</v>
      </c>
      <c r="C722" s="1" t="s">
        <v>54</v>
      </c>
      <c r="D722" s="1" t="str">
        <f t="shared" si="103"/>
        <v>9801</v>
      </c>
      <c r="E722" s="1" t="s">
        <v>25</v>
      </c>
      <c r="F722" s="1" t="str">
        <f>"E293E60295880400C834002000000015"</f>
        <v>E293E60295880400C834002000000015</v>
      </c>
      <c r="G722" s="1" t="s">
        <v>74</v>
      </c>
      <c r="H722" s="1" t="str">
        <f t="shared" si="107"/>
        <v>20220920</v>
      </c>
      <c r="I722" s="1" t="str">
        <f>"090748"</f>
        <v>090748</v>
      </c>
      <c r="J722" s="1" t="s">
        <v>60</v>
      </c>
      <c r="K722" s="1" t="s">
        <v>52</v>
      </c>
      <c r="L722" s="1" t="str">
        <f t="shared" si="108"/>
        <v>20220920</v>
      </c>
      <c r="M722" s="1" t="str">
        <f>"091520"</f>
        <v>091520</v>
      </c>
      <c r="N722" s="1" t="s">
        <v>80</v>
      </c>
      <c r="O722" s="1" t="s">
        <v>52</v>
      </c>
      <c r="P722" s="1" t="s">
        <v>68</v>
      </c>
      <c r="Q722" s="1">
        <v>13</v>
      </c>
      <c r="R722" s="1">
        <v>0</v>
      </c>
      <c r="S722" s="1">
        <v>0</v>
      </c>
      <c r="T722" s="1">
        <v>13</v>
      </c>
      <c r="U722" s="1">
        <v>0</v>
      </c>
      <c r="V722" s="1" t="str">
        <f t="shared" si="104"/>
        <v>里程去程</v>
      </c>
      <c r="W722" s="1" t="s">
        <v>29</v>
      </c>
    </row>
    <row r="723" spans="1:23" x14ac:dyDescent="0.3">
      <c r="A723" s="1" t="str">
        <f t="shared" si="106"/>
        <v>59820</v>
      </c>
      <c r="B723" s="1" t="s">
        <v>53</v>
      </c>
      <c r="C723" s="1" t="s">
        <v>54</v>
      </c>
      <c r="D723" s="1" t="str">
        <f t="shared" si="103"/>
        <v>9801</v>
      </c>
      <c r="E723" s="1" t="s">
        <v>25</v>
      </c>
      <c r="F723" s="1" t="str">
        <f>"D2390E02E7880400C821002000000015"</f>
        <v>D2390E02E7880400C821002000000015</v>
      </c>
      <c r="G723" s="1" t="s">
        <v>64</v>
      </c>
      <c r="H723" s="1" t="str">
        <f t="shared" si="107"/>
        <v>20220920</v>
      </c>
      <c r="I723" s="1" t="str">
        <f>"092454"</f>
        <v>092454</v>
      </c>
      <c r="J723" s="1" t="s">
        <v>83</v>
      </c>
      <c r="K723" s="1" t="s">
        <v>52</v>
      </c>
      <c r="L723" s="1" t="str">
        <f t="shared" si="108"/>
        <v>20220920</v>
      </c>
      <c r="M723" s="1" t="str">
        <f>"093218"</f>
        <v>093218</v>
      </c>
      <c r="N723" s="1" t="s">
        <v>70</v>
      </c>
      <c r="O723" s="1" t="s">
        <v>28</v>
      </c>
      <c r="P723" s="1" t="s">
        <v>55</v>
      </c>
      <c r="Q723" s="1">
        <v>13</v>
      </c>
      <c r="R723" s="1">
        <v>13</v>
      </c>
      <c r="S723" s="1">
        <v>0</v>
      </c>
      <c r="T723" s="1">
        <v>0</v>
      </c>
      <c r="U723" s="1">
        <v>0</v>
      </c>
      <c r="V723" s="1" t="str">
        <f t="shared" si="104"/>
        <v>里程去程</v>
      </c>
      <c r="W723" s="1" t="s">
        <v>29</v>
      </c>
    </row>
    <row r="724" spans="1:23" x14ac:dyDescent="0.3">
      <c r="A724" s="1" t="str">
        <f t="shared" si="106"/>
        <v>59820</v>
      </c>
      <c r="B724" s="1" t="s">
        <v>53</v>
      </c>
      <c r="C724" s="1" t="s">
        <v>54</v>
      </c>
      <c r="D724" s="1" t="str">
        <f t="shared" si="103"/>
        <v>9801</v>
      </c>
      <c r="E724" s="1" t="s">
        <v>25</v>
      </c>
      <c r="F724" s="1" t="str">
        <f>"12D6AB1976880400C824002000000020"</f>
        <v>12D6AB1976880400C824002000000020</v>
      </c>
      <c r="G724" s="1" t="s">
        <v>64</v>
      </c>
      <c r="H724" s="1" t="str">
        <f t="shared" si="107"/>
        <v>20220920</v>
      </c>
      <c r="I724" s="1" t="str">
        <f>"092502"</f>
        <v>092502</v>
      </c>
      <c r="J724" s="1" t="s">
        <v>83</v>
      </c>
      <c r="K724" s="1" t="s">
        <v>52</v>
      </c>
      <c r="L724" s="1" t="str">
        <f t="shared" si="108"/>
        <v>20220920</v>
      </c>
      <c r="M724" s="1" t="str">
        <f>"093213"</f>
        <v>093213</v>
      </c>
      <c r="N724" s="1" t="s">
        <v>70</v>
      </c>
      <c r="O724" s="1" t="s">
        <v>28</v>
      </c>
      <c r="P724" s="1" t="s">
        <v>55</v>
      </c>
      <c r="Q724" s="1">
        <v>13</v>
      </c>
      <c r="R724" s="1">
        <v>13</v>
      </c>
      <c r="S724" s="1">
        <v>0</v>
      </c>
      <c r="T724" s="1">
        <v>0</v>
      </c>
      <c r="U724" s="1">
        <v>0</v>
      </c>
      <c r="V724" s="1" t="str">
        <f t="shared" si="104"/>
        <v>里程去程</v>
      </c>
      <c r="W724" s="1" t="s">
        <v>29</v>
      </c>
    </row>
    <row r="725" spans="1:23" x14ac:dyDescent="0.3">
      <c r="A725" s="1" t="str">
        <f t="shared" ref="A725:A741" si="109">"59828"</f>
        <v>59828</v>
      </c>
      <c r="B725" s="1" t="s">
        <v>23</v>
      </c>
      <c r="C725" s="1" t="s">
        <v>24</v>
      </c>
      <c r="D725" s="1" t="str">
        <f t="shared" si="103"/>
        <v>9801</v>
      </c>
      <c r="E725" s="1" t="s">
        <v>25</v>
      </c>
      <c r="F725" s="1" t="str">
        <f>"4251460257880400C821002000000015"</f>
        <v>4251460257880400C821002000000015</v>
      </c>
      <c r="G725" s="1" t="s">
        <v>26</v>
      </c>
      <c r="H725" s="1" t="str">
        <f t="shared" si="107"/>
        <v>20220920</v>
      </c>
      <c r="I725" s="1" t="str">
        <f>"121843"</f>
        <v>121843</v>
      </c>
      <c r="J725" s="1" t="s">
        <v>69</v>
      </c>
      <c r="K725" s="1" t="s">
        <v>52</v>
      </c>
      <c r="L725" s="1" t="str">
        <f t="shared" si="108"/>
        <v>20220920</v>
      </c>
      <c r="M725" s="1" t="str">
        <f>"122317"</f>
        <v>122317</v>
      </c>
      <c r="N725" s="1" t="s">
        <v>83</v>
      </c>
      <c r="O725" s="1" t="s">
        <v>52</v>
      </c>
      <c r="P725" s="1" t="s">
        <v>68</v>
      </c>
      <c r="Q725" s="1">
        <v>13</v>
      </c>
      <c r="R725" s="1">
        <v>0</v>
      </c>
      <c r="S725" s="1">
        <v>0</v>
      </c>
      <c r="T725" s="1">
        <v>13</v>
      </c>
      <c r="U725" s="1">
        <v>0</v>
      </c>
      <c r="V725" s="1" t="str">
        <f t="shared" si="104"/>
        <v>里程去程</v>
      </c>
      <c r="W725" s="1" t="s">
        <v>29</v>
      </c>
    </row>
    <row r="726" spans="1:23" x14ac:dyDescent="0.3">
      <c r="A726" s="1" t="str">
        <f t="shared" si="109"/>
        <v>59828</v>
      </c>
      <c r="B726" s="1" t="s">
        <v>23</v>
      </c>
      <c r="C726" s="1" t="s">
        <v>24</v>
      </c>
      <c r="D726" s="1" t="str">
        <f t="shared" si="103"/>
        <v>9801</v>
      </c>
      <c r="E726" s="1" t="s">
        <v>25</v>
      </c>
      <c r="F726" s="1" t="str">
        <f>"245651509"</f>
        <v>245651509</v>
      </c>
      <c r="G726" s="1" t="s">
        <v>33</v>
      </c>
      <c r="H726" s="1" t="str">
        <f t="shared" si="107"/>
        <v>20220920</v>
      </c>
      <c r="I726" s="1" t="str">
        <f>"122925"</f>
        <v>122925</v>
      </c>
      <c r="J726" s="1" t="s">
        <v>27</v>
      </c>
      <c r="K726" s="1" t="s">
        <v>28</v>
      </c>
      <c r="L726" s="1" t="str">
        <f t="shared" si="108"/>
        <v>20220920</v>
      </c>
      <c r="M726" s="1" t="str">
        <f>"124745"</f>
        <v>124745</v>
      </c>
      <c r="N726" s="1" t="s">
        <v>75</v>
      </c>
      <c r="O726" s="1" t="s">
        <v>45</v>
      </c>
      <c r="P726" s="1" t="s">
        <v>55</v>
      </c>
      <c r="Q726" s="1">
        <v>25</v>
      </c>
      <c r="R726" s="1">
        <v>25</v>
      </c>
      <c r="S726" s="1">
        <v>0</v>
      </c>
      <c r="T726" s="1">
        <v>0</v>
      </c>
      <c r="U726" s="1">
        <v>0</v>
      </c>
      <c r="V726" s="1" t="str">
        <f t="shared" si="104"/>
        <v>里程去程</v>
      </c>
      <c r="W726" s="1" t="s">
        <v>35</v>
      </c>
    </row>
    <row r="727" spans="1:23" x14ac:dyDescent="0.3">
      <c r="A727" s="1" t="str">
        <f t="shared" si="109"/>
        <v>59828</v>
      </c>
      <c r="B727" s="1" t="s">
        <v>23</v>
      </c>
      <c r="C727" s="1" t="s">
        <v>24</v>
      </c>
      <c r="D727" s="1" t="str">
        <f t="shared" si="103"/>
        <v>9801</v>
      </c>
      <c r="E727" s="1" t="s">
        <v>25</v>
      </c>
      <c r="F727" s="1" t="str">
        <f>"82A6BC029A880400C834002000000015"</f>
        <v>82A6BC029A880400C834002000000015</v>
      </c>
      <c r="G727" s="1" t="s">
        <v>26</v>
      </c>
      <c r="H727" s="1" t="str">
        <f t="shared" si="107"/>
        <v>20220920</v>
      </c>
      <c r="I727" s="1" t="str">
        <f>"123041"</f>
        <v>123041</v>
      </c>
      <c r="J727" s="1" t="s">
        <v>27</v>
      </c>
      <c r="K727" s="1" t="s">
        <v>28</v>
      </c>
      <c r="L727" s="1" t="str">
        <f t="shared" si="108"/>
        <v>20220920</v>
      </c>
      <c r="M727" s="1" t="str">
        <f>"125733"</f>
        <v>125733</v>
      </c>
      <c r="N727" s="1" t="s">
        <v>44</v>
      </c>
      <c r="O727" s="1" t="s">
        <v>45</v>
      </c>
      <c r="P727" s="1" t="s">
        <v>68</v>
      </c>
      <c r="Q727" s="1">
        <v>13</v>
      </c>
      <c r="R727" s="1">
        <v>0</v>
      </c>
      <c r="S727" s="1">
        <v>0</v>
      </c>
      <c r="T727" s="1">
        <v>13</v>
      </c>
      <c r="U727" s="1">
        <v>0</v>
      </c>
      <c r="V727" s="1" t="str">
        <f t="shared" si="104"/>
        <v>里程去程</v>
      </c>
      <c r="W727" s="1" t="s">
        <v>29</v>
      </c>
    </row>
    <row r="728" spans="1:23" x14ac:dyDescent="0.3">
      <c r="A728" s="1" t="str">
        <f t="shared" si="109"/>
        <v>59828</v>
      </c>
      <c r="B728" s="1" t="s">
        <v>23</v>
      </c>
      <c r="C728" s="1" t="s">
        <v>24</v>
      </c>
      <c r="D728" s="1" t="str">
        <f t="shared" si="103"/>
        <v>9801</v>
      </c>
      <c r="E728" s="1" t="s">
        <v>25</v>
      </c>
      <c r="F728" s="1" t="str">
        <f>"D2D2F701F6880400C821002000000015"</f>
        <v>D2D2F701F6880400C821002000000015</v>
      </c>
      <c r="G728" s="1" t="s">
        <v>58</v>
      </c>
      <c r="H728" s="1" t="str">
        <f t="shared" si="107"/>
        <v>20220920</v>
      </c>
      <c r="I728" s="1" t="str">
        <f>"123048"</f>
        <v>123048</v>
      </c>
      <c r="J728" s="1" t="s">
        <v>27</v>
      </c>
      <c r="K728" s="1" t="s">
        <v>28</v>
      </c>
      <c r="L728" s="1" t="str">
        <f t="shared" si="108"/>
        <v>20220920</v>
      </c>
      <c r="M728" s="1" t="str">
        <f>"125647"</f>
        <v>125647</v>
      </c>
      <c r="N728" s="1" t="s">
        <v>44</v>
      </c>
      <c r="O728" s="1" t="s">
        <v>45</v>
      </c>
      <c r="P728" s="1" t="s">
        <v>55</v>
      </c>
      <c r="Q728" s="1">
        <v>25</v>
      </c>
      <c r="R728" s="1">
        <v>25</v>
      </c>
      <c r="S728" s="1">
        <v>0</v>
      </c>
      <c r="T728" s="1">
        <v>0</v>
      </c>
      <c r="U728" s="1">
        <v>0</v>
      </c>
      <c r="V728" s="1" t="str">
        <f t="shared" si="104"/>
        <v>里程去程</v>
      </c>
      <c r="W728" s="1" t="s">
        <v>29</v>
      </c>
    </row>
    <row r="729" spans="1:23" x14ac:dyDescent="0.3">
      <c r="A729" s="1" t="str">
        <f t="shared" si="109"/>
        <v>59828</v>
      </c>
      <c r="B729" s="1" t="s">
        <v>23</v>
      </c>
      <c r="C729" s="1" t="s">
        <v>24</v>
      </c>
      <c r="D729" s="1" t="str">
        <f t="shared" si="103"/>
        <v>9801</v>
      </c>
      <c r="E729" s="1" t="s">
        <v>25</v>
      </c>
      <c r="F729" s="1" t="str">
        <f>"42CD0D0381880400C834002000000015"</f>
        <v>42CD0D0381880400C834002000000015</v>
      </c>
      <c r="G729" s="1" t="s">
        <v>26</v>
      </c>
      <c r="H729" s="1" t="str">
        <f t="shared" si="107"/>
        <v>20220920</v>
      </c>
      <c r="I729" s="1" t="str">
        <f>"123056"</f>
        <v>123056</v>
      </c>
      <c r="J729" s="1" t="s">
        <v>27</v>
      </c>
      <c r="K729" s="1" t="s">
        <v>28</v>
      </c>
      <c r="L729" s="1" t="str">
        <f t="shared" si="108"/>
        <v>20220920</v>
      </c>
      <c r="M729" s="1" t="str">
        <f>"125411"</f>
        <v>125411</v>
      </c>
      <c r="N729" s="1" t="s">
        <v>44</v>
      </c>
      <c r="O729" s="1" t="s">
        <v>45</v>
      </c>
      <c r="P729" s="1" t="s">
        <v>68</v>
      </c>
      <c r="Q729" s="1">
        <v>13</v>
      </c>
      <c r="R729" s="1">
        <v>0</v>
      </c>
      <c r="S729" s="1">
        <v>0</v>
      </c>
      <c r="T729" s="1">
        <v>13</v>
      </c>
      <c r="U729" s="1">
        <v>0</v>
      </c>
      <c r="V729" s="1" t="str">
        <f t="shared" si="104"/>
        <v>里程去程</v>
      </c>
      <c r="W729" s="1" t="s">
        <v>29</v>
      </c>
    </row>
    <row r="730" spans="1:23" x14ac:dyDescent="0.3">
      <c r="A730" s="1" t="str">
        <f t="shared" si="109"/>
        <v>59828</v>
      </c>
      <c r="B730" s="1" t="s">
        <v>23</v>
      </c>
      <c r="C730" s="1" t="s">
        <v>24</v>
      </c>
      <c r="D730" s="1" t="str">
        <f t="shared" si="103"/>
        <v>9801</v>
      </c>
      <c r="E730" s="1" t="s">
        <v>25</v>
      </c>
      <c r="F730" s="1" t="str">
        <f>"71411426028804004328091300160212"</f>
        <v>71411426028804004328091300160212</v>
      </c>
      <c r="G730" s="1" t="s">
        <v>26</v>
      </c>
      <c r="H730" s="1" t="str">
        <f t="shared" si="107"/>
        <v>20220920</v>
      </c>
      <c r="I730" s="1" t="str">
        <f>"123111"</f>
        <v>123111</v>
      </c>
      <c r="J730" s="1" t="s">
        <v>27</v>
      </c>
      <c r="K730" s="1" t="s">
        <v>28</v>
      </c>
      <c r="L730" s="1" t="str">
        <f t="shared" si="108"/>
        <v>20220920</v>
      </c>
      <c r="M730" s="1" t="str">
        <f>"125203"</f>
        <v>125203</v>
      </c>
      <c r="N730" s="1" t="s">
        <v>100</v>
      </c>
      <c r="O730" s="1" t="s">
        <v>45</v>
      </c>
      <c r="P730" s="1" t="s">
        <v>55</v>
      </c>
      <c r="Q730" s="1">
        <v>13</v>
      </c>
      <c r="R730" s="1">
        <v>0</v>
      </c>
      <c r="S730" s="1">
        <v>13</v>
      </c>
      <c r="T730" s="1">
        <v>0</v>
      </c>
      <c r="U730" s="1">
        <v>0</v>
      </c>
      <c r="V730" s="1" t="str">
        <f t="shared" si="104"/>
        <v>里程去程</v>
      </c>
      <c r="W730" s="1" t="s">
        <v>29</v>
      </c>
    </row>
    <row r="731" spans="1:23" x14ac:dyDescent="0.3">
      <c r="A731" s="1" t="str">
        <f t="shared" si="109"/>
        <v>59828</v>
      </c>
      <c r="B731" s="1" t="s">
        <v>23</v>
      </c>
      <c r="C731" s="1" t="s">
        <v>24</v>
      </c>
      <c r="D731" s="1" t="str">
        <f t="shared" si="103"/>
        <v>9801</v>
      </c>
      <c r="E731" s="1" t="s">
        <v>25</v>
      </c>
      <c r="F731" s="1" t="str">
        <f>"1894224283"</f>
        <v>1894224283</v>
      </c>
      <c r="G731" s="1" t="s">
        <v>33</v>
      </c>
      <c r="H731" s="1" t="str">
        <f t="shared" si="107"/>
        <v>20220920</v>
      </c>
      <c r="I731" s="1" t="str">
        <f>"133132"</f>
        <v>133132</v>
      </c>
      <c r="J731" s="1" t="s">
        <v>27</v>
      </c>
      <c r="K731" s="1" t="s">
        <v>28</v>
      </c>
      <c r="L731" s="1" t="str">
        <f t="shared" si="108"/>
        <v>20220920</v>
      </c>
      <c r="M731" s="1" t="str">
        <f>"134606"</f>
        <v>134606</v>
      </c>
      <c r="N731" s="1" t="s">
        <v>61</v>
      </c>
      <c r="O731" s="1" t="s">
        <v>45</v>
      </c>
      <c r="P731" s="1" t="s">
        <v>55</v>
      </c>
      <c r="Q731" s="1">
        <v>25</v>
      </c>
      <c r="R731" s="1">
        <v>25</v>
      </c>
      <c r="S731" s="1">
        <v>0</v>
      </c>
      <c r="T731" s="1">
        <v>0</v>
      </c>
      <c r="U731" s="1">
        <v>0</v>
      </c>
      <c r="V731" s="1" t="str">
        <f t="shared" si="104"/>
        <v>里程去程</v>
      </c>
      <c r="W731" s="1" t="s">
        <v>35</v>
      </c>
    </row>
    <row r="732" spans="1:23" x14ac:dyDescent="0.3">
      <c r="A732" s="1" t="str">
        <f t="shared" si="109"/>
        <v>59828</v>
      </c>
      <c r="B732" s="1" t="s">
        <v>23</v>
      </c>
      <c r="C732" s="1" t="s">
        <v>24</v>
      </c>
      <c r="D732" s="1" t="str">
        <f t="shared" si="103"/>
        <v>9801</v>
      </c>
      <c r="E732" s="1" t="s">
        <v>25</v>
      </c>
      <c r="F732" s="1" t="str">
        <f>"91725C308F280400F700000000000000"</f>
        <v>91725C308F280400F700000000000000</v>
      </c>
      <c r="G732" s="1" t="s">
        <v>58</v>
      </c>
      <c r="H732" s="1" t="str">
        <f t="shared" si="107"/>
        <v>20220920</v>
      </c>
      <c r="I732" s="1" t="str">
        <f>"133141"</f>
        <v>133141</v>
      </c>
      <c r="J732" s="1" t="s">
        <v>27</v>
      </c>
      <c r="K732" s="1" t="s">
        <v>28</v>
      </c>
      <c r="L732" s="1" t="str">
        <f t="shared" si="108"/>
        <v>20220920</v>
      </c>
      <c r="M732" s="1" t="str">
        <f>"135537"</f>
        <v>135537</v>
      </c>
      <c r="N732" s="1" t="s">
        <v>44</v>
      </c>
      <c r="O732" s="1" t="s">
        <v>45</v>
      </c>
      <c r="P732" s="1" t="s">
        <v>55</v>
      </c>
      <c r="Q732" s="1">
        <v>25</v>
      </c>
      <c r="R732" s="1">
        <v>25</v>
      </c>
      <c r="S732" s="1">
        <v>0</v>
      </c>
      <c r="T732" s="1">
        <v>0</v>
      </c>
      <c r="U732" s="1">
        <v>0</v>
      </c>
      <c r="V732" s="1" t="str">
        <f t="shared" si="104"/>
        <v>里程去程</v>
      </c>
      <c r="W732" s="1" t="s">
        <v>29</v>
      </c>
    </row>
    <row r="733" spans="1:23" x14ac:dyDescent="0.3">
      <c r="A733" s="1" t="str">
        <f t="shared" si="109"/>
        <v>59828</v>
      </c>
      <c r="B733" s="1" t="s">
        <v>23</v>
      </c>
      <c r="C733" s="1" t="s">
        <v>24</v>
      </c>
      <c r="D733" s="1" t="str">
        <f t="shared" si="103"/>
        <v>9801</v>
      </c>
      <c r="E733" s="1" t="s">
        <v>25</v>
      </c>
      <c r="F733" s="1" t="str">
        <f>"1815871781"</f>
        <v>1815871781</v>
      </c>
      <c r="G733" s="1" t="s">
        <v>38</v>
      </c>
      <c r="H733" s="1" t="str">
        <f t="shared" si="107"/>
        <v>20220920</v>
      </c>
      <c r="I733" s="1" t="str">
        <f>"133145"</f>
        <v>133145</v>
      </c>
      <c r="J733" s="1" t="s">
        <v>27</v>
      </c>
      <c r="K733" s="1" t="s">
        <v>28</v>
      </c>
      <c r="L733" s="1" t="str">
        <f t="shared" si="108"/>
        <v>20220920</v>
      </c>
      <c r="M733" s="1" t="str">
        <f>"134602"</f>
        <v>134602</v>
      </c>
      <c r="N733" s="1" t="s">
        <v>61</v>
      </c>
      <c r="O733" s="1" t="s">
        <v>45</v>
      </c>
      <c r="P733" s="1" t="s">
        <v>55</v>
      </c>
      <c r="Q733" s="1">
        <v>25</v>
      </c>
      <c r="R733" s="1">
        <v>0</v>
      </c>
      <c r="S733" s="1">
        <v>25</v>
      </c>
      <c r="T733" s="1">
        <v>0</v>
      </c>
      <c r="U733" s="1">
        <v>0</v>
      </c>
      <c r="V733" s="1" t="str">
        <f t="shared" si="104"/>
        <v>里程去程</v>
      </c>
      <c r="W733" s="1" t="s">
        <v>35</v>
      </c>
    </row>
    <row r="734" spans="1:23" x14ac:dyDescent="0.3">
      <c r="A734" s="1" t="str">
        <f t="shared" si="109"/>
        <v>59828</v>
      </c>
      <c r="B734" s="1" t="s">
        <v>23</v>
      </c>
      <c r="C734" s="1" t="s">
        <v>24</v>
      </c>
      <c r="D734" s="1" t="str">
        <f t="shared" si="103"/>
        <v>9801</v>
      </c>
      <c r="E734" s="1" t="s">
        <v>25</v>
      </c>
      <c r="F734" s="1" t="str">
        <f>"9232BD021F880400C834002000000015"</f>
        <v>9232BD021F880400C834002000000015</v>
      </c>
      <c r="G734" s="1" t="s">
        <v>26</v>
      </c>
      <c r="H734" s="1" t="str">
        <f t="shared" si="107"/>
        <v>20220920</v>
      </c>
      <c r="I734" s="1" t="str">
        <f>"135308"</f>
        <v>135308</v>
      </c>
      <c r="J734" s="1" t="s">
        <v>100</v>
      </c>
      <c r="K734" s="1" t="s">
        <v>45</v>
      </c>
      <c r="L734" s="1" t="str">
        <f t="shared" si="108"/>
        <v>20220920</v>
      </c>
      <c r="M734" s="1" t="str">
        <f>"135530"</f>
        <v>135530</v>
      </c>
      <c r="N734" s="1" t="s">
        <v>44</v>
      </c>
      <c r="O734" s="1" t="s">
        <v>45</v>
      </c>
      <c r="P734" s="1" t="s">
        <v>68</v>
      </c>
      <c r="Q734" s="1">
        <v>13</v>
      </c>
      <c r="R734" s="1">
        <v>0</v>
      </c>
      <c r="S734" s="1">
        <v>0</v>
      </c>
      <c r="T734" s="1">
        <v>13</v>
      </c>
      <c r="U734" s="1">
        <v>0</v>
      </c>
      <c r="V734" s="1" t="str">
        <f t="shared" si="104"/>
        <v>里程去程</v>
      </c>
      <c r="W734" s="1" t="s">
        <v>29</v>
      </c>
    </row>
    <row r="735" spans="1:23" x14ac:dyDescent="0.3">
      <c r="A735" s="1" t="str">
        <f t="shared" si="109"/>
        <v>59828</v>
      </c>
      <c r="B735" s="1" t="s">
        <v>23</v>
      </c>
      <c r="C735" s="1" t="s">
        <v>24</v>
      </c>
      <c r="D735" s="1" t="str">
        <f t="shared" si="103"/>
        <v>9801</v>
      </c>
      <c r="E735" s="1" t="s">
        <v>25</v>
      </c>
      <c r="F735" s="1" t="str">
        <f>"F27CE6026A880400C834002000000015"</f>
        <v>F27CE6026A880400C834002000000015</v>
      </c>
      <c r="G735" s="1" t="s">
        <v>74</v>
      </c>
      <c r="H735" s="1" t="str">
        <f t="shared" si="107"/>
        <v>20220920</v>
      </c>
      <c r="I735" s="1" t="str">
        <f>"145818"</f>
        <v>145818</v>
      </c>
      <c r="J735" s="1" t="s">
        <v>52</v>
      </c>
      <c r="K735" s="1" t="s">
        <v>52</v>
      </c>
      <c r="L735" s="1" t="str">
        <f t="shared" si="108"/>
        <v>20220920</v>
      </c>
      <c r="M735" s="1" t="str">
        <f>"150814"</f>
        <v>150814</v>
      </c>
      <c r="N735" s="1" t="s">
        <v>60</v>
      </c>
      <c r="O735" s="1" t="s">
        <v>52</v>
      </c>
      <c r="P735" s="1" t="s">
        <v>68</v>
      </c>
      <c r="Q735" s="1">
        <v>13</v>
      </c>
      <c r="R735" s="1">
        <v>0</v>
      </c>
      <c r="S735" s="1">
        <v>0</v>
      </c>
      <c r="T735" s="1">
        <v>13</v>
      </c>
      <c r="U735" s="1">
        <v>0</v>
      </c>
      <c r="V735" s="1" t="str">
        <f t="shared" si="104"/>
        <v>里程去程</v>
      </c>
      <c r="W735" s="1" t="s">
        <v>29</v>
      </c>
    </row>
    <row r="736" spans="1:23" x14ac:dyDescent="0.3">
      <c r="A736" s="1" t="str">
        <f t="shared" si="109"/>
        <v>59828</v>
      </c>
      <c r="B736" s="1" t="s">
        <v>23</v>
      </c>
      <c r="C736" s="1" t="s">
        <v>24</v>
      </c>
      <c r="D736" s="1" t="str">
        <f t="shared" si="103"/>
        <v>9801</v>
      </c>
      <c r="E736" s="1" t="s">
        <v>25</v>
      </c>
      <c r="F736" s="1" t="str">
        <f>"C2F219032A880400C834002000000015"</f>
        <v>C2F219032A880400C834002000000015</v>
      </c>
      <c r="G736" s="1" t="s">
        <v>26</v>
      </c>
      <c r="H736" s="1" t="str">
        <f t="shared" si="107"/>
        <v>20220920</v>
      </c>
      <c r="I736" s="1" t="str">
        <f>"150621"</f>
        <v>150621</v>
      </c>
      <c r="J736" s="1" t="s">
        <v>86</v>
      </c>
      <c r="K736" s="1" t="s">
        <v>52</v>
      </c>
      <c r="L736" s="1" t="str">
        <f t="shared" si="108"/>
        <v>20220920</v>
      </c>
      <c r="M736" s="1" t="str">
        <f>"151007"</f>
        <v>151007</v>
      </c>
      <c r="N736" s="1" t="s">
        <v>51</v>
      </c>
      <c r="O736" s="1" t="s">
        <v>52</v>
      </c>
      <c r="P736" s="1" t="s">
        <v>68</v>
      </c>
      <c r="Q736" s="1">
        <v>13</v>
      </c>
      <c r="R736" s="1">
        <v>0</v>
      </c>
      <c r="S736" s="1">
        <v>0</v>
      </c>
      <c r="T736" s="1">
        <v>13</v>
      </c>
      <c r="U736" s="1">
        <v>0</v>
      </c>
      <c r="V736" s="1" t="str">
        <f t="shared" si="104"/>
        <v>里程去程</v>
      </c>
      <c r="W736" s="1" t="s">
        <v>29</v>
      </c>
    </row>
    <row r="737" spans="1:23" x14ac:dyDescent="0.3">
      <c r="A737" s="1" t="str">
        <f t="shared" si="109"/>
        <v>59828</v>
      </c>
      <c r="B737" s="1" t="s">
        <v>23</v>
      </c>
      <c r="C737" s="1" t="s">
        <v>24</v>
      </c>
      <c r="D737" s="1" t="str">
        <f t="shared" si="103"/>
        <v>9801</v>
      </c>
      <c r="E737" s="1" t="s">
        <v>25</v>
      </c>
      <c r="F737" s="1" t="str">
        <f>"A239F5056B880400C838002000000015"</f>
        <v>A239F5056B880400C838002000000015</v>
      </c>
      <c r="G737" s="1" t="s">
        <v>26</v>
      </c>
      <c r="H737" s="1" t="str">
        <f t="shared" si="107"/>
        <v>20220920</v>
      </c>
      <c r="I737" s="1" t="str">
        <f>"152452"</f>
        <v>152452</v>
      </c>
      <c r="J737" s="1" t="s">
        <v>67</v>
      </c>
      <c r="K737" s="1" t="s">
        <v>52</v>
      </c>
      <c r="L737" s="1" t="str">
        <f t="shared" si="108"/>
        <v>20220920</v>
      </c>
      <c r="M737" s="1" t="str">
        <f>"153251"</f>
        <v>153251</v>
      </c>
      <c r="N737" s="1" t="s">
        <v>70</v>
      </c>
      <c r="O737" s="1" t="s">
        <v>28</v>
      </c>
      <c r="P737" s="1" t="s">
        <v>68</v>
      </c>
      <c r="Q737" s="1">
        <v>13</v>
      </c>
      <c r="R737" s="1">
        <v>0</v>
      </c>
      <c r="S737" s="1">
        <v>0</v>
      </c>
      <c r="T737" s="1">
        <v>13</v>
      </c>
      <c r="U737" s="1">
        <v>0</v>
      </c>
      <c r="V737" s="1" t="str">
        <f t="shared" si="104"/>
        <v>里程去程</v>
      </c>
      <c r="W737" s="1" t="s">
        <v>29</v>
      </c>
    </row>
    <row r="738" spans="1:23" x14ac:dyDescent="0.3">
      <c r="A738" s="1" t="str">
        <f t="shared" si="109"/>
        <v>59828</v>
      </c>
      <c r="B738" s="1" t="s">
        <v>23</v>
      </c>
      <c r="C738" s="1" t="s">
        <v>24</v>
      </c>
      <c r="D738" s="1" t="str">
        <f t="shared" si="103"/>
        <v>9801</v>
      </c>
      <c r="E738" s="1" t="s">
        <v>25</v>
      </c>
      <c r="F738" s="1" t="str">
        <f>"55D2A79CBC88040043265ABE00170710"</f>
        <v>55D2A79CBC88040043265ABE00170710</v>
      </c>
      <c r="G738" s="1" t="s">
        <v>64</v>
      </c>
      <c r="H738" s="1" t="str">
        <f t="shared" si="107"/>
        <v>20220920</v>
      </c>
      <c r="I738" s="1" t="str">
        <f>"160015"</f>
        <v>160015</v>
      </c>
      <c r="J738" s="1" t="s">
        <v>52</v>
      </c>
      <c r="K738" s="1" t="s">
        <v>52</v>
      </c>
      <c r="L738" s="1" t="str">
        <f t="shared" si="108"/>
        <v>20220920</v>
      </c>
      <c r="M738" s="1" t="str">
        <f>"162349"</f>
        <v>162349</v>
      </c>
      <c r="N738" s="1" t="s">
        <v>67</v>
      </c>
      <c r="O738" s="1" t="s">
        <v>52</v>
      </c>
      <c r="P738" s="1" t="s">
        <v>55</v>
      </c>
      <c r="Q738" s="1">
        <v>13</v>
      </c>
      <c r="R738" s="1">
        <v>13</v>
      </c>
      <c r="S738" s="1">
        <v>0</v>
      </c>
      <c r="T738" s="1">
        <v>0</v>
      </c>
      <c r="U738" s="1">
        <v>0</v>
      </c>
      <c r="V738" s="1" t="str">
        <f t="shared" si="104"/>
        <v>里程去程</v>
      </c>
      <c r="W738" s="1" t="s">
        <v>29</v>
      </c>
    </row>
    <row r="739" spans="1:23" x14ac:dyDescent="0.3">
      <c r="A739" s="1" t="str">
        <f t="shared" si="109"/>
        <v>59828</v>
      </c>
      <c r="B739" s="1" t="s">
        <v>23</v>
      </c>
      <c r="C739" s="1" t="s">
        <v>24</v>
      </c>
      <c r="D739" s="1" t="str">
        <f t="shared" si="103"/>
        <v>9801</v>
      </c>
      <c r="E739" s="1" t="s">
        <v>25</v>
      </c>
      <c r="F739" s="1" t="str">
        <f>"685121701"</f>
        <v>685121701</v>
      </c>
      <c r="G739" s="1" t="s">
        <v>33</v>
      </c>
      <c r="H739" s="1" t="str">
        <f t="shared" si="107"/>
        <v>20220920</v>
      </c>
      <c r="I739" s="1" t="str">
        <f>"160625"</f>
        <v>160625</v>
      </c>
      <c r="J739" s="1" t="s">
        <v>60</v>
      </c>
      <c r="K739" s="1" t="s">
        <v>52</v>
      </c>
      <c r="L739" s="1" t="str">
        <f t="shared" si="108"/>
        <v>20220920</v>
      </c>
      <c r="M739" s="1" t="str">
        <f>"163226"</f>
        <v>163226</v>
      </c>
      <c r="N739" s="1" t="s">
        <v>70</v>
      </c>
      <c r="O739" s="1" t="s">
        <v>28</v>
      </c>
      <c r="P739" s="1" t="s">
        <v>55</v>
      </c>
      <c r="Q739" s="1">
        <v>25</v>
      </c>
      <c r="R739" s="1">
        <v>25</v>
      </c>
      <c r="S739" s="1">
        <v>0</v>
      </c>
      <c r="T739" s="1">
        <v>0</v>
      </c>
      <c r="U739" s="1">
        <v>0</v>
      </c>
      <c r="V739" s="1" t="str">
        <f t="shared" si="104"/>
        <v>里程去程</v>
      </c>
      <c r="W739" s="1" t="s">
        <v>35</v>
      </c>
    </row>
    <row r="740" spans="1:23" x14ac:dyDescent="0.3">
      <c r="A740" s="1" t="str">
        <f t="shared" si="109"/>
        <v>59828</v>
      </c>
      <c r="B740" s="1" t="s">
        <v>23</v>
      </c>
      <c r="C740" s="1" t="s">
        <v>24</v>
      </c>
      <c r="D740" s="1" t="str">
        <f t="shared" si="103"/>
        <v>9801</v>
      </c>
      <c r="E740" s="1" t="s">
        <v>25</v>
      </c>
      <c r="F740" s="1" t="str">
        <f>"8227D00277880400C834002000000015"</f>
        <v>8227D00277880400C834002000000015</v>
      </c>
      <c r="G740" s="1" t="s">
        <v>26</v>
      </c>
      <c r="H740" s="1" t="str">
        <f t="shared" si="107"/>
        <v>20220920</v>
      </c>
      <c r="I740" s="1" t="str">
        <f>"162300"</f>
        <v>162300</v>
      </c>
      <c r="J740" s="1" t="s">
        <v>78</v>
      </c>
      <c r="K740" s="1" t="s">
        <v>52</v>
      </c>
      <c r="L740" s="1" t="str">
        <f t="shared" si="108"/>
        <v>20220920</v>
      </c>
      <c r="M740" s="1" t="str">
        <f>"163222"</f>
        <v>163222</v>
      </c>
      <c r="N740" s="1" t="s">
        <v>70</v>
      </c>
      <c r="O740" s="1" t="s">
        <v>28</v>
      </c>
      <c r="P740" s="1" t="s">
        <v>68</v>
      </c>
      <c r="Q740" s="1">
        <v>13</v>
      </c>
      <c r="R740" s="1">
        <v>0</v>
      </c>
      <c r="S740" s="1">
        <v>0</v>
      </c>
      <c r="T740" s="1">
        <v>13</v>
      </c>
      <c r="U740" s="1">
        <v>0</v>
      </c>
      <c r="V740" s="1" t="str">
        <f t="shared" si="104"/>
        <v>里程去程</v>
      </c>
      <c r="W740" s="1" t="s">
        <v>29</v>
      </c>
    </row>
    <row r="741" spans="1:23" x14ac:dyDescent="0.3">
      <c r="A741" s="1" t="str">
        <f t="shared" si="109"/>
        <v>59828</v>
      </c>
      <c r="B741" s="1" t="s">
        <v>23</v>
      </c>
      <c r="C741" s="1" t="s">
        <v>24</v>
      </c>
      <c r="D741" s="1" t="str">
        <f t="shared" si="103"/>
        <v>9801</v>
      </c>
      <c r="E741" s="1" t="s">
        <v>25</v>
      </c>
      <c r="F741" s="1" t="str">
        <f>"2113329634"</f>
        <v>2113329634</v>
      </c>
      <c r="G741" s="1" t="s">
        <v>26</v>
      </c>
      <c r="H741" s="1" t="str">
        <f t="shared" si="107"/>
        <v>20220920</v>
      </c>
      <c r="I741" s="1" t="str">
        <f>"163301"</f>
        <v>163301</v>
      </c>
      <c r="J741" s="1" t="s">
        <v>27</v>
      </c>
      <c r="K741" s="1" t="s">
        <v>28</v>
      </c>
      <c r="L741" s="1" t="str">
        <f t="shared" si="108"/>
        <v>20220920</v>
      </c>
      <c r="M741" s="1" t="str">
        <f>"165607"</f>
        <v>165607</v>
      </c>
      <c r="N741" s="1" t="s">
        <v>44</v>
      </c>
      <c r="O741" s="1" t="s">
        <v>45</v>
      </c>
      <c r="P741" s="1" t="s">
        <v>55</v>
      </c>
      <c r="Q741" s="1">
        <v>13</v>
      </c>
      <c r="R741" s="1">
        <v>13</v>
      </c>
      <c r="S741" s="1">
        <v>0</v>
      </c>
      <c r="T741" s="1">
        <v>0</v>
      </c>
      <c r="U741" s="1">
        <v>0</v>
      </c>
      <c r="V741" s="1" t="str">
        <f t="shared" si="104"/>
        <v>里程去程</v>
      </c>
      <c r="W741" s="1" t="s">
        <v>35</v>
      </c>
    </row>
    <row r="742" spans="1:23" x14ac:dyDescent="0.3">
      <c r="A742" s="1" t="str">
        <f>"59829"</f>
        <v>59829</v>
      </c>
      <c r="B742" s="1" t="s">
        <v>47</v>
      </c>
      <c r="C742" s="1" t="s">
        <v>48</v>
      </c>
      <c r="D742" s="1" t="str">
        <f t="shared" si="103"/>
        <v>9801</v>
      </c>
      <c r="E742" s="1" t="s">
        <v>25</v>
      </c>
      <c r="F742" s="1" t="str">
        <f>"1454364865"</f>
        <v>1454364865</v>
      </c>
      <c r="G742" s="1" t="s">
        <v>33</v>
      </c>
      <c r="H742" s="1" t="str">
        <f t="shared" si="107"/>
        <v>20220920</v>
      </c>
      <c r="I742" s="1" t="str">
        <f>"082649"</f>
        <v>082649</v>
      </c>
      <c r="J742" s="1" t="s">
        <v>52</v>
      </c>
      <c r="K742" s="1" t="s">
        <v>52</v>
      </c>
      <c r="L742" s="1" t="str">
        <f t="shared" si="108"/>
        <v>20220920</v>
      </c>
      <c r="M742" s="1" t="str">
        <f>"082702"</f>
        <v>082702</v>
      </c>
      <c r="N742" s="1" t="s">
        <v>86</v>
      </c>
      <c r="O742" s="1" t="s">
        <v>52</v>
      </c>
      <c r="P742" s="1" t="s">
        <v>55</v>
      </c>
      <c r="Q742" s="1">
        <v>25</v>
      </c>
      <c r="R742" s="1">
        <v>25</v>
      </c>
      <c r="S742" s="1">
        <v>0</v>
      </c>
      <c r="T742" s="1">
        <v>0</v>
      </c>
      <c r="U742" s="1">
        <v>0</v>
      </c>
      <c r="V742" s="1" t="str">
        <f t="shared" si="104"/>
        <v>里程去程</v>
      </c>
      <c r="W742" s="1" t="s">
        <v>35</v>
      </c>
    </row>
    <row r="743" spans="1:23" x14ac:dyDescent="0.3">
      <c r="A743" s="1" t="str">
        <f t="shared" ref="A743:A748" si="110">"59820"</f>
        <v>59820</v>
      </c>
      <c r="B743" s="1" t="s">
        <v>53</v>
      </c>
      <c r="C743" s="1" t="s">
        <v>54</v>
      </c>
      <c r="D743" s="1" t="str">
        <f t="shared" si="103"/>
        <v>9801</v>
      </c>
      <c r="E743" s="1" t="s">
        <v>25</v>
      </c>
      <c r="F743" s="1" t="str">
        <f>"7227E702B0880400C834002000000015"</f>
        <v>7227E702B0880400C834002000000015</v>
      </c>
      <c r="G743" s="1" t="s">
        <v>74</v>
      </c>
      <c r="H743" s="1" t="str">
        <f t="shared" ref="H743:H768" si="111">"20220921"</f>
        <v>20220921</v>
      </c>
      <c r="I743" s="1" t="str">
        <f>"075756"</f>
        <v>075756</v>
      </c>
      <c r="J743" s="1" t="s">
        <v>52</v>
      </c>
      <c r="K743" s="1" t="s">
        <v>52</v>
      </c>
      <c r="L743" s="1" t="str">
        <f t="shared" ref="L743:L768" si="112">"20220921"</f>
        <v>20220921</v>
      </c>
      <c r="M743" s="1" t="str">
        <f>"081612"</f>
        <v>081612</v>
      </c>
      <c r="N743" s="1" t="s">
        <v>80</v>
      </c>
      <c r="O743" s="1" t="s">
        <v>52</v>
      </c>
      <c r="P743" s="1" t="s">
        <v>68</v>
      </c>
      <c r="Q743" s="1">
        <v>13</v>
      </c>
      <c r="R743" s="1">
        <v>0</v>
      </c>
      <c r="S743" s="1">
        <v>0</v>
      </c>
      <c r="T743" s="1">
        <v>13</v>
      </c>
      <c r="U743" s="1">
        <v>0</v>
      </c>
      <c r="V743" s="1" t="str">
        <f t="shared" si="104"/>
        <v>里程去程</v>
      </c>
      <c r="W743" s="1" t="s">
        <v>29</v>
      </c>
    </row>
    <row r="744" spans="1:23" x14ac:dyDescent="0.3">
      <c r="A744" s="1" t="str">
        <f t="shared" si="110"/>
        <v>59820</v>
      </c>
      <c r="B744" s="1" t="s">
        <v>53</v>
      </c>
      <c r="C744" s="1" t="s">
        <v>54</v>
      </c>
      <c r="D744" s="1" t="str">
        <f t="shared" si="103"/>
        <v>9801</v>
      </c>
      <c r="E744" s="1" t="s">
        <v>25</v>
      </c>
      <c r="F744" s="1" t="str">
        <f>"829DFE02E3880400C834002000000015"</f>
        <v>829DFE02E3880400C834002000000015</v>
      </c>
      <c r="G744" s="1" t="s">
        <v>26</v>
      </c>
      <c r="H744" s="1" t="str">
        <f t="shared" si="111"/>
        <v>20220921</v>
      </c>
      <c r="I744" s="1" t="str">
        <f>"075805"</f>
        <v>075805</v>
      </c>
      <c r="J744" s="1" t="s">
        <v>52</v>
      </c>
      <c r="K744" s="1" t="s">
        <v>52</v>
      </c>
      <c r="L744" s="1" t="str">
        <f t="shared" si="112"/>
        <v>20220921</v>
      </c>
      <c r="M744" s="1" t="str">
        <f>"080626"</f>
        <v>080626</v>
      </c>
      <c r="N744" s="1" t="s">
        <v>60</v>
      </c>
      <c r="O744" s="1" t="s">
        <v>52</v>
      </c>
      <c r="P744" s="1" t="s">
        <v>68</v>
      </c>
      <c r="Q744" s="1">
        <v>13</v>
      </c>
      <c r="R744" s="1">
        <v>0</v>
      </c>
      <c r="S744" s="1">
        <v>0</v>
      </c>
      <c r="T744" s="1">
        <v>13</v>
      </c>
      <c r="U744" s="1">
        <v>0</v>
      </c>
      <c r="V744" s="1" t="str">
        <f t="shared" si="104"/>
        <v>里程去程</v>
      </c>
      <c r="W744" s="1" t="s">
        <v>29</v>
      </c>
    </row>
    <row r="745" spans="1:23" x14ac:dyDescent="0.3">
      <c r="A745" s="1" t="str">
        <f t="shared" si="110"/>
        <v>59820</v>
      </c>
      <c r="B745" s="1" t="s">
        <v>53</v>
      </c>
      <c r="C745" s="1" t="s">
        <v>54</v>
      </c>
      <c r="D745" s="1" t="str">
        <f t="shared" si="103"/>
        <v>9801</v>
      </c>
      <c r="E745" s="1" t="s">
        <v>25</v>
      </c>
      <c r="F745" s="1" t="str">
        <f>"82730F18E6880400C814002000000019"</f>
        <v>82730F18E6880400C814002000000019</v>
      </c>
      <c r="G745" s="1" t="s">
        <v>59</v>
      </c>
      <c r="H745" s="1" t="str">
        <f t="shared" si="111"/>
        <v>20220921</v>
      </c>
      <c r="I745" s="1" t="str">
        <f>"083218"</f>
        <v>083218</v>
      </c>
      <c r="J745" s="1" t="s">
        <v>27</v>
      </c>
      <c r="K745" s="1" t="s">
        <v>28</v>
      </c>
      <c r="L745" s="1" t="str">
        <f t="shared" si="112"/>
        <v>20220921</v>
      </c>
      <c r="M745" s="1" t="str">
        <f>"085547"</f>
        <v>085547</v>
      </c>
      <c r="N745" s="1" t="s">
        <v>44</v>
      </c>
      <c r="O745" s="1" t="s">
        <v>45</v>
      </c>
      <c r="P745" s="1" t="s">
        <v>55</v>
      </c>
      <c r="Q745" s="1">
        <v>25</v>
      </c>
      <c r="R745" s="1">
        <v>25</v>
      </c>
      <c r="S745" s="1">
        <v>0</v>
      </c>
      <c r="T745" s="1">
        <v>0</v>
      </c>
      <c r="U745" s="1">
        <v>0</v>
      </c>
      <c r="V745" s="1" t="str">
        <f t="shared" si="104"/>
        <v>里程去程</v>
      </c>
      <c r="W745" s="1" t="s">
        <v>29</v>
      </c>
    </row>
    <row r="746" spans="1:23" x14ac:dyDescent="0.3">
      <c r="A746" s="1" t="str">
        <f t="shared" si="110"/>
        <v>59820</v>
      </c>
      <c r="B746" s="1" t="s">
        <v>53</v>
      </c>
      <c r="C746" s="1" t="s">
        <v>54</v>
      </c>
      <c r="D746" s="1" t="str">
        <f t="shared" si="103"/>
        <v>9801</v>
      </c>
      <c r="E746" s="1" t="s">
        <v>25</v>
      </c>
      <c r="F746" s="1" t="str">
        <f>"E282A20FCD880400C820002000000018"</f>
        <v>E282A20FCD880400C820002000000018</v>
      </c>
      <c r="G746" s="1" t="s">
        <v>58</v>
      </c>
      <c r="H746" s="1" t="str">
        <f t="shared" si="111"/>
        <v>20220921</v>
      </c>
      <c r="I746" s="1" t="str">
        <f>"083302"</f>
        <v>083302</v>
      </c>
      <c r="J746" s="1" t="s">
        <v>27</v>
      </c>
      <c r="K746" s="1" t="s">
        <v>28</v>
      </c>
      <c r="L746" s="1" t="str">
        <f t="shared" si="112"/>
        <v>20220921</v>
      </c>
      <c r="M746" s="1" t="str">
        <f>"085550"</f>
        <v>085550</v>
      </c>
      <c r="N746" s="1" t="s">
        <v>44</v>
      </c>
      <c r="O746" s="1" t="s">
        <v>45</v>
      </c>
      <c r="P746" s="1" t="s">
        <v>55</v>
      </c>
      <c r="Q746" s="1">
        <v>25</v>
      </c>
      <c r="R746" s="1">
        <v>0</v>
      </c>
      <c r="S746" s="1">
        <v>25</v>
      </c>
      <c r="T746" s="1">
        <v>0</v>
      </c>
      <c r="U746" s="1">
        <v>0</v>
      </c>
      <c r="V746" s="1" t="str">
        <f t="shared" si="104"/>
        <v>里程去程</v>
      </c>
      <c r="W746" s="1" t="s">
        <v>29</v>
      </c>
    </row>
    <row r="747" spans="1:23" x14ac:dyDescent="0.3">
      <c r="A747" s="1" t="str">
        <f t="shared" si="110"/>
        <v>59820</v>
      </c>
      <c r="B747" s="1" t="s">
        <v>53</v>
      </c>
      <c r="C747" s="1" t="s">
        <v>54</v>
      </c>
      <c r="D747" s="1" t="str">
        <f t="shared" si="103"/>
        <v>9801</v>
      </c>
      <c r="E747" s="1" t="s">
        <v>25</v>
      </c>
      <c r="F747" s="1" t="str">
        <f>"B114110FBB280400F700000000000000"</f>
        <v>B114110FBB280400F700000000000000</v>
      </c>
      <c r="G747" s="1" t="s">
        <v>58</v>
      </c>
      <c r="H747" s="1" t="str">
        <f t="shared" si="111"/>
        <v>20220921</v>
      </c>
      <c r="I747" s="1" t="str">
        <f>"093246"</f>
        <v>093246</v>
      </c>
      <c r="J747" s="1" t="s">
        <v>27</v>
      </c>
      <c r="K747" s="1" t="s">
        <v>28</v>
      </c>
      <c r="L747" s="1" t="str">
        <f t="shared" si="112"/>
        <v>20220921</v>
      </c>
      <c r="M747" s="1" t="str">
        <f>"094400"</f>
        <v>094400</v>
      </c>
      <c r="N747" s="1" t="s">
        <v>79</v>
      </c>
      <c r="O747" s="1" t="s">
        <v>45</v>
      </c>
      <c r="P747" s="1" t="s">
        <v>55</v>
      </c>
      <c r="Q747" s="1">
        <v>25</v>
      </c>
      <c r="R747" s="1">
        <v>25</v>
      </c>
      <c r="S747" s="1">
        <v>0</v>
      </c>
      <c r="T747" s="1">
        <v>0</v>
      </c>
      <c r="U747" s="1">
        <v>0</v>
      </c>
      <c r="V747" s="1" t="str">
        <f t="shared" si="104"/>
        <v>里程去程</v>
      </c>
      <c r="W747" s="1" t="s">
        <v>29</v>
      </c>
    </row>
    <row r="748" spans="1:23" x14ac:dyDescent="0.3">
      <c r="A748" s="1" t="str">
        <f t="shared" si="110"/>
        <v>59820</v>
      </c>
      <c r="B748" s="1" t="s">
        <v>53</v>
      </c>
      <c r="C748" s="1" t="s">
        <v>54</v>
      </c>
      <c r="D748" s="1" t="str">
        <f t="shared" si="103"/>
        <v>9801</v>
      </c>
      <c r="E748" s="1" t="s">
        <v>25</v>
      </c>
      <c r="F748" s="1" t="str">
        <f>"A29FCF06F4880400C838002000000015"</f>
        <v>A29FCF06F4880400C838002000000015</v>
      </c>
      <c r="G748" s="1" t="s">
        <v>26</v>
      </c>
      <c r="H748" s="1" t="str">
        <f t="shared" si="111"/>
        <v>20220921</v>
      </c>
      <c r="I748" s="1" t="str">
        <f>"093252"</f>
        <v>093252</v>
      </c>
      <c r="J748" s="1" t="s">
        <v>27</v>
      </c>
      <c r="K748" s="1" t="s">
        <v>28</v>
      </c>
      <c r="L748" s="1" t="str">
        <f t="shared" si="112"/>
        <v>20220921</v>
      </c>
      <c r="M748" s="1" t="str">
        <f>"095543"</f>
        <v>095543</v>
      </c>
      <c r="N748" s="1" t="s">
        <v>44</v>
      </c>
      <c r="O748" s="1" t="s">
        <v>45</v>
      </c>
      <c r="P748" s="1" t="s">
        <v>68</v>
      </c>
      <c r="Q748" s="1">
        <v>13</v>
      </c>
      <c r="R748" s="1">
        <v>0</v>
      </c>
      <c r="S748" s="1">
        <v>0</v>
      </c>
      <c r="T748" s="1">
        <v>13</v>
      </c>
      <c r="U748" s="1">
        <v>0</v>
      </c>
      <c r="V748" s="1" t="str">
        <f t="shared" si="104"/>
        <v>里程去程</v>
      </c>
      <c r="W748" s="1" t="s">
        <v>29</v>
      </c>
    </row>
    <row r="749" spans="1:23" x14ac:dyDescent="0.3">
      <c r="A749" s="1" t="str">
        <f t="shared" ref="A749:A768" si="113">"59828"</f>
        <v>59828</v>
      </c>
      <c r="B749" s="1" t="s">
        <v>23</v>
      </c>
      <c r="C749" s="1" t="s">
        <v>24</v>
      </c>
      <c r="D749" s="1" t="str">
        <f t="shared" si="103"/>
        <v>9801</v>
      </c>
      <c r="E749" s="1" t="s">
        <v>25</v>
      </c>
      <c r="F749" s="1" t="str">
        <f>"42AFE60209880400C834002000000015"</f>
        <v>42AFE60209880400C834002000000015</v>
      </c>
      <c r="G749" s="1" t="s">
        <v>74</v>
      </c>
      <c r="H749" s="1" t="str">
        <f t="shared" si="111"/>
        <v>20220921</v>
      </c>
      <c r="I749" s="1" t="str">
        <f>"105647"</f>
        <v>105647</v>
      </c>
      <c r="J749" s="1" t="s">
        <v>52</v>
      </c>
      <c r="K749" s="1" t="s">
        <v>52</v>
      </c>
      <c r="L749" s="1" t="str">
        <f t="shared" si="112"/>
        <v>20220921</v>
      </c>
      <c r="M749" s="1" t="str">
        <f>"111528"</f>
        <v>111528</v>
      </c>
      <c r="N749" s="1" t="s">
        <v>80</v>
      </c>
      <c r="O749" s="1" t="s">
        <v>52</v>
      </c>
      <c r="P749" s="1" t="s">
        <v>68</v>
      </c>
      <c r="Q749" s="1">
        <v>13</v>
      </c>
      <c r="R749" s="1">
        <v>0</v>
      </c>
      <c r="S749" s="1">
        <v>0</v>
      </c>
      <c r="T749" s="1">
        <v>13</v>
      </c>
      <c r="U749" s="1">
        <v>0</v>
      </c>
      <c r="V749" s="1" t="str">
        <f t="shared" si="104"/>
        <v>里程去程</v>
      </c>
      <c r="W749" s="1" t="s">
        <v>29</v>
      </c>
    </row>
    <row r="750" spans="1:23" x14ac:dyDescent="0.3">
      <c r="A750" s="1" t="str">
        <f t="shared" si="113"/>
        <v>59828</v>
      </c>
      <c r="B750" s="1" t="s">
        <v>23</v>
      </c>
      <c r="C750" s="1" t="s">
        <v>24</v>
      </c>
      <c r="D750" s="1" t="str">
        <f t="shared" si="103"/>
        <v>9801</v>
      </c>
      <c r="E750" s="1" t="s">
        <v>25</v>
      </c>
      <c r="F750" s="1" t="str">
        <f>"82D5FB02AE880400C834002000000015"</f>
        <v>82D5FB02AE880400C834002000000015</v>
      </c>
      <c r="G750" s="1" t="s">
        <v>26</v>
      </c>
      <c r="H750" s="1" t="str">
        <f t="shared" si="111"/>
        <v>20220921</v>
      </c>
      <c r="I750" s="1" t="str">
        <f>"110806"</f>
        <v>110806</v>
      </c>
      <c r="J750" s="1" t="s">
        <v>51</v>
      </c>
      <c r="K750" s="1" t="s">
        <v>52</v>
      </c>
      <c r="L750" s="1" t="str">
        <f t="shared" si="112"/>
        <v>20220921</v>
      </c>
      <c r="M750" s="1" t="str">
        <f>"111058"</f>
        <v>111058</v>
      </c>
      <c r="N750" s="1" t="s">
        <v>72</v>
      </c>
      <c r="O750" s="1" t="s">
        <v>52</v>
      </c>
      <c r="P750" s="1" t="s">
        <v>68</v>
      </c>
      <c r="Q750" s="1">
        <v>13</v>
      </c>
      <c r="R750" s="1">
        <v>0</v>
      </c>
      <c r="S750" s="1">
        <v>0</v>
      </c>
      <c r="T750" s="1">
        <v>13</v>
      </c>
      <c r="U750" s="1">
        <v>0</v>
      </c>
      <c r="V750" s="1" t="str">
        <f t="shared" si="104"/>
        <v>里程去程</v>
      </c>
      <c r="W750" s="1" t="s">
        <v>29</v>
      </c>
    </row>
    <row r="751" spans="1:23" x14ac:dyDescent="0.3">
      <c r="A751" s="1" t="str">
        <f t="shared" si="113"/>
        <v>59828</v>
      </c>
      <c r="B751" s="1" t="s">
        <v>23</v>
      </c>
      <c r="C751" s="1" t="s">
        <v>24</v>
      </c>
      <c r="D751" s="1" t="str">
        <f t="shared" si="103"/>
        <v>9801</v>
      </c>
      <c r="E751" s="1" t="s">
        <v>25</v>
      </c>
      <c r="F751" s="1" t="str">
        <f>"32780D0344880400C834002000000015"</f>
        <v>32780D0344880400C834002000000015</v>
      </c>
      <c r="G751" s="1" t="s">
        <v>26</v>
      </c>
      <c r="H751" s="1" t="str">
        <f t="shared" si="111"/>
        <v>20220921</v>
      </c>
      <c r="I751" s="1" t="str">
        <f>"115939"</f>
        <v>115939</v>
      </c>
      <c r="J751" s="1" t="s">
        <v>52</v>
      </c>
      <c r="K751" s="1" t="s">
        <v>52</v>
      </c>
      <c r="L751" s="1" t="str">
        <f t="shared" si="112"/>
        <v>20220921</v>
      </c>
      <c r="M751" s="1" t="str">
        <f>"123018"</f>
        <v>123018</v>
      </c>
      <c r="N751" s="1" t="s">
        <v>70</v>
      </c>
      <c r="O751" s="1" t="s">
        <v>28</v>
      </c>
      <c r="P751" s="1" t="s">
        <v>68</v>
      </c>
      <c r="Q751" s="1">
        <v>13</v>
      </c>
      <c r="R751" s="1">
        <v>0</v>
      </c>
      <c r="S751" s="1">
        <v>0</v>
      </c>
      <c r="T751" s="1">
        <v>13</v>
      </c>
      <c r="U751" s="1">
        <v>0</v>
      </c>
      <c r="V751" s="1" t="str">
        <f t="shared" si="104"/>
        <v>里程去程</v>
      </c>
      <c r="W751" s="1" t="s">
        <v>29</v>
      </c>
    </row>
    <row r="752" spans="1:23" x14ac:dyDescent="0.3">
      <c r="A752" s="1" t="str">
        <f t="shared" si="113"/>
        <v>59828</v>
      </c>
      <c r="B752" s="1" t="s">
        <v>23</v>
      </c>
      <c r="C752" s="1" t="s">
        <v>24</v>
      </c>
      <c r="D752" s="1" t="str">
        <f t="shared" si="103"/>
        <v>9801</v>
      </c>
      <c r="E752" s="1" t="s">
        <v>25</v>
      </c>
      <c r="F752" s="1" t="str">
        <f>"4251460257880400C821002000000015"</f>
        <v>4251460257880400C821002000000015</v>
      </c>
      <c r="G752" s="1" t="s">
        <v>26</v>
      </c>
      <c r="H752" s="1" t="str">
        <f t="shared" si="111"/>
        <v>20220921</v>
      </c>
      <c r="I752" s="1" t="str">
        <f>"122028"</f>
        <v>122028</v>
      </c>
      <c r="J752" s="1" t="s">
        <v>69</v>
      </c>
      <c r="K752" s="1" t="s">
        <v>52</v>
      </c>
      <c r="L752" s="1" t="str">
        <f t="shared" si="112"/>
        <v>20220921</v>
      </c>
      <c r="M752" s="1" t="str">
        <f>"122449"</f>
        <v>122449</v>
      </c>
      <c r="N752" s="1" t="s">
        <v>83</v>
      </c>
      <c r="O752" s="1" t="s">
        <v>52</v>
      </c>
      <c r="P752" s="1" t="s">
        <v>68</v>
      </c>
      <c r="Q752" s="1">
        <v>13</v>
      </c>
      <c r="R752" s="1">
        <v>0</v>
      </c>
      <c r="S752" s="1">
        <v>0</v>
      </c>
      <c r="T752" s="1">
        <v>13</v>
      </c>
      <c r="U752" s="1">
        <v>0</v>
      </c>
      <c r="V752" s="1" t="str">
        <f t="shared" si="104"/>
        <v>里程去程</v>
      </c>
      <c r="W752" s="1" t="s">
        <v>29</v>
      </c>
    </row>
    <row r="753" spans="1:23" x14ac:dyDescent="0.3">
      <c r="A753" s="1" t="str">
        <f t="shared" si="113"/>
        <v>59828</v>
      </c>
      <c r="B753" s="1" t="s">
        <v>23</v>
      </c>
      <c r="C753" s="1" t="s">
        <v>24</v>
      </c>
      <c r="D753" s="1" t="str">
        <f t="shared" si="103"/>
        <v>9801</v>
      </c>
      <c r="E753" s="1" t="s">
        <v>25</v>
      </c>
      <c r="F753" s="1" t="str">
        <f>"243234863"</f>
        <v>243234863</v>
      </c>
      <c r="G753" s="1" t="s">
        <v>33</v>
      </c>
      <c r="H753" s="1" t="str">
        <f t="shared" si="111"/>
        <v>20220921</v>
      </c>
      <c r="I753" s="1" t="str">
        <f>"123150"</f>
        <v>123150</v>
      </c>
      <c r="J753" s="1" t="s">
        <v>27</v>
      </c>
      <c r="K753" s="1" t="s">
        <v>28</v>
      </c>
      <c r="L753" s="1" t="str">
        <f t="shared" si="112"/>
        <v>20220921</v>
      </c>
      <c r="M753" s="1" t="str">
        <f>"125536"</f>
        <v>125536</v>
      </c>
      <c r="N753" s="1" t="s">
        <v>44</v>
      </c>
      <c r="O753" s="1" t="s">
        <v>45</v>
      </c>
      <c r="P753" s="1" t="s">
        <v>55</v>
      </c>
      <c r="Q753" s="1">
        <v>25</v>
      </c>
      <c r="R753" s="1">
        <v>25</v>
      </c>
      <c r="S753" s="1">
        <v>0</v>
      </c>
      <c r="T753" s="1">
        <v>0</v>
      </c>
      <c r="U753" s="1">
        <v>0</v>
      </c>
      <c r="V753" s="1" t="str">
        <f t="shared" si="104"/>
        <v>里程去程</v>
      </c>
      <c r="W753" s="1" t="s">
        <v>35</v>
      </c>
    </row>
    <row r="754" spans="1:23" x14ac:dyDescent="0.3">
      <c r="A754" s="1" t="str">
        <f t="shared" si="113"/>
        <v>59828</v>
      </c>
      <c r="B754" s="1" t="s">
        <v>23</v>
      </c>
      <c r="C754" s="1" t="s">
        <v>24</v>
      </c>
      <c r="D754" s="1" t="str">
        <f t="shared" si="103"/>
        <v>9801</v>
      </c>
      <c r="E754" s="1" t="s">
        <v>25</v>
      </c>
      <c r="F754" s="1" t="str">
        <f>"1836706501"</f>
        <v>1836706501</v>
      </c>
      <c r="G754" s="1" t="s">
        <v>33</v>
      </c>
      <c r="H754" s="1" t="str">
        <f t="shared" si="111"/>
        <v>20220921</v>
      </c>
      <c r="I754" s="1" t="str">
        <f>"123520"</f>
        <v>123520</v>
      </c>
      <c r="J754" s="1" t="s">
        <v>27</v>
      </c>
      <c r="K754" s="1" t="s">
        <v>28</v>
      </c>
      <c r="L754" s="1" t="str">
        <f t="shared" si="112"/>
        <v>20220921</v>
      </c>
      <c r="M754" s="1" t="str">
        <f>"125557"</f>
        <v>125557</v>
      </c>
      <c r="N754" s="1" t="s">
        <v>44</v>
      </c>
      <c r="O754" s="1" t="s">
        <v>45</v>
      </c>
      <c r="P754" s="1" t="s">
        <v>55</v>
      </c>
      <c r="Q754" s="1">
        <v>25</v>
      </c>
      <c r="R754" s="1">
        <v>25</v>
      </c>
      <c r="S754" s="1">
        <v>0</v>
      </c>
      <c r="T754" s="1">
        <v>0</v>
      </c>
      <c r="U754" s="1">
        <v>0</v>
      </c>
      <c r="V754" s="1" t="str">
        <f t="shared" si="104"/>
        <v>里程去程</v>
      </c>
      <c r="W754" s="1" t="s">
        <v>35</v>
      </c>
    </row>
    <row r="755" spans="1:23" x14ac:dyDescent="0.3">
      <c r="A755" s="1" t="str">
        <f t="shared" si="113"/>
        <v>59828</v>
      </c>
      <c r="B755" s="1" t="s">
        <v>23</v>
      </c>
      <c r="C755" s="1" t="s">
        <v>24</v>
      </c>
      <c r="D755" s="1" t="str">
        <f t="shared" si="103"/>
        <v>9801</v>
      </c>
      <c r="E755" s="1" t="s">
        <v>25</v>
      </c>
      <c r="F755" s="1" t="str">
        <f>"1807390209"</f>
        <v>1807390209</v>
      </c>
      <c r="G755" s="1" t="s">
        <v>33</v>
      </c>
      <c r="H755" s="1" t="str">
        <f t="shared" si="111"/>
        <v>20220921</v>
      </c>
      <c r="I755" s="1" t="str">
        <f>"123529"</f>
        <v>123529</v>
      </c>
      <c r="J755" s="1" t="s">
        <v>27</v>
      </c>
      <c r="K755" s="1" t="s">
        <v>28</v>
      </c>
      <c r="L755" s="1" t="str">
        <f t="shared" si="112"/>
        <v>20220921</v>
      </c>
      <c r="M755" s="1" t="str">
        <f>"125554"</f>
        <v>125554</v>
      </c>
      <c r="N755" s="1" t="s">
        <v>44</v>
      </c>
      <c r="O755" s="1" t="s">
        <v>45</v>
      </c>
      <c r="P755" s="1" t="s">
        <v>55</v>
      </c>
      <c r="Q755" s="1">
        <v>25</v>
      </c>
      <c r="R755" s="1">
        <v>25</v>
      </c>
      <c r="S755" s="1">
        <v>0</v>
      </c>
      <c r="T755" s="1">
        <v>0</v>
      </c>
      <c r="U755" s="1">
        <v>0</v>
      </c>
      <c r="V755" s="1" t="str">
        <f t="shared" si="104"/>
        <v>里程去程</v>
      </c>
      <c r="W755" s="1" t="s">
        <v>35</v>
      </c>
    </row>
    <row r="756" spans="1:23" x14ac:dyDescent="0.3">
      <c r="A756" s="1" t="str">
        <f t="shared" si="113"/>
        <v>59828</v>
      </c>
      <c r="B756" s="1" t="s">
        <v>23</v>
      </c>
      <c r="C756" s="1" t="s">
        <v>24</v>
      </c>
      <c r="D756" s="1" t="str">
        <f t="shared" si="103"/>
        <v>9801</v>
      </c>
      <c r="E756" s="1" t="s">
        <v>25</v>
      </c>
      <c r="F756" s="1" t="str">
        <f>"1729474149"</f>
        <v>1729474149</v>
      </c>
      <c r="G756" s="1" t="s">
        <v>33</v>
      </c>
      <c r="H756" s="1" t="str">
        <f t="shared" si="111"/>
        <v>20220921</v>
      </c>
      <c r="I756" s="1" t="str">
        <f>"133146"</f>
        <v>133146</v>
      </c>
      <c r="J756" s="1" t="s">
        <v>27</v>
      </c>
      <c r="K756" s="1" t="s">
        <v>28</v>
      </c>
      <c r="L756" s="1" t="str">
        <f t="shared" si="112"/>
        <v>20220921</v>
      </c>
      <c r="M756" s="1" t="str">
        <f>"134824"</f>
        <v>134824</v>
      </c>
      <c r="N756" s="1" t="s">
        <v>75</v>
      </c>
      <c r="O756" s="1" t="s">
        <v>45</v>
      </c>
      <c r="P756" s="1" t="s">
        <v>55</v>
      </c>
      <c r="Q756" s="1">
        <v>25</v>
      </c>
      <c r="R756" s="1">
        <v>25</v>
      </c>
      <c r="S756" s="1">
        <v>0</v>
      </c>
      <c r="T756" s="1">
        <v>0</v>
      </c>
      <c r="U756" s="1">
        <v>0</v>
      </c>
      <c r="V756" s="1" t="str">
        <f t="shared" si="104"/>
        <v>里程去程</v>
      </c>
      <c r="W756" s="1" t="s">
        <v>35</v>
      </c>
    </row>
    <row r="757" spans="1:23" x14ac:dyDescent="0.3">
      <c r="A757" s="1" t="str">
        <f t="shared" si="113"/>
        <v>59828</v>
      </c>
      <c r="B757" s="1" t="s">
        <v>23</v>
      </c>
      <c r="C757" s="1" t="s">
        <v>24</v>
      </c>
      <c r="D757" s="1" t="str">
        <f t="shared" si="103"/>
        <v>9801</v>
      </c>
      <c r="E757" s="1" t="s">
        <v>25</v>
      </c>
      <c r="F757" s="1" t="str">
        <f>"1920934241"</f>
        <v>1920934241</v>
      </c>
      <c r="G757" s="1" t="s">
        <v>33</v>
      </c>
      <c r="H757" s="1" t="str">
        <f t="shared" si="111"/>
        <v>20220921</v>
      </c>
      <c r="I757" s="1" t="str">
        <f>"133200"</f>
        <v>133200</v>
      </c>
      <c r="J757" s="1" t="s">
        <v>27</v>
      </c>
      <c r="K757" s="1" t="s">
        <v>28</v>
      </c>
      <c r="L757" s="1" t="str">
        <f t="shared" si="112"/>
        <v>20220921</v>
      </c>
      <c r="M757" s="1" t="str">
        <f>"134820"</f>
        <v>134820</v>
      </c>
      <c r="N757" s="1" t="s">
        <v>75</v>
      </c>
      <c r="O757" s="1" t="s">
        <v>45</v>
      </c>
      <c r="P757" s="1" t="s">
        <v>55</v>
      </c>
      <c r="Q757" s="1">
        <v>25</v>
      </c>
      <c r="R757" s="1">
        <v>25</v>
      </c>
      <c r="S757" s="1">
        <v>0</v>
      </c>
      <c r="T757" s="1">
        <v>0</v>
      </c>
      <c r="U757" s="1">
        <v>0</v>
      </c>
      <c r="V757" s="1" t="str">
        <f t="shared" si="104"/>
        <v>里程去程</v>
      </c>
      <c r="W757" s="1" t="s">
        <v>35</v>
      </c>
    </row>
    <row r="758" spans="1:23" x14ac:dyDescent="0.3">
      <c r="A758" s="1" t="str">
        <f t="shared" si="113"/>
        <v>59828</v>
      </c>
      <c r="B758" s="1" t="s">
        <v>23</v>
      </c>
      <c r="C758" s="1" t="s">
        <v>24</v>
      </c>
      <c r="D758" s="1" t="str">
        <f t="shared" si="103"/>
        <v>9801</v>
      </c>
      <c r="E758" s="1" t="s">
        <v>25</v>
      </c>
      <c r="F758" s="1" t="str">
        <f>"F27CE6026A880400C834002000000015"</f>
        <v>F27CE6026A880400C834002000000015</v>
      </c>
      <c r="G758" s="1" t="s">
        <v>74</v>
      </c>
      <c r="H758" s="1" t="str">
        <f t="shared" si="111"/>
        <v>20220921</v>
      </c>
      <c r="I758" s="1" t="str">
        <f>"150007"</f>
        <v>150007</v>
      </c>
      <c r="J758" s="1" t="s">
        <v>52</v>
      </c>
      <c r="K758" s="1" t="s">
        <v>52</v>
      </c>
      <c r="L758" s="1" t="str">
        <f t="shared" si="112"/>
        <v>20220921</v>
      </c>
      <c r="M758" s="1" t="str">
        <f>"150553"</f>
        <v>150553</v>
      </c>
      <c r="N758" s="1" t="s">
        <v>60</v>
      </c>
      <c r="O758" s="1" t="s">
        <v>52</v>
      </c>
      <c r="P758" s="1" t="s">
        <v>68</v>
      </c>
      <c r="Q758" s="1">
        <v>13</v>
      </c>
      <c r="R758" s="1">
        <v>0</v>
      </c>
      <c r="S758" s="1">
        <v>0</v>
      </c>
      <c r="T758" s="1">
        <v>13</v>
      </c>
      <c r="U758" s="1">
        <v>0</v>
      </c>
      <c r="V758" s="1" t="str">
        <f t="shared" si="104"/>
        <v>里程去程</v>
      </c>
      <c r="W758" s="1" t="s">
        <v>29</v>
      </c>
    </row>
    <row r="759" spans="1:23" x14ac:dyDescent="0.3">
      <c r="A759" s="1" t="str">
        <f t="shared" si="113"/>
        <v>59828</v>
      </c>
      <c r="B759" s="1" t="s">
        <v>23</v>
      </c>
      <c r="C759" s="1" t="s">
        <v>24</v>
      </c>
      <c r="D759" s="1" t="str">
        <f t="shared" si="103"/>
        <v>9801</v>
      </c>
      <c r="E759" s="1" t="s">
        <v>25</v>
      </c>
      <c r="F759" s="1" t="str">
        <f>"C2F219032A880400C834002000000015"</f>
        <v>C2F219032A880400C834002000000015</v>
      </c>
      <c r="G759" s="1" t="s">
        <v>26</v>
      </c>
      <c r="H759" s="1" t="str">
        <f t="shared" si="111"/>
        <v>20220921</v>
      </c>
      <c r="I759" s="1" t="str">
        <f>"150435"</f>
        <v>150435</v>
      </c>
      <c r="J759" s="1" t="s">
        <v>86</v>
      </c>
      <c r="K759" s="1" t="s">
        <v>52</v>
      </c>
      <c r="L759" s="1" t="str">
        <f t="shared" si="112"/>
        <v>20220921</v>
      </c>
      <c r="M759" s="1" t="str">
        <f>"150810"</f>
        <v>150810</v>
      </c>
      <c r="N759" s="1" t="s">
        <v>51</v>
      </c>
      <c r="O759" s="1" t="s">
        <v>52</v>
      </c>
      <c r="P759" s="1" t="s">
        <v>68</v>
      </c>
      <c r="Q759" s="1">
        <v>13</v>
      </c>
      <c r="R759" s="1">
        <v>0</v>
      </c>
      <c r="S759" s="1">
        <v>0</v>
      </c>
      <c r="T759" s="1">
        <v>13</v>
      </c>
      <c r="U759" s="1">
        <v>0</v>
      </c>
      <c r="V759" s="1" t="str">
        <f t="shared" si="104"/>
        <v>里程去程</v>
      </c>
      <c r="W759" s="1" t="s">
        <v>29</v>
      </c>
    </row>
    <row r="760" spans="1:23" x14ac:dyDescent="0.3">
      <c r="A760" s="1" t="str">
        <f t="shared" si="113"/>
        <v>59828</v>
      </c>
      <c r="B760" s="1" t="s">
        <v>23</v>
      </c>
      <c r="C760" s="1" t="s">
        <v>24</v>
      </c>
      <c r="D760" s="1" t="str">
        <f t="shared" si="103"/>
        <v>9801</v>
      </c>
      <c r="E760" s="1" t="s">
        <v>25</v>
      </c>
      <c r="F760" s="1" t="str">
        <f>"62BCB0117F28040080CEBCD141912418"</f>
        <v>62BCB0117F28040080CEBCD141912418</v>
      </c>
      <c r="G760" s="1" t="s">
        <v>59</v>
      </c>
      <c r="H760" s="1" t="str">
        <f t="shared" si="111"/>
        <v>20220921</v>
      </c>
      <c r="I760" s="1" t="str">
        <f>"151237"</f>
        <v>151237</v>
      </c>
      <c r="J760" s="1" t="s">
        <v>65</v>
      </c>
      <c r="K760" s="1" t="s">
        <v>52</v>
      </c>
      <c r="L760" s="1" t="str">
        <f t="shared" si="112"/>
        <v>20220921</v>
      </c>
      <c r="M760" s="1" t="str">
        <f>"154827"</f>
        <v>154827</v>
      </c>
      <c r="N760" s="1" t="s">
        <v>91</v>
      </c>
      <c r="O760" s="1" t="s">
        <v>45</v>
      </c>
      <c r="P760" s="1" t="s">
        <v>55</v>
      </c>
      <c r="Q760" s="1">
        <v>50</v>
      </c>
      <c r="R760" s="1">
        <v>50</v>
      </c>
      <c r="S760" s="1">
        <v>0</v>
      </c>
      <c r="T760" s="1">
        <v>0</v>
      </c>
      <c r="U760" s="1">
        <v>0</v>
      </c>
      <c r="V760" s="1" t="str">
        <f t="shared" si="104"/>
        <v>里程去程</v>
      </c>
      <c r="W760" s="1" t="s">
        <v>29</v>
      </c>
    </row>
    <row r="761" spans="1:23" x14ac:dyDescent="0.3">
      <c r="A761" s="1" t="str">
        <f t="shared" si="113"/>
        <v>59828</v>
      </c>
      <c r="B761" s="1" t="s">
        <v>23</v>
      </c>
      <c r="C761" s="1" t="s">
        <v>24</v>
      </c>
      <c r="D761" s="1" t="str">
        <f t="shared" si="103"/>
        <v>9801</v>
      </c>
      <c r="E761" s="1" t="s">
        <v>25</v>
      </c>
      <c r="F761" s="1" t="str">
        <f>"A239F5056B880400C838002000000015"</f>
        <v>A239F5056B880400C838002000000015</v>
      </c>
      <c r="G761" s="1" t="s">
        <v>26</v>
      </c>
      <c r="H761" s="1" t="str">
        <f t="shared" si="111"/>
        <v>20220921</v>
      </c>
      <c r="I761" s="1" t="str">
        <f>"152459"</f>
        <v>152459</v>
      </c>
      <c r="J761" s="1" t="s">
        <v>67</v>
      </c>
      <c r="K761" s="1" t="s">
        <v>52</v>
      </c>
      <c r="L761" s="1" t="str">
        <f t="shared" si="112"/>
        <v>20220921</v>
      </c>
      <c r="M761" s="1" t="str">
        <f>"153109"</f>
        <v>153109</v>
      </c>
      <c r="N761" s="1" t="s">
        <v>70</v>
      </c>
      <c r="O761" s="1" t="s">
        <v>28</v>
      </c>
      <c r="P761" s="1" t="s">
        <v>68</v>
      </c>
      <c r="Q761" s="1">
        <v>13</v>
      </c>
      <c r="R761" s="1">
        <v>0</v>
      </c>
      <c r="S761" s="1">
        <v>0</v>
      </c>
      <c r="T761" s="1">
        <v>13</v>
      </c>
      <c r="U761" s="1">
        <v>0</v>
      </c>
      <c r="V761" s="1" t="str">
        <f t="shared" si="104"/>
        <v>里程去程</v>
      </c>
      <c r="W761" s="1" t="s">
        <v>29</v>
      </c>
    </row>
    <row r="762" spans="1:23" x14ac:dyDescent="0.3">
      <c r="A762" s="1" t="str">
        <f t="shared" si="113"/>
        <v>59828</v>
      </c>
      <c r="B762" s="1" t="s">
        <v>23</v>
      </c>
      <c r="C762" s="1" t="s">
        <v>24</v>
      </c>
      <c r="D762" s="1" t="str">
        <f t="shared" si="103"/>
        <v>9801</v>
      </c>
      <c r="E762" s="1" t="s">
        <v>25</v>
      </c>
      <c r="F762" s="1" t="str">
        <f>"276899471"</f>
        <v>276899471</v>
      </c>
      <c r="G762" s="1" t="s">
        <v>33</v>
      </c>
      <c r="H762" s="1" t="str">
        <f t="shared" si="111"/>
        <v>20220921</v>
      </c>
      <c r="I762" s="1" t="str">
        <f>"153131"</f>
        <v>153131</v>
      </c>
      <c r="J762" s="1" t="s">
        <v>27</v>
      </c>
      <c r="K762" s="1" t="s">
        <v>28</v>
      </c>
      <c r="L762" s="1" t="str">
        <f t="shared" si="112"/>
        <v>20220921</v>
      </c>
      <c r="M762" s="1" t="str">
        <f>"154652"</f>
        <v>154652</v>
      </c>
      <c r="N762" s="1" t="s">
        <v>75</v>
      </c>
      <c r="O762" s="1" t="s">
        <v>45</v>
      </c>
      <c r="P762" s="1" t="s">
        <v>55</v>
      </c>
      <c r="Q762" s="1">
        <v>25</v>
      </c>
      <c r="R762" s="1">
        <v>0</v>
      </c>
      <c r="S762" s="1">
        <v>25</v>
      </c>
      <c r="T762" s="1">
        <v>0</v>
      </c>
      <c r="U762" s="1">
        <v>0</v>
      </c>
      <c r="V762" s="1" t="str">
        <f t="shared" si="104"/>
        <v>里程去程</v>
      </c>
      <c r="W762" s="1" t="s">
        <v>35</v>
      </c>
    </row>
    <row r="763" spans="1:23" x14ac:dyDescent="0.3">
      <c r="A763" s="1" t="str">
        <f t="shared" si="113"/>
        <v>59828</v>
      </c>
      <c r="B763" s="1" t="s">
        <v>23</v>
      </c>
      <c r="C763" s="1" t="s">
        <v>24</v>
      </c>
      <c r="D763" s="1" t="str">
        <f t="shared" si="103"/>
        <v>9801</v>
      </c>
      <c r="E763" s="1" t="s">
        <v>25</v>
      </c>
      <c r="F763" s="1" t="str">
        <f>"108515121"</f>
        <v>108515121</v>
      </c>
      <c r="G763" s="1" t="s">
        <v>33</v>
      </c>
      <c r="H763" s="1" t="str">
        <f t="shared" si="111"/>
        <v>20220921</v>
      </c>
      <c r="I763" s="1" t="str">
        <f>"153135"</f>
        <v>153135</v>
      </c>
      <c r="J763" s="1" t="s">
        <v>27</v>
      </c>
      <c r="K763" s="1" t="s">
        <v>28</v>
      </c>
      <c r="L763" s="1" t="str">
        <f t="shared" si="112"/>
        <v>20220921</v>
      </c>
      <c r="M763" s="1" t="str">
        <f>"154646"</f>
        <v>154646</v>
      </c>
      <c r="N763" s="1" t="s">
        <v>75</v>
      </c>
      <c r="O763" s="1" t="s">
        <v>45</v>
      </c>
      <c r="P763" s="1" t="s">
        <v>55</v>
      </c>
      <c r="Q763" s="1">
        <v>25</v>
      </c>
      <c r="R763" s="1">
        <v>25</v>
      </c>
      <c r="S763" s="1">
        <v>0</v>
      </c>
      <c r="T763" s="1">
        <v>0</v>
      </c>
      <c r="U763" s="1">
        <v>0</v>
      </c>
      <c r="V763" s="1" t="str">
        <f t="shared" si="104"/>
        <v>里程去程</v>
      </c>
      <c r="W763" s="1" t="s">
        <v>35</v>
      </c>
    </row>
    <row r="764" spans="1:23" x14ac:dyDescent="0.3">
      <c r="A764" s="1" t="str">
        <f t="shared" si="113"/>
        <v>59828</v>
      </c>
      <c r="B764" s="1" t="s">
        <v>23</v>
      </c>
      <c r="C764" s="1" t="s">
        <v>24</v>
      </c>
      <c r="D764" s="1" t="str">
        <f t="shared" si="103"/>
        <v>9801</v>
      </c>
      <c r="E764" s="1" t="s">
        <v>25</v>
      </c>
      <c r="F764" s="1" t="str">
        <f>"647863665"</f>
        <v>647863665</v>
      </c>
      <c r="G764" s="1" t="s">
        <v>33</v>
      </c>
      <c r="H764" s="1" t="str">
        <f t="shared" si="111"/>
        <v>20220921</v>
      </c>
      <c r="I764" s="1" t="str">
        <f>"153146"</f>
        <v>153146</v>
      </c>
      <c r="J764" s="1" t="s">
        <v>27</v>
      </c>
      <c r="K764" s="1" t="s">
        <v>28</v>
      </c>
      <c r="L764" s="1" t="str">
        <f t="shared" si="112"/>
        <v>20220921</v>
      </c>
      <c r="M764" s="1" t="str">
        <f>"154649"</f>
        <v>154649</v>
      </c>
      <c r="N764" s="1" t="s">
        <v>75</v>
      </c>
      <c r="O764" s="1" t="s">
        <v>45</v>
      </c>
      <c r="P764" s="1" t="s">
        <v>55</v>
      </c>
      <c r="Q764" s="1">
        <v>25</v>
      </c>
      <c r="R764" s="1">
        <v>25</v>
      </c>
      <c r="S764" s="1">
        <v>0</v>
      </c>
      <c r="T764" s="1">
        <v>0</v>
      </c>
      <c r="U764" s="1">
        <v>0</v>
      </c>
      <c r="V764" s="1" t="str">
        <f t="shared" si="104"/>
        <v>里程去程</v>
      </c>
      <c r="W764" s="1" t="s">
        <v>35</v>
      </c>
    </row>
    <row r="765" spans="1:23" x14ac:dyDescent="0.3">
      <c r="A765" s="1" t="str">
        <f t="shared" si="113"/>
        <v>59828</v>
      </c>
      <c r="B765" s="1" t="s">
        <v>23</v>
      </c>
      <c r="C765" s="1" t="s">
        <v>24</v>
      </c>
      <c r="D765" s="1" t="str">
        <f t="shared" si="103"/>
        <v>9801</v>
      </c>
      <c r="E765" s="1" t="s">
        <v>25</v>
      </c>
      <c r="F765" s="1" t="str">
        <f>"C2C219031A880400C834002000000015"</f>
        <v>C2C219031A880400C834002000000015</v>
      </c>
      <c r="G765" s="1" t="s">
        <v>74</v>
      </c>
      <c r="H765" s="1" t="str">
        <f t="shared" si="111"/>
        <v>20220921</v>
      </c>
      <c r="I765" s="1" t="str">
        <f>"160713"</f>
        <v>160713</v>
      </c>
      <c r="J765" s="1" t="s">
        <v>60</v>
      </c>
      <c r="K765" s="1" t="s">
        <v>52</v>
      </c>
      <c r="L765" s="1" t="str">
        <f t="shared" si="112"/>
        <v>20220921</v>
      </c>
      <c r="M765" s="1" t="str">
        <f>"161553"</f>
        <v>161553</v>
      </c>
      <c r="N765" s="1" t="s">
        <v>80</v>
      </c>
      <c r="O765" s="1" t="s">
        <v>52</v>
      </c>
      <c r="P765" s="1" t="s">
        <v>68</v>
      </c>
      <c r="Q765" s="1">
        <v>13</v>
      </c>
      <c r="R765" s="1">
        <v>0</v>
      </c>
      <c r="S765" s="1">
        <v>0</v>
      </c>
      <c r="T765" s="1">
        <v>13</v>
      </c>
      <c r="U765" s="1">
        <v>0</v>
      </c>
      <c r="V765" s="1" t="str">
        <f t="shared" si="104"/>
        <v>里程去程</v>
      </c>
      <c r="W765" s="1" t="s">
        <v>29</v>
      </c>
    </row>
    <row r="766" spans="1:23" x14ac:dyDescent="0.3">
      <c r="A766" s="1" t="str">
        <f t="shared" si="113"/>
        <v>59828</v>
      </c>
      <c r="B766" s="1" t="s">
        <v>23</v>
      </c>
      <c r="C766" s="1" t="s">
        <v>24</v>
      </c>
      <c r="D766" s="1" t="str">
        <f t="shared" si="103"/>
        <v>9801</v>
      </c>
      <c r="E766" s="1" t="s">
        <v>25</v>
      </c>
      <c r="F766" s="1" t="str">
        <f>"8227D00277880400C834002000000015"</f>
        <v>8227D00277880400C834002000000015</v>
      </c>
      <c r="G766" s="1" t="s">
        <v>26</v>
      </c>
      <c r="H766" s="1" t="str">
        <f t="shared" si="111"/>
        <v>20220921</v>
      </c>
      <c r="I766" s="1" t="str">
        <f>"162518"</f>
        <v>162518</v>
      </c>
      <c r="J766" s="1" t="s">
        <v>67</v>
      </c>
      <c r="K766" s="1" t="s">
        <v>52</v>
      </c>
      <c r="L766" s="1" t="str">
        <f t="shared" si="112"/>
        <v>20220921</v>
      </c>
      <c r="M766" s="1" t="str">
        <f>"163457"</f>
        <v>163457</v>
      </c>
      <c r="N766" s="1" t="s">
        <v>70</v>
      </c>
      <c r="O766" s="1" t="s">
        <v>28</v>
      </c>
      <c r="P766" s="1" t="s">
        <v>68</v>
      </c>
      <c r="Q766" s="1">
        <v>13</v>
      </c>
      <c r="R766" s="1">
        <v>0</v>
      </c>
      <c r="S766" s="1">
        <v>0</v>
      </c>
      <c r="T766" s="1">
        <v>13</v>
      </c>
      <c r="U766" s="1">
        <v>0</v>
      </c>
      <c r="V766" s="1" t="str">
        <f t="shared" si="104"/>
        <v>里程去程</v>
      </c>
      <c r="W766" s="1" t="s">
        <v>29</v>
      </c>
    </row>
    <row r="767" spans="1:23" x14ac:dyDescent="0.3">
      <c r="A767" s="1" t="str">
        <f t="shared" si="113"/>
        <v>59828</v>
      </c>
      <c r="B767" s="1" t="s">
        <v>23</v>
      </c>
      <c r="C767" s="1" t="s">
        <v>24</v>
      </c>
      <c r="D767" s="1" t="str">
        <f t="shared" si="103"/>
        <v>9801</v>
      </c>
      <c r="E767" s="1" t="s">
        <v>25</v>
      </c>
      <c r="F767" s="1" t="str">
        <f>"29892700878804004326B53100080211"</f>
        <v>29892700878804004326B53100080211</v>
      </c>
      <c r="G767" s="1" t="s">
        <v>58</v>
      </c>
      <c r="H767" s="1" t="str">
        <f t="shared" si="111"/>
        <v>20220921</v>
      </c>
      <c r="I767" s="1" t="str">
        <f>"162654"</f>
        <v>162654</v>
      </c>
      <c r="J767" s="1" t="s">
        <v>83</v>
      </c>
      <c r="K767" s="1" t="s">
        <v>52</v>
      </c>
      <c r="L767" s="1" t="str">
        <f t="shared" si="112"/>
        <v>20220921</v>
      </c>
      <c r="M767" s="1" t="str">
        <f>"163501"</f>
        <v>163501</v>
      </c>
      <c r="N767" s="1" t="s">
        <v>70</v>
      </c>
      <c r="O767" s="1" t="s">
        <v>28</v>
      </c>
      <c r="P767" s="1" t="s">
        <v>55</v>
      </c>
      <c r="Q767" s="1">
        <v>25</v>
      </c>
      <c r="R767" s="1">
        <v>0</v>
      </c>
      <c r="S767" s="1">
        <v>25</v>
      </c>
      <c r="T767" s="1">
        <v>0</v>
      </c>
      <c r="U767" s="1">
        <v>0</v>
      </c>
      <c r="V767" s="1" t="str">
        <f t="shared" si="104"/>
        <v>里程去程</v>
      </c>
      <c r="W767" s="1" t="s">
        <v>29</v>
      </c>
    </row>
    <row r="768" spans="1:23" x14ac:dyDescent="0.3">
      <c r="A768" s="1" t="str">
        <f t="shared" si="113"/>
        <v>59828</v>
      </c>
      <c r="B768" s="1" t="s">
        <v>23</v>
      </c>
      <c r="C768" s="1" t="s">
        <v>24</v>
      </c>
      <c r="D768" s="1" t="str">
        <f t="shared" si="103"/>
        <v>9801</v>
      </c>
      <c r="E768" s="1" t="s">
        <v>25</v>
      </c>
      <c r="F768" s="1" t="str">
        <f>"3756075971"</f>
        <v>3756075971</v>
      </c>
      <c r="G768" s="1" t="s">
        <v>33</v>
      </c>
      <c r="H768" s="1" t="str">
        <f t="shared" si="111"/>
        <v>20220921</v>
      </c>
      <c r="I768" s="1" t="str">
        <f>"165018"</f>
        <v>165018</v>
      </c>
      <c r="J768" s="1" t="s">
        <v>75</v>
      </c>
      <c r="K768" s="1" t="s">
        <v>45</v>
      </c>
      <c r="L768" s="1" t="str">
        <f t="shared" si="112"/>
        <v>20220921</v>
      </c>
      <c r="M768" s="1" t="str">
        <f>"165759"</f>
        <v>165759</v>
      </c>
      <c r="N768" s="1" t="s">
        <v>44</v>
      </c>
      <c r="O768" s="1" t="s">
        <v>45</v>
      </c>
      <c r="P768" s="1" t="s">
        <v>55</v>
      </c>
      <c r="Q768" s="1">
        <v>25</v>
      </c>
      <c r="R768" s="1">
        <v>25</v>
      </c>
      <c r="S768" s="1">
        <v>0</v>
      </c>
      <c r="T768" s="1">
        <v>0</v>
      </c>
      <c r="U768" s="1">
        <v>0</v>
      </c>
      <c r="V768" s="1" t="str">
        <f t="shared" si="104"/>
        <v>里程去程</v>
      </c>
      <c r="W768" s="1" t="s">
        <v>35</v>
      </c>
    </row>
    <row r="769" spans="1:23" x14ac:dyDescent="0.3">
      <c r="A769" s="1" t="str">
        <f t="shared" ref="A769:A785" si="114">"59809"</f>
        <v>59809</v>
      </c>
      <c r="B769" s="1" t="s">
        <v>42</v>
      </c>
      <c r="C769" s="1" t="s">
        <v>43</v>
      </c>
      <c r="D769" s="1" t="str">
        <f t="shared" si="103"/>
        <v>9801</v>
      </c>
      <c r="E769" s="1" t="s">
        <v>25</v>
      </c>
      <c r="F769" s="1" t="str">
        <f>"1725435766"</f>
        <v>1725435766</v>
      </c>
      <c r="G769" s="1" t="s">
        <v>26</v>
      </c>
      <c r="H769" s="1" t="str">
        <f t="shared" ref="H769:H795" si="115">"20220922"</f>
        <v>20220922</v>
      </c>
      <c r="I769" s="1" t="str">
        <f>"110756"</f>
        <v>110756</v>
      </c>
      <c r="J769" s="1" t="s">
        <v>51</v>
      </c>
      <c r="K769" s="1" t="s">
        <v>52</v>
      </c>
      <c r="L769" s="1" t="str">
        <f t="shared" ref="L769:L794" si="116">"20220922"</f>
        <v>20220922</v>
      </c>
      <c r="M769" s="1" t="str">
        <f>"112028"</f>
        <v>112028</v>
      </c>
      <c r="N769" s="1" t="s">
        <v>69</v>
      </c>
      <c r="O769" s="1" t="s">
        <v>52</v>
      </c>
      <c r="P769" s="1" t="s">
        <v>55</v>
      </c>
      <c r="Q769" s="1">
        <v>13</v>
      </c>
      <c r="R769" s="1">
        <v>0</v>
      </c>
      <c r="S769" s="1">
        <v>13</v>
      </c>
      <c r="T769" s="1">
        <v>0</v>
      </c>
      <c r="U769" s="1">
        <v>0</v>
      </c>
      <c r="V769" s="1" t="str">
        <f t="shared" si="104"/>
        <v>里程去程</v>
      </c>
      <c r="W769" s="1" t="s">
        <v>35</v>
      </c>
    </row>
    <row r="770" spans="1:23" x14ac:dyDescent="0.3">
      <c r="A770" s="1" t="str">
        <f t="shared" si="114"/>
        <v>59809</v>
      </c>
      <c r="B770" s="1" t="s">
        <v>42</v>
      </c>
      <c r="C770" s="1" t="s">
        <v>43</v>
      </c>
      <c r="D770" s="1" t="str">
        <f t="shared" ref="D770:D833" si="117">"9801"</f>
        <v>9801</v>
      </c>
      <c r="E770" s="1" t="s">
        <v>25</v>
      </c>
      <c r="F770" s="1" t="str">
        <f>"1129190405"</f>
        <v>1129190405</v>
      </c>
      <c r="G770" s="1" t="s">
        <v>33</v>
      </c>
      <c r="H770" s="1" t="str">
        <f t="shared" si="115"/>
        <v>20220922</v>
      </c>
      <c r="I770" s="1" t="str">
        <f>"111238"</f>
        <v>111238</v>
      </c>
      <c r="J770" s="1" t="s">
        <v>65</v>
      </c>
      <c r="K770" s="1" t="s">
        <v>52</v>
      </c>
      <c r="L770" s="1" t="str">
        <f t="shared" si="116"/>
        <v>20220922</v>
      </c>
      <c r="M770" s="1" t="str">
        <f>"112713"</f>
        <v>112713</v>
      </c>
      <c r="N770" s="1" t="s">
        <v>84</v>
      </c>
      <c r="O770" s="1" t="s">
        <v>28</v>
      </c>
      <c r="P770" s="1" t="s">
        <v>55</v>
      </c>
      <c r="Q770" s="1">
        <v>25</v>
      </c>
      <c r="R770" s="1">
        <v>0</v>
      </c>
      <c r="S770" s="1">
        <v>25</v>
      </c>
      <c r="T770" s="1">
        <v>0</v>
      </c>
      <c r="U770" s="1">
        <v>0</v>
      </c>
      <c r="V770" s="1" t="str">
        <f t="shared" ref="V770:V833" si="118">"里程去程"</f>
        <v>里程去程</v>
      </c>
      <c r="W770" s="1" t="s">
        <v>35</v>
      </c>
    </row>
    <row r="771" spans="1:23" x14ac:dyDescent="0.3">
      <c r="A771" s="1" t="str">
        <f t="shared" si="114"/>
        <v>59809</v>
      </c>
      <c r="B771" s="1" t="s">
        <v>42</v>
      </c>
      <c r="C771" s="1" t="s">
        <v>43</v>
      </c>
      <c r="D771" s="1" t="str">
        <f t="shared" si="117"/>
        <v>9801</v>
      </c>
      <c r="E771" s="1" t="s">
        <v>25</v>
      </c>
      <c r="F771" s="1" t="str">
        <f>"1382277185"</f>
        <v>1382277185</v>
      </c>
      <c r="G771" s="1" t="s">
        <v>33</v>
      </c>
      <c r="H771" s="1" t="str">
        <f t="shared" si="115"/>
        <v>20220922</v>
      </c>
      <c r="I771" s="1" t="str">
        <f>"111530"</f>
        <v>111530</v>
      </c>
      <c r="J771" s="1" t="s">
        <v>80</v>
      </c>
      <c r="K771" s="1" t="s">
        <v>52</v>
      </c>
      <c r="L771" s="1" t="str">
        <f t="shared" si="116"/>
        <v>20220922</v>
      </c>
      <c r="M771" s="1" t="str">
        <f>"113243"</f>
        <v>113243</v>
      </c>
      <c r="N771" s="1" t="s">
        <v>70</v>
      </c>
      <c r="O771" s="1" t="s">
        <v>28</v>
      </c>
      <c r="P771" s="1" t="s">
        <v>55</v>
      </c>
      <c r="Q771" s="1">
        <v>25</v>
      </c>
      <c r="R771" s="1">
        <v>25</v>
      </c>
      <c r="S771" s="1">
        <v>0</v>
      </c>
      <c r="T771" s="1">
        <v>0</v>
      </c>
      <c r="U771" s="1">
        <v>0</v>
      </c>
      <c r="V771" s="1" t="str">
        <f t="shared" si="118"/>
        <v>里程去程</v>
      </c>
      <c r="W771" s="1" t="s">
        <v>35</v>
      </c>
    </row>
    <row r="772" spans="1:23" x14ac:dyDescent="0.3">
      <c r="A772" s="1" t="str">
        <f t="shared" si="114"/>
        <v>59809</v>
      </c>
      <c r="B772" s="1" t="s">
        <v>42</v>
      </c>
      <c r="C772" s="1" t="s">
        <v>43</v>
      </c>
      <c r="D772" s="1" t="str">
        <f t="shared" si="117"/>
        <v>9801</v>
      </c>
      <c r="E772" s="1" t="s">
        <v>25</v>
      </c>
      <c r="F772" s="1" t="str">
        <f>"22C31018E9880400C814002000000019"</f>
        <v>22C31018E9880400C814002000000019</v>
      </c>
      <c r="G772" s="1" t="s">
        <v>26</v>
      </c>
      <c r="H772" s="1" t="str">
        <f t="shared" si="115"/>
        <v>20220922</v>
      </c>
      <c r="I772" s="1" t="str">
        <f>"113646"</f>
        <v>113646</v>
      </c>
      <c r="J772" s="1" t="s">
        <v>27</v>
      </c>
      <c r="K772" s="1" t="s">
        <v>28</v>
      </c>
      <c r="L772" s="1" t="str">
        <f t="shared" si="116"/>
        <v>20220922</v>
      </c>
      <c r="M772" s="1" t="str">
        <f>"115603"</f>
        <v>115603</v>
      </c>
      <c r="N772" s="1" t="s">
        <v>44</v>
      </c>
      <c r="O772" s="1" t="s">
        <v>45</v>
      </c>
      <c r="P772" s="1" t="s">
        <v>55</v>
      </c>
      <c r="Q772" s="1">
        <v>13</v>
      </c>
      <c r="R772" s="1">
        <v>0</v>
      </c>
      <c r="S772" s="1">
        <v>13</v>
      </c>
      <c r="T772" s="1">
        <v>0</v>
      </c>
      <c r="U772" s="1">
        <v>0</v>
      </c>
      <c r="V772" s="1" t="str">
        <f t="shared" si="118"/>
        <v>里程去程</v>
      </c>
      <c r="W772" s="1" t="s">
        <v>29</v>
      </c>
    </row>
    <row r="773" spans="1:23" x14ac:dyDescent="0.3">
      <c r="A773" s="1" t="str">
        <f t="shared" si="114"/>
        <v>59809</v>
      </c>
      <c r="B773" s="1" t="s">
        <v>42</v>
      </c>
      <c r="C773" s="1" t="s">
        <v>43</v>
      </c>
      <c r="D773" s="1" t="str">
        <f t="shared" si="117"/>
        <v>9801</v>
      </c>
      <c r="E773" s="1" t="s">
        <v>25</v>
      </c>
      <c r="F773" s="1" t="str">
        <f>"87AB983A8E280400F700000000000000"</f>
        <v>87AB983A8E280400F700000000000000</v>
      </c>
      <c r="G773" s="1" t="s">
        <v>58</v>
      </c>
      <c r="H773" s="1" t="str">
        <f t="shared" si="115"/>
        <v>20220922</v>
      </c>
      <c r="I773" s="1" t="str">
        <f>"121404"</f>
        <v>121404</v>
      </c>
      <c r="J773" s="1" t="s">
        <v>80</v>
      </c>
      <c r="K773" s="1" t="s">
        <v>52</v>
      </c>
      <c r="L773" s="1" t="str">
        <f t="shared" si="116"/>
        <v>20220922</v>
      </c>
      <c r="M773" s="1" t="str">
        <f>"122902"</f>
        <v>122902</v>
      </c>
      <c r="N773" s="1" t="s">
        <v>70</v>
      </c>
      <c r="O773" s="1" t="s">
        <v>28</v>
      </c>
      <c r="P773" s="1" t="s">
        <v>55</v>
      </c>
      <c r="Q773" s="1">
        <v>25</v>
      </c>
      <c r="R773" s="1">
        <v>25</v>
      </c>
      <c r="S773" s="1">
        <v>0</v>
      </c>
      <c r="T773" s="1">
        <v>0</v>
      </c>
      <c r="U773" s="1">
        <v>0</v>
      </c>
      <c r="V773" s="1" t="str">
        <f t="shared" si="118"/>
        <v>里程去程</v>
      </c>
      <c r="W773" s="1" t="s">
        <v>29</v>
      </c>
    </row>
    <row r="774" spans="1:23" x14ac:dyDescent="0.3">
      <c r="A774" s="1" t="str">
        <f t="shared" si="114"/>
        <v>59809</v>
      </c>
      <c r="B774" s="1" t="s">
        <v>42</v>
      </c>
      <c r="C774" s="1" t="s">
        <v>43</v>
      </c>
      <c r="D774" s="1" t="str">
        <f t="shared" si="117"/>
        <v>9801</v>
      </c>
      <c r="E774" s="1" t="s">
        <v>25</v>
      </c>
      <c r="F774" s="1" t="str">
        <f>"8227D00277880400C834002000000015"</f>
        <v>8227D00277880400C834002000000015</v>
      </c>
      <c r="G774" s="1" t="s">
        <v>26</v>
      </c>
      <c r="H774" s="1" t="str">
        <f t="shared" si="115"/>
        <v>20220922</v>
      </c>
      <c r="I774" s="1" t="str">
        <f>"122041"</f>
        <v>122041</v>
      </c>
      <c r="J774" s="1" t="s">
        <v>78</v>
      </c>
      <c r="K774" s="1" t="s">
        <v>52</v>
      </c>
      <c r="L774" s="1" t="str">
        <f t="shared" si="116"/>
        <v>20220922</v>
      </c>
      <c r="M774" s="1" t="str">
        <f>"122855"</f>
        <v>122855</v>
      </c>
      <c r="N774" s="1" t="s">
        <v>70</v>
      </c>
      <c r="O774" s="1" t="s">
        <v>28</v>
      </c>
      <c r="P774" s="1" t="s">
        <v>68</v>
      </c>
      <c r="Q774" s="1">
        <v>13</v>
      </c>
      <c r="R774" s="1">
        <v>0</v>
      </c>
      <c r="S774" s="1">
        <v>0</v>
      </c>
      <c r="T774" s="1">
        <v>13</v>
      </c>
      <c r="U774" s="1">
        <v>0</v>
      </c>
      <c r="V774" s="1" t="str">
        <f t="shared" si="118"/>
        <v>里程去程</v>
      </c>
      <c r="W774" s="1" t="s">
        <v>29</v>
      </c>
    </row>
    <row r="775" spans="1:23" x14ac:dyDescent="0.3">
      <c r="A775" s="1" t="str">
        <f t="shared" si="114"/>
        <v>59809</v>
      </c>
      <c r="B775" s="1" t="s">
        <v>42</v>
      </c>
      <c r="C775" s="1" t="s">
        <v>43</v>
      </c>
      <c r="D775" s="1" t="str">
        <f t="shared" si="117"/>
        <v>9801</v>
      </c>
      <c r="E775" s="1" t="s">
        <v>25</v>
      </c>
      <c r="F775" s="1" t="str">
        <f>"32780D0344880400C834002000000015"</f>
        <v>32780D0344880400C834002000000015</v>
      </c>
      <c r="G775" s="1" t="s">
        <v>26</v>
      </c>
      <c r="H775" s="1" t="str">
        <f t="shared" si="115"/>
        <v>20220922</v>
      </c>
      <c r="I775" s="1" t="str">
        <f>"123635"</f>
        <v>123635</v>
      </c>
      <c r="J775" s="1" t="s">
        <v>27</v>
      </c>
      <c r="K775" s="1" t="s">
        <v>28</v>
      </c>
      <c r="L775" s="1" t="str">
        <f t="shared" si="116"/>
        <v>20220922</v>
      </c>
      <c r="M775" s="1" t="str">
        <f>"124550"</f>
        <v>124550</v>
      </c>
      <c r="N775" s="1" t="s">
        <v>56</v>
      </c>
      <c r="O775" s="1" t="s">
        <v>45</v>
      </c>
      <c r="P775" s="1" t="s">
        <v>68</v>
      </c>
      <c r="Q775" s="1">
        <v>13</v>
      </c>
      <c r="R775" s="1">
        <v>0</v>
      </c>
      <c r="S775" s="1">
        <v>0</v>
      </c>
      <c r="T775" s="1">
        <v>13</v>
      </c>
      <c r="U775" s="1">
        <v>0</v>
      </c>
      <c r="V775" s="1" t="str">
        <f t="shared" si="118"/>
        <v>里程去程</v>
      </c>
      <c r="W775" s="1" t="s">
        <v>29</v>
      </c>
    </row>
    <row r="776" spans="1:23" x14ac:dyDescent="0.3">
      <c r="A776" s="1" t="str">
        <f t="shared" si="114"/>
        <v>59809</v>
      </c>
      <c r="B776" s="1" t="s">
        <v>42</v>
      </c>
      <c r="C776" s="1" t="s">
        <v>43</v>
      </c>
      <c r="D776" s="1" t="str">
        <f t="shared" si="117"/>
        <v>9801</v>
      </c>
      <c r="E776" s="1" t="s">
        <v>25</v>
      </c>
      <c r="F776" s="1" t="str">
        <f>"42720D033E880400C834002000000015"</f>
        <v>42720D033E880400C834002000000015</v>
      </c>
      <c r="G776" s="1" t="s">
        <v>26</v>
      </c>
      <c r="H776" s="1" t="str">
        <f t="shared" si="115"/>
        <v>20220922</v>
      </c>
      <c r="I776" s="1" t="str">
        <f>"123821"</f>
        <v>123821</v>
      </c>
      <c r="J776" s="1" t="s">
        <v>27</v>
      </c>
      <c r="K776" s="1" t="s">
        <v>28</v>
      </c>
      <c r="L776" s="1" t="str">
        <f t="shared" si="116"/>
        <v>20220922</v>
      </c>
      <c r="M776" s="1" t="str">
        <f>"124556"</f>
        <v>124556</v>
      </c>
      <c r="N776" s="1" t="s">
        <v>56</v>
      </c>
      <c r="O776" s="1" t="s">
        <v>45</v>
      </c>
      <c r="P776" s="1" t="s">
        <v>68</v>
      </c>
      <c r="Q776" s="1">
        <v>13</v>
      </c>
      <c r="R776" s="1">
        <v>0</v>
      </c>
      <c r="S776" s="1">
        <v>0</v>
      </c>
      <c r="T776" s="1">
        <v>13</v>
      </c>
      <c r="U776" s="1">
        <v>0</v>
      </c>
      <c r="V776" s="1" t="str">
        <f t="shared" si="118"/>
        <v>里程去程</v>
      </c>
      <c r="W776" s="1" t="s">
        <v>29</v>
      </c>
    </row>
    <row r="777" spans="1:23" x14ac:dyDescent="0.3">
      <c r="A777" s="1" t="str">
        <f t="shared" si="114"/>
        <v>59809</v>
      </c>
      <c r="B777" s="1" t="s">
        <v>42</v>
      </c>
      <c r="C777" s="1" t="s">
        <v>43</v>
      </c>
      <c r="D777" s="1" t="str">
        <f t="shared" si="117"/>
        <v>9801</v>
      </c>
      <c r="E777" s="1" t="s">
        <v>25</v>
      </c>
      <c r="F777" s="1" t="str">
        <f>"02870E159E28040080CEDA1449914018"</f>
        <v>02870E159E28040080CEDA1449914018</v>
      </c>
      <c r="G777" s="1" t="s">
        <v>58</v>
      </c>
      <c r="H777" s="1" t="str">
        <f t="shared" si="115"/>
        <v>20220922</v>
      </c>
      <c r="I777" s="1" t="str">
        <f>"133136"</f>
        <v>133136</v>
      </c>
      <c r="J777" s="1" t="s">
        <v>27</v>
      </c>
      <c r="K777" s="1" t="s">
        <v>28</v>
      </c>
      <c r="L777" s="1" t="str">
        <f t="shared" si="116"/>
        <v>20220922</v>
      </c>
      <c r="M777" s="1" t="str">
        <f>"135408"</f>
        <v>135408</v>
      </c>
      <c r="N777" s="1" t="s">
        <v>44</v>
      </c>
      <c r="O777" s="1" t="s">
        <v>45</v>
      </c>
      <c r="P777" s="1" t="s">
        <v>55</v>
      </c>
      <c r="Q777" s="1">
        <v>25</v>
      </c>
      <c r="R777" s="1">
        <v>25</v>
      </c>
      <c r="S777" s="1">
        <v>0</v>
      </c>
      <c r="T777" s="1">
        <v>0</v>
      </c>
      <c r="U777" s="1">
        <v>0</v>
      </c>
      <c r="V777" s="1" t="str">
        <f t="shared" si="118"/>
        <v>里程去程</v>
      </c>
      <c r="W777" s="1" t="s">
        <v>29</v>
      </c>
    </row>
    <row r="778" spans="1:23" x14ac:dyDescent="0.3">
      <c r="A778" s="1" t="str">
        <f t="shared" si="114"/>
        <v>59809</v>
      </c>
      <c r="B778" s="1" t="s">
        <v>42</v>
      </c>
      <c r="C778" s="1" t="s">
        <v>43</v>
      </c>
      <c r="D778" s="1" t="str">
        <f t="shared" si="117"/>
        <v>9801</v>
      </c>
      <c r="E778" s="1" t="s">
        <v>25</v>
      </c>
      <c r="F778" s="1" t="str">
        <f>"B1D30C4A248804004325BD2700030B0F"</f>
        <v>B1D30C4A248804004325BD2700030B0F</v>
      </c>
      <c r="G778" s="1" t="s">
        <v>26</v>
      </c>
      <c r="H778" s="1" t="str">
        <f t="shared" si="115"/>
        <v>20220922</v>
      </c>
      <c r="I778" s="1" t="str">
        <f>"133316"</f>
        <v>133316</v>
      </c>
      <c r="J778" s="1" t="s">
        <v>27</v>
      </c>
      <c r="K778" s="1" t="s">
        <v>28</v>
      </c>
      <c r="L778" s="1" t="str">
        <f t="shared" si="116"/>
        <v>20220922</v>
      </c>
      <c r="M778" s="1" t="str">
        <f>"134547"</f>
        <v>134547</v>
      </c>
      <c r="N778" s="1" t="s">
        <v>61</v>
      </c>
      <c r="O778" s="1" t="s">
        <v>45</v>
      </c>
      <c r="P778" s="1" t="s">
        <v>55</v>
      </c>
      <c r="Q778" s="1">
        <v>13</v>
      </c>
      <c r="R778" s="1">
        <v>0</v>
      </c>
      <c r="S778" s="1">
        <v>13</v>
      </c>
      <c r="T778" s="1">
        <v>0</v>
      </c>
      <c r="U778" s="1">
        <v>0</v>
      </c>
      <c r="V778" s="1" t="str">
        <f t="shared" si="118"/>
        <v>里程去程</v>
      </c>
      <c r="W778" s="1" t="s">
        <v>29</v>
      </c>
    </row>
    <row r="779" spans="1:23" x14ac:dyDescent="0.3">
      <c r="A779" s="1" t="str">
        <f t="shared" si="114"/>
        <v>59809</v>
      </c>
      <c r="B779" s="1" t="s">
        <v>42</v>
      </c>
      <c r="C779" s="1" t="s">
        <v>43</v>
      </c>
      <c r="D779" s="1" t="str">
        <f t="shared" si="117"/>
        <v>9801</v>
      </c>
      <c r="E779" s="1" t="s">
        <v>25</v>
      </c>
      <c r="F779" s="1" t="str">
        <f>"A2BEA819AD880400C824002000000020"</f>
        <v>A2BEA819AD880400C824002000000020</v>
      </c>
      <c r="G779" s="1" t="s">
        <v>59</v>
      </c>
      <c r="H779" s="1" t="str">
        <f t="shared" si="115"/>
        <v>20220922</v>
      </c>
      <c r="I779" s="1" t="str">
        <f>"145321"</f>
        <v>145321</v>
      </c>
      <c r="J779" s="1" t="s">
        <v>52</v>
      </c>
      <c r="K779" s="1" t="s">
        <v>52</v>
      </c>
      <c r="L779" s="1" t="str">
        <f t="shared" si="116"/>
        <v>20220922</v>
      </c>
      <c r="M779" s="1" t="str">
        <f>"150827"</f>
        <v>150827</v>
      </c>
      <c r="N779" s="1" t="s">
        <v>51</v>
      </c>
      <c r="O779" s="1" t="s">
        <v>52</v>
      </c>
      <c r="P779" s="1" t="s">
        <v>55</v>
      </c>
      <c r="Q779" s="1">
        <v>25</v>
      </c>
      <c r="R779" s="1">
        <v>0</v>
      </c>
      <c r="S779" s="1">
        <v>25</v>
      </c>
      <c r="T779" s="1">
        <v>0</v>
      </c>
      <c r="U779" s="1">
        <v>0</v>
      </c>
      <c r="V779" s="1" t="str">
        <f t="shared" si="118"/>
        <v>里程去程</v>
      </c>
      <c r="W779" s="1" t="s">
        <v>29</v>
      </c>
    </row>
    <row r="780" spans="1:23" x14ac:dyDescent="0.3">
      <c r="A780" s="1" t="str">
        <f t="shared" si="114"/>
        <v>59809</v>
      </c>
      <c r="B780" s="1" t="s">
        <v>42</v>
      </c>
      <c r="C780" s="1" t="s">
        <v>43</v>
      </c>
      <c r="D780" s="1" t="str">
        <f t="shared" si="117"/>
        <v>9801</v>
      </c>
      <c r="E780" s="1" t="s">
        <v>25</v>
      </c>
      <c r="F780" s="1" t="str">
        <f>"C2438F1917880400C824002000000020"</f>
        <v>C2438F1917880400C824002000000020</v>
      </c>
      <c r="G780" s="1" t="s">
        <v>59</v>
      </c>
      <c r="H780" s="1" t="str">
        <f t="shared" si="115"/>
        <v>20220922</v>
      </c>
      <c r="I780" s="1" t="str">
        <f>"145325"</f>
        <v>145325</v>
      </c>
      <c r="J780" s="1" t="s">
        <v>52</v>
      </c>
      <c r="K780" s="1" t="s">
        <v>52</v>
      </c>
      <c r="L780" s="1" t="str">
        <f t="shared" si="116"/>
        <v>20220922</v>
      </c>
      <c r="M780" s="1" t="str">
        <f>"150830"</f>
        <v>150830</v>
      </c>
      <c r="N780" s="1" t="s">
        <v>51</v>
      </c>
      <c r="O780" s="1" t="s">
        <v>52</v>
      </c>
      <c r="P780" s="1" t="s">
        <v>55</v>
      </c>
      <c r="Q780" s="1">
        <v>25</v>
      </c>
      <c r="R780" s="1">
        <v>0</v>
      </c>
      <c r="S780" s="1">
        <v>25</v>
      </c>
      <c r="T780" s="1">
        <v>0</v>
      </c>
      <c r="U780" s="1">
        <v>0</v>
      </c>
      <c r="V780" s="1" t="str">
        <f t="shared" si="118"/>
        <v>里程去程</v>
      </c>
      <c r="W780" s="1" t="s">
        <v>29</v>
      </c>
    </row>
    <row r="781" spans="1:23" x14ac:dyDescent="0.3">
      <c r="A781" s="1" t="str">
        <f t="shared" si="114"/>
        <v>59809</v>
      </c>
      <c r="B781" s="1" t="s">
        <v>42</v>
      </c>
      <c r="C781" s="1" t="s">
        <v>43</v>
      </c>
      <c r="D781" s="1" t="str">
        <f t="shared" si="117"/>
        <v>9801</v>
      </c>
      <c r="E781" s="1" t="s">
        <v>25</v>
      </c>
      <c r="F781" s="1" t="str">
        <f>"F27CE6026A880400C834002000000015"</f>
        <v>F27CE6026A880400C834002000000015</v>
      </c>
      <c r="G781" s="1" t="s">
        <v>74</v>
      </c>
      <c r="H781" s="1" t="str">
        <f t="shared" si="115"/>
        <v>20220922</v>
      </c>
      <c r="I781" s="1" t="str">
        <f>"145328"</f>
        <v>145328</v>
      </c>
      <c r="J781" s="1" t="s">
        <v>52</v>
      </c>
      <c r="K781" s="1" t="s">
        <v>52</v>
      </c>
      <c r="L781" s="1" t="str">
        <f t="shared" si="116"/>
        <v>20220922</v>
      </c>
      <c r="M781" s="1" t="str">
        <f>"150543"</f>
        <v>150543</v>
      </c>
      <c r="N781" s="1" t="s">
        <v>60</v>
      </c>
      <c r="O781" s="1" t="s">
        <v>52</v>
      </c>
      <c r="P781" s="1" t="s">
        <v>68</v>
      </c>
      <c r="Q781" s="1">
        <v>13</v>
      </c>
      <c r="R781" s="1">
        <v>0</v>
      </c>
      <c r="S781" s="1">
        <v>0</v>
      </c>
      <c r="T781" s="1">
        <v>13</v>
      </c>
      <c r="U781" s="1">
        <v>0</v>
      </c>
      <c r="V781" s="1" t="str">
        <f t="shared" si="118"/>
        <v>里程去程</v>
      </c>
      <c r="W781" s="1" t="s">
        <v>29</v>
      </c>
    </row>
    <row r="782" spans="1:23" x14ac:dyDescent="0.3">
      <c r="A782" s="1" t="str">
        <f t="shared" si="114"/>
        <v>59809</v>
      </c>
      <c r="B782" s="1" t="s">
        <v>42</v>
      </c>
      <c r="C782" s="1" t="s">
        <v>43</v>
      </c>
      <c r="D782" s="1" t="str">
        <f t="shared" si="117"/>
        <v>9801</v>
      </c>
      <c r="E782" s="1" t="s">
        <v>25</v>
      </c>
      <c r="F782" s="1" t="str">
        <f>"803865797"</f>
        <v>803865797</v>
      </c>
      <c r="G782" s="1" t="s">
        <v>38</v>
      </c>
      <c r="H782" s="1" t="str">
        <f t="shared" si="115"/>
        <v>20220922</v>
      </c>
      <c r="I782" s="1" t="str">
        <f>"145532"</f>
        <v>145532</v>
      </c>
      <c r="J782" s="1" t="s">
        <v>52</v>
      </c>
      <c r="K782" s="1" t="s">
        <v>52</v>
      </c>
      <c r="L782" s="1" t="str">
        <f t="shared" si="116"/>
        <v>20220922</v>
      </c>
      <c r="M782" s="1" t="str">
        <f>"152829"</f>
        <v>152829</v>
      </c>
      <c r="N782" s="1" t="s">
        <v>70</v>
      </c>
      <c r="O782" s="1" t="s">
        <v>28</v>
      </c>
      <c r="P782" s="1" t="s">
        <v>55</v>
      </c>
      <c r="Q782" s="1">
        <v>25</v>
      </c>
      <c r="R782" s="1">
        <v>25</v>
      </c>
      <c r="S782" s="1">
        <v>0</v>
      </c>
      <c r="T782" s="1">
        <v>0</v>
      </c>
      <c r="U782" s="1">
        <v>0</v>
      </c>
      <c r="V782" s="1" t="str">
        <f t="shared" si="118"/>
        <v>里程去程</v>
      </c>
      <c r="W782" s="1" t="s">
        <v>35</v>
      </c>
    </row>
    <row r="783" spans="1:23" x14ac:dyDescent="0.3">
      <c r="A783" s="1" t="str">
        <f t="shared" si="114"/>
        <v>59809</v>
      </c>
      <c r="B783" s="1" t="s">
        <v>42</v>
      </c>
      <c r="C783" s="1" t="s">
        <v>43</v>
      </c>
      <c r="D783" s="1" t="str">
        <f t="shared" si="117"/>
        <v>9801</v>
      </c>
      <c r="E783" s="1" t="s">
        <v>25</v>
      </c>
      <c r="F783" s="1" t="str">
        <f>"72BFE5022A880400C834002000000015"</f>
        <v>72BFE5022A880400C834002000000015</v>
      </c>
      <c r="G783" s="1" t="s">
        <v>26</v>
      </c>
      <c r="H783" s="1" t="str">
        <f t="shared" si="115"/>
        <v>20220922</v>
      </c>
      <c r="I783" s="1" t="str">
        <f>"152840"</f>
        <v>152840</v>
      </c>
      <c r="J783" s="1" t="s">
        <v>27</v>
      </c>
      <c r="K783" s="1" t="s">
        <v>28</v>
      </c>
      <c r="L783" s="1" t="str">
        <f t="shared" si="116"/>
        <v>20220922</v>
      </c>
      <c r="M783" s="1" t="str">
        <f>"154509"</f>
        <v>154509</v>
      </c>
      <c r="N783" s="1" t="s">
        <v>61</v>
      </c>
      <c r="O783" s="1" t="s">
        <v>45</v>
      </c>
      <c r="P783" s="1" t="s">
        <v>68</v>
      </c>
      <c r="Q783" s="1">
        <v>13</v>
      </c>
      <c r="R783" s="1">
        <v>0</v>
      </c>
      <c r="S783" s="1">
        <v>0</v>
      </c>
      <c r="T783" s="1">
        <v>13</v>
      </c>
      <c r="U783" s="1">
        <v>0</v>
      </c>
      <c r="V783" s="1" t="str">
        <f t="shared" si="118"/>
        <v>里程去程</v>
      </c>
      <c r="W783" s="1" t="s">
        <v>29</v>
      </c>
    </row>
    <row r="784" spans="1:23" x14ac:dyDescent="0.3">
      <c r="A784" s="1" t="str">
        <f t="shared" si="114"/>
        <v>59809</v>
      </c>
      <c r="B784" s="1" t="s">
        <v>42</v>
      </c>
      <c r="C784" s="1" t="s">
        <v>43</v>
      </c>
      <c r="D784" s="1" t="str">
        <f t="shared" si="117"/>
        <v>9801</v>
      </c>
      <c r="E784" s="1" t="s">
        <v>25</v>
      </c>
      <c r="F784" s="1" t="str">
        <f>"C2C219031A880400C834002000000015"</f>
        <v>C2C219031A880400C834002000000015</v>
      </c>
      <c r="G784" s="1" t="s">
        <v>74</v>
      </c>
      <c r="H784" s="1" t="str">
        <f t="shared" si="115"/>
        <v>20220922</v>
      </c>
      <c r="I784" s="1" t="str">
        <f>"160607"</f>
        <v>160607</v>
      </c>
      <c r="J784" s="1" t="s">
        <v>60</v>
      </c>
      <c r="K784" s="1" t="s">
        <v>52</v>
      </c>
      <c r="L784" s="1" t="str">
        <f t="shared" si="116"/>
        <v>20220922</v>
      </c>
      <c r="M784" s="1" t="str">
        <f>"161551"</f>
        <v>161551</v>
      </c>
      <c r="N784" s="1" t="s">
        <v>80</v>
      </c>
      <c r="O784" s="1" t="s">
        <v>52</v>
      </c>
      <c r="P784" s="1" t="s">
        <v>68</v>
      </c>
      <c r="Q784" s="1">
        <v>13</v>
      </c>
      <c r="R784" s="1">
        <v>0</v>
      </c>
      <c r="S784" s="1">
        <v>0</v>
      </c>
      <c r="T784" s="1">
        <v>13</v>
      </c>
      <c r="U784" s="1">
        <v>0</v>
      </c>
      <c r="V784" s="1" t="str">
        <f t="shared" si="118"/>
        <v>里程去程</v>
      </c>
      <c r="W784" s="1" t="s">
        <v>29</v>
      </c>
    </row>
    <row r="785" spans="1:23" x14ac:dyDescent="0.3">
      <c r="A785" s="1" t="str">
        <f t="shared" si="114"/>
        <v>59809</v>
      </c>
      <c r="B785" s="1" t="s">
        <v>42</v>
      </c>
      <c r="C785" s="1" t="s">
        <v>43</v>
      </c>
      <c r="D785" s="1" t="str">
        <f t="shared" si="117"/>
        <v>9801</v>
      </c>
      <c r="E785" s="1" t="s">
        <v>25</v>
      </c>
      <c r="F785" s="1" t="str">
        <f>"1012768869"</f>
        <v>1012768869</v>
      </c>
      <c r="G785" s="1" t="s">
        <v>33</v>
      </c>
      <c r="H785" s="1" t="str">
        <f t="shared" si="115"/>
        <v>20220922</v>
      </c>
      <c r="I785" s="1" t="str">
        <f>"203122"</f>
        <v>203122</v>
      </c>
      <c r="J785" s="1" t="s">
        <v>27</v>
      </c>
      <c r="K785" s="1" t="s">
        <v>28</v>
      </c>
      <c r="L785" s="1" t="str">
        <f t="shared" si="116"/>
        <v>20220922</v>
      </c>
      <c r="M785" s="1" t="str">
        <f>"204359"</f>
        <v>204359</v>
      </c>
      <c r="N785" s="1" t="s">
        <v>61</v>
      </c>
      <c r="O785" s="1" t="s">
        <v>45</v>
      </c>
      <c r="P785" s="1" t="s">
        <v>55</v>
      </c>
      <c r="Q785" s="1">
        <v>25</v>
      </c>
      <c r="R785" s="1">
        <v>25</v>
      </c>
      <c r="S785" s="1">
        <v>0</v>
      </c>
      <c r="T785" s="1">
        <v>0</v>
      </c>
      <c r="U785" s="1">
        <v>0</v>
      </c>
      <c r="V785" s="1" t="str">
        <f t="shared" si="118"/>
        <v>里程去程</v>
      </c>
      <c r="W785" s="1" t="s">
        <v>35</v>
      </c>
    </row>
    <row r="786" spans="1:23" x14ac:dyDescent="0.3">
      <c r="A786" s="1" t="str">
        <f t="shared" ref="A786:A795" si="119">"59820"</f>
        <v>59820</v>
      </c>
      <c r="B786" s="1" t="s">
        <v>53</v>
      </c>
      <c r="C786" s="1" t="s">
        <v>54</v>
      </c>
      <c r="D786" s="1" t="str">
        <f t="shared" si="117"/>
        <v>9801</v>
      </c>
      <c r="E786" s="1" t="s">
        <v>25</v>
      </c>
      <c r="F786" s="1" t="str">
        <f>"E21C1C03E1880400C834002000000015"</f>
        <v>E21C1C03E1880400C834002000000015</v>
      </c>
      <c r="G786" s="1" t="s">
        <v>26</v>
      </c>
      <c r="H786" s="1" t="str">
        <f t="shared" si="115"/>
        <v>20220922</v>
      </c>
      <c r="I786" s="1" t="str">
        <f>"080132"</f>
        <v>080132</v>
      </c>
      <c r="J786" s="1" t="s">
        <v>52</v>
      </c>
      <c r="K786" s="1" t="s">
        <v>52</v>
      </c>
      <c r="L786" s="1" t="str">
        <f t="shared" si="116"/>
        <v>20220922</v>
      </c>
      <c r="M786" s="1" t="str">
        <f>"080646"</f>
        <v>080646</v>
      </c>
      <c r="N786" s="1" t="s">
        <v>60</v>
      </c>
      <c r="O786" s="1" t="s">
        <v>52</v>
      </c>
      <c r="P786" s="1" t="s">
        <v>68</v>
      </c>
      <c r="Q786" s="1">
        <v>13</v>
      </c>
      <c r="R786" s="1">
        <v>0</v>
      </c>
      <c r="S786" s="1">
        <v>0</v>
      </c>
      <c r="T786" s="1">
        <v>13</v>
      </c>
      <c r="U786" s="1">
        <v>0</v>
      </c>
      <c r="V786" s="1" t="str">
        <f t="shared" si="118"/>
        <v>里程去程</v>
      </c>
      <c r="W786" s="1" t="s">
        <v>29</v>
      </c>
    </row>
    <row r="787" spans="1:23" x14ac:dyDescent="0.3">
      <c r="A787" s="1" t="str">
        <f t="shared" si="119"/>
        <v>59820</v>
      </c>
      <c r="B787" s="1" t="s">
        <v>53</v>
      </c>
      <c r="C787" s="1" t="s">
        <v>54</v>
      </c>
      <c r="D787" s="1" t="str">
        <f t="shared" si="117"/>
        <v>9801</v>
      </c>
      <c r="E787" s="1" t="s">
        <v>25</v>
      </c>
      <c r="F787" s="1" t="str">
        <f>"7227E702B0880400C834002000000015"</f>
        <v>7227E702B0880400C834002000000015</v>
      </c>
      <c r="G787" s="1" t="s">
        <v>74</v>
      </c>
      <c r="H787" s="1" t="str">
        <f t="shared" si="115"/>
        <v>20220922</v>
      </c>
      <c r="I787" s="1" t="str">
        <f>"081604"</f>
        <v>081604</v>
      </c>
      <c r="J787" s="1" t="s">
        <v>97</v>
      </c>
      <c r="K787" s="1" t="s">
        <v>52</v>
      </c>
      <c r="L787" s="1" t="str">
        <f t="shared" si="116"/>
        <v>20220922</v>
      </c>
      <c r="M787" s="1" t="str">
        <f>"081632"</f>
        <v>081632</v>
      </c>
      <c r="N787" s="1" t="s">
        <v>80</v>
      </c>
      <c r="O787" s="1" t="s">
        <v>52</v>
      </c>
      <c r="P787" s="1" t="s">
        <v>68</v>
      </c>
      <c r="Q787" s="1">
        <v>13</v>
      </c>
      <c r="R787" s="1">
        <v>0</v>
      </c>
      <c r="S787" s="1">
        <v>0</v>
      </c>
      <c r="T787" s="1">
        <v>13</v>
      </c>
      <c r="U787" s="1">
        <v>0</v>
      </c>
      <c r="V787" s="1" t="str">
        <f t="shared" si="118"/>
        <v>里程去程</v>
      </c>
      <c r="W787" s="1" t="s">
        <v>29</v>
      </c>
    </row>
    <row r="788" spans="1:23" x14ac:dyDescent="0.3">
      <c r="A788" s="1" t="str">
        <f t="shared" si="119"/>
        <v>59820</v>
      </c>
      <c r="B788" s="1" t="s">
        <v>53</v>
      </c>
      <c r="C788" s="1" t="s">
        <v>54</v>
      </c>
      <c r="D788" s="1" t="str">
        <f t="shared" si="117"/>
        <v>9801</v>
      </c>
      <c r="E788" s="1" t="s">
        <v>25</v>
      </c>
      <c r="F788" s="1" t="str">
        <f>"C112914406280400F700000000000000"</f>
        <v>C112914406280400F700000000000000</v>
      </c>
      <c r="G788" s="1" t="s">
        <v>58</v>
      </c>
      <c r="H788" s="1" t="str">
        <f t="shared" si="115"/>
        <v>20220922</v>
      </c>
      <c r="I788" s="1" t="str">
        <f>"083438"</f>
        <v>083438</v>
      </c>
      <c r="J788" s="1" t="s">
        <v>27</v>
      </c>
      <c r="K788" s="1" t="s">
        <v>28</v>
      </c>
      <c r="L788" s="1" t="str">
        <f t="shared" si="116"/>
        <v>20220922</v>
      </c>
      <c r="M788" s="1" t="str">
        <f>"085551"</f>
        <v>085551</v>
      </c>
      <c r="N788" s="1" t="s">
        <v>44</v>
      </c>
      <c r="O788" s="1" t="s">
        <v>45</v>
      </c>
      <c r="P788" s="1" t="s">
        <v>55</v>
      </c>
      <c r="Q788" s="1">
        <v>25</v>
      </c>
      <c r="R788" s="1">
        <v>25</v>
      </c>
      <c r="S788" s="1">
        <v>0</v>
      </c>
      <c r="T788" s="1">
        <v>0</v>
      </c>
      <c r="U788" s="1">
        <v>0</v>
      </c>
      <c r="V788" s="1" t="str">
        <f t="shared" si="118"/>
        <v>里程去程</v>
      </c>
      <c r="W788" s="1" t="s">
        <v>29</v>
      </c>
    </row>
    <row r="789" spans="1:23" x14ac:dyDescent="0.3">
      <c r="A789" s="1" t="str">
        <f t="shared" si="119"/>
        <v>59820</v>
      </c>
      <c r="B789" s="1" t="s">
        <v>53</v>
      </c>
      <c r="C789" s="1" t="s">
        <v>54</v>
      </c>
      <c r="D789" s="1" t="str">
        <f t="shared" si="117"/>
        <v>9801</v>
      </c>
      <c r="E789" s="1" t="s">
        <v>25</v>
      </c>
      <c r="F789" s="1" t="str">
        <f>"1204061808880400C814002000000019"</f>
        <v>1204061808880400C814002000000019</v>
      </c>
      <c r="G789" s="1" t="s">
        <v>59</v>
      </c>
      <c r="H789" s="1" t="str">
        <f t="shared" si="115"/>
        <v>20220922</v>
      </c>
      <c r="I789" s="1" t="str">
        <f>"083444"</f>
        <v>083444</v>
      </c>
      <c r="J789" s="1" t="s">
        <v>27</v>
      </c>
      <c r="K789" s="1" t="s">
        <v>28</v>
      </c>
      <c r="L789" s="1" t="str">
        <f t="shared" si="116"/>
        <v>20220922</v>
      </c>
      <c r="M789" s="1" t="str">
        <f>"085555"</f>
        <v>085555</v>
      </c>
      <c r="N789" s="1" t="s">
        <v>44</v>
      </c>
      <c r="O789" s="1" t="s">
        <v>45</v>
      </c>
      <c r="P789" s="1" t="s">
        <v>55</v>
      </c>
      <c r="Q789" s="1">
        <v>25</v>
      </c>
      <c r="R789" s="1">
        <v>0</v>
      </c>
      <c r="S789" s="1">
        <v>25</v>
      </c>
      <c r="T789" s="1">
        <v>0</v>
      </c>
      <c r="U789" s="1">
        <v>0</v>
      </c>
      <c r="V789" s="1" t="str">
        <f t="shared" si="118"/>
        <v>里程去程</v>
      </c>
      <c r="W789" s="1" t="s">
        <v>29</v>
      </c>
    </row>
    <row r="790" spans="1:23" x14ac:dyDescent="0.3">
      <c r="A790" s="1" t="str">
        <f t="shared" si="119"/>
        <v>59820</v>
      </c>
      <c r="B790" s="1" t="s">
        <v>53</v>
      </c>
      <c r="C790" s="1" t="s">
        <v>54</v>
      </c>
      <c r="D790" s="1" t="str">
        <f t="shared" si="117"/>
        <v>9801</v>
      </c>
      <c r="E790" s="1" t="s">
        <v>25</v>
      </c>
      <c r="F790" s="1" t="str">
        <f>"A229BB0232880400C834002000000015"</f>
        <v>A229BB0232880400C834002000000015</v>
      </c>
      <c r="G790" s="1" t="s">
        <v>74</v>
      </c>
      <c r="H790" s="1" t="str">
        <f t="shared" si="115"/>
        <v>20220922</v>
      </c>
      <c r="I790" s="1" t="str">
        <f>"085625"</f>
        <v>085625</v>
      </c>
      <c r="J790" s="1" t="s">
        <v>52</v>
      </c>
      <c r="K790" s="1" t="s">
        <v>52</v>
      </c>
      <c r="L790" s="1" t="str">
        <f t="shared" si="116"/>
        <v>20220922</v>
      </c>
      <c r="M790" s="1" t="str">
        <f>"091002"</f>
        <v>091002</v>
      </c>
      <c r="N790" s="1" t="s">
        <v>60</v>
      </c>
      <c r="O790" s="1" t="s">
        <v>52</v>
      </c>
      <c r="P790" s="1" t="s">
        <v>68</v>
      </c>
      <c r="Q790" s="1">
        <v>13</v>
      </c>
      <c r="R790" s="1">
        <v>0</v>
      </c>
      <c r="S790" s="1">
        <v>0</v>
      </c>
      <c r="T790" s="1">
        <v>13</v>
      </c>
      <c r="U790" s="1">
        <v>0</v>
      </c>
      <c r="V790" s="1" t="str">
        <f t="shared" si="118"/>
        <v>里程去程</v>
      </c>
      <c r="W790" s="1" t="s">
        <v>29</v>
      </c>
    </row>
    <row r="791" spans="1:23" x14ac:dyDescent="0.3">
      <c r="A791" s="1" t="str">
        <f t="shared" si="119"/>
        <v>59820</v>
      </c>
      <c r="B791" s="1" t="s">
        <v>53</v>
      </c>
      <c r="C791" s="1" t="s">
        <v>54</v>
      </c>
      <c r="D791" s="1" t="str">
        <f t="shared" si="117"/>
        <v>9801</v>
      </c>
      <c r="E791" s="1" t="s">
        <v>25</v>
      </c>
      <c r="F791" s="1" t="str">
        <f>"82D5FB02AE880400C834002000000015"</f>
        <v>82D5FB02AE880400C834002000000015</v>
      </c>
      <c r="G791" s="1" t="s">
        <v>26</v>
      </c>
      <c r="H791" s="1" t="str">
        <f t="shared" si="115"/>
        <v>20220922</v>
      </c>
      <c r="I791" s="1" t="str">
        <f>"090755"</f>
        <v>090755</v>
      </c>
      <c r="J791" s="1" t="s">
        <v>86</v>
      </c>
      <c r="K791" s="1" t="s">
        <v>52</v>
      </c>
      <c r="L791" s="1" t="str">
        <f t="shared" si="116"/>
        <v>20220922</v>
      </c>
      <c r="M791" s="1" t="str">
        <f>"091256"</f>
        <v>091256</v>
      </c>
      <c r="N791" s="1" t="s">
        <v>51</v>
      </c>
      <c r="O791" s="1" t="s">
        <v>52</v>
      </c>
      <c r="P791" s="1" t="s">
        <v>68</v>
      </c>
      <c r="Q791" s="1">
        <v>13</v>
      </c>
      <c r="R791" s="1">
        <v>0</v>
      </c>
      <c r="S791" s="1">
        <v>0</v>
      </c>
      <c r="T791" s="1">
        <v>13</v>
      </c>
      <c r="U791" s="1">
        <v>0</v>
      </c>
      <c r="V791" s="1" t="str">
        <f t="shared" si="118"/>
        <v>里程去程</v>
      </c>
      <c r="W791" s="1" t="s">
        <v>29</v>
      </c>
    </row>
    <row r="792" spans="1:23" x14ac:dyDescent="0.3">
      <c r="A792" s="1" t="str">
        <f t="shared" si="119"/>
        <v>59820</v>
      </c>
      <c r="B792" s="1" t="s">
        <v>53</v>
      </c>
      <c r="C792" s="1" t="s">
        <v>54</v>
      </c>
      <c r="D792" s="1" t="str">
        <f t="shared" si="117"/>
        <v>9801</v>
      </c>
      <c r="E792" s="1" t="s">
        <v>25</v>
      </c>
      <c r="F792" s="1" t="str">
        <f>"E293E60295880400C834002000000015"</f>
        <v>E293E60295880400C834002000000015</v>
      </c>
      <c r="G792" s="1" t="s">
        <v>74</v>
      </c>
      <c r="H792" s="1" t="str">
        <f t="shared" si="115"/>
        <v>20220922</v>
      </c>
      <c r="I792" s="1" t="str">
        <f>"091013"</f>
        <v>091013</v>
      </c>
      <c r="J792" s="1" t="s">
        <v>60</v>
      </c>
      <c r="K792" s="1" t="s">
        <v>52</v>
      </c>
      <c r="L792" s="1" t="str">
        <f t="shared" si="116"/>
        <v>20220922</v>
      </c>
      <c r="M792" s="1" t="str">
        <f>"091953"</f>
        <v>091953</v>
      </c>
      <c r="N792" s="1" t="s">
        <v>80</v>
      </c>
      <c r="O792" s="1" t="s">
        <v>52</v>
      </c>
      <c r="P792" s="1" t="s">
        <v>68</v>
      </c>
      <c r="Q792" s="1">
        <v>13</v>
      </c>
      <c r="R792" s="1">
        <v>0</v>
      </c>
      <c r="S792" s="1">
        <v>0</v>
      </c>
      <c r="T792" s="1">
        <v>13</v>
      </c>
      <c r="U792" s="1">
        <v>0</v>
      </c>
      <c r="V792" s="1" t="str">
        <f t="shared" si="118"/>
        <v>里程去程</v>
      </c>
      <c r="W792" s="1" t="s">
        <v>29</v>
      </c>
    </row>
    <row r="793" spans="1:23" x14ac:dyDescent="0.3">
      <c r="A793" s="1" t="str">
        <f t="shared" si="119"/>
        <v>59820</v>
      </c>
      <c r="B793" s="1" t="s">
        <v>53</v>
      </c>
      <c r="C793" s="1" t="s">
        <v>54</v>
      </c>
      <c r="D793" s="1" t="str">
        <f t="shared" si="117"/>
        <v>9801</v>
      </c>
      <c r="E793" s="1" t="s">
        <v>25</v>
      </c>
      <c r="F793" s="1" t="str">
        <f>"E213BD024E880400C834002000000015"</f>
        <v>E213BD024E880400C834002000000015</v>
      </c>
      <c r="G793" s="1" t="s">
        <v>74</v>
      </c>
      <c r="H793" s="1" t="str">
        <f t="shared" si="115"/>
        <v>20220922</v>
      </c>
      <c r="I793" s="1" t="str">
        <f>"093815"</f>
        <v>093815</v>
      </c>
      <c r="J793" s="1" t="s">
        <v>27</v>
      </c>
      <c r="K793" s="1" t="s">
        <v>28</v>
      </c>
      <c r="L793" s="1" t="str">
        <f t="shared" si="116"/>
        <v>20220922</v>
      </c>
      <c r="M793" s="1" t="str">
        <f>"095216"</f>
        <v>095216</v>
      </c>
      <c r="N793" s="1" t="s">
        <v>56</v>
      </c>
      <c r="O793" s="1" t="s">
        <v>45</v>
      </c>
      <c r="P793" s="1" t="s">
        <v>68</v>
      </c>
      <c r="Q793" s="1">
        <v>13</v>
      </c>
      <c r="R793" s="1">
        <v>0</v>
      </c>
      <c r="S793" s="1">
        <v>0</v>
      </c>
      <c r="T793" s="1">
        <v>13</v>
      </c>
      <c r="U793" s="1">
        <v>0</v>
      </c>
      <c r="V793" s="1" t="str">
        <f t="shared" si="118"/>
        <v>里程去程</v>
      </c>
      <c r="W793" s="1" t="s">
        <v>29</v>
      </c>
    </row>
    <row r="794" spans="1:23" x14ac:dyDescent="0.3">
      <c r="A794" s="1" t="str">
        <f t="shared" si="119"/>
        <v>59820</v>
      </c>
      <c r="B794" s="1" t="s">
        <v>53</v>
      </c>
      <c r="C794" s="1" t="s">
        <v>54</v>
      </c>
      <c r="D794" s="1" t="str">
        <f t="shared" si="117"/>
        <v>9801</v>
      </c>
      <c r="E794" s="1" t="s">
        <v>25</v>
      </c>
      <c r="F794" s="1" t="str">
        <f>"32780D0344880400C834002000000015"</f>
        <v>32780D0344880400C834002000000015</v>
      </c>
      <c r="G794" s="1" t="s">
        <v>26</v>
      </c>
      <c r="H794" s="1" t="str">
        <f t="shared" si="115"/>
        <v>20220922</v>
      </c>
      <c r="I794" s="1" t="str">
        <f>"093819"</f>
        <v>093819</v>
      </c>
      <c r="J794" s="1" t="s">
        <v>27</v>
      </c>
      <c r="K794" s="1" t="s">
        <v>28</v>
      </c>
      <c r="L794" s="1" t="str">
        <f t="shared" si="116"/>
        <v>20220922</v>
      </c>
      <c r="M794" s="1" t="str">
        <f>"095218"</f>
        <v>095218</v>
      </c>
      <c r="N794" s="1" t="s">
        <v>56</v>
      </c>
      <c r="O794" s="1" t="s">
        <v>45</v>
      </c>
      <c r="P794" s="1" t="s">
        <v>68</v>
      </c>
      <c r="Q794" s="1">
        <v>13</v>
      </c>
      <c r="R794" s="1">
        <v>0</v>
      </c>
      <c r="S794" s="1">
        <v>0</v>
      </c>
      <c r="T794" s="1">
        <v>13</v>
      </c>
      <c r="U794" s="1">
        <v>0</v>
      </c>
      <c r="V794" s="1" t="str">
        <f t="shared" si="118"/>
        <v>里程去程</v>
      </c>
      <c r="W794" s="1" t="s">
        <v>29</v>
      </c>
    </row>
    <row r="795" spans="1:23" x14ac:dyDescent="0.3">
      <c r="A795" s="1" t="str">
        <f t="shared" si="119"/>
        <v>59820</v>
      </c>
      <c r="B795" s="1" t="s">
        <v>53</v>
      </c>
      <c r="C795" s="1" t="s">
        <v>54</v>
      </c>
      <c r="D795" s="1" t="str">
        <f t="shared" si="117"/>
        <v>9801</v>
      </c>
      <c r="E795" s="1" t="s">
        <v>25</v>
      </c>
      <c r="F795" s="1" t="str">
        <f>"2201E702C6880400C834002000000015"</f>
        <v>2201E702C6880400C834002000000015</v>
      </c>
      <c r="G795" s="1" t="s">
        <v>74</v>
      </c>
      <c r="H795" s="1" t="str">
        <f t="shared" si="115"/>
        <v>20220922</v>
      </c>
      <c r="I795" s="1" t="str">
        <f>"093823"</f>
        <v>093823</v>
      </c>
      <c r="J795" s="1" t="s">
        <v>27</v>
      </c>
      <c r="K795" s="1" t="s">
        <v>28</v>
      </c>
      <c r="L795" s="1" t="str">
        <f>""</f>
        <v/>
      </c>
      <c r="M795" s="1" t="str">
        <f>""</f>
        <v/>
      </c>
      <c r="P795" s="1" t="s">
        <v>88</v>
      </c>
      <c r="Q795" s="1">
        <v>13</v>
      </c>
      <c r="R795" s="1">
        <v>0</v>
      </c>
      <c r="S795" s="1">
        <v>0</v>
      </c>
      <c r="T795" s="1">
        <v>13</v>
      </c>
      <c r="U795" s="1">
        <v>0</v>
      </c>
      <c r="V795" s="1" t="str">
        <f t="shared" si="118"/>
        <v>里程去程</v>
      </c>
      <c r="W795" s="1" t="s">
        <v>29</v>
      </c>
    </row>
    <row r="796" spans="1:23" x14ac:dyDescent="0.3">
      <c r="A796" s="1" t="str">
        <f t="shared" ref="A796:A810" si="120">"59809"</f>
        <v>59809</v>
      </c>
      <c r="B796" s="1" t="s">
        <v>42</v>
      </c>
      <c r="C796" s="1" t="s">
        <v>43</v>
      </c>
      <c r="D796" s="1" t="str">
        <f t="shared" si="117"/>
        <v>9801</v>
      </c>
      <c r="E796" s="1" t="s">
        <v>25</v>
      </c>
      <c r="F796" s="1" t="str">
        <f>"42AFE60209880400C834002000000015"</f>
        <v>42AFE60209880400C834002000000015</v>
      </c>
      <c r="G796" s="1" t="s">
        <v>74</v>
      </c>
      <c r="H796" s="1" t="str">
        <f t="shared" ref="H796:H824" si="121">"20220923"</f>
        <v>20220923</v>
      </c>
      <c r="I796" s="1" t="str">
        <f>"105646"</f>
        <v>105646</v>
      </c>
      <c r="J796" s="1" t="s">
        <v>52</v>
      </c>
      <c r="K796" s="1" t="s">
        <v>52</v>
      </c>
      <c r="L796" s="1" t="str">
        <f t="shared" ref="L796:L824" si="122">"20220923"</f>
        <v>20220923</v>
      </c>
      <c r="M796" s="1" t="str">
        <f>"111523"</f>
        <v>111523</v>
      </c>
      <c r="N796" s="1" t="s">
        <v>80</v>
      </c>
      <c r="O796" s="1" t="s">
        <v>52</v>
      </c>
      <c r="P796" s="1" t="s">
        <v>68</v>
      </c>
      <c r="Q796" s="1">
        <v>13</v>
      </c>
      <c r="R796" s="1">
        <v>0</v>
      </c>
      <c r="S796" s="1">
        <v>0</v>
      </c>
      <c r="T796" s="1">
        <v>13</v>
      </c>
      <c r="U796" s="1">
        <v>0</v>
      </c>
      <c r="V796" s="1" t="str">
        <f t="shared" si="118"/>
        <v>里程去程</v>
      </c>
      <c r="W796" s="1" t="s">
        <v>29</v>
      </c>
    </row>
    <row r="797" spans="1:23" x14ac:dyDescent="0.3">
      <c r="A797" s="1" t="str">
        <f t="shared" si="120"/>
        <v>59809</v>
      </c>
      <c r="B797" s="1" t="s">
        <v>42</v>
      </c>
      <c r="C797" s="1" t="s">
        <v>43</v>
      </c>
      <c r="D797" s="1" t="str">
        <f t="shared" si="117"/>
        <v>9801</v>
      </c>
      <c r="E797" s="1" t="s">
        <v>25</v>
      </c>
      <c r="F797" s="1" t="str">
        <f>"8227D00277880400C834002000000015"</f>
        <v>8227D00277880400C834002000000015</v>
      </c>
      <c r="G797" s="1" t="s">
        <v>26</v>
      </c>
      <c r="H797" s="1" t="str">
        <f t="shared" si="121"/>
        <v>20220923</v>
      </c>
      <c r="I797" s="1" t="str">
        <f>"112004"</f>
        <v>112004</v>
      </c>
      <c r="J797" s="1" t="s">
        <v>69</v>
      </c>
      <c r="K797" s="1" t="s">
        <v>52</v>
      </c>
      <c r="L797" s="1" t="str">
        <f t="shared" si="122"/>
        <v>20220923</v>
      </c>
      <c r="M797" s="1" t="str">
        <f>"113105"</f>
        <v>113105</v>
      </c>
      <c r="N797" s="1" t="s">
        <v>70</v>
      </c>
      <c r="O797" s="1" t="s">
        <v>28</v>
      </c>
      <c r="P797" s="1" t="s">
        <v>68</v>
      </c>
      <c r="Q797" s="1">
        <v>13</v>
      </c>
      <c r="R797" s="1">
        <v>0</v>
      </c>
      <c r="S797" s="1">
        <v>0</v>
      </c>
      <c r="T797" s="1">
        <v>13</v>
      </c>
      <c r="U797" s="1">
        <v>0</v>
      </c>
      <c r="V797" s="1" t="str">
        <f t="shared" si="118"/>
        <v>里程去程</v>
      </c>
      <c r="W797" s="1" t="s">
        <v>29</v>
      </c>
    </row>
    <row r="798" spans="1:23" x14ac:dyDescent="0.3">
      <c r="A798" s="1" t="str">
        <f t="shared" si="120"/>
        <v>59809</v>
      </c>
      <c r="B798" s="1" t="s">
        <v>42</v>
      </c>
      <c r="C798" s="1" t="s">
        <v>43</v>
      </c>
      <c r="D798" s="1" t="str">
        <f t="shared" si="117"/>
        <v>9801</v>
      </c>
      <c r="E798" s="1" t="s">
        <v>25</v>
      </c>
      <c r="F798" s="1" t="str">
        <f>"32780D0344880400C834002000000015"</f>
        <v>32780D0344880400C834002000000015</v>
      </c>
      <c r="G798" s="1" t="s">
        <v>26</v>
      </c>
      <c r="H798" s="1" t="str">
        <f t="shared" si="121"/>
        <v>20220923</v>
      </c>
      <c r="I798" s="1" t="str">
        <f>"120710"</f>
        <v>120710</v>
      </c>
      <c r="J798" s="1" t="s">
        <v>51</v>
      </c>
      <c r="K798" s="1" t="s">
        <v>52</v>
      </c>
      <c r="L798" s="1" t="str">
        <f t="shared" si="122"/>
        <v>20220923</v>
      </c>
      <c r="M798" s="1" t="str">
        <f>"123218"</f>
        <v>123218</v>
      </c>
      <c r="N798" s="1" t="s">
        <v>70</v>
      </c>
      <c r="O798" s="1" t="s">
        <v>28</v>
      </c>
      <c r="P798" s="1" t="s">
        <v>68</v>
      </c>
      <c r="Q798" s="1">
        <v>13</v>
      </c>
      <c r="R798" s="1">
        <v>0</v>
      </c>
      <c r="S798" s="1">
        <v>0</v>
      </c>
      <c r="T798" s="1">
        <v>13</v>
      </c>
      <c r="U798" s="1">
        <v>0</v>
      </c>
      <c r="V798" s="1" t="str">
        <f t="shared" si="118"/>
        <v>里程去程</v>
      </c>
      <c r="W798" s="1" t="s">
        <v>29</v>
      </c>
    </row>
    <row r="799" spans="1:23" x14ac:dyDescent="0.3">
      <c r="A799" s="1" t="str">
        <f t="shared" si="120"/>
        <v>59809</v>
      </c>
      <c r="B799" s="1" t="s">
        <v>42</v>
      </c>
      <c r="C799" s="1" t="s">
        <v>43</v>
      </c>
      <c r="D799" s="1" t="str">
        <f t="shared" si="117"/>
        <v>9801</v>
      </c>
      <c r="E799" s="1" t="s">
        <v>25</v>
      </c>
      <c r="F799" s="1" t="str">
        <f>"1526871937"</f>
        <v>1526871937</v>
      </c>
      <c r="G799" s="1" t="s">
        <v>33</v>
      </c>
      <c r="H799" s="1" t="str">
        <f t="shared" si="121"/>
        <v>20220923</v>
      </c>
      <c r="I799" s="1" t="str">
        <f>"122511"</f>
        <v>122511</v>
      </c>
      <c r="J799" s="1" t="s">
        <v>67</v>
      </c>
      <c r="K799" s="1" t="s">
        <v>52</v>
      </c>
      <c r="L799" s="1" t="str">
        <f t="shared" si="122"/>
        <v>20220923</v>
      </c>
      <c r="M799" s="1" t="str">
        <f>"123339"</f>
        <v>123339</v>
      </c>
      <c r="N799" s="1" t="s">
        <v>70</v>
      </c>
      <c r="O799" s="1" t="s">
        <v>28</v>
      </c>
      <c r="P799" s="1" t="s">
        <v>55</v>
      </c>
      <c r="Q799" s="1">
        <v>25</v>
      </c>
      <c r="R799" s="1">
        <v>25</v>
      </c>
      <c r="S799" s="1">
        <v>0</v>
      </c>
      <c r="T799" s="1">
        <v>0</v>
      </c>
      <c r="U799" s="1">
        <v>0</v>
      </c>
      <c r="V799" s="1" t="str">
        <f t="shared" si="118"/>
        <v>里程去程</v>
      </c>
      <c r="W799" s="1" t="s">
        <v>35</v>
      </c>
    </row>
    <row r="800" spans="1:23" x14ac:dyDescent="0.3">
      <c r="A800" s="1" t="str">
        <f t="shared" si="120"/>
        <v>59809</v>
      </c>
      <c r="B800" s="1" t="s">
        <v>42</v>
      </c>
      <c r="C800" s="1" t="s">
        <v>43</v>
      </c>
      <c r="D800" s="1" t="str">
        <f t="shared" si="117"/>
        <v>9801</v>
      </c>
      <c r="E800" s="1" t="s">
        <v>25</v>
      </c>
      <c r="F800" s="1" t="str">
        <f>"1917481873"</f>
        <v>1917481873</v>
      </c>
      <c r="G800" s="1" t="s">
        <v>33</v>
      </c>
      <c r="H800" s="1" t="str">
        <f t="shared" si="121"/>
        <v>20220923</v>
      </c>
      <c r="I800" s="1" t="str">
        <f>"123358"</f>
        <v>123358</v>
      </c>
      <c r="J800" s="1" t="s">
        <v>27</v>
      </c>
      <c r="K800" s="1" t="s">
        <v>28</v>
      </c>
      <c r="L800" s="1" t="str">
        <f t="shared" si="122"/>
        <v>20220923</v>
      </c>
      <c r="M800" s="1" t="str">
        <f>"125313"</f>
        <v>125313</v>
      </c>
      <c r="N800" s="1" t="s">
        <v>44</v>
      </c>
      <c r="O800" s="1" t="s">
        <v>45</v>
      </c>
      <c r="P800" s="1" t="s">
        <v>55</v>
      </c>
      <c r="Q800" s="1">
        <v>25</v>
      </c>
      <c r="R800" s="1">
        <v>25</v>
      </c>
      <c r="S800" s="1">
        <v>0</v>
      </c>
      <c r="T800" s="1">
        <v>0</v>
      </c>
      <c r="U800" s="1">
        <v>0</v>
      </c>
      <c r="V800" s="1" t="str">
        <f t="shared" si="118"/>
        <v>里程去程</v>
      </c>
      <c r="W800" s="1" t="s">
        <v>35</v>
      </c>
    </row>
    <row r="801" spans="1:23" x14ac:dyDescent="0.3">
      <c r="A801" s="1" t="str">
        <f t="shared" si="120"/>
        <v>59809</v>
      </c>
      <c r="B801" s="1" t="s">
        <v>42</v>
      </c>
      <c r="C801" s="1" t="s">
        <v>43</v>
      </c>
      <c r="D801" s="1" t="str">
        <f t="shared" si="117"/>
        <v>9801</v>
      </c>
      <c r="E801" s="1" t="s">
        <v>25</v>
      </c>
      <c r="F801" s="1" t="str">
        <f>"F25B1B03B1880400C834002000000015"</f>
        <v>F25B1B03B1880400C834002000000015</v>
      </c>
      <c r="G801" s="1" t="s">
        <v>26</v>
      </c>
      <c r="H801" s="1" t="str">
        <f t="shared" si="121"/>
        <v>20220923</v>
      </c>
      <c r="I801" s="1" t="str">
        <f>"130552"</f>
        <v>130552</v>
      </c>
      <c r="J801" s="1" t="s">
        <v>60</v>
      </c>
      <c r="K801" s="1" t="s">
        <v>52</v>
      </c>
      <c r="L801" s="1" t="str">
        <f t="shared" si="122"/>
        <v>20220923</v>
      </c>
      <c r="M801" s="1" t="str">
        <f>"132933"</f>
        <v>132933</v>
      </c>
      <c r="N801" s="1" t="s">
        <v>70</v>
      </c>
      <c r="O801" s="1" t="s">
        <v>28</v>
      </c>
      <c r="P801" s="1" t="s">
        <v>68</v>
      </c>
      <c r="Q801" s="1">
        <v>13</v>
      </c>
      <c r="R801" s="1">
        <v>0</v>
      </c>
      <c r="S801" s="1">
        <v>0</v>
      </c>
      <c r="T801" s="1">
        <v>13</v>
      </c>
      <c r="U801" s="1">
        <v>0</v>
      </c>
      <c r="V801" s="1" t="str">
        <f t="shared" si="118"/>
        <v>里程去程</v>
      </c>
      <c r="W801" s="1" t="s">
        <v>29</v>
      </c>
    </row>
    <row r="802" spans="1:23" x14ac:dyDescent="0.3">
      <c r="A802" s="1" t="str">
        <f t="shared" si="120"/>
        <v>59809</v>
      </c>
      <c r="B802" s="1" t="s">
        <v>42</v>
      </c>
      <c r="C802" s="1" t="s">
        <v>43</v>
      </c>
      <c r="D802" s="1" t="str">
        <f t="shared" si="117"/>
        <v>9801</v>
      </c>
      <c r="E802" s="1" t="s">
        <v>25</v>
      </c>
      <c r="F802" s="1" t="str">
        <f>"82D5FB02AE880400C834002000000015"</f>
        <v>82D5FB02AE880400C834002000000015</v>
      </c>
      <c r="G802" s="1" t="s">
        <v>26</v>
      </c>
      <c r="H802" s="1" t="str">
        <f t="shared" si="121"/>
        <v>20220923</v>
      </c>
      <c r="I802" s="1" t="str">
        <f>"130758"</f>
        <v>130758</v>
      </c>
      <c r="J802" s="1" t="s">
        <v>51</v>
      </c>
      <c r="K802" s="1" t="s">
        <v>52</v>
      </c>
      <c r="L802" s="1" t="str">
        <f t="shared" si="122"/>
        <v>20220923</v>
      </c>
      <c r="M802" s="1" t="str">
        <f>"131115"</f>
        <v>131115</v>
      </c>
      <c r="N802" s="1" t="s">
        <v>65</v>
      </c>
      <c r="O802" s="1" t="s">
        <v>52</v>
      </c>
      <c r="P802" s="1" t="s">
        <v>68</v>
      </c>
      <c r="Q802" s="1">
        <v>13</v>
      </c>
      <c r="R802" s="1">
        <v>0</v>
      </c>
      <c r="S802" s="1">
        <v>0</v>
      </c>
      <c r="T802" s="1">
        <v>13</v>
      </c>
      <c r="U802" s="1">
        <v>0</v>
      </c>
      <c r="V802" s="1" t="str">
        <f t="shared" si="118"/>
        <v>里程去程</v>
      </c>
      <c r="W802" s="1" t="s">
        <v>29</v>
      </c>
    </row>
    <row r="803" spans="1:23" x14ac:dyDescent="0.3">
      <c r="A803" s="1" t="str">
        <f t="shared" si="120"/>
        <v>59809</v>
      </c>
      <c r="B803" s="1" t="s">
        <v>42</v>
      </c>
      <c r="C803" s="1" t="s">
        <v>43</v>
      </c>
      <c r="D803" s="1" t="str">
        <f t="shared" si="117"/>
        <v>9801</v>
      </c>
      <c r="E803" s="1" t="s">
        <v>25</v>
      </c>
      <c r="F803" s="1" t="str">
        <f>"F27CE6026A880400C834002000000015"</f>
        <v>F27CE6026A880400C834002000000015</v>
      </c>
      <c r="G803" s="1" t="s">
        <v>74</v>
      </c>
      <c r="H803" s="1" t="str">
        <f t="shared" si="121"/>
        <v>20220923</v>
      </c>
      <c r="I803" s="1" t="str">
        <f>"145827"</f>
        <v>145827</v>
      </c>
      <c r="J803" s="1" t="s">
        <v>52</v>
      </c>
      <c r="K803" s="1" t="s">
        <v>52</v>
      </c>
      <c r="L803" s="1" t="str">
        <f t="shared" si="122"/>
        <v>20220923</v>
      </c>
      <c r="M803" s="1" t="str">
        <f>"150601"</f>
        <v>150601</v>
      </c>
      <c r="N803" s="1" t="s">
        <v>60</v>
      </c>
      <c r="O803" s="1" t="s">
        <v>52</v>
      </c>
      <c r="P803" s="1" t="s">
        <v>68</v>
      </c>
      <c r="Q803" s="1">
        <v>13</v>
      </c>
      <c r="R803" s="1">
        <v>0</v>
      </c>
      <c r="S803" s="1">
        <v>0</v>
      </c>
      <c r="T803" s="1">
        <v>13</v>
      </c>
      <c r="U803" s="1">
        <v>0</v>
      </c>
      <c r="V803" s="1" t="str">
        <f t="shared" si="118"/>
        <v>里程去程</v>
      </c>
      <c r="W803" s="1" t="s">
        <v>29</v>
      </c>
    </row>
    <row r="804" spans="1:23" x14ac:dyDescent="0.3">
      <c r="A804" s="1" t="str">
        <f t="shared" si="120"/>
        <v>59809</v>
      </c>
      <c r="B804" s="1" t="s">
        <v>42</v>
      </c>
      <c r="C804" s="1" t="s">
        <v>43</v>
      </c>
      <c r="D804" s="1" t="str">
        <f t="shared" si="117"/>
        <v>9801</v>
      </c>
      <c r="E804" s="1" t="s">
        <v>25</v>
      </c>
      <c r="F804" s="1" t="str">
        <f>"C2F219032A880400C834002000000015"</f>
        <v>C2F219032A880400C834002000000015</v>
      </c>
      <c r="G804" s="1" t="s">
        <v>26</v>
      </c>
      <c r="H804" s="1" t="str">
        <f t="shared" si="121"/>
        <v>20220923</v>
      </c>
      <c r="I804" s="1" t="str">
        <f>"150437"</f>
        <v>150437</v>
      </c>
      <c r="J804" s="1" t="s">
        <v>86</v>
      </c>
      <c r="K804" s="1" t="s">
        <v>52</v>
      </c>
      <c r="L804" s="1" t="str">
        <f t="shared" si="122"/>
        <v>20220923</v>
      </c>
      <c r="M804" s="1" t="str">
        <f>"150758"</f>
        <v>150758</v>
      </c>
      <c r="N804" s="1" t="s">
        <v>51</v>
      </c>
      <c r="O804" s="1" t="s">
        <v>52</v>
      </c>
      <c r="P804" s="1" t="s">
        <v>68</v>
      </c>
      <c r="Q804" s="1">
        <v>13</v>
      </c>
      <c r="R804" s="1">
        <v>0</v>
      </c>
      <c r="S804" s="1">
        <v>0</v>
      </c>
      <c r="T804" s="1">
        <v>13</v>
      </c>
      <c r="U804" s="1">
        <v>0</v>
      </c>
      <c r="V804" s="1" t="str">
        <f t="shared" si="118"/>
        <v>里程去程</v>
      </c>
      <c r="W804" s="1" t="s">
        <v>29</v>
      </c>
    </row>
    <row r="805" spans="1:23" x14ac:dyDescent="0.3">
      <c r="A805" s="1" t="str">
        <f t="shared" si="120"/>
        <v>59809</v>
      </c>
      <c r="B805" s="1" t="s">
        <v>42</v>
      </c>
      <c r="C805" s="1" t="s">
        <v>43</v>
      </c>
      <c r="D805" s="1" t="str">
        <f t="shared" si="117"/>
        <v>9801</v>
      </c>
      <c r="E805" s="1" t="s">
        <v>25</v>
      </c>
      <c r="F805" s="1" t="str">
        <f>"611B15315E280400F700000000000000"</f>
        <v>611B15315E280400F700000000000000</v>
      </c>
      <c r="G805" s="1" t="s">
        <v>58</v>
      </c>
      <c r="H805" s="1" t="str">
        <f t="shared" si="121"/>
        <v>20220923</v>
      </c>
      <c r="I805" s="1" t="str">
        <f>"151234"</f>
        <v>151234</v>
      </c>
      <c r="J805" s="1" t="s">
        <v>65</v>
      </c>
      <c r="K805" s="1" t="s">
        <v>52</v>
      </c>
      <c r="L805" s="1" t="str">
        <f t="shared" si="122"/>
        <v>20220923</v>
      </c>
      <c r="M805" s="1" t="str">
        <f>"152836"</f>
        <v>152836</v>
      </c>
      <c r="N805" s="1" t="s">
        <v>70</v>
      </c>
      <c r="O805" s="1" t="s">
        <v>28</v>
      </c>
      <c r="P805" s="1" t="s">
        <v>55</v>
      </c>
      <c r="Q805" s="1">
        <v>25</v>
      </c>
      <c r="R805" s="1">
        <v>25</v>
      </c>
      <c r="S805" s="1">
        <v>0</v>
      </c>
      <c r="T805" s="1">
        <v>0</v>
      </c>
      <c r="U805" s="1">
        <v>0</v>
      </c>
      <c r="V805" s="1" t="str">
        <f t="shared" si="118"/>
        <v>里程去程</v>
      </c>
      <c r="W805" s="1" t="s">
        <v>29</v>
      </c>
    </row>
    <row r="806" spans="1:23" x14ac:dyDescent="0.3">
      <c r="A806" s="1" t="str">
        <f t="shared" si="120"/>
        <v>59809</v>
      </c>
      <c r="B806" s="1" t="s">
        <v>42</v>
      </c>
      <c r="C806" s="1" t="s">
        <v>43</v>
      </c>
      <c r="D806" s="1" t="str">
        <f t="shared" si="117"/>
        <v>9801</v>
      </c>
      <c r="E806" s="1" t="s">
        <v>25</v>
      </c>
      <c r="F806" s="1" t="str">
        <f>"814142689"</f>
        <v>814142689</v>
      </c>
      <c r="G806" s="1" t="s">
        <v>26</v>
      </c>
      <c r="H806" s="1" t="str">
        <f t="shared" si="121"/>
        <v>20220923</v>
      </c>
      <c r="I806" s="1" t="str">
        <f>"151449"</f>
        <v>151449</v>
      </c>
      <c r="J806" s="1" t="s">
        <v>80</v>
      </c>
      <c r="K806" s="1" t="s">
        <v>52</v>
      </c>
      <c r="L806" s="1" t="str">
        <f t="shared" si="122"/>
        <v>20220923</v>
      </c>
      <c r="M806" s="1" t="str">
        <f>"152842"</f>
        <v>152842</v>
      </c>
      <c r="N806" s="1" t="s">
        <v>70</v>
      </c>
      <c r="O806" s="1" t="s">
        <v>28</v>
      </c>
      <c r="P806" s="1" t="s">
        <v>55</v>
      </c>
      <c r="Q806" s="1">
        <v>13</v>
      </c>
      <c r="R806" s="1">
        <v>13</v>
      </c>
      <c r="S806" s="1">
        <v>0</v>
      </c>
      <c r="T806" s="1">
        <v>0</v>
      </c>
      <c r="U806" s="1">
        <v>0</v>
      </c>
      <c r="V806" s="1" t="str">
        <f t="shared" si="118"/>
        <v>里程去程</v>
      </c>
      <c r="W806" s="1" t="s">
        <v>35</v>
      </c>
    </row>
    <row r="807" spans="1:23" x14ac:dyDescent="0.3">
      <c r="A807" s="1" t="str">
        <f t="shared" si="120"/>
        <v>59809</v>
      </c>
      <c r="B807" s="1" t="s">
        <v>42</v>
      </c>
      <c r="C807" s="1" t="s">
        <v>43</v>
      </c>
      <c r="D807" s="1" t="str">
        <f t="shared" si="117"/>
        <v>9801</v>
      </c>
      <c r="E807" s="1" t="s">
        <v>25</v>
      </c>
      <c r="F807" s="1" t="str">
        <f>"888690417"</f>
        <v>888690417</v>
      </c>
      <c r="G807" s="1" t="s">
        <v>26</v>
      </c>
      <c r="H807" s="1" t="str">
        <f t="shared" si="121"/>
        <v>20220923</v>
      </c>
      <c r="I807" s="1" t="str">
        <f>"151451"</f>
        <v>151451</v>
      </c>
      <c r="J807" s="1" t="s">
        <v>80</v>
      </c>
      <c r="K807" s="1" t="s">
        <v>52</v>
      </c>
      <c r="L807" s="1" t="str">
        <f t="shared" si="122"/>
        <v>20220923</v>
      </c>
      <c r="M807" s="1" t="str">
        <f>"152840"</f>
        <v>152840</v>
      </c>
      <c r="N807" s="1" t="s">
        <v>70</v>
      </c>
      <c r="O807" s="1" t="s">
        <v>28</v>
      </c>
      <c r="P807" s="1" t="s">
        <v>55</v>
      </c>
      <c r="Q807" s="1">
        <v>13</v>
      </c>
      <c r="R807" s="1">
        <v>13</v>
      </c>
      <c r="S807" s="1">
        <v>0</v>
      </c>
      <c r="T807" s="1">
        <v>0</v>
      </c>
      <c r="U807" s="1">
        <v>0</v>
      </c>
      <c r="V807" s="1" t="str">
        <f t="shared" si="118"/>
        <v>里程去程</v>
      </c>
      <c r="W807" s="1" t="s">
        <v>35</v>
      </c>
    </row>
    <row r="808" spans="1:23" x14ac:dyDescent="0.3">
      <c r="A808" s="1" t="str">
        <f t="shared" si="120"/>
        <v>59809</v>
      </c>
      <c r="B808" s="1" t="s">
        <v>42</v>
      </c>
      <c r="C808" s="1" t="s">
        <v>43</v>
      </c>
      <c r="D808" s="1" t="str">
        <f t="shared" si="117"/>
        <v>9801</v>
      </c>
      <c r="E808" s="1" t="s">
        <v>25</v>
      </c>
      <c r="F808" s="1" t="str">
        <f>"C2C219031A880400C834002000000015"</f>
        <v>C2C219031A880400C834002000000015</v>
      </c>
      <c r="G808" s="1" t="s">
        <v>74</v>
      </c>
      <c r="H808" s="1" t="str">
        <f t="shared" si="121"/>
        <v>20220923</v>
      </c>
      <c r="I808" s="1" t="str">
        <f>"160722"</f>
        <v>160722</v>
      </c>
      <c r="J808" s="1" t="s">
        <v>60</v>
      </c>
      <c r="K808" s="1" t="s">
        <v>52</v>
      </c>
      <c r="L808" s="1" t="str">
        <f t="shared" si="122"/>
        <v>20220923</v>
      </c>
      <c r="M808" s="1" t="str">
        <f>"161741"</f>
        <v>161741</v>
      </c>
      <c r="N808" s="1" t="s">
        <v>97</v>
      </c>
      <c r="O808" s="1" t="s">
        <v>52</v>
      </c>
      <c r="P808" s="1" t="s">
        <v>68</v>
      </c>
      <c r="Q808" s="1">
        <v>13</v>
      </c>
      <c r="R808" s="1">
        <v>0</v>
      </c>
      <c r="S808" s="1">
        <v>0</v>
      </c>
      <c r="T808" s="1">
        <v>13</v>
      </c>
      <c r="U808" s="1">
        <v>0</v>
      </c>
      <c r="V808" s="1" t="str">
        <f t="shared" si="118"/>
        <v>里程去程</v>
      </c>
      <c r="W808" s="1" t="s">
        <v>29</v>
      </c>
    </row>
    <row r="809" spans="1:23" x14ac:dyDescent="0.3">
      <c r="A809" s="1" t="str">
        <f t="shared" si="120"/>
        <v>59809</v>
      </c>
      <c r="B809" s="1" t="s">
        <v>42</v>
      </c>
      <c r="C809" s="1" t="s">
        <v>43</v>
      </c>
      <c r="D809" s="1" t="str">
        <f t="shared" si="117"/>
        <v>9801</v>
      </c>
      <c r="E809" s="1" t="s">
        <v>25</v>
      </c>
      <c r="F809" s="1" t="str">
        <f>"8227D00277880400C834002000000015"</f>
        <v>8227D00277880400C834002000000015</v>
      </c>
      <c r="G809" s="1" t="s">
        <v>26</v>
      </c>
      <c r="H809" s="1" t="str">
        <f t="shared" si="121"/>
        <v>20220923</v>
      </c>
      <c r="I809" s="1" t="str">
        <f>"162830"</f>
        <v>162830</v>
      </c>
      <c r="J809" s="1" t="s">
        <v>83</v>
      </c>
      <c r="K809" s="1" t="s">
        <v>52</v>
      </c>
      <c r="L809" s="1" t="str">
        <f t="shared" si="122"/>
        <v>20220923</v>
      </c>
      <c r="M809" s="1" t="str">
        <f>"163500"</f>
        <v>163500</v>
      </c>
      <c r="N809" s="1" t="s">
        <v>70</v>
      </c>
      <c r="O809" s="1" t="s">
        <v>28</v>
      </c>
      <c r="P809" s="1" t="s">
        <v>68</v>
      </c>
      <c r="Q809" s="1">
        <v>13</v>
      </c>
      <c r="R809" s="1">
        <v>0</v>
      </c>
      <c r="S809" s="1">
        <v>0</v>
      </c>
      <c r="T809" s="1">
        <v>13</v>
      </c>
      <c r="U809" s="1">
        <v>0</v>
      </c>
      <c r="V809" s="1" t="str">
        <f t="shared" si="118"/>
        <v>里程去程</v>
      </c>
      <c r="W809" s="1" t="s">
        <v>29</v>
      </c>
    </row>
    <row r="810" spans="1:23" x14ac:dyDescent="0.3">
      <c r="A810" s="1" t="str">
        <f t="shared" si="120"/>
        <v>59809</v>
      </c>
      <c r="B810" s="1" t="s">
        <v>42</v>
      </c>
      <c r="C810" s="1" t="s">
        <v>43</v>
      </c>
      <c r="D810" s="1" t="str">
        <f t="shared" si="117"/>
        <v>9801</v>
      </c>
      <c r="E810" s="1" t="s">
        <v>25</v>
      </c>
      <c r="F810" s="1" t="str">
        <f>"E08803711A880400468F745955402811"</f>
        <v>E08803711A880400468F745955402811</v>
      </c>
      <c r="G810" s="1" t="s">
        <v>59</v>
      </c>
      <c r="H810" s="1" t="str">
        <f t="shared" si="121"/>
        <v>20220923</v>
      </c>
      <c r="I810" s="1" t="str">
        <f>"202257"</f>
        <v>202257</v>
      </c>
      <c r="J810" s="1" t="s">
        <v>67</v>
      </c>
      <c r="K810" s="1" t="s">
        <v>52</v>
      </c>
      <c r="L810" s="1" t="str">
        <f t="shared" si="122"/>
        <v>20220923</v>
      </c>
      <c r="M810" s="1" t="str">
        <f>"203037"</f>
        <v>203037</v>
      </c>
      <c r="N810" s="1" t="s">
        <v>70</v>
      </c>
      <c r="O810" s="1" t="s">
        <v>28</v>
      </c>
      <c r="P810" s="1" t="s">
        <v>55</v>
      </c>
      <c r="Q810" s="1">
        <v>25</v>
      </c>
      <c r="R810" s="1">
        <v>25</v>
      </c>
      <c r="S810" s="1">
        <v>0</v>
      </c>
      <c r="T810" s="1">
        <v>0</v>
      </c>
      <c r="U810" s="1">
        <v>0</v>
      </c>
      <c r="V810" s="1" t="str">
        <f t="shared" si="118"/>
        <v>里程去程</v>
      </c>
      <c r="W810" s="1" t="s">
        <v>29</v>
      </c>
    </row>
    <row r="811" spans="1:23" x14ac:dyDescent="0.3">
      <c r="A811" s="1" t="str">
        <f t="shared" ref="A811:A824" si="123">"59822"</f>
        <v>59822</v>
      </c>
      <c r="B811" s="1" t="s">
        <v>39</v>
      </c>
      <c r="C811" s="1" t="s">
        <v>40</v>
      </c>
      <c r="D811" s="1" t="str">
        <f t="shared" si="117"/>
        <v>9801</v>
      </c>
      <c r="E811" s="1" t="s">
        <v>25</v>
      </c>
      <c r="F811" s="1" t="str">
        <f>"7227E702B0880400C834002000000015"</f>
        <v>7227E702B0880400C834002000000015</v>
      </c>
      <c r="G811" s="1" t="s">
        <v>74</v>
      </c>
      <c r="H811" s="1" t="str">
        <f t="shared" si="121"/>
        <v>20220923</v>
      </c>
      <c r="I811" s="1" t="str">
        <f>"075842"</f>
        <v>075842</v>
      </c>
      <c r="J811" s="1" t="s">
        <v>52</v>
      </c>
      <c r="K811" s="1" t="s">
        <v>52</v>
      </c>
      <c r="L811" s="1" t="str">
        <f t="shared" si="122"/>
        <v>20220923</v>
      </c>
      <c r="M811" s="1" t="str">
        <f>"081607"</f>
        <v>081607</v>
      </c>
      <c r="N811" s="1" t="s">
        <v>80</v>
      </c>
      <c r="O811" s="1" t="s">
        <v>52</v>
      </c>
      <c r="P811" s="1" t="s">
        <v>68</v>
      </c>
      <c r="Q811" s="1">
        <v>13</v>
      </c>
      <c r="R811" s="1">
        <v>0</v>
      </c>
      <c r="S811" s="1">
        <v>0</v>
      </c>
      <c r="T811" s="1">
        <v>13</v>
      </c>
      <c r="U811" s="1">
        <v>0</v>
      </c>
      <c r="V811" s="1" t="str">
        <f t="shared" si="118"/>
        <v>里程去程</v>
      </c>
      <c r="W811" s="1" t="s">
        <v>29</v>
      </c>
    </row>
    <row r="812" spans="1:23" x14ac:dyDescent="0.3">
      <c r="A812" s="1" t="str">
        <f t="shared" si="123"/>
        <v>59822</v>
      </c>
      <c r="B812" s="1" t="s">
        <v>39</v>
      </c>
      <c r="C812" s="1" t="s">
        <v>40</v>
      </c>
      <c r="D812" s="1" t="str">
        <f t="shared" si="117"/>
        <v>9801</v>
      </c>
      <c r="E812" s="1" t="s">
        <v>25</v>
      </c>
      <c r="F812" s="1" t="str">
        <f>"429239009"</f>
        <v>429239009</v>
      </c>
      <c r="G812" s="1" t="s">
        <v>33</v>
      </c>
      <c r="H812" s="1" t="str">
        <f t="shared" si="121"/>
        <v>20220923</v>
      </c>
      <c r="I812" s="1" t="str">
        <f>"081358"</f>
        <v>081358</v>
      </c>
      <c r="J812" s="1" t="s">
        <v>65</v>
      </c>
      <c r="K812" s="1" t="s">
        <v>52</v>
      </c>
      <c r="L812" s="1" t="str">
        <f t="shared" si="122"/>
        <v>20220923</v>
      </c>
      <c r="M812" s="1" t="str">
        <f>"083331"</f>
        <v>083331</v>
      </c>
      <c r="N812" s="1" t="s">
        <v>70</v>
      </c>
      <c r="O812" s="1" t="s">
        <v>28</v>
      </c>
      <c r="P812" s="1" t="s">
        <v>55</v>
      </c>
      <c r="Q812" s="1">
        <v>25</v>
      </c>
      <c r="R812" s="1">
        <v>25</v>
      </c>
      <c r="S812" s="1">
        <v>0</v>
      </c>
      <c r="T812" s="1">
        <v>0</v>
      </c>
      <c r="U812" s="1">
        <v>0</v>
      </c>
      <c r="V812" s="1" t="str">
        <f t="shared" si="118"/>
        <v>里程去程</v>
      </c>
      <c r="W812" s="1" t="s">
        <v>35</v>
      </c>
    </row>
    <row r="813" spans="1:23" x14ac:dyDescent="0.3">
      <c r="A813" s="1" t="str">
        <f t="shared" si="123"/>
        <v>59822</v>
      </c>
      <c r="B813" s="1" t="s">
        <v>39</v>
      </c>
      <c r="C813" s="1" t="s">
        <v>40</v>
      </c>
      <c r="D813" s="1" t="str">
        <f t="shared" si="117"/>
        <v>9801</v>
      </c>
      <c r="E813" s="1" t="s">
        <v>25</v>
      </c>
      <c r="F813" s="1" t="str">
        <f>"814099985"</f>
        <v>814099985</v>
      </c>
      <c r="G813" s="1" t="s">
        <v>26</v>
      </c>
      <c r="H813" s="1" t="str">
        <f t="shared" si="121"/>
        <v>20220923</v>
      </c>
      <c r="I813" s="1" t="str">
        <f>"082003"</f>
        <v>082003</v>
      </c>
      <c r="J813" s="1" t="s">
        <v>77</v>
      </c>
      <c r="K813" s="1" t="s">
        <v>52</v>
      </c>
      <c r="L813" s="1" t="str">
        <f t="shared" si="122"/>
        <v>20220923</v>
      </c>
      <c r="M813" s="1" t="str">
        <f>"083323"</f>
        <v>083323</v>
      </c>
      <c r="N813" s="1" t="s">
        <v>70</v>
      </c>
      <c r="O813" s="1" t="s">
        <v>28</v>
      </c>
      <c r="P813" s="1" t="s">
        <v>55</v>
      </c>
      <c r="Q813" s="1">
        <v>13</v>
      </c>
      <c r="R813" s="1">
        <v>13</v>
      </c>
      <c r="S813" s="1">
        <v>0</v>
      </c>
      <c r="T813" s="1">
        <v>0</v>
      </c>
      <c r="U813" s="1">
        <v>0</v>
      </c>
      <c r="V813" s="1" t="str">
        <f t="shared" si="118"/>
        <v>里程去程</v>
      </c>
      <c r="W813" s="1" t="s">
        <v>35</v>
      </c>
    </row>
    <row r="814" spans="1:23" x14ac:dyDescent="0.3">
      <c r="A814" s="1" t="str">
        <f t="shared" si="123"/>
        <v>59822</v>
      </c>
      <c r="B814" s="1" t="s">
        <v>39</v>
      </c>
      <c r="C814" s="1" t="s">
        <v>40</v>
      </c>
      <c r="D814" s="1" t="str">
        <f t="shared" si="117"/>
        <v>9801</v>
      </c>
      <c r="E814" s="1" t="s">
        <v>25</v>
      </c>
      <c r="F814" s="1" t="str">
        <f>"252079535"</f>
        <v>252079535</v>
      </c>
      <c r="G814" s="1" t="s">
        <v>26</v>
      </c>
      <c r="H814" s="1" t="str">
        <f t="shared" si="121"/>
        <v>20220923</v>
      </c>
      <c r="I814" s="1" t="str">
        <f>"082005"</f>
        <v>082005</v>
      </c>
      <c r="J814" s="1" t="s">
        <v>77</v>
      </c>
      <c r="K814" s="1" t="s">
        <v>52</v>
      </c>
      <c r="L814" s="1" t="str">
        <f t="shared" si="122"/>
        <v>20220923</v>
      </c>
      <c r="M814" s="1" t="str">
        <f>"083321"</f>
        <v>083321</v>
      </c>
      <c r="N814" s="1" t="s">
        <v>70</v>
      </c>
      <c r="O814" s="1" t="s">
        <v>28</v>
      </c>
      <c r="P814" s="1" t="s">
        <v>55</v>
      </c>
      <c r="Q814" s="1">
        <v>13</v>
      </c>
      <c r="R814" s="1">
        <v>13</v>
      </c>
      <c r="S814" s="1">
        <v>0</v>
      </c>
      <c r="T814" s="1">
        <v>0</v>
      </c>
      <c r="U814" s="1">
        <v>0</v>
      </c>
      <c r="V814" s="1" t="str">
        <f t="shared" si="118"/>
        <v>里程去程</v>
      </c>
      <c r="W814" s="1" t="s">
        <v>35</v>
      </c>
    </row>
    <row r="815" spans="1:23" x14ac:dyDescent="0.3">
      <c r="A815" s="1" t="str">
        <f t="shared" si="123"/>
        <v>59822</v>
      </c>
      <c r="B815" s="1" t="s">
        <v>39</v>
      </c>
      <c r="C815" s="1" t="s">
        <v>40</v>
      </c>
      <c r="D815" s="1" t="str">
        <f t="shared" si="117"/>
        <v>9801</v>
      </c>
      <c r="E815" s="1" t="s">
        <v>25</v>
      </c>
      <c r="F815" s="1" t="str">
        <f>"F2F7D002D7880400C834002000000015"</f>
        <v>F2F7D002D7880400C834002000000015</v>
      </c>
      <c r="G815" s="1" t="s">
        <v>74</v>
      </c>
      <c r="H815" s="1" t="str">
        <f t="shared" si="121"/>
        <v>20220923</v>
      </c>
      <c r="I815" s="1" t="str">
        <f>"082531"</f>
        <v>082531</v>
      </c>
      <c r="J815" s="1" t="s">
        <v>67</v>
      </c>
      <c r="K815" s="1" t="s">
        <v>52</v>
      </c>
      <c r="L815" s="1" t="str">
        <f t="shared" si="122"/>
        <v>20220923</v>
      </c>
      <c r="M815" s="1" t="str">
        <f>"085458"</f>
        <v>085458</v>
      </c>
      <c r="N815" s="1" t="s">
        <v>44</v>
      </c>
      <c r="O815" s="1" t="s">
        <v>45</v>
      </c>
      <c r="P815" s="1" t="s">
        <v>68</v>
      </c>
      <c r="Q815" s="1">
        <v>25</v>
      </c>
      <c r="R815" s="1">
        <v>0</v>
      </c>
      <c r="S815" s="1">
        <v>0</v>
      </c>
      <c r="T815" s="1">
        <v>25</v>
      </c>
      <c r="U815" s="1">
        <v>0</v>
      </c>
      <c r="V815" s="1" t="str">
        <f t="shared" si="118"/>
        <v>里程去程</v>
      </c>
      <c r="W815" s="1" t="s">
        <v>29</v>
      </c>
    </row>
    <row r="816" spans="1:23" x14ac:dyDescent="0.3">
      <c r="A816" s="1" t="str">
        <f t="shared" si="123"/>
        <v>59822</v>
      </c>
      <c r="B816" s="1" t="s">
        <v>39</v>
      </c>
      <c r="C816" s="1" t="s">
        <v>40</v>
      </c>
      <c r="D816" s="1" t="str">
        <f t="shared" si="117"/>
        <v>9801</v>
      </c>
      <c r="E816" s="1" t="s">
        <v>25</v>
      </c>
      <c r="F816" s="1" t="str">
        <f>"2895381830"</f>
        <v>2895381830</v>
      </c>
      <c r="G816" s="1" t="s">
        <v>33</v>
      </c>
      <c r="H816" s="1" t="str">
        <f t="shared" si="121"/>
        <v>20220923</v>
      </c>
      <c r="I816" s="1" t="str">
        <f>"083338"</f>
        <v>083338</v>
      </c>
      <c r="J816" s="1" t="s">
        <v>27</v>
      </c>
      <c r="K816" s="1" t="s">
        <v>28</v>
      </c>
      <c r="L816" s="1" t="str">
        <f t="shared" si="122"/>
        <v>20220923</v>
      </c>
      <c r="M816" s="1" t="str">
        <f>"085413"</f>
        <v>085413</v>
      </c>
      <c r="N816" s="1" t="s">
        <v>44</v>
      </c>
      <c r="O816" s="1" t="s">
        <v>45</v>
      </c>
      <c r="P816" s="1" t="s">
        <v>55</v>
      </c>
      <c r="Q816" s="1">
        <v>25</v>
      </c>
      <c r="R816" s="1">
        <v>25</v>
      </c>
      <c r="S816" s="1">
        <v>0</v>
      </c>
      <c r="T816" s="1">
        <v>0</v>
      </c>
      <c r="U816" s="1">
        <v>0</v>
      </c>
      <c r="V816" s="1" t="str">
        <f t="shared" si="118"/>
        <v>里程去程</v>
      </c>
      <c r="W816" s="1" t="s">
        <v>35</v>
      </c>
    </row>
    <row r="817" spans="1:23" x14ac:dyDescent="0.3">
      <c r="A817" s="1" t="str">
        <f t="shared" si="123"/>
        <v>59822</v>
      </c>
      <c r="B817" s="1" t="s">
        <v>39</v>
      </c>
      <c r="C817" s="1" t="s">
        <v>40</v>
      </c>
      <c r="D817" s="1" t="str">
        <f t="shared" si="117"/>
        <v>9801</v>
      </c>
      <c r="E817" s="1" t="s">
        <v>25</v>
      </c>
      <c r="F817" s="1" t="str">
        <f>"82730F18E6880400C814002000000019"</f>
        <v>82730F18E6880400C814002000000019</v>
      </c>
      <c r="G817" s="1" t="s">
        <v>59</v>
      </c>
      <c r="H817" s="1" t="str">
        <f t="shared" si="121"/>
        <v>20220923</v>
      </c>
      <c r="I817" s="1" t="str">
        <f>"083341"</f>
        <v>083341</v>
      </c>
      <c r="J817" s="1" t="s">
        <v>27</v>
      </c>
      <c r="K817" s="1" t="s">
        <v>28</v>
      </c>
      <c r="L817" s="1" t="str">
        <f t="shared" si="122"/>
        <v>20220923</v>
      </c>
      <c r="M817" s="1" t="str">
        <f>"085556"</f>
        <v>085556</v>
      </c>
      <c r="N817" s="1" t="s">
        <v>44</v>
      </c>
      <c r="O817" s="1" t="s">
        <v>45</v>
      </c>
      <c r="P817" s="1" t="s">
        <v>55</v>
      </c>
      <c r="Q817" s="1">
        <v>25</v>
      </c>
      <c r="R817" s="1">
        <v>0</v>
      </c>
      <c r="S817" s="1">
        <v>25</v>
      </c>
      <c r="T817" s="1">
        <v>0</v>
      </c>
      <c r="U817" s="1">
        <v>0</v>
      </c>
      <c r="V817" s="1" t="str">
        <f t="shared" si="118"/>
        <v>里程去程</v>
      </c>
      <c r="W817" s="1" t="s">
        <v>29</v>
      </c>
    </row>
    <row r="818" spans="1:23" x14ac:dyDescent="0.3">
      <c r="A818" s="1" t="str">
        <f t="shared" si="123"/>
        <v>59822</v>
      </c>
      <c r="B818" s="1" t="s">
        <v>39</v>
      </c>
      <c r="C818" s="1" t="s">
        <v>40</v>
      </c>
      <c r="D818" s="1" t="str">
        <f t="shared" si="117"/>
        <v>9801</v>
      </c>
      <c r="E818" s="1" t="s">
        <v>25</v>
      </c>
      <c r="F818" s="1" t="str">
        <f>"1737283381"</f>
        <v>1737283381</v>
      </c>
      <c r="G818" s="1" t="s">
        <v>33</v>
      </c>
      <c r="H818" s="1" t="str">
        <f t="shared" si="121"/>
        <v>20220923</v>
      </c>
      <c r="I818" s="1" t="str">
        <f>"083344"</f>
        <v>083344</v>
      </c>
      <c r="J818" s="1" t="s">
        <v>27</v>
      </c>
      <c r="K818" s="1" t="s">
        <v>28</v>
      </c>
      <c r="L818" s="1" t="str">
        <f t="shared" si="122"/>
        <v>20220923</v>
      </c>
      <c r="M818" s="1" t="str">
        <f>"084612"</f>
        <v>084612</v>
      </c>
      <c r="N818" s="1" t="s">
        <v>56</v>
      </c>
      <c r="O818" s="1" t="s">
        <v>45</v>
      </c>
      <c r="P818" s="1" t="s">
        <v>55</v>
      </c>
      <c r="Q818" s="1">
        <v>25</v>
      </c>
      <c r="R818" s="1">
        <v>0</v>
      </c>
      <c r="S818" s="1">
        <v>25</v>
      </c>
      <c r="T818" s="1">
        <v>0</v>
      </c>
      <c r="U818" s="1">
        <v>0</v>
      </c>
      <c r="V818" s="1" t="str">
        <f t="shared" si="118"/>
        <v>里程去程</v>
      </c>
      <c r="W818" s="1" t="s">
        <v>35</v>
      </c>
    </row>
    <row r="819" spans="1:23" x14ac:dyDescent="0.3">
      <c r="A819" s="1" t="str">
        <f t="shared" si="123"/>
        <v>59822</v>
      </c>
      <c r="B819" s="1" t="s">
        <v>39</v>
      </c>
      <c r="C819" s="1" t="s">
        <v>40</v>
      </c>
      <c r="D819" s="1" t="str">
        <f t="shared" si="117"/>
        <v>9801</v>
      </c>
      <c r="E819" s="1" t="s">
        <v>25</v>
      </c>
      <c r="F819" s="1" t="str">
        <f>"1204061808880400C814002000000019"</f>
        <v>1204061808880400C814002000000019</v>
      </c>
      <c r="G819" s="1" t="s">
        <v>59</v>
      </c>
      <c r="H819" s="1" t="str">
        <f t="shared" si="121"/>
        <v>20220923</v>
      </c>
      <c r="I819" s="1" t="str">
        <f>"083348"</f>
        <v>083348</v>
      </c>
      <c r="J819" s="1" t="s">
        <v>27</v>
      </c>
      <c r="K819" s="1" t="s">
        <v>28</v>
      </c>
      <c r="L819" s="1" t="str">
        <f t="shared" si="122"/>
        <v>20220923</v>
      </c>
      <c r="M819" s="1" t="str">
        <f>"085559"</f>
        <v>085559</v>
      </c>
      <c r="N819" s="1" t="s">
        <v>44</v>
      </c>
      <c r="O819" s="1" t="s">
        <v>45</v>
      </c>
      <c r="P819" s="1" t="s">
        <v>55</v>
      </c>
      <c r="Q819" s="1">
        <v>25</v>
      </c>
      <c r="R819" s="1">
        <v>0</v>
      </c>
      <c r="S819" s="1">
        <v>25</v>
      </c>
      <c r="T819" s="1">
        <v>0</v>
      </c>
      <c r="U819" s="1">
        <v>0</v>
      </c>
      <c r="V819" s="1" t="str">
        <f t="shared" si="118"/>
        <v>里程去程</v>
      </c>
      <c r="W819" s="1" t="s">
        <v>29</v>
      </c>
    </row>
    <row r="820" spans="1:23" x14ac:dyDescent="0.3">
      <c r="A820" s="1" t="str">
        <f t="shared" si="123"/>
        <v>59822</v>
      </c>
      <c r="B820" s="1" t="s">
        <v>39</v>
      </c>
      <c r="C820" s="1" t="s">
        <v>40</v>
      </c>
      <c r="D820" s="1" t="str">
        <f t="shared" si="117"/>
        <v>9801</v>
      </c>
      <c r="E820" s="1" t="s">
        <v>25</v>
      </c>
      <c r="F820" s="1" t="str">
        <f>"E213BD024E880400C834002000000015"</f>
        <v>E213BD024E880400C834002000000015</v>
      </c>
      <c r="G820" s="1" t="s">
        <v>74</v>
      </c>
      <c r="H820" s="1" t="str">
        <f t="shared" si="121"/>
        <v>20220923</v>
      </c>
      <c r="I820" s="1" t="str">
        <f>"093047"</f>
        <v>093047</v>
      </c>
      <c r="J820" s="1" t="s">
        <v>27</v>
      </c>
      <c r="K820" s="1" t="s">
        <v>28</v>
      </c>
      <c r="L820" s="1" t="str">
        <f t="shared" si="122"/>
        <v>20220923</v>
      </c>
      <c r="M820" s="1" t="str">
        <f>"094730"</f>
        <v>094730</v>
      </c>
      <c r="N820" s="1" t="s">
        <v>61</v>
      </c>
      <c r="O820" s="1" t="s">
        <v>45</v>
      </c>
      <c r="P820" s="1" t="s">
        <v>68</v>
      </c>
      <c r="Q820" s="1">
        <v>13</v>
      </c>
      <c r="R820" s="1">
        <v>0</v>
      </c>
      <c r="S820" s="1">
        <v>0</v>
      </c>
      <c r="T820" s="1">
        <v>13</v>
      </c>
      <c r="U820" s="1">
        <v>0</v>
      </c>
      <c r="V820" s="1" t="str">
        <f t="shared" si="118"/>
        <v>里程去程</v>
      </c>
      <c r="W820" s="1" t="s">
        <v>29</v>
      </c>
    </row>
    <row r="821" spans="1:23" x14ac:dyDescent="0.3">
      <c r="A821" s="1" t="str">
        <f t="shared" si="123"/>
        <v>59822</v>
      </c>
      <c r="B821" s="1" t="s">
        <v>39</v>
      </c>
      <c r="C821" s="1" t="s">
        <v>40</v>
      </c>
      <c r="D821" s="1" t="str">
        <f t="shared" si="117"/>
        <v>9801</v>
      </c>
      <c r="E821" s="1" t="s">
        <v>25</v>
      </c>
      <c r="F821" s="1" t="str">
        <f>"595029601"</f>
        <v>595029601</v>
      </c>
      <c r="G821" s="1" t="s">
        <v>33</v>
      </c>
      <c r="H821" s="1" t="str">
        <f t="shared" si="121"/>
        <v>20220923</v>
      </c>
      <c r="I821" s="1" t="str">
        <f>"093051"</f>
        <v>093051</v>
      </c>
      <c r="J821" s="1" t="s">
        <v>27</v>
      </c>
      <c r="K821" s="1" t="s">
        <v>28</v>
      </c>
      <c r="L821" s="1" t="str">
        <f t="shared" si="122"/>
        <v>20220923</v>
      </c>
      <c r="M821" s="1" t="str">
        <f>"094845"</f>
        <v>094845</v>
      </c>
      <c r="N821" s="1" t="s">
        <v>56</v>
      </c>
      <c r="O821" s="1" t="s">
        <v>45</v>
      </c>
      <c r="P821" s="1" t="s">
        <v>55</v>
      </c>
      <c r="Q821" s="1">
        <v>25</v>
      </c>
      <c r="R821" s="1">
        <v>25</v>
      </c>
      <c r="S821" s="1">
        <v>0</v>
      </c>
      <c r="T821" s="1">
        <v>0</v>
      </c>
      <c r="U821" s="1">
        <v>0</v>
      </c>
      <c r="V821" s="1" t="str">
        <f t="shared" si="118"/>
        <v>里程去程</v>
      </c>
      <c r="W821" s="1" t="s">
        <v>35</v>
      </c>
    </row>
    <row r="822" spans="1:23" x14ac:dyDescent="0.3">
      <c r="A822" s="1" t="str">
        <f t="shared" si="123"/>
        <v>59822</v>
      </c>
      <c r="B822" s="1" t="s">
        <v>39</v>
      </c>
      <c r="C822" s="1" t="s">
        <v>40</v>
      </c>
      <c r="D822" s="1" t="str">
        <f t="shared" si="117"/>
        <v>9801</v>
      </c>
      <c r="E822" s="1" t="s">
        <v>25</v>
      </c>
      <c r="F822" s="1" t="str">
        <f>"D1E85F036588040043252B4B0019050F"</f>
        <v>D1E85F036588040043252B4B0019050F</v>
      </c>
      <c r="G822" s="1" t="s">
        <v>26</v>
      </c>
      <c r="H822" s="1" t="str">
        <f t="shared" si="121"/>
        <v>20220923</v>
      </c>
      <c r="I822" s="1" t="str">
        <f>"093056"</f>
        <v>093056</v>
      </c>
      <c r="J822" s="1" t="s">
        <v>27</v>
      </c>
      <c r="K822" s="1" t="s">
        <v>28</v>
      </c>
      <c r="L822" s="1" t="str">
        <f t="shared" si="122"/>
        <v>20220923</v>
      </c>
      <c r="M822" s="1" t="str">
        <f>"094344"</f>
        <v>094344</v>
      </c>
      <c r="N822" s="1" t="s">
        <v>79</v>
      </c>
      <c r="O822" s="1" t="s">
        <v>45</v>
      </c>
      <c r="P822" s="1" t="s">
        <v>55</v>
      </c>
      <c r="Q822" s="1">
        <v>13</v>
      </c>
      <c r="R822" s="1">
        <v>13</v>
      </c>
      <c r="S822" s="1">
        <v>0</v>
      </c>
      <c r="T822" s="1">
        <v>0</v>
      </c>
      <c r="U822" s="1">
        <v>0</v>
      </c>
      <c r="V822" s="1" t="str">
        <f t="shared" si="118"/>
        <v>里程去程</v>
      </c>
      <c r="W822" s="1" t="s">
        <v>29</v>
      </c>
    </row>
    <row r="823" spans="1:23" x14ac:dyDescent="0.3">
      <c r="A823" s="1" t="str">
        <f t="shared" si="123"/>
        <v>59822</v>
      </c>
      <c r="B823" s="1" t="s">
        <v>39</v>
      </c>
      <c r="C823" s="1" t="s">
        <v>40</v>
      </c>
      <c r="D823" s="1" t="str">
        <f t="shared" si="117"/>
        <v>9801</v>
      </c>
      <c r="E823" s="1" t="s">
        <v>25</v>
      </c>
      <c r="F823" s="1" t="str">
        <f>"6280E61A1E880400C817002000000021"</f>
        <v>6280E61A1E880400C817002000000021</v>
      </c>
      <c r="G823" s="1" t="s">
        <v>58</v>
      </c>
      <c r="H823" s="1" t="str">
        <f t="shared" si="121"/>
        <v>20220923</v>
      </c>
      <c r="I823" s="1" t="str">
        <f>"093331"</f>
        <v>093331</v>
      </c>
      <c r="J823" s="1" t="s">
        <v>27</v>
      </c>
      <c r="K823" s="1" t="s">
        <v>28</v>
      </c>
      <c r="L823" s="1" t="str">
        <f t="shared" si="122"/>
        <v>20220923</v>
      </c>
      <c r="M823" s="1" t="str">
        <f>"094816"</f>
        <v>094816</v>
      </c>
      <c r="N823" s="1" t="s">
        <v>56</v>
      </c>
      <c r="O823" s="1" t="s">
        <v>45</v>
      </c>
      <c r="P823" s="1" t="s">
        <v>55</v>
      </c>
      <c r="Q823" s="1">
        <v>25</v>
      </c>
      <c r="R823" s="1">
        <v>0</v>
      </c>
      <c r="S823" s="1">
        <v>25</v>
      </c>
      <c r="T823" s="1">
        <v>0</v>
      </c>
      <c r="U823" s="1">
        <v>0</v>
      </c>
      <c r="V823" s="1" t="str">
        <f t="shared" si="118"/>
        <v>里程去程</v>
      </c>
      <c r="W823" s="1" t="s">
        <v>29</v>
      </c>
    </row>
    <row r="824" spans="1:23" x14ac:dyDescent="0.3">
      <c r="A824" s="1" t="str">
        <f t="shared" si="123"/>
        <v>59822</v>
      </c>
      <c r="B824" s="1" t="s">
        <v>39</v>
      </c>
      <c r="C824" s="1" t="s">
        <v>40</v>
      </c>
      <c r="D824" s="1" t="str">
        <f t="shared" si="117"/>
        <v>9801</v>
      </c>
      <c r="E824" s="1" t="s">
        <v>25</v>
      </c>
      <c r="F824" s="1" t="str">
        <f>"32780D0344880400C834002000000015"</f>
        <v>32780D0344880400C834002000000015</v>
      </c>
      <c r="G824" s="1" t="s">
        <v>26</v>
      </c>
      <c r="H824" s="1" t="str">
        <f t="shared" si="121"/>
        <v>20220923</v>
      </c>
      <c r="I824" s="1" t="str">
        <f>"093657"</f>
        <v>093657</v>
      </c>
      <c r="J824" s="1" t="s">
        <v>27</v>
      </c>
      <c r="K824" s="1" t="s">
        <v>28</v>
      </c>
      <c r="L824" s="1" t="str">
        <f t="shared" si="122"/>
        <v>20220923</v>
      </c>
      <c r="M824" s="1" t="str">
        <f>"094820"</f>
        <v>094820</v>
      </c>
      <c r="N824" s="1" t="s">
        <v>56</v>
      </c>
      <c r="O824" s="1" t="s">
        <v>45</v>
      </c>
      <c r="P824" s="1" t="s">
        <v>68</v>
      </c>
      <c r="Q824" s="1">
        <v>13</v>
      </c>
      <c r="R824" s="1">
        <v>0</v>
      </c>
      <c r="S824" s="1">
        <v>0</v>
      </c>
      <c r="T824" s="1">
        <v>13</v>
      </c>
      <c r="U824" s="1">
        <v>0</v>
      </c>
      <c r="V824" s="1" t="str">
        <f t="shared" si="118"/>
        <v>里程去程</v>
      </c>
      <c r="W824" s="1" t="s">
        <v>29</v>
      </c>
    </row>
    <row r="825" spans="1:23" x14ac:dyDescent="0.3">
      <c r="A825" s="1" t="str">
        <f t="shared" ref="A825:A846" si="124">"59809"</f>
        <v>59809</v>
      </c>
      <c r="B825" s="1" t="s">
        <v>42</v>
      </c>
      <c r="C825" s="1" t="s">
        <v>43</v>
      </c>
      <c r="D825" s="1" t="str">
        <f t="shared" si="117"/>
        <v>9801</v>
      </c>
      <c r="E825" s="1" t="s">
        <v>25</v>
      </c>
      <c r="F825" s="1" t="str">
        <f>"A1069A516C2804001C00000000000000"</f>
        <v>A1069A516C2804001C00000000000000</v>
      </c>
      <c r="G825" s="1" t="s">
        <v>58</v>
      </c>
      <c r="H825" s="1" t="str">
        <f t="shared" ref="H825:H858" si="125">"20220924"</f>
        <v>20220924</v>
      </c>
      <c r="I825" s="1" t="str">
        <f>"111446"</f>
        <v>111446</v>
      </c>
      <c r="J825" s="1" t="s">
        <v>97</v>
      </c>
      <c r="K825" s="1" t="s">
        <v>52</v>
      </c>
      <c r="L825" s="1" t="str">
        <f t="shared" ref="L825:L858" si="126">"20220924"</f>
        <v>20220924</v>
      </c>
      <c r="M825" s="1" t="str">
        <f>"113052"</f>
        <v>113052</v>
      </c>
      <c r="N825" s="1" t="s">
        <v>70</v>
      </c>
      <c r="O825" s="1" t="s">
        <v>28</v>
      </c>
      <c r="P825" s="1" t="s">
        <v>55</v>
      </c>
      <c r="Q825" s="1">
        <v>25</v>
      </c>
      <c r="R825" s="1">
        <v>25</v>
      </c>
      <c r="S825" s="1">
        <v>0</v>
      </c>
      <c r="T825" s="1">
        <v>0</v>
      </c>
      <c r="U825" s="1">
        <v>0</v>
      </c>
      <c r="V825" s="1" t="str">
        <f t="shared" si="118"/>
        <v>里程去程</v>
      </c>
      <c r="W825" s="1" t="s">
        <v>29</v>
      </c>
    </row>
    <row r="826" spans="1:23" x14ac:dyDescent="0.3">
      <c r="A826" s="1" t="str">
        <f t="shared" si="124"/>
        <v>59809</v>
      </c>
      <c r="B826" s="1" t="s">
        <v>42</v>
      </c>
      <c r="C826" s="1" t="s">
        <v>43</v>
      </c>
      <c r="D826" s="1" t="str">
        <f t="shared" si="117"/>
        <v>9801</v>
      </c>
      <c r="E826" s="1" t="s">
        <v>25</v>
      </c>
      <c r="F826" s="1" t="str">
        <f>"964606673"</f>
        <v>964606673</v>
      </c>
      <c r="G826" s="1" t="s">
        <v>33</v>
      </c>
      <c r="H826" s="1" t="str">
        <f t="shared" si="125"/>
        <v>20220924</v>
      </c>
      <c r="I826" s="1" t="str">
        <f>"113101"</f>
        <v>113101</v>
      </c>
      <c r="J826" s="1" t="s">
        <v>27</v>
      </c>
      <c r="K826" s="1" t="s">
        <v>28</v>
      </c>
      <c r="L826" s="1" t="str">
        <f t="shared" si="126"/>
        <v>20220924</v>
      </c>
      <c r="M826" s="1" t="str">
        <f>"115212"</f>
        <v>115212</v>
      </c>
      <c r="N826" s="1" t="s">
        <v>44</v>
      </c>
      <c r="O826" s="1" t="s">
        <v>45</v>
      </c>
      <c r="P826" s="1" t="s">
        <v>55</v>
      </c>
      <c r="Q826" s="1">
        <v>25</v>
      </c>
      <c r="R826" s="1">
        <v>25</v>
      </c>
      <c r="S826" s="1">
        <v>0</v>
      </c>
      <c r="T826" s="1">
        <v>0</v>
      </c>
      <c r="U826" s="1">
        <v>0</v>
      </c>
      <c r="V826" s="1" t="str">
        <f t="shared" si="118"/>
        <v>里程去程</v>
      </c>
      <c r="W826" s="1" t="s">
        <v>35</v>
      </c>
    </row>
    <row r="827" spans="1:23" x14ac:dyDescent="0.3">
      <c r="A827" s="1" t="str">
        <f t="shared" si="124"/>
        <v>59809</v>
      </c>
      <c r="B827" s="1" t="s">
        <v>42</v>
      </c>
      <c r="C827" s="1" t="s">
        <v>43</v>
      </c>
      <c r="D827" s="1" t="str">
        <f t="shared" si="117"/>
        <v>9801</v>
      </c>
      <c r="E827" s="1" t="s">
        <v>25</v>
      </c>
      <c r="F827" s="1" t="str">
        <f>"422984049"</f>
        <v>422984049</v>
      </c>
      <c r="G827" s="1" t="s">
        <v>33</v>
      </c>
      <c r="H827" s="1" t="str">
        <f t="shared" si="125"/>
        <v>20220924</v>
      </c>
      <c r="I827" s="1" t="str">
        <f>"113103"</f>
        <v>113103</v>
      </c>
      <c r="J827" s="1" t="s">
        <v>27</v>
      </c>
      <c r="K827" s="1" t="s">
        <v>28</v>
      </c>
      <c r="L827" s="1" t="str">
        <f t="shared" si="126"/>
        <v>20220924</v>
      </c>
      <c r="M827" s="1" t="str">
        <f>"115209"</f>
        <v>115209</v>
      </c>
      <c r="N827" s="1" t="s">
        <v>44</v>
      </c>
      <c r="O827" s="1" t="s">
        <v>45</v>
      </c>
      <c r="P827" s="1" t="s">
        <v>55</v>
      </c>
      <c r="Q827" s="1">
        <v>25</v>
      </c>
      <c r="R827" s="1">
        <v>25</v>
      </c>
      <c r="S827" s="1">
        <v>0</v>
      </c>
      <c r="T827" s="1">
        <v>0</v>
      </c>
      <c r="U827" s="1">
        <v>0</v>
      </c>
      <c r="V827" s="1" t="str">
        <f t="shared" si="118"/>
        <v>里程去程</v>
      </c>
      <c r="W827" s="1" t="s">
        <v>35</v>
      </c>
    </row>
    <row r="828" spans="1:23" x14ac:dyDescent="0.3">
      <c r="A828" s="1" t="str">
        <f t="shared" si="124"/>
        <v>59809</v>
      </c>
      <c r="B828" s="1" t="s">
        <v>42</v>
      </c>
      <c r="C828" s="1" t="s">
        <v>43</v>
      </c>
      <c r="D828" s="1" t="str">
        <f t="shared" si="117"/>
        <v>9801</v>
      </c>
      <c r="E828" s="1" t="s">
        <v>25</v>
      </c>
      <c r="F828" s="1" t="str">
        <f>"974271701"</f>
        <v>974271701</v>
      </c>
      <c r="G828" s="1" t="s">
        <v>33</v>
      </c>
      <c r="H828" s="1" t="str">
        <f t="shared" si="125"/>
        <v>20220924</v>
      </c>
      <c r="I828" s="1" t="str">
        <f>"123157"</f>
        <v>123157</v>
      </c>
      <c r="J828" s="1" t="s">
        <v>27</v>
      </c>
      <c r="K828" s="1" t="s">
        <v>28</v>
      </c>
      <c r="L828" s="1" t="str">
        <f t="shared" si="126"/>
        <v>20220924</v>
      </c>
      <c r="M828" s="1" t="str">
        <f>"124741"</f>
        <v>124741</v>
      </c>
      <c r="N828" s="1" t="s">
        <v>56</v>
      </c>
      <c r="O828" s="1" t="s">
        <v>45</v>
      </c>
      <c r="P828" s="1" t="s">
        <v>55</v>
      </c>
      <c r="Q828" s="1">
        <v>25</v>
      </c>
      <c r="R828" s="1">
        <v>25</v>
      </c>
      <c r="S828" s="1">
        <v>0</v>
      </c>
      <c r="T828" s="1">
        <v>0</v>
      </c>
      <c r="U828" s="1">
        <v>0</v>
      </c>
      <c r="V828" s="1" t="str">
        <f t="shared" si="118"/>
        <v>里程去程</v>
      </c>
      <c r="W828" s="1" t="s">
        <v>35</v>
      </c>
    </row>
    <row r="829" spans="1:23" x14ac:dyDescent="0.3">
      <c r="A829" s="1" t="str">
        <f t="shared" si="124"/>
        <v>59809</v>
      </c>
      <c r="B829" s="1" t="s">
        <v>42</v>
      </c>
      <c r="C829" s="1" t="s">
        <v>43</v>
      </c>
      <c r="D829" s="1" t="str">
        <f t="shared" si="117"/>
        <v>9801</v>
      </c>
      <c r="E829" s="1" t="s">
        <v>25</v>
      </c>
      <c r="F829" s="1" t="str">
        <f>"1387862289"</f>
        <v>1387862289</v>
      </c>
      <c r="G829" s="1" t="s">
        <v>26</v>
      </c>
      <c r="H829" s="1" t="str">
        <f t="shared" si="125"/>
        <v>20220924</v>
      </c>
      <c r="I829" s="1" t="str">
        <f>"123201"</f>
        <v>123201</v>
      </c>
      <c r="J829" s="1" t="s">
        <v>27</v>
      </c>
      <c r="K829" s="1" t="s">
        <v>28</v>
      </c>
      <c r="L829" s="1" t="str">
        <f t="shared" si="126"/>
        <v>20220924</v>
      </c>
      <c r="M829" s="1" t="str">
        <f>"124642"</f>
        <v>124642</v>
      </c>
      <c r="N829" s="1" t="s">
        <v>61</v>
      </c>
      <c r="O829" s="1" t="s">
        <v>45</v>
      </c>
      <c r="P829" s="1" t="s">
        <v>55</v>
      </c>
      <c r="Q829" s="1">
        <v>13</v>
      </c>
      <c r="R829" s="1">
        <v>13</v>
      </c>
      <c r="S829" s="1">
        <v>0</v>
      </c>
      <c r="T829" s="1">
        <v>0</v>
      </c>
      <c r="U829" s="1">
        <v>0</v>
      </c>
      <c r="V829" s="1" t="str">
        <f t="shared" si="118"/>
        <v>里程去程</v>
      </c>
      <c r="W829" s="1" t="s">
        <v>35</v>
      </c>
    </row>
    <row r="830" spans="1:23" x14ac:dyDescent="0.3">
      <c r="A830" s="1" t="str">
        <f t="shared" si="124"/>
        <v>59809</v>
      </c>
      <c r="B830" s="1" t="s">
        <v>42</v>
      </c>
      <c r="C830" s="1" t="s">
        <v>43</v>
      </c>
      <c r="D830" s="1" t="str">
        <f t="shared" si="117"/>
        <v>9801</v>
      </c>
      <c r="E830" s="1" t="s">
        <v>25</v>
      </c>
      <c r="F830" s="1" t="str">
        <f>"1408668097"</f>
        <v>1408668097</v>
      </c>
      <c r="G830" s="1" t="s">
        <v>26</v>
      </c>
      <c r="H830" s="1" t="str">
        <f t="shared" si="125"/>
        <v>20220924</v>
      </c>
      <c r="I830" s="1" t="str">
        <f>"123205"</f>
        <v>123205</v>
      </c>
      <c r="J830" s="1" t="s">
        <v>27</v>
      </c>
      <c r="K830" s="1" t="s">
        <v>28</v>
      </c>
      <c r="L830" s="1" t="str">
        <f t="shared" si="126"/>
        <v>20220924</v>
      </c>
      <c r="M830" s="1" t="str">
        <f>"124639"</f>
        <v>124639</v>
      </c>
      <c r="N830" s="1" t="s">
        <v>61</v>
      </c>
      <c r="O830" s="1" t="s">
        <v>45</v>
      </c>
      <c r="P830" s="1" t="s">
        <v>55</v>
      </c>
      <c r="Q830" s="1">
        <v>13</v>
      </c>
      <c r="R830" s="1">
        <v>13</v>
      </c>
      <c r="S830" s="1">
        <v>0</v>
      </c>
      <c r="T830" s="1">
        <v>0</v>
      </c>
      <c r="U830" s="1">
        <v>0</v>
      </c>
      <c r="V830" s="1" t="str">
        <f t="shared" si="118"/>
        <v>里程去程</v>
      </c>
      <c r="W830" s="1" t="s">
        <v>35</v>
      </c>
    </row>
    <row r="831" spans="1:23" x14ac:dyDescent="0.3">
      <c r="A831" s="1" t="str">
        <f t="shared" si="124"/>
        <v>59809</v>
      </c>
      <c r="B831" s="1" t="s">
        <v>42</v>
      </c>
      <c r="C831" s="1" t="s">
        <v>43</v>
      </c>
      <c r="D831" s="1" t="str">
        <f t="shared" si="117"/>
        <v>9801</v>
      </c>
      <c r="E831" s="1" t="s">
        <v>25</v>
      </c>
      <c r="F831" s="1" t="str">
        <f>"277237775"</f>
        <v>277237775</v>
      </c>
      <c r="G831" s="1" t="s">
        <v>33</v>
      </c>
      <c r="H831" s="1" t="str">
        <f t="shared" si="125"/>
        <v>20220924</v>
      </c>
      <c r="I831" s="1" t="str">
        <f>"123208"</f>
        <v>123208</v>
      </c>
      <c r="J831" s="1" t="s">
        <v>27</v>
      </c>
      <c r="K831" s="1" t="s">
        <v>28</v>
      </c>
      <c r="L831" s="1" t="str">
        <f t="shared" si="126"/>
        <v>20220924</v>
      </c>
      <c r="M831" s="1" t="str">
        <f>"124744"</f>
        <v>124744</v>
      </c>
      <c r="N831" s="1" t="s">
        <v>56</v>
      </c>
      <c r="O831" s="1" t="s">
        <v>45</v>
      </c>
      <c r="P831" s="1" t="s">
        <v>55</v>
      </c>
      <c r="Q831" s="1">
        <v>25</v>
      </c>
      <c r="R831" s="1">
        <v>25</v>
      </c>
      <c r="S831" s="1">
        <v>0</v>
      </c>
      <c r="T831" s="1">
        <v>0</v>
      </c>
      <c r="U831" s="1">
        <v>0</v>
      </c>
      <c r="V831" s="1" t="str">
        <f t="shared" si="118"/>
        <v>里程去程</v>
      </c>
      <c r="W831" s="1" t="s">
        <v>35</v>
      </c>
    </row>
    <row r="832" spans="1:23" x14ac:dyDescent="0.3">
      <c r="A832" s="1" t="str">
        <f t="shared" si="124"/>
        <v>59809</v>
      </c>
      <c r="B832" s="1" t="s">
        <v>42</v>
      </c>
      <c r="C832" s="1" t="s">
        <v>43</v>
      </c>
      <c r="D832" s="1" t="str">
        <f t="shared" si="117"/>
        <v>9801</v>
      </c>
      <c r="E832" s="1" t="s">
        <v>25</v>
      </c>
      <c r="F832" s="1" t="str">
        <f>"1739531109"</f>
        <v>1739531109</v>
      </c>
      <c r="G832" s="1" t="s">
        <v>38</v>
      </c>
      <c r="H832" s="1" t="str">
        <f t="shared" si="125"/>
        <v>20220924</v>
      </c>
      <c r="I832" s="1" t="str">
        <f>"123314"</f>
        <v>123314</v>
      </c>
      <c r="J832" s="1" t="s">
        <v>27</v>
      </c>
      <c r="K832" s="1" t="s">
        <v>28</v>
      </c>
      <c r="L832" s="1" t="str">
        <f t="shared" si="126"/>
        <v>20220924</v>
      </c>
      <c r="M832" s="1" t="str">
        <f>"124651"</f>
        <v>124651</v>
      </c>
      <c r="N832" s="1" t="s">
        <v>61</v>
      </c>
      <c r="O832" s="1" t="s">
        <v>45</v>
      </c>
      <c r="P832" s="1" t="s">
        <v>55</v>
      </c>
      <c r="Q832" s="1">
        <v>25</v>
      </c>
      <c r="R832" s="1">
        <v>0</v>
      </c>
      <c r="S832" s="1">
        <v>25</v>
      </c>
      <c r="T832" s="1">
        <v>0</v>
      </c>
      <c r="U832" s="1">
        <v>0</v>
      </c>
      <c r="V832" s="1" t="str">
        <f t="shared" si="118"/>
        <v>里程去程</v>
      </c>
      <c r="W832" s="1" t="s">
        <v>35</v>
      </c>
    </row>
    <row r="833" spans="1:23" x14ac:dyDescent="0.3">
      <c r="A833" s="1" t="str">
        <f t="shared" si="124"/>
        <v>59809</v>
      </c>
      <c r="B833" s="1" t="s">
        <v>42</v>
      </c>
      <c r="C833" s="1" t="s">
        <v>43</v>
      </c>
      <c r="D833" s="1" t="str">
        <f t="shared" si="117"/>
        <v>9801</v>
      </c>
      <c r="E833" s="1" t="s">
        <v>25</v>
      </c>
      <c r="F833" s="1" t="str">
        <f>"129509365"</f>
        <v>129509365</v>
      </c>
      <c r="G833" s="1" t="s">
        <v>33</v>
      </c>
      <c r="H833" s="1" t="str">
        <f t="shared" si="125"/>
        <v>20220924</v>
      </c>
      <c r="I833" s="1" t="str">
        <f>"123322"</f>
        <v>123322</v>
      </c>
      <c r="J833" s="1" t="s">
        <v>27</v>
      </c>
      <c r="K833" s="1" t="s">
        <v>28</v>
      </c>
      <c r="L833" s="1" t="str">
        <f t="shared" si="126"/>
        <v>20220924</v>
      </c>
      <c r="M833" s="1" t="str">
        <f>"124223"</f>
        <v>124223</v>
      </c>
      <c r="N833" s="1" t="s">
        <v>79</v>
      </c>
      <c r="O833" s="1" t="s">
        <v>45</v>
      </c>
      <c r="P833" s="1" t="s">
        <v>55</v>
      </c>
      <c r="Q833" s="1">
        <v>25</v>
      </c>
      <c r="R833" s="1">
        <v>25</v>
      </c>
      <c r="S833" s="1">
        <v>0</v>
      </c>
      <c r="T833" s="1">
        <v>0</v>
      </c>
      <c r="U833" s="1">
        <v>0</v>
      </c>
      <c r="V833" s="1" t="str">
        <f t="shared" si="118"/>
        <v>里程去程</v>
      </c>
      <c r="W833" s="1" t="s">
        <v>35</v>
      </c>
    </row>
    <row r="834" spans="1:23" x14ac:dyDescent="0.3">
      <c r="A834" s="1" t="str">
        <f t="shared" si="124"/>
        <v>59809</v>
      </c>
      <c r="B834" s="1" t="s">
        <v>42</v>
      </c>
      <c r="C834" s="1" t="s">
        <v>43</v>
      </c>
      <c r="D834" s="1" t="str">
        <f t="shared" ref="D834:D897" si="127">"9801"</f>
        <v>9801</v>
      </c>
      <c r="E834" s="1" t="s">
        <v>25</v>
      </c>
      <c r="F834" s="1" t="str">
        <f>"1219924741"</f>
        <v>1219924741</v>
      </c>
      <c r="G834" s="1" t="s">
        <v>26</v>
      </c>
      <c r="H834" s="1" t="str">
        <f t="shared" si="125"/>
        <v>20220924</v>
      </c>
      <c r="I834" s="1" t="str">
        <f>"123329"</f>
        <v>123329</v>
      </c>
      <c r="J834" s="1" t="s">
        <v>27</v>
      </c>
      <c r="K834" s="1" t="s">
        <v>28</v>
      </c>
      <c r="L834" s="1" t="str">
        <f t="shared" si="126"/>
        <v>20220924</v>
      </c>
      <c r="M834" s="1" t="str">
        <f>"124231"</f>
        <v>124231</v>
      </c>
      <c r="N834" s="1" t="s">
        <v>79</v>
      </c>
      <c r="O834" s="1" t="s">
        <v>45</v>
      </c>
      <c r="P834" s="1" t="s">
        <v>55</v>
      </c>
      <c r="Q834" s="1">
        <v>13</v>
      </c>
      <c r="R834" s="1">
        <v>13</v>
      </c>
      <c r="S834" s="1">
        <v>0</v>
      </c>
      <c r="T834" s="1">
        <v>0</v>
      </c>
      <c r="U834" s="1">
        <v>0</v>
      </c>
      <c r="V834" s="1" t="str">
        <f t="shared" ref="V834:V897" si="128">"里程去程"</f>
        <v>里程去程</v>
      </c>
      <c r="W834" s="1" t="s">
        <v>35</v>
      </c>
    </row>
    <row r="835" spans="1:23" x14ac:dyDescent="0.3">
      <c r="A835" s="1" t="str">
        <f t="shared" si="124"/>
        <v>59809</v>
      </c>
      <c r="B835" s="1" t="s">
        <v>42</v>
      </c>
      <c r="C835" s="1" t="s">
        <v>43</v>
      </c>
      <c r="D835" s="1" t="str">
        <f t="shared" si="127"/>
        <v>9801</v>
      </c>
      <c r="E835" s="1" t="s">
        <v>25</v>
      </c>
      <c r="F835" s="1" t="str">
        <f>"1108385077"</f>
        <v>1108385077</v>
      </c>
      <c r="G835" s="1" t="s">
        <v>33</v>
      </c>
      <c r="H835" s="1" t="str">
        <f t="shared" si="125"/>
        <v>20220924</v>
      </c>
      <c r="I835" s="1" t="str">
        <f>"123332"</f>
        <v>123332</v>
      </c>
      <c r="J835" s="1" t="s">
        <v>27</v>
      </c>
      <c r="K835" s="1" t="s">
        <v>28</v>
      </c>
      <c r="L835" s="1" t="str">
        <f t="shared" si="126"/>
        <v>20220924</v>
      </c>
      <c r="M835" s="1" t="str">
        <f>"124219"</f>
        <v>124219</v>
      </c>
      <c r="N835" s="1" t="s">
        <v>79</v>
      </c>
      <c r="O835" s="1" t="s">
        <v>45</v>
      </c>
      <c r="P835" s="1" t="s">
        <v>55</v>
      </c>
      <c r="Q835" s="1">
        <v>25</v>
      </c>
      <c r="R835" s="1">
        <v>25</v>
      </c>
      <c r="S835" s="1">
        <v>0</v>
      </c>
      <c r="T835" s="1">
        <v>0</v>
      </c>
      <c r="U835" s="1">
        <v>0</v>
      </c>
      <c r="V835" s="1" t="str">
        <f t="shared" si="128"/>
        <v>里程去程</v>
      </c>
      <c r="W835" s="1" t="s">
        <v>35</v>
      </c>
    </row>
    <row r="836" spans="1:23" x14ac:dyDescent="0.3">
      <c r="A836" s="1" t="str">
        <f t="shared" si="124"/>
        <v>59809</v>
      </c>
      <c r="B836" s="1" t="s">
        <v>42</v>
      </c>
      <c r="C836" s="1" t="s">
        <v>43</v>
      </c>
      <c r="D836" s="1" t="str">
        <f t="shared" si="127"/>
        <v>9801</v>
      </c>
      <c r="E836" s="1" t="s">
        <v>25</v>
      </c>
      <c r="F836" s="1" t="str">
        <f>"937333253"</f>
        <v>937333253</v>
      </c>
      <c r="G836" s="1" t="s">
        <v>33</v>
      </c>
      <c r="H836" s="1" t="str">
        <f t="shared" si="125"/>
        <v>20220924</v>
      </c>
      <c r="I836" s="1" t="str">
        <f>"123347"</f>
        <v>123347</v>
      </c>
      <c r="J836" s="1" t="s">
        <v>27</v>
      </c>
      <c r="K836" s="1" t="s">
        <v>28</v>
      </c>
      <c r="L836" s="1" t="str">
        <f t="shared" si="126"/>
        <v>20220924</v>
      </c>
      <c r="M836" s="1" t="str">
        <f>"124656"</f>
        <v>124656</v>
      </c>
      <c r="N836" s="1" t="s">
        <v>61</v>
      </c>
      <c r="O836" s="1" t="s">
        <v>45</v>
      </c>
      <c r="P836" s="1" t="s">
        <v>55</v>
      </c>
      <c r="Q836" s="1">
        <v>25</v>
      </c>
      <c r="R836" s="1">
        <v>25</v>
      </c>
      <c r="S836" s="1">
        <v>0</v>
      </c>
      <c r="T836" s="1">
        <v>0</v>
      </c>
      <c r="U836" s="1">
        <v>0</v>
      </c>
      <c r="V836" s="1" t="str">
        <f t="shared" si="128"/>
        <v>里程去程</v>
      </c>
      <c r="W836" s="1" t="s">
        <v>35</v>
      </c>
    </row>
    <row r="837" spans="1:23" x14ac:dyDescent="0.3">
      <c r="A837" s="1" t="str">
        <f t="shared" si="124"/>
        <v>59809</v>
      </c>
      <c r="B837" s="1" t="s">
        <v>42</v>
      </c>
      <c r="C837" s="1" t="s">
        <v>43</v>
      </c>
      <c r="D837" s="1" t="str">
        <f t="shared" si="127"/>
        <v>9801</v>
      </c>
      <c r="E837" s="1" t="s">
        <v>25</v>
      </c>
      <c r="F837" s="1" t="str">
        <f>"F294450023880400C837002000000014"</f>
        <v>F294450023880400C837002000000014</v>
      </c>
      <c r="G837" s="1" t="s">
        <v>59</v>
      </c>
      <c r="H837" s="1" t="str">
        <f t="shared" si="125"/>
        <v>20220924</v>
      </c>
      <c r="I837" s="1" t="str">
        <f>"123409"</f>
        <v>123409</v>
      </c>
      <c r="J837" s="1" t="s">
        <v>27</v>
      </c>
      <c r="K837" s="1" t="s">
        <v>28</v>
      </c>
      <c r="L837" s="1" t="str">
        <f t="shared" si="126"/>
        <v>20220924</v>
      </c>
      <c r="M837" s="1" t="str">
        <f>"125605"</f>
        <v>125605</v>
      </c>
      <c r="N837" s="1" t="s">
        <v>44</v>
      </c>
      <c r="O837" s="1" t="s">
        <v>45</v>
      </c>
      <c r="P837" s="1" t="s">
        <v>55</v>
      </c>
      <c r="Q837" s="1">
        <v>25</v>
      </c>
      <c r="R837" s="1">
        <v>25</v>
      </c>
      <c r="S837" s="1">
        <v>0</v>
      </c>
      <c r="T837" s="1">
        <v>0</v>
      </c>
      <c r="U837" s="1">
        <v>0</v>
      </c>
      <c r="V837" s="1" t="str">
        <f t="shared" si="128"/>
        <v>里程去程</v>
      </c>
      <c r="W837" s="1" t="s">
        <v>29</v>
      </c>
    </row>
    <row r="838" spans="1:23" x14ac:dyDescent="0.3">
      <c r="A838" s="1" t="str">
        <f t="shared" si="124"/>
        <v>59809</v>
      </c>
      <c r="B838" s="1" t="s">
        <v>42</v>
      </c>
      <c r="C838" s="1" t="s">
        <v>43</v>
      </c>
      <c r="D838" s="1" t="str">
        <f t="shared" si="127"/>
        <v>9801</v>
      </c>
      <c r="E838" s="1" t="s">
        <v>25</v>
      </c>
      <c r="F838" s="1" t="str">
        <f>"F294450023880400C837002000000014"</f>
        <v>F294450023880400C837002000000014</v>
      </c>
      <c r="G838" s="1" t="s">
        <v>59</v>
      </c>
      <c r="H838" s="1" t="str">
        <f t="shared" si="125"/>
        <v>20220924</v>
      </c>
      <c r="I838" s="1" t="str">
        <f>"125631"</f>
        <v>125631</v>
      </c>
      <c r="J838" s="1" t="s">
        <v>52</v>
      </c>
      <c r="K838" s="1" t="s">
        <v>52</v>
      </c>
      <c r="L838" s="1" t="str">
        <f t="shared" si="126"/>
        <v>20220924</v>
      </c>
      <c r="M838" s="1" t="str">
        <f>"130533"</f>
        <v>130533</v>
      </c>
      <c r="N838" s="1" t="s">
        <v>60</v>
      </c>
      <c r="O838" s="1" t="s">
        <v>52</v>
      </c>
      <c r="P838" s="1" t="s">
        <v>55</v>
      </c>
      <c r="Q838" s="1">
        <v>25</v>
      </c>
      <c r="R838" s="1">
        <v>25</v>
      </c>
      <c r="S838" s="1">
        <v>0</v>
      </c>
      <c r="T838" s="1">
        <v>0</v>
      </c>
      <c r="U838" s="1">
        <v>0</v>
      </c>
      <c r="V838" s="1" t="str">
        <f t="shared" si="128"/>
        <v>里程去程</v>
      </c>
      <c r="W838" s="1" t="s">
        <v>29</v>
      </c>
    </row>
    <row r="839" spans="1:23" x14ac:dyDescent="0.3">
      <c r="A839" s="1" t="str">
        <f t="shared" si="124"/>
        <v>59809</v>
      </c>
      <c r="B839" s="1" t="s">
        <v>42</v>
      </c>
      <c r="C839" s="1" t="s">
        <v>43</v>
      </c>
      <c r="D839" s="1" t="str">
        <f t="shared" si="127"/>
        <v>9801</v>
      </c>
      <c r="E839" s="1" t="s">
        <v>25</v>
      </c>
      <c r="F839" s="1" t="str">
        <f>"1254374821"</f>
        <v>1254374821</v>
      </c>
      <c r="G839" s="1" t="s">
        <v>33</v>
      </c>
      <c r="H839" s="1" t="str">
        <f t="shared" si="125"/>
        <v>20220924</v>
      </c>
      <c r="I839" s="1" t="str">
        <f>"132819"</f>
        <v>132819</v>
      </c>
      <c r="J839" s="1" t="s">
        <v>27</v>
      </c>
      <c r="K839" s="1" t="s">
        <v>28</v>
      </c>
      <c r="L839" s="1" t="str">
        <f t="shared" si="126"/>
        <v>20220924</v>
      </c>
      <c r="M839" s="1" t="str">
        <f>"135255"</f>
        <v>135255</v>
      </c>
      <c r="N839" s="1" t="s">
        <v>44</v>
      </c>
      <c r="O839" s="1" t="s">
        <v>45</v>
      </c>
      <c r="P839" s="1" t="s">
        <v>55</v>
      </c>
      <c r="Q839" s="1">
        <v>25</v>
      </c>
      <c r="R839" s="1">
        <v>25</v>
      </c>
      <c r="S839" s="1">
        <v>0</v>
      </c>
      <c r="T839" s="1">
        <v>0</v>
      </c>
      <c r="U839" s="1">
        <v>0</v>
      </c>
      <c r="V839" s="1" t="str">
        <f t="shared" si="128"/>
        <v>里程去程</v>
      </c>
      <c r="W839" s="1" t="s">
        <v>35</v>
      </c>
    </row>
    <row r="840" spans="1:23" x14ac:dyDescent="0.3">
      <c r="A840" s="1" t="str">
        <f t="shared" si="124"/>
        <v>59809</v>
      </c>
      <c r="B840" s="1" t="s">
        <v>42</v>
      </c>
      <c r="C840" s="1" t="s">
        <v>43</v>
      </c>
      <c r="D840" s="1" t="str">
        <f t="shared" si="127"/>
        <v>9801</v>
      </c>
      <c r="E840" s="1" t="s">
        <v>25</v>
      </c>
      <c r="F840" s="1" t="str">
        <f>"1737283381"</f>
        <v>1737283381</v>
      </c>
      <c r="G840" s="1" t="s">
        <v>33</v>
      </c>
      <c r="H840" s="1" t="str">
        <f t="shared" si="125"/>
        <v>20220924</v>
      </c>
      <c r="I840" s="1" t="str">
        <f>"132822"</f>
        <v>132822</v>
      </c>
      <c r="J840" s="1" t="s">
        <v>27</v>
      </c>
      <c r="K840" s="1" t="s">
        <v>28</v>
      </c>
      <c r="L840" s="1" t="str">
        <f t="shared" si="126"/>
        <v>20220924</v>
      </c>
      <c r="M840" s="1" t="str">
        <f>"135535"</f>
        <v>135535</v>
      </c>
      <c r="N840" s="1" t="s">
        <v>44</v>
      </c>
      <c r="O840" s="1" t="s">
        <v>45</v>
      </c>
      <c r="P840" s="1" t="s">
        <v>55</v>
      </c>
      <c r="Q840" s="1">
        <v>25</v>
      </c>
      <c r="R840" s="1">
        <v>25</v>
      </c>
      <c r="S840" s="1">
        <v>0</v>
      </c>
      <c r="T840" s="1">
        <v>0</v>
      </c>
      <c r="U840" s="1">
        <v>0</v>
      </c>
      <c r="V840" s="1" t="str">
        <f t="shared" si="128"/>
        <v>里程去程</v>
      </c>
      <c r="W840" s="1" t="s">
        <v>35</v>
      </c>
    </row>
    <row r="841" spans="1:23" x14ac:dyDescent="0.3">
      <c r="A841" s="1" t="str">
        <f t="shared" si="124"/>
        <v>59809</v>
      </c>
      <c r="B841" s="1" t="s">
        <v>42</v>
      </c>
      <c r="C841" s="1" t="s">
        <v>43</v>
      </c>
      <c r="D841" s="1" t="str">
        <f t="shared" si="127"/>
        <v>9801</v>
      </c>
      <c r="E841" s="1" t="s">
        <v>25</v>
      </c>
      <c r="F841" s="1" t="str">
        <f>"1695708368"</f>
        <v>1695708368</v>
      </c>
      <c r="G841" s="1" t="s">
        <v>33</v>
      </c>
      <c r="H841" s="1" t="str">
        <f t="shared" si="125"/>
        <v>20220924</v>
      </c>
      <c r="I841" s="1" t="str">
        <f>"134921"</f>
        <v>134921</v>
      </c>
      <c r="J841" s="1" t="s">
        <v>91</v>
      </c>
      <c r="K841" s="1" t="s">
        <v>45</v>
      </c>
      <c r="L841" s="1" t="str">
        <f t="shared" si="126"/>
        <v>20220924</v>
      </c>
      <c r="M841" s="1" t="str">
        <f>"135531"</f>
        <v>135531</v>
      </c>
      <c r="N841" s="1" t="s">
        <v>44</v>
      </c>
      <c r="O841" s="1" t="s">
        <v>45</v>
      </c>
      <c r="P841" s="1" t="s">
        <v>55</v>
      </c>
      <c r="Q841" s="1">
        <v>25</v>
      </c>
      <c r="R841" s="1">
        <v>25</v>
      </c>
      <c r="S841" s="1">
        <v>0</v>
      </c>
      <c r="T841" s="1">
        <v>0</v>
      </c>
      <c r="U841" s="1">
        <v>0</v>
      </c>
      <c r="V841" s="1" t="str">
        <f t="shared" si="128"/>
        <v>里程去程</v>
      </c>
      <c r="W841" s="1" t="s">
        <v>35</v>
      </c>
    </row>
    <row r="842" spans="1:23" x14ac:dyDescent="0.3">
      <c r="A842" s="1" t="str">
        <f t="shared" si="124"/>
        <v>59809</v>
      </c>
      <c r="B842" s="1" t="s">
        <v>42</v>
      </c>
      <c r="C842" s="1" t="s">
        <v>43</v>
      </c>
      <c r="D842" s="1" t="str">
        <f t="shared" si="127"/>
        <v>9801</v>
      </c>
      <c r="E842" s="1" t="s">
        <v>25</v>
      </c>
      <c r="F842" s="1" t="str">
        <f>"F27CE6026A880400C834002000000015"</f>
        <v>F27CE6026A880400C834002000000015</v>
      </c>
      <c r="G842" s="1" t="s">
        <v>74</v>
      </c>
      <c r="H842" s="1" t="str">
        <f t="shared" si="125"/>
        <v>20220924</v>
      </c>
      <c r="I842" s="1" t="str">
        <f>"145640"</f>
        <v>145640</v>
      </c>
      <c r="J842" s="1" t="s">
        <v>52</v>
      </c>
      <c r="K842" s="1" t="s">
        <v>52</v>
      </c>
      <c r="L842" s="1" t="str">
        <f t="shared" si="126"/>
        <v>20220924</v>
      </c>
      <c r="M842" s="1" t="str">
        <f>"150547"</f>
        <v>150547</v>
      </c>
      <c r="N842" s="1" t="s">
        <v>60</v>
      </c>
      <c r="O842" s="1" t="s">
        <v>52</v>
      </c>
      <c r="P842" s="1" t="s">
        <v>68</v>
      </c>
      <c r="Q842" s="1">
        <v>13</v>
      </c>
      <c r="R842" s="1">
        <v>0</v>
      </c>
      <c r="S842" s="1">
        <v>0</v>
      </c>
      <c r="T842" s="1">
        <v>13</v>
      </c>
      <c r="U842" s="1">
        <v>0</v>
      </c>
      <c r="V842" s="1" t="str">
        <f t="shared" si="128"/>
        <v>里程去程</v>
      </c>
      <c r="W842" s="1" t="s">
        <v>29</v>
      </c>
    </row>
    <row r="843" spans="1:23" x14ac:dyDescent="0.3">
      <c r="A843" s="1" t="str">
        <f t="shared" si="124"/>
        <v>59809</v>
      </c>
      <c r="B843" s="1" t="s">
        <v>42</v>
      </c>
      <c r="C843" s="1" t="s">
        <v>43</v>
      </c>
      <c r="D843" s="1" t="str">
        <f t="shared" si="127"/>
        <v>9801</v>
      </c>
      <c r="E843" s="1" t="s">
        <v>25</v>
      </c>
      <c r="F843" s="1" t="str">
        <f>"C2F219032A880400C834002000000015"</f>
        <v>C2F219032A880400C834002000000015</v>
      </c>
      <c r="G843" s="1" t="s">
        <v>26</v>
      </c>
      <c r="H843" s="1" t="str">
        <f t="shared" si="125"/>
        <v>20220924</v>
      </c>
      <c r="I843" s="1" t="str">
        <f>"150439"</f>
        <v>150439</v>
      </c>
      <c r="J843" s="1" t="s">
        <v>86</v>
      </c>
      <c r="K843" s="1" t="s">
        <v>52</v>
      </c>
      <c r="L843" s="1" t="str">
        <f t="shared" si="126"/>
        <v>20220924</v>
      </c>
      <c r="M843" s="1" t="str">
        <f>"150748"</f>
        <v>150748</v>
      </c>
      <c r="N843" s="1" t="s">
        <v>51</v>
      </c>
      <c r="O843" s="1" t="s">
        <v>52</v>
      </c>
      <c r="P843" s="1" t="s">
        <v>68</v>
      </c>
      <c r="Q843" s="1">
        <v>13</v>
      </c>
      <c r="R843" s="1">
        <v>0</v>
      </c>
      <c r="S843" s="1">
        <v>0</v>
      </c>
      <c r="T843" s="1">
        <v>13</v>
      </c>
      <c r="U843" s="1">
        <v>0</v>
      </c>
      <c r="V843" s="1" t="str">
        <f t="shared" si="128"/>
        <v>里程去程</v>
      </c>
      <c r="W843" s="1" t="s">
        <v>29</v>
      </c>
    </row>
    <row r="844" spans="1:23" x14ac:dyDescent="0.3">
      <c r="A844" s="1" t="str">
        <f t="shared" si="124"/>
        <v>59809</v>
      </c>
      <c r="B844" s="1" t="s">
        <v>42</v>
      </c>
      <c r="C844" s="1" t="s">
        <v>43</v>
      </c>
      <c r="D844" s="1" t="str">
        <f t="shared" si="127"/>
        <v>9801</v>
      </c>
      <c r="E844" s="1" t="s">
        <v>25</v>
      </c>
      <c r="F844" s="1" t="str">
        <f>"F25B1B03B1880400C834002000000015"</f>
        <v>F25B1B03B1880400C834002000000015</v>
      </c>
      <c r="G844" s="1" t="s">
        <v>26</v>
      </c>
      <c r="H844" s="1" t="str">
        <f t="shared" si="125"/>
        <v>20220924</v>
      </c>
      <c r="I844" s="1" t="str">
        <f>"150619"</f>
        <v>150619</v>
      </c>
      <c r="J844" s="1" t="s">
        <v>60</v>
      </c>
      <c r="K844" s="1" t="s">
        <v>52</v>
      </c>
      <c r="L844" s="1" t="str">
        <f t="shared" si="126"/>
        <v>20220924</v>
      </c>
      <c r="M844" s="1" t="str">
        <f>"152837"</f>
        <v>152837</v>
      </c>
      <c r="N844" s="1" t="s">
        <v>70</v>
      </c>
      <c r="O844" s="1" t="s">
        <v>28</v>
      </c>
      <c r="P844" s="1" t="s">
        <v>68</v>
      </c>
      <c r="Q844" s="1">
        <v>13</v>
      </c>
      <c r="R844" s="1">
        <v>0</v>
      </c>
      <c r="S844" s="1">
        <v>0</v>
      </c>
      <c r="T844" s="1">
        <v>13</v>
      </c>
      <c r="U844" s="1">
        <v>0</v>
      </c>
      <c r="V844" s="1" t="str">
        <f t="shared" si="128"/>
        <v>里程去程</v>
      </c>
      <c r="W844" s="1" t="s">
        <v>29</v>
      </c>
    </row>
    <row r="845" spans="1:23" x14ac:dyDescent="0.3">
      <c r="A845" s="1" t="str">
        <f t="shared" si="124"/>
        <v>59809</v>
      </c>
      <c r="B845" s="1" t="s">
        <v>42</v>
      </c>
      <c r="C845" s="1" t="s">
        <v>43</v>
      </c>
      <c r="D845" s="1" t="str">
        <f t="shared" si="127"/>
        <v>9801</v>
      </c>
      <c r="E845" s="1" t="s">
        <v>25</v>
      </c>
      <c r="F845" s="1" t="str">
        <f>"2395845819"</f>
        <v>2395845819</v>
      </c>
      <c r="G845" s="1" t="s">
        <v>26</v>
      </c>
      <c r="H845" s="1" t="str">
        <f t="shared" si="125"/>
        <v>20220924</v>
      </c>
      <c r="I845" s="1" t="str">
        <f>"163234"</f>
        <v>163234</v>
      </c>
      <c r="J845" s="1" t="s">
        <v>28</v>
      </c>
      <c r="K845" s="1" t="s">
        <v>28</v>
      </c>
      <c r="L845" s="1" t="str">
        <f t="shared" si="126"/>
        <v>20220924</v>
      </c>
      <c r="M845" s="1" t="str">
        <f>"164931"</f>
        <v>164931</v>
      </c>
      <c r="N845" s="1" t="s">
        <v>75</v>
      </c>
      <c r="O845" s="1" t="s">
        <v>45</v>
      </c>
      <c r="P845" s="1" t="s">
        <v>55</v>
      </c>
      <c r="Q845" s="1">
        <v>13</v>
      </c>
      <c r="R845" s="1">
        <v>0</v>
      </c>
      <c r="S845" s="1">
        <v>13</v>
      </c>
      <c r="T845" s="1">
        <v>0</v>
      </c>
      <c r="U845" s="1">
        <v>0</v>
      </c>
      <c r="V845" s="1" t="str">
        <f t="shared" si="128"/>
        <v>里程去程</v>
      </c>
      <c r="W845" s="1" t="s">
        <v>35</v>
      </c>
    </row>
    <row r="846" spans="1:23" x14ac:dyDescent="0.3">
      <c r="A846" s="1" t="str">
        <f t="shared" si="124"/>
        <v>59809</v>
      </c>
      <c r="B846" s="1" t="s">
        <v>42</v>
      </c>
      <c r="C846" s="1" t="s">
        <v>43</v>
      </c>
      <c r="D846" s="1" t="str">
        <f t="shared" si="127"/>
        <v>9801</v>
      </c>
      <c r="E846" s="1" t="s">
        <v>25</v>
      </c>
      <c r="F846" s="1" t="str">
        <f>"3589896026"</f>
        <v>3589896026</v>
      </c>
      <c r="G846" s="1" t="s">
        <v>33</v>
      </c>
      <c r="H846" s="1" t="str">
        <f t="shared" si="125"/>
        <v>20220924</v>
      </c>
      <c r="I846" s="1" t="str">
        <f>"163249"</f>
        <v>163249</v>
      </c>
      <c r="J846" s="1" t="s">
        <v>28</v>
      </c>
      <c r="K846" s="1" t="s">
        <v>28</v>
      </c>
      <c r="L846" s="1" t="str">
        <f t="shared" si="126"/>
        <v>20220924</v>
      </c>
      <c r="M846" s="1" t="str">
        <f>"164915"</f>
        <v>164915</v>
      </c>
      <c r="N846" s="1" t="s">
        <v>56</v>
      </c>
      <c r="O846" s="1" t="s">
        <v>45</v>
      </c>
      <c r="P846" s="1" t="s">
        <v>55</v>
      </c>
      <c r="Q846" s="1">
        <v>25</v>
      </c>
      <c r="R846" s="1">
        <v>25</v>
      </c>
      <c r="S846" s="1">
        <v>0</v>
      </c>
      <c r="T846" s="1">
        <v>0</v>
      </c>
      <c r="U846" s="1">
        <v>0</v>
      </c>
      <c r="V846" s="1" t="str">
        <f t="shared" si="128"/>
        <v>里程去程</v>
      </c>
      <c r="W846" s="1" t="s">
        <v>35</v>
      </c>
    </row>
    <row r="847" spans="1:23" x14ac:dyDescent="0.3">
      <c r="A847" s="1" t="str">
        <f t="shared" ref="A847:A858" si="129">"59822"</f>
        <v>59822</v>
      </c>
      <c r="B847" s="1" t="s">
        <v>39</v>
      </c>
      <c r="C847" s="1" t="s">
        <v>40</v>
      </c>
      <c r="D847" s="1" t="str">
        <f t="shared" si="127"/>
        <v>9801</v>
      </c>
      <c r="E847" s="1" t="s">
        <v>25</v>
      </c>
      <c r="F847" s="1" t="str">
        <f>"91D42A036C88040043252B4B0010050F"</f>
        <v>91D42A036C88040043252B4B0010050F</v>
      </c>
      <c r="G847" s="1" t="s">
        <v>58</v>
      </c>
      <c r="H847" s="1" t="str">
        <f t="shared" si="125"/>
        <v>20220924</v>
      </c>
      <c r="I847" s="1" t="str">
        <f>"083012"</f>
        <v>083012</v>
      </c>
      <c r="J847" s="1" t="s">
        <v>27</v>
      </c>
      <c r="K847" s="1" t="s">
        <v>28</v>
      </c>
      <c r="L847" s="1" t="str">
        <f t="shared" si="126"/>
        <v>20220924</v>
      </c>
      <c r="M847" s="1" t="str">
        <f>"085540"</f>
        <v>085540</v>
      </c>
      <c r="N847" s="1" t="s">
        <v>44</v>
      </c>
      <c r="O847" s="1" t="s">
        <v>45</v>
      </c>
      <c r="P847" s="1" t="s">
        <v>55</v>
      </c>
      <c r="Q847" s="1">
        <v>25</v>
      </c>
      <c r="R847" s="1">
        <v>0</v>
      </c>
      <c r="S847" s="1">
        <v>25</v>
      </c>
      <c r="T847" s="1">
        <v>0</v>
      </c>
      <c r="U847" s="1">
        <v>0</v>
      </c>
      <c r="V847" s="1" t="str">
        <f t="shared" si="128"/>
        <v>里程去程</v>
      </c>
      <c r="W847" s="1" t="s">
        <v>29</v>
      </c>
    </row>
    <row r="848" spans="1:23" x14ac:dyDescent="0.3">
      <c r="A848" s="1" t="str">
        <f t="shared" si="129"/>
        <v>59822</v>
      </c>
      <c r="B848" s="1" t="s">
        <v>39</v>
      </c>
      <c r="C848" s="1" t="s">
        <v>40</v>
      </c>
      <c r="D848" s="1" t="str">
        <f t="shared" si="127"/>
        <v>9801</v>
      </c>
      <c r="E848" s="1" t="s">
        <v>25</v>
      </c>
      <c r="F848" s="1" t="str">
        <f>"E213BD024E880400C834002000000015"</f>
        <v>E213BD024E880400C834002000000015</v>
      </c>
      <c r="G848" s="1" t="s">
        <v>74</v>
      </c>
      <c r="H848" s="1" t="str">
        <f t="shared" si="125"/>
        <v>20220924</v>
      </c>
      <c r="I848" s="1" t="str">
        <f>"083015"</f>
        <v>083015</v>
      </c>
      <c r="J848" s="1" t="s">
        <v>27</v>
      </c>
      <c r="K848" s="1" t="s">
        <v>28</v>
      </c>
      <c r="L848" s="1" t="str">
        <f t="shared" si="126"/>
        <v>20220924</v>
      </c>
      <c r="M848" s="1" t="str">
        <f>"084620"</f>
        <v>084620</v>
      </c>
      <c r="N848" s="1" t="s">
        <v>61</v>
      </c>
      <c r="O848" s="1" t="s">
        <v>45</v>
      </c>
      <c r="P848" s="1" t="s">
        <v>68</v>
      </c>
      <c r="Q848" s="1">
        <v>13</v>
      </c>
      <c r="R848" s="1">
        <v>0</v>
      </c>
      <c r="S848" s="1">
        <v>0</v>
      </c>
      <c r="T848" s="1">
        <v>13</v>
      </c>
      <c r="U848" s="1">
        <v>0</v>
      </c>
      <c r="V848" s="1" t="str">
        <f t="shared" si="128"/>
        <v>里程去程</v>
      </c>
      <c r="W848" s="1" t="s">
        <v>29</v>
      </c>
    </row>
    <row r="849" spans="1:23" x14ac:dyDescent="0.3">
      <c r="A849" s="1" t="str">
        <f t="shared" si="129"/>
        <v>59822</v>
      </c>
      <c r="B849" s="1" t="s">
        <v>39</v>
      </c>
      <c r="C849" s="1" t="s">
        <v>40</v>
      </c>
      <c r="D849" s="1" t="str">
        <f t="shared" si="127"/>
        <v>9801</v>
      </c>
      <c r="E849" s="1" t="s">
        <v>25</v>
      </c>
      <c r="F849" s="1" t="str">
        <f>"234627749"</f>
        <v>234627749</v>
      </c>
      <c r="G849" s="1" t="s">
        <v>33</v>
      </c>
      <c r="H849" s="1" t="str">
        <f t="shared" si="125"/>
        <v>20220924</v>
      </c>
      <c r="I849" s="1" t="str">
        <f>"083023"</f>
        <v>083023</v>
      </c>
      <c r="J849" s="1" t="s">
        <v>27</v>
      </c>
      <c r="K849" s="1" t="s">
        <v>28</v>
      </c>
      <c r="L849" s="1" t="str">
        <f t="shared" si="126"/>
        <v>20220924</v>
      </c>
      <c r="M849" s="1" t="str">
        <f>"085727"</f>
        <v>085727</v>
      </c>
      <c r="N849" s="1" t="s">
        <v>44</v>
      </c>
      <c r="O849" s="1" t="s">
        <v>45</v>
      </c>
      <c r="P849" s="1" t="s">
        <v>55</v>
      </c>
      <c r="Q849" s="1">
        <v>25</v>
      </c>
      <c r="R849" s="1">
        <v>25</v>
      </c>
      <c r="S849" s="1">
        <v>0</v>
      </c>
      <c r="T849" s="1">
        <v>0</v>
      </c>
      <c r="U849" s="1">
        <v>0</v>
      </c>
      <c r="V849" s="1" t="str">
        <f t="shared" si="128"/>
        <v>里程去程</v>
      </c>
      <c r="W849" s="1" t="s">
        <v>35</v>
      </c>
    </row>
    <row r="850" spans="1:23" x14ac:dyDescent="0.3">
      <c r="A850" s="1" t="str">
        <f t="shared" si="129"/>
        <v>59822</v>
      </c>
      <c r="B850" s="1" t="s">
        <v>39</v>
      </c>
      <c r="C850" s="1" t="s">
        <v>40</v>
      </c>
      <c r="D850" s="1" t="str">
        <f t="shared" si="127"/>
        <v>9801</v>
      </c>
      <c r="E850" s="1" t="s">
        <v>25</v>
      </c>
      <c r="F850" s="1" t="str">
        <f>"1081688273"</f>
        <v>1081688273</v>
      </c>
      <c r="G850" s="1" t="s">
        <v>33</v>
      </c>
      <c r="H850" s="1" t="str">
        <f t="shared" si="125"/>
        <v>20220924</v>
      </c>
      <c r="I850" s="1" t="str">
        <f>"083033"</f>
        <v>083033</v>
      </c>
      <c r="J850" s="1" t="s">
        <v>27</v>
      </c>
      <c r="K850" s="1" t="s">
        <v>28</v>
      </c>
      <c r="L850" s="1" t="str">
        <f t="shared" si="126"/>
        <v>20220924</v>
      </c>
      <c r="M850" s="1" t="str">
        <f>"084702"</f>
        <v>084702</v>
      </c>
      <c r="N850" s="1" t="s">
        <v>56</v>
      </c>
      <c r="O850" s="1" t="s">
        <v>45</v>
      </c>
      <c r="P850" s="1" t="s">
        <v>55</v>
      </c>
      <c r="Q850" s="1">
        <v>25</v>
      </c>
      <c r="R850" s="1">
        <v>25</v>
      </c>
      <c r="S850" s="1">
        <v>0</v>
      </c>
      <c r="T850" s="1">
        <v>0</v>
      </c>
      <c r="U850" s="1">
        <v>0</v>
      </c>
      <c r="V850" s="1" t="str">
        <f t="shared" si="128"/>
        <v>里程去程</v>
      </c>
      <c r="W850" s="1" t="s">
        <v>35</v>
      </c>
    </row>
    <row r="851" spans="1:23" x14ac:dyDescent="0.3">
      <c r="A851" s="1" t="str">
        <f t="shared" si="129"/>
        <v>59822</v>
      </c>
      <c r="B851" s="1" t="s">
        <v>39</v>
      </c>
      <c r="C851" s="1" t="s">
        <v>40</v>
      </c>
      <c r="D851" s="1" t="str">
        <f t="shared" si="127"/>
        <v>9801</v>
      </c>
      <c r="E851" s="1" t="s">
        <v>25</v>
      </c>
      <c r="F851" s="1" t="str">
        <f>"3717978542"</f>
        <v>3717978542</v>
      </c>
      <c r="G851" s="1" t="s">
        <v>33</v>
      </c>
      <c r="H851" s="1" t="str">
        <f t="shared" si="125"/>
        <v>20220924</v>
      </c>
      <c r="I851" s="1" t="str">
        <f>"083037"</f>
        <v>083037</v>
      </c>
      <c r="J851" s="1" t="s">
        <v>27</v>
      </c>
      <c r="K851" s="1" t="s">
        <v>28</v>
      </c>
      <c r="L851" s="1" t="str">
        <f t="shared" si="126"/>
        <v>20220924</v>
      </c>
      <c r="M851" s="1" t="str">
        <f>"084659"</f>
        <v>084659</v>
      </c>
      <c r="N851" s="1" t="s">
        <v>56</v>
      </c>
      <c r="O851" s="1" t="s">
        <v>45</v>
      </c>
      <c r="P851" s="1" t="s">
        <v>55</v>
      </c>
      <c r="Q851" s="1">
        <v>25</v>
      </c>
      <c r="R851" s="1">
        <v>25</v>
      </c>
      <c r="S851" s="1">
        <v>0</v>
      </c>
      <c r="T851" s="1">
        <v>0</v>
      </c>
      <c r="U851" s="1">
        <v>0</v>
      </c>
      <c r="V851" s="1" t="str">
        <f t="shared" si="128"/>
        <v>里程去程</v>
      </c>
      <c r="W851" s="1" t="s">
        <v>35</v>
      </c>
    </row>
    <row r="852" spans="1:23" x14ac:dyDescent="0.3">
      <c r="A852" s="1" t="str">
        <f t="shared" si="129"/>
        <v>59822</v>
      </c>
      <c r="B852" s="1" t="s">
        <v>39</v>
      </c>
      <c r="C852" s="1" t="s">
        <v>40</v>
      </c>
      <c r="D852" s="1" t="str">
        <f t="shared" si="127"/>
        <v>9801</v>
      </c>
      <c r="E852" s="1" t="s">
        <v>25</v>
      </c>
      <c r="F852" s="1" t="str">
        <f>"82D5FB02AE880400C834002000000015"</f>
        <v>82D5FB02AE880400C834002000000015</v>
      </c>
      <c r="G852" s="1" t="s">
        <v>26</v>
      </c>
      <c r="H852" s="1" t="str">
        <f t="shared" si="125"/>
        <v>20220924</v>
      </c>
      <c r="I852" s="1" t="str">
        <f>"091001"</f>
        <v>091001</v>
      </c>
      <c r="J852" s="1" t="s">
        <v>51</v>
      </c>
      <c r="K852" s="1" t="s">
        <v>52</v>
      </c>
      <c r="L852" s="1" t="str">
        <f t="shared" si="126"/>
        <v>20220924</v>
      </c>
      <c r="M852" s="1" t="str">
        <f>"095238"</f>
        <v>095238</v>
      </c>
      <c r="N852" s="1" t="s">
        <v>44</v>
      </c>
      <c r="O852" s="1" t="s">
        <v>45</v>
      </c>
      <c r="P852" s="1" t="s">
        <v>68</v>
      </c>
      <c r="Q852" s="1">
        <v>25</v>
      </c>
      <c r="R852" s="1">
        <v>0</v>
      </c>
      <c r="S852" s="1">
        <v>0</v>
      </c>
      <c r="T852" s="1">
        <v>25</v>
      </c>
      <c r="U852" s="1">
        <v>0</v>
      </c>
      <c r="V852" s="1" t="str">
        <f t="shared" si="128"/>
        <v>里程去程</v>
      </c>
      <c r="W852" s="1" t="s">
        <v>29</v>
      </c>
    </row>
    <row r="853" spans="1:23" x14ac:dyDescent="0.3">
      <c r="A853" s="1" t="str">
        <f t="shared" si="129"/>
        <v>59822</v>
      </c>
      <c r="B853" s="1" t="s">
        <v>39</v>
      </c>
      <c r="C853" s="1" t="s">
        <v>40</v>
      </c>
      <c r="D853" s="1" t="str">
        <f t="shared" si="127"/>
        <v>9801</v>
      </c>
      <c r="E853" s="1" t="s">
        <v>25</v>
      </c>
      <c r="F853" s="1" t="str">
        <f>"6131B94FA62804001C00000000000000"</f>
        <v>6131B94FA62804001C00000000000000</v>
      </c>
      <c r="G853" s="1" t="s">
        <v>58</v>
      </c>
      <c r="H853" s="1" t="str">
        <f t="shared" si="125"/>
        <v>20220924</v>
      </c>
      <c r="I853" s="1" t="str">
        <f>"091941"</f>
        <v>091941</v>
      </c>
      <c r="J853" s="1" t="s">
        <v>77</v>
      </c>
      <c r="K853" s="1" t="s">
        <v>52</v>
      </c>
      <c r="L853" s="1" t="str">
        <f t="shared" si="126"/>
        <v>20220924</v>
      </c>
      <c r="M853" s="1" t="str">
        <f>"093233"</f>
        <v>093233</v>
      </c>
      <c r="N853" s="1" t="s">
        <v>70</v>
      </c>
      <c r="O853" s="1" t="s">
        <v>28</v>
      </c>
      <c r="P853" s="1" t="s">
        <v>55</v>
      </c>
      <c r="Q853" s="1">
        <v>25</v>
      </c>
      <c r="R853" s="1">
        <v>25</v>
      </c>
      <c r="S853" s="1">
        <v>0</v>
      </c>
      <c r="T853" s="1">
        <v>0</v>
      </c>
      <c r="U853" s="1">
        <v>0</v>
      </c>
      <c r="V853" s="1" t="str">
        <f t="shared" si="128"/>
        <v>里程去程</v>
      </c>
      <c r="W853" s="1" t="s">
        <v>29</v>
      </c>
    </row>
    <row r="854" spans="1:23" x14ac:dyDescent="0.3">
      <c r="A854" s="1" t="str">
        <f t="shared" si="129"/>
        <v>59822</v>
      </c>
      <c r="B854" s="1" t="s">
        <v>39</v>
      </c>
      <c r="C854" s="1" t="s">
        <v>40</v>
      </c>
      <c r="D854" s="1" t="str">
        <f t="shared" si="127"/>
        <v>9801</v>
      </c>
      <c r="E854" s="1" t="s">
        <v>25</v>
      </c>
      <c r="F854" s="1" t="str">
        <f>"1636928213"</f>
        <v>1636928213</v>
      </c>
      <c r="G854" s="1" t="s">
        <v>33</v>
      </c>
      <c r="H854" s="1" t="str">
        <f t="shared" si="125"/>
        <v>20220924</v>
      </c>
      <c r="I854" s="1" t="str">
        <f>"092205"</f>
        <v>092205</v>
      </c>
      <c r="J854" s="1" t="s">
        <v>69</v>
      </c>
      <c r="K854" s="1" t="s">
        <v>52</v>
      </c>
      <c r="L854" s="1" t="str">
        <f t="shared" si="126"/>
        <v>20220924</v>
      </c>
      <c r="M854" s="1" t="str">
        <f>"093223"</f>
        <v>093223</v>
      </c>
      <c r="N854" s="1" t="s">
        <v>70</v>
      </c>
      <c r="O854" s="1" t="s">
        <v>28</v>
      </c>
      <c r="P854" s="1" t="s">
        <v>55</v>
      </c>
      <c r="Q854" s="1">
        <v>25</v>
      </c>
      <c r="R854" s="1">
        <v>25</v>
      </c>
      <c r="S854" s="1">
        <v>0</v>
      </c>
      <c r="T854" s="1">
        <v>0</v>
      </c>
      <c r="U854" s="1">
        <v>0</v>
      </c>
      <c r="V854" s="1" t="str">
        <f t="shared" si="128"/>
        <v>里程去程</v>
      </c>
      <c r="W854" s="1" t="s">
        <v>35</v>
      </c>
    </row>
    <row r="855" spans="1:23" x14ac:dyDescent="0.3">
      <c r="A855" s="1" t="str">
        <f t="shared" si="129"/>
        <v>59822</v>
      </c>
      <c r="B855" s="1" t="s">
        <v>39</v>
      </c>
      <c r="C855" s="1" t="s">
        <v>40</v>
      </c>
      <c r="D855" s="1" t="str">
        <f t="shared" si="127"/>
        <v>9801</v>
      </c>
      <c r="E855" s="1" t="s">
        <v>25</v>
      </c>
      <c r="F855" s="1" t="str">
        <f>"114923265D8804004328091300190212"</f>
        <v>114923265D8804004328091300190212</v>
      </c>
      <c r="G855" s="1" t="s">
        <v>82</v>
      </c>
      <c r="H855" s="1" t="str">
        <f t="shared" si="125"/>
        <v>20220924</v>
      </c>
      <c r="I855" s="1" t="str">
        <f>"093245"</f>
        <v>093245</v>
      </c>
      <c r="J855" s="1" t="s">
        <v>27</v>
      </c>
      <c r="K855" s="1" t="s">
        <v>28</v>
      </c>
      <c r="L855" s="1" t="str">
        <f t="shared" si="126"/>
        <v>20220924</v>
      </c>
      <c r="M855" s="1" t="str">
        <f>"095421"</f>
        <v>095421</v>
      </c>
      <c r="N855" s="1" t="s">
        <v>44</v>
      </c>
      <c r="O855" s="1" t="s">
        <v>45</v>
      </c>
      <c r="P855" s="1" t="s">
        <v>55</v>
      </c>
      <c r="Q855" s="1">
        <v>13</v>
      </c>
      <c r="R855" s="1">
        <v>13</v>
      </c>
      <c r="S855" s="1">
        <v>0</v>
      </c>
      <c r="T855" s="1">
        <v>0</v>
      </c>
      <c r="U855" s="1">
        <v>0</v>
      </c>
      <c r="V855" s="1" t="str">
        <f t="shared" si="128"/>
        <v>里程去程</v>
      </c>
      <c r="W855" s="1" t="s">
        <v>29</v>
      </c>
    </row>
    <row r="856" spans="1:23" x14ac:dyDescent="0.3">
      <c r="A856" s="1" t="str">
        <f t="shared" si="129"/>
        <v>59822</v>
      </c>
      <c r="B856" s="1" t="s">
        <v>39</v>
      </c>
      <c r="C856" s="1" t="s">
        <v>40</v>
      </c>
      <c r="D856" s="1" t="str">
        <f t="shared" si="127"/>
        <v>9801</v>
      </c>
      <c r="E856" s="1" t="s">
        <v>25</v>
      </c>
      <c r="F856" s="1" t="str">
        <f>"319562223"</f>
        <v>319562223</v>
      </c>
      <c r="G856" s="1" t="s">
        <v>33</v>
      </c>
      <c r="H856" s="1" t="str">
        <f t="shared" si="125"/>
        <v>20220924</v>
      </c>
      <c r="I856" s="1" t="str">
        <f>"093251"</f>
        <v>093251</v>
      </c>
      <c r="J856" s="1" t="s">
        <v>27</v>
      </c>
      <c r="K856" s="1" t="s">
        <v>28</v>
      </c>
      <c r="L856" s="1" t="str">
        <f t="shared" si="126"/>
        <v>20220924</v>
      </c>
      <c r="M856" s="1" t="str">
        <f>"094957"</f>
        <v>094957</v>
      </c>
      <c r="N856" s="1" t="s">
        <v>91</v>
      </c>
      <c r="O856" s="1" t="s">
        <v>45</v>
      </c>
      <c r="P856" s="1" t="s">
        <v>55</v>
      </c>
      <c r="Q856" s="1">
        <v>25</v>
      </c>
      <c r="R856" s="1">
        <v>25</v>
      </c>
      <c r="S856" s="1">
        <v>0</v>
      </c>
      <c r="T856" s="1">
        <v>0</v>
      </c>
      <c r="U856" s="1">
        <v>0</v>
      </c>
      <c r="V856" s="1" t="str">
        <f t="shared" si="128"/>
        <v>里程去程</v>
      </c>
      <c r="W856" s="1" t="s">
        <v>35</v>
      </c>
    </row>
    <row r="857" spans="1:23" x14ac:dyDescent="0.3">
      <c r="A857" s="1" t="str">
        <f t="shared" si="129"/>
        <v>59822</v>
      </c>
      <c r="B857" s="1" t="s">
        <v>39</v>
      </c>
      <c r="C857" s="1" t="s">
        <v>40</v>
      </c>
      <c r="D857" s="1" t="str">
        <f t="shared" si="127"/>
        <v>9801</v>
      </c>
      <c r="E857" s="1" t="s">
        <v>25</v>
      </c>
      <c r="F857" s="1" t="str">
        <f>"1404578225"</f>
        <v>1404578225</v>
      </c>
      <c r="G857" s="1" t="s">
        <v>26</v>
      </c>
      <c r="H857" s="1" t="str">
        <f t="shared" si="125"/>
        <v>20220924</v>
      </c>
      <c r="I857" s="1" t="str">
        <f>"093303"</f>
        <v>093303</v>
      </c>
      <c r="J857" s="1" t="s">
        <v>27</v>
      </c>
      <c r="K857" s="1" t="s">
        <v>28</v>
      </c>
      <c r="L857" s="1" t="str">
        <f t="shared" si="126"/>
        <v>20220924</v>
      </c>
      <c r="M857" s="1" t="str">
        <f>"094404"</f>
        <v>094404</v>
      </c>
      <c r="N857" s="1" t="s">
        <v>45</v>
      </c>
      <c r="O857" s="1" t="s">
        <v>45</v>
      </c>
      <c r="P857" s="1" t="s">
        <v>55</v>
      </c>
      <c r="Q857" s="1">
        <v>13</v>
      </c>
      <c r="R857" s="1">
        <v>0</v>
      </c>
      <c r="S857" s="1">
        <v>13</v>
      </c>
      <c r="T857" s="1">
        <v>0</v>
      </c>
      <c r="U857" s="1">
        <v>0</v>
      </c>
      <c r="V857" s="1" t="str">
        <f t="shared" si="128"/>
        <v>里程去程</v>
      </c>
      <c r="W857" s="1" t="s">
        <v>35</v>
      </c>
    </row>
    <row r="858" spans="1:23" x14ac:dyDescent="0.3">
      <c r="A858" s="1" t="str">
        <f t="shared" si="129"/>
        <v>59822</v>
      </c>
      <c r="B858" s="1" t="s">
        <v>39</v>
      </c>
      <c r="C858" s="1" t="s">
        <v>40</v>
      </c>
      <c r="D858" s="1" t="str">
        <f t="shared" si="127"/>
        <v>9801</v>
      </c>
      <c r="E858" s="1" t="s">
        <v>25</v>
      </c>
      <c r="F858" s="1" t="str">
        <f>"1695708368"</f>
        <v>1695708368</v>
      </c>
      <c r="G858" s="1" t="s">
        <v>33</v>
      </c>
      <c r="H858" s="1" t="str">
        <f t="shared" si="125"/>
        <v>20220924</v>
      </c>
      <c r="I858" s="1" t="str">
        <f>"093309"</f>
        <v>093309</v>
      </c>
      <c r="J858" s="1" t="s">
        <v>27</v>
      </c>
      <c r="K858" s="1" t="s">
        <v>28</v>
      </c>
      <c r="L858" s="1" t="str">
        <f t="shared" si="126"/>
        <v>20220924</v>
      </c>
      <c r="M858" s="1" t="str">
        <f>"094951"</f>
        <v>094951</v>
      </c>
      <c r="N858" s="1" t="s">
        <v>91</v>
      </c>
      <c r="O858" s="1" t="s">
        <v>45</v>
      </c>
      <c r="P858" s="1" t="s">
        <v>55</v>
      </c>
      <c r="Q858" s="1">
        <v>25</v>
      </c>
      <c r="R858" s="1">
        <v>25</v>
      </c>
      <c r="S858" s="1">
        <v>0</v>
      </c>
      <c r="T858" s="1">
        <v>0</v>
      </c>
      <c r="U858" s="1">
        <v>0</v>
      </c>
      <c r="V858" s="1" t="str">
        <f t="shared" si="128"/>
        <v>里程去程</v>
      </c>
      <c r="W858" s="1" t="s">
        <v>35</v>
      </c>
    </row>
    <row r="859" spans="1:23" x14ac:dyDescent="0.3">
      <c r="A859" s="1" t="str">
        <f t="shared" ref="A859:A871" si="130">"59809"</f>
        <v>59809</v>
      </c>
      <c r="B859" s="1" t="s">
        <v>42</v>
      </c>
      <c r="C859" s="1" t="s">
        <v>43</v>
      </c>
      <c r="D859" s="1" t="str">
        <f t="shared" si="127"/>
        <v>9801</v>
      </c>
      <c r="E859" s="1" t="s">
        <v>25</v>
      </c>
      <c r="F859" s="1" t="str">
        <f>"460978337"</f>
        <v>460978337</v>
      </c>
      <c r="G859" s="1" t="s">
        <v>26</v>
      </c>
      <c r="H859" s="1" t="str">
        <f t="shared" ref="H859:H881" si="131">"20220925"</f>
        <v>20220925</v>
      </c>
      <c r="I859" s="1" t="str">
        <f>"123411"</f>
        <v>123411</v>
      </c>
      <c r="J859" s="1" t="s">
        <v>27</v>
      </c>
      <c r="K859" s="1" t="s">
        <v>28</v>
      </c>
      <c r="L859" s="1" t="str">
        <f t="shared" ref="L859:L881" si="132">"20220925"</f>
        <v>20220925</v>
      </c>
      <c r="M859" s="1" t="str">
        <f>"125622"</f>
        <v>125622</v>
      </c>
      <c r="N859" s="1" t="s">
        <v>44</v>
      </c>
      <c r="O859" s="1" t="s">
        <v>45</v>
      </c>
      <c r="P859" s="1" t="s">
        <v>55</v>
      </c>
      <c r="Q859" s="1">
        <v>13</v>
      </c>
      <c r="R859" s="1">
        <v>13</v>
      </c>
      <c r="S859" s="1">
        <v>0</v>
      </c>
      <c r="T859" s="1">
        <v>0</v>
      </c>
      <c r="U859" s="1">
        <v>0</v>
      </c>
      <c r="V859" s="1" t="str">
        <f t="shared" si="128"/>
        <v>里程去程</v>
      </c>
      <c r="W859" s="1" t="s">
        <v>35</v>
      </c>
    </row>
    <row r="860" spans="1:23" x14ac:dyDescent="0.3">
      <c r="A860" s="1" t="str">
        <f t="shared" si="130"/>
        <v>59809</v>
      </c>
      <c r="B860" s="1" t="s">
        <v>42</v>
      </c>
      <c r="C860" s="1" t="s">
        <v>43</v>
      </c>
      <c r="D860" s="1" t="str">
        <f t="shared" si="127"/>
        <v>9801</v>
      </c>
      <c r="E860" s="1" t="s">
        <v>25</v>
      </c>
      <c r="F860" s="1" t="str">
        <f>"2016810456"</f>
        <v>2016810456</v>
      </c>
      <c r="G860" s="1" t="s">
        <v>33</v>
      </c>
      <c r="H860" s="1" t="str">
        <f t="shared" si="131"/>
        <v>20220925</v>
      </c>
      <c r="I860" s="1" t="str">
        <f>"123413"</f>
        <v>123413</v>
      </c>
      <c r="J860" s="1" t="s">
        <v>27</v>
      </c>
      <c r="K860" s="1" t="s">
        <v>28</v>
      </c>
      <c r="L860" s="1" t="str">
        <f t="shared" si="132"/>
        <v>20220925</v>
      </c>
      <c r="M860" s="1" t="str">
        <f>"125619"</f>
        <v>125619</v>
      </c>
      <c r="N860" s="1" t="s">
        <v>44</v>
      </c>
      <c r="O860" s="1" t="s">
        <v>45</v>
      </c>
      <c r="P860" s="1" t="s">
        <v>55</v>
      </c>
      <c r="Q860" s="1">
        <v>25</v>
      </c>
      <c r="R860" s="1">
        <v>25</v>
      </c>
      <c r="S860" s="1">
        <v>0</v>
      </c>
      <c r="T860" s="1">
        <v>0</v>
      </c>
      <c r="U860" s="1">
        <v>0</v>
      </c>
      <c r="V860" s="1" t="str">
        <f t="shared" si="128"/>
        <v>里程去程</v>
      </c>
      <c r="W860" s="1" t="s">
        <v>35</v>
      </c>
    </row>
    <row r="861" spans="1:23" x14ac:dyDescent="0.3">
      <c r="A861" s="1" t="str">
        <f t="shared" si="130"/>
        <v>59809</v>
      </c>
      <c r="B861" s="1" t="s">
        <v>42</v>
      </c>
      <c r="C861" s="1" t="s">
        <v>43</v>
      </c>
      <c r="D861" s="1" t="str">
        <f t="shared" si="127"/>
        <v>9801</v>
      </c>
      <c r="E861" s="1" t="s">
        <v>25</v>
      </c>
      <c r="F861" s="1" t="str">
        <f>"02F81903E0880400C834002000000015"</f>
        <v>02F81903E0880400C834002000000015</v>
      </c>
      <c r="G861" s="1" t="s">
        <v>26</v>
      </c>
      <c r="H861" s="1" t="str">
        <f t="shared" si="131"/>
        <v>20220925</v>
      </c>
      <c r="I861" s="1" t="str">
        <f>"123425"</f>
        <v>123425</v>
      </c>
      <c r="J861" s="1" t="s">
        <v>27</v>
      </c>
      <c r="K861" s="1" t="s">
        <v>28</v>
      </c>
      <c r="L861" s="1" t="str">
        <f t="shared" si="132"/>
        <v>20220925</v>
      </c>
      <c r="M861" s="1" t="str">
        <f>"125614"</f>
        <v>125614</v>
      </c>
      <c r="N861" s="1" t="s">
        <v>44</v>
      </c>
      <c r="O861" s="1" t="s">
        <v>45</v>
      </c>
      <c r="P861" s="1" t="s">
        <v>68</v>
      </c>
      <c r="Q861" s="1">
        <v>13</v>
      </c>
      <c r="R861" s="1">
        <v>0</v>
      </c>
      <c r="S861" s="1">
        <v>0</v>
      </c>
      <c r="T861" s="1">
        <v>13</v>
      </c>
      <c r="U861" s="1">
        <v>0</v>
      </c>
      <c r="V861" s="1" t="str">
        <f t="shared" si="128"/>
        <v>里程去程</v>
      </c>
      <c r="W861" s="1" t="s">
        <v>29</v>
      </c>
    </row>
    <row r="862" spans="1:23" x14ac:dyDescent="0.3">
      <c r="A862" s="1" t="str">
        <f t="shared" si="130"/>
        <v>59809</v>
      </c>
      <c r="B862" s="1" t="s">
        <v>42</v>
      </c>
      <c r="C862" s="1" t="s">
        <v>43</v>
      </c>
      <c r="D862" s="1" t="str">
        <f t="shared" si="127"/>
        <v>9801</v>
      </c>
      <c r="E862" s="1" t="s">
        <v>25</v>
      </c>
      <c r="F862" s="1" t="str">
        <f>"2680212027"</f>
        <v>2680212027</v>
      </c>
      <c r="G862" s="1" t="s">
        <v>33</v>
      </c>
      <c r="H862" s="1" t="str">
        <f t="shared" si="131"/>
        <v>20220925</v>
      </c>
      <c r="I862" s="1" t="str">
        <f>"123458"</f>
        <v>123458</v>
      </c>
      <c r="J862" s="1" t="s">
        <v>27</v>
      </c>
      <c r="K862" s="1" t="s">
        <v>28</v>
      </c>
      <c r="L862" s="1" t="str">
        <f t="shared" si="132"/>
        <v>20220925</v>
      </c>
      <c r="M862" s="1" t="str">
        <f>"125507"</f>
        <v>125507</v>
      </c>
      <c r="N862" s="1" t="s">
        <v>44</v>
      </c>
      <c r="O862" s="1" t="s">
        <v>45</v>
      </c>
      <c r="P862" s="1" t="s">
        <v>55</v>
      </c>
      <c r="Q862" s="1">
        <v>25</v>
      </c>
      <c r="R862" s="1">
        <v>25</v>
      </c>
      <c r="S862" s="1">
        <v>0</v>
      </c>
      <c r="T862" s="1">
        <v>0</v>
      </c>
      <c r="U862" s="1">
        <v>0</v>
      </c>
      <c r="V862" s="1" t="str">
        <f t="shared" si="128"/>
        <v>里程去程</v>
      </c>
      <c r="W862" s="1" t="s">
        <v>35</v>
      </c>
    </row>
    <row r="863" spans="1:23" x14ac:dyDescent="0.3">
      <c r="A863" s="1" t="str">
        <f t="shared" si="130"/>
        <v>59809</v>
      </c>
      <c r="B863" s="1" t="s">
        <v>42</v>
      </c>
      <c r="C863" s="1" t="s">
        <v>43</v>
      </c>
      <c r="D863" s="1" t="str">
        <f t="shared" si="127"/>
        <v>9801</v>
      </c>
      <c r="E863" s="1" t="s">
        <v>25</v>
      </c>
      <c r="F863" s="1" t="str">
        <f>"1818148293"</f>
        <v>1818148293</v>
      </c>
      <c r="G863" s="1" t="s">
        <v>38</v>
      </c>
      <c r="H863" s="1" t="str">
        <f t="shared" si="131"/>
        <v>20220925</v>
      </c>
      <c r="I863" s="1" t="str">
        <f>"132953"</f>
        <v>132953</v>
      </c>
      <c r="J863" s="1" t="s">
        <v>27</v>
      </c>
      <c r="K863" s="1" t="s">
        <v>28</v>
      </c>
      <c r="L863" s="1" t="str">
        <f t="shared" si="132"/>
        <v>20220925</v>
      </c>
      <c r="M863" s="1" t="str">
        <f>"135552"</f>
        <v>135552</v>
      </c>
      <c r="N863" s="1" t="s">
        <v>44</v>
      </c>
      <c r="O863" s="1" t="s">
        <v>45</v>
      </c>
      <c r="P863" s="1" t="s">
        <v>55</v>
      </c>
      <c r="Q863" s="1">
        <v>25</v>
      </c>
      <c r="R863" s="1">
        <v>0</v>
      </c>
      <c r="S863" s="1">
        <v>25</v>
      </c>
      <c r="T863" s="1">
        <v>0</v>
      </c>
      <c r="U863" s="1">
        <v>0</v>
      </c>
      <c r="V863" s="1" t="str">
        <f t="shared" si="128"/>
        <v>里程去程</v>
      </c>
      <c r="W863" s="1" t="s">
        <v>35</v>
      </c>
    </row>
    <row r="864" spans="1:23" x14ac:dyDescent="0.3">
      <c r="A864" s="1" t="str">
        <f t="shared" si="130"/>
        <v>59809</v>
      </c>
      <c r="B864" s="1" t="s">
        <v>42</v>
      </c>
      <c r="C864" s="1" t="s">
        <v>43</v>
      </c>
      <c r="D864" s="1" t="str">
        <f t="shared" si="127"/>
        <v>9801</v>
      </c>
      <c r="E864" s="1" t="s">
        <v>25</v>
      </c>
      <c r="F864" s="1" t="str">
        <f>"F27CE6026A880400C834002000000015"</f>
        <v>F27CE6026A880400C834002000000015</v>
      </c>
      <c r="G864" s="1" t="s">
        <v>74</v>
      </c>
      <c r="H864" s="1" t="str">
        <f t="shared" si="131"/>
        <v>20220925</v>
      </c>
      <c r="I864" s="1" t="str">
        <f>"145519"</f>
        <v>145519</v>
      </c>
      <c r="J864" s="1" t="s">
        <v>52</v>
      </c>
      <c r="K864" s="1" t="s">
        <v>52</v>
      </c>
      <c r="L864" s="1" t="str">
        <f t="shared" si="132"/>
        <v>20220925</v>
      </c>
      <c r="M864" s="1" t="str">
        <f>"150513"</f>
        <v>150513</v>
      </c>
      <c r="N864" s="1" t="s">
        <v>60</v>
      </c>
      <c r="O864" s="1" t="s">
        <v>52</v>
      </c>
      <c r="P864" s="1" t="s">
        <v>68</v>
      </c>
      <c r="Q864" s="1">
        <v>13</v>
      </c>
      <c r="R864" s="1">
        <v>0</v>
      </c>
      <c r="S864" s="1">
        <v>0</v>
      </c>
      <c r="T864" s="1">
        <v>13</v>
      </c>
      <c r="U864" s="1">
        <v>0</v>
      </c>
      <c r="V864" s="1" t="str">
        <f t="shared" si="128"/>
        <v>里程去程</v>
      </c>
      <c r="W864" s="1" t="s">
        <v>29</v>
      </c>
    </row>
    <row r="865" spans="1:23" x14ac:dyDescent="0.3">
      <c r="A865" s="1" t="str">
        <f t="shared" si="130"/>
        <v>59809</v>
      </c>
      <c r="B865" s="1" t="s">
        <v>42</v>
      </c>
      <c r="C865" s="1" t="s">
        <v>43</v>
      </c>
      <c r="D865" s="1" t="str">
        <f t="shared" si="127"/>
        <v>9801</v>
      </c>
      <c r="E865" s="1" t="s">
        <v>25</v>
      </c>
      <c r="F865" s="1" t="str">
        <f>"E220D10211880400C834002000000015"</f>
        <v>E220D10211880400C834002000000015</v>
      </c>
      <c r="G865" s="1" t="s">
        <v>74</v>
      </c>
      <c r="H865" s="1" t="str">
        <f t="shared" si="131"/>
        <v>20220925</v>
      </c>
      <c r="I865" s="1" t="str">
        <f>"151032"</f>
        <v>151032</v>
      </c>
      <c r="J865" s="1" t="s">
        <v>72</v>
      </c>
      <c r="K865" s="1" t="s">
        <v>52</v>
      </c>
      <c r="L865" s="1" t="str">
        <f t="shared" si="132"/>
        <v>20220925</v>
      </c>
      <c r="M865" s="1" t="str">
        <f>"151412"</f>
        <v>151412</v>
      </c>
      <c r="N865" s="1" t="s">
        <v>80</v>
      </c>
      <c r="O865" s="1" t="s">
        <v>52</v>
      </c>
      <c r="P865" s="1" t="s">
        <v>68</v>
      </c>
      <c r="Q865" s="1">
        <v>13</v>
      </c>
      <c r="R865" s="1">
        <v>0</v>
      </c>
      <c r="S865" s="1">
        <v>0</v>
      </c>
      <c r="T865" s="1">
        <v>13</v>
      </c>
      <c r="U865" s="1">
        <v>0</v>
      </c>
      <c r="V865" s="1" t="str">
        <f t="shared" si="128"/>
        <v>里程去程</v>
      </c>
      <c r="W865" s="1" t="s">
        <v>29</v>
      </c>
    </row>
    <row r="866" spans="1:23" x14ac:dyDescent="0.3">
      <c r="A866" s="1" t="str">
        <f t="shared" si="130"/>
        <v>59809</v>
      </c>
      <c r="B866" s="1" t="s">
        <v>42</v>
      </c>
      <c r="C866" s="1" t="s">
        <v>43</v>
      </c>
      <c r="D866" s="1" t="str">
        <f t="shared" si="127"/>
        <v>9801</v>
      </c>
      <c r="E866" s="1" t="s">
        <v>25</v>
      </c>
      <c r="F866" s="1" t="str">
        <f>"589583889"</f>
        <v>589583889</v>
      </c>
      <c r="G866" s="1" t="s">
        <v>33</v>
      </c>
      <c r="H866" s="1" t="str">
        <f t="shared" si="131"/>
        <v>20220925</v>
      </c>
      <c r="I866" s="1" t="str">
        <f>"155921"</f>
        <v>155921</v>
      </c>
      <c r="J866" s="1" t="s">
        <v>52</v>
      </c>
      <c r="K866" s="1" t="s">
        <v>52</v>
      </c>
      <c r="L866" s="1" t="str">
        <f t="shared" si="132"/>
        <v>20220925</v>
      </c>
      <c r="M866" s="1" t="str">
        <f>"161843"</f>
        <v>161843</v>
      </c>
      <c r="N866" s="1" t="s">
        <v>78</v>
      </c>
      <c r="O866" s="1" t="s">
        <v>52</v>
      </c>
      <c r="P866" s="1" t="s">
        <v>55</v>
      </c>
      <c r="Q866" s="1">
        <v>25</v>
      </c>
      <c r="R866" s="1">
        <v>0</v>
      </c>
      <c r="S866" s="1">
        <v>25</v>
      </c>
      <c r="T866" s="1">
        <v>0</v>
      </c>
      <c r="U866" s="1">
        <v>0</v>
      </c>
      <c r="V866" s="1" t="str">
        <f t="shared" si="128"/>
        <v>里程去程</v>
      </c>
      <c r="W866" s="1" t="s">
        <v>35</v>
      </c>
    </row>
    <row r="867" spans="1:23" x14ac:dyDescent="0.3">
      <c r="A867" s="1" t="str">
        <f t="shared" si="130"/>
        <v>59809</v>
      </c>
      <c r="B867" s="1" t="s">
        <v>42</v>
      </c>
      <c r="C867" s="1" t="s">
        <v>43</v>
      </c>
      <c r="D867" s="1" t="str">
        <f t="shared" si="127"/>
        <v>9801</v>
      </c>
      <c r="E867" s="1" t="s">
        <v>25</v>
      </c>
      <c r="F867" s="1" t="str">
        <f>"1054096469"</f>
        <v>1054096469</v>
      </c>
      <c r="G867" s="1" t="s">
        <v>33</v>
      </c>
      <c r="H867" s="1" t="str">
        <f t="shared" si="131"/>
        <v>20220925</v>
      </c>
      <c r="I867" s="1" t="str">
        <f>"162819"</f>
        <v>162819</v>
      </c>
      <c r="J867" s="1" t="s">
        <v>27</v>
      </c>
      <c r="K867" s="1" t="s">
        <v>28</v>
      </c>
      <c r="L867" s="1" t="str">
        <f t="shared" si="132"/>
        <v>20220925</v>
      </c>
      <c r="M867" s="1" t="str">
        <f>"165920"</f>
        <v>165920</v>
      </c>
      <c r="N867" s="1" t="s">
        <v>44</v>
      </c>
      <c r="O867" s="1" t="s">
        <v>45</v>
      </c>
      <c r="P867" s="1" t="s">
        <v>55</v>
      </c>
      <c r="Q867" s="1">
        <v>25</v>
      </c>
      <c r="R867" s="1">
        <v>0</v>
      </c>
      <c r="S867" s="1">
        <v>25</v>
      </c>
      <c r="T867" s="1">
        <v>0</v>
      </c>
      <c r="U867" s="1">
        <v>0</v>
      </c>
      <c r="V867" s="1" t="str">
        <f t="shared" si="128"/>
        <v>里程去程</v>
      </c>
      <c r="W867" s="1" t="s">
        <v>35</v>
      </c>
    </row>
    <row r="868" spans="1:23" x14ac:dyDescent="0.3">
      <c r="A868" s="1" t="str">
        <f t="shared" si="130"/>
        <v>59809</v>
      </c>
      <c r="B868" s="1" t="s">
        <v>42</v>
      </c>
      <c r="C868" s="1" t="s">
        <v>43</v>
      </c>
      <c r="D868" s="1" t="str">
        <f t="shared" si="127"/>
        <v>9801</v>
      </c>
      <c r="E868" s="1" t="s">
        <v>25</v>
      </c>
      <c r="F868" s="1" t="str">
        <f>"589583889"</f>
        <v>589583889</v>
      </c>
      <c r="G868" s="1" t="s">
        <v>33</v>
      </c>
      <c r="H868" s="1" t="str">
        <f t="shared" si="131"/>
        <v>20220925</v>
      </c>
      <c r="I868" s="1" t="str">
        <f>"195652"</f>
        <v>195652</v>
      </c>
      <c r="J868" s="1" t="s">
        <v>52</v>
      </c>
      <c r="K868" s="1" t="s">
        <v>52</v>
      </c>
      <c r="L868" s="1" t="str">
        <f t="shared" si="132"/>
        <v>20220925</v>
      </c>
      <c r="M868" s="1" t="str">
        <f>"202146"</f>
        <v>202146</v>
      </c>
      <c r="N868" s="1" t="s">
        <v>67</v>
      </c>
      <c r="O868" s="1" t="s">
        <v>52</v>
      </c>
      <c r="P868" s="1" t="s">
        <v>55</v>
      </c>
      <c r="Q868" s="1">
        <v>25</v>
      </c>
      <c r="R868" s="1">
        <v>25</v>
      </c>
      <c r="S868" s="1">
        <v>0</v>
      </c>
      <c r="T868" s="1">
        <v>0</v>
      </c>
      <c r="U868" s="1">
        <v>0</v>
      </c>
      <c r="V868" s="1" t="str">
        <f t="shared" si="128"/>
        <v>里程去程</v>
      </c>
      <c r="W868" s="1" t="s">
        <v>35</v>
      </c>
    </row>
    <row r="869" spans="1:23" x14ac:dyDescent="0.3">
      <c r="A869" s="1" t="str">
        <f t="shared" si="130"/>
        <v>59809</v>
      </c>
      <c r="B869" s="1" t="s">
        <v>42</v>
      </c>
      <c r="C869" s="1" t="s">
        <v>43</v>
      </c>
      <c r="D869" s="1" t="str">
        <f t="shared" si="127"/>
        <v>9801</v>
      </c>
      <c r="E869" s="1" t="s">
        <v>25</v>
      </c>
      <c r="F869" s="1" t="str">
        <f>"805625665"</f>
        <v>805625665</v>
      </c>
      <c r="G869" s="1" t="s">
        <v>26</v>
      </c>
      <c r="H869" s="1" t="str">
        <f t="shared" si="131"/>
        <v>20220925</v>
      </c>
      <c r="I869" s="1" t="str">
        <f>"202851"</f>
        <v>202851</v>
      </c>
      <c r="J869" s="1" t="s">
        <v>27</v>
      </c>
      <c r="K869" s="1" t="s">
        <v>28</v>
      </c>
      <c r="L869" s="1" t="str">
        <f t="shared" si="132"/>
        <v>20220925</v>
      </c>
      <c r="M869" s="1" t="str">
        <f>"205536"</f>
        <v>205536</v>
      </c>
      <c r="N869" s="1" t="s">
        <v>44</v>
      </c>
      <c r="O869" s="1" t="s">
        <v>45</v>
      </c>
      <c r="P869" s="1" t="s">
        <v>55</v>
      </c>
      <c r="Q869" s="1">
        <v>13</v>
      </c>
      <c r="R869" s="1">
        <v>0</v>
      </c>
      <c r="S869" s="1">
        <v>13</v>
      </c>
      <c r="T869" s="1">
        <v>0</v>
      </c>
      <c r="U869" s="1">
        <v>0</v>
      </c>
      <c r="V869" s="1" t="str">
        <f t="shared" si="128"/>
        <v>里程去程</v>
      </c>
      <c r="W869" s="1" t="s">
        <v>35</v>
      </c>
    </row>
    <row r="870" spans="1:23" x14ac:dyDescent="0.3">
      <c r="A870" s="1" t="str">
        <f t="shared" si="130"/>
        <v>59809</v>
      </c>
      <c r="B870" s="1" t="s">
        <v>42</v>
      </c>
      <c r="C870" s="1" t="s">
        <v>43</v>
      </c>
      <c r="D870" s="1" t="str">
        <f t="shared" si="127"/>
        <v>9801</v>
      </c>
      <c r="E870" s="1" t="s">
        <v>25</v>
      </c>
      <c r="F870" s="1" t="str">
        <f>"4238651558"</f>
        <v>4238651558</v>
      </c>
      <c r="G870" s="1" t="s">
        <v>33</v>
      </c>
      <c r="H870" s="1" t="str">
        <f t="shared" si="131"/>
        <v>20220925</v>
      </c>
      <c r="I870" s="1" t="str">
        <f>"203033"</f>
        <v>203033</v>
      </c>
      <c r="J870" s="1" t="s">
        <v>27</v>
      </c>
      <c r="K870" s="1" t="s">
        <v>28</v>
      </c>
      <c r="L870" s="1" t="str">
        <f t="shared" si="132"/>
        <v>20220925</v>
      </c>
      <c r="M870" s="1" t="str">
        <f>"204624"</f>
        <v>204624</v>
      </c>
      <c r="N870" s="1" t="s">
        <v>75</v>
      </c>
      <c r="O870" s="1" t="s">
        <v>45</v>
      </c>
      <c r="P870" s="1" t="s">
        <v>55</v>
      </c>
      <c r="Q870" s="1">
        <v>25</v>
      </c>
      <c r="R870" s="1">
        <v>25</v>
      </c>
      <c r="S870" s="1">
        <v>0</v>
      </c>
      <c r="T870" s="1">
        <v>0</v>
      </c>
      <c r="U870" s="1">
        <v>0</v>
      </c>
      <c r="V870" s="1" t="str">
        <f t="shared" si="128"/>
        <v>里程去程</v>
      </c>
      <c r="W870" s="1" t="s">
        <v>35</v>
      </c>
    </row>
    <row r="871" spans="1:23" x14ac:dyDescent="0.3">
      <c r="A871" s="1" t="str">
        <f t="shared" si="130"/>
        <v>59809</v>
      </c>
      <c r="B871" s="1" t="s">
        <v>42</v>
      </c>
      <c r="C871" s="1" t="s">
        <v>43</v>
      </c>
      <c r="D871" s="1" t="str">
        <f t="shared" si="127"/>
        <v>9801</v>
      </c>
      <c r="E871" s="1" t="s">
        <v>25</v>
      </c>
      <c r="F871" s="1" t="str">
        <f>"1148091361"</f>
        <v>1148091361</v>
      </c>
      <c r="G871" s="1" t="s">
        <v>33</v>
      </c>
      <c r="H871" s="1" t="str">
        <f t="shared" si="131"/>
        <v>20220925</v>
      </c>
      <c r="I871" s="1" t="str">
        <f>"203136"</f>
        <v>203136</v>
      </c>
      <c r="J871" s="1" t="s">
        <v>27</v>
      </c>
      <c r="K871" s="1" t="s">
        <v>28</v>
      </c>
      <c r="L871" s="1" t="str">
        <f t="shared" si="132"/>
        <v>20220925</v>
      </c>
      <c r="M871" s="1" t="str">
        <f>"204946"</f>
        <v>204946</v>
      </c>
      <c r="N871" s="1" t="s">
        <v>91</v>
      </c>
      <c r="O871" s="1" t="s">
        <v>45</v>
      </c>
      <c r="P871" s="1" t="s">
        <v>55</v>
      </c>
      <c r="Q871" s="1">
        <v>25</v>
      </c>
      <c r="R871" s="1">
        <v>25</v>
      </c>
      <c r="S871" s="1">
        <v>0</v>
      </c>
      <c r="T871" s="1">
        <v>0</v>
      </c>
      <c r="U871" s="1">
        <v>0</v>
      </c>
      <c r="V871" s="1" t="str">
        <f t="shared" si="128"/>
        <v>里程去程</v>
      </c>
      <c r="W871" s="1" t="s">
        <v>35</v>
      </c>
    </row>
    <row r="872" spans="1:23" x14ac:dyDescent="0.3">
      <c r="A872" s="1" t="str">
        <f t="shared" ref="A872:A881" si="133">"59822"</f>
        <v>59822</v>
      </c>
      <c r="B872" s="1" t="s">
        <v>39</v>
      </c>
      <c r="C872" s="1" t="s">
        <v>40</v>
      </c>
      <c r="D872" s="1" t="str">
        <f t="shared" si="127"/>
        <v>9801</v>
      </c>
      <c r="E872" s="1" t="s">
        <v>25</v>
      </c>
      <c r="F872" s="1" t="str">
        <f>"82D5FB02AE880400C834002000000015"</f>
        <v>82D5FB02AE880400C834002000000015</v>
      </c>
      <c r="G872" s="1" t="s">
        <v>26</v>
      </c>
      <c r="H872" s="1" t="str">
        <f t="shared" si="131"/>
        <v>20220925</v>
      </c>
      <c r="I872" s="1" t="str">
        <f>"080802"</f>
        <v>080802</v>
      </c>
      <c r="J872" s="1" t="s">
        <v>51</v>
      </c>
      <c r="K872" s="1" t="s">
        <v>52</v>
      </c>
      <c r="L872" s="1" t="str">
        <f t="shared" si="132"/>
        <v>20220925</v>
      </c>
      <c r="M872" s="1" t="str">
        <f>"084305"</f>
        <v>084305</v>
      </c>
      <c r="N872" s="1" t="s">
        <v>79</v>
      </c>
      <c r="O872" s="1" t="s">
        <v>45</v>
      </c>
      <c r="P872" s="1" t="s">
        <v>68</v>
      </c>
      <c r="Q872" s="1">
        <v>25</v>
      </c>
      <c r="R872" s="1">
        <v>0</v>
      </c>
      <c r="S872" s="1">
        <v>0</v>
      </c>
      <c r="T872" s="1">
        <v>25</v>
      </c>
      <c r="U872" s="1">
        <v>0</v>
      </c>
      <c r="V872" s="1" t="str">
        <f t="shared" si="128"/>
        <v>里程去程</v>
      </c>
      <c r="W872" s="1" t="s">
        <v>29</v>
      </c>
    </row>
    <row r="873" spans="1:23" x14ac:dyDescent="0.3">
      <c r="A873" s="1" t="str">
        <f t="shared" si="133"/>
        <v>59822</v>
      </c>
      <c r="B873" s="1" t="s">
        <v>39</v>
      </c>
      <c r="C873" s="1" t="s">
        <v>40</v>
      </c>
      <c r="D873" s="1" t="str">
        <f t="shared" si="127"/>
        <v>9801</v>
      </c>
      <c r="E873" s="1" t="s">
        <v>25</v>
      </c>
      <c r="F873" s="1" t="str">
        <f>"4251460257880400C821002000000015"</f>
        <v>4251460257880400C821002000000015</v>
      </c>
      <c r="G873" s="1" t="s">
        <v>26</v>
      </c>
      <c r="H873" s="1" t="str">
        <f t="shared" si="131"/>
        <v>20220925</v>
      </c>
      <c r="I873" s="1" t="str">
        <f>"081838"</f>
        <v>081838</v>
      </c>
      <c r="J873" s="1" t="s">
        <v>69</v>
      </c>
      <c r="K873" s="1" t="s">
        <v>52</v>
      </c>
      <c r="L873" s="1" t="str">
        <f t="shared" si="132"/>
        <v>20220925</v>
      </c>
      <c r="M873" s="1" t="str">
        <f>"084531"</f>
        <v>084531</v>
      </c>
      <c r="N873" s="1" t="s">
        <v>45</v>
      </c>
      <c r="O873" s="1" t="s">
        <v>45</v>
      </c>
      <c r="P873" s="1" t="s">
        <v>68</v>
      </c>
      <c r="Q873" s="1">
        <v>25</v>
      </c>
      <c r="R873" s="1">
        <v>0</v>
      </c>
      <c r="S873" s="1">
        <v>0</v>
      </c>
      <c r="T873" s="1">
        <v>25</v>
      </c>
      <c r="U873" s="1">
        <v>0</v>
      </c>
      <c r="V873" s="1" t="str">
        <f t="shared" si="128"/>
        <v>里程去程</v>
      </c>
      <c r="W873" s="1" t="s">
        <v>29</v>
      </c>
    </row>
    <row r="874" spans="1:23" x14ac:dyDescent="0.3">
      <c r="A874" s="1" t="str">
        <f t="shared" si="133"/>
        <v>59822</v>
      </c>
      <c r="B874" s="1" t="s">
        <v>39</v>
      </c>
      <c r="C874" s="1" t="s">
        <v>40</v>
      </c>
      <c r="D874" s="1" t="str">
        <f t="shared" si="127"/>
        <v>9801</v>
      </c>
      <c r="E874" s="1" t="s">
        <v>25</v>
      </c>
      <c r="F874" s="1" t="str">
        <f>"1103370693"</f>
        <v>1103370693</v>
      </c>
      <c r="G874" s="1" t="s">
        <v>33</v>
      </c>
      <c r="H874" s="1" t="str">
        <f t="shared" si="131"/>
        <v>20220925</v>
      </c>
      <c r="I874" s="1" t="str">
        <f>"082839"</f>
        <v>082839</v>
      </c>
      <c r="J874" s="1" t="s">
        <v>27</v>
      </c>
      <c r="K874" s="1" t="s">
        <v>28</v>
      </c>
      <c r="L874" s="1" t="str">
        <f t="shared" si="132"/>
        <v>20220925</v>
      </c>
      <c r="M874" s="1" t="str">
        <f>"084821"</f>
        <v>084821</v>
      </c>
      <c r="N874" s="1" t="s">
        <v>56</v>
      </c>
      <c r="O874" s="1" t="s">
        <v>45</v>
      </c>
      <c r="P874" s="1" t="s">
        <v>55</v>
      </c>
      <c r="Q874" s="1">
        <v>25</v>
      </c>
      <c r="R874" s="1">
        <v>0</v>
      </c>
      <c r="S874" s="1">
        <v>25</v>
      </c>
      <c r="T874" s="1">
        <v>0</v>
      </c>
      <c r="U874" s="1">
        <v>0</v>
      </c>
      <c r="V874" s="1" t="str">
        <f t="shared" si="128"/>
        <v>里程去程</v>
      </c>
      <c r="W874" s="1" t="s">
        <v>35</v>
      </c>
    </row>
    <row r="875" spans="1:23" x14ac:dyDescent="0.3">
      <c r="A875" s="1" t="str">
        <f t="shared" si="133"/>
        <v>59822</v>
      </c>
      <c r="B875" s="1" t="s">
        <v>39</v>
      </c>
      <c r="C875" s="1" t="s">
        <v>40</v>
      </c>
      <c r="D875" s="1" t="str">
        <f t="shared" si="127"/>
        <v>9801</v>
      </c>
      <c r="E875" s="1" t="s">
        <v>25</v>
      </c>
      <c r="F875" s="1" t="str">
        <f>"1081688273"</f>
        <v>1081688273</v>
      </c>
      <c r="G875" s="1" t="s">
        <v>33</v>
      </c>
      <c r="H875" s="1" t="str">
        <f t="shared" si="131"/>
        <v>20220925</v>
      </c>
      <c r="I875" s="1" t="str">
        <f>"082842"</f>
        <v>082842</v>
      </c>
      <c r="J875" s="1" t="s">
        <v>27</v>
      </c>
      <c r="K875" s="1" t="s">
        <v>28</v>
      </c>
      <c r="L875" s="1" t="str">
        <f t="shared" si="132"/>
        <v>20220925</v>
      </c>
      <c r="M875" s="1" t="str">
        <f>"084819"</f>
        <v>084819</v>
      </c>
      <c r="N875" s="1" t="s">
        <v>56</v>
      </c>
      <c r="O875" s="1" t="s">
        <v>45</v>
      </c>
      <c r="P875" s="1" t="s">
        <v>55</v>
      </c>
      <c r="Q875" s="1">
        <v>25</v>
      </c>
      <c r="R875" s="1">
        <v>0</v>
      </c>
      <c r="S875" s="1">
        <v>25</v>
      </c>
      <c r="T875" s="1">
        <v>0</v>
      </c>
      <c r="U875" s="1">
        <v>0</v>
      </c>
      <c r="V875" s="1" t="str">
        <f t="shared" si="128"/>
        <v>里程去程</v>
      </c>
      <c r="W875" s="1" t="s">
        <v>35</v>
      </c>
    </row>
    <row r="876" spans="1:23" x14ac:dyDescent="0.3">
      <c r="A876" s="1" t="str">
        <f t="shared" si="133"/>
        <v>59822</v>
      </c>
      <c r="B876" s="1" t="s">
        <v>39</v>
      </c>
      <c r="C876" s="1" t="s">
        <v>40</v>
      </c>
      <c r="D876" s="1" t="str">
        <f t="shared" si="127"/>
        <v>9801</v>
      </c>
      <c r="E876" s="1" t="s">
        <v>25</v>
      </c>
      <c r="F876" s="1" t="str">
        <f>"325A1A0371880400C834002000000015"</f>
        <v>325A1A0371880400C834002000000015</v>
      </c>
      <c r="G876" s="1" t="s">
        <v>26</v>
      </c>
      <c r="H876" s="1" t="str">
        <f t="shared" si="131"/>
        <v>20220925</v>
      </c>
      <c r="I876" s="1" t="str">
        <f>"082849"</f>
        <v>082849</v>
      </c>
      <c r="J876" s="1" t="s">
        <v>27</v>
      </c>
      <c r="K876" s="1" t="s">
        <v>28</v>
      </c>
      <c r="L876" s="1" t="str">
        <f t="shared" si="132"/>
        <v>20220925</v>
      </c>
      <c r="M876" s="1" t="str">
        <f>"085550"</f>
        <v>085550</v>
      </c>
      <c r="N876" s="1" t="s">
        <v>44</v>
      </c>
      <c r="O876" s="1" t="s">
        <v>45</v>
      </c>
      <c r="P876" s="1" t="s">
        <v>68</v>
      </c>
      <c r="Q876" s="1">
        <v>13</v>
      </c>
      <c r="R876" s="1">
        <v>0</v>
      </c>
      <c r="S876" s="1">
        <v>0</v>
      </c>
      <c r="T876" s="1">
        <v>13</v>
      </c>
      <c r="U876" s="1">
        <v>0</v>
      </c>
      <c r="V876" s="1" t="str">
        <f t="shared" si="128"/>
        <v>里程去程</v>
      </c>
      <c r="W876" s="1" t="s">
        <v>29</v>
      </c>
    </row>
    <row r="877" spans="1:23" x14ac:dyDescent="0.3">
      <c r="A877" s="1" t="str">
        <f t="shared" si="133"/>
        <v>59822</v>
      </c>
      <c r="B877" s="1" t="s">
        <v>39</v>
      </c>
      <c r="C877" s="1" t="s">
        <v>40</v>
      </c>
      <c r="D877" s="1" t="str">
        <f t="shared" si="127"/>
        <v>9801</v>
      </c>
      <c r="E877" s="1" t="s">
        <v>25</v>
      </c>
      <c r="F877" s="1" t="str">
        <f>"E213BD024E880400C834002000000015"</f>
        <v>E213BD024E880400C834002000000015</v>
      </c>
      <c r="G877" s="1" t="s">
        <v>74</v>
      </c>
      <c r="H877" s="1" t="str">
        <f t="shared" si="131"/>
        <v>20220925</v>
      </c>
      <c r="I877" s="1" t="str">
        <f>"082859"</f>
        <v>082859</v>
      </c>
      <c r="J877" s="1" t="s">
        <v>27</v>
      </c>
      <c r="K877" s="1" t="s">
        <v>28</v>
      </c>
      <c r="L877" s="1" t="str">
        <f t="shared" si="132"/>
        <v>20220925</v>
      </c>
      <c r="M877" s="1" t="str">
        <f>"084729"</f>
        <v>084729</v>
      </c>
      <c r="N877" s="1" t="s">
        <v>61</v>
      </c>
      <c r="O877" s="1" t="s">
        <v>45</v>
      </c>
      <c r="P877" s="1" t="s">
        <v>68</v>
      </c>
      <c r="Q877" s="1">
        <v>13</v>
      </c>
      <c r="R877" s="1">
        <v>0</v>
      </c>
      <c r="S877" s="1">
        <v>0</v>
      </c>
      <c r="T877" s="1">
        <v>13</v>
      </c>
      <c r="U877" s="1">
        <v>0</v>
      </c>
      <c r="V877" s="1" t="str">
        <f t="shared" si="128"/>
        <v>里程去程</v>
      </c>
      <c r="W877" s="1" t="s">
        <v>29</v>
      </c>
    </row>
    <row r="878" spans="1:23" x14ac:dyDescent="0.3">
      <c r="A878" s="1" t="str">
        <f t="shared" si="133"/>
        <v>59822</v>
      </c>
      <c r="B878" s="1" t="s">
        <v>39</v>
      </c>
      <c r="C878" s="1" t="s">
        <v>40</v>
      </c>
      <c r="D878" s="1" t="str">
        <f t="shared" si="127"/>
        <v>9801</v>
      </c>
      <c r="E878" s="1" t="s">
        <v>25</v>
      </c>
      <c r="F878" s="1" t="str">
        <f>"42720D033E880400C834002000000015"</f>
        <v>42720D033E880400C834002000000015</v>
      </c>
      <c r="G878" s="1" t="s">
        <v>26</v>
      </c>
      <c r="H878" s="1" t="str">
        <f t="shared" si="131"/>
        <v>20220925</v>
      </c>
      <c r="I878" s="1" t="str">
        <f>"085931"</f>
        <v>085931</v>
      </c>
      <c r="J878" s="1" t="s">
        <v>52</v>
      </c>
      <c r="K878" s="1" t="s">
        <v>52</v>
      </c>
      <c r="L878" s="1" t="str">
        <f t="shared" si="132"/>
        <v>20220925</v>
      </c>
      <c r="M878" s="1" t="str">
        <f>"092924"</f>
        <v>092924</v>
      </c>
      <c r="N878" s="1" t="s">
        <v>27</v>
      </c>
      <c r="O878" s="1" t="s">
        <v>28</v>
      </c>
      <c r="P878" s="1" t="s">
        <v>68</v>
      </c>
      <c r="Q878" s="1">
        <v>13</v>
      </c>
      <c r="R878" s="1">
        <v>0</v>
      </c>
      <c r="S878" s="1">
        <v>0</v>
      </c>
      <c r="T878" s="1">
        <v>13</v>
      </c>
      <c r="U878" s="1">
        <v>0</v>
      </c>
      <c r="V878" s="1" t="str">
        <f t="shared" si="128"/>
        <v>里程去程</v>
      </c>
      <c r="W878" s="1" t="s">
        <v>29</v>
      </c>
    </row>
    <row r="879" spans="1:23" x14ac:dyDescent="0.3">
      <c r="A879" s="1" t="str">
        <f t="shared" si="133"/>
        <v>59822</v>
      </c>
      <c r="B879" s="1" t="s">
        <v>39</v>
      </c>
      <c r="C879" s="1" t="s">
        <v>40</v>
      </c>
      <c r="D879" s="1" t="str">
        <f t="shared" si="127"/>
        <v>9801</v>
      </c>
      <c r="E879" s="1" t="s">
        <v>25</v>
      </c>
      <c r="F879" s="1" t="str">
        <f>"32780D0344880400C834002000000015"</f>
        <v>32780D0344880400C834002000000015</v>
      </c>
      <c r="G879" s="1" t="s">
        <v>26</v>
      </c>
      <c r="H879" s="1" t="str">
        <f t="shared" si="131"/>
        <v>20220925</v>
      </c>
      <c r="I879" s="1" t="str">
        <f>"090021"</f>
        <v>090021</v>
      </c>
      <c r="J879" s="1" t="s">
        <v>52</v>
      </c>
      <c r="K879" s="1" t="s">
        <v>52</v>
      </c>
      <c r="L879" s="1" t="str">
        <f t="shared" si="132"/>
        <v>20220925</v>
      </c>
      <c r="M879" s="1" t="str">
        <f>"093055"</f>
        <v>093055</v>
      </c>
      <c r="N879" s="1" t="s">
        <v>70</v>
      </c>
      <c r="O879" s="1" t="s">
        <v>28</v>
      </c>
      <c r="P879" s="1" t="s">
        <v>68</v>
      </c>
      <c r="Q879" s="1">
        <v>13</v>
      </c>
      <c r="R879" s="1">
        <v>0</v>
      </c>
      <c r="S879" s="1">
        <v>0</v>
      </c>
      <c r="T879" s="1">
        <v>13</v>
      </c>
      <c r="U879" s="1">
        <v>0</v>
      </c>
      <c r="V879" s="1" t="str">
        <f t="shared" si="128"/>
        <v>里程去程</v>
      </c>
      <c r="W879" s="1" t="s">
        <v>29</v>
      </c>
    </row>
    <row r="880" spans="1:23" x14ac:dyDescent="0.3">
      <c r="A880" s="1" t="str">
        <f t="shared" si="133"/>
        <v>59822</v>
      </c>
      <c r="B880" s="1" t="s">
        <v>39</v>
      </c>
      <c r="C880" s="1" t="s">
        <v>40</v>
      </c>
      <c r="D880" s="1" t="str">
        <f t="shared" si="127"/>
        <v>9801</v>
      </c>
      <c r="E880" s="1" t="s">
        <v>25</v>
      </c>
      <c r="F880" s="1" t="str">
        <f>"1032450693"</f>
        <v>1032450693</v>
      </c>
      <c r="G880" s="1" t="s">
        <v>38</v>
      </c>
      <c r="H880" s="1" t="str">
        <f t="shared" si="131"/>
        <v>20220925</v>
      </c>
      <c r="I880" s="1" t="str">
        <f>"093231"</f>
        <v>093231</v>
      </c>
      <c r="J880" s="1" t="s">
        <v>27</v>
      </c>
      <c r="K880" s="1" t="s">
        <v>28</v>
      </c>
      <c r="L880" s="1" t="str">
        <f t="shared" si="132"/>
        <v>20220925</v>
      </c>
      <c r="M880" s="1" t="str">
        <f>"095905"</f>
        <v>095905</v>
      </c>
      <c r="N880" s="1" t="s">
        <v>44</v>
      </c>
      <c r="O880" s="1" t="s">
        <v>45</v>
      </c>
      <c r="P880" s="1" t="s">
        <v>55</v>
      </c>
      <c r="Q880" s="1">
        <v>25</v>
      </c>
      <c r="R880" s="1">
        <v>25</v>
      </c>
      <c r="S880" s="1">
        <v>0</v>
      </c>
      <c r="T880" s="1">
        <v>0</v>
      </c>
      <c r="U880" s="1">
        <v>0</v>
      </c>
      <c r="V880" s="1" t="str">
        <f t="shared" si="128"/>
        <v>里程去程</v>
      </c>
      <c r="W880" s="1" t="s">
        <v>35</v>
      </c>
    </row>
    <row r="881" spans="1:23" x14ac:dyDescent="0.3">
      <c r="A881" s="1" t="str">
        <f t="shared" si="133"/>
        <v>59822</v>
      </c>
      <c r="B881" s="1" t="s">
        <v>39</v>
      </c>
      <c r="C881" s="1" t="s">
        <v>40</v>
      </c>
      <c r="D881" s="1" t="str">
        <f t="shared" si="127"/>
        <v>9801</v>
      </c>
      <c r="E881" s="1" t="s">
        <v>25</v>
      </c>
      <c r="F881" s="1" t="str">
        <f>"82D5FB02AE880400C834002000000015"</f>
        <v>82D5FB02AE880400C834002000000015</v>
      </c>
      <c r="G881" s="1" t="s">
        <v>26</v>
      </c>
      <c r="H881" s="1" t="str">
        <f t="shared" si="131"/>
        <v>20220925</v>
      </c>
      <c r="I881" s="1" t="str">
        <f>"094437"</f>
        <v>094437</v>
      </c>
      <c r="J881" s="1" t="s">
        <v>79</v>
      </c>
      <c r="K881" s="1" t="s">
        <v>45</v>
      </c>
      <c r="L881" s="1" t="str">
        <f t="shared" si="132"/>
        <v>20220925</v>
      </c>
      <c r="M881" s="1" t="str">
        <f>"095721"</f>
        <v>095721</v>
      </c>
      <c r="N881" s="1" t="s">
        <v>44</v>
      </c>
      <c r="O881" s="1" t="s">
        <v>45</v>
      </c>
      <c r="P881" s="1" t="s">
        <v>68</v>
      </c>
      <c r="Q881" s="1">
        <v>13</v>
      </c>
      <c r="R881" s="1">
        <v>0</v>
      </c>
      <c r="S881" s="1">
        <v>0</v>
      </c>
      <c r="T881" s="1">
        <v>13</v>
      </c>
      <c r="U881" s="1">
        <v>0</v>
      </c>
      <c r="V881" s="1" t="str">
        <f t="shared" si="128"/>
        <v>里程去程</v>
      </c>
      <c r="W881" s="1" t="s">
        <v>29</v>
      </c>
    </row>
    <row r="882" spans="1:23" x14ac:dyDescent="0.3">
      <c r="A882" s="1" t="str">
        <f>"59820"</f>
        <v>59820</v>
      </c>
      <c r="B882" s="1" t="s">
        <v>53</v>
      </c>
      <c r="C882" s="1" t="s">
        <v>54</v>
      </c>
      <c r="D882" s="1" t="str">
        <f t="shared" si="127"/>
        <v>9801</v>
      </c>
      <c r="E882" s="1" t="s">
        <v>25</v>
      </c>
      <c r="F882" s="1" t="str">
        <f>"288567665"</f>
        <v>288567665</v>
      </c>
      <c r="G882" s="1" t="s">
        <v>33</v>
      </c>
      <c r="H882" s="1" t="str">
        <f t="shared" ref="H882:H905" si="134">"20220926"</f>
        <v>20220926</v>
      </c>
      <c r="I882" s="1" t="str">
        <f>"092840"</f>
        <v>092840</v>
      </c>
      <c r="J882" s="1" t="s">
        <v>52</v>
      </c>
      <c r="K882" s="1" t="s">
        <v>52</v>
      </c>
      <c r="L882" s="1" t="str">
        <f t="shared" ref="L882:L894" si="135">"20220926"</f>
        <v>20220926</v>
      </c>
      <c r="M882" s="1" t="str">
        <f>"093002"</f>
        <v>093002</v>
      </c>
      <c r="N882" s="1" t="s">
        <v>60</v>
      </c>
      <c r="O882" s="1" t="s">
        <v>52</v>
      </c>
      <c r="P882" s="1" t="s">
        <v>55</v>
      </c>
      <c r="Q882" s="1">
        <v>25</v>
      </c>
      <c r="R882" s="1">
        <v>25</v>
      </c>
      <c r="S882" s="1">
        <v>0</v>
      </c>
      <c r="T882" s="1">
        <v>0</v>
      </c>
      <c r="U882" s="1">
        <v>0</v>
      </c>
      <c r="V882" s="1" t="str">
        <f t="shared" si="128"/>
        <v>里程去程</v>
      </c>
      <c r="W882" s="1" t="s">
        <v>35</v>
      </c>
    </row>
    <row r="883" spans="1:23" x14ac:dyDescent="0.3">
      <c r="A883" s="1" t="str">
        <f>"59820"</f>
        <v>59820</v>
      </c>
      <c r="B883" s="1" t="s">
        <v>53</v>
      </c>
      <c r="C883" s="1" t="s">
        <v>54</v>
      </c>
      <c r="D883" s="1" t="str">
        <f t="shared" si="127"/>
        <v>9801</v>
      </c>
      <c r="E883" s="1" t="s">
        <v>25</v>
      </c>
      <c r="F883" s="1" t="str">
        <f>"2859287523"</f>
        <v>2859287523</v>
      </c>
      <c r="G883" s="1" t="s">
        <v>33</v>
      </c>
      <c r="H883" s="1" t="str">
        <f t="shared" si="134"/>
        <v>20220926</v>
      </c>
      <c r="I883" s="1" t="str">
        <f>"092843"</f>
        <v>092843</v>
      </c>
      <c r="J883" s="1" t="s">
        <v>52</v>
      </c>
      <c r="K883" s="1" t="s">
        <v>52</v>
      </c>
      <c r="L883" s="1" t="str">
        <f t="shared" si="135"/>
        <v>20220926</v>
      </c>
      <c r="M883" s="1" t="str">
        <f>"093004"</f>
        <v>093004</v>
      </c>
      <c r="N883" s="1" t="s">
        <v>60</v>
      </c>
      <c r="O883" s="1" t="s">
        <v>52</v>
      </c>
      <c r="P883" s="1" t="s">
        <v>55</v>
      </c>
      <c r="Q883" s="1">
        <v>25</v>
      </c>
      <c r="R883" s="1">
        <v>25</v>
      </c>
      <c r="S883" s="1">
        <v>0</v>
      </c>
      <c r="T883" s="1">
        <v>0</v>
      </c>
      <c r="U883" s="1">
        <v>0</v>
      </c>
      <c r="V883" s="1" t="str">
        <f t="shared" si="128"/>
        <v>里程去程</v>
      </c>
      <c r="W883" s="1" t="s">
        <v>35</v>
      </c>
    </row>
    <row r="884" spans="1:23" x14ac:dyDescent="0.3">
      <c r="A884" s="1" t="str">
        <f t="shared" ref="A884:A890" si="136">"59822"</f>
        <v>59822</v>
      </c>
      <c r="B884" s="1" t="s">
        <v>39</v>
      </c>
      <c r="C884" s="1" t="s">
        <v>40</v>
      </c>
      <c r="D884" s="1" t="str">
        <f t="shared" si="127"/>
        <v>9801</v>
      </c>
      <c r="E884" s="1" t="s">
        <v>25</v>
      </c>
      <c r="F884" s="1" t="str">
        <f>"A2A0E602E6880400C834002000000015"</f>
        <v>A2A0E602E6880400C834002000000015</v>
      </c>
      <c r="G884" s="1" t="s">
        <v>74</v>
      </c>
      <c r="H884" s="1" t="str">
        <f t="shared" si="134"/>
        <v>20220926</v>
      </c>
      <c r="I884" s="1" t="str">
        <f>"075321"</f>
        <v>075321</v>
      </c>
      <c r="J884" s="1" t="s">
        <v>52</v>
      </c>
      <c r="K884" s="1" t="s">
        <v>52</v>
      </c>
      <c r="L884" s="1" t="str">
        <f t="shared" si="135"/>
        <v>20220926</v>
      </c>
      <c r="M884" s="1" t="str">
        <f>"080642"</f>
        <v>080642</v>
      </c>
      <c r="N884" s="1" t="s">
        <v>60</v>
      </c>
      <c r="O884" s="1" t="s">
        <v>52</v>
      </c>
      <c r="P884" s="1" t="s">
        <v>68</v>
      </c>
      <c r="Q884" s="1">
        <v>13</v>
      </c>
      <c r="R884" s="1">
        <v>0</v>
      </c>
      <c r="S884" s="1">
        <v>0</v>
      </c>
      <c r="T884" s="1">
        <v>13</v>
      </c>
      <c r="U884" s="1">
        <v>0</v>
      </c>
      <c r="V884" s="1" t="str">
        <f t="shared" si="128"/>
        <v>里程去程</v>
      </c>
      <c r="W884" s="1" t="s">
        <v>29</v>
      </c>
    </row>
    <row r="885" spans="1:23" x14ac:dyDescent="0.3">
      <c r="A885" s="1" t="str">
        <f t="shared" si="136"/>
        <v>59822</v>
      </c>
      <c r="B885" s="1" t="s">
        <v>39</v>
      </c>
      <c r="C885" s="1" t="s">
        <v>40</v>
      </c>
      <c r="D885" s="1" t="str">
        <f t="shared" si="127"/>
        <v>9801</v>
      </c>
      <c r="E885" s="1" t="s">
        <v>25</v>
      </c>
      <c r="F885" s="1" t="str">
        <f>"0117A72B9A280400F700000000000000"</f>
        <v>0117A72B9A280400F700000000000000</v>
      </c>
      <c r="G885" s="1" t="s">
        <v>58</v>
      </c>
      <c r="H885" s="1" t="str">
        <f t="shared" si="134"/>
        <v>20220926</v>
      </c>
      <c r="I885" s="1" t="str">
        <f>"083204"</f>
        <v>083204</v>
      </c>
      <c r="J885" s="1" t="s">
        <v>27</v>
      </c>
      <c r="K885" s="1" t="s">
        <v>28</v>
      </c>
      <c r="L885" s="1" t="str">
        <f t="shared" si="135"/>
        <v>20220926</v>
      </c>
      <c r="M885" s="1" t="str">
        <f>"084610"</f>
        <v>084610</v>
      </c>
      <c r="N885" s="1" t="s">
        <v>61</v>
      </c>
      <c r="O885" s="1" t="s">
        <v>45</v>
      </c>
      <c r="P885" s="1" t="s">
        <v>55</v>
      </c>
      <c r="Q885" s="1">
        <v>25</v>
      </c>
      <c r="R885" s="1">
        <v>0</v>
      </c>
      <c r="S885" s="1">
        <v>25</v>
      </c>
      <c r="T885" s="1">
        <v>0</v>
      </c>
      <c r="U885" s="1">
        <v>0</v>
      </c>
      <c r="V885" s="1" t="str">
        <f t="shared" si="128"/>
        <v>里程去程</v>
      </c>
      <c r="W885" s="1" t="s">
        <v>29</v>
      </c>
    </row>
    <row r="886" spans="1:23" x14ac:dyDescent="0.3">
      <c r="A886" s="1" t="str">
        <f t="shared" si="136"/>
        <v>59822</v>
      </c>
      <c r="B886" s="1" t="s">
        <v>39</v>
      </c>
      <c r="C886" s="1" t="s">
        <v>40</v>
      </c>
      <c r="D886" s="1" t="str">
        <f t="shared" si="127"/>
        <v>9801</v>
      </c>
      <c r="E886" s="1" t="s">
        <v>25</v>
      </c>
      <c r="F886" s="1" t="str">
        <f>"1660415157"</f>
        <v>1660415157</v>
      </c>
      <c r="G886" s="1" t="s">
        <v>33</v>
      </c>
      <c r="H886" s="1" t="str">
        <f t="shared" si="134"/>
        <v>20220926</v>
      </c>
      <c r="I886" s="1" t="str">
        <f>"083211"</f>
        <v>083211</v>
      </c>
      <c r="J886" s="1" t="s">
        <v>27</v>
      </c>
      <c r="K886" s="1" t="s">
        <v>28</v>
      </c>
      <c r="L886" s="1" t="str">
        <f t="shared" si="135"/>
        <v>20220926</v>
      </c>
      <c r="M886" s="1" t="str">
        <f>"085736"</f>
        <v>085736</v>
      </c>
      <c r="N886" s="1" t="s">
        <v>44</v>
      </c>
      <c r="O886" s="1" t="s">
        <v>45</v>
      </c>
      <c r="P886" s="1" t="s">
        <v>55</v>
      </c>
      <c r="Q886" s="1">
        <v>25</v>
      </c>
      <c r="R886" s="1">
        <v>0</v>
      </c>
      <c r="S886" s="1">
        <v>25</v>
      </c>
      <c r="T886" s="1">
        <v>0</v>
      </c>
      <c r="U886" s="1">
        <v>0</v>
      </c>
      <c r="V886" s="1" t="str">
        <f t="shared" si="128"/>
        <v>里程去程</v>
      </c>
      <c r="W886" s="1" t="s">
        <v>35</v>
      </c>
    </row>
    <row r="887" spans="1:23" x14ac:dyDescent="0.3">
      <c r="A887" s="1" t="str">
        <f t="shared" si="136"/>
        <v>59822</v>
      </c>
      <c r="B887" s="1" t="s">
        <v>39</v>
      </c>
      <c r="C887" s="1" t="s">
        <v>40</v>
      </c>
      <c r="D887" s="1" t="str">
        <f t="shared" si="127"/>
        <v>9801</v>
      </c>
      <c r="E887" s="1" t="s">
        <v>25</v>
      </c>
      <c r="F887" s="1" t="str">
        <f>"42F7E50252880400C834002000000015"</f>
        <v>42F7E50252880400C834002000000015</v>
      </c>
      <c r="G887" s="1" t="s">
        <v>26</v>
      </c>
      <c r="H887" s="1" t="str">
        <f t="shared" si="134"/>
        <v>20220926</v>
      </c>
      <c r="I887" s="1" t="str">
        <f>"083227"</f>
        <v>083227</v>
      </c>
      <c r="J887" s="1" t="s">
        <v>27</v>
      </c>
      <c r="K887" s="1" t="s">
        <v>28</v>
      </c>
      <c r="L887" s="1" t="str">
        <f t="shared" si="135"/>
        <v>20220926</v>
      </c>
      <c r="M887" s="1" t="str">
        <f>"085729"</f>
        <v>085729</v>
      </c>
      <c r="N887" s="1" t="s">
        <v>44</v>
      </c>
      <c r="O887" s="1" t="s">
        <v>45</v>
      </c>
      <c r="P887" s="1" t="s">
        <v>68</v>
      </c>
      <c r="Q887" s="1">
        <v>13</v>
      </c>
      <c r="R887" s="1">
        <v>0</v>
      </c>
      <c r="S887" s="1">
        <v>0</v>
      </c>
      <c r="T887" s="1">
        <v>13</v>
      </c>
      <c r="U887" s="1">
        <v>0</v>
      </c>
      <c r="V887" s="1" t="str">
        <f t="shared" si="128"/>
        <v>里程去程</v>
      </c>
      <c r="W887" s="1" t="s">
        <v>29</v>
      </c>
    </row>
    <row r="888" spans="1:23" x14ac:dyDescent="0.3">
      <c r="A888" s="1" t="str">
        <f t="shared" si="136"/>
        <v>59822</v>
      </c>
      <c r="B888" s="1" t="s">
        <v>39</v>
      </c>
      <c r="C888" s="1" t="s">
        <v>40</v>
      </c>
      <c r="D888" s="1" t="str">
        <f t="shared" si="127"/>
        <v>9801</v>
      </c>
      <c r="E888" s="1" t="s">
        <v>25</v>
      </c>
      <c r="F888" s="1" t="str">
        <f>"E213BD024E880400C834002000000015"</f>
        <v>E213BD024E880400C834002000000015</v>
      </c>
      <c r="G888" s="1" t="s">
        <v>74</v>
      </c>
      <c r="H888" s="1" t="str">
        <f t="shared" si="134"/>
        <v>20220926</v>
      </c>
      <c r="I888" s="1" t="str">
        <f>"093224"</f>
        <v>093224</v>
      </c>
      <c r="J888" s="1" t="s">
        <v>27</v>
      </c>
      <c r="K888" s="1" t="s">
        <v>28</v>
      </c>
      <c r="L888" s="1" t="str">
        <f t="shared" si="135"/>
        <v>20220926</v>
      </c>
      <c r="M888" s="1" t="str">
        <f>"094507"</f>
        <v>094507</v>
      </c>
      <c r="N888" s="1" t="s">
        <v>61</v>
      </c>
      <c r="O888" s="1" t="s">
        <v>45</v>
      </c>
      <c r="P888" s="1" t="s">
        <v>68</v>
      </c>
      <c r="Q888" s="1">
        <v>13</v>
      </c>
      <c r="R888" s="1">
        <v>0</v>
      </c>
      <c r="S888" s="1">
        <v>0</v>
      </c>
      <c r="T888" s="1">
        <v>13</v>
      </c>
      <c r="U888" s="1">
        <v>0</v>
      </c>
      <c r="V888" s="1" t="str">
        <f t="shared" si="128"/>
        <v>里程去程</v>
      </c>
      <c r="W888" s="1" t="s">
        <v>29</v>
      </c>
    </row>
    <row r="889" spans="1:23" x14ac:dyDescent="0.3">
      <c r="A889" s="1" t="str">
        <f t="shared" si="136"/>
        <v>59822</v>
      </c>
      <c r="B889" s="1" t="s">
        <v>39</v>
      </c>
      <c r="C889" s="1" t="s">
        <v>40</v>
      </c>
      <c r="D889" s="1" t="str">
        <f t="shared" si="127"/>
        <v>9801</v>
      </c>
      <c r="E889" s="1" t="s">
        <v>25</v>
      </c>
      <c r="F889" s="1" t="str">
        <f>"1727701397"</f>
        <v>1727701397</v>
      </c>
      <c r="G889" s="1" t="s">
        <v>33</v>
      </c>
      <c r="H889" s="1" t="str">
        <f t="shared" si="134"/>
        <v>20220926</v>
      </c>
      <c r="I889" s="1" t="str">
        <f>"093231"</f>
        <v>093231</v>
      </c>
      <c r="J889" s="1" t="s">
        <v>27</v>
      </c>
      <c r="K889" s="1" t="s">
        <v>28</v>
      </c>
      <c r="L889" s="1" t="str">
        <f t="shared" si="135"/>
        <v>20220926</v>
      </c>
      <c r="M889" s="1" t="str">
        <f>"095422"</f>
        <v>095422</v>
      </c>
      <c r="N889" s="1" t="s">
        <v>44</v>
      </c>
      <c r="O889" s="1" t="s">
        <v>45</v>
      </c>
      <c r="P889" s="1" t="s">
        <v>55</v>
      </c>
      <c r="Q889" s="1">
        <v>25</v>
      </c>
      <c r="R889" s="1">
        <v>0</v>
      </c>
      <c r="S889" s="1">
        <v>25</v>
      </c>
      <c r="T889" s="1">
        <v>0</v>
      </c>
      <c r="U889" s="1">
        <v>0</v>
      </c>
      <c r="V889" s="1" t="str">
        <f t="shared" si="128"/>
        <v>里程去程</v>
      </c>
      <c r="W889" s="1" t="s">
        <v>35</v>
      </c>
    </row>
    <row r="890" spans="1:23" x14ac:dyDescent="0.3">
      <c r="A890" s="1" t="str">
        <f t="shared" si="136"/>
        <v>59822</v>
      </c>
      <c r="B890" s="1" t="s">
        <v>39</v>
      </c>
      <c r="C890" s="1" t="s">
        <v>40</v>
      </c>
      <c r="D890" s="1" t="str">
        <f t="shared" si="127"/>
        <v>9801</v>
      </c>
      <c r="E890" s="1" t="s">
        <v>25</v>
      </c>
      <c r="F890" s="1" t="str">
        <f>"1221623937"</f>
        <v>1221623937</v>
      </c>
      <c r="G890" s="1" t="s">
        <v>33</v>
      </c>
      <c r="H890" s="1" t="str">
        <f t="shared" si="134"/>
        <v>20220926</v>
      </c>
      <c r="I890" s="1" t="str">
        <f>"093244"</f>
        <v>093244</v>
      </c>
      <c r="J890" s="1" t="s">
        <v>27</v>
      </c>
      <c r="K890" s="1" t="s">
        <v>28</v>
      </c>
      <c r="L890" s="1" t="str">
        <f t="shared" si="135"/>
        <v>20220926</v>
      </c>
      <c r="M890" s="1" t="str">
        <f>"094300"</f>
        <v>094300</v>
      </c>
      <c r="N890" s="1" t="s">
        <v>45</v>
      </c>
      <c r="O890" s="1" t="s">
        <v>45</v>
      </c>
      <c r="P890" s="1" t="s">
        <v>55</v>
      </c>
      <c r="Q890" s="1">
        <v>25</v>
      </c>
      <c r="R890" s="1">
        <v>25</v>
      </c>
      <c r="S890" s="1">
        <v>0</v>
      </c>
      <c r="T890" s="1">
        <v>0</v>
      </c>
      <c r="U890" s="1">
        <v>0</v>
      </c>
      <c r="V890" s="1" t="str">
        <f t="shared" si="128"/>
        <v>里程去程</v>
      </c>
      <c r="W890" s="1" t="s">
        <v>35</v>
      </c>
    </row>
    <row r="891" spans="1:23" x14ac:dyDescent="0.3">
      <c r="A891" s="1" t="str">
        <f t="shared" ref="A891:A905" si="137">"59829"</f>
        <v>59829</v>
      </c>
      <c r="B891" s="1" t="s">
        <v>47</v>
      </c>
      <c r="C891" s="1" t="s">
        <v>31</v>
      </c>
      <c r="D891" s="1" t="str">
        <f t="shared" si="127"/>
        <v>9801</v>
      </c>
      <c r="E891" s="1" t="s">
        <v>25</v>
      </c>
      <c r="F891" s="1" t="str">
        <f>"42AFE60209880400C834002000000015"</f>
        <v>42AFE60209880400C834002000000015</v>
      </c>
      <c r="G891" s="1" t="s">
        <v>74</v>
      </c>
      <c r="H891" s="1" t="str">
        <f t="shared" si="134"/>
        <v>20220926</v>
      </c>
      <c r="I891" s="1" t="str">
        <f>"110049"</f>
        <v>110049</v>
      </c>
      <c r="J891" s="1" t="s">
        <v>52</v>
      </c>
      <c r="K891" s="1" t="s">
        <v>52</v>
      </c>
      <c r="L891" s="1" t="str">
        <f t="shared" si="135"/>
        <v>20220926</v>
      </c>
      <c r="M891" s="1" t="str">
        <f>"111714"</f>
        <v>111714</v>
      </c>
      <c r="N891" s="1" t="s">
        <v>80</v>
      </c>
      <c r="O891" s="1" t="s">
        <v>52</v>
      </c>
      <c r="P891" s="1" t="s">
        <v>68</v>
      </c>
      <c r="Q891" s="1">
        <v>13</v>
      </c>
      <c r="R891" s="1">
        <v>0</v>
      </c>
      <c r="S891" s="1">
        <v>0</v>
      </c>
      <c r="T891" s="1">
        <v>13</v>
      </c>
      <c r="U891" s="1">
        <v>0</v>
      </c>
      <c r="V891" s="1" t="str">
        <f t="shared" si="128"/>
        <v>里程去程</v>
      </c>
      <c r="W891" s="1" t="s">
        <v>29</v>
      </c>
    </row>
    <row r="892" spans="1:23" x14ac:dyDescent="0.3">
      <c r="A892" s="1" t="str">
        <f t="shared" si="137"/>
        <v>59829</v>
      </c>
      <c r="B892" s="1" t="s">
        <v>47</v>
      </c>
      <c r="C892" s="1" t="s">
        <v>31</v>
      </c>
      <c r="D892" s="1" t="str">
        <f t="shared" si="127"/>
        <v>9801</v>
      </c>
      <c r="E892" s="1" t="s">
        <v>25</v>
      </c>
      <c r="F892" s="1" t="str">
        <f>"C2C0BD02BD880400C834002000000015"</f>
        <v>C2C0BD02BD880400C834002000000015</v>
      </c>
      <c r="G892" s="1" t="s">
        <v>74</v>
      </c>
      <c r="H892" s="1" t="str">
        <f t="shared" si="134"/>
        <v>20220926</v>
      </c>
      <c r="I892" s="1" t="str">
        <f>"111723"</f>
        <v>111723</v>
      </c>
      <c r="J892" s="1" t="s">
        <v>80</v>
      </c>
      <c r="K892" s="1" t="s">
        <v>52</v>
      </c>
      <c r="L892" s="1" t="str">
        <f t="shared" si="135"/>
        <v>20220926</v>
      </c>
      <c r="M892" s="1" t="str">
        <f>"112444"</f>
        <v>112444</v>
      </c>
      <c r="N892" s="1" t="s">
        <v>67</v>
      </c>
      <c r="O892" s="1" t="s">
        <v>52</v>
      </c>
      <c r="P892" s="1" t="s">
        <v>68</v>
      </c>
      <c r="Q892" s="1">
        <v>13</v>
      </c>
      <c r="R892" s="1">
        <v>0</v>
      </c>
      <c r="S892" s="1">
        <v>0</v>
      </c>
      <c r="T892" s="1">
        <v>13</v>
      </c>
      <c r="U892" s="1">
        <v>0</v>
      </c>
      <c r="V892" s="1" t="str">
        <f t="shared" si="128"/>
        <v>里程去程</v>
      </c>
      <c r="W892" s="1" t="s">
        <v>29</v>
      </c>
    </row>
    <row r="893" spans="1:23" x14ac:dyDescent="0.3">
      <c r="A893" s="1" t="str">
        <f t="shared" si="137"/>
        <v>59829</v>
      </c>
      <c r="B893" s="1" t="s">
        <v>47</v>
      </c>
      <c r="C893" s="1" t="s">
        <v>31</v>
      </c>
      <c r="D893" s="1" t="str">
        <f t="shared" si="127"/>
        <v>9801</v>
      </c>
      <c r="E893" s="1" t="s">
        <v>25</v>
      </c>
      <c r="F893" s="1" t="str">
        <f>"11E6225B8E2804001C00000000000000"</f>
        <v>11E6225B8E2804001C00000000000000</v>
      </c>
      <c r="G893" s="1" t="s">
        <v>58</v>
      </c>
      <c r="H893" s="1" t="str">
        <f t="shared" si="134"/>
        <v>20220926</v>
      </c>
      <c r="I893" s="1" t="str">
        <f>"113838"</f>
        <v>113838</v>
      </c>
      <c r="J893" s="1" t="s">
        <v>27</v>
      </c>
      <c r="K893" s="1" t="s">
        <v>28</v>
      </c>
      <c r="L893" s="1" t="str">
        <f t="shared" si="135"/>
        <v>20220926</v>
      </c>
      <c r="M893" s="1" t="str">
        <f>"114838"</f>
        <v>114838</v>
      </c>
      <c r="N893" s="1" t="s">
        <v>45</v>
      </c>
      <c r="O893" s="1" t="s">
        <v>45</v>
      </c>
      <c r="P893" s="1" t="s">
        <v>55</v>
      </c>
      <c r="Q893" s="1">
        <v>25</v>
      </c>
      <c r="R893" s="1">
        <v>0</v>
      </c>
      <c r="S893" s="1">
        <v>25</v>
      </c>
      <c r="T893" s="1">
        <v>0</v>
      </c>
      <c r="U893" s="1">
        <v>0</v>
      </c>
      <c r="V893" s="1" t="str">
        <f t="shared" si="128"/>
        <v>里程去程</v>
      </c>
      <c r="W893" s="1" t="s">
        <v>29</v>
      </c>
    </row>
    <row r="894" spans="1:23" x14ac:dyDescent="0.3">
      <c r="A894" s="1" t="str">
        <f t="shared" si="137"/>
        <v>59829</v>
      </c>
      <c r="B894" s="1" t="s">
        <v>47</v>
      </c>
      <c r="C894" s="1" t="s">
        <v>31</v>
      </c>
      <c r="D894" s="1" t="str">
        <f t="shared" si="127"/>
        <v>9801</v>
      </c>
      <c r="E894" s="1" t="s">
        <v>25</v>
      </c>
      <c r="F894" s="1" t="str">
        <f>"8227D00277880400C834002000000015"</f>
        <v>8227D00277880400C834002000000015</v>
      </c>
      <c r="G894" s="1" t="s">
        <v>26</v>
      </c>
      <c r="H894" s="1" t="str">
        <f t="shared" si="134"/>
        <v>20220926</v>
      </c>
      <c r="I894" s="1" t="str">
        <f>"122910"</f>
        <v>122910</v>
      </c>
      <c r="J894" s="1" t="s">
        <v>83</v>
      </c>
      <c r="K894" s="1" t="s">
        <v>52</v>
      </c>
      <c r="L894" s="1" t="str">
        <f t="shared" si="135"/>
        <v>20220926</v>
      </c>
      <c r="M894" s="1" t="str">
        <f>"123524"</f>
        <v>123524</v>
      </c>
      <c r="N894" s="1" t="s">
        <v>70</v>
      </c>
      <c r="O894" s="1" t="s">
        <v>28</v>
      </c>
      <c r="P894" s="1" t="s">
        <v>68</v>
      </c>
      <c r="Q894" s="1">
        <v>13</v>
      </c>
      <c r="R894" s="1">
        <v>0</v>
      </c>
      <c r="S894" s="1">
        <v>0</v>
      </c>
      <c r="T894" s="1">
        <v>13</v>
      </c>
      <c r="U894" s="1">
        <v>0</v>
      </c>
      <c r="V894" s="1" t="str">
        <f t="shared" si="128"/>
        <v>里程去程</v>
      </c>
      <c r="W894" s="1" t="s">
        <v>29</v>
      </c>
    </row>
    <row r="895" spans="1:23" x14ac:dyDescent="0.3">
      <c r="A895" s="1" t="str">
        <f t="shared" si="137"/>
        <v>59829</v>
      </c>
      <c r="B895" s="1" t="s">
        <v>47</v>
      </c>
      <c r="C895" s="1" t="s">
        <v>31</v>
      </c>
      <c r="D895" s="1" t="str">
        <f t="shared" si="127"/>
        <v>9801</v>
      </c>
      <c r="E895" s="1" t="s">
        <v>25</v>
      </c>
      <c r="F895" s="1" t="str">
        <f>"3606748307"</f>
        <v>3606748307</v>
      </c>
      <c r="G895" s="1" t="s">
        <v>33</v>
      </c>
      <c r="H895" s="1" t="str">
        <f t="shared" si="134"/>
        <v>20220926</v>
      </c>
      <c r="I895" s="1" t="str">
        <f>"123558"</f>
        <v>123558</v>
      </c>
      <c r="J895" s="1" t="s">
        <v>27</v>
      </c>
      <c r="K895" s="1" t="s">
        <v>28</v>
      </c>
      <c r="L895" s="1" t="str">
        <f>""</f>
        <v/>
      </c>
      <c r="M895" s="1" t="str">
        <f>""</f>
        <v/>
      </c>
      <c r="P895" s="1" t="s">
        <v>88</v>
      </c>
      <c r="Q895" s="1">
        <v>25</v>
      </c>
      <c r="R895" s="1">
        <v>25</v>
      </c>
      <c r="S895" s="1">
        <v>0</v>
      </c>
      <c r="T895" s="1">
        <v>0</v>
      </c>
      <c r="U895" s="1">
        <v>0</v>
      </c>
      <c r="V895" s="1" t="str">
        <f t="shared" si="128"/>
        <v>里程去程</v>
      </c>
      <c r="W895" s="1" t="s">
        <v>35</v>
      </c>
    </row>
    <row r="896" spans="1:23" x14ac:dyDescent="0.3">
      <c r="A896" s="1" t="str">
        <f t="shared" si="137"/>
        <v>59829</v>
      </c>
      <c r="B896" s="1" t="s">
        <v>47</v>
      </c>
      <c r="C896" s="1" t="s">
        <v>31</v>
      </c>
      <c r="D896" s="1" t="str">
        <f t="shared" si="127"/>
        <v>9801</v>
      </c>
      <c r="E896" s="1" t="s">
        <v>25</v>
      </c>
      <c r="F896" s="1" t="str">
        <f>"32780D0344880400C834002000000015"</f>
        <v>32780D0344880400C834002000000015</v>
      </c>
      <c r="G896" s="1" t="s">
        <v>26</v>
      </c>
      <c r="H896" s="1" t="str">
        <f t="shared" si="134"/>
        <v>20220926</v>
      </c>
      <c r="I896" s="1" t="str">
        <f>"123801"</f>
        <v>123801</v>
      </c>
      <c r="J896" s="1" t="s">
        <v>95</v>
      </c>
      <c r="K896" s="1" t="s">
        <v>28</v>
      </c>
      <c r="L896" s="1" t="str">
        <f t="shared" ref="L896:L905" si="138">"20220926"</f>
        <v>20220926</v>
      </c>
      <c r="M896" s="1" t="str">
        <f>"124846"</f>
        <v>124846</v>
      </c>
      <c r="N896" s="1" t="s">
        <v>56</v>
      </c>
      <c r="O896" s="1" t="s">
        <v>45</v>
      </c>
      <c r="P896" s="1" t="s">
        <v>68</v>
      </c>
      <c r="Q896" s="1">
        <v>13</v>
      </c>
      <c r="R896" s="1">
        <v>0</v>
      </c>
      <c r="S896" s="1">
        <v>0</v>
      </c>
      <c r="T896" s="1">
        <v>13</v>
      </c>
      <c r="U896" s="1">
        <v>0</v>
      </c>
      <c r="V896" s="1" t="str">
        <f t="shared" si="128"/>
        <v>里程去程</v>
      </c>
      <c r="W896" s="1" t="s">
        <v>29</v>
      </c>
    </row>
    <row r="897" spans="1:23" x14ac:dyDescent="0.3">
      <c r="A897" s="1" t="str">
        <f t="shared" si="137"/>
        <v>59829</v>
      </c>
      <c r="B897" s="1" t="s">
        <v>47</v>
      </c>
      <c r="C897" s="1" t="s">
        <v>31</v>
      </c>
      <c r="D897" s="1" t="str">
        <f t="shared" si="127"/>
        <v>9801</v>
      </c>
      <c r="E897" s="1" t="s">
        <v>25</v>
      </c>
      <c r="F897" s="1" t="str">
        <f>"F25B1B03B1880400C834002000000015"</f>
        <v>F25B1B03B1880400C834002000000015</v>
      </c>
      <c r="G897" s="1" t="s">
        <v>26</v>
      </c>
      <c r="H897" s="1" t="str">
        <f t="shared" si="134"/>
        <v>20220926</v>
      </c>
      <c r="I897" s="1" t="str">
        <f>"130549"</f>
        <v>130549</v>
      </c>
      <c r="J897" s="1" t="s">
        <v>60</v>
      </c>
      <c r="K897" s="1" t="s">
        <v>52</v>
      </c>
      <c r="L897" s="1" t="str">
        <f t="shared" si="138"/>
        <v>20220926</v>
      </c>
      <c r="M897" s="1" t="str">
        <f>"133145"</f>
        <v>133145</v>
      </c>
      <c r="N897" s="1" t="s">
        <v>70</v>
      </c>
      <c r="O897" s="1" t="s">
        <v>28</v>
      </c>
      <c r="P897" s="1" t="s">
        <v>68</v>
      </c>
      <c r="Q897" s="1">
        <v>13</v>
      </c>
      <c r="R897" s="1">
        <v>0</v>
      </c>
      <c r="S897" s="1">
        <v>0</v>
      </c>
      <c r="T897" s="1">
        <v>13</v>
      </c>
      <c r="U897" s="1">
        <v>0</v>
      </c>
      <c r="V897" s="1" t="str">
        <f t="shared" si="128"/>
        <v>里程去程</v>
      </c>
      <c r="W897" s="1" t="s">
        <v>29</v>
      </c>
    </row>
    <row r="898" spans="1:23" x14ac:dyDescent="0.3">
      <c r="A898" s="1" t="str">
        <f t="shared" si="137"/>
        <v>59829</v>
      </c>
      <c r="B898" s="1" t="s">
        <v>47</v>
      </c>
      <c r="C898" s="1" t="s">
        <v>31</v>
      </c>
      <c r="D898" s="1" t="str">
        <f t="shared" ref="D898:D961" si="139">"9801"</f>
        <v>9801</v>
      </c>
      <c r="E898" s="1" t="s">
        <v>25</v>
      </c>
      <c r="F898" s="1" t="str">
        <f>"72CEE3124D28040080CEBCD765212818"</f>
        <v>72CEE3124D28040080CEBCD765212818</v>
      </c>
      <c r="G898" s="1" t="s">
        <v>58</v>
      </c>
      <c r="H898" s="1" t="str">
        <f t="shared" si="134"/>
        <v>20220926</v>
      </c>
      <c r="I898" s="1" t="str">
        <f>"131543"</f>
        <v>131543</v>
      </c>
      <c r="J898" s="1" t="s">
        <v>80</v>
      </c>
      <c r="K898" s="1" t="s">
        <v>52</v>
      </c>
      <c r="L898" s="1" t="str">
        <f t="shared" si="138"/>
        <v>20220926</v>
      </c>
      <c r="M898" s="1" t="str">
        <f>"133149"</f>
        <v>133149</v>
      </c>
      <c r="N898" s="1" t="s">
        <v>70</v>
      </c>
      <c r="O898" s="1" t="s">
        <v>28</v>
      </c>
      <c r="P898" s="1" t="s">
        <v>55</v>
      </c>
      <c r="Q898" s="1">
        <v>25</v>
      </c>
      <c r="R898" s="1">
        <v>25</v>
      </c>
      <c r="S898" s="1">
        <v>0</v>
      </c>
      <c r="T898" s="1">
        <v>0</v>
      </c>
      <c r="U898" s="1">
        <v>0</v>
      </c>
      <c r="V898" s="1" t="str">
        <f t="shared" ref="V898:V961" si="140">"里程去程"</f>
        <v>里程去程</v>
      </c>
      <c r="W898" s="1" t="s">
        <v>29</v>
      </c>
    </row>
    <row r="899" spans="1:23" x14ac:dyDescent="0.3">
      <c r="A899" s="1" t="str">
        <f t="shared" si="137"/>
        <v>59829</v>
      </c>
      <c r="B899" s="1" t="s">
        <v>47</v>
      </c>
      <c r="C899" s="1" t="s">
        <v>31</v>
      </c>
      <c r="D899" s="1" t="str">
        <f t="shared" si="139"/>
        <v>9801</v>
      </c>
      <c r="E899" s="1" t="s">
        <v>25</v>
      </c>
      <c r="F899" s="1" t="str">
        <f>"9277981568880400C810002000000019"</f>
        <v>9277981568880400C810002000000019</v>
      </c>
      <c r="G899" s="1" t="s">
        <v>58</v>
      </c>
      <c r="H899" s="1" t="str">
        <f t="shared" si="134"/>
        <v>20220926</v>
      </c>
      <c r="I899" s="1" t="str">
        <f>"145238"</f>
        <v>145238</v>
      </c>
      <c r="J899" s="1" t="s">
        <v>52</v>
      </c>
      <c r="K899" s="1" t="s">
        <v>52</v>
      </c>
      <c r="L899" s="1" t="str">
        <f t="shared" si="138"/>
        <v>20220926</v>
      </c>
      <c r="M899" s="1" t="str">
        <f>"145731"</f>
        <v>145731</v>
      </c>
      <c r="N899" s="1" t="s">
        <v>52</v>
      </c>
      <c r="O899" s="1" t="s">
        <v>52</v>
      </c>
      <c r="P899" s="1" t="s">
        <v>55</v>
      </c>
      <c r="Q899" s="1">
        <v>25</v>
      </c>
      <c r="R899" s="1">
        <v>0</v>
      </c>
      <c r="S899" s="1">
        <v>25</v>
      </c>
      <c r="T899" s="1">
        <v>0</v>
      </c>
      <c r="U899" s="1">
        <v>0</v>
      </c>
      <c r="V899" s="1" t="str">
        <f t="shared" si="140"/>
        <v>里程去程</v>
      </c>
      <c r="W899" s="1" t="s">
        <v>29</v>
      </c>
    </row>
    <row r="900" spans="1:23" x14ac:dyDescent="0.3">
      <c r="A900" s="1" t="str">
        <f t="shared" si="137"/>
        <v>59829</v>
      </c>
      <c r="B900" s="1" t="s">
        <v>47</v>
      </c>
      <c r="C900" s="1" t="s">
        <v>31</v>
      </c>
      <c r="D900" s="1" t="str">
        <f t="shared" si="139"/>
        <v>9801</v>
      </c>
      <c r="E900" s="1" t="s">
        <v>25</v>
      </c>
      <c r="F900" s="1" t="str">
        <f>"F27CE6026A880400C834002000000015"</f>
        <v>F27CE6026A880400C834002000000015</v>
      </c>
      <c r="G900" s="1" t="s">
        <v>74</v>
      </c>
      <c r="H900" s="1" t="str">
        <f t="shared" si="134"/>
        <v>20220926</v>
      </c>
      <c r="I900" s="1" t="str">
        <f>"145316"</f>
        <v>145316</v>
      </c>
      <c r="J900" s="1" t="s">
        <v>52</v>
      </c>
      <c r="K900" s="1" t="s">
        <v>52</v>
      </c>
      <c r="L900" s="1" t="str">
        <f t="shared" si="138"/>
        <v>20220926</v>
      </c>
      <c r="M900" s="1" t="str">
        <f>"150547"</f>
        <v>150547</v>
      </c>
      <c r="N900" s="1" t="s">
        <v>60</v>
      </c>
      <c r="O900" s="1" t="s">
        <v>52</v>
      </c>
      <c r="P900" s="1" t="s">
        <v>68</v>
      </c>
      <c r="Q900" s="1">
        <v>13</v>
      </c>
      <c r="R900" s="1">
        <v>0</v>
      </c>
      <c r="S900" s="1">
        <v>0</v>
      </c>
      <c r="T900" s="1">
        <v>13</v>
      </c>
      <c r="U900" s="1">
        <v>0</v>
      </c>
      <c r="V900" s="1" t="str">
        <f t="shared" si="140"/>
        <v>里程去程</v>
      </c>
      <c r="W900" s="1" t="s">
        <v>29</v>
      </c>
    </row>
    <row r="901" spans="1:23" x14ac:dyDescent="0.3">
      <c r="A901" s="1" t="str">
        <f t="shared" si="137"/>
        <v>59829</v>
      </c>
      <c r="B901" s="1" t="s">
        <v>47</v>
      </c>
      <c r="C901" s="1" t="s">
        <v>31</v>
      </c>
      <c r="D901" s="1" t="str">
        <f t="shared" si="139"/>
        <v>9801</v>
      </c>
      <c r="E901" s="1" t="s">
        <v>25</v>
      </c>
      <c r="F901" s="1" t="str">
        <f>"1666792849"</f>
        <v>1666792849</v>
      </c>
      <c r="G901" s="1" t="s">
        <v>33</v>
      </c>
      <c r="H901" s="1" t="str">
        <f t="shared" si="134"/>
        <v>20220926</v>
      </c>
      <c r="I901" s="1" t="str">
        <f>"145613"</f>
        <v>145613</v>
      </c>
      <c r="J901" s="1" t="s">
        <v>52</v>
      </c>
      <c r="K901" s="1" t="s">
        <v>52</v>
      </c>
      <c r="L901" s="1" t="str">
        <f t="shared" si="138"/>
        <v>20220926</v>
      </c>
      <c r="M901" s="1" t="str">
        <f>"152947"</f>
        <v>152947</v>
      </c>
      <c r="N901" s="1" t="s">
        <v>70</v>
      </c>
      <c r="O901" s="1" t="s">
        <v>28</v>
      </c>
      <c r="P901" s="1" t="s">
        <v>55</v>
      </c>
      <c r="Q901" s="1">
        <v>25</v>
      </c>
      <c r="R901" s="1">
        <v>25</v>
      </c>
      <c r="S901" s="1">
        <v>0</v>
      </c>
      <c r="T901" s="1">
        <v>0</v>
      </c>
      <c r="U901" s="1">
        <v>0</v>
      </c>
      <c r="V901" s="1" t="str">
        <f t="shared" si="140"/>
        <v>里程去程</v>
      </c>
      <c r="W901" s="1" t="s">
        <v>35</v>
      </c>
    </row>
    <row r="902" spans="1:23" x14ac:dyDescent="0.3">
      <c r="A902" s="1" t="str">
        <f t="shared" si="137"/>
        <v>59829</v>
      </c>
      <c r="B902" s="1" t="s">
        <v>47</v>
      </c>
      <c r="C902" s="1" t="s">
        <v>31</v>
      </c>
      <c r="D902" s="1" t="str">
        <f t="shared" si="139"/>
        <v>9801</v>
      </c>
      <c r="E902" s="1" t="s">
        <v>25</v>
      </c>
      <c r="F902" s="1" t="str">
        <f>"9277981568880400C810002000000019"</f>
        <v>9277981568880400C810002000000019</v>
      </c>
      <c r="G902" s="1" t="s">
        <v>58</v>
      </c>
      <c r="H902" s="1" t="str">
        <f t="shared" si="134"/>
        <v>20220926</v>
      </c>
      <c r="I902" s="1" t="str">
        <f>"145900"</f>
        <v>145900</v>
      </c>
      <c r="J902" s="1" t="s">
        <v>52</v>
      </c>
      <c r="K902" s="1" t="s">
        <v>52</v>
      </c>
      <c r="L902" s="1" t="str">
        <f t="shared" si="138"/>
        <v>20220926</v>
      </c>
      <c r="M902" s="1" t="str">
        <f>"152952"</f>
        <v>152952</v>
      </c>
      <c r="N902" s="1" t="s">
        <v>70</v>
      </c>
      <c r="O902" s="1" t="s">
        <v>28</v>
      </c>
      <c r="P902" s="1" t="s">
        <v>55</v>
      </c>
      <c r="Q902" s="1">
        <v>25</v>
      </c>
      <c r="R902" s="1">
        <v>25</v>
      </c>
      <c r="S902" s="1">
        <v>0</v>
      </c>
      <c r="T902" s="1">
        <v>0</v>
      </c>
      <c r="U902" s="1">
        <v>0</v>
      </c>
      <c r="V902" s="1" t="str">
        <f t="shared" si="140"/>
        <v>里程去程</v>
      </c>
      <c r="W902" s="1" t="s">
        <v>29</v>
      </c>
    </row>
    <row r="903" spans="1:23" x14ac:dyDescent="0.3">
      <c r="A903" s="1" t="str">
        <f t="shared" si="137"/>
        <v>59829</v>
      </c>
      <c r="B903" s="1" t="s">
        <v>47</v>
      </c>
      <c r="C903" s="1" t="s">
        <v>31</v>
      </c>
      <c r="D903" s="1" t="str">
        <f t="shared" si="139"/>
        <v>9801</v>
      </c>
      <c r="E903" s="1" t="s">
        <v>25</v>
      </c>
      <c r="F903" s="1" t="str">
        <f>"C2F219032A880400C834002000000015"</f>
        <v>C2F219032A880400C834002000000015</v>
      </c>
      <c r="G903" s="1" t="s">
        <v>26</v>
      </c>
      <c r="H903" s="1" t="str">
        <f t="shared" si="134"/>
        <v>20220926</v>
      </c>
      <c r="I903" s="1" t="str">
        <f>"150441"</f>
        <v>150441</v>
      </c>
      <c r="J903" s="1" t="s">
        <v>86</v>
      </c>
      <c r="K903" s="1" t="s">
        <v>52</v>
      </c>
      <c r="L903" s="1" t="str">
        <f t="shared" si="138"/>
        <v>20220926</v>
      </c>
      <c r="M903" s="1" t="str">
        <f>"150746"</f>
        <v>150746</v>
      </c>
      <c r="N903" s="1" t="s">
        <v>51</v>
      </c>
      <c r="O903" s="1" t="s">
        <v>52</v>
      </c>
      <c r="P903" s="1" t="s">
        <v>68</v>
      </c>
      <c r="Q903" s="1">
        <v>13</v>
      </c>
      <c r="R903" s="1">
        <v>0</v>
      </c>
      <c r="S903" s="1">
        <v>0</v>
      </c>
      <c r="T903" s="1">
        <v>13</v>
      </c>
      <c r="U903" s="1">
        <v>0</v>
      </c>
      <c r="V903" s="1" t="str">
        <f t="shared" si="140"/>
        <v>里程去程</v>
      </c>
      <c r="W903" s="1" t="s">
        <v>29</v>
      </c>
    </row>
    <row r="904" spans="1:23" x14ac:dyDescent="0.3">
      <c r="A904" s="1" t="str">
        <f t="shared" si="137"/>
        <v>59829</v>
      </c>
      <c r="B904" s="1" t="s">
        <v>47</v>
      </c>
      <c r="C904" s="1" t="s">
        <v>31</v>
      </c>
      <c r="D904" s="1" t="str">
        <f t="shared" si="139"/>
        <v>9801</v>
      </c>
      <c r="E904" s="1" t="s">
        <v>25</v>
      </c>
      <c r="F904" s="1" t="str">
        <f>"E218F51718880400C814002000000019"</f>
        <v>E218F51718880400C814002000000019</v>
      </c>
      <c r="G904" s="1" t="s">
        <v>59</v>
      </c>
      <c r="H904" s="1" t="str">
        <f t="shared" si="134"/>
        <v>20220926</v>
      </c>
      <c r="I904" s="1" t="str">
        <f>"153011"</f>
        <v>153011</v>
      </c>
      <c r="J904" s="1" t="s">
        <v>27</v>
      </c>
      <c r="K904" s="1" t="s">
        <v>28</v>
      </c>
      <c r="L904" s="1" t="str">
        <f t="shared" si="138"/>
        <v>20220926</v>
      </c>
      <c r="M904" s="1" t="str">
        <f>"155404"</f>
        <v>155404</v>
      </c>
      <c r="N904" s="1" t="s">
        <v>100</v>
      </c>
      <c r="O904" s="1" t="s">
        <v>45</v>
      </c>
      <c r="P904" s="1" t="s">
        <v>55</v>
      </c>
      <c r="Q904" s="1">
        <v>25</v>
      </c>
      <c r="R904" s="1">
        <v>25</v>
      </c>
      <c r="S904" s="1">
        <v>0</v>
      </c>
      <c r="T904" s="1">
        <v>0</v>
      </c>
      <c r="U904" s="1">
        <v>0</v>
      </c>
      <c r="V904" s="1" t="str">
        <f t="shared" si="140"/>
        <v>里程去程</v>
      </c>
      <c r="W904" s="1" t="s">
        <v>29</v>
      </c>
    </row>
    <row r="905" spans="1:23" x14ac:dyDescent="0.3">
      <c r="A905" s="1" t="str">
        <f t="shared" si="137"/>
        <v>59829</v>
      </c>
      <c r="B905" s="1" t="s">
        <v>47</v>
      </c>
      <c r="C905" s="1" t="s">
        <v>31</v>
      </c>
      <c r="D905" s="1" t="str">
        <f t="shared" si="139"/>
        <v>9801</v>
      </c>
      <c r="E905" s="1" t="s">
        <v>25</v>
      </c>
      <c r="F905" s="1" t="str">
        <f>"1113090661"</f>
        <v>1113090661</v>
      </c>
      <c r="G905" s="1" t="s">
        <v>38</v>
      </c>
      <c r="H905" s="1" t="str">
        <f t="shared" si="134"/>
        <v>20220926</v>
      </c>
      <c r="I905" s="1" t="str">
        <f>"203241"</f>
        <v>203241</v>
      </c>
      <c r="J905" s="1" t="s">
        <v>27</v>
      </c>
      <c r="K905" s="1" t="s">
        <v>28</v>
      </c>
      <c r="L905" s="1" t="str">
        <f t="shared" si="138"/>
        <v>20220926</v>
      </c>
      <c r="M905" s="1" t="str">
        <f>"205051"</f>
        <v>205051</v>
      </c>
      <c r="N905" s="1" t="s">
        <v>100</v>
      </c>
      <c r="O905" s="1" t="s">
        <v>45</v>
      </c>
      <c r="P905" s="1" t="s">
        <v>55</v>
      </c>
      <c r="Q905" s="1">
        <v>25</v>
      </c>
      <c r="R905" s="1">
        <v>25</v>
      </c>
      <c r="S905" s="1">
        <v>0</v>
      </c>
      <c r="T905" s="1">
        <v>0</v>
      </c>
      <c r="U905" s="1">
        <v>0</v>
      </c>
      <c r="V905" s="1" t="str">
        <f t="shared" si="140"/>
        <v>里程去程</v>
      </c>
      <c r="W905" s="1" t="s">
        <v>35</v>
      </c>
    </row>
    <row r="906" spans="1:23" x14ac:dyDescent="0.3">
      <c r="A906" s="1" t="str">
        <f>"59822"</f>
        <v>59822</v>
      </c>
      <c r="B906" s="1" t="s">
        <v>39</v>
      </c>
      <c r="C906" s="1" t="s">
        <v>40</v>
      </c>
      <c r="D906" s="1" t="str">
        <f t="shared" si="139"/>
        <v>9801</v>
      </c>
      <c r="E906" s="1" t="s">
        <v>25</v>
      </c>
      <c r="F906" s="1" t="str">
        <f>"82D5FB02AE880400C834002000000015"</f>
        <v>82D5FB02AE880400C834002000000015</v>
      </c>
      <c r="G906" s="1" t="s">
        <v>26</v>
      </c>
      <c r="H906" s="1" t="str">
        <f t="shared" ref="H906:H927" si="141">"20220927"</f>
        <v>20220927</v>
      </c>
      <c r="I906" s="1" t="str">
        <f>"080541"</f>
        <v>080541</v>
      </c>
      <c r="J906" s="1" t="s">
        <v>86</v>
      </c>
      <c r="K906" s="1" t="s">
        <v>52</v>
      </c>
      <c r="L906" s="1" t="str">
        <f t="shared" ref="L906:L927" si="142">"20220927"</f>
        <v>20220927</v>
      </c>
      <c r="M906" s="1" t="str">
        <f>"080740"</f>
        <v>080740</v>
      </c>
      <c r="N906" s="1" t="s">
        <v>60</v>
      </c>
      <c r="O906" s="1" t="s">
        <v>52</v>
      </c>
      <c r="P906" s="1" t="s">
        <v>68</v>
      </c>
      <c r="Q906" s="1">
        <v>13</v>
      </c>
      <c r="R906" s="1">
        <v>0</v>
      </c>
      <c r="S906" s="1">
        <v>0</v>
      </c>
      <c r="T906" s="1">
        <v>13</v>
      </c>
      <c r="U906" s="1">
        <v>0</v>
      </c>
      <c r="V906" s="1" t="str">
        <f t="shared" si="140"/>
        <v>里程去程</v>
      </c>
      <c r="W906" s="1" t="s">
        <v>29</v>
      </c>
    </row>
    <row r="907" spans="1:23" x14ac:dyDescent="0.3">
      <c r="A907" s="1" t="str">
        <f>"59822"</f>
        <v>59822</v>
      </c>
      <c r="B907" s="1" t="s">
        <v>39</v>
      </c>
      <c r="C907" s="1" t="s">
        <v>40</v>
      </c>
      <c r="D907" s="1" t="str">
        <f t="shared" si="139"/>
        <v>9801</v>
      </c>
      <c r="E907" s="1" t="s">
        <v>25</v>
      </c>
      <c r="F907" s="1" t="str">
        <f>"C2E1D306F6880400C838002000000015"</f>
        <v>C2E1D306F6880400C838002000000015</v>
      </c>
      <c r="G907" s="1" t="s">
        <v>26</v>
      </c>
      <c r="H907" s="1" t="str">
        <f t="shared" si="141"/>
        <v>20220927</v>
      </c>
      <c r="I907" s="1" t="str">
        <f>"080749"</f>
        <v>080749</v>
      </c>
      <c r="J907" s="1" t="s">
        <v>60</v>
      </c>
      <c r="K907" s="1" t="s">
        <v>52</v>
      </c>
      <c r="L907" s="1" t="str">
        <f t="shared" si="142"/>
        <v>20220927</v>
      </c>
      <c r="M907" s="1" t="str">
        <f>"081349"</f>
        <v>081349</v>
      </c>
      <c r="N907" s="1" t="s">
        <v>65</v>
      </c>
      <c r="O907" s="1" t="s">
        <v>52</v>
      </c>
      <c r="P907" s="1" t="s">
        <v>68</v>
      </c>
      <c r="Q907" s="1">
        <v>13</v>
      </c>
      <c r="R907" s="1">
        <v>0</v>
      </c>
      <c r="S907" s="1">
        <v>0</v>
      </c>
      <c r="T907" s="1">
        <v>13</v>
      </c>
      <c r="U907" s="1">
        <v>0</v>
      </c>
      <c r="V907" s="1" t="str">
        <f t="shared" si="140"/>
        <v>里程去程</v>
      </c>
      <c r="W907" s="1" t="s">
        <v>29</v>
      </c>
    </row>
    <row r="908" spans="1:23" x14ac:dyDescent="0.3">
      <c r="A908" s="1" t="str">
        <f>"59822"</f>
        <v>59822</v>
      </c>
      <c r="B908" s="1" t="s">
        <v>39</v>
      </c>
      <c r="C908" s="1" t="s">
        <v>40</v>
      </c>
      <c r="D908" s="1" t="str">
        <f t="shared" si="139"/>
        <v>9801</v>
      </c>
      <c r="E908" s="1" t="s">
        <v>25</v>
      </c>
      <c r="F908" s="1" t="str">
        <f>"E213BD024E880400C834002000000015"</f>
        <v>E213BD024E880400C834002000000015</v>
      </c>
      <c r="G908" s="1" t="s">
        <v>74</v>
      </c>
      <c r="H908" s="1" t="str">
        <f t="shared" si="141"/>
        <v>20220927</v>
      </c>
      <c r="I908" s="1" t="str">
        <f>"083150"</f>
        <v>083150</v>
      </c>
      <c r="J908" s="1" t="s">
        <v>27</v>
      </c>
      <c r="K908" s="1" t="s">
        <v>28</v>
      </c>
      <c r="L908" s="1" t="str">
        <f t="shared" si="142"/>
        <v>20220927</v>
      </c>
      <c r="M908" s="1" t="str">
        <f>"084804"</f>
        <v>084804</v>
      </c>
      <c r="N908" s="1" t="s">
        <v>61</v>
      </c>
      <c r="O908" s="1" t="s">
        <v>45</v>
      </c>
      <c r="P908" s="1" t="s">
        <v>68</v>
      </c>
      <c r="Q908" s="1">
        <v>13</v>
      </c>
      <c r="R908" s="1">
        <v>0</v>
      </c>
      <c r="S908" s="1">
        <v>0</v>
      </c>
      <c r="T908" s="1">
        <v>13</v>
      </c>
      <c r="U908" s="1">
        <v>0</v>
      </c>
      <c r="V908" s="1" t="str">
        <f t="shared" si="140"/>
        <v>里程去程</v>
      </c>
      <c r="W908" s="1" t="s">
        <v>29</v>
      </c>
    </row>
    <row r="909" spans="1:23" x14ac:dyDescent="0.3">
      <c r="A909" s="1" t="str">
        <f>"59822"</f>
        <v>59822</v>
      </c>
      <c r="B909" s="1" t="s">
        <v>39</v>
      </c>
      <c r="C909" s="1" t="s">
        <v>40</v>
      </c>
      <c r="D909" s="1" t="str">
        <f t="shared" si="139"/>
        <v>9801</v>
      </c>
      <c r="E909" s="1" t="s">
        <v>25</v>
      </c>
      <c r="F909" s="1" t="str">
        <f>"52083B1879880400C819002000000019"</f>
        <v>52083B1879880400C819002000000019</v>
      </c>
      <c r="G909" s="1" t="s">
        <v>59</v>
      </c>
      <c r="H909" s="1" t="str">
        <f t="shared" si="141"/>
        <v>20220927</v>
      </c>
      <c r="I909" s="1" t="str">
        <f>"083206"</f>
        <v>083206</v>
      </c>
      <c r="J909" s="1" t="s">
        <v>27</v>
      </c>
      <c r="K909" s="1" t="s">
        <v>28</v>
      </c>
      <c r="L909" s="1" t="str">
        <f t="shared" si="142"/>
        <v>20220927</v>
      </c>
      <c r="M909" s="1" t="str">
        <f>"083251"</f>
        <v>083251</v>
      </c>
      <c r="N909" s="1" t="s">
        <v>79</v>
      </c>
      <c r="O909" s="1" t="s">
        <v>45</v>
      </c>
      <c r="P909" s="1" t="s">
        <v>55</v>
      </c>
      <c r="Q909" s="1">
        <v>25</v>
      </c>
      <c r="R909" s="1">
        <v>0</v>
      </c>
      <c r="S909" s="1">
        <v>25</v>
      </c>
      <c r="T909" s="1">
        <v>0</v>
      </c>
      <c r="U909" s="1">
        <v>0</v>
      </c>
      <c r="V909" s="1" t="str">
        <f t="shared" si="140"/>
        <v>里程去程</v>
      </c>
      <c r="W909" s="1" t="s">
        <v>29</v>
      </c>
    </row>
    <row r="910" spans="1:23" x14ac:dyDescent="0.3">
      <c r="A910" s="1" t="str">
        <f>"59822"</f>
        <v>59822</v>
      </c>
      <c r="B910" s="1" t="s">
        <v>39</v>
      </c>
      <c r="C910" s="1" t="s">
        <v>40</v>
      </c>
      <c r="D910" s="1" t="str">
        <f t="shared" si="139"/>
        <v>9801</v>
      </c>
      <c r="E910" s="1" t="s">
        <v>25</v>
      </c>
      <c r="F910" s="1" t="str">
        <f>"894153189"</f>
        <v>894153189</v>
      </c>
      <c r="G910" s="1" t="s">
        <v>33</v>
      </c>
      <c r="H910" s="1" t="str">
        <f t="shared" si="141"/>
        <v>20220927</v>
      </c>
      <c r="I910" s="1" t="str">
        <f>"093241"</f>
        <v>093241</v>
      </c>
      <c r="J910" s="1" t="s">
        <v>27</v>
      </c>
      <c r="K910" s="1" t="s">
        <v>28</v>
      </c>
      <c r="L910" s="1" t="str">
        <f t="shared" si="142"/>
        <v>20220927</v>
      </c>
      <c r="M910" s="1" t="str">
        <f>"094940"</f>
        <v>094940</v>
      </c>
      <c r="N910" s="1" t="s">
        <v>75</v>
      </c>
      <c r="O910" s="1" t="s">
        <v>45</v>
      </c>
      <c r="P910" s="1" t="s">
        <v>55</v>
      </c>
      <c r="Q910" s="1">
        <v>25</v>
      </c>
      <c r="R910" s="1">
        <v>0</v>
      </c>
      <c r="S910" s="1">
        <v>25</v>
      </c>
      <c r="T910" s="1">
        <v>0</v>
      </c>
      <c r="U910" s="1">
        <v>0</v>
      </c>
      <c r="V910" s="1" t="str">
        <f t="shared" si="140"/>
        <v>里程去程</v>
      </c>
      <c r="W910" s="1" t="s">
        <v>35</v>
      </c>
    </row>
    <row r="911" spans="1:23" x14ac:dyDescent="0.3">
      <c r="A911" s="1" t="str">
        <f t="shared" ref="A911:A927" si="143">"59829"</f>
        <v>59829</v>
      </c>
      <c r="B911" s="1" t="s">
        <v>47</v>
      </c>
      <c r="C911" s="1" t="s">
        <v>48</v>
      </c>
      <c r="D911" s="1" t="str">
        <f t="shared" si="139"/>
        <v>9801</v>
      </c>
      <c r="E911" s="1" t="s">
        <v>25</v>
      </c>
      <c r="F911" s="1" t="str">
        <f>"1892873755"</f>
        <v>1892873755</v>
      </c>
      <c r="G911" s="1" t="s">
        <v>33</v>
      </c>
      <c r="H911" s="1" t="str">
        <f t="shared" si="141"/>
        <v>20220927</v>
      </c>
      <c r="I911" s="1" t="str">
        <f>"110926"</f>
        <v>110926</v>
      </c>
      <c r="J911" s="1" t="s">
        <v>60</v>
      </c>
      <c r="K911" s="1" t="s">
        <v>52</v>
      </c>
      <c r="L911" s="1" t="str">
        <f t="shared" si="142"/>
        <v>20220927</v>
      </c>
      <c r="M911" s="1" t="str">
        <f>"113532"</f>
        <v>113532</v>
      </c>
      <c r="N911" s="1" t="s">
        <v>70</v>
      </c>
      <c r="O911" s="1" t="s">
        <v>28</v>
      </c>
      <c r="P911" s="1" t="s">
        <v>55</v>
      </c>
      <c r="Q911" s="1">
        <v>25</v>
      </c>
      <c r="R911" s="1">
        <v>25</v>
      </c>
      <c r="S911" s="1">
        <v>0</v>
      </c>
      <c r="T911" s="1">
        <v>0</v>
      </c>
      <c r="U911" s="1">
        <v>0</v>
      </c>
      <c r="V911" s="1" t="str">
        <f t="shared" si="140"/>
        <v>里程去程</v>
      </c>
      <c r="W911" s="1" t="s">
        <v>35</v>
      </c>
    </row>
    <row r="912" spans="1:23" x14ac:dyDescent="0.3">
      <c r="A912" s="1" t="str">
        <f t="shared" si="143"/>
        <v>59829</v>
      </c>
      <c r="B912" s="1" t="s">
        <v>47</v>
      </c>
      <c r="C912" s="1" t="s">
        <v>48</v>
      </c>
      <c r="D912" s="1" t="str">
        <f t="shared" si="139"/>
        <v>9801</v>
      </c>
      <c r="E912" s="1" t="s">
        <v>25</v>
      </c>
      <c r="F912" s="1" t="str">
        <f>"1279584657"</f>
        <v>1279584657</v>
      </c>
      <c r="G912" s="1" t="s">
        <v>33</v>
      </c>
      <c r="H912" s="1" t="str">
        <f t="shared" si="141"/>
        <v>20220927</v>
      </c>
      <c r="I912" s="1" t="str">
        <f>"112021"</f>
        <v>112021</v>
      </c>
      <c r="J912" s="1" t="s">
        <v>80</v>
      </c>
      <c r="K912" s="1" t="s">
        <v>52</v>
      </c>
      <c r="L912" s="1" t="str">
        <f t="shared" si="142"/>
        <v>20220927</v>
      </c>
      <c r="M912" s="1" t="str">
        <f>"113529"</f>
        <v>113529</v>
      </c>
      <c r="N912" s="1" t="s">
        <v>70</v>
      </c>
      <c r="O912" s="1" t="s">
        <v>28</v>
      </c>
      <c r="P912" s="1" t="s">
        <v>55</v>
      </c>
      <c r="Q912" s="1">
        <v>25</v>
      </c>
      <c r="R912" s="1">
        <v>0</v>
      </c>
      <c r="S912" s="1">
        <v>25</v>
      </c>
      <c r="T912" s="1">
        <v>0</v>
      </c>
      <c r="U912" s="1">
        <v>0</v>
      </c>
      <c r="V912" s="1" t="str">
        <f t="shared" si="140"/>
        <v>里程去程</v>
      </c>
      <c r="W912" s="1" t="s">
        <v>35</v>
      </c>
    </row>
    <row r="913" spans="1:23" x14ac:dyDescent="0.3">
      <c r="A913" s="1" t="str">
        <f t="shared" si="143"/>
        <v>59829</v>
      </c>
      <c r="B913" s="1" t="s">
        <v>47</v>
      </c>
      <c r="C913" s="1" t="s">
        <v>48</v>
      </c>
      <c r="D913" s="1" t="str">
        <f t="shared" si="139"/>
        <v>9801</v>
      </c>
      <c r="E913" s="1" t="s">
        <v>25</v>
      </c>
      <c r="F913" s="1" t="str">
        <f>"3614668534"</f>
        <v>3614668534</v>
      </c>
      <c r="G913" s="1" t="s">
        <v>33</v>
      </c>
      <c r="H913" s="1" t="str">
        <f t="shared" si="141"/>
        <v>20220927</v>
      </c>
      <c r="I913" s="1" t="str">
        <f>"120009"</f>
        <v>120009</v>
      </c>
      <c r="J913" s="1" t="s">
        <v>52</v>
      </c>
      <c r="K913" s="1" t="s">
        <v>52</v>
      </c>
      <c r="L913" s="1" t="str">
        <f t="shared" si="142"/>
        <v>20220927</v>
      </c>
      <c r="M913" s="1" t="str">
        <f>"122924"</f>
        <v>122924</v>
      </c>
      <c r="N913" s="1" t="s">
        <v>70</v>
      </c>
      <c r="O913" s="1" t="s">
        <v>28</v>
      </c>
      <c r="P913" s="1" t="s">
        <v>55</v>
      </c>
      <c r="Q913" s="1">
        <v>25</v>
      </c>
      <c r="R913" s="1">
        <v>25</v>
      </c>
      <c r="S913" s="1">
        <v>0</v>
      </c>
      <c r="T913" s="1">
        <v>0</v>
      </c>
      <c r="U913" s="1">
        <v>0</v>
      </c>
      <c r="V913" s="1" t="str">
        <f t="shared" si="140"/>
        <v>里程去程</v>
      </c>
      <c r="W913" s="1" t="s">
        <v>35</v>
      </c>
    </row>
    <row r="914" spans="1:23" x14ac:dyDescent="0.3">
      <c r="A914" s="1" t="str">
        <f t="shared" si="143"/>
        <v>59829</v>
      </c>
      <c r="B914" s="1" t="s">
        <v>47</v>
      </c>
      <c r="C914" s="1" t="s">
        <v>48</v>
      </c>
      <c r="D914" s="1" t="str">
        <f t="shared" si="139"/>
        <v>9801</v>
      </c>
      <c r="E914" s="1" t="s">
        <v>25</v>
      </c>
      <c r="F914" s="1" t="str">
        <f>"92EFBC12D328040080CEBCD765212818"</f>
        <v>92EFBC12D328040080CEBCD765212818</v>
      </c>
      <c r="G914" s="1" t="s">
        <v>58</v>
      </c>
      <c r="H914" s="1" t="str">
        <f t="shared" si="141"/>
        <v>20220927</v>
      </c>
      <c r="I914" s="1" t="str">
        <f>"123016"</f>
        <v>123016</v>
      </c>
      <c r="J914" s="1" t="s">
        <v>28</v>
      </c>
      <c r="K914" s="1" t="s">
        <v>28</v>
      </c>
      <c r="L914" s="1" t="str">
        <f t="shared" si="142"/>
        <v>20220927</v>
      </c>
      <c r="M914" s="1" t="str">
        <f>"125740"</f>
        <v>125740</v>
      </c>
      <c r="N914" s="1" t="s">
        <v>44</v>
      </c>
      <c r="O914" s="1" t="s">
        <v>45</v>
      </c>
      <c r="P914" s="1" t="s">
        <v>55</v>
      </c>
      <c r="Q914" s="1">
        <v>25</v>
      </c>
      <c r="R914" s="1">
        <v>0</v>
      </c>
      <c r="S914" s="1">
        <v>25</v>
      </c>
      <c r="T914" s="1">
        <v>0</v>
      </c>
      <c r="U914" s="1">
        <v>0</v>
      </c>
      <c r="V914" s="1" t="str">
        <f t="shared" si="140"/>
        <v>里程去程</v>
      </c>
      <c r="W914" s="1" t="s">
        <v>29</v>
      </c>
    </row>
    <row r="915" spans="1:23" x14ac:dyDescent="0.3">
      <c r="A915" s="1" t="str">
        <f t="shared" si="143"/>
        <v>59829</v>
      </c>
      <c r="B915" s="1" t="s">
        <v>47</v>
      </c>
      <c r="C915" s="1" t="s">
        <v>48</v>
      </c>
      <c r="D915" s="1" t="str">
        <f t="shared" si="139"/>
        <v>9801</v>
      </c>
      <c r="E915" s="1" t="s">
        <v>25</v>
      </c>
      <c r="F915" s="1" t="str">
        <f>"4291A7196D880400C824002000000020"</f>
        <v>4291A7196D880400C824002000000020</v>
      </c>
      <c r="G915" s="1" t="s">
        <v>64</v>
      </c>
      <c r="H915" s="1" t="str">
        <f t="shared" si="141"/>
        <v>20220927</v>
      </c>
      <c r="I915" s="1" t="str">
        <f>"123019"</f>
        <v>123019</v>
      </c>
      <c r="J915" s="1" t="s">
        <v>28</v>
      </c>
      <c r="K915" s="1" t="s">
        <v>28</v>
      </c>
      <c r="L915" s="1" t="str">
        <f t="shared" si="142"/>
        <v>20220927</v>
      </c>
      <c r="M915" s="1" t="str">
        <f>"125746"</f>
        <v>125746</v>
      </c>
      <c r="N915" s="1" t="s">
        <v>44</v>
      </c>
      <c r="O915" s="1" t="s">
        <v>45</v>
      </c>
      <c r="P915" s="1" t="s">
        <v>55</v>
      </c>
      <c r="Q915" s="1">
        <v>13</v>
      </c>
      <c r="R915" s="1">
        <v>0</v>
      </c>
      <c r="S915" s="1">
        <v>13</v>
      </c>
      <c r="T915" s="1">
        <v>0</v>
      </c>
      <c r="U915" s="1">
        <v>0</v>
      </c>
      <c r="V915" s="1" t="str">
        <f t="shared" si="140"/>
        <v>里程去程</v>
      </c>
      <c r="W915" s="1" t="s">
        <v>29</v>
      </c>
    </row>
    <row r="916" spans="1:23" x14ac:dyDescent="0.3">
      <c r="A916" s="1" t="str">
        <f t="shared" si="143"/>
        <v>59829</v>
      </c>
      <c r="B916" s="1" t="s">
        <v>47</v>
      </c>
      <c r="C916" s="1" t="s">
        <v>48</v>
      </c>
      <c r="D916" s="1" t="str">
        <f t="shared" si="139"/>
        <v>9801</v>
      </c>
      <c r="E916" s="1" t="s">
        <v>25</v>
      </c>
      <c r="F916" s="1" t="str">
        <f>"1739455893"</f>
        <v>1739455893</v>
      </c>
      <c r="G916" s="1" t="s">
        <v>33</v>
      </c>
      <c r="H916" s="1" t="str">
        <f t="shared" si="141"/>
        <v>20220927</v>
      </c>
      <c r="I916" s="1" t="str">
        <f>"123121"</f>
        <v>123121</v>
      </c>
      <c r="J916" s="1" t="s">
        <v>28</v>
      </c>
      <c r="K916" s="1" t="s">
        <v>28</v>
      </c>
      <c r="L916" s="1" t="str">
        <f t="shared" si="142"/>
        <v>20220927</v>
      </c>
      <c r="M916" s="1" t="str">
        <f>"125735"</f>
        <v>125735</v>
      </c>
      <c r="N916" s="1" t="s">
        <v>44</v>
      </c>
      <c r="O916" s="1" t="s">
        <v>45</v>
      </c>
      <c r="P916" s="1" t="s">
        <v>55</v>
      </c>
      <c r="Q916" s="1">
        <v>25</v>
      </c>
      <c r="R916" s="1">
        <v>25</v>
      </c>
      <c r="S916" s="1">
        <v>0</v>
      </c>
      <c r="T916" s="1">
        <v>0</v>
      </c>
      <c r="U916" s="1">
        <v>0</v>
      </c>
      <c r="V916" s="1" t="str">
        <f t="shared" si="140"/>
        <v>里程去程</v>
      </c>
      <c r="W916" s="1" t="s">
        <v>35</v>
      </c>
    </row>
    <row r="917" spans="1:23" x14ac:dyDescent="0.3">
      <c r="A917" s="1" t="str">
        <f t="shared" si="143"/>
        <v>59829</v>
      </c>
      <c r="B917" s="1" t="s">
        <v>47</v>
      </c>
      <c r="C917" s="1" t="s">
        <v>48</v>
      </c>
      <c r="D917" s="1" t="str">
        <f t="shared" si="139"/>
        <v>9801</v>
      </c>
      <c r="E917" s="1" t="s">
        <v>25</v>
      </c>
      <c r="F917" s="1" t="str">
        <f>"D14AA66C512804001C00000000000000"</f>
        <v>D14AA66C512804001C00000000000000</v>
      </c>
      <c r="G917" s="1" t="s">
        <v>58</v>
      </c>
      <c r="H917" s="1" t="str">
        <f t="shared" si="141"/>
        <v>20220927</v>
      </c>
      <c r="I917" s="1" t="str">
        <f>"123317"</f>
        <v>123317</v>
      </c>
      <c r="J917" s="1" t="s">
        <v>28</v>
      </c>
      <c r="K917" s="1" t="s">
        <v>28</v>
      </c>
      <c r="L917" s="1" t="str">
        <f t="shared" si="142"/>
        <v>20220927</v>
      </c>
      <c r="M917" s="1" t="str">
        <f>"124226"</f>
        <v>124226</v>
      </c>
      <c r="N917" s="1" t="s">
        <v>79</v>
      </c>
      <c r="O917" s="1" t="s">
        <v>45</v>
      </c>
      <c r="P917" s="1" t="s">
        <v>55</v>
      </c>
      <c r="Q917" s="1">
        <v>25</v>
      </c>
      <c r="R917" s="1">
        <v>0</v>
      </c>
      <c r="S917" s="1">
        <v>25</v>
      </c>
      <c r="T917" s="1">
        <v>0</v>
      </c>
      <c r="U917" s="1">
        <v>0</v>
      </c>
      <c r="V917" s="1" t="str">
        <f t="shared" si="140"/>
        <v>里程去程</v>
      </c>
      <c r="W917" s="1" t="s">
        <v>29</v>
      </c>
    </row>
    <row r="918" spans="1:23" x14ac:dyDescent="0.3">
      <c r="A918" s="1" t="str">
        <f t="shared" si="143"/>
        <v>59829</v>
      </c>
      <c r="B918" s="1" t="s">
        <v>47</v>
      </c>
      <c r="C918" s="1" t="s">
        <v>48</v>
      </c>
      <c r="D918" s="1" t="str">
        <f t="shared" si="139"/>
        <v>9801</v>
      </c>
      <c r="E918" s="1" t="s">
        <v>25</v>
      </c>
      <c r="F918" s="1" t="str">
        <f>"F25B1B03B1880400C834002000000015"</f>
        <v>F25B1B03B1880400C834002000000015</v>
      </c>
      <c r="G918" s="1" t="s">
        <v>26</v>
      </c>
      <c r="H918" s="1" t="str">
        <f t="shared" si="141"/>
        <v>20220927</v>
      </c>
      <c r="I918" s="1" t="str">
        <f>"130739"</f>
        <v>130739</v>
      </c>
      <c r="J918" s="1" t="s">
        <v>60</v>
      </c>
      <c r="K918" s="1" t="s">
        <v>52</v>
      </c>
      <c r="L918" s="1" t="str">
        <f t="shared" si="142"/>
        <v>20220927</v>
      </c>
      <c r="M918" s="1" t="str">
        <f>"133144"</f>
        <v>133144</v>
      </c>
      <c r="N918" s="1" t="s">
        <v>70</v>
      </c>
      <c r="O918" s="1" t="s">
        <v>28</v>
      </c>
      <c r="P918" s="1" t="s">
        <v>68</v>
      </c>
      <c r="Q918" s="1">
        <v>13</v>
      </c>
      <c r="R918" s="1">
        <v>0</v>
      </c>
      <c r="S918" s="1">
        <v>0</v>
      </c>
      <c r="T918" s="1">
        <v>13</v>
      </c>
      <c r="U918" s="1">
        <v>0</v>
      </c>
      <c r="V918" s="1" t="str">
        <f t="shared" si="140"/>
        <v>里程去程</v>
      </c>
      <c r="W918" s="1" t="s">
        <v>29</v>
      </c>
    </row>
    <row r="919" spans="1:23" x14ac:dyDescent="0.3">
      <c r="A919" s="1" t="str">
        <f t="shared" si="143"/>
        <v>59829</v>
      </c>
      <c r="B919" s="1" t="s">
        <v>47</v>
      </c>
      <c r="C919" s="1" t="s">
        <v>48</v>
      </c>
      <c r="D919" s="1" t="str">
        <f t="shared" si="139"/>
        <v>9801</v>
      </c>
      <c r="E919" s="1" t="s">
        <v>25</v>
      </c>
      <c r="F919" s="1" t="str">
        <f>"22E11A03DA880400C834002000000015"</f>
        <v>22E11A03DA880400C834002000000015</v>
      </c>
      <c r="G919" s="1" t="s">
        <v>26</v>
      </c>
      <c r="H919" s="1" t="str">
        <f t="shared" si="141"/>
        <v>20220927</v>
      </c>
      <c r="I919" s="1" t="str">
        <f>"135320"</f>
        <v>135320</v>
      </c>
      <c r="J919" s="1" t="s">
        <v>100</v>
      </c>
      <c r="K919" s="1" t="s">
        <v>45</v>
      </c>
      <c r="L919" s="1" t="str">
        <f t="shared" si="142"/>
        <v>20220927</v>
      </c>
      <c r="M919" s="1" t="str">
        <f>"135555"</f>
        <v>135555</v>
      </c>
      <c r="N919" s="1" t="s">
        <v>44</v>
      </c>
      <c r="O919" s="1" t="s">
        <v>45</v>
      </c>
      <c r="P919" s="1" t="s">
        <v>68</v>
      </c>
      <c r="Q919" s="1">
        <v>13</v>
      </c>
      <c r="R919" s="1">
        <v>0</v>
      </c>
      <c r="S919" s="1">
        <v>0</v>
      </c>
      <c r="T919" s="1">
        <v>13</v>
      </c>
      <c r="U919" s="1">
        <v>0</v>
      </c>
      <c r="V919" s="1" t="str">
        <f t="shared" si="140"/>
        <v>里程去程</v>
      </c>
      <c r="W919" s="1" t="s">
        <v>29</v>
      </c>
    </row>
    <row r="920" spans="1:23" x14ac:dyDescent="0.3">
      <c r="A920" s="1" t="str">
        <f t="shared" si="143"/>
        <v>59829</v>
      </c>
      <c r="B920" s="1" t="s">
        <v>47</v>
      </c>
      <c r="C920" s="1" t="s">
        <v>48</v>
      </c>
      <c r="D920" s="1" t="str">
        <f t="shared" si="139"/>
        <v>9801</v>
      </c>
      <c r="E920" s="1" t="s">
        <v>25</v>
      </c>
      <c r="F920" s="1" t="str">
        <f>"F27CE6026A880400C834002000000015"</f>
        <v>F27CE6026A880400C834002000000015</v>
      </c>
      <c r="G920" s="1" t="s">
        <v>74</v>
      </c>
      <c r="H920" s="1" t="str">
        <f t="shared" si="141"/>
        <v>20220927</v>
      </c>
      <c r="I920" s="1" t="str">
        <f>"145350"</f>
        <v>145350</v>
      </c>
      <c r="J920" s="1" t="s">
        <v>52</v>
      </c>
      <c r="K920" s="1" t="s">
        <v>52</v>
      </c>
      <c r="L920" s="1" t="str">
        <f t="shared" si="142"/>
        <v>20220927</v>
      </c>
      <c r="M920" s="1" t="str">
        <f>"150535"</f>
        <v>150535</v>
      </c>
      <c r="N920" s="1" t="s">
        <v>60</v>
      </c>
      <c r="O920" s="1" t="s">
        <v>52</v>
      </c>
      <c r="P920" s="1" t="s">
        <v>68</v>
      </c>
      <c r="Q920" s="1">
        <v>13</v>
      </c>
      <c r="R920" s="1">
        <v>0</v>
      </c>
      <c r="S920" s="1">
        <v>0</v>
      </c>
      <c r="T920" s="1">
        <v>13</v>
      </c>
      <c r="U920" s="1">
        <v>0</v>
      </c>
      <c r="V920" s="1" t="str">
        <f t="shared" si="140"/>
        <v>里程去程</v>
      </c>
      <c r="W920" s="1" t="s">
        <v>29</v>
      </c>
    </row>
    <row r="921" spans="1:23" x14ac:dyDescent="0.3">
      <c r="A921" s="1" t="str">
        <f t="shared" si="143"/>
        <v>59829</v>
      </c>
      <c r="B921" s="1" t="s">
        <v>47</v>
      </c>
      <c r="C921" s="1" t="s">
        <v>48</v>
      </c>
      <c r="D921" s="1" t="str">
        <f t="shared" si="139"/>
        <v>9801</v>
      </c>
      <c r="E921" s="1" t="s">
        <v>25</v>
      </c>
      <c r="F921" s="1" t="str">
        <f>"C2F219032A880400C834002000000015"</f>
        <v>C2F219032A880400C834002000000015</v>
      </c>
      <c r="G921" s="1" t="s">
        <v>26</v>
      </c>
      <c r="H921" s="1" t="str">
        <f t="shared" si="141"/>
        <v>20220927</v>
      </c>
      <c r="I921" s="1" t="str">
        <f>"150432"</f>
        <v>150432</v>
      </c>
      <c r="J921" s="1" t="s">
        <v>86</v>
      </c>
      <c r="K921" s="1" t="s">
        <v>52</v>
      </c>
      <c r="L921" s="1" t="str">
        <f t="shared" si="142"/>
        <v>20220927</v>
      </c>
      <c r="M921" s="1" t="str">
        <f>"150729"</f>
        <v>150729</v>
      </c>
      <c r="N921" s="1" t="s">
        <v>51</v>
      </c>
      <c r="O921" s="1" t="s">
        <v>52</v>
      </c>
      <c r="P921" s="1" t="s">
        <v>68</v>
      </c>
      <c r="Q921" s="1">
        <v>13</v>
      </c>
      <c r="R921" s="1">
        <v>0</v>
      </c>
      <c r="S921" s="1">
        <v>0</v>
      </c>
      <c r="T921" s="1">
        <v>13</v>
      </c>
      <c r="U921" s="1">
        <v>0</v>
      </c>
      <c r="V921" s="1" t="str">
        <f t="shared" si="140"/>
        <v>里程去程</v>
      </c>
      <c r="W921" s="1" t="s">
        <v>29</v>
      </c>
    </row>
    <row r="922" spans="1:23" x14ac:dyDescent="0.3">
      <c r="A922" s="1" t="str">
        <f t="shared" si="143"/>
        <v>59829</v>
      </c>
      <c r="B922" s="1" t="s">
        <v>47</v>
      </c>
      <c r="C922" s="1" t="s">
        <v>48</v>
      </c>
      <c r="D922" s="1" t="str">
        <f t="shared" si="139"/>
        <v>9801</v>
      </c>
      <c r="E922" s="1" t="s">
        <v>25</v>
      </c>
      <c r="F922" s="1" t="str">
        <f>"F215D20237880400C834002000000015"</f>
        <v>F215D20237880400C834002000000015</v>
      </c>
      <c r="G922" s="1" t="s">
        <v>26</v>
      </c>
      <c r="H922" s="1" t="str">
        <f t="shared" si="141"/>
        <v>20220927</v>
      </c>
      <c r="I922" s="1" t="str">
        <f>"150739"</f>
        <v>150739</v>
      </c>
      <c r="J922" s="1" t="s">
        <v>51</v>
      </c>
      <c r="K922" s="1" t="s">
        <v>52</v>
      </c>
      <c r="L922" s="1" t="str">
        <f t="shared" si="142"/>
        <v>20220927</v>
      </c>
      <c r="M922" s="1" t="str">
        <f>"153131"</f>
        <v>153131</v>
      </c>
      <c r="N922" s="1" t="s">
        <v>70</v>
      </c>
      <c r="O922" s="1" t="s">
        <v>28</v>
      </c>
      <c r="P922" s="1" t="s">
        <v>68</v>
      </c>
      <c r="Q922" s="1">
        <v>13</v>
      </c>
      <c r="R922" s="1">
        <v>0</v>
      </c>
      <c r="S922" s="1">
        <v>0</v>
      </c>
      <c r="T922" s="1">
        <v>13</v>
      </c>
      <c r="U922" s="1">
        <v>0</v>
      </c>
      <c r="V922" s="1" t="str">
        <f t="shared" si="140"/>
        <v>里程去程</v>
      </c>
      <c r="W922" s="1" t="s">
        <v>29</v>
      </c>
    </row>
    <row r="923" spans="1:23" x14ac:dyDescent="0.3">
      <c r="A923" s="1" t="str">
        <f t="shared" si="143"/>
        <v>59829</v>
      </c>
      <c r="B923" s="1" t="s">
        <v>47</v>
      </c>
      <c r="C923" s="1" t="s">
        <v>48</v>
      </c>
      <c r="D923" s="1" t="str">
        <f t="shared" si="139"/>
        <v>9801</v>
      </c>
      <c r="E923" s="1" t="s">
        <v>25</v>
      </c>
      <c r="F923" s="1" t="str">
        <f>"D27CFD1645880400C814002000000019"</f>
        <v>D27CFD1645880400C814002000000019</v>
      </c>
      <c r="G923" s="1" t="s">
        <v>59</v>
      </c>
      <c r="H923" s="1" t="str">
        <f t="shared" si="141"/>
        <v>20220927</v>
      </c>
      <c r="I923" s="1" t="str">
        <f>"153142"</f>
        <v>153142</v>
      </c>
      <c r="J923" s="1" t="s">
        <v>28</v>
      </c>
      <c r="K923" s="1" t="s">
        <v>28</v>
      </c>
      <c r="L923" s="1" t="str">
        <f t="shared" si="142"/>
        <v>20220927</v>
      </c>
      <c r="M923" s="1" t="str">
        <f>"155614"</f>
        <v>155614</v>
      </c>
      <c r="N923" s="1" t="s">
        <v>100</v>
      </c>
      <c r="O923" s="1" t="s">
        <v>45</v>
      </c>
      <c r="P923" s="1" t="s">
        <v>55</v>
      </c>
      <c r="Q923" s="1">
        <v>25</v>
      </c>
      <c r="R923" s="1">
        <v>25</v>
      </c>
      <c r="S923" s="1">
        <v>0</v>
      </c>
      <c r="T923" s="1">
        <v>0</v>
      </c>
      <c r="U923" s="1">
        <v>0</v>
      </c>
      <c r="V923" s="1" t="str">
        <f t="shared" si="140"/>
        <v>里程去程</v>
      </c>
      <c r="W923" s="1" t="s">
        <v>29</v>
      </c>
    </row>
    <row r="924" spans="1:23" x14ac:dyDescent="0.3">
      <c r="A924" s="1" t="str">
        <f t="shared" si="143"/>
        <v>59829</v>
      </c>
      <c r="B924" s="1" t="s">
        <v>47</v>
      </c>
      <c r="C924" s="1" t="s">
        <v>48</v>
      </c>
      <c r="D924" s="1" t="str">
        <f t="shared" si="139"/>
        <v>9801</v>
      </c>
      <c r="E924" s="1" t="s">
        <v>25</v>
      </c>
      <c r="F924" s="1" t="str">
        <f>"C2C219031A880400C834002000000015"</f>
        <v>C2C219031A880400C834002000000015</v>
      </c>
      <c r="G924" s="1" t="s">
        <v>74</v>
      </c>
      <c r="H924" s="1" t="str">
        <f t="shared" si="141"/>
        <v>20220927</v>
      </c>
      <c r="I924" s="1" t="str">
        <f>"160641"</f>
        <v>160641</v>
      </c>
      <c r="J924" s="1" t="s">
        <v>60</v>
      </c>
      <c r="K924" s="1" t="s">
        <v>52</v>
      </c>
      <c r="L924" s="1" t="str">
        <f t="shared" si="142"/>
        <v>20220927</v>
      </c>
      <c r="M924" s="1" t="str">
        <f>"161733"</f>
        <v>161733</v>
      </c>
      <c r="N924" s="1" t="s">
        <v>80</v>
      </c>
      <c r="O924" s="1" t="s">
        <v>52</v>
      </c>
      <c r="P924" s="1" t="s">
        <v>68</v>
      </c>
      <c r="Q924" s="1">
        <v>13</v>
      </c>
      <c r="R924" s="1">
        <v>0</v>
      </c>
      <c r="S924" s="1">
        <v>0</v>
      </c>
      <c r="T924" s="1">
        <v>13</v>
      </c>
      <c r="U924" s="1">
        <v>0</v>
      </c>
      <c r="V924" s="1" t="str">
        <f t="shared" si="140"/>
        <v>里程去程</v>
      </c>
      <c r="W924" s="1" t="s">
        <v>29</v>
      </c>
    </row>
    <row r="925" spans="1:23" x14ac:dyDescent="0.3">
      <c r="A925" s="1" t="str">
        <f t="shared" si="143"/>
        <v>59829</v>
      </c>
      <c r="B925" s="1" t="s">
        <v>47</v>
      </c>
      <c r="C925" s="1" t="s">
        <v>48</v>
      </c>
      <c r="D925" s="1" t="str">
        <f t="shared" si="139"/>
        <v>9801</v>
      </c>
      <c r="E925" s="1" t="s">
        <v>25</v>
      </c>
      <c r="F925" s="1" t="str">
        <f>"1602195157"</f>
        <v>1602195157</v>
      </c>
      <c r="G925" s="1" t="s">
        <v>33</v>
      </c>
      <c r="H925" s="1" t="str">
        <f t="shared" si="141"/>
        <v>20220927</v>
      </c>
      <c r="I925" s="1" t="str">
        <f>"163345"</f>
        <v>163345</v>
      </c>
      <c r="J925" s="1" t="s">
        <v>27</v>
      </c>
      <c r="K925" s="1" t="s">
        <v>28</v>
      </c>
      <c r="L925" s="1" t="str">
        <f t="shared" si="142"/>
        <v>20220927</v>
      </c>
      <c r="M925" s="1" t="str">
        <f>"164530"</f>
        <v>164530</v>
      </c>
      <c r="N925" s="1" t="s">
        <v>45</v>
      </c>
      <c r="O925" s="1" t="s">
        <v>45</v>
      </c>
      <c r="P925" s="1" t="s">
        <v>55</v>
      </c>
      <c r="Q925" s="1">
        <v>25</v>
      </c>
      <c r="R925" s="1">
        <v>25</v>
      </c>
      <c r="S925" s="1">
        <v>0</v>
      </c>
      <c r="T925" s="1">
        <v>0</v>
      </c>
      <c r="U925" s="1">
        <v>0</v>
      </c>
      <c r="V925" s="1" t="str">
        <f t="shared" si="140"/>
        <v>里程去程</v>
      </c>
      <c r="W925" s="1" t="s">
        <v>35</v>
      </c>
    </row>
    <row r="926" spans="1:23" x14ac:dyDescent="0.3">
      <c r="A926" s="1" t="str">
        <f t="shared" si="143"/>
        <v>59829</v>
      </c>
      <c r="B926" s="1" t="s">
        <v>47</v>
      </c>
      <c r="C926" s="1" t="s">
        <v>48</v>
      </c>
      <c r="D926" s="1" t="str">
        <f t="shared" si="139"/>
        <v>9801</v>
      </c>
      <c r="E926" s="1" t="s">
        <v>25</v>
      </c>
      <c r="F926" s="1" t="str">
        <f>"E293E60295880400C834002000000015"</f>
        <v>E293E60295880400C834002000000015</v>
      </c>
      <c r="G926" s="1" t="s">
        <v>74</v>
      </c>
      <c r="H926" s="1" t="str">
        <f t="shared" si="141"/>
        <v>20220927</v>
      </c>
      <c r="I926" s="1" t="str">
        <f>"201159"</f>
        <v>201159</v>
      </c>
      <c r="J926" s="1" t="s">
        <v>65</v>
      </c>
      <c r="K926" s="1" t="s">
        <v>52</v>
      </c>
      <c r="L926" s="1" t="str">
        <f t="shared" si="142"/>
        <v>20220927</v>
      </c>
      <c r="M926" s="1" t="str">
        <f>"201528"</f>
        <v>201528</v>
      </c>
      <c r="N926" s="1" t="s">
        <v>80</v>
      </c>
      <c r="O926" s="1" t="s">
        <v>52</v>
      </c>
      <c r="P926" s="1" t="s">
        <v>68</v>
      </c>
      <c r="Q926" s="1">
        <v>13</v>
      </c>
      <c r="R926" s="1">
        <v>0</v>
      </c>
      <c r="S926" s="1">
        <v>0</v>
      </c>
      <c r="T926" s="1">
        <v>13</v>
      </c>
      <c r="U926" s="1">
        <v>0</v>
      </c>
      <c r="V926" s="1" t="str">
        <f t="shared" si="140"/>
        <v>里程去程</v>
      </c>
      <c r="W926" s="1" t="s">
        <v>29</v>
      </c>
    </row>
    <row r="927" spans="1:23" x14ac:dyDescent="0.3">
      <c r="A927" s="1" t="str">
        <f t="shared" si="143"/>
        <v>59829</v>
      </c>
      <c r="B927" s="1" t="s">
        <v>47</v>
      </c>
      <c r="C927" s="1" t="s">
        <v>48</v>
      </c>
      <c r="D927" s="1" t="str">
        <f t="shared" si="139"/>
        <v>9801</v>
      </c>
      <c r="E927" s="1" t="s">
        <v>25</v>
      </c>
      <c r="F927" s="1" t="str">
        <f>"C2C219031A880400C834002000000015"</f>
        <v>C2C219031A880400C834002000000015</v>
      </c>
      <c r="G927" s="1" t="s">
        <v>74</v>
      </c>
      <c r="H927" s="1" t="str">
        <f t="shared" si="141"/>
        <v>20220927</v>
      </c>
      <c r="I927" s="1" t="str">
        <f>"201204"</f>
        <v>201204</v>
      </c>
      <c r="J927" s="1" t="s">
        <v>65</v>
      </c>
      <c r="K927" s="1" t="s">
        <v>52</v>
      </c>
      <c r="L927" s="1" t="str">
        <f t="shared" si="142"/>
        <v>20220927</v>
      </c>
      <c r="M927" s="1" t="str">
        <f>"201448"</f>
        <v>201448</v>
      </c>
      <c r="N927" s="1" t="s">
        <v>97</v>
      </c>
      <c r="O927" s="1" t="s">
        <v>52</v>
      </c>
      <c r="P927" s="1" t="s">
        <v>68</v>
      </c>
      <c r="Q927" s="1">
        <v>13</v>
      </c>
      <c r="R927" s="1">
        <v>0</v>
      </c>
      <c r="S927" s="1">
        <v>0</v>
      </c>
      <c r="T927" s="1">
        <v>13</v>
      </c>
      <c r="U927" s="1">
        <v>0</v>
      </c>
      <c r="V927" s="1" t="str">
        <f t="shared" si="140"/>
        <v>里程去程</v>
      </c>
      <c r="W927" s="1" t="s">
        <v>29</v>
      </c>
    </row>
    <row r="928" spans="1:23" x14ac:dyDescent="0.3">
      <c r="A928" s="1" t="str">
        <f t="shared" ref="A928:A933" si="144">"59828"</f>
        <v>59828</v>
      </c>
      <c r="B928" s="1" t="s">
        <v>23</v>
      </c>
      <c r="C928" s="1" t="s">
        <v>24</v>
      </c>
      <c r="D928" s="1" t="str">
        <f t="shared" si="139"/>
        <v>9801</v>
      </c>
      <c r="E928" s="1" t="s">
        <v>25</v>
      </c>
      <c r="F928" s="1" t="str">
        <f>"A239F5056B880400C838002000000015"</f>
        <v>A239F5056B880400C838002000000015</v>
      </c>
      <c r="G928" s="1" t="s">
        <v>26</v>
      </c>
      <c r="H928" s="1" t="str">
        <f t="shared" ref="H928:H943" si="145">"20220928"</f>
        <v>20220928</v>
      </c>
      <c r="I928" s="1" t="str">
        <f>"092453"</f>
        <v>092453</v>
      </c>
      <c r="J928" s="1" t="s">
        <v>67</v>
      </c>
      <c r="K928" s="1" t="s">
        <v>52</v>
      </c>
      <c r="L928" s="1" t="str">
        <f t="shared" ref="L928:L943" si="146">"20220928"</f>
        <v>20220928</v>
      </c>
      <c r="M928" s="1" t="str">
        <f>"093212"</f>
        <v>093212</v>
      </c>
      <c r="N928" s="1" t="s">
        <v>70</v>
      </c>
      <c r="O928" s="1" t="s">
        <v>28</v>
      </c>
      <c r="P928" s="1" t="s">
        <v>68</v>
      </c>
      <c r="Q928" s="1">
        <v>13</v>
      </c>
      <c r="R928" s="1">
        <v>0</v>
      </c>
      <c r="S928" s="1">
        <v>0</v>
      </c>
      <c r="T928" s="1">
        <v>13</v>
      </c>
      <c r="U928" s="1">
        <v>0</v>
      </c>
      <c r="V928" s="1" t="str">
        <f t="shared" si="140"/>
        <v>里程去程</v>
      </c>
      <c r="W928" s="1" t="s">
        <v>29</v>
      </c>
    </row>
    <row r="929" spans="1:23" x14ac:dyDescent="0.3">
      <c r="A929" s="1" t="str">
        <f t="shared" si="144"/>
        <v>59828</v>
      </c>
      <c r="B929" s="1" t="s">
        <v>23</v>
      </c>
      <c r="C929" s="1" t="s">
        <v>24</v>
      </c>
      <c r="D929" s="1" t="str">
        <f t="shared" si="139"/>
        <v>9801</v>
      </c>
      <c r="E929" s="1" t="s">
        <v>25</v>
      </c>
      <c r="F929" s="1" t="str">
        <f>"F1A13C65098804004325CC9400040C0F"</f>
        <v>F1A13C65098804004325CC9400040C0F</v>
      </c>
      <c r="G929" s="1" t="s">
        <v>64</v>
      </c>
      <c r="H929" s="1" t="str">
        <f t="shared" si="145"/>
        <v>20220928</v>
      </c>
      <c r="I929" s="1" t="str">
        <f>"093224"</f>
        <v>093224</v>
      </c>
      <c r="J929" s="1" t="s">
        <v>27</v>
      </c>
      <c r="K929" s="1" t="s">
        <v>28</v>
      </c>
      <c r="L929" s="1" t="str">
        <f t="shared" si="146"/>
        <v>20220928</v>
      </c>
      <c r="M929" s="1" t="str">
        <f>"095402"</f>
        <v>095402</v>
      </c>
      <c r="N929" s="1" t="s">
        <v>100</v>
      </c>
      <c r="O929" s="1" t="s">
        <v>45</v>
      </c>
      <c r="P929" s="1" t="s">
        <v>55</v>
      </c>
      <c r="Q929" s="1">
        <v>13</v>
      </c>
      <c r="R929" s="1">
        <v>13</v>
      </c>
      <c r="S929" s="1">
        <v>0</v>
      </c>
      <c r="T929" s="1">
        <v>0</v>
      </c>
      <c r="U929" s="1">
        <v>0</v>
      </c>
      <c r="V929" s="1" t="str">
        <f t="shared" si="140"/>
        <v>里程去程</v>
      </c>
      <c r="W929" s="1" t="s">
        <v>29</v>
      </c>
    </row>
    <row r="930" spans="1:23" x14ac:dyDescent="0.3">
      <c r="A930" s="1" t="str">
        <f t="shared" si="144"/>
        <v>59828</v>
      </c>
      <c r="B930" s="1" t="s">
        <v>23</v>
      </c>
      <c r="C930" s="1" t="s">
        <v>24</v>
      </c>
      <c r="D930" s="1" t="str">
        <f t="shared" si="139"/>
        <v>9801</v>
      </c>
      <c r="E930" s="1" t="s">
        <v>25</v>
      </c>
      <c r="F930" s="1" t="str">
        <f>"322AA315AE880400C810002000000019"</f>
        <v>322AA315AE880400C810002000000019</v>
      </c>
      <c r="G930" s="1" t="s">
        <v>26</v>
      </c>
      <c r="H930" s="1" t="str">
        <f t="shared" si="145"/>
        <v>20220928</v>
      </c>
      <c r="I930" s="1" t="str">
        <f>"093229"</f>
        <v>093229</v>
      </c>
      <c r="J930" s="1" t="s">
        <v>27</v>
      </c>
      <c r="K930" s="1" t="s">
        <v>28</v>
      </c>
      <c r="L930" s="1" t="str">
        <f t="shared" si="146"/>
        <v>20220928</v>
      </c>
      <c r="M930" s="1" t="str">
        <f>"095358"</f>
        <v>095358</v>
      </c>
      <c r="N930" s="1" t="s">
        <v>100</v>
      </c>
      <c r="O930" s="1" t="s">
        <v>45</v>
      </c>
      <c r="P930" s="1" t="s">
        <v>55</v>
      </c>
      <c r="Q930" s="1">
        <v>13</v>
      </c>
      <c r="R930" s="1">
        <v>13</v>
      </c>
      <c r="S930" s="1">
        <v>0</v>
      </c>
      <c r="T930" s="1">
        <v>0</v>
      </c>
      <c r="U930" s="1">
        <v>0</v>
      </c>
      <c r="V930" s="1" t="str">
        <f t="shared" si="140"/>
        <v>里程去程</v>
      </c>
      <c r="W930" s="1" t="s">
        <v>29</v>
      </c>
    </row>
    <row r="931" spans="1:23" x14ac:dyDescent="0.3">
      <c r="A931" s="1" t="str">
        <f t="shared" si="144"/>
        <v>59828</v>
      </c>
      <c r="B931" s="1" t="s">
        <v>23</v>
      </c>
      <c r="C931" s="1" t="s">
        <v>24</v>
      </c>
      <c r="D931" s="1" t="str">
        <f t="shared" si="139"/>
        <v>9801</v>
      </c>
      <c r="E931" s="1" t="s">
        <v>25</v>
      </c>
      <c r="F931" s="1" t="str">
        <f>"F91CBD0F578804004326A4E600060211"</f>
        <v>F91CBD0F578804004326A4E600060211</v>
      </c>
      <c r="G931" s="1" t="s">
        <v>26</v>
      </c>
      <c r="H931" s="1" t="str">
        <f t="shared" si="145"/>
        <v>20220928</v>
      </c>
      <c r="I931" s="1" t="str">
        <f>"093235"</f>
        <v>093235</v>
      </c>
      <c r="J931" s="1" t="s">
        <v>27</v>
      </c>
      <c r="K931" s="1" t="s">
        <v>28</v>
      </c>
      <c r="L931" s="1" t="str">
        <f t="shared" si="146"/>
        <v>20220928</v>
      </c>
      <c r="M931" s="1" t="str">
        <f>"095356"</f>
        <v>095356</v>
      </c>
      <c r="N931" s="1" t="s">
        <v>100</v>
      </c>
      <c r="O931" s="1" t="s">
        <v>45</v>
      </c>
      <c r="P931" s="1" t="s">
        <v>55</v>
      </c>
      <c r="Q931" s="1">
        <v>13</v>
      </c>
      <c r="R931" s="1">
        <v>13</v>
      </c>
      <c r="S931" s="1">
        <v>0</v>
      </c>
      <c r="T931" s="1">
        <v>0</v>
      </c>
      <c r="U931" s="1">
        <v>0</v>
      </c>
      <c r="V931" s="1" t="str">
        <f t="shared" si="140"/>
        <v>里程去程</v>
      </c>
      <c r="W931" s="1" t="s">
        <v>29</v>
      </c>
    </row>
    <row r="932" spans="1:23" x14ac:dyDescent="0.3">
      <c r="A932" s="1" t="str">
        <f t="shared" si="144"/>
        <v>59828</v>
      </c>
      <c r="B932" s="1" t="s">
        <v>23</v>
      </c>
      <c r="C932" s="1" t="s">
        <v>24</v>
      </c>
      <c r="D932" s="1" t="str">
        <f t="shared" si="139"/>
        <v>9801</v>
      </c>
      <c r="E932" s="1" t="s">
        <v>25</v>
      </c>
      <c r="F932" s="1" t="str">
        <f>"E2F8A219A1880400C824002000000020"</f>
        <v>E2F8A219A1880400C824002000000020</v>
      </c>
      <c r="G932" s="1" t="s">
        <v>64</v>
      </c>
      <c r="H932" s="1" t="str">
        <f t="shared" si="145"/>
        <v>20220928</v>
      </c>
      <c r="I932" s="1" t="str">
        <f>"093247"</f>
        <v>093247</v>
      </c>
      <c r="J932" s="1" t="s">
        <v>27</v>
      </c>
      <c r="K932" s="1" t="s">
        <v>28</v>
      </c>
      <c r="L932" s="1" t="str">
        <f t="shared" si="146"/>
        <v>20220928</v>
      </c>
      <c r="M932" s="1" t="str">
        <f>"094826"</f>
        <v>094826</v>
      </c>
      <c r="N932" s="1" t="s">
        <v>61</v>
      </c>
      <c r="O932" s="1" t="s">
        <v>45</v>
      </c>
      <c r="P932" s="1" t="s">
        <v>55</v>
      </c>
      <c r="Q932" s="1">
        <v>13</v>
      </c>
      <c r="R932" s="1">
        <v>13</v>
      </c>
      <c r="S932" s="1">
        <v>0</v>
      </c>
      <c r="T932" s="1">
        <v>0</v>
      </c>
      <c r="U932" s="1">
        <v>0</v>
      </c>
      <c r="V932" s="1" t="str">
        <f t="shared" si="140"/>
        <v>里程去程</v>
      </c>
      <c r="W932" s="1" t="s">
        <v>29</v>
      </c>
    </row>
    <row r="933" spans="1:23" x14ac:dyDescent="0.3">
      <c r="A933" s="1" t="str">
        <f t="shared" si="144"/>
        <v>59828</v>
      </c>
      <c r="B933" s="1" t="s">
        <v>23</v>
      </c>
      <c r="C933" s="1" t="s">
        <v>24</v>
      </c>
      <c r="D933" s="1" t="str">
        <f t="shared" si="139"/>
        <v>9801</v>
      </c>
      <c r="E933" s="1" t="s">
        <v>25</v>
      </c>
      <c r="F933" s="1" t="str">
        <f>"32780D0344880400C834002000000015"</f>
        <v>32780D0344880400C834002000000015</v>
      </c>
      <c r="G933" s="1" t="s">
        <v>26</v>
      </c>
      <c r="H933" s="1" t="str">
        <f t="shared" si="145"/>
        <v>20220928</v>
      </c>
      <c r="I933" s="1" t="str">
        <f>"093306"</f>
        <v>093306</v>
      </c>
      <c r="J933" s="1" t="s">
        <v>27</v>
      </c>
      <c r="K933" s="1" t="s">
        <v>28</v>
      </c>
      <c r="L933" s="1" t="str">
        <f t="shared" si="146"/>
        <v>20220928</v>
      </c>
      <c r="M933" s="1" t="str">
        <f>"095545"</f>
        <v>095545</v>
      </c>
      <c r="N933" s="1" t="s">
        <v>44</v>
      </c>
      <c r="O933" s="1" t="s">
        <v>45</v>
      </c>
      <c r="P933" s="1" t="s">
        <v>68</v>
      </c>
      <c r="Q933" s="1">
        <v>13</v>
      </c>
      <c r="R933" s="1">
        <v>0</v>
      </c>
      <c r="S933" s="1">
        <v>0</v>
      </c>
      <c r="T933" s="1">
        <v>13</v>
      </c>
      <c r="U933" s="1">
        <v>0</v>
      </c>
      <c r="V933" s="1" t="str">
        <f t="shared" si="140"/>
        <v>里程去程</v>
      </c>
      <c r="W933" s="1" t="s">
        <v>29</v>
      </c>
    </row>
    <row r="934" spans="1:23" x14ac:dyDescent="0.3">
      <c r="A934" s="1" t="str">
        <f t="shared" ref="A934:A943" si="147">"59829"</f>
        <v>59829</v>
      </c>
      <c r="B934" s="1" t="s">
        <v>47</v>
      </c>
      <c r="C934" s="1" t="s">
        <v>48</v>
      </c>
      <c r="D934" s="1" t="str">
        <f t="shared" si="139"/>
        <v>9801</v>
      </c>
      <c r="E934" s="1" t="s">
        <v>25</v>
      </c>
      <c r="F934" s="1" t="str">
        <f>"42AFE60209880400C834002000000015"</f>
        <v>42AFE60209880400C834002000000015</v>
      </c>
      <c r="G934" s="1" t="s">
        <v>74</v>
      </c>
      <c r="H934" s="1" t="str">
        <f t="shared" si="145"/>
        <v>20220928</v>
      </c>
      <c r="I934" s="1" t="str">
        <f>"110004"</f>
        <v>110004</v>
      </c>
      <c r="J934" s="1" t="s">
        <v>52</v>
      </c>
      <c r="K934" s="1" t="s">
        <v>52</v>
      </c>
      <c r="L934" s="1" t="str">
        <f t="shared" si="146"/>
        <v>20220928</v>
      </c>
      <c r="M934" s="1" t="str">
        <f>"111534"</f>
        <v>111534</v>
      </c>
      <c r="N934" s="1" t="s">
        <v>80</v>
      </c>
      <c r="O934" s="1" t="s">
        <v>52</v>
      </c>
      <c r="P934" s="1" t="s">
        <v>68</v>
      </c>
      <c r="Q934" s="1">
        <v>13</v>
      </c>
      <c r="R934" s="1">
        <v>0</v>
      </c>
      <c r="S934" s="1">
        <v>0</v>
      </c>
      <c r="T934" s="1">
        <v>13</v>
      </c>
      <c r="U934" s="1">
        <v>0</v>
      </c>
      <c r="V934" s="1" t="str">
        <f t="shared" si="140"/>
        <v>里程去程</v>
      </c>
      <c r="W934" s="1" t="s">
        <v>29</v>
      </c>
    </row>
    <row r="935" spans="1:23" x14ac:dyDescent="0.3">
      <c r="A935" s="1" t="str">
        <f t="shared" si="147"/>
        <v>59829</v>
      </c>
      <c r="B935" s="1" t="s">
        <v>47</v>
      </c>
      <c r="C935" s="1" t="s">
        <v>48</v>
      </c>
      <c r="D935" s="1" t="str">
        <f t="shared" si="139"/>
        <v>9801</v>
      </c>
      <c r="E935" s="1" t="s">
        <v>25</v>
      </c>
      <c r="F935" s="1" t="str">
        <f>"32780D0344880400C834002000000015"</f>
        <v>32780D0344880400C834002000000015</v>
      </c>
      <c r="G935" s="1" t="s">
        <v>26</v>
      </c>
      <c r="H935" s="1" t="str">
        <f t="shared" si="145"/>
        <v>20220928</v>
      </c>
      <c r="I935" s="1" t="str">
        <f>"110037"</f>
        <v>110037</v>
      </c>
      <c r="J935" s="1" t="s">
        <v>52</v>
      </c>
      <c r="K935" s="1" t="s">
        <v>52</v>
      </c>
      <c r="L935" s="1" t="str">
        <f t="shared" si="146"/>
        <v>20220928</v>
      </c>
      <c r="M935" s="1" t="str">
        <f>"113154"</f>
        <v>113154</v>
      </c>
      <c r="N935" s="1" t="s">
        <v>70</v>
      </c>
      <c r="O935" s="1" t="s">
        <v>28</v>
      </c>
      <c r="P935" s="1" t="s">
        <v>68</v>
      </c>
      <c r="Q935" s="1">
        <v>13</v>
      </c>
      <c r="R935" s="1">
        <v>0</v>
      </c>
      <c r="S935" s="1">
        <v>0</v>
      </c>
      <c r="T935" s="1">
        <v>13</v>
      </c>
      <c r="U935" s="1">
        <v>0</v>
      </c>
      <c r="V935" s="1" t="str">
        <f t="shared" si="140"/>
        <v>里程去程</v>
      </c>
      <c r="W935" s="1" t="s">
        <v>29</v>
      </c>
    </row>
    <row r="936" spans="1:23" x14ac:dyDescent="0.3">
      <c r="A936" s="1" t="str">
        <f t="shared" si="147"/>
        <v>59829</v>
      </c>
      <c r="B936" s="1" t="s">
        <v>47</v>
      </c>
      <c r="C936" s="1" t="s">
        <v>48</v>
      </c>
      <c r="D936" s="1" t="str">
        <f t="shared" si="139"/>
        <v>9801</v>
      </c>
      <c r="E936" s="1" t="s">
        <v>25</v>
      </c>
      <c r="F936" s="1" t="str">
        <f>"833401461"</f>
        <v>833401461</v>
      </c>
      <c r="G936" s="1" t="s">
        <v>33</v>
      </c>
      <c r="H936" s="1" t="str">
        <f t="shared" si="145"/>
        <v>20220928</v>
      </c>
      <c r="I936" s="1" t="str">
        <f>"115919"</f>
        <v>115919</v>
      </c>
      <c r="J936" s="1" t="s">
        <v>52</v>
      </c>
      <c r="K936" s="1" t="s">
        <v>52</v>
      </c>
      <c r="L936" s="1" t="str">
        <f t="shared" si="146"/>
        <v>20220928</v>
      </c>
      <c r="M936" s="1" t="str">
        <f>"120626"</f>
        <v>120626</v>
      </c>
      <c r="N936" s="1" t="s">
        <v>60</v>
      </c>
      <c r="O936" s="1" t="s">
        <v>52</v>
      </c>
      <c r="P936" s="1" t="s">
        <v>55</v>
      </c>
      <c r="Q936" s="1">
        <v>25</v>
      </c>
      <c r="R936" s="1">
        <v>0</v>
      </c>
      <c r="S936" s="1">
        <v>25</v>
      </c>
      <c r="T936" s="1">
        <v>0</v>
      </c>
      <c r="U936" s="1">
        <v>0</v>
      </c>
      <c r="V936" s="1" t="str">
        <f t="shared" si="140"/>
        <v>里程去程</v>
      </c>
      <c r="W936" s="1" t="s">
        <v>35</v>
      </c>
    </row>
    <row r="937" spans="1:23" x14ac:dyDescent="0.3">
      <c r="A937" s="1" t="str">
        <f t="shared" si="147"/>
        <v>59829</v>
      </c>
      <c r="B937" s="1" t="s">
        <v>47</v>
      </c>
      <c r="C937" s="1" t="s">
        <v>48</v>
      </c>
      <c r="D937" s="1" t="str">
        <f t="shared" si="139"/>
        <v>9801</v>
      </c>
      <c r="E937" s="1" t="s">
        <v>25</v>
      </c>
      <c r="F937" s="1" t="str">
        <f>"8227D00277880400C834002000000015"</f>
        <v>8227D00277880400C834002000000015</v>
      </c>
      <c r="G937" s="1" t="s">
        <v>26</v>
      </c>
      <c r="H937" s="1" t="str">
        <f t="shared" si="145"/>
        <v>20220928</v>
      </c>
      <c r="I937" s="1" t="str">
        <f>"122429"</f>
        <v>122429</v>
      </c>
      <c r="J937" s="1" t="s">
        <v>78</v>
      </c>
      <c r="K937" s="1" t="s">
        <v>52</v>
      </c>
      <c r="L937" s="1" t="str">
        <f t="shared" si="146"/>
        <v>20220928</v>
      </c>
      <c r="M937" s="1" t="str">
        <f>"123508"</f>
        <v>123508</v>
      </c>
      <c r="N937" s="1" t="s">
        <v>70</v>
      </c>
      <c r="O937" s="1" t="s">
        <v>28</v>
      </c>
      <c r="P937" s="1" t="s">
        <v>68</v>
      </c>
      <c r="Q937" s="1">
        <v>13</v>
      </c>
      <c r="R937" s="1">
        <v>0</v>
      </c>
      <c r="S937" s="1">
        <v>0</v>
      </c>
      <c r="T937" s="1">
        <v>13</v>
      </c>
      <c r="U937" s="1">
        <v>0</v>
      </c>
      <c r="V937" s="1" t="str">
        <f t="shared" si="140"/>
        <v>里程去程</v>
      </c>
      <c r="W937" s="1" t="s">
        <v>29</v>
      </c>
    </row>
    <row r="938" spans="1:23" x14ac:dyDescent="0.3">
      <c r="A938" s="1" t="str">
        <f t="shared" si="147"/>
        <v>59829</v>
      </c>
      <c r="B938" s="1" t="s">
        <v>47</v>
      </c>
      <c r="C938" s="1" t="s">
        <v>48</v>
      </c>
      <c r="D938" s="1" t="str">
        <f t="shared" si="139"/>
        <v>9801</v>
      </c>
      <c r="E938" s="1" t="s">
        <v>25</v>
      </c>
      <c r="F938" s="1" t="str">
        <f>"1816160449"</f>
        <v>1816160449</v>
      </c>
      <c r="G938" s="1" t="s">
        <v>33</v>
      </c>
      <c r="H938" s="1" t="str">
        <f t="shared" si="145"/>
        <v>20220928</v>
      </c>
      <c r="I938" s="1" t="str">
        <f>"123520"</f>
        <v>123520</v>
      </c>
      <c r="J938" s="1" t="s">
        <v>27</v>
      </c>
      <c r="K938" s="1" t="s">
        <v>28</v>
      </c>
      <c r="L938" s="1" t="str">
        <f t="shared" si="146"/>
        <v>20220928</v>
      </c>
      <c r="M938" s="1" t="str">
        <f>"124939"</f>
        <v>124939</v>
      </c>
      <c r="N938" s="1" t="s">
        <v>91</v>
      </c>
      <c r="O938" s="1" t="s">
        <v>45</v>
      </c>
      <c r="P938" s="1" t="s">
        <v>55</v>
      </c>
      <c r="Q938" s="1">
        <v>25</v>
      </c>
      <c r="R938" s="1">
        <v>25</v>
      </c>
      <c r="S938" s="1">
        <v>0</v>
      </c>
      <c r="T938" s="1">
        <v>0</v>
      </c>
      <c r="U938" s="1">
        <v>0</v>
      </c>
      <c r="V938" s="1" t="str">
        <f t="shared" si="140"/>
        <v>里程去程</v>
      </c>
      <c r="W938" s="1" t="s">
        <v>35</v>
      </c>
    </row>
    <row r="939" spans="1:23" x14ac:dyDescent="0.3">
      <c r="A939" s="1" t="str">
        <f t="shared" si="147"/>
        <v>59829</v>
      </c>
      <c r="B939" s="1" t="s">
        <v>47</v>
      </c>
      <c r="C939" s="1" t="s">
        <v>48</v>
      </c>
      <c r="D939" s="1" t="str">
        <f t="shared" si="139"/>
        <v>9801</v>
      </c>
      <c r="E939" s="1" t="s">
        <v>25</v>
      </c>
      <c r="F939" s="1" t="str">
        <f>"F2021403E7880400C834002000000015"</f>
        <v>F2021403E7880400C834002000000015</v>
      </c>
      <c r="G939" s="1" t="s">
        <v>58</v>
      </c>
      <c r="H939" s="1" t="str">
        <f t="shared" si="145"/>
        <v>20220928</v>
      </c>
      <c r="I939" s="1" t="str">
        <f>"130609"</f>
        <v>130609</v>
      </c>
      <c r="J939" s="1" t="s">
        <v>60</v>
      </c>
      <c r="K939" s="1" t="s">
        <v>52</v>
      </c>
      <c r="L939" s="1" t="str">
        <f t="shared" si="146"/>
        <v>20220928</v>
      </c>
      <c r="M939" s="1" t="str">
        <f>"132950"</f>
        <v>132950</v>
      </c>
      <c r="N939" s="1" t="s">
        <v>70</v>
      </c>
      <c r="O939" s="1" t="s">
        <v>28</v>
      </c>
      <c r="P939" s="1" t="s">
        <v>55</v>
      </c>
      <c r="Q939" s="1">
        <v>25</v>
      </c>
      <c r="R939" s="1">
        <v>25</v>
      </c>
      <c r="S939" s="1">
        <v>0</v>
      </c>
      <c r="T939" s="1">
        <v>0</v>
      </c>
      <c r="U939" s="1">
        <v>0</v>
      </c>
      <c r="V939" s="1" t="str">
        <f t="shared" si="140"/>
        <v>里程去程</v>
      </c>
      <c r="W939" s="1" t="s">
        <v>29</v>
      </c>
    </row>
    <row r="940" spans="1:23" x14ac:dyDescent="0.3">
      <c r="A940" s="1" t="str">
        <f t="shared" si="147"/>
        <v>59829</v>
      </c>
      <c r="B940" s="1" t="s">
        <v>47</v>
      </c>
      <c r="C940" s="1" t="s">
        <v>48</v>
      </c>
      <c r="D940" s="1" t="str">
        <f t="shared" si="139"/>
        <v>9801</v>
      </c>
      <c r="E940" s="1" t="s">
        <v>25</v>
      </c>
      <c r="F940" s="1" t="str">
        <f>"52ABE4011C880400C821002000000015"</f>
        <v>52ABE4011C880400C821002000000015</v>
      </c>
      <c r="G940" s="1" t="s">
        <v>58</v>
      </c>
      <c r="H940" s="1" t="str">
        <f t="shared" si="145"/>
        <v>20220928</v>
      </c>
      <c r="I940" s="1" t="str">
        <f>"130612"</f>
        <v>130612</v>
      </c>
      <c r="J940" s="1" t="s">
        <v>60</v>
      </c>
      <c r="K940" s="1" t="s">
        <v>52</v>
      </c>
      <c r="L940" s="1" t="str">
        <f t="shared" si="146"/>
        <v>20220928</v>
      </c>
      <c r="M940" s="1" t="str">
        <f>"132946"</f>
        <v>132946</v>
      </c>
      <c r="N940" s="1" t="s">
        <v>70</v>
      </c>
      <c r="O940" s="1" t="s">
        <v>28</v>
      </c>
      <c r="P940" s="1" t="s">
        <v>55</v>
      </c>
      <c r="Q940" s="1">
        <v>25</v>
      </c>
      <c r="R940" s="1">
        <v>25</v>
      </c>
      <c r="S940" s="1">
        <v>0</v>
      </c>
      <c r="T940" s="1">
        <v>0</v>
      </c>
      <c r="U940" s="1">
        <v>0</v>
      </c>
      <c r="V940" s="1" t="str">
        <f t="shared" si="140"/>
        <v>里程去程</v>
      </c>
      <c r="W940" s="1" t="s">
        <v>29</v>
      </c>
    </row>
    <row r="941" spans="1:23" x14ac:dyDescent="0.3">
      <c r="A941" s="1" t="str">
        <f t="shared" si="147"/>
        <v>59829</v>
      </c>
      <c r="B941" s="1" t="s">
        <v>47</v>
      </c>
      <c r="C941" s="1" t="s">
        <v>48</v>
      </c>
      <c r="D941" s="1" t="str">
        <f t="shared" si="139"/>
        <v>9801</v>
      </c>
      <c r="E941" s="1" t="s">
        <v>25</v>
      </c>
      <c r="F941" s="1" t="str">
        <f>"1070736513"</f>
        <v>1070736513</v>
      </c>
      <c r="G941" s="1" t="s">
        <v>33</v>
      </c>
      <c r="H941" s="1" t="str">
        <f t="shared" si="145"/>
        <v>20220928</v>
      </c>
      <c r="I941" s="1" t="str">
        <f>"131413"</f>
        <v>131413</v>
      </c>
      <c r="J941" s="1" t="s">
        <v>80</v>
      </c>
      <c r="K941" s="1" t="s">
        <v>52</v>
      </c>
      <c r="L941" s="1" t="str">
        <f t="shared" si="146"/>
        <v>20220928</v>
      </c>
      <c r="M941" s="1" t="str">
        <f>"132940"</f>
        <v>132940</v>
      </c>
      <c r="N941" s="1" t="s">
        <v>70</v>
      </c>
      <c r="O941" s="1" t="s">
        <v>28</v>
      </c>
      <c r="P941" s="1" t="s">
        <v>55</v>
      </c>
      <c r="Q941" s="1">
        <v>25</v>
      </c>
      <c r="R941" s="1">
        <v>0</v>
      </c>
      <c r="S941" s="1">
        <v>25</v>
      </c>
      <c r="T941" s="1">
        <v>0</v>
      </c>
      <c r="U941" s="1">
        <v>0</v>
      </c>
      <c r="V941" s="1" t="str">
        <f t="shared" si="140"/>
        <v>里程去程</v>
      </c>
      <c r="W941" s="1" t="s">
        <v>35</v>
      </c>
    </row>
    <row r="942" spans="1:23" x14ac:dyDescent="0.3">
      <c r="A942" s="1" t="str">
        <f t="shared" si="147"/>
        <v>59829</v>
      </c>
      <c r="B942" s="1" t="s">
        <v>47</v>
      </c>
      <c r="C942" s="1" t="s">
        <v>48</v>
      </c>
      <c r="D942" s="1" t="str">
        <f t="shared" si="139"/>
        <v>9801</v>
      </c>
      <c r="E942" s="1" t="s">
        <v>25</v>
      </c>
      <c r="F942" s="1" t="str">
        <f>"1750007845"</f>
        <v>1750007845</v>
      </c>
      <c r="G942" s="1" t="s">
        <v>26</v>
      </c>
      <c r="H942" s="1" t="str">
        <f t="shared" si="145"/>
        <v>20220928</v>
      </c>
      <c r="I942" s="1" t="str">
        <f>"165156"</f>
        <v>165156</v>
      </c>
      <c r="J942" s="1" t="s">
        <v>45</v>
      </c>
      <c r="K942" s="1" t="s">
        <v>45</v>
      </c>
      <c r="L942" s="1" t="str">
        <f t="shared" si="146"/>
        <v>20220928</v>
      </c>
      <c r="M942" s="1" t="str">
        <f>"170508"</f>
        <v>170508</v>
      </c>
      <c r="N942" s="1" t="s">
        <v>44</v>
      </c>
      <c r="O942" s="1" t="s">
        <v>45</v>
      </c>
      <c r="P942" s="1" t="s">
        <v>55</v>
      </c>
      <c r="Q942" s="1">
        <v>13</v>
      </c>
      <c r="R942" s="1">
        <v>0</v>
      </c>
      <c r="S942" s="1">
        <v>13</v>
      </c>
      <c r="T942" s="1">
        <v>0</v>
      </c>
      <c r="U942" s="1">
        <v>0</v>
      </c>
      <c r="V942" s="1" t="str">
        <f t="shared" si="140"/>
        <v>里程去程</v>
      </c>
      <c r="W942" s="1" t="s">
        <v>35</v>
      </c>
    </row>
    <row r="943" spans="1:23" x14ac:dyDescent="0.3">
      <c r="A943" s="1" t="str">
        <f t="shared" si="147"/>
        <v>59829</v>
      </c>
      <c r="B943" s="1" t="s">
        <v>47</v>
      </c>
      <c r="C943" s="1" t="s">
        <v>48</v>
      </c>
      <c r="D943" s="1" t="str">
        <f t="shared" si="139"/>
        <v>9801</v>
      </c>
      <c r="E943" s="1" t="s">
        <v>25</v>
      </c>
      <c r="F943" s="1" t="str">
        <f>"1189801733"</f>
        <v>1189801733</v>
      </c>
      <c r="G943" s="1" t="s">
        <v>26</v>
      </c>
      <c r="H943" s="1" t="str">
        <f t="shared" si="145"/>
        <v>20220928</v>
      </c>
      <c r="I943" s="1" t="str">
        <f>"165159"</f>
        <v>165159</v>
      </c>
      <c r="J943" s="1" t="s">
        <v>45</v>
      </c>
      <c r="K943" s="1" t="s">
        <v>45</v>
      </c>
      <c r="L943" s="1" t="str">
        <f t="shared" si="146"/>
        <v>20220928</v>
      </c>
      <c r="M943" s="1" t="str">
        <f>"170511"</f>
        <v>170511</v>
      </c>
      <c r="N943" s="1" t="s">
        <v>44</v>
      </c>
      <c r="O943" s="1" t="s">
        <v>45</v>
      </c>
      <c r="P943" s="1" t="s">
        <v>55</v>
      </c>
      <c r="Q943" s="1">
        <v>13</v>
      </c>
      <c r="R943" s="1">
        <v>0</v>
      </c>
      <c r="S943" s="1">
        <v>13</v>
      </c>
      <c r="T943" s="1">
        <v>0</v>
      </c>
      <c r="U943" s="1">
        <v>0</v>
      </c>
      <c r="V943" s="1" t="str">
        <f t="shared" si="140"/>
        <v>里程去程</v>
      </c>
      <c r="W943" s="1" t="s">
        <v>35</v>
      </c>
    </row>
    <row r="944" spans="1:23" x14ac:dyDescent="0.3">
      <c r="A944" s="1" t="str">
        <f t="shared" ref="A944:A949" si="148">"59828"</f>
        <v>59828</v>
      </c>
      <c r="B944" s="1" t="s">
        <v>23</v>
      </c>
      <c r="C944" s="1" t="s">
        <v>24</v>
      </c>
      <c r="D944" s="1" t="str">
        <f t="shared" si="139"/>
        <v>9801</v>
      </c>
      <c r="E944" s="1" t="s">
        <v>25</v>
      </c>
      <c r="F944" s="1" t="str">
        <f>"7311161066001926"</f>
        <v>7311161066001926</v>
      </c>
      <c r="G944" s="1" t="s">
        <v>33</v>
      </c>
      <c r="H944" s="1" t="str">
        <f t="shared" ref="H944:H964" si="149">"20220929"</f>
        <v>20220929</v>
      </c>
      <c r="I944" s="1" t="str">
        <f>"083325"</f>
        <v>083325</v>
      </c>
      <c r="J944" s="1" t="s">
        <v>27</v>
      </c>
      <c r="K944" s="1" t="s">
        <v>28</v>
      </c>
      <c r="L944" s="1" t="str">
        <f t="shared" ref="L944:L964" si="150">"20220929"</f>
        <v>20220929</v>
      </c>
      <c r="M944" s="1" t="str">
        <f>"085553"</f>
        <v>085553</v>
      </c>
      <c r="N944" s="1" t="s">
        <v>44</v>
      </c>
      <c r="O944" s="1" t="s">
        <v>45</v>
      </c>
      <c r="P944" s="1" t="s">
        <v>55</v>
      </c>
      <c r="Q944" s="1">
        <v>25</v>
      </c>
      <c r="R944" s="1">
        <v>25</v>
      </c>
      <c r="S944" s="1">
        <v>0</v>
      </c>
      <c r="T944" s="1">
        <v>0</v>
      </c>
      <c r="U944" s="1">
        <v>0</v>
      </c>
      <c r="V944" s="1" t="str">
        <f t="shared" si="140"/>
        <v>里程去程</v>
      </c>
      <c r="W944" s="1" t="s">
        <v>109</v>
      </c>
    </row>
    <row r="945" spans="1:23" x14ac:dyDescent="0.3">
      <c r="A945" s="1" t="str">
        <f t="shared" si="148"/>
        <v>59828</v>
      </c>
      <c r="B945" s="1" t="s">
        <v>23</v>
      </c>
      <c r="C945" s="1" t="s">
        <v>24</v>
      </c>
      <c r="D945" s="1" t="str">
        <f t="shared" si="139"/>
        <v>9801</v>
      </c>
      <c r="E945" s="1" t="s">
        <v>25</v>
      </c>
      <c r="F945" s="1" t="str">
        <f>"999472933"</f>
        <v>999472933</v>
      </c>
      <c r="G945" s="1" t="s">
        <v>33</v>
      </c>
      <c r="H945" s="1" t="str">
        <f t="shared" si="149"/>
        <v>20220929</v>
      </c>
      <c r="I945" s="1" t="str">
        <f>"083328"</f>
        <v>083328</v>
      </c>
      <c r="J945" s="1" t="s">
        <v>27</v>
      </c>
      <c r="K945" s="1" t="s">
        <v>28</v>
      </c>
      <c r="L945" s="1" t="str">
        <f t="shared" si="150"/>
        <v>20220929</v>
      </c>
      <c r="M945" s="1" t="str">
        <f>"085557"</f>
        <v>085557</v>
      </c>
      <c r="N945" s="1" t="s">
        <v>44</v>
      </c>
      <c r="O945" s="1" t="s">
        <v>45</v>
      </c>
      <c r="P945" s="1" t="s">
        <v>55</v>
      </c>
      <c r="Q945" s="1">
        <v>25</v>
      </c>
      <c r="R945" s="1">
        <v>25</v>
      </c>
      <c r="S945" s="1">
        <v>0</v>
      </c>
      <c r="T945" s="1">
        <v>0</v>
      </c>
      <c r="U945" s="1">
        <v>0</v>
      </c>
      <c r="V945" s="1" t="str">
        <f t="shared" si="140"/>
        <v>里程去程</v>
      </c>
      <c r="W945" s="1" t="s">
        <v>35</v>
      </c>
    </row>
    <row r="946" spans="1:23" x14ac:dyDescent="0.3">
      <c r="A946" s="1" t="str">
        <f t="shared" si="148"/>
        <v>59828</v>
      </c>
      <c r="B946" s="1" t="s">
        <v>23</v>
      </c>
      <c r="C946" s="1" t="s">
        <v>24</v>
      </c>
      <c r="D946" s="1" t="str">
        <f t="shared" si="139"/>
        <v>9801</v>
      </c>
      <c r="E946" s="1" t="s">
        <v>25</v>
      </c>
      <c r="F946" s="1" t="str">
        <f>"C112914406280400F700000000000000"</f>
        <v>C112914406280400F700000000000000</v>
      </c>
      <c r="G946" s="1" t="s">
        <v>58</v>
      </c>
      <c r="H946" s="1" t="str">
        <f t="shared" si="149"/>
        <v>20220929</v>
      </c>
      <c r="I946" s="1" t="str">
        <f>"083354"</f>
        <v>083354</v>
      </c>
      <c r="J946" s="1" t="s">
        <v>27</v>
      </c>
      <c r="K946" s="1" t="s">
        <v>28</v>
      </c>
      <c r="L946" s="1" t="str">
        <f t="shared" si="150"/>
        <v>20220929</v>
      </c>
      <c r="M946" s="1" t="str">
        <f>"085548"</f>
        <v>085548</v>
      </c>
      <c r="N946" s="1" t="s">
        <v>44</v>
      </c>
      <c r="O946" s="1" t="s">
        <v>45</v>
      </c>
      <c r="P946" s="1" t="s">
        <v>55</v>
      </c>
      <c r="Q946" s="1">
        <v>25</v>
      </c>
      <c r="R946" s="1">
        <v>25</v>
      </c>
      <c r="S946" s="1">
        <v>0</v>
      </c>
      <c r="T946" s="1">
        <v>0</v>
      </c>
      <c r="U946" s="1">
        <v>0</v>
      </c>
      <c r="V946" s="1" t="str">
        <f t="shared" si="140"/>
        <v>里程去程</v>
      </c>
      <c r="W946" s="1" t="s">
        <v>29</v>
      </c>
    </row>
    <row r="947" spans="1:23" x14ac:dyDescent="0.3">
      <c r="A947" s="1" t="str">
        <f t="shared" si="148"/>
        <v>59828</v>
      </c>
      <c r="B947" s="1" t="s">
        <v>23</v>
      </c>
      <c r="C947" s="1" t="s">
        <v>24</v>
      </c>
      <c r="D947" s="1" t="str">
        <f t="shared" si="139"/>
        <v>9801</v>
      </c>
      <c r="E947" s="1" t="s">
        <v>25</v>
      </c>
      <c r="F947" s="1" t="str">
        <f>"1404578225"</f>
        <v>1404578225</v>
      </c>
      <c r="G947" s="1" t="s">
        <v>26</v>
      </c>
      <c r="H947" s="1" t="str">
        <f t="shared" si="149"/>
        <v>20220929</v>
      </c>
      <c r="I947" s="1" t="str">
        <f>"093059"</f>
        <v>093059</v>
      </c>
      <c r="J947" s="1" t="s">
        <v>27</v>
      </c>
      <c r="K947" s="1" t="s">
        <v>28</v>
      </c>
      <c r="L947" s="1" t="str">
        <f t="shared" si="150"/>
        <v>20220929</v>
      </c>
      <c r="M947" s="1" t="str">
        <f>"095550"</f>
        <v>095550</v>
      </c>
      <c r="N947" s="1" t="s">
        <v>44</v>
      </c>
      <c r="O947" s="1" t="s">
        <v>45</v>
      </c>
      <c r="P947" s="1" t="s">
        <v>55</v>
      </c>
      <c r="Q947" s="1">
        <v>13</v>
      </c>
      <c r="R947" s="1">
        <v>0</v>
      </c>
      <c r="S947" s="1">
        <v>13</v>
      </c>
      <c r="T947" s="1">
        <v>0</v>
      </c>
      <c r="U947" s="1">
        <v>0</v>
      </c>
      <c r="V947" s="1" t="str">
        <f t="shared" si="140"/>
        <v>里程去程</v>
      </c>
      <c r="W947" s="1" t="s">
        <v>35</v>
      </c>
    </row>
    <row r="948" spans="1:23" x14ac:dyDescent="0.3">
      <c r="A948" s="1" t="str">
        <f t="shared" si="148"/>
        <v>59828</v>
      </c>
      <c r="B948" s="1" t="s">
        <v>23</v>
      </c>
      <c r="C948" s="1" t="s">
        <v>24</v>
      </c>
      <c r="D948" s="1" t="str">
        <f t="shared" si="139"/>
        <v>9801</v>
      </c>
      <c r="E948" s="1" t="s">
        <v>25</v>
      </c>
      <c r="F948" s="1" t="str">
        <f>"1279584657"</f>
        <v>1279584657</v>
      </c>
      <c r="G948" s="1" t="s">
        <v>33</v>
      </c>
      <c r="H948" s="1" t="str">
        <f t="shared" si="149"/>
        <v>20220929</v>
      </c>
      <c r="I948" s="1" t="str">
        <f>"093109"</f>
        <v>093109</v>
      </c>
      <c r="J948" s="1" t="s">
        <v>27</v>
      </c>
      <c r="K948" s="1" t="s">
        <v>28</v>
      </c>
      <c r="L948" s="1" t="str">
        <f t="shared" si="150"/>
        <v>20220929</v>
      </c>
      <c r="M948" s="1" t="str">
        <f>"093357"</f>
        <v>093357</v>
      </c>
      <c r="N948" s="1" t="s">
        <v>70</v>
      </c>
      <c r="O948" s="1" t="s">
        <v>28</v>
      </c>
      <c r="P948" s="1" t="s">
        <v>55</v>
      </c>
      <c r="Q948" s="1">
        <v>25</v>
      </c>
      <c r="R948" s="1">
        <v>0</v>
      </c>
      <c r="S948" s="1">
        <v>25</v>
      </c>
      <c r="T948" s="1">
        <v>0</v>
      </c>
      <c r="U948" s="1">
        <v>0</v>
      </c>
      <c r="V948" s="1" t="str">
        <f t="shared" si="140"/>
        <v>里程去程</v>
      </c>
      <c r="W948" s="1" t="s">
        <v>35</v>
      </c>
    </row>
    <row r="949" spans="1:23" x14ac:dyDescent="0.3">
      <c r="A949" s="1" t="str">
        <f t="shared" si="148"/>
        <v>59828</v>
      </c>
      <c r="B949" s="1" t="s">
        <v>23</v>
      </c>
      <c r="C949" s="1" t="s">
        <v>24</v>
      </c>
      <c r="D949" s="1" t="str">
        <f t="shared" si="139"/>
        <v>9801</v>
      </c>
      <c r="E949" s="1" t="s">
        <v>25</v>
      </c>
      <c r="F949" s="1" t="str">
        <f>"07DAC5829A88040043250D550015010F"</f>
        <v>07DAC5829A88040043250D550015010F</v>
      </c>
      <c r="G949" s="1" t="s">
        <v>58</v>
      </c>
      <c r="H949" s="1" t="str">
        <f t="shared" si="149"/>
        <v>20220929</v>
      </c>
      <c r="I949" s="1" t="str">
        <f>"093120"</f>
        <v>093120</v>
      </c>
      <c r="J949" s="1" t="s">
        <v>27</v>
      </c>
      <c r="K949" s="1" t="s">
        <v>28</v>
      </c>
      <c r="L949" s="1" t="str">
        <f t="shared" si="150"/>
        <v>20220929</v>
      </c>
      <c r="M949" s="1" t="str">
        <f>"094819"</f>
        <v>094819</v>
      </c>
      <c r="N949" s="1" t="s">
        <v>56</v>
      </c>
      <c r="O949" s="1" t="s">
        <v>45</v>
      </c>
      <c r="P949" s="1" t="s">
        <v>55</v>
      </c>
      <c r="Q949" s="1">
        <v>25</v>
      </c>
      <c r="R949" s="1">
        <v>25</v>
      </c>
      <c r="S949" s="1">
        <v>0</v>
      </c>
      <c r="T949" s="1">
        <v>0</v>
      </c>
      <c r="U949" s="1">
        <v>0</v>
      </c>
      <c r="V949" s="1" t="str">
        <f t="shared" si="140"/>
        <v>里程去程</v>
      </c>
      <c r="W949" s="1" t="s">
        <v>29</v>
      </c>
    </row>
    <row r="950" spans="1:23" x14ac:dyDescent="0.3">
      <c r="A950" s="1" t="str">
        <f t="shared" ref="A950:A964" si="151">"59829"</f>
        <v>59829</v>
      </c>
      <c r="B950" s="1" t="s">
        <v>47</v>
      </c>
      <c r="C950" s="1" t="s">
        <v>48</v>
      </c>
      <c r="D950" s="1" t="str">
        <f t="shared" si="139"/>
        <v>9801</v>
      </c>
      <c r="E950" s="1" t="s">
        <v>25</v>
      </c>
      <c r="F950" s="1" t="str">
        <f>"1279584657"</f>
        <v>1279584657</v>
      </c>
      <c r="G950" s="1" t="s">
        <v>33</v>
      </c>
      <c r="H950" s="1" t="str">
        <f t="shared" si="149"/>
        <v>20220929</v>
      </c>
      <c r="I950" s="1" t="str">
        <f>"122024"</f>
        <v>122024</v>
      </c>
      <c r="J950" s="1" t="s">
        <v>80</v>
      </c>
      <c r="K950" s="1" t="s">
        <v>52</v>
      </c>
      <c r="L950" s="1" t="str">
        <f t="shared" si="150"/>
        <v>20220929</v>
      </c>
      <c r="M950" s="1" t="str">
        <f>"123629"</f>
        <v>123629</v>
      </c>
      <c r="N950" s="1" t="s">
        <v>70</v>
      </c>
      <c r="O950" s="1" t="s">
        <v>28</v>
      </c>
      <c r="P950" s="1" t="s">
        <v>55</v>
      </c>
      <c r="Q950" s="1">
        <v>25</v>
      </c>
      <c r="R950" s="1">
        <v>25</v>
      </c>
      <c r="S950" s="1">
        <v>0</v>
      </c>
      <c r="T950" s="1">
        <v>0</v>
      </c>
      <c r="U950" s="1">
        <v>0</v>
      </c>
      <c r="V950" s="1" t="str">
        <f t="shared" si="140"/>
        <v>里程去程</v>
      </c>
      <c r="W950" s="1" t="s">
        <v>35</v>
      </c>
    </row>
    <row r="951" spans="1:23" x14ac:dyDescent="0.3">
      <c r="A951" s="1" t="str">
        <f t="shared" si="151"/>
        <v>59829</v>
      </c>
      <c r="B951" s="1" t="s">
        <v>47</v>
      </c>
      <c r="C951" s="1" t="s">
        <v>48</v>
      </c>
      <c r="D951" s="1" t="str">
        <f t="shared" si="139"/>
        <v>9801</v>
      </c>
      <c r="E951" s="1" t="s">
        <v>25</v>
      </c>
      <c r="F951" s="1" t="str">
        <f>"3966369949"</f>
        <v>3966369949</v>
      </c>
      <c r="G951" s="1" t="s">
        <v>33</v>
      </c>
      <c r="H951" s="1" t="str">
        <f t="shared" si="149"/>
        <v>20220929</v>
      </c>
      <c r="I951" s="1" t="str">
        <f>"122031"</f>
        <v>122031</v>
      </c>
      <c r="J951" s="1" t="s">
        <v>80</v>
      </c>
      <c r="K951" s="1" t="s">
        <v>52</v>
      </c>
      <c r="L951" s="1" t="str">
        <f t="shared" si="150"/>
        <v>20220929</v>
      </c>
      <c r="M951" s="1" t="str">
        <f>"123625"</f>
        <v>123625</v>
      </c>
      <c r="N951" s="1" t="s">
        <v>70</v>
      </c>
      <c r="O951" s="1" t="s">
        <v>28</v>
      </c>
      <c r="P951" s="1" t="s">
        <v>55</v>
      </c>
      <c r="Q951" s="1">
        <v>25</v>
      </c>
      <c r="R951" s="1">
        <v>25</v>
      </c>
      <c r="S951" s="1">
        <v>0</v>
      </c>
      <c r="T951" s="1">
        <v>0</v>
      </c>
      <c r="U951" s="1">
        <v>0</v>
      </c>
      <c r="V951" s="1" t="str">
        <f t="shared" si="140"/>
        <v>里程去程</v>
      </c>
      <c r="W951" s="1" t="s">
        <v>35</v>
      </c>
    </row>
    <row r="952" spans="1:23" x14ac:dyDescent="0.3">
      <c r="A952" s="1" t="str">
        <f t="shared" si="151"/>
        <v>59829</v>
      </c>
      <c r="B952" s="1" t="s">
        <v>47</v>
      </c>
      <c r="C952" s="1" t="s">
        <v>48</v>
      </c>
      <c r="D952" s="1" t="str">
        <f t="shared" si="139"/>
        <v>9801</v>
      </c>
      <c r="E952" s="1" t="s">
        <v>25</v>
      </c>
      <c r="F952" s="1" t="str">
        <f>"87AB983A8E280400F700000000000000"</f>
        <v>87AB983A8E280400F700000000000000</v>
      </c>
      <c r="G952" s="1" t="s">
        <v>58</v>
      </c>
      <c r="H952" s="1" t="str">
        <f t="shared" si="149"/>
        <v>20220929</v>
      </c>
      <c r="I952" s="1" t="str">
        <f>"122042"</f>
        <v>122042</v>
      </c>
      <c r="J952" s="1" t="s">
        <v>80</v>
      </c>
      <c r="K952" s="1" t="s">
        <v>52</v>
      </c>
      <c r="L952" s="1" t="str">
        <f t="shared" si="150"/>
        <v>20220929</v>
      </c>
      <c r="M952" s="1" t="str">
        <f>"123632"</f>
        <v>123632</v>
      </c>
      <c r="N952" s="1" t="s">
        <v>70</v>
      </c>
      <c r="O952" s="1" t="s">
        <v>28</v>
      </c>
      <c r="P952" s="1" t="s">
        <v>55</v>
      </c>
      <c r="Q952" s="1">
        <v>25</v>
      </c>
      <c r="R952" s="1">
        <v>25</v>
      </c>
      <c r="S952" s="1">
        <v>0</v>
      </c>
      <c r="T952" s="1">
        <v>0</v>
      </c>
      <c r="U952" s="1">
        <v>0</v>
      </c>
      <c r="V952" s="1" t="str">
        <f t="shared" si="140"/>
        <v>里程去程</v>
      </c>
      <c r="W952" s="1" t="s">
        <v>29</v>
      </c>
    </row>
    <row r="953" spans="1:23" x14ac:dyDescent="0.3">
      <c r="A953" s="1" t="str">
        <f t="shared" si="151"/>
        <v>59829</v>
      </c>
      <c r="B953" s="1" t="s">
        <v>47</v>
      </c>
      <c r="C953" s="1" t="s">
        <v>48</v>
      </c>
      <c r="D953" s="1" t="str">
        <f t="shared" si="139"/>
        <v>9801</v>
      </c>
      <c r="E953" s="1" t="s">
        <v>25</v>
      </c>
      <c r="F953" s="1" t="str">
        <f>"8227D00277880400C834002000000015"</f>
        <v>8227D00277880400C834002000000015</v>
      </c>
      <c r="G953" s="1" t="s">
        <v>26</v>
      </c>
      <c r="H953" s="1" t="str">
        <f t="shared" si="149"/>
        <v>20220929</v>
      </c>
      <c r="I953" s="1" t="str">
        <f>"122638"</f>
        <v>122638</v>
      </c>
      <c r="J953" s="1" t="s">
        <v>78</v>
      </c>
      <c r="K953" s="1" t="s">
        <v>52</v>
      </c>
      <c r="L953" s="1" t="str">
        <f t="shared" si="150"/>
        <v>20220929</v>
      </c>
      <c r="M953" s="1" t="str">
        <f>"123621"</f>
        <v>123621</v>
      </c>
      <c r="N953" s="1" t="s">
        <v>70</v>
      </c>
      <c r="O953" s="1" t="s">
        <v>28</v>
      </c>
      <c r="P953" s="1" t="s">
        <v>68</v>
      </c>
      <c r="Q953" s="1">
        <v>13</v>
      </c>
      <c r="R953" s="1">
        <v>0</v>
      </c>
      <c r="S953" s="1">
        <v>0</v>
      </c>
      <c r="T953" s="1">
        <v>13</v>
      </c>
      <c r="U953" s="1">
        <v>0</v>
      </c>
      <c r="V953" s="1" t="str">
        <f t="shared" si="140"/>
        <v>里程去程</v>
      </c>
      <c r="W953" s="1" t="s">
        <v>29</v>
      </c>
    </row>
    <row r="954" spans="1:23" x14ac:dyDescent="0.3">
      <c r="A954" s="1" t="str">
        <f t="shared" si="151"/>
        <v>59829</v>
      </c>
      <c r="B954" s="1" t="s">
        <v>47</v>
      </c>
      <c r="C954" s="1" t="s">
        <v>48</v>
      </c>
      <c r="D954" s="1" t="str">
        <f t="shared" si="139"/>
        <v>9801</v>
      </c>
      <c r="E954" s="1" t="s">
        <v>25</v>
      </c>
      <c r="F954" s="1" t="str">
        <f>"82D5FB02AE880400C834002000000015"</f>
        <v>82D5FB02AE880400C834002000000015</v>
      </c>
      <c r="G954" s="1" t="s">
        <v>26</v>
      </c>
      <c r="H954" s="1" t="str">
        <f t="shared" si="149"/>
        <v>20220929</v>
      </c>
      <c r="I954" s="1" t="str">
        <f>"130801"</f>
        <v>130801</v>
      </c>
      <c r="J954" s="1" t="s">
        <v>51</v>
      </c>
      <c r="K954" s="1" t="s">
        <v>52</v>
      </c>
      <c r="L954" s="1" t="str">
        <f t="shared" si="150"/>
        <v>20220929</v>
      </c>
      <c r="M954" s="1" t="str">
        <f>"131232"</f>
        <v>131232</v>
      </c>
      <c r="N954" s="1" t="s">
        <v>65</v>
      </c>
      <c r="O954" s="1" t="s">
        <v>52</v>
      </c>
      <c r="P954" s="1" t="s">
        <v>68</v>
      </c>
      <c r="Q954" s="1">
        <v>13</v>
      </c>
      <c r="R954" s="1">
        <v>0</v>
      </c>
      <c r="S954" s="1">
        <v>0</v>
      </c>
      <c r="T954" s="1">
        <v>13</v>
      </c>
      <c r="U954" s="1">
        <v>0</v>
      </c>
      <c r="V954" s="1" t="str">
        <f t="shared" si="140"/>
        <v>里程去程</v>
      </c>
      <c r="W954" s="1" t="s">
        <v>29</v>
      </c>
    </row>
    <row r="955" spans="1:23" x14ac:dyDescent="0.3">
      <c r="A955" s="1" t="str">
        <f t="shared" si="151"/>
        <v>59829</v>
      </c>
      <c r="B955" s="1" t="s">
        <v>47</v>
      </c>
      <c r="C955" s="1" t="s">
        <v>48</v>
      </c>
      <c r="D955" s="1" t="str">
        <f t="shared" si="139"/>
        <v>9801</v>
      </c>
      <c r="E955" s="1" t="s">
        <v>25</v>
      </c>
      <c r="F955" s="1" t="str">
        <f>"F27CE6026A880400C834002000000015"</f>
        <v>F27CE6026A880400C834002000000015</v>
      </c>
      <c r="G955" s="1" t="s">
        <v>74</v>
      </c>
      <c r="H955" s="1" t="str">
        <f t="shared" si="149"/>
        <v>20220929</v>
      </c>
      <c r="I955" s="1" t="str">
        <f>"145645"</f>
        <v>145645</v>
      </c>
      <c r="J955" s="1" t="s">
        <v>52</v>
      </c>
      <c r="K955" s="1" t="s">
        <v>52</v>
      </c>
      <c r="L955" s="1" t="str">
        <f t="shared" si="150"/>
        <v>20220929</v>
      </c>
      <c r="M955" s="1" t="str">
        <f>"150543"</f>
        <v>150543</v>
      </c>
      <c r="N955" s="1" t="s">
        <v>60</v>
      </c>
      <c r="O955" s="1" t="s">
        <v>52</v>
      </c>
      <c r="P955" s="1" t="s">
        <v>68</v>
      </c>
      <c r="Q955" s="1">
        <v>13</v>
      </c>
      <c r="R955" s="1">
        <v>0</v>
      </c>
      <c r="S955" s="1">
        <v>0</v>
      </c>
      <c r="T955" s="1">
        <v>13</v>
      </c>
      <c r="U955" s="1">
        <v>0</v>
      </c>
      <c r="V955" s="1" t="str">
        <f t="shared" si="140"/>
        <v>里程去程</v>
      </c>
      <c r="W955" s="1" t="s">
        <v>29</v>
      </c>
    </row>
    <row r="956" spans="1:23" x14ac:dyDescent="0.3">
      <c r="A956" s="1" t="str">
        <f t="shared" si="151"/>
        <v>59829</v>
      </c>
      <c r="B956" s="1" t="s">
        <v>47</v>
      </c>
      <c r="C956" s="1" t="s">
        <v>48</v>
      </c>
      <c r="D956" s="1" t="str">
        <f t="shared" si="139"/>
        <v>9801</v>
      </c>
      <c r="E956" s="1" t="s">
        <v>25</v>
      </c>
      <c r="F956" s="1" t="str">
        <f>"F25B1B03B1880400C834002000000015"</f>
        <v>F25B1B03B1880400C834002000000015</v>
      </c>
      <c r="G956" s="1" t="s">
        <v>26</v>
      </c>
      <c r="H956" s="1" t="str">
        <f t="shared" si="149"/>
        <v>20220929</v>
      </c>
      <c r="I956" s="1" t="str">
        <f>"150617"</f>
        <v>150617</v>
      </c>
      <c r="J956" s="1" t="s">
        <v>60</v>
      </c>
      <c r="K956" s="1" t="s">
        <v>52</v>
      </c>
      <c r="L956" s="1" t="str">
        <f t="shared" si="150"/>
        <v>20220929</v>
      </c>
      <c r="M956" s="1" t="str">
        <f>"153542"</f>
        <v>153542</v>
      </c>
      <c r="N956" s="1" t="s">
        <v>70</v>
      </c>
      <c r="O956" s="1" t="s">
        <v>28</v>
      </c>
      <c r="P956" s="1" t="s">
        <v>68</v>
      </c>
      <c r="Q956" s="1">
        <v>13</v>
      </c>
      <c r="R956" s="1">
        <v>0</v>
      </c>
      <c r="S956" s="1">
        <v>0</v>
      </c>
      <c r="T956" s="1">
        <v>13</v>
      </c>
      <c r="U956" s="1">
        <v>0</v>
      </c>
      <c r="V956" s="1" t="str">
        <f t="shared" si="140"/>
        <v>里程去程</v>
      </c>
      <c r="W956" s="1" t="s">
        <v>29</v>
      </c>
    </row>
    <row r="957" spans="1:23" x14ac:dyDescent="0.3">
      <c r="A957" s="1" t="str">
        <f t="shared" si="151"/>
        <v>59829</v>
      </c>
      <c r="B957" s="1" t="s">
        <v>47</v>
      </c>
      <c r="C957" s="1" t="s">
        <v>48</v>
      </c>
      <c r="D957" s="1" t="str">
        <f t="shared" si="139"/>
        <v>9801</v>
      </c>
      <c r="E957" s="1" t="s">
        <v>25</v>
      </c>
      <c r="F957" s="1" t="str">
        <f>"C2C0BD02BD880400C834002000000015"</f>
        <v>C2C0BD02BD880400C834002000000015</v>
      </c>
      <c r="G957" s="1" t="s">
        <v>74</v>
      </c>
      <c r="H957" s="1" t="str">
        <f t="shared" si="149"/>
        <v>20220929</v>
      </c>
      <c r="I957" s="1" t="str">
        <f>"152554"</f>
        <v>152554</v>
      </c>
      <c r="J957" s="1" t="s">
        <v>67</v>
      </c>
      <c r="K957" s="1" t="s">
        <v>52</v>
      </c>
      <c r="L957" s="1" t="str">
        <f t="shared" si="150"/>
        <v>20220929</v>
      </c>
      <c r="M957" s="1" t="str">
        <f>"153417"</f>
        <v>153417</v>
      </c>
      <c r="N957" s="1" t="s">
        <v>70</v>
      </c>
      <c r="O957" s="1" t="s">
        <v>28</v>
      </c>
      <c r="P957" s="1" t="s">
        <v>68</v>
      </c>
      <c r="Q957" s="1">
        <v>13</v>
      </c>
      <c r="R957" s="1">
        <v>0</v>
      </c>
      <c r="S957" s="1">
        <v>0</v>
      </c>
      <c r="T957" s="1">
        <v>13</v>
      </c>
      <c r="U957" s="1">
        <v>0</v>
      </c>
      <c r="V957" s="1" t="str">
        <f t="shared" si="140"/>
        <v>里程去程</v>
      </c>
      <c r="W957" s="1" t="s">
        <v>29</v>
      </c>
    </row>
    <row r="958" spans="1:23" x14ac:dyDescent="0.3">
      <c r="A958" s="1" t="str">
        <f t="shared" si="151"/>
        <v>59829</v>
      </c>
      <c r="B958" s="1" t="s">
        <v>47</v>
      </c>
      <c r="C958" s="1" t="s">
        <v>48</v>
      </c>
      <c r="D958" s="1" t="str">
        <f t="shared" si="139"/>
        <v>9801</v>
      </c>
      <c r="E958" s="1" t="s">
        <v>25</v>
      </c>
      <c r="F958" s="1" t="str">
        <f>"72BFE5022A880400C834002000000015"</f>
        <v>72BFE5022A880400C834002000000015</v>
      </c>
      <c r="G958" s="1" t="s">
        <v>26</v>
      </c>
      <c r="H958" s="1" t="str">
        <f t="shared" si="149"/>
        <v>20220929</v>
      </c>
      <c r="I958" s="1" t="str">
        <f>"153554"</f>
        <v>153554</v>
      </c>
      <c r="J958" s="1" t="s">
        <v>27</v>
      </c>
      <c r="K958" s="1" t="s">
        <v>28</v>
      </c>
      <c r="L958" s="1" t="str">
        <f t="shared" si="150"/>
        <v>20220929</v>
      </c>
      <c r="M958" s="1" t="str">
        <f>"154906"</f>
        <v>154906</v>
      </c>
      <c r="N958" s="1" t="s">
        <v>61</v>
      </c>
      <c r="O958" s="1" t="s">
        <v>45</v>
      </c>
      <c r="P958" s="1" t="s">
        <v>68</v>
      </c>
      <c r="Q958" s="1">
        <v>13</v>
      </c>
      <c r="R958" s="1">
        <v>0</v>
      </c>
      <c r="S958" s="1">
        <v>0</v>
      </c>
      <c r="T958" s="1">
        <v>13</v>
      </c>
      <c r="U958" s="1">
        <v>0</v>
      </c>
      <c r="V958" s="1" t="str">
        <f t="shared" si="140"/>
        <v>里程去程</v>
      </c>
      <c r="W958" s="1" t="s">
        <v>29</v>
      </c>
    </row>
    <row r="959" spans="1:23" x14ac:dyDescent="0.3">
      <c r="A959" s="1" t="str">
        <f t="shared" si="151"/>
        <v>59829</v>
      </c>
      <c r="B959" s="1" t="s">
        <v>47</v>
      </c>
      <c r="C959" s="1" t="s">
        <v>48</v>
      </c>
      <c r="D959" s="1" t="str">
        <f t="shared" si="139"/>
        <v>9801</v>
      </c>
      <c r="E959" s="1" t="s">
        <v>25</v>
      </c>
      <c r="F959" s="1" t="str">
        <f>"C2F219032A880400C834002000000015"</f>
        <v>C2F219032A880400C834002000000015</v>
      </c>
      <c r="G959" s="1" t="s">
        <v>26</v>
      </c>
      <c r="H959" s="1" t="str">
        <f t="shared" si="149"/>
        <v>20220929</v>
      </c>
      <c r="I959" s="1" t="str">
        <f>"160524"</f>
        <v>160524</v>
      </c>
      <c r="J959" s="1" t="s">
        <v>86</v>
      </c>
      <c r="K959" s="1" t="s">
        <v>52</v>
      </c>
      <c r="L959" s="1" t="str">
        <f t="shared" si="150"/>
        <v>20220929</v>
      </c>
      <c r="M959" s="1" t="str">
        <f>"160950"</f>
        <v>160950</v>
      </c>
      <c r="N959" s="1" t="s">
        <v>51</v>
      </c>
      <c r="O959" s="1" t="s">
        <v>52</v>
      </c>
      <c r="P959" s="1" t="s">
        <v>68</v>
      </c>
      <c r="Q959" s="1">
        <v>13</v>
      </c>
      <c r="R959" s="1">
        <v>0</v>
      </c>
      <c r="S959" s="1">
        <v>0</v>
      </c>
      <c r="T959" s="1">
        <v>13</v>
      </c>
      <c r="U959" s="1">
        <v>0</v>
      </c>
      <c r="V959" s="1" t="str">
        <f t="shared" si="140"/>
        <v>里程去程</v>
      </c>
      <c r="W959" s="1" t="s">
        <v>29</v>
      </c>
    </row>
    <row r="960" spans="1:23" x14ac:dyDescent="0.3">
      <c r="A960" s="1" t="str">
        <f t="shared" si="151"/>
        <v>59829</v>
      </c>
      <c r="B960" s="1" t="s">
        <v>47</v>
      </c>
      <c r="C960" s="1" t="s">
        <v>48</v>
      </c>
      <c r="D960" s="1" t="str">
        <f t="shared" si="139"/>
        <v>9801</v>
      </c>
      <c r="E960" s="1" t="s">
        <v>25</v>
      </c>
      <c r="F960" s="1" t="str">
        <f>"C2C219031A880400C834002000000015"</f>
        <v>C2C219031A880400C834002000000015</v>
      </c>
      <c r="G960" s="1" t="s">
        <v>74</v>
      </c>
      <c r="H960" s="1" t="str">
        <f t="shared" si="149"/>
        <v>20220929</v>
      </c>
      <c r="I960" s="1" t="str">
        <f>"160727"</f>
        <v>160727</v>
      </c>
      <c r="J960" s="1" t="s">
        <v>60</v>
      </c>
      <c r="K960" s="1" t="s">
        <v>52</v>
      </c>
      <c r="L960" s="1" t="str">
        <f t="shared" si="150"/>
        <v>20220929</v>
      </c>
      <c r="M960" s="1" t="str">
        <f>"161916"</f>
        <v>161916</v>
      </c>
      <c r="N960" s="1" t="s">
        <v>80</v>
      </c>
      <c r="O960" s="1" t="s">
        <v>52</v>
      </c>
      <c r="P960" s="1" t="s">
        <v>68</v>
      </c>
      <c r="Q960" s="1">
        <v>13</v>
      </c>
      <c r="R960" s="1">
        <v>0</v>
      </c>
      <c r="S960" s="1">
        <v>0</v>
      </c>
      <c r="T960" s="1">
        <v>13</v>
      </c>
      <c r="U960" s="1">
        <v>0</v>
      </c>
      <c r="V960" s="1" t="str">
        <f t="shared" si="140"/>
        <v>里程去程</v>
      </c>
      <c r="W960" s="1" t="s">
        <v>29</v>
      </c>
    </row>
    <row r="961" spans="1:23" x14ac:dyDescent="0.3">
      <c r="A961" s="1" t="str">
        <f t="shared" si="151"/>
        <v>59829</v>
      </c>
      <c r="B961" s="1" t="s">
        <v>47</v>
      </c>
      <c r="C961" s="1" t="s">
        <v>48</v>
      </c>
      <c r="D961" s="1" t="str">
        <f t="shared" si="139"/>
        <v>9801</v>
      </c>
      <c r="E961" s="1" t="s">
        <v>25</v>
      </c>
      <c r="F961" s="1" t="str">
        <f>"F2C64D0E77880400C806002000000018"</f>
        <v>F2C64D0E77880400C806002000000018</v>
      </c>
      <c r="G961" s="1" t="s">
        <v>58</v>
      </c>
      <c r="H961" s="1" t="str">
        <f t="shared" si="149"/>
        <v>20220929</v>
      </c>
      <c r="I961" s="1" t="str">
        <f>"160729"</f>
        <v>160729</v>
      </c>
      <c r="J961" s="1" t="s">
        <v>60</v>
      </c>
      <c r="K961" s="1" t="s">
        <v>52</v>
      </c>
      <c r="L961" s="1" t="str">
        <f t="shared" si="150"/>
        <v>20220929</v>
      </c>
      <c r="M961" s="1" t="str">
        <f>"163504"</f>
        <v>163504</v>
      </c>
      <c r="N961" s="1" t="s">
        <v>70</v>
      </c>
      <c r="O961" s="1" t="s">
        <v>28</v>
      </c>
      <c r="P961" s="1" t="s">
        <v>55</v>
      </c>
      <c r="Q961" s="1">
        <v>25</v>
      </c>
      <c r="R961" s="1">
        <v>25</v>
      </c>
      <c r="S961" s="1">
        <v>0</v>
      </c>
      <c r="T961" s="1">
        <v>0</v>
      </c>
      <c r="U961" s="1">
        <v>0</v>
      </c>
      <c r="V961" s="1" t="str">
        <f t="shared" si="140"/>
        <v>里程去程</v>
      </c>
      <c r="W961" s="1" t="s">
        <v>29</v>
      </c>
    </row>
    <row r="962" spans="1:23" x14ac:dyDescent="0.3">
      <c r="A962" s="1" t="str">
        <f t="shared" si="151"/>
        <v>59829</v>
      </c>
      <c r="B962" s="1" t="s">
        <v>47</v>
      </c>
      <c r="C962" s="1" t="s">
        <v>48</v>
      </c>
      <c r="D962" s="1" t="str">
        <f t="shared" ref="D962:D990" si="152">"9801"</f>
        <v>9801</v>
      </c>
      <c r="E962" s="1" t="s">
        <v>25</v>
      </c>
      <c r="F962" s="1" t="str">
        <f>"2620325231"</f>
        <v>2620325231</v>
      </c>
      <c r="G962" s="1" t="s">
        <v>33</v>
      </c>
      <c r="H962" s="1" t="str">
        <f t="shared" si="149"/>
        <v>20220929</v>
      </c>
      <c r="I962" s="1" t="str">
        <f>"163520"</f>
        <v>163520</v>
      </c>
      <c r="J962" s="1" t="s">
        <v>27</v>
      </c>
      <c r="K962" s="1" t="s">
        <v>28</v>
      </c>
      <c r="L962" s="1" t="str">
        <f t="shared" si="150"/>
        <v>20220929</v>
      </c>
      <c r="M962" s="1" t="str">
        <f>"165611"</f>
        <v>165611</v>
      </c>
      <c r="N962" s="1" t="s">
        <v>44</v>
      </c>
      <c r="O962" s="1" t="s">
        <v>45</v>
      </c>
      <c r="P962" s="1" t="s">
        <v>55</v>
      </c>
      <c r="Q962" s="1">
        <v>25</v>
      </c>
      <c r="R962" s="1">
        <v>0</v>
      </c>
      <c r="S962" s="1">
        <v>25</v>
      </c>
      <c r="T962" s="1">
        <v>0</v>
      </c>
      <c r="U962" s="1">
        <v>0</v>
      </c>
      <c r="V962" s="1" t="str">
        <f t="shared" ref="V962:V990" si="153">"里程去程"</f>
        <v>里程去程</v>
      </c>
      <c r="W962" s="1" t="s">
        <v>35</v>
      </c>
    </row>
    <row r="963" spans="1:23" x14ac:dyDescent="0.3">
      <c r="A963" s="1" t="str">
        <f t="shared" si="151"/>
        <v>59829</v>
      </c>
      <c r="B963" s="1" t="s">
        <v>47</v>
      </c>
      <c r="C963" s="1" t="s">
        <v>48</v>
      </c>
      <c r="D963" s="1" t="str">
        <f t="shared" si="152"/>
        <v>9801</v>
      </c>
      <c r="E963" s="1" t="s">
        <v>25</v>
      </c>
      <c r="F963" s="1" t="str">
        <f>"1073122117"</f>
        <v>1073122117</v>
      </c>
      <c r="G963" s="1" t="s">
        <v>33</v>
      </c>
      <c r="H963" s="1" t="str">
        <f t="shared" si="149"/>
        <v>20220929</v>
      </c>
      <c r="I963" s="1" t="str">
        <f>"203534"</f>
        <v>203534</v>
      </c>
      <c r="J963" s="1" t="s">
        <v>28</v>
      </c>
      <c r="K963" s="1" t="s">
        <v>28</v>
      </c>
      <c r="L963" s="1" t="str">
        <f t="shared" si="150"/>
        <v>20220929</v>
      </c>
      <c r="M963" s="1" t="str">
        <f>"210023"</f>
        <v>210023</v>
      </c>
      <c r="N963" s="1" t="s">
        <v>44</v>
      </c>
      <c r="O963" s="1" t="s">
        <v>45</v>
      </c>
      <c r="P963" s="1" t="s">
        <v>55</v>
      </c>
      <c r="Q963" s="1">
        <v>25</v>
      </c>
      <c r="R963" s="1">
        <v>0</v>
      </c>
      <c r="S963" s="1">
        <v>25</v>
      </c>
      <c r="T963" s="1">
        <v>0</v>
      </c>
      <c r="U963" s="1">
        <v>0</v>
      </c>
      <c r="V963" s="1" t="str">
        <f t="shared" si="153"/>
        <v>里程去程</v>
      </c>
      <c r="W963" s="1" t="s">
        <v>35</v>
      </c>
    </row>
    <row r="964" spans="1:23" x14ac:dyDescent="0.3">
      <c r="A964" s="1" t="str">
        <f t="shared" si="151"/>
        <v>59829</v>
      </c>
      <c r="B964" s="1" t="s">
        <v>47</v>
      </c>
      <c r="C964" s="1" t="s">
        <v>48</v>
      </c>
      <c r="D964" s="1" t="str">
        <f t="shared" si="152"/>
        <v>9801</v>
      </c>
      <c r="E964" s="1" t="s">
        <v>25</v>
      </c>
      <c r="F964" s="1" t="str">
        <f>"969321585"</f>
        <v>969321585</v>
      </c>
      <c r="G964" s="1" t="s">
        <v>33</v>
      </c>
      <c r="H964" s="1" t="str">
        <f t="shared" si="149"/>
        <v>20220929</v>
      </c>
      <c r="I964" s="1" t="str">
        <f>"203544"</f>
        <v>203544</v>
      </c>
      <c r="J964" s="1" t="s">
        <v>28</v>
      </c>
      <c r="K964" s="1" t="s">
        <v>28</v>
      </c>
      <c r="L964" s="1" t="str">
        <f t="shared" si="150"/>
        <v>20220929</v>
      </c>
      <c r="M964" s="1" t="str">
        <f>"204819"</f>
        <v>204819</v>
      </c>
      <c r="N964" s="1" t="s">
        <v>61</v>
      </c>
      <c r="O964" s="1" t="s">
        <v>45</v>
      </c>
      <c r="P964" s="1" t="s">
        <v>55</v>
      </c>
      <c r="Q964" s="1">
        <v>25</v>
      </c>
      <c r="R964" s="1">
        <v>25</v>
      </c>
      <c r="S964" s="1">
        <v>0</v>
      </c>
      <c r="T964" s="1">
        <v>0</v>
      </c>
      <c r="U964" s="1">
        <v>0</v>
      </c>
      <c r="V964" s="1" t="str">
        <f t="shared" si="153"/>
        <v>里程去程</v>
      </c>
      <c r="W964" s="1" t="s">
        <v>35</v>
      </c>
    </row>
    <row r="965" spans="1:23" x14ac:dyDescent="0.3">
      <c r="A965" s="1" t="str">
        <f t="shared" ref="A965:A987" si="154">"59822"</f>
        <v>59822</v>
      </c>
      <c r="B965" s="1" t="s">
        <v>39</v>
      </c>
      <c r="C965" s="1" t="s">
        <v>40</v>
      </c>
      <c r="D965" s="1" t="str">
        <f t="shared" si="152"/>
        <v>9801</v>
      </c>
      <c r="E965" s="1" t="s">
        <v>25</v>
      </c>
      <c r="F965" s="1" t="str">
        <f>"42AFE60209880400C834002000000015"</f>
        <v>42AFE60209880400C834002000000015</v>
      </c>
      <c r="G965" s="1" t="s">
        <v>74</v>
      </c>
      <c r="H965" s="1" t="str">
        <f t="shared" ref="H965:H990" si="155">"20220930"</f>
        <v>20220930</v>
      </c>
      <c r="I965" s="1" t="str">
        <f>"105623"</f>
        <v>105623</v>
      </c>
      <c r="J965" s="1" t="s">
        <v>52</v>
      </c>
      <c r="K965" s="1" t="s">
        <v>52</v>
      </c>
      <c r="L965" s="1" t="str">
        <f t="shared" ref="L965:L990" si="156">"20220930"</f>
        <v>20220930</v>
      </c>
      <c r="M965" s="1" t="str">
        <f>"111841"</f>
        <v>111841</v>
      </c>
      <c r="N965" s="1" t="s">
        <v>80</v>
      </c>
      <c r="O965" s="1" t="s">
        <v>52</v>
      </c>
      <c r="P965" s="1" t="s">
        <v>68</v>
      </c>
      <c r="Q965" s="1">
        <v>13</v>
      </c>
      <c r="R965" s="1">
        <v>0</v>
      </c>
      <c r="S965" s="1">
        <v>0</v>
      </c>
      <c r="T965" s="1">
        <v>13</v>
      </c>
      <c r="U965" s="1">
        <v>0</v>
      </c>
      <c r="V965" s="1" t="str">
        <f t="shared" si="153"/>
        <v>里程去程</v>
      </c>
      <c r="W965" s="1" t="s">
        <v>29</v>
      </c>
    </row>
    <row r="966" spans="1:23" x14ac:dyDescent="0.3">
      <c r="A966" s="1" t="str">
        <f t="shared" si="154"/>
        <v>59822</v>
      </c>
      <c r="B966" s="1" t="s">
        <v>39</v>
      </c>
      <c r="C966" s="1" t="s">
        <v>40</v>
      </c>
      <c r="D966" s="1" t="str">
        <f t="shared" si="152"/>
        <v>9801</v>
      </c>
      <c r="E966" s="1" t="s">
        <v>25</v>
      </c>
      <c r="F966" s="1" t="str">
        <f>"1526871937"</f>
        <v>1526871937</v>
      </c>
      <c r="G966" s="1" t="s">
        <v>33</v>
      </c>
      <c r="H966" s="1" t="str">
        <f t="shared" si="155"/>
        <v>20220930</v>
      </c>
      <c r="I966" s="1" t="str">
        <f>"122344"</f>
        <v>122344</v>
      </c>
      <c r="J966" s="1" t="s">
        <v>67</v>
      </c>
      <c r="K966" s="1" t="s">
        <v>52</v>
      </c>
      <c r="L966" s="1" t="str">
        <f t="shared" si="156"/>
        <v>20220930</v>
      </c>
      <c r="M966" s="1" t="str">
        <f>"123147"</f>
        <v>123147</v>
      </c>
      <c r="N966" s="1" t="s">
        <v>70</v>
      </c>
      <c r="O966" s="1" t="s">
        <v>28</v>
      </c>
      <c r="P966" s="1" t="s">
        <v>55</v>
      </c>
      <c r="Q966" s="1">
        <v>25</v>
      </c>
      <c r="R966" s="1">
        <v>25</v>
      </c>
      <c r="S966" s="1">
        <v>0</v>
      </c>
      <c r="T966" s="1">
        <v>0</v>
      </c>
      <c r="U966" s="1">
        <v>0</v>
      </c>
      <c r="V966" s="1" t="str">
        <f t="shared" si="153"/>
        <v>里程去程</v>
      </c>
      <c r="W966" s="1" t="s">
        <v>35</v>
      </c>
    </row>
    <row r="967" spans="1:23" x14ac:dyDescent="0.3">
      <c r="A967" s="1" t="str">
        <f t="shared" si="154"/>
        <v>59822</v>
      </c>
      <c r="B967" s="1" t="s">
        <v>39</v>
      </c>
      <c r="C967" s="1" t="s">
        <v>40</v>
      </c>
      <c r="D967" s="1" t="str">
        <f t="shared" si="152"/>
        <v>9801</v>
      </c>
      <c r="E967" s="1" t="s">
        <v>25</v>
      </c>
      <c r="F967" s="1" t="str">
        <f>"1C066E691D8804004741355145104307"</f>
        <v>1C066E691D8804004741355145104307</v>
      </c>
      <c r="G967" s="1" t="s">
        <v>59</v>
      </c>
      <c r="H967" s="1" t="str">
        <f t="shared" si="155"/>
        <v>20220930</v>
      </c>
      <c r="I967" s="1" t="str">
        <f>"123158"</f>
        <v>123158</v>
      </c>
      <c r="J967" s="1" t="s">
        <v>27</v>
      </c>
      <c r="K967" s="1" t="s">
        <v>28</v>
      </c>
      <c r="L967" s="1" t="str">
        <f t="shared" si="156"/>
        <v>20220930</v>
      </c>
      <c r="M967" s="1" t="str">
        <f>"124816"</f>
        <v>124816</v>
      </c>
      <c r="N967" s="1" t="s">
        <v>75</v>
      </c>
      <c r="O967" s="1" t="s">
        <v>45</v>
      </c>
      <c r="P967" s="1" t="s">
        <v>55</v>
      </c>
      <c r="Q967" s="1">
        <v>25</v>
      </c>
      <c r="R967" s="1">
        <v>0</v>
      </c>
      <c r="S967" s="1">
        <v>25</v>
      </c>
      <c r="T967" s="1">
        <v>0</v>
      </c>
      <c r="U967" s="1">
        <v>0</v>
      </c>
      <c r="V967" s="1" t="str">
        <f t="shared" si="153"/>
        <v>里程去程</v>
      </c>
      <c r="W967" s="1" t="s">
        <v>29</v>
      </c>
    </row>
    <row r="968" spans="1:23" x14ac:dyDescent="0.3">
      <c r="A968" s="1" t="str">
        <f t="shared" si="154"/>
        <v>59822</v>
      </c>
      <c r="B968" s="1" t="s">
        <v>39</v>
      </c>
      <c r="C968" s="1" t="s">
        <v>40</v>
      </c>
      <c r="D968" s="1" t="str">
        <f t="shared" si="152"/>
        <v>9801</v>
      </c>
      <c r="E968" s="1" t="s">
        <v>25</v>
      </c>
      <c r="F968" s="1" t="str">
        <f>"3022637810"</f>
        <v>3022637810</v>
      </c>
      <c r="G968" s="1" t="s">
        <v>33</v>
      </c>
      <c r="H968" s="1" t="str">
        <f t="shared" si="155"/>
        <v>20220930</v>
      </c>
      <c r="I968" s="1" t="str">
        <f>"123202"</f>
        <v>123202</v>
      </c>
      <c r="J968" s="1" t="s">
        <v>27</v>
      </c>
      <c r="K968" s="1" t="s">
        <v>28</v>
      </c>
      <c r="L968" s="1" t="str">
        <f t="shared" si="156"/>
        <v>20220930</v>
      </c>
      <c r="M968" s="1" t="str">
        <f>"124812"</f>
        <v>124812</v>
      </c>
      <c r="N968" s="1" t="s">
        <v>75</v>
      </c>
      <c r="O968" s="1" t="s">
        <v>45</v>
      </c>
      <c r="P968" s="1" t="s">
        <v>55</v>
      </c>
      <c r="Q968" s="1">
        <v>25</v>
      </c>
      <c r="R968" s="1">
        <v>25</v>
      </c>
      <c r="S968" s="1">
        <v>0</v>
      </c>
      <c r="T968" s="1">
        <v>0</v>
      </c>
      <c r="U968" s="1">
        <v>0</v>
      </c>
      <c r="V968" s="1" t="str">
        <f t="shared" si="153"/>
        <v>里程去程</v>
      </c>
      <c r="W968" s="1" t="s">
        <v>35</v>
      </c>
    </row>
    <row r="969" spans="1:23" x14ac:dyDescent="0.3">
      <c r="A969" s="1" t="str">
        <f t="shared" si="154"/>
        <v>59822</v>
      </c>
      <c r="B969" s="1" t="s">
        <v>39</v>
      </c>
      <c r="C969" s="1" t="s">
        <v>40</v>
      </c>
      <c r="D969" s="1" t="str">
        <f t="shared" si="152"/>
        <v>9801</v>
      </c>
      <c r="E969" s="1" t="s">
        <v>25</v>
      </c>
      <c r="F969" s="1" t="str">
        <f>"1107735781"</f>
        <v>1107735781</v>
      </c>
      <c r="G969" s="1" t="s">
        <v>33</v>
      </c>
      <c r="H969" s="1" t="str">
        <f t="shared" si="155"/>
        <v>20220930</v>
      </c>
      <c r="I969" s="1" t="str">
        <f>"123213"</f>
        <v>123213</v>
      </c>
      <c r="J969" s="1" t="s">
        <v>27</v>
      </c>
      <c r="K969" s="1" t="s">
        <v>28</v>
      </c>
      <c r="L969" s="1" t="str">
        <f t="shared" si="156"/>
        <v>20220930</v>
      </c>
      <c r="M969" s="1" t="str">
        <f>"125551"</f>
        <v>125551</v>
      </c>
      <c r="N969" s="1" t="s">
        <v>44</v>
      </c>
      <c r="O969" s="1" t="s">
        <v>45</v>
      </c>
      <c r="P969" s="1" t="s">
        <v>55</v>
      </c>
      <c r="Q969" s="1">
        <v>25</v>
      </c>
      <c r="R969" s="1">
        <v>25</v>
      </c>
      <c r="S969" s="1">
        <v>0</v>
      </c>
      <c r="T969" s="1">
        <v>0</v>
      </c>
      <c r="U969" s="1">
        <v>0</v>
      </c>
      <c r="V969" s="1" t="str">
        <f t="shared" si="153"/>
        <v>里程去程</v>
      </c>
      <c r="W969" s="1" t="s">
        <v>35</v>
      </c>
    </row>
    <row r="970" spans="1:23" x14ac:dyDescent="0.3">
      <c r="A970" s="1" t="str">
        <f t="shared" si="154"/>
        <v>59822</v>
      </c>
      <c r="B970" s="1" t="s">
        <v>39</v>
      </c>
      <c r="C970" s="1" t="s">
        <v>40</v>
      </c>
      <c r="D970" s="1" t="str">
        <f t="shared" si="152"/>
        <v>9801</v>
      </c>
      <c r="E970" s="1" t="s">
        <v>25</v>
      </c>
      <c r="F970" s="1" t="str">
        <f>"1053002693"</f>
        <v>1053002693</v>
      </c>
      <c r="G970" s="1" t="s">
        <v>38</v>
      </c>
      <c r="H970" s="1" t="str">
        <f t="shared" si="155"/>
        <v>20220930</v>
      </c>
      <c r="I970" s="1" t="str">
        <f>"123336"</f>
        <v>123336</v>
      </c>
      <c r="J970" s="1" t="s">
        <v>27</v>
      </c>
      <c r="K970" s="1" t="s">
        <v>28</v>
      </c>
      <c r="L970" s="1" t="str">
        <f t="shared" si="156"/>
        <v>20220930</v>
      </c>
      <c r="M970" s="1" t="str">
        <f>"125300"</f>
        <v>125300</v>
      </c>
      <c r="N970" s="1" t="s">
        <v>44</v>
      </c>
      <c r="O970" s="1" t="s">
        <v>45</v>
      </c>
      <c r="P970" s="1" t="s">
        <v>55</v>
      </c>
      <c r="Q970" s="1">
        <v>25</v>
      </c>
      <c r="R970" s="1">
        <v>25</v>
      </c>
      <c r="S970" s="1">
        <v>0</v>
      </c>
      <c r="T970" s="1">
        <v>0</v>
      </c>
      <c r="U970" s="1">
        <v>0</v>
      </c>
      <c r="V970" s="1" t="str">
        <f t="shared" si="153"/>
        <v>里程去程</v>
      </c>
      <c r="W970" s="1" t="s">
        <v>35</v>
      </c>
    </row>
    <row r="971" spans="1:23" x14ac:dyDescent="0.3">
      <c r="A971" s="1" t="str">
        <f t="shared" si="154"/>
        <v>59822</v>
      </c>
      <c r="B971" s="1" t="s">
        <v>39</v>
      </c>
      <c r="C971" s="1" t="s">
        <v>40</v>
      </c>
      <c r="D971" s="1" t="str">
        <f t="shared" si="152"/>
        <v>9801</v>
      </c>
      <c r="E971" s="1" t="s">
        <v>25</v>
      </c>
      <c r="F971" s="1" t="str">
        <f>"F25B1B03B1880400C834002000000015"</f>
        <v>F25B1B03B1880400C834002000000015</v>
      </c>
      <c r="G971" s="1" t="s">
        <v>26</v>
      </c>
      <c r="H971" s="1" t="str">
        <f t="shared" si="155"/>
        <v>20220930</v>
      </c>
      <c r="I971" s="1" t="str">
        <f>"130547"</f>
        <v>130547</v>
      </c>
      <c r="J971" s="1" t="s">
        <v>60</v>
      </c>
      <c r="K971" s="1" t="s">
        <v>52</v>
      </c>
      <c r="L971" s="1" t="str">
        <f t="shared" si="156"/>
        <v>20220930</v>
      </c>
      <c r="M971" s="1" t="str">
        <f>"132927"</f>
        <v>132927</v>
      </c>
      <c r="N971" s="1" t="s">
        <v>70</v>
      </c>
      <c r="O971" s="1" t="s">
        <v>28</v>
      </c>
      <c r="P971" s="1" t="s">
        <v>68</v>
      </c>
      <c r="Q971" s="1">
        <v>13</v>
      </c>
      <c r="R971" s="1">
        <v>0</v>
      </c>
      <c r="S971" s="1">
        <v>0</v>
      </c>
      <c r="T971" s="1">
        <v>13</v>
      </c>
      <c r="U971" s="1">
        <v>0</v>
      </c>
      <c r="V971" s="1" t="str">
        <f t="shared" si="153"/>
        <v>里程去程</v>
      </c>
      <c r="W971" s="1" t="s">
        <v>29</v>
      </c>
    </row>
    <row r="972" spans="1:23" x14ac:dyDescent="0.3">
      <c r="A972" s="1" t="str">
        <f t="shared" si="154"/>
        <v>59822</v>
      </c>
      <c r="B972" s="1" t="s">
        <v>39</v>
      </c>
      <c r="C972" s="1" t="s">
        <v>40</v>
      </c>
      <c r="D972" s="1" t="str">
        <f t="shared" si="152"/>
        <v>9801</v>
      </c>
      <c r="E972" s="1" t="s">
        <v>25</v>
      </c>
      <c r="F972" s="1" t="str">
        <f>"1483052321"</f>
        <v>1483052321</v>
      </c>
      <c r="G972" s="1" t="s">
        <v>33</v>
      </c>
      <c r="H972" s="1" t="str">
        <f t="shared" si="155"/>
        <v>20220930</v>
      </c>
      <c r="I972" s="1" t="str">
        <f>"133531"</f>
        <v>133531</v>
      </c>
      <c r="J972" s="1" t="s">
        <v>27</v>
      </c>
      <c r="K972" s="1" t="s">
        <v>28</v>
      </c>
      <c r="L972" s="1" t="str">
        <f t="shared" si="156"/>
        <v>20220930</v>
      </c>
      <c r="M972" s="1" t="str">
        <f>"135256"</f>
        <v>135256</v>
      </c>
      <c r="N972" s="1" t="s">
        <v>100</v>
      </c>
      <c r="O972" s="1" t="s">
        <v>45</v>
      </c>
      <c r="P972" s="1" t="s">
        <v>55</v>
      </c>
      <c r="Q972" s="1">
        <v>25</v>
      </c>
      <c r="R972" s="1">
        <v>25</v>
      </c>
      <c r="S972" s="1">
        <v>0</v>
      </c>
      <c r="T972" s="1">
        <v>0</v>
      </c>
      <c r="U972" s="1">
        <v>0</v>
      </c>
      <c r="V972" s="1" t="str">
        <f t="shared" si="153"/>
        <v>里程去程</v>
      </c>
      <c r="W972" s="1" t="s">
        <v>35</v>
      </c>
    </row>
    <row r="973" spans="1:23" x14ac:dyDescent="0.3">
      <c r="A973" s="1" t="str">
        <f t="shared" si="154"/>
        <v>59822</v>
      </c>
      <c r="B973" s="1" t="s">
        <v>39</v>
      </c>
      <c r="C973" s="1" t="s">
        <v>40</v>
      </c>
      <c r="D973" s="1" t="str">
        <f t="shared" si="152"/>
        <v>9801</v>
      </c>
      <c r="E973" s="1" t="s">
        <v>25</v>
      </c>
      <c r="F973" s="1" t="str">
        <f>"1257864449"</f>
        <v>1257864449</v>
      </c>
      <c r="G973" s="1" t="s">
        <v>33</v>
      </c>
      <c r="H973" s="1" t="str">
        <f t="shared" si="155"/>
        <v>20220930</v>
      </c>
      <c r="I973" s="1" t="str">
        <f>"133554"</f>
        <v>133554</v>
      </c>
      <c r="J973" s="1" t="s">
        <v>27</v>
      </c>
      <c r="K973" s="1" t="s">
        <v>28</v>
      </c>
      <c r="L973" s="1" t="str">
        <f t="shared" si="156"/>
        <v>20220930</v>
      </c>
      <c r="M973" s="1" t="str">
        <f>"135146"</f>
        <v>135146</v>
      </c>
      <c r="N973" s="1" t="s">
        <v>100</v>
      </c>
      <c r="O973" s="1" t="s">
        <v>45</v>
      </c>
      <c r="P973" s="1" t="s">
        <v>55</v>
      </c>
      <c r="Q973" s="1">
        <v>25</v>
      </c>
      <c r="R973" s="1">
        <v>25</v>
      </c>
      <c r="S973" s="1">
        <v>0</v>
      </c>
      <c r="T973" s="1">
        <v>0</v>
      </c>
      <c r="U973" s="1">
        <v>0</v>
      </c>
      <c r="V973" s="1" t="str">
        <f t="shared" si="153"/>
        <v>里程去程</v>
      </c>
      <c r="W973" s="1" t="s">
        <v>35</v>
      </c>
    </row>
    <row r="974" spans="1:23" x14ac:dyDescent="0.3">
      <c r="A974" s="1" t="str">
        <f t="shared" si="154"/>
        <v>59822</v>
      </c>
      <c r="B974" s="1" t="s">
        <v>39</v>
      </c>
      <c r="C974" s="1" t="s">
        <v>40</v>
      </c>
      <c r="D974" s="1" t="str">
        <f t="shared" si="152"/>
        <v>9801</v>
      </c>
      <c r="E974" s="1" t="s">
        <v>25</v>
      </c>
      <c r="F974" s="1" t="str">
        <f>"F27CE6026A880400C834002000000015"</f>
        <v>F27CE6026A880400C834002000000015</v>
      </c>
      <c r="G974" s="1" t="s">
        <v>74</v>
      </c>
      <c r="H974" s="1" t="str">
        <f t="shared" si="155"/>
        <v>20220930</v>
      </c>
      <c r="I974" s="1" t="str">
        <f>"145644"</f>
        <v>145644</v>
      </c>
      <c r="J974" s="1" t="s">
        <v>52</v>
      </c>
      <c r="K974" s="1" t="s">
        <v>52</v>
      </c>
      <c r="L974" s="1" t="str">
        <f t="shared" si="156"/>
        <v>20220930</v>
      </c>
      <c r="M974" s="1" t="str">
        <f>"150640"</f>
        <v>150640</v>
      </c>
      <c r="N974" s="1" t="s">
        <v>60</v>
      </c>
      <c r="O974" s="1" t="s">
        <v>52</v>
      </c>
      <c r="P974" s="1" t="s">
        <v>68</v>
      </c>
      <c r="Q974" s="1">
        <v>13</v>
      </c>
      <c r="R974" s="1">
        <v>0</v>
      </c>
      <c r="S974" s="1">
        <v>0</v>
      </c>
      <c r="T974" s="1">
        <v>13</v>
      </c>
      <c r="U974" s="1">
        <v>0</v>
      </c>
      <c r="V974" s="1" t="str">
        <f t="shared" si="153"/>
        <v>里程去程</v>
      </c>
      <c r="W974" s="1" t="s">
        <v>29</v>
      </c>
    </row>
    <row r="975" spans="1:23" x14ac:dyDescent="0.3">
      <c r="A975" s="1" t="str">
        <f t="shared" si="154"/>
        <v>59822</v>
      </c>
      <c r="B975" s="1" t="s">
        <v>39</v>
      </c>
      <c r="C975" s="1" t="s">
        <v>40</v>
      </c>
      <c r="D975" s="1" t="str">
        <f t="shared" si="152"/>
        <v>9801</v>
      </c>
      <c r="E975" s="1" t="s">
        <v>25</v>
      </c>
      <c r="F975" s="1" t="str">
        <f>"C2F219032A880400C834002000000015"</f>
        <v>C2F219032A880400C834002000000015</v>
      </c>
      <c r="G975" s="1" t="s">
        <v>26</v>
      </c>
      <c r="H975" s="1" t="str">
        <f t="shared" si="155"/>
        <v>20220930</v>
      </c>
      <c r="I975" s="1" t="str">
        <f>"150448"</f>
        <v>150448</v>
      </c>
      <c r="J975" s="1" t="s">
        <v>86</v>
      </c>
      <c r="K975" s="1" t="s">
        <v>52</v>
      </c>
      <c r="L975" s="1" t="str">
        <f t="shared" si="156"/>
        <v>20220930</v>
      </c>
      <c r="M975" s="1" t="str">
        <f>"150846"</f>
        <v>150846</v>
      </c>
      <c r="N975" s="1" t="s">
        <v>51</v>
      </c>
      <c r="O975" s="1" t="s">
        <v>52</v>
      </c>
      <c r="P975" s="1" t="s">
        <v>68</v>
      </c>
      <c r="Q975" s="1">
        <v>13</v>
      </c>
      <c r="R975" s="1">
        <v>0</v>
      </c>
      <c r="S975" s="1">
        <v>0</v>
      </c>
      <c r="T975" s="1">
        <v>13</v>
      </c>
      <c r="U975" s="1">
        <v>0</v>
      </c>
      <c r="V975" s="1" t="str">
        <f t="shared" si="153"/>
        <v>里程去程</v>
      </c>
      <c r="W975" s="1" t="s">
        <v>29</v>
      </c>
    </row>
    <row r="976" spans="1:23" x14ac:dyDescent="0.3">
      <c r="A976" s="1" t="str">
        <f t="shared" si="154"/>
        <v>59822</v>
      </c>
      <c r="B976" s="1" t="s">
        <v>39</v>
      </c>
      <c r="C976" s="1" t="s">
        <v>40</v>
      </c>
      <c r="D976" s="1" t="str">
        <f t="shared" si="152"/>
        <v>9801</v>
      </c>
      <c r="E976" s="1" t="s">
        <v>25</v>
      </c>
      <c r="F976" s="1" t="str">
        <f>"814142689"</f>
        <v>814142689</v>
      </c>
      <c r="G976" s="1" t="s">
        <v>26</v>
      </c>
      <c r="H976" s="1" t="str">
        <f t="shared" si="155"/>
        <v>20220930</v>
      </c>
      <c r="I976" s="1" t="str">
        <f>"151617"</f>
        <v>151617</v>
      </c>
      <c r="J976" s="1" t="s">
        <v>80</v>
      </c>
      <c r="K976" s="1" t="s">
        <v>52</v>
      </c>
      <c r="L976" s="1" t="str">
        <f t="shared" si="156"/>
        <v>20220930</v>
      </c>
      <c r="M976" s="1" t="str">
        <f>"153119"</f>
        <v>153119</v>
      </c>
      <c r="N976" s="1" t="s">
        <v>70</v>
      </c>
      <c r="O976" s="1" t="s">
        <v>28</v>
      </c>
      <c r="P976" s="1" t="s">
        <v>55</v>
      </c>
      <c r="Q976" s="1">
        <v>13</v>
      </c>
      <c r="R976" s="1">
        <v>13</v>
      </c>
      <c r="S976" s="1">
        <v>0</v>
      </c>
      <c r="T976" s="1">
        <v>0</v>
      </c>
      <c r="U976" s="1">
        <v>0</v>
      </c>
      <c r="V976" s="1" t="str">
        <f t="shared" si="153"/>
        <v>里程去程</v>
      </c>
      <c r="W976" s="1" t="s">
        <v>35</v>
      </c>
    </row>
    <row r="977" spans="1:23" x14ac:dyDescent="0.3">
      <c r="A977" s="1" t="str">
        <f t="shared" si="154"/>
        <v>59822</v>
      </c>
      <c r="B977" s="1" t="s">
        <v>39</v>
      </c>
      <c r="C977" s="1" t="s">
        <v>40</v>
      </c>
      <c r="D977" s="1" t="str">
        <f t="shared" si="152"/>
        <v>9801</v>
      </c>
      <c r="E977" s="1" t="s">
        <v>25</v>
      </c>
      <c r="F977" s="1" t="str">
        <f>"888690417"</f>
        <v>888690417</v>
      </c>
      <c r="G977" s="1" t="s">
        <v>26</v>
      </c>
      <c r="H977" s="1" t="str">
        <f t="shared" si="155"/>
        <v>20220930</v>
      </c>
      <c r="I977" s="1" t="str">
        <f>"151619"</f>
        <v>151619</v>
      </c>
      <c r="J977" s="1" t="s">
        <v>80</v>
      </c>
      <c r="K977" s="1" t="s">
        <v>52</v>
      </c>
      <c r="L977" s="1" t="str">
        <f t="shared" si="156"/>
        <v>20220930</v>
      </c>
      <c r="M977" s="1" t="str">
        <f>"153117"</f>
        <v>153117</v>
      </c>
      <c r="N977" s="1" t="s">
        <v>70</v>
      </c>
      <c r="O977" s="1" t="s">
        <v>28</v>
      </c>
      <c r="P977" s="1" t="s">
        <v>55</v>
      </c>
      <c r="Q977" s="1">
        <v>13</v>
      </c>
      <c r="R977" s="1">
        <v>13</v>
      </c>
      <c r="S977" s="1">
        <v>0</v>
      </c>
      <c r="T977" s="1">
        <v>0</v>
      </c>
      <c r="U977" s="1">
        <v>0</v>
      </c>
      <c r="V977" s="1" t="str">
        <f t="shared" si="153"/>
        <v>里程去程</v>
      </c>
      <c r="W977" s="1" t="s">
        <v>35</v>
      </c>
    </row>
    <row r="978" spans="1:23" x14ac:dyDescent="0.3">
      <c r="A978" s="1" t="str">
        <f t="shared" si="154"/>
        <v>59822</v>
      </c>
      <c r="B978" s="1" t="s">
        <v>39</v>
      </c>
      <c r="C978" s="1" t="s">
        <v>40</v>
      </c>
      <c r="D978" s="1" t="str">
        <f t="shared" si="152"/>
        <v>9801</v>
      </c>
      <c r="E978" s="1" t="s">
        <v>25</v>
      </c>
      <c r="F978" s="1" t="str">
        <f>"02B06702D7880400C821002000000015"</f>
        <v>02B06702D7880400C821002000000015</v>
      </c>
      <c r="G978" s="1" t="s">
        <v>59</v>
      </c>
      <c r="H978" s="1" t="str">
        <f t="shared" si="155"/>
        <v>20220930</v>
      </c>
      <c r="I978" s="1" t="str">
        <f>"152333"</f>
        <v>152333</v>
      </c>
      <c r="J978" s="1" t="s">
        <v>78</v>
      </c>
      <c r="K978" s="1" t="s">
        <v>52</v>
      </c>
      <c r="L978" s="1" t="str">
        <f t="shared" si="156"/>
        <v>20220930</v>
      </c>
      <c r="M978" s="1" t="str">
        <f>"153125"</f>
        <v>153125</v>
      </c>
      <c r="N978" s="1" t="s">
        <v>70</v>
      </c>
      <c r="O978" s="1" t="s">
        <v>28</v>
      </c>
      <c r="P978" s="1" t="s">
        <v>55</v>
      </c>
      <c r="Q978" s="1">
        <v>25</v>
      </c>
      <c r="R978" s="1">
        <v>25</v>
      </c>
      <c r="S978" s="1">
        <v>0</v>
      </c>
      <c r="T978" s="1">
        <v>0</v>
      </c>
      <c r="U978" s="1">
        <v>0</v>
      </c>
      <c r="V978" s="1" t="str">
        <f t="shared" si="153"/>
        <v>里程去程</v>
      </c>
      <c r="W978" s="1" t="s">
        <v>29</v>
      </c>
    </row>
    <row r="979" spans="1:23" x14ac:dyDescent="0.3">
      <c r="A979" s="1" t="str">
        <f t="shared" si="154"/>
        <v>59822</v>
      </c>
      <c r="B979" s="1" t="s">
        <v>39</v>
      </c>
      <c r="C979" s="1" t="s">
        <v>40</v>
      </c>
      <c r="D979" s="1" t="str">
        <f t="shared" si="152"/>
        <v>9801</v>
      </c>
      <c r="E979" s="1" t="s">
        <v>25</v>
      </c>
      <c r="F979" s="1" t="str">
        <f>"3390944744"</f>
        <v>3390944744</v>
      </c>
      <c r="G979" s="1" t="s">
        <v>33</v>
      </c>
      <c r="H979" s="1" t="str">
        <f t="shared" si="155"/>
        <v>20220930</v>
      </c>
      <c r="I979" s="1" t="str">
        <f>"153140"</f>
        <v>153140</v>
      </c>
      <c r="J979" s="1" t="s">
        <v>27</v>
      </c>
      <c r="K979" s="1" t="s">
        <v>28</v>
      </c>
      <c r="L979" s="1" t="str">
        <f t="shared" si="156"/>
        <v>20220930</v>
      </c>
      <c r="M979" s="1" t="str">
        <f>"155448"</f>
        <v>155448</v>
      </c>
      <c r="N979" s="1" t="s">
        <v>100</v>
      </c>
      <c r="O979" s="1" t="s">
        <v>45</v>
      </c>
      <c r="P979" s="1" t="s">
        <v>55</v>
      </c>
      <c r="Q979" s="1">
        <v>25</v>
      </c>
      <c r="R979" s="1">
        <v>25</v>
      </c>
      <c r="S979" s="1">
        <v>0</v>
      </c>
      <c r="T979" s="1">
        <v>0</v>
      </c>
      <c r="U979" s="1">
        <v>0</v>
      </c>
      <c r="V979" s="1" t="str">
        <f t="shared" si="153"/>
        <v>里程去程</v>
      </c>
      <c r="W979" s="1" t="s">
        <v>35</v>
      </c>
    </row>
    <row r="980" spans="1:23" x14ac:dyDescent="0.3">
      <c r="A980" s="1" t="str">
        <f t="shared" si="154"/>
        <v>59822</v>
      </c>
      <c r="B980" s="1" t="s">
        <v>39</v>
      </c>
      <c r="C980" s="1" t="s">
        <v>40</v>
      </c>
      <c r="D980" s="1" t="str">
        <f t="shared" si="152"/>
        <v>9801</v>
      </c>
      <c r="E980" s="1" t="s">
        <v>25</v>
      </c>
      <c r="F980" s="1" t="str">
        <f>"587340785"</f>
        <v>587340785</v>
      </c>
      <c r="G980" s="1" t="s">
        <v>33</v>
      </c>
      <c r="H980" s="1" t="str">
        <f t="shared" si="155"/>
        <v>20220930</v>
      </c>
      <c r="I980" s="1" t="str">
        <f>"153144"</f>
        <v>153144</v>
      </c>
      <c r="J980" s="1" t="s">
        <v>27</v>
      </c>
      <c r="K980" s="1" t="s">
        <v>28</v>
      </c>
      <c r="L980" s="1" t="str">
        <f t="shared" si="156"/>
        <v>20220930</v>
      </c>
      <c r="M980" s="1" t="str">
        <f>"155548"</f>
        <v>155548</v>
      </c>
      <c r="N980" s="1" t="s">
        <v>44</v>
      </c>
      <c r="O980" s="1" t="s">
        <v>45</v>
      </c>
      <c r="P980" s="1" t="s">
        <v>55</v>
      </c>
      <c r="Q980" s="1">
        <v>25</v>
      </c>
      <c r="R980" s="1">
        <v>25</v>
      </c>
      <c r="S980" s="1">
        <v>0</v>
      </c>
      <c r="T980" s="1">
        <v>0</v>
      </c>
      <c r="U980" s="1">
        <v>0</v>
      </c>
      <c r="V980" s="1" t="str">
        <f t="shared" si="153"/>
        <v>里程去程</v>
      </c>
      <c r="W980" s="1" t="s">
        <v>35</v>
      </c>
    </row>
    <row r="981" spans="1:23" x14ac:dyDescent="0.3">
      <c r="A981" s="1" t="str">
        <f t="shared" si="154"/>
        <v>59822</v>
      </c>
      <c r="B981" s="1" t="s">
        <v>39</v>
      </c>
      <c r="C981" s="1" t="s">
        <v>40</v>
      </c>
      <c r="D981" s="1" t="str">
        <f t="shared" si="152"/>
        <v>9801</v>
      </c>
      <c r="E981" s="1" t="s">
        <v>25</v>
      </c>
      <c r="F981" s="1" t="str">
        <f>"599915089"</f>
        <v>599915089</v>
      </c>
      <c r="G981" s="1" t="s">
        <v>33</v>
      </c>
      <c r="H981" s="1" t="str">
        <f t="shared" si="155"/>
        <v>20220930</v>
      </c>
      <c r="I981" s="1" t="str">
        <f>"160847"</f>
        <v>160847</v>
      </c>
      <c r="J981" s="1" t="s">
        <v>60</v>
      </c>
      <c r="K981" s="1" t="s">
        <v>52</v>
      </c>
      <c r="L981" s="1" t="str">
        <f t="shared" si="156"/>
        <v>20220930</v>
      </c>
      <c r="M981" s="1" t="str">
        <f>"161857"</f>
        <v>161857</v>
      </c>
      <c r="N981" s="1" t="s">
        <v>97</v>
      </c>
      <c r="O981" s="1" t="s">
        <v>52</v>
      </c>
      <c r="P981" s="1" t="s">
        <v>55</v>
      </c>
      <c r="Q981" s="1">
        <v>25</v>
      </c>
      <c r="R981" s="1">
        <v>25</v>
      </c>
      <c r="S981" s="1">
        <v>0</v>
      </c>
      <c r="T981" s="1">
        <v>0</v>
      </c>
      <c r="U981" s="1">
        <v>0</v>
      </c>
      <c r="V981" s="1" t="str">
        <f t="shared" si="153"/>
        <v>里程去程</v>
      </c>
      <c r="W981" s="1" t="s">
        <v>35</v>
      </c>
    </row>
    <row r="982" spans="1:23" x14ac:dyDescent="0.3">
      <c r="A982" s="1" t="str">
        <f t="shared" si="154"/>
        <v>59822</v>
      </c>
      <c r="B982" s="1" t="s">
        <v>39</v>
      </c>
      <c r="C982" s="1" t="s">
        <v>40</v>
      </c>
      <c r="D982" s="1" t="str">
        <f t="shared" si="152"/>
        <v>9801</v>
      </c>
      <c r="E982" s="1" t="s">
        <v>25</v>
      </c>
      <c r="F982" s="1" t="str">
        <f>"894153189"</f>
        <v>894153189</v>
      </c>
      <c r="G982" s="1" t="s">
        <v>33</v>
      </c>
      <c r="H982" s="1" t="str">
        <f t="shared" si="155"/>
        <v>20220930</v>
      </c>
      <c r="I982" s="1" t="str">
        <f>"161557"</f>
        <v>161557</v>
      </c>
      <c r="J982" s="1" t="s">
        <v>72</v>
      </c>
      <c r="K982" s="1" t="s">
        <v>52</v>
      </c>
      <c r="L982" s="1" t="str">
        <f t="shared" si="156"/>
        <v>20220930</v>
      </c>
      <c r="M982" s="1" t="str">
        <f>"163637"</f>
        <v>163637</v>
      </c>
      <c r="N982" s="1" t="s">
        <v>70</v>
      </c>
      <c r="O982" s="1" t="s">
        <v>28</v>
      </c>
      <c r="P982" s="1" t="s">
        <v>55</v>
      </c>
      <c r="Q982" s="1">
        <v>25</v>
      </c>
      <c r="R982" s="1">
        <v>25</v>
      </c>
      <c r="S982" s="1">
        <v>0</v>
      </c>
      <c r="T982" s="1">
        <v>0</v>
      </c>
      <c r="U982" s="1">
        <v>0</v>
      </c>
      <c r="V982" s="1" t="str">
        <f t="shared" si="153"/>
        <v>里程去程</v>
      </c>
      <c r="W982" s="1" t="s">
        <v>35</v>
      </c>
    </row>
    <row r="983" spans="1:23" x14ac:dyDescent="0.3">
      <c r="A983" s="1" t="str">
        <f t="shared" si="154"/>
        <v>59822</v>
      </c>
      <c r="B983" s="1" t="s">
        <v>39</v>
      </c>
      <c r="C983" s="1" t="s">
        <v>40</v>
      </c>
      <c r="D983" s="1" t="str">
        <f t="shared" si="152"/>
        <v>9801</v>
      </c>
      <c r="E983" s="1" t="s">
        <v>25</v>
      </c>
      <c r="F983" s="1" t="str">
        <f>"512378177"</f>
        <v>512378177</v>
      </c>
      <c r="G983" s="1" t="s">
        <v>33</v>
      </c>
      <c r="H983" s="1" t="str">
        <f t="shared" si="155"/>
        <v>20220930</v>
      </c>
      <c r="I983" s="1" t="str">
        <f>"163650"</f>
        <v>163650</v>
      </c>
      <c r="J983" s="1" t="s">
        <v>27</v>
      </c>
      <c r="K983" s="1" t="s">
        <v>28</v>
      </c>
      <c r="L983" s="1" t="str">
        <f t="shared" si="156"/>
        <v>20220930</v>
      </c>
      <c r="M983" s="1" t="str">
        <f>"164908"</f>
        <v>164908</v>
      </c>
      <c r="N983" s="1" t="s">
        <v>61</v>
      </c>
      <c r="O983" s="1" t="s">
        <v>45</v>
      </c>
      <c r="P983" s="1" t="s">
        <v>55</v>
      </c>
      <c r="Q983" s="1">
        <v>25</v>
      </c>
      <c r="R983" s="1">
        <v>0</v>
      </c>
      <c r="S983" s="1">
        <v>25</v>
      </c>
      <c r="T983" s="1">
        <v>0</v>
      </c>
      <c r="U983" s="1">
        <v>0</v>
      </c>
      <c r="V983" s="1" t="str">
        <f t="shared" si="153"/>
        <v>里程去程</v>
      </c>
      <c r="W983" s="1" t="s">
        <v>35</v>
      </c>
    </row>
    <row r="984" spans="1:23" x14ac:dyDescent="0.3">
      <c r="A984" s="1" t="str">
        <f t="shared" si="154"/>
        <v>59822</v>
      </c>
      <c r="B984" s="1" t="s">
        <v>39</v>
      </c>
      <c r="C984" s="1" t="s">
        <v>40</v>
      </c>
      <c r="D984" s="1" t="str">
        <f t="shared" si="152"/>
        <v>9801</v>
      </c>
      <c r="E984" s="1" t="s">
        <v>25</v>
      </c>
      <c r="F984" s="1" t="str">
        <f>"71F12961C82804001C00000000000000"</f>
        <v>71F12961C82804001C00000000000000</v>
      </c>
      <c r="G984" s="1" t="s">
        <v>58</v>
      </c>
      <c r="H984" s="1" t="str">
        <f t="shared" si="155"/>
        <v>20220930</v>
      </c>
      <c r="I984" s="1" t="str">
        <f>"163657"</f>
        <v>163657</v>
      </c>
      <c r="J984" s="1" t="s">
        <v>27</v>
      </c>
      <c r="K984" s="1" t="s">
        <v>28</v>
      </c>
      <c r="L984" s="1" t="str">
        <f t="shared" si="156"/>
        <v>20220930</v>
      </c>
      <c r="M984" s="1" t="str">
        <f>"165200"</f>
        <v>165200</v>
      </c>
      <c r="N984" s="1" t="s">
        <v>75</v>
      </c>
      <c r="O984" s="1" t="s">
        <v>45</v>
      </c>
      <c r="P984" s="1" t="s">
        <v>55</v>
      </c>
      <c r="Q984" s="1">
        <v>25</v>
      </c>
      <c r="R984" s="1">
        <v>0</v>
      </c>
      <c r="S984" s="1">
        <v>25</v>
      </c>
      <c r="T984" s="1">
        <v>0</v>
      </c>
      <c r="U984" s="1">
        <v>0</v>
      </c>
      <c r="V984" s="1" t="str">
        <f t="shared" si="153"/>
        <v>里程去程</v>
      </c>
      <c r="W984" s="1" t="s">
        <v>29</v>
      </c>
    </row>
    <row r="985" spans="1:23" x14ac:dyDescent="0.3">
      <c r="A985" s="1" t="str">
        <f t="shared" si="154"/>
        <v>59822</v>
      </c>
      <c r="B985" s="1" t="s">
        <v>39</v>
      </c>
      <c r="C985" s="1" t="s">
        <v>40</v>
      </c>
      <c r="D985" s="1" t="str">
        <f t="shared" si="152"/>
        <v>9801</v>
      </c>
      <c r="E985" s="1" t="s">
        <v>25</v>
      </c>
      <c r="F985" s="1" t="str">
        <f>"1511848370"</f>
        <v>1511848370</v>
      </c>
      <c r="G985" s="1" t="s">
        <v>33</v>
      </c>
      <c r="H985" s="1" t="str">
        <f t="shared" si="155"/>
        <v>20220930</v>
      </c>
      <c r="I985" s="1" t="str">
        <f>"163701"</f>
        <v>163701</v>
      </c>
      <c r="J985" s="1" t="s">
        <v>27</v>
      </c>
      <c r="K985" s="1" t="s">
        <v>28</v>
      </c>
      <c r="L985" s="1" t="str">
        <f t="shared" si="156"/>
        <v>20220930</v>
      </c>
      <c r="M985" s="1" t="str">
        <f>"164944"</f>
        <v>164944</v>
      </c>
      <c r="N985" s="1" t="s">
        <v>56</v>
      </c>
      <c r="O985" s="1" t="s">
        <v>45</v>
      </c>
      <c r="P985" s="1" t="s">
        <v>55</v>
      </c>
      <c r="Q985" s="1">
        <v>25</v>
      </c>
      <c r="R985" s="1">
        <v>25</v>
      </c>
      <c r="S985" s="1">
        <v>0</v>
      </c>
      <c r="T985" s="1">
        <v>0</v>
      </c>
      <c r="U985" s="1">
        <v>0</v>
      </c>
      <c r="V985" s="1" t="str">
        <f t="shared" si="153"/>
        <v>里程去程</v>
      </c>
      <c r="W985" s="1" t="s">
        <v>35</v>
      </c>
    </row>
    <row r="986" spans="1:23" x14ac:dyDescent="0.3">
      <c r="A986" s="1" t="str">
        <f t="shared" si="154"/>
        <v>59822</v>
      </c>
      <c r="B986" s="1" t="s">
        <v>39</v>
      </c>
      <c r="C986" s="1" t="s">
        <v>40</v>
      </c>
      <c r="D986" s="1" t="str">
        <f t="shared" si="152"/>
        <v>9801</v>
      </c>
      <c r="E986" s="1" t="s">
        <v>25</v>
      </c>
      <c r="F986" s="1" t="str">
        <f>"E293E60295880400C834002000000015"</f>
        <v>E293E60295880400C834002000000015</v>
      </c>
      <c r="G986" s="1" t="s">
        <v>74</v>
      </c>
      <c r="H986" s="1" t="str">
        <f t="shared" si="155"/>
        <v>20220930</v>
      </c>
      <c r="I986" s="1" t="str">
        <f>"200249"</f>
        <v>200249</v>
      </c>
      <c r="J986" s="1" t="s">
        <v>52</v>
      </c>
      <c r="K986" s="1" t="s">
        <v>52</v>
      </c>
      <c r="L986" s="1" t="str">
        <f t="shared" si="156"/>
        <v>20220930</v>
      </c>
      <c r="M986" s="1" t="str">
        <f>"201647"</f>
        <v>201647</v>
      </c>
      <c r="N986" s="1" t="s">
        <v>80</v>
      </c>
      <c r="O986" s="1" t="s">
        <v>52</v>
      </c>
      <c r="P986" s="1" t="s">
        <v>68</v>
      </c>
      <c r="Q986" s="1">
        <v>13</v>
      </c>
      <c r="R986" s="1">
        <v>0</v>
      </c>
      <c r="S986" s="1">
        <v>0</v>
      </c>
      <c r="T986" s="1">
        <v>13</v>
      </c>
      <c r="U986" s="1">
        <v>0</v>
      </c>
      <c r="V986" s="1" t="str">
        <f t="shared" si="153"/>
        <v>里程去程</v>
      </c>
      <c r="W986" s="1" t="s">
        <v>29</v>
      </c>
    </row>
    <row r="987" spans="1:23" x14ac:dyDescent="0.3">
      <c r="A987" s="1" t="str">
        <f t="shared" si="154"/>
        <v>59822</v>
      </c>
      <c r="B987" s="1" t="s">
        <v>39</v>
      </c>
      <c r="C987" s="1" t="s">
        <v>40</v>
      </c>
      <c r="D987" s="1" t="str">
        <f t="shared" si="152"/>
        <v>9801</v>
      </c>
      <c r="E987" s="1" t="s">
        <v>25</v>
      </c>
      <c r="F987" s="1" t="str">
        <f>"C2C219031A880400C834002000000015"</f>
        <v>C2C219031A880400C834002000000015</v>
      </c>
      <c r="G987" s="1" t="s">
        <v>74</v>
      </c>
      <c r="H987" s="1" t="str">
        <f t="shared" si="155"/>
        <v>20220930</v>
      </c>
      <c r="I987" s="1" t="str">
        <f>"200303"</f>
        <v>200303</v>
      </c>
      <c r="J987" s="1" t="s">
        <v>52</v>
      </c>
      <c r="K987" s="1" t="s">
        <v>52</v>
      </c>
      <c r="L987" s="1" t="str">
        <f t="shared" si="156"/>
        <v>20220930</v>
      </c>
      <c r="M987" s="1" t="str">
        <f>"201653"</f>
        <v>201653</v>
      </c>
      <c r="N987" s="1" t="s">
        <v>80</v>
      </c>
      <c r="O987" s="1" t="s">
        <v>52</v>
      </c>
      <c r="P987" s="1" t="s">
        <v>68</v>
      </c>
      <c r="Q987" s="1">
        <v>13</v>
      </c>
      <c r="R987" s="1">
        <v>0</v>
      </c>
      <c r="S987" s="1">
        <v>0</v>
      </c>
      <c r="T987" s="1">
        <v>13</v>
      </c>
      <c r="U987" s="1">
        <v>0</v>
      </c>
      <c r="V987" s="1" t="str">
        <f t="shared" si="153"/>
        <v>里程去程</v>
      </c>
      <c r="W987" s="1" t="s">
        <v>29</v>
      </c>
    </row>
    <row r="988" spans="1:23" x14ac:dyDescent="0.3">
      <c r="A988" s="1" t="str">
        <f>"59828"</f>
        <v>59828</v>
      </c>
      <c r="B988" s="1" t="s">
        <v>23</v>
      </c>
      <c r="C988" s="1" t="s">
        <v>24</v>
      </c>
      <c r="D988" s="1" t="str">
        <f t="shared" si="152"/>
        <v>9801</v>
      </c>
      <c r="E988" s="1" t="s">
        <v>25</v>
      </c>
      <c r="F988" s="1" t="str">
        <f>"1674332065"</f>
        <v>1674332065</v>
      </c>
      <c r="G988" s="1" t="s">
        <v>33</v>
      </c>
      <c r="H988" s="1" t="str">
        <f t="shared" si="155"/>
        <v>20220930</v>
      </c>
      <c r="I988" s="1" t="str">
        <f>"083330"</f>
        <v>083330</v>
      </c>
      <c r="J988" s="1" t="s">
        <v>27</v>
      </c>
      <c r="K988" s="1" t="s">
        <v>28</v>
      </c>
      <c r="L988" s="1" t="str">
        <f t="shared" si="156"/>
        <v>20220930</v>
      </c>
      <c r="M988" s="1" t="str">
        <f>"085502"</f>
        <v>085502</v>
      </c>
      <c r="N988" s="1" t="s">
        <v>44</v>
      </c>
      <c r="O988" s="1" t="s">
        <v>45</v>
      </c>
      <c r="P988" s="1" t="s">
        <v>55</v>
      </c>
      <c r="Q988" s="1">
        <v>25</v>
      </c>
      <c r="R988" s="1">
        <v>0</v>
      </c>
      <c r="S988" s="1">
        <v>25</v>
      </c>
      <c r="T988" s="1">
        <v>0</v>
      </c>
      <c r="U988" s="1">
        <v>0</v>
      </c>
      <c r="V988" s="1" t="str">
        <f t="shared" si="153"/>
        <v>里程去程</v>
      </c>
      <c r="W988" s="1" t="s">
        <v>35</v>
      </c>
    </row>
    <row r="989" spans="1:23" x14ac:dyDescent="0.3">
      <c r="A989" s="1" t="str">
        <f>"59828"</f>
        <v>59828</v>
      </c>
      <c r="B989" s="1" t="s">
        <v>23</v>
      </c>
      <c r="C989" s="1" t="s">
        <v>24</v>
      </c>
      <c r="D989" s="1" t="str">
        <f t="shared" si="152"/>
        <v>9801</v>
      </c>
      <c r="E989" s="1" t="s">
        <v>25</v>
      </c>
      <c r="F989" s="1" t="str">
        <f>"2077336044"</f>
        <v>2077336044</v>
      </c>
      <c r="G989" s="1" t="s">
        <v>33</v>
      </c>
      <c r="H989" s="1" t="str">
        <f t="shared" si="155"/>
        <v>20220930</v>
      </c>
      <c r="I989" s="1" t="str">
        <f>"090615"</f>
        <v>090615</v>
      </c>
      <c r="J989" s="1" t="s">
        <v>60</v>
      </c>
      <c r="K989" s="1" t="s">
        <v>52</v>
      </c>
      <c r="L989" s="1" t="str">
        <f t="shared" si="156"/>
        <v>20220930</v>
      </c>
      <c r="M989" s="1" t="str">
        <f>"093206"</f>
        <v>093206</v>
      </c>
      <c r="N989" s="1" t="s">
        <v>70</v>
      </c>
      <c r="O989" s="1" t="s">
        <v>28</v>
      </c>
      <c r="P989" s="1" t="s">
        <v>55</v>
      </c>
      <c r="Q989" s="1">
        <v>25</v>
      </c>
      <c r="R989" s="1">
        <v>25</v>
      </c>
      <c r="S989" s="1">
        <v>0</v>
      </c>
      <c r="T989" s="1">
        <v>0</v>
      </c>
      <c r="U989" s="1">
        <v>0</v>
      </c>
      <c r="V989" s="1" t="str">
        <f t="shared" si="153"/>
        <v>里程去程</v>
      </c>
      <c r="W989" s="1" t="s">
        <v>35</v>
      </c>
    </row>
    <row r="990" spans="1:23" x14ac:dyDescent="0.3">
      <c r="A990" s="1" t="str">
        <f>"59828"</f>
        <v>59828</v>
      </c>
      <c r="B990" s="1" t="s">
        <v>23</v>
      </c>
      <c r="C990" s="1" t="s">
        <v>24</v>
      </c>
      <c r="D990" s="1" t="str">
        <f t="shared" si="152"/>
        <v>9801</v>
      </c>
      <c r="E990" s="1" t="s">
        <v>25</v>
      </c>
      <c r="F990" s="1" t="str">
        <f>"32780D0344880400C834002000000015"</f>
        <v>32780D0344880400C834002000000015</v>
      </c>
      <c r="G990" s="1" t="s">
        <v>26</v>
      </c>
      <c r="H990" s="1" t="str">
        <f t="shared" si="155"/>
        <v>20220930</v>
      </c>
      <c r="I990" s="1" t="str">
        <f>"093710"</f>
        <v>093710</v>
      </c>
      <c r="J990" s="1" t="s">
        <v>27</v>
      </c>
      <c r="K990" s="1" t="s">
        <v>28</v>
      </c>
      <c r="L990" s="1" t="str">
        <f t="shared" si="156"/>
        <v>20220930</v>
      </c>
      <c r="M990" s="1" t="str">
        <f>"094807"</f>
        <v>094807</v>
      </c>
      <c r="N990" s="1" t="s">
        <v>56</v>
      </c>
      <c r="O990" s="1" t="s">
        <v>45</v>
      </c>
      <c r="P990" s="1" t="s">
        <v>68</v>
      </c>
      <c r="Q990" s="1">
        <v>13</v>
      </c>
      <c r="R990" s="1">
        <v>0</v>
      </c>
      <c r="S990" s="1">
        <v>0</v>
      </c>
      <c r="T990" s="1">
        <v>13</v>
      </c>
      <c r="U990" s="1">
        <v>0</v>
      </c>
      <c r="V990" s="1" t="str">
        <f t="shared" si="153"/>
        <v>里程去程</v>
      </c>
      <c r="W990" s="1" t="s">
        <v>29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736"/>
  <sheetViews>
    <sheetView workbookViewId="0">
      <selection activeCell="Q18" sqref="Q18"/>
    </sheetView>
  </sheetViews>
  <sheetFormatPr defaultRowHeight="13.8" x14ac:dyDescent="0.3"/>
  <cols>
    <col min="1" max="16384" width="8.88671875" style="1"/>
  </cols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12</v>
      </c>
      <c r="K1" s="1" t="s">
        <v>13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11</v>
      </c>
      <c r="Q1" s="1" t="s">
        <v>7</v>
      </c>
      <c r="R1" s="1" t="s">
        <v>8</v>
      </c>
      <c r="S1" s="1" t="s">
        <v>14</v>
      </c>
      <c r="T1" s="1" t="s">
        <v>116</v>
      </c>
      <c r="U1" s="1" t="s">
        <v>19</v>
      </c>
      <c r="V1" s="1" t="s">
        <v>20</v>
      </c>
      <c r="W1" s="1" t="s">
        <v>22</v>
      </c>
    </row>
    <row r="2" spans="1:23" x14ac:dyDescent="0.3">
      <c r="A2" s="1" t="str">
        <f t="shared" ref="A2:A11" si="0">"59820"</f>
        <v>59820</v>
      </c>
      <c r="B2" s="1" t="s">
        <v>53</v>
      </c>
      <c r="C2" s="1" t="s">
        <v>54</v>
      </c>
      <c r="D2" s="1" t="str">
        <f t="shared" ref="D2:D65" si="1">"9801"</f>
        <v>9801</v>
      </c>
      <c r="E2" s="1" t="s">
        <v>25</v>
      </c>
      <c r="F2" s="1" t="str">
        <f>"4249A416B9880400C814002000000019"</f>
        <v>4249A416B9880400C814002000000019</v>
      </c>
      <c r="G2" s="1" t="s">
        <v>59</v>
      </c>
      <c r="H2" s="1" t="str">
        <f t="shared" ref="H2:H33" si="2">"20220901"</f>
        <v>20220901</v>
      </c>
      <c r="I2" s="1" t="str">
        <f>"173507"</f>
        <v>173507</v>
      </c>
      <c r="J2" s="1" t="s">
        <v>91</v>
      </c>
      <c r="K2" s="1" t="s">
        <v>45</v>
      </c>
      <c r="L2" s="1" t="str">
        <f t="shared" ref="L2:L33" si="3">"20220901"</f>
        <v>20220901</v>
      </c>
      <c r="M2" s="1" t="str">
        <f>"175218"</f>
        <v>175218</v>
      </c>
      <c r="N2" s="1" t="s">
        <v>28</v>
      </c>
      <c r="O2" s="1" t="s">
        <v>28</v>
      </c>
      <c r="P2" s="1" t="s">
        <v>55</v>
      </c>
      <c r="Q2" s="1">
        <v>25</v>
      </c>
      <c r="R2" s="1">
        <v>25</v>
      </c>
      <c r="S2" s="1">
        <v>0</v>
      </c>
      <c r="T2" s="1">
        <v>0</v>
      </c>
      <c r="U2" s="1">
        <v>0</v>
      </c>
      <c r="V2" s="1" t="str">
        <f t="shared" ref="V2:V65" si="4">"里程返程"</f>
        <v>里程返程</v>
      </c>
      <c r="W2" s="1" t="s">
        <v>29</v>
      </c>
    </row>
    <row r="3" spans="1:23" x14ac:dyDescent="0.3">
      <c r="A3" s="1" t="str">
        <f t="shared" si="0"/>
        <v>59820</v>
      </c>
      <c r="B3" s="1" t="s">
        <v>53</v>
      </c>
      <c r="C3" s="1" t="s">
        <v>54</v>
      </c>
      <c r="D3" s="1" t="str">
        <f t="shared" si="1"/>
        <v>9801</v>
      </c>
      <c r="E3" s="1" t="s">
        <v>25</v>
      </c>
      <c r="F3" s="1" t="str">
        <f>"1259149621"</f>
        <v>1259149621</v>
      </c>
      <c r="G3" s="1" t="s">
        <v>38</v>
      </c>
      <c r="H3" s="1" t="str">
        <f t="shared" si="2"/>
        <v>20220901</v>
      </c>
      <c r="I3" s="1" t="str">
        <f>"173509"</f>
        <v>173509</v>
      </c>
      <c r="J3" s="1" t="s">
        <v>91</v>
      </c>
      <c r="K3" s="1" t="s">
        <v>45</v>
      </c>
      <c r="L3" s="1" t="str">
        <f t="shared" si="3"/>
        <v>20220901</v>
      </c>
      <c r="M3" s="1" t="str">
        <f>"175227"</f>
        <v>175227</v>
      </c>
      <c r="N3" s="1" t="s">
        <v>28</v>
      </c>
      <c r="O3" s="1" t="s">
        <v>28</v>
      </c>
      <c r="P3" s="1" t="s">
        <v>55</v>
      </c>
      <c r="Q3" s="1">
        <v>25</v>
      </c>
      <c r="R3" s="1">
        <v>25</v>
      </c>
      <c r="S3" s="1">
        <v>0</v>
      </c>
      <c r="T3" s="1">
        <v>0</v>
      </c>
      <c r="U3" s="1">
        <v>0</v>
      </c>
      <c r="V3" s="1" t="str">
        <f t="shared" si="4"/>
        <v>里程返程</v>
      </c>
      <c r="W3" s="1" t="s">
        <v>35</v>
      </c>
    </row>
    <row r="4" spans="1:23" x14ac:dyDescent="0.3">
      <c r="A4" s="1" t="str">
        <f t="shared" si="0"/>
        <v>59820</v>
      </c>
      <c r="B4" s="1" t="s">
        <v>53</v>
      </c>
      <c r="C4" s="1" t="s">
        <v>54</v>
      </c>
      <c r="D4" s="1" t="str">
        <f t="shared" si="1"/>
        <v>9801</v>
      </c>
      <c r="E4" s="1" t="s">
        <v>25</v>
      </c>
      <c r="F4" s="1" t="str">
        <f>"1769189713"</f>
        <v>1769189713</v>
      </c>
      <c r="G4" s="1" t="s">
        <v>33</v>
      </c>
      <c r="H4" s="1" t="str">
        <f t="shared" si="2"/>
        <v>20220901</v>
      </c>
      <c r="I4" s="1" t="str">
        <f>"175233"</f>
        <v>175233</v>
      </c>
      <c r="J4" s="1" t="s">
        <v>28</v>
      </c>
      <c r="K4" s="1" t="s">
        <v>28</v>
      </c>
      <c r="L4" s="1" t="str">
        <f t="shared" si="3"/>
        <v>20220901</v>
      </c>
      <c r="M4" s="1" t="str">
        <f>"180057"</f>
        <v>180057</v>
      </c>
      <c r="N4" s="1" t="s">
        <v>84</v>
      </c>
      <c r="O4" s="1" t="s">
        <v>28</v>
      </c>
      <c r="P4" s="1" t="s">
        <v>55</v>
      </c>
      <c r="Q4" s="1">
        <v>25</v>
      </c>
      <c r="R4" s="1">
        <v>0</v>
      </c>
      <c r="S4" s="1">
        <v>25</v>
      </c>
      <c r="T4" s="1">
        <v>0</v>
      </c>
      <c r="U4" s="1">
        <v>0</v>
      </c>
      <c r="V4" s="1" t="str">
        <f t="shared" si="4"/>
        <v>里程返程</v>
      </c>
      <c r="W4" s="1" t="s">
        <v>35</v>
      </c>
    </row>
    <row r="5" spans="1:23" x14ac:dyDescent="0.3">
      <c r="A5" s="1" t="str">
        <f t="shared" si="0"/>
        <v>59820</v>
      </c>
      <c r="B5" s="1" t="s">
        <v>53</v>
      </c>
      <c r="C5" s="1" t="s">
        <v>54</v>
      </c>
      <c r="D5" s="1" t="str">
        <f t="shared" si="1"/>
        <v>9801</v>
      </c>
      <c r="E5" s="1" t="s">
        <v>25</v>
      </c>
      <c r="F5" s="1" t="str">
        <f>"1337273169"</f>
        <v>1337273169</v>
      </c>
      <c r="G5" s="1" t="s">
        <v>33</v>
      </c>
      <c r="H5" s="1" t="str">
        <f t="shared" si="2"/>
        <v>20220901</v>
      </c>
      <c r="I5" s="1" t="str">
        <f>"175305"</f>
        <v>175305</v>
      </c>
      <c r="J5" s="1" t="s">
        <v>28</v>
      </c>
      <c r="K5" s="1" t="s">
        <v>28</v>
      </c>
      <c r="L5" s="1" t="str">
        <f t="shared" si="3"/>
        <v>20220901</v>
      </c>
      <c r="M5" s="1" t="str">
        <f>"183045"</f>
        <v>183045</v>
      </c>
      <c r="N5" s="1" t="s">
        <v>52</v>
      </c>
      <c r="O5" s="1" t="s">
        <v>52</v>
      </c>
      <c r="P5" s="1" t="s">
        <v>55</v>
      </c>
      <c r="Q5" s="1">
        <v>25</v>
      </c>
      <c r="R5" s="1">
        <v>0</v>
      </c>
      <c r="S5" s="1">
        <v>25</v>
      </c>
      <c r="T5" s="1">
        <v>0</v>
      </c>
      <c r="U5" s="1">
        <v>0</v>
      </c>
      <c r="V5" s="1" t="str">
        <f t="shared" si="4"/>
        <v>里程返程</v>
      </c>
      <c r="W5" s="1" t="s">
        <v>35</v>
      </c>
    </row>
    <row r="6" spans="1:23" x14ac:dyDescent="0.3">
      <c r="A6" s="1" t="str">
        <f t="shared" si="0"/>
        <v>59820</v>
      </c>
      <c r="B6" s="1" t="s">
        <v>53</v>
      </c>
      <c r="C6" s="1" t="s">
        <v>54</v>
      </c>
      <c r="D6" s="1" t="str">
        <f t="shared" si="1"/>
        <v>9801</v>
      </c>
      <c r="E6" s="1" t="s">
        <v>25</v>
      </c>
      <c r="F6" s="1" t="str">
        <f>"6212BD02CF880400C834002000000015"</f>
        <v>6212BD02CF880400C834002000000015</v>
      </c>
      <c r="G6" s="1" t="s">
        <v>26</v>
      </c>
      <c r="H6" s="1" t="str">
        <f t="shared" si="2"/>
        <v>20220901</v>
      </c>
      <c r="I6" s="1" t="str">
        <f>"185030"</f>
        <v>185030</v>
      </c>
      <c r="J6" s="1" t="s">
        <v>28</v>
      </c>
      <c r="K6" s="1" t="s">
        <v>28</v>
      </c>
      <c r="L6" s="1" t="str">
        <f t="shared" si="3"/>
        <v>20220901</v>
      </c>
      <c r="M6" s="1" t="str">
        <f>"192027"</f>
        <v>192027</v>
      </c>
      <c r="N6" s="1" t="s">
        <v>60</v>
      </c>
      <c r="O6" s="1" t="s">
        <v>52</v>
      </c>
      <c r="P6" s="1" t="s">
        <v>68</v>
      </c>
      <c r="Q6" s="1">
        <v>13</v>
      </c>
      <c r="R6" s="1">
        <v>0</v>
      </c>
      <c r="S6" s="1">
        <v>0</v>
      </c>
      <c r="T6" s="1">
        <v>13</v>
      </c>
      <c r="U6" s="1">
        <v>0</v>
      </c>
      <c r="V6" s="1" t="str">
        <f t="shared" si="4"/>
        <v>里程返程</v>
      </c>
      <c r="W6" s="1" t="s">
        <v>29</v>
      </c>
    </row>
    <row r="7" spans="1:23" x14ac:dyDescent="0.3">
      <c r="A7" s="1" t="str">
        <f t="shared" si="0"/>
        <v>59820</v>
      </c>
      <c r="B7" s="1" t="s">
        <v>53</v>
      </c>
      <c r="C7" s="1" t="s">
        <v>54</v>
      </c>
      <c r="D7" s="1" t="str">
        <f t="shared" si="1"/>
        <v>9801</v>
      </c>
      <c r="E7" s="1" t="s">
        <v>25</v>
      </c>
      <c r="F7" s="1" t="str">
        <f>"2031687200"</f>
        <v>2031687200</v>
      </c>
      <c r="G7" s="1" t="s">
        <v>33</v>
      </c>
      <c r="H7" s="1" t="str">
        <f t="shared" si="2"/>
        <v>20220901</v>
      </c>
      <c r="I7" s="1" t="str">
        <f>"185124"</f>
        <v>185124</v>
      </c>
      <c r="J7" s="1" t="s">
        <v>28</v>
      </c>
      <c r="K7" s="1" t="s">
        <v>28</v>
      </c>
      <c r="L7" s="1" t="str">
        <f t="shared" si="3"/>
        <v>20220901</v>
      </c>
      <c r="M7" s="1" t="str">
        <f>"191512"</f>
        <v>191512</v>
      </c>
      <c r="N7" s="1" t="s">
        <v>65</v>
      </c>
      <c r="O7" s="1" t="s">
        <v>52</v>
      </c>
      <c r="P7" s="1" t="s">
        <v>55</v>
      </c>
      <c r="Q7" s="1">
        <v>25</v>
      </c>
      <c r="R7" s="1">
        <v>25</v>
      </c>
      <c r="S7" s="1">
        <v>0</v>
      </c>
      <c r="T7" s="1">
        <v>0</v>
      </c>
      <c r="U7" s="1">
        <v>0</v>
      </c>
      <c r="V7" s="1" t="str">
        <f t="shared" si="4"/>
        <v>里程返程</v>
      </c>
      <c r="W7" s="1" t="s">
        <v>35</v>
      </c>
    </row>
    <row r="8" spans="1:23" x14ac:dyDescent="0.3">
      <c r="A8" s="1" t="str">
        <f t="shared" si="0"/>
        <v>59820</v>
      </c>
      <c r="B8" s="1" t="s">
        <v>53</v>
      </c>
      <c r="C8" s="1" t="s">
        <v>54</v>
      </c>
      <c r="D8" s="1" t="str">
        <f t="shared" si="1"/>
        <v>9801</v>
      </c>
      <c r="E8" s="1" t="s">
        <v>25</v>
      </c>
      <c r="F8" s="1" t="str">
        <f>"F2C149136928040080CED9985D913018"</f>
        <v>F2C149136928040080CED9985D913018</v>
      </c>
      <c r="G8" s="1" t="s">
        <v>59</v>
      </c>
      <c r="H8" s="1" t="str">
        <f t="shared" si="2"/>
        <v>20220901</v>
      </c>
      <c r="I8" s="1" t="str">
        <f>"185131"</f>
        <v>185131</v>
      </c>
      <c r="J8" s="1" t="s">
        <v>28</v>
      </c>
      <c r="K8" s="1" t="s">
        <v>28</v>
      </c>
      <c r="L8" s="1" t="str">
        <f t="shared" si="3"/>
        <v>20220901</v>
      </c>
      <c r="M8" s="1" t="str">
        <f>"191507"</f>
        <v>191507</v>
      </c>
      <c r="N8" s="1" t="s">
        <v>65</v>
      </c>
      <c r="O8" s="1" t="s">
        <v>52</v>
      </c>
      <c r="P8" s="1" t="s">
        <v>55</v>
      </c>
      <c r="Q8" s="1">
        <v>25</v>
      </c>
      <c r="R8" s="1">
        <v>25</v>
      </c>
      <c r="S8" s="1">
        <v>0</v>
      </c>
      <c r="T8" s="1">
        <v>0</v>
      </c>
      <c r="U8" s="1">
        <v>0</v>
      </c>
      <c r="V8" s="1" t="str">
        <f t="shared" si="4"/>
        <v>里程返程</v>
      </c>
      <c r="W8" s="1" t="s">
        <v>29</v>
      </c>
    </row>
    <row r="9" spans="1:23" x14ac:dyDescent="0.3">
      <c r="A9" s="1" t="str">
        <f t="shared" si="0"/>
        <v>59820</v>
      </c>
      <c r="B9" s="1" t="s">
        <v>53</v>
      </c>
      <c r="C9" s="1" t="s">
        <v>54</v>
      </c>
      <c r="D9" s="1" t="str">
        <f t="shared" si="1"/>
        <v>9801</v>
      </c>
      <c r="E9" s="1" t="s">
        <v>25</v>
      </c>
      <c r="F9" s="1" t="str">
        <f>"1127797057"</f>
        <v>1127797057</v>
      </c>
      <c r="G9" s="1" t="s">
        <v>33</v>
      </c>
      <c r="H9" s="1" t="str">
        <f t="shared" si="2"/>
        <v>20220901</v>
      </c>
      <c r="I9" s="1" t="str">
        <f>"185241"</f>
        <v>185241</v>
      </c>
      <c r="J9" s="1" t="s">
        <v>28</v>
      </c>
      <c r="K9" s="1" t="s">
        <v>28</v>
      </c>
      <c r="L9" s="1" t="str">
        <f t="shared" si="3"/>
        <v>20220901</v>
      </c>
      <c r="M9" s="1" t="str">
        <f>"192041"</f>
        <v>192041</v>
      </c>
      <c r="N9" s="1" t="s">
        <v>60</v>
      </c>
      <c r="O9" s="1" t="s">
        <v>52</v>
      </c>
      <c r="P9" s="1" t="s">
        <v>55</v>
      </c>
      <c r="Q9" s="1">
        <v>25</v>
      </c>
      <c r="R9" s="1">
        <v>25</v>
      </c>
      <c r="S9" s="1">
        <v>0</v>
      </c>
      <c r="T9" s="1">
        <v>0</v>
      </c>
      <c r="U9" s="1">
        <v>0</v>
      </c>
      <c r="V9" s="1" t="str">
        <f t="shared" si="4"/>
        <v>里程返程</v>
      </c>
      <c r="W9" s="1" t="s">
        <v>35</v>
      </c>
    </row>
    <row r="10" spans="1:23" x14ac:dyDescent="0.3">
      <c r="A10" s="1" t="str">
        <f t="shared" si="0"/>
        <v>59820</v>
      </c>
      <c r="B10" s="1" t="s">
        <v>53</v>
      </c>
      <c r="C10" s="1" t="s">
        <v>54</v>
      </c>
      <c r="D10" s="1" t="str">
        <f t="shared" si="1"/>
        <v>9801</v>
      </c>
      <c r="E10" s="1" t="s">
        <v>25</v>
      </c>
      <c r="F10" s="1" t="str">
        <f>"885956401"</f>
        <v>885956401</v>
      </c>
      <c r="G10" s="1" t="s">
        <v>33</v>
      </c>
      <c r="H10" s="1" t="str">
        <f t="shared" si="2"/>
        <v>20220901</v>
      </c>
      <c r="I10" s="1" t="str">
        <f>"185246"</f>
        <v>185246</v>
      </c>
      <c r="J10" s="1" t="s">
        <v>28</v>
      </c>
      <c r="K10" s="1" t="s">
        <v>28</v>
      </c>
      <c r="L10" s="1" t="str">
        <f t="shared" si="3"/>
        <v>20220901</v>
      </c>
      <c r="M10" s="1" t="str">
        <f>"192039"</f>
        <v>192039</v>
      </c>
      <c r="N10" s="1" t="s">
        <v>60</v>
      </c>
      <c r="O10" s="1" t="s">
        <v>52</v>
      </c>
      <c r="P10" s="1" t="s">
        <v>55</v>
      </c>
      <c r="Q10" s="1">
        <v>25</v>
      </c>
      <c r="R10" s="1">
        <v>25</v>
      </c>
      <c r="S10" s="1">
        <v>0</v>
      </c>
      <c r="T10" s="1">
        <v>0</v>
      </c>
      <c r="U10" s="1">
        <v>0</v>
      </c>
      <c r="V10" s="1" t="str">
        <f t="shared" si="4"/>
        <v>里程返程</v>
      </c>
      <c r="W10" s="1" t="s">
        <v>35</v>
      </c>
    </row>
    <row r="11" spans="1:23" x14ac:dyDescent="0.3">
      <c r="A11" s="1" t="str">
        <f t="shared" si="0"/>
        <v>59820</v>
      </c>
      <c r="B11" s="1" t="s">
        <v>53</v>
      </c>
      <c r="C11" s="1" t="s">
        <v>54</v>
      </c>
      <c r="D11" s="1" t="str">
        <f t="shared" si="1"/>
        <v>9801</v>
      </c>
      <c r="E11" s="1" t="s">
        <v>25</v>
      </c>
      <c r="F11" s="1" t="str">
        <f>"2823819688"</f>
        <v>2823819688</v>
      </c>
      <c r="G11" s="1" t="s">
        <v>33</v>
      </c>
      <c r="H11" s="1" t="str">
        <f t="shared" si="2"/>
        <v>20220901</v>
      </c>
      <c r="I11" s="1" t="str">
        <f>"185444"</f>
        <v>185444</v>
      </c>
      <c r="J11" s="1" t="s">
        <v>28</v>
      </c>
      <c r="K11" s="1" t="s">
        <v>28</v>
      </c>
      <c r="L11" s="1" t="str">
        <f t="shared" si="3"/>
        <v>20220901</v>
      </c>
      <c r="M11" s="1" t="str">
        <f>"192358"</f>
        <v>192358</v>
      </c>
      <c r="N11" s="1" t="s">
        <v>52</v>
      </c>
      <c r="O11" s="1" t="s">
        <v>52</v>
      </c>
      <c r="P11" s="1" t="s">
        <v>55</v>
      </c>
      <c r="Q11" s="1">
        <v>25</v>
      </c>
      <c r="R11" s="1">
        <v>25</v>
      </c>
      <c r="S11" s="1">
        <v>0</v>
      </c>
      <c r="T11" s="1">
        <v>0</v>
      </c>
      <c r="U11" s="1">
        <v>0</v>
      </c>
      <c r="V11" s="1" t="str">
        <f t="shared" si="4"/>
        <v>里程返程</v>
      </c>
      <c r="W11" s="1" t="s">
        <v>35</v>
      </c>
    </row>
    <row r="12" spans="1:23" x14ac:dyDescent="0.3">
      <c r="A12" s="1" t="str">
        <f t="shared" ref="A12:A50" si="5">"59822"</f>
        <v>59822</v>
      </c>
      <c r="B12" s="1" t="s">
        <v>39</v>
      </c>
      <c r="C12" s="1" t="s">
        <v>40</v>
      </c>
      <c r="D12" s="1" t="str">
        <f t="shared" si="1"/>
        <v>9801</v>
      </c>
      <c r="E12" s="1" t="s">
        <v>25</v>
      </c>
      <c r="F12" s="1" t="str">
        <f>"692164657"</f>
        <v>692164657</v>
      </c>
      <c r="G12" s="1" t="s">
        <v>33</v>
      </c>
      <c r="H12" s="1" t="str">
        <f t="shared" si="2"/>
        <v>20220901</v>
      </c>
      <c r="I12" s="1" t="str">
        <f>"055810"</f>
        <v>055810</v>
      </c>
      <c r="J12" s="1" t="s">
        <v>44</v>
      </c>
      <c r="K12" s="1" t="s">
        <v>45</v>
      </c>
      <c r="L12" s="1" t="str">
        <f t="shared" si="3"/>
        <v>20220901</v>
      </c>
      <c r="M12" s="1" t="str">
        <f>"062049"</f>
        <v>062049</v>
      </c>
      <c r="N12" s="1" t="s">
        <v>28</v>
      </c>
      <c r="O12" s="1" t="s">
        <v>28</v>
      </c>
      <c r="P12" s="1" t="s">
        <v>55</v>
      </c>
      <c r="Q12" s="1">
        <v>25</v>
      </c>
      <c r="R12" s="1">
        <v>25</v>
      </c>
      <c r="S12" s="1">
        <v>0</v>
      </c>
      <c r="T12" s="1">
        <v>0</v>
      </c>
      <c r="U12" s="1">
        <v>0</v>
      </c>
      <c r="V12" s="1" t="str">
        <f t="shared" si="4"/>
        <v>里程返程</v>
      </c>
      <c r="W12" s="1" t="s">
        <v>35</v>
      </c>
    </row>
    <row r="13" spans="1:23" x14ac:dyDescent="0.3">
      <c r="A13" s="1" t="str">
        <f t="shared" si="5"/>
        <v>59822</v>
      </c>
      <c r="B13" s="1" t="s">
        <v>39</v>
      </c>
      <c r="C13" s="1" t="s">
        <v>40</v>
      </c>
      <c r="D13" s="1" t="str">
        <f t="shared" si="1"/>
        <v>9801</v>
      </c>
      <c r="E13" s="1" t="s">
        <v>25</v>
      </c>
      <c r="F13" s="1" t="str">
        <f>"1532624856"</f>
        <v>1532624856</v>
      </c>
      <c r="G13" s="1" t="s">
        <v>33</v>
      </c>
      <c r="H13" s="1" t="str">
        <f t="shared" si="2"/>
        <v>20220901</v>
      </c>
      <c r="I13" s="1" t="str">
        <f>"055812"</f>
        <v>055812</v>
      </c>
      <c r="J13" s="1" t="s">
        <v>44</v>
      </c>
      <c r="K13" s="1" t="s">
        <v>45</v>
      </c>
      <c r="L13" s="1" t="str">
        <f t="shared" si="3"/>
        <v>20220901</v>
      </c>
      <c r="M13" s="1" t="str">
        <f>"062040"</f>
        <v>062040</v>
      </c>
      <c r="N13" s="1" t="s">
        <v>28</v>
      </c>
      <c r="O13" s="1" t="s">
        <v>28</v>
      </c>
      <c r="P13" s="1" t="s">
        <v>55</v>
      </c>
      <c r="Q13" s="1">
        <v>25</v>
      </c>
      <c r="R13" s="1">
        <v>25</v>
      </c>
      <c r="S13" s="1">
        <v>0</v>
      </c>
      <c r="T13" s="1">
        <v>0</v>
      </c>
      <c r="U13" s="1">
        <v>0</v>
      </c>
      <c r="V13" s="1" t="str">
        <f t="shared" si="4"/>
        <v>里程返程</v>
      </c>
      <c r="W13" s="1" t="s">
        <v>35</v>
      </c>
    </row>
    <row r="14" spans="1:23" x14ac:dyDescent="0.3">
      <c r="A14" s="1" t="str">
        <f t="shared" si="5"/>
        <v>59822</v>
      </c>
      <c r="B14" s="1" t="s">
        <v>39</v>
      </c>
      <c r="C14" s="1" t="s">
        <v>40</v>
      </c>
      <c r="D14" s="1" t="str">
        <f t="shared" si="1"/>
        <v>9801</v>
      </c>
      <c r="E14" s="1" t="s">
        <v>25</v>
      </c>
      <c r="F14" s="1" t="str">
        <f>"E130C75F492804001C00000000000000"</f>
        <v>E130C75F492804001C00000000000000</v>
      </c>
      <c r="G14" s="1" t="s">
        <v>58</v>
      </c>
      <c r="H14" s="1" t="str">
        <f t="shared" si="2"/>
        <v>20220901</v>
      </c>
      <c r="I14" s="1" t="str">
        <f>"061301"</f>
        <v>061301</v>
      </c>
      <c r="J14" s="1" t="s">
        <v>79</v>
      </c>
      <c r="K14" s="1" t="s">
        <v>45</v>
      </c>
      <c r="L14" s="1" t="str">
        <f t="shared" si="3"/>
        <v>20220901</v>
      </c>
      <c r="M14" s="1" t="str">
        <f>"062052"</f>
        <v>062052</v>
      </c>
      <c r="N14" s="1" t="s">
        <v>28</v>
      </c>
      <c r="O14" s="1" t="s">
        <v>28</v>
      </c>
      <c r="P14" s="1" t="s">
        <v>55</v>
      </c>
      <c r="Q14" s="1">
        <v>25</v>
      </c>
      <c r="R14" s="1">
        <v>25</v>
      </c>
      <c r="S14" s="1">
        <v>0</v>
      </c>
      <c r="T14" s="1">
        <v>0</v>
      </c>
      <c r="U14" s="1">
        <v>0</v>
      </c>
      <c r="V14" s="1" t="str">
        <f t="shared" si="4"/>
        <v>里程返程</v>
      </c>
      <c r="W14" s="1" t="s">
        <v>29</v>
      </c>
    </row>
    <row r="15" spans="1:23" x14ac:dyDescent="0.3">
      <c r="A15" s="1" t="str">
        <f t="shared" si="5"/>
        <v>59822</v>
      </c>
      <c r="B15" s="1" t="s">
        <v>39</v>
      </c>
      <c r="C15" s="1" t="s">
        <v>40</v>
      </c>
      <c r="D15" s="1" t="str">
        <f t="shared" si="1"/>
        <v>9801</v>
      </c>
      <c r="E15" s="1" t="s">
        <v>25</v>
      </c>
      <c r="F15" s="1" t="str">
        <f>"1752749445"</f>
        <v>1752749445</v>
      </c>
      <c r="G15" s="1" t="s">
        <v>33</v>
      </c>
      <c r="H15" s="1" t="str">
        <f t="shared" si="2"/>
        <v>20220901</v>
      </c>
      <c r="I15" s="1" t="str">
        <f>"062849"</f>
        <v>062849</v>
      </c>
      <c r="J15" s="1" t="s">
        <v>28</v>
      </c>
      <c r="K15" s="1" t="s">
        <v>28</v>
      </c>
      <c r="L15" s="1" t="str">
        <f t="shared" si="3"/>
        <v>20220901</v>
      </c>
      <c r="M15" s="1" t="str">
        <f>"065247"</f>
        <v>065247</v>
      </c>
      <c r="N15" s="1" t="s">
        <v>72</v>
      </c>
      <c r="O15" s="1" t="s">
        <v>52</v>
      </c>
      <c r="P15" s="1" t="s">
        <v>55</v>
      </c>
      <c r="Q15" s="1">
        <v>25</v>
      </c>
      <c r="R15" s="1">
        <v>0</v>
      </c>
      <c r="S15" s="1">
        <v>25</v>
      </c>
      <c r="T15" s="1">
        <v>0</v>
      </c>
      <c r="U15" s="1">
        <v>0</v>
      </c>
      <c r="V15" s="1" t="str">
        <f t="shared" si="4"/>
        <v>里程返程</v>
      </c>
      <c r="W15" s="1" t="s">
        <v>35</v>
      </c>
    </row>
    <row r="16" spans="1:23" x14ac:dyDescent="0.3">
      <c r="A16" s="1" t="str">
        <f t="shared" si="5"/>
        <v>59822</v>
      </c>
      <c r="B16" s="1" t="s">
        <v>39</v>
      </c>
      <c r="C16" s="1" t="s">
        <v>40</v>
      </c>
      <c r="D16" s="1" t="str">
        <f t="shared" si="1"/>
        <v>9801</v>
      </c>
      <c r="E16" s="1" t="s">
        <v>25</v>
      </c>
      <c r="F16" s="1" t="str">
        <f>"619F1761882804001C00000000000000"</f>
        <v>619F1761882804001C00000000000000</v>
      </c>
      <c r="G16" s="1" t="s">
        <v>58</v>
      </c>
      <c r="H16" s="1" t="str">
        <f t="shared" si="2"/>
        <v>20220901</v>
      </c>
      <c r="I16" s="1" t="str">
        <f>"062923"</f>
        <v>062923</v>
      </c>
      <c r="J16" s="1" t="s">
        <v>28</v>
      </c>
      <c r="K16" s="1" t="s">
        <v>28</v>
      </c>
      <c r="L16" s="1" t="str">
        <f t="shared" si="3"/>
        <v>20220901</v>
      </c>
      <c r="M16" s="1" t="str">
        <f>"065209"</f>
        <v>065209</v>
      </c>
      <c r="N16" s="1" t="s">
        <v>65</v>
      </c>
      <c r="O16" s="1" t="s">
        <v>52</v>
      </c>
      <c r="P16" s="1" t="s">
        <v>55</v>
      </c>
      <c r="Q16" s="1">
        <v>25</v>
      </c>
      <c r="R16" s="1">
        <v>0</v>
      </c>
      <c r="S16" s="1">
        <v>25</v>
      </c>
      <c r="T16" s="1">
        <v>0</v>
      </c>
      <c r="U16" s="1">
        <v>0</v>
      </c>
      <c r="V16" s="1" t="str">
        <f t="shared" si="4"/>
        <v>里程返程</v>
      </c>
      <c r="W16" s="1" t="s">
        <v>29</v>
      </c>
    </row>
    <row r="17" spans="1:23" x14ac:dyDescent="0.3">
      <c r="A17" s="1" t="str">
        <f t="shared" si="5"/>
        <v>59822</v>
      </c>
      <c r="B17" s="1" t="s">
        <v>39</v>
      </c>
      <c r="C17" s="1" t="s">
        <v>40</v>
      </c>
      <c r="D17" s="1" t="str">
        <f t="shared" si="1"/>
        <v>9801</v>
      </c>
      <c r="E17" s="1" t="s">
        <v>25</v>
      </c>
      <c r="F17" s="1" t="str">
        <f>"1558861583"</f>
        <v>1558861583</v>
      </c>
      <c r="G17" s="1" t="s">
        <v>33</v>
      </c>
      <c r="H17" s="1" t="str">
        <f t="shared" si="2"/>
        <v>20220901</v>
      </c>
      <c r="I17" s="1" t="str">
        <f>"070845"</f>
        <v>070845</v>
      </c>
      <c r="J17" s="1" t="s">
        <v>75</v>
      </c>
      <c r="K17" s="1" t="s">
        <v>45</v>
      </c>
      <c r="L17" s="1" t="str">
        <f t="shared" si="3"/>
        <v>20220901</v>
      </c>
      <c r="M17" s="1" t="str">
        <f>"072044"</f>
        <v>072044</v>
      </c>
      <c r="N17" s="1" t="s">
        <v>28</v>
      </c>
      <c r="O17" s="1" t="s">
        <v>28</v>
      </c>
      <c r="P17" s="1" t="s">
        <v>55</v>
      </c>
      <c r="Q17" s="1">
        <v>25</v>
      </c>
      <c r="R17" s="1">
        <v>25</v>
      </c>
      <c r="S17" s="1">
        <v>0</v>
      </c>
      <c r="T17" s="1">
        <v>0</v>
      </c>
      <c r="U17" s="1">
        <v>0</v>
      </c>
      <c r="V17" s="1" t="str">
        <f t="shared" si="4"/>
        <v>里程返程</v>
      </c>
      <c r="W17" s="1" t="s">
        <v>35</v>
      </c>
    </row>
    <row r="18" spans="1:23" x14ac:dyDescent="0.3">
      <c r="A18" s="1" t="str">
        <f t="shared" si="5"/>
        <v>59822</v>
      </c>
      <c r="B18" s="1" t="s">
        <v>39</v>
      </c>
      <c r="C18" s="1" t="s">
        <v>40</v>
      </c>
      <c r="D18" s="1" t="str">
        <f t="shared" si="1"/>
        <v>9801</v>
      </c>
      <c r="E18" s="1" t="s">
        <v>25</v>
      </c>
      <c r="F18" s="1" t="str">
        <f>"F282E40195880400C821002000000015"</f>
        <v>F282E40195880400C821002000000015</v>
      </c>
      <c r="G18" s="1" t="s">
        <v>58</v>
      </c>
      <c r="H18" s="1" t="str">
        <f t="shared" si="2"/>
        <v>20220901</v>
      </c>
      <c r="I18" s="1" t="str">
        <f>"072049"</f>
        <v>072049</v>
      </c>
      <c r="J18" s="1" t="s">
        <v>28</v>
      </c>
      <c r="K18" s="1" t="s">
        <v>28</v>
      </c>
      <c r="L18" s="1" t="str">
        <f t="shared" si="3"/>
        <v>20220901</v>
      </c>
      <c r="M18" s="1" t="str">
        <f>"074641"</f>
        <v>074641</v>
      </c>
      <c r="N18" s="1" t="s">
        <v>65</v>
      </c>
      <c r="O18" s="1" t="s">
        <v>52</v>
      </c>
      <c r="P18" s="1" t="s">
        <v>55</v>
      </c>
      <c r="Q18" s="1">
        <v>25</v>
      </c>
      <c r="R18" s="1">
        <v>0</v>
      </c>
      <c r="S18" s="1">
        <v>25</v>
      </c>
      <c r="T18" s="1">
        <v>0</v>
      </c>
      <c r="U18" s="1">
        <v>0</v>
      </c>
      <c r="V18" s="1" t="str">
        <f t="shared" si="4"/>
        <v>里程返程</v>
      </c>
      <c r="W18" s="1" t="s">
        <v>29</v>
      </c>
    </row>
    <row r="19" spans="1:23" x14ac:dyDescent="0.3">
      <c r="A19" s="1" t="str">
        <f t="shared" si="5"/>
        <v>59822</v>
      </c>
      <c r="B19" s="1" t="s">
        <v>39</v>
      </c>
      <c r="C19" s="1" t="s">
        <v>40</v>
      </c>
      <c r="D19" s="1" t="str">
        <f t="shared" si="1"/>
        <v>9801</v>
      </c>
      <c r="E19" s="1" t="s">
        <v>25</v>
      </c>
      <c r="F19" s="1" t="str">
        <f>"1654839936"</f>
        <v>1654839936</v>
      </c>
      <c r="G19" s="1" t="s">
        <v>33</v>
      </c>
      <c r="H19" s="1" t="str">
        <f t="shared" si="2"/>
        <v>20220901</v>
      </c>
      <c r="I19" s="1" t="str">
        <f>"072059"</f>
        <v>072059</v>
      </c>
      <c r="J19" s="1" t="s">
        <v>28</v>
      </c>
      <c r="K19" s="1" t="s">
        <v>28</v>
      </c>
      <c r="L19" s="1" t="str">
        <f t="shared" si="3"/>
        <v>20220901</v>
      </c>
      <c r="M19" s="1" t="str">
        <f>"074644"</f>
        <v>074644</v>
      </c>
      <c r="N19" s="1" t="s">
        <v>65</v>
      </c>
      <c r="O19" s="1" t="s">
        <v>52</v>
      </c>
      <c r="P19" s="1" t="s">
        <v>55</v>
      </c>
      <c r="Q19" s="1">
        <v>25</v>
      </c>
      <c r="R19" s="1">
        <v>0</v>
      </c>
      <c r="S19" s="1">
        <v>25</v>
      </c>
      <c r="T19" s="1">
        <v>0</v>
      </c>
      <c r="U19" s="1">
        <v>0</v>
      </c>
      <c r="V19" s="1" t="str">
        <f t="shared" si="4"/>
        <v>里程返程</v>
      </c>
      <c r="W19" s="1" t="s">
        <v>35</v>
      </c>
    </row>
    <row r="20" spans="1:23" x14ac:dyDescent="0.3">
      <c r="A20" s="1" t="str">
        <f t="shared" si="5"/>
        <v>59822</v>
      </c>
      <c r="B20" s="1" t="s">
        <v>39</v>
      </c>
      <c r="C20" s="1" t="s">
        <v>40</v>
      </c>
      <c r="D20" s="1" t="str">
        <f t="shared" si="1"/>
        <v>9801</v>
      </c>
      <c r="E20" s="1" t="s">
        <v>25</v>
      </c>
      <c r="F20" s="1" t="str">
        <f>"623A1B0340880400C834002000000015"</f>
        <v>623A1B0340880400C834002000000015</v>
      </c>
      <c r="G20" s="1" t="s">
        <v>26</v>
      </c>
      <c r="H20" s="1" t="str">
        <f t="shared" si="2"/>
        <v>20220901</v>
      </c>
      <c r="I20" s="1" t="str">
        <f>"072104"</f>
        <v>072104</v>
      </c>
      <c r="J20" s="1" t="s">
        <v>28</v>
      </c>
      <c r="K20" s="1" t="s">
        <v>28</v>
      </c>
      <c r="L20" s="1" t="str">
        <f t="shared" si="3"/>
        <v>20220901</v>
      </c>
      <c r="M20" s="1" t="str">
        <f>"075553"</f>
        <v>075553</v>
      </c>
      <c r="N20" s="1" t="s">
        <v>60</v>
      </c>
      <c r="O20" s="1" t="s">
        <v>52</v>
      </c>
      <c r="P20" s="1" t="s">
        <v>68</v>
      </c>
      <c r="Q20" s="1">
        <v>13</v>
      </c>
      <c r="R20" s="1">
        <v>0</v>
      </c>
      <c r="S20" s="1">
        <v>0</v>
      </c>
      <c r="T20" s="1">
        <v>13</v>
      </c>
      <c r="U20" s="1">
        <v>0</v>
      </c>
      <c r="V20" s="1" t="str">
        <f t="shared" si="4"/>
        <v>里程返程</v>
      </c>
      <c r="W20" s="1" t="s">
        <v>29</v>
      </c>
    </row>
    <row r="21" spans="1:23" x14ac:dyDescent="0.3">
      <c r="A21" s="1" t="str">
        <f t="shared" si="5"/>
        <v>59822</v>
      </c>
      <c r="B21" s="1" t="s">
        <v>39</v>
      </c>
      <c r="C21" s="1" t="s">
        <v>40</v>
      </c>
      <c r="D21" s="1" t="str">
        <f t="shared" si="1"/>
        <v>9801</v>
      </c>
      <c r="E21" s="1" t="s">
        <v>25</v>
      </c>
      <c r="F21" s="1" t="str">
        <f>"62F00B1881880400C814002000000019"</f>
        <v>62F00B1881880400C814002000000019</v>
      </c>
      <c r="G21" s="1" t="s">
        <v>59</v>
      </c>
      <c r="H21" s="1" t="str">
        <f t="shared" si="2"/>
        <v>20220901</v>
      </c>
      <c r="I21" s="1" t="str">
        <f>"072110"</f>
        <v>072110</v>
      </c>
      <c r="J21" s="1" t="s">
        <v>28</v>
      </c>
      <c r="K21" s="1" t="s">
        <v>28</v>
      </c>
      <c r="L21" s="1" t="str">
        <f t="shared" si="3"/>
        <v>20220901</v>
      </c>
      <c r="M21" s="1" t="str">
        <f>"074854"</f>
        <v>074854</v>
      </c>
      <c r="N21" s="1" t="s">
        <v>72</v>
      </c>
      <c r="O21" s="1" t="s">
        <v>52</v>
      </c>
      <c r="P21" s="1" t="s">
        <v>55</v>
      </c>
      <c r="Q21" s="1">
        <v>25</v>
      </c>
      <c r="R21" s="1">
        <v>0</v>
      </c>
      <c r="S21" s="1">
        <v>25</v>
      </c>
      <c r="T21" s="1">
        <v>0</v>
      </c>
      <c r="U21" s="1">
        <v>0</v>
      </c>
      <c r="V21" s="1" t="str">
        <f t="shared" si="4"/>
        <v>里程返程</v>
      </c>
      <c r="W21" s="1" t="s">
        <v>29</v>
      </c>
    </row>
    <row r="22" spans="1:23" x14ac:dyDescent="0.3">
      <c r="A22" s="1" t="str">
        <f t="shared" si="5"/>
        <v>59822</v>
      </c>
      <c r="B22" s="1" t="s">
        <v>39</v>
      </c>
      <c r="C22" s="1" t="s">
        <v>40</v>
      </c>
      <c r="D22" s="1" t="str">
        <f t="shared" si="1"/>
        <v>9801</v>
      </c>
      <c r="E22" s="1" t="s">
        <v>25</v>
      </c>
      <c r="F22" s="1" t="str">
        <f>"82730F18E6880400C814002000000019"</f>
        <v>82730F18E6880400C814002000000019</v>
      </c>
      <c r="G22" s="1" t="s">
        <v>59</v>
      </c>
      <c r="H22" s="1" t="str">
        <f t="shared" si="2"/>
        <v>20220901</v>
      </c>
      <c r="I22" s="1" t="str">
        <f>"072113"</f>
        <v>072113</v>
      </c>
      <c r="J22" s="1" t="s">
        <v>28</v>
      </c>
      <c r="K22" s="1" t="s">
        <v>28</v>
      </c>
      <c r="L22" s="1" t="str">
        <f t="shared" si="3"/>
        <v>20220901</v>
      </c>
      <c r="M22" s="1" t="str">
        <f>"074852"</f>
        <v>074852</v>
      </c>
      <c r="N22" s="1" t="s">
        <v>72</v>
      </c>
      <c r="O22" s="1" t="s">
        <v>52</v>
      </c>
      <c r="P22" s="1" t="s">
        <v>55</v>
      </c>
      <c r="Q22" s="1">
        <v>25</v>
      </c>
      <c r="R22" s="1">
        <v>0</v>
      </c>
      <c r="S22" s="1">
        <v>25</v>
      </c>
      <c r="T22" s="1">
        <v>0</v>
      </c>
      <c r="U22" s="1">
        <v>0</v>
      </c>
      <c r="V22" s="1" t="str">
        <f t="shared" si="4"/>
        <v>里程返程</v>
      </c>
      <c r="W22" s="1" t="s">
        <v>29</v>
      </c>
    </row>
    <row r="23" spans="1:23" x14ac:dyDescent="0.3">
      <c r="A23" s="1" t="str">
        <f t="shared" si="5"/>
        <v>59822</v>
      </c>
      <c r="B23" s="1" t="s">
        <v>39</v>
      </c>
      <c r="C23" s="1" t="s">
        <v>40</v>
      </c>
      <c r="D23" s="1" t="str">
        <f t="shared" si="1"/>
        <v>9801</v>
      </c>
      <c r="E23" s="1" t="s">
        <v>25</v>
      </c>
      <c r="F23" s="1" t="str">
        <f>"1204061808880400C814002000000019"</f>
        <v>1204061808880400C814002000000019</v>
      </c>
      <c r="G23" s="1" t="s">
        <v>59</v>
      </c>
      <c r="H23" s="1" t="str">
        <f t="shared" si="2"/>
        <v>20220901</v>
      </c>
      <c r="I23" s="1" t="str">
        <f>"072115"</f>
        <v>072115</v>
      </c>
      <c r="J23" s="1" t="s">
        <v>28</v>
      </c>
      <c r="K23" s="1" t="s">
        <v>28</v>
      </c>
      <c r="L23" s="1" t="str">
        <f t="shared" si="3"/>
        <v>20220901</v>
      </c>
      <c r="M23" s="1" t="str">
        <f>"074849"</f>
        <v>074849</v>
      </c>
      <c r="N23" s="1" t="s">
        <v>72</v>
      </c>
      <c r="O23" s="1" t="s">
        <v>52</v>
      </c>
      <c r="P23" s="1" t="s">
        <v>55</v>
      </c>
      <c r="Q23" s="1">
        <v>25</v>
      </c>
      <c r="R23" s="1">
        <v>0</v>
      </c>
      <c r="S23" s="1">
        <v>25</v>
      </c>
      <c r="T23" s="1">
        <v>0</v>
      </c>
      <c r="U23" s="1">
        <v>0</v>
      </c>
      <c r="V23" s="1" t="str">
        <f t="shared" si="4"/>
        <v>里程返程</v>
      </c>
      <c r="W23" s="1" t="s">
        <v>29</v>
      </c>
    </row>
    <row r="24" spans="1:23" x14ac:dyDescent="0.3">
      <c r="A24" s="1" t="str">
        <f t="shared" si="5"/>
        <v>59822</v>
      </c>
      <c r="B24" s="1" t="s">
        <v>39</v>
      </c>
      <c r="C24" s="1" t="s">
        <v>40</v>
      </c>
      <c r="D24" s="1" t="str">
        <f t="shared" si="1"/>
        <v>9801</v>
      </c>
      <c r="E24" s="1" t="s">
        <v>25</v>
      </c>
      <c r="F24" s="1" t="str">
        <f>"D257BD023A880400C834002000000015"</f>
        <v>D257BD023A880400C834002000000015</v>
      </c>
      <c r="G24" s="1" t="s">
        <v>74</v>
      </c>
      <c r="H24" s="1" t="str">
        <f t="shared" si="2"/>
        <v>20220901</v>
      </c>
      <c r="I24" s="1" t="str">
        <f>"072236"</f>
        <v>072236</v>
      </c>
      <c r="J24" s="1" t="s">
        <v>28</v>
      </c>
      <c r="K24" s="1" t="s">
        <v>28</v>
      </c>
      <c r="L24" s="1" t="str">
        <f t="shared" si="3"/>
        <v>20220901</v>
      </c>
      <c r="M24" s="1" t="str">
        <f>"073337"</f>
        <v>073337</v>
      </c>
      <c r="N24" s="1" t="s">
        <v>67</v>
      </c>
      <c r="O24" s="1" t="s">
        <v>52</v>
      </c>
      <c r="P24" s="1" t="s">
        <v>68</v>
      </c>
      <c r="Q24" s="1">
        <v>13</v>
      </c>
      <c r="R24" s="1">
        <v>0</v>
      </c>
      <c r="S24" s="1">
        <v>0</v>
      </c>
      <c r="T24" s="1">
        <v>13</v>
      </c>
      <c r="U24" s="1">
        <v>0</v>
      </c>
      <c r="V24" s="1" t="str">
        <f t="shared" si="4"/>
        <v>里程返程</v>
      </c>
      <c r="W24" s="1" t="s">
        <v>29</v>
      </c>
    </row>
    <row r="25" spans="1:23" x14ac:dyDescent="0.3">
      <c r="A25" s="1" t="str">
        <f t="shared" si="5"/>
        <v>59822</v>
      </c>
      <c r="B25" s="1" t="s">
        <v>39</v>
      </c>
      <c r="C25" s="1" t="s">
        <v>40</v>
      </c>
      <c r="D25" s="1" t="str">
        <f t="shared" si="1"/>
        <v>9801</v>
      </c>
      <c r="E25" s="1" t="s">
        <v>25</v>
      </c>
      <c r="F25" s="1" t="str">
        <f>"1759959808"</f>
        <v>1759959808</v>
      </c>
      <c r="G25" s="1" t="s">
        <v>33</v>
      </c>
      <c r="H25" s="1" t="str">
        <f t="shared" si="2"/>
        <v>20220901</v>
      </c>
      <c r="I25" s="1" t="str">
        <f>"074356"</f>
        <v>074356</v>
      </c>
      <c r="J25" s="1" t="s">
        <v>80</v>
      </c>
      <c r="K25" s="1" t="s">
        <v>52</v>
      </c>
      <c r="L25" s="1" t="str">
        <f t="shared" si="3"/>
        <v>20220901</v>
      </c>
      <c r="M25" s="1" t="str">
        <f>"075613"</f>
        <v>075613</v>
      </c>
      <c r="N25" s="1" t="s">
        <v>60</v>
      </c>
      <c r="O25" s="1" t="s">
        <v>52</v>
      </c>
      <c r="P25" s="1" t="s">
        <v>55</v>
      </c>
      <c r="Q25" s="1">
        <v>25</v>
      </c>
      <c r="R25" s="1">
        <v>25</v>
      </c>
      <c r="S25" s="1">
        <v>0</v>
      </c>
      <c r="T25" s="1">
        <v>0</v>
      </c>
      <c r="U25" s="1">
        <v>0</v>
      </c>
      <c r="V25" s="1" t="str">
        <f t="shared" si="4"/>
        <v>里程返程</v>
      </c>
      <c r="W25" s="1" t="s">
        <v>35</v>
      </c>
    </row>
    <row r="26" spans="1:23" x14ac:dyDescent="0.3">
      <c r="A26" s="1" t="str">
        <f t="shared" si="5"/>
        <v>59822</v>
      </c>
      <c r="B26" s="1" t="s">
        <v>39</v>
      </c>
      <c r="C26" s="1" t="s">
        <v>40</v>
      </c>
      <c r="D26" s="1" t="str">
        <f t="shared" si="1"/>
        <v>9801</v>
      </c>
      <c r="E26" s="1" t="s">
        <v>25</v>
      </c>
      <c r="F26" s="1" t="str">
        <f>"B1F7A032D4280400F700000000000000"</f>
        <v>B1F7A032D4280400F700000000000000</v>
      </c>
      <c r="G26" s="1" t="s">
        <v>58</v>
      </c>
      <c r="H26" s="1" t="str">
        <f t="shared" si="2"/>
        <v>20220901</v>
      </c>
      <c r="I26" s="1" t="str">
        <f>"123047"</f>
        <v>123047</v>
      </c>
      <c r="J26" s="1" t="s">
        <v>44</v>
      </c>
      <c r="K26" s="1" t="s">
        <v>45</v>
      </c>
      <c r="L26" s="1" t="str">
        <f t="shared" si="3"/>
        <v>20220901</v>
      </c>
      <c r="M26" s="1" t="str">
        <f>"125338"</f>
        <v>125338</v>
      </c>
      <c r="N26" s="1" t="s">
        <v>95</v>
      </c>
      <c r="O26" s="1" t="s">
        <v>28</v>
      </c>
      <c r="P26" s="1" t="s">
        <v>55</v>
      </c>
      <c r="Q26" s="1">
        <v>25</v>
      </c>
      <c r="R26" s="1">
        <v>25</v>
      </c>
      <c r="S26" s="1">
        <v>0</v>
      </c>
      <c r="T26" s="1">
        <v>0</v>
      </c>
      <c r="U26" s="1">
        <v>0</v>
      </c>
      <c r="V26" s="1" t="str">
        <f t="shared" si="4"/>
        <v>里程返程</v>
      </c>
      <c r="W26" s="1" t="s">
        <v>29</v>
      </c>
    </row>
    <row r="27" spans="1:23" x14ac:dyDescent="0.3">
      <c r="A27" s="1" t="str">
        <f t="shared" si="5"/>
        <v>59822</v>
      </c>
      <c r="B27" s="1" t="s">
        <v>39</v>
      </c>
      <c r="C27" s="1" t="s">
        <v>40</v>
      </c>
      <c r="D27" s="1" t="str">
        <f t="shared" si="1"/>
        <v>9801</v>
      </c>
      <c r="E27" s="1" t="s">
        <v>25</v>
      </c>
      <c r="F27" s="1" t="str">
        <f>"809525077"</f>
        <v>809525077</v>
      </c>
      <c r="G27" s="1" t="s">
        <v>33</v>
      </c>
      <c r="H27" s="1" t="str">
        <f t="shared" si="2"/>
        <v>20220901</v>
      </c>
      <c r="I27" s="1" t="str">
        <f>"123512"</f>
        <v>123512</v>
      </c>
      <c r="J27" s="1" t="s">
        <v>100</v>
      </c>
      <c r="K27" s="1" t="s">
        <v>45</v>
      </c>
      <c r="L27" s="1" t="str">
        <f t="shared" si="3"/>
        <v>20220901</v>
      </c>
      <c r="M27" s="1" t="str">
        <f>"125416"</f>
        <v>125416</v>
      </c>
      <c r="N27" s="1" t="s">
        <v>28</v>
      </c>
      <c r="O27" s="1" t="s">
        <v>28</v>
      </c>
      <c r="P27" s="1" t="s">
        <v>55</v>
      </c>
      <c r="Q27" s="1">
        <v>25</v>
      </c>
      <c r="R27" s="1">
        <v>25</v>
      </c>
      <c r="S27" s="1">
        <v>0</v>
      </c>
      <c r="T27" s="1">
        <v>0</v>
      </c>
      <c r="U27" s="1">
        <v>0</v>
      </c>
      <c r="V27" s="1" t="str">
        <f t="shared" si="4"/>
        <v>里程返程</v>
      </c>
      <c r="W27" s="1" t="s">
        <v>35</v>
      </c>
    </row>
    <row r="28" spans="1:23" x14ac:dyDescent="0.3">
      <c r="A28" s="1" t="str">
        <f t="shared" si="5"/>
        <v>59822</v>
      </c>
      <c r="B28" s="1" t="s">
        <v>39</v>
      </c>
      <c r="C28" s="1" t="s">
        <v>40</v>
      </c>
      <c r="D28" s="1" t="str">
        <f t="shared" si="1"/>
        <v>9801</v>
      </c>
      <c r="E28" s="1" t="s">
        <v>25</v>
      </c>
      <c r="F28" s="1" t="str">
        <f>"519623249"</f>
        <v>519623249</v>
      </c>
      <c r="G28" s="1" t="s">
        <v>33</v>
      </c>
      <c r="H28" s="1" t="str">
        <f t="shared" si="2"/>
        <v>20220901</v>
      </c>
      <c r="I28" s="1" t="str">
        <f>"123513"</f>
        <v>123513</v>
      </c>
      <c r="J28" s="1" t="s">
        <v>100</v>
      </c>
      <c r="K28" s="1" t="s">
        <v>45</v>
      </c>
      <c r="L28" s="1" t="str">
        <f t="shared" si="3"/>
        <v>20220901</v>
      </c>
      <c r="M28" s="1" t="str">
        <f>"125413"</f>
        <v>125413</v>
      </c>
      <c r="N28" s="1" t="s">
        <v>28</v>
      </c>
      <c r="O28" s="1" t="s">
        <v>28</v>
      </c>
      <c r="P28" s="1" t="s">
        <v>55</v>
      </c>
      <c r="Q28" s="1">
        <v>25</v>
      </c>
      <c r="R28" s="1">
        <v>25</v>
      </c>
      <c r="S28" s="1">
        <v>0</v>
      </c>
      <c r="T28" s="1">
        <v>0</v>
      </c>
      <c r="U28" s="1">
        <v>0</v>
      </c>
      <c r="V28" s="1" t="str">
        <f t="shared" si="4"/>
        <v>里程返程</v>
      </c>
      <c r="W28" s="1" t="s">
        <v>35</v>
      </c>
    </row>
    <row r="29" spans="1:23" x14ac:dyDescent="0.3">
      <c r="A29" s="1" t="str">
        <f t="shared" si="5"/>
        <v>59822</v>
      </c>
      <c r="B29" s="1" t="s">
        <v>39</v>
      </c>
      <c r="C29" s="1" t="s">
        <v>40</v>
      </c>
      <c r="D29" s="1" t="str">
        <f t="shared" si="1"/>
        <v>9801</v>
      </c>
      <c r="E29" s="1" t="s">
        <v>25</v>
      </c>
      <c r="F29" s="1" t="str">
        <f>"458015905"</f>
        <v>458015905</v>
      </c>
      <c r="G29" s="1" t="s">
        <v>33</v>
      </c>
      <c r="H29" s="1" t="str">
        <f t="shared" si="2"/>
        <v>20220901</v>
      </c>
      <c r="I29" s="1" t="str">
        <f>"124604"</f>
        <v>124604</v>
      </c>
      <c r="J29" s="1" t="s">
        <v>45</v>
      </c>
      <c r="K29" s="1" t="s">
        <v>45</v>
      </c>
      <c r="L29" s="1" t="str">
        <f t="shared" si="3"/>
        <v>20220901</v>
      </c>
      <c r="M29" s="1" t="str">
        <f>"125407"</f>
        <v>125407</v>
      </c>
      <c r="N29" s="1" t="s">
        <v>28</v>
      </c>
      <c r="O29" s="1" t="s">
        <v>28</v>
      </c>
      <c r="P29" s="1" t="s">
        <v>55</v>
      </c>
      <c r="Q29" s="1">
        <v>25</v>
      </c>
      <c r="R29" s="1">
        <v>0</v>
      </c>
      <c r="S29" s="1">
        <v>25</v>
      </c>
      <c r="T29" s="1">
        <v>0</v>
      </c>
      <c r="U29" s="1">
        <v>0</v>
      </c>
      <c r="V29" s="1" t="str">
        <f t="shared" si="4"/>
        <v>里程返程</v>
      </c>
      <c r="W29" s="1" t="s">
        <v>35</v>
      </c>
    </row>
    <row r="30" spans="1:23" x14ac:dyDescent="0.3">
      <c r="A30" s="1" t="str">
        <f t="shared" si="5"/>
        <v>59822</v>
      </c>
      <c r="B30" s="1" t="s">
        <v>39</v>
      </c>
      <c r="C30" s="1" t="s">
        <v>40</v>
      </c>
      <c r="D30" s="1" t="str">
        <f t="shared" si="1"/>
        <v>9801</v>
      </c>
      <c r="E30" s="1" t="s">
        <v>25</v>
      </c>
      <c r="F30" s="1" t="str">
        <f>"39327599"</f>
        <v>39327599</v>
      </c>
      <c r="G30" s="1" t="s">
        <v>33</v>
      </c>
      <c r="H30" s="1" t="str">
        <f t="shared" si="2"/>
        <v>20220901</v>
      </c>
      <c r="I30" s="1" t="str">
        <f>"124607"</f>
        <v>124607</v>
      </c>
      <c r="J30" s="1" t="s">
        <v>45</v>
      </c>
      <c r="K30" s="1" t="s">
        <v>45</v>
      </c>
      <c r="L30" s="1" t="str">
        <f t="shared" si="3"/>
        <v>20220901</v>
      </c>
      <c r="M30" s="1" t="str">
        <f>"125402"</f>
        <v>125402</v>
      </c>
      <c r="N30" s="1" t="s">
        <v>28</v>
      </c>
      <c r="O30" s="1" t="s">
        <v>28</v>
      </c>
      <c r="P30" s="1" t="s">
        <v>55</v>
      </c>
      <c r="Q30" s="1">
        <v>25</v>
      </c>
      <c r="R30" s="1">
        <v>0</v>
      </c>
      <c r="S30" s="1">
        <v>25</v>
      </c>
      <c r="T30" s="1">
        <v>0</v>
      </c>
      <c r="U30" s="1">
        <v>0</v>
      </c>
      <c r="V30" s="1" t="str">
        <f t="shared" si="4"/>
        <v>里程返程</v>
      </c>
      <c r="W30" s="1" t="s">
        <v>35</v>
      </c>
    </row>
    <row r="31" spans="1:23" x14ac:dyDescent="0.3">
      <c r="A31" s="1" t="str">
        <f t="shared" si="5"/>
        <v>59822</v>
      </c>
      <c r="B31" s="1" t="s">
        <v>39</v>
      </c>
      <c r="C31" s="1" t="s">
        <v>40</v>
      </c>
      <c r="D31" s="1" t="str">
        <f t="shared" si="1"/>
        <v>9801</v>
      </c>
      <c r="E31" s="1" t="s">
        <v>25</v>
      </c>
      <c r="F31" s="1" t="str">
        <f>"969889189"</f>
        <v>969889189</v>
      </c>
      <c r="G31" s="1" t="s">
        <v>33</v>
      </c>
      <c r="H31" s="1" t="str">
        <f t="shared" si="2"/>
        <v>20220901</v>
      </c>
      <c r="I31" s="1" t="str">
        <f>"125421"</f>
        <v>125421</v>
      </c>
      <c r="J31" s="1" t="s">
        <v>28</v>
      </c>
      <c r="K31" s="1" t="s">
        <v>28</v>
      </c>
      <c r="L31" s="1" t="str">
        <f t="shared" si="3"/>
        <v>20220901</v>
      </c>
      <c r="M31" s="1" t="str">
        <f>"130324"</f>
        <v>130324</v>
      </c>
      <c r="N31" s="1" t="s">
        <v>67</v>
      </c>
      <c r="O31" s="1" t="s">
        <v>52</v>
      </c>
      <c r="P31" s="1" t="s">
        <v>55</v>
      </c>
      <c r="Q31" s="1">
        <v>25</v>
      </c>
      <c r="R31" s="1">
        <v>25</v>
      </c>
      <c r="S31" s="1">
        <v>0</v>
      </c>
      <c r="T31" s="1">
        <v>0</v>
      </c>
      <c r="U31" s="1">
        <v>0</v>
      </c>
      <c r="V31" s="1" t="str">
        <f t="shared" si="4"/>
        <v>里程返程</v>
      </c>
      <c r="W31" s="1" t="s">
        <v>35</v>
      </c>
    </row>
    <row r="32" spans="1:23" x14ac:dyDescent="0.3">
      <c r="A32" s="1" t="str">
        <f t="shared" si="5"/>
        <v>59822</v>
      </c>
      <c r="B32" s="1" t="s">
        <v>39</v>
      </c>
      <c r="C32" s="1" t="s">
        <v>40</v>
      </c>
      <c r="D32" s="1" t="str">
        <f t="shared" si="1"/>
        <v>9801</v>
      </c>
      <c r="E32" s="1" t="s">
        <v>25</v>
      </c>
      <c r="F32" s="1" t="str">
        <f>"E220D10211880400C834002000000015"</f>
        <v>E220D10211880400C834002000000015</v>
      </c>
      <c r="G32" s="1" t="s">
        <v>74</v>
      </c>
      <c r="H32" s="1" t="str">
        <f t="shared" si="2"/>
        <v>20220901</v>
      </c>
      <c r="I32" s="1" t="str">
        <f>"131018"</f>
        <v>131018</v>
      </c>
      <c r="J32" s="1" t="s">
        <v>97</v>
      </c>
      <c r="K32" s="1" t="s">
        <v>52</v>
      </c>
      <c r="L32" s="1" t="str">
        <f t="shared" si="3"/>
        <v>20220901</v>
      </c>
      <c r="M32" s="1" t="str">
        <f>"131245"</f>
        <v>131245</v>
      </c>
      <c r="N32" s="1" t="s">
        <v>65</v>
      </c>
      <c r="O32" s="1" t="s">
        <v>52</v>
      </c>
      <c r="P32" s="1" t="s">
        <v>68</v>
      </c>
      <c r="Q32" s="1">
        <v>13</v>
      </c>
      <c r="R32" s="1">
        <v>0</v>
      </c>
      <c r="S32" s="1">
        <v>0</v>
      </c>
      <c r="T32" s="1">
        <v>13</v>
      </c>
      <c r="U32" s="1">
        <v>0</v>
      </c>
      <c r="V32" s="1" t="str">
        <f t="shared" si="4"/>
        <v>里程返程</v>
      </c>
      <c r="W32" s="1" t="s">
        <v>29</v>
      </c>
    </row>
    <row r="33" spans="1:23" x14ac:dyDescent="0.3">
      <c r="A33" s="1" t="str">
        <f t="shared" si="5"/>
        <v>59822</v>
      </c>
      <c r="B33" s="1" t="s">
        <v>39</v>
      </c>
      <c r="C33" s="1" t="s">
        <v>40</v>
      </c>
      <c r="D33" s="1" t="str">
        <f t="shared" si="1"/>
        <v>9801</v>
      </c>
      <c r="E33" s="1" t="s">
        <v>25</v>
      </c>
      <c r="F33" s="1" t="str">
        <f>"674277237"</f>
        <v>674277237</v>
      </c>
      <c r="G33" s="1" t="s">
        <v>33</v>
      </c>
      <c r="H33" s="1" t="str">
        <f t="shared" si="2"/>
        <v>20220901</v>
      </c>
      <c r="I33" s="1" t="str">
        <f>"144727"</f>
        <v>144727</v>
      </c>
      <c r="J33" s="1" t="s">
        <v>70</v>
      </c>
      <c r="K33" s="1" t="s">
        <v>28</v>
      </c>
      <c r="L33" s="1" t="str">
        <f t="shared" si="3"/>
        <v>20220901</v>
      </c>
      <c r="M33" s="1" t="str">
        <f>"145317"</f>
        <v>145317</v>
      </c>
      <c r="N33" s="1" t="s">
        <v>28</v>
      </c>
      <c r="O33" s="1" t="s">
        <v>28</v>
      </c>
      <c r="P33" s="1" t="s">
        <v>55</v>
      </c>
      <c r="Q33" s="1">
        <v>25</v>
      </c>
      <c r="R33" s="1">
        <v>25</v>
      </c>
      <c r="S33" s="1">
        <v>0</v>
      </c>
      <c r="T33" s="1">
        <v>0</v>
      </c>
      <c r="U33" s="1">
        <v>0</v>
      </c>
      <c r="V33" s="1" t="str">
        <f t="shared" si="4"/>
        <v>里程返程</v>
      </c>
      <c r="W33" s="1" t="s">
        <v>35</v>
      </c>
    </row>
    <row r="34" spans="1:23" x14ac:dyDescent="0.3">
      <c r="A34" s="1" t="str">
        <f t="shared" si="5"/>
        <v>59822</v>
      </c>
      <c r="B34" s="1" t="s">
        <v>39</v>
      </c>
      <c r="C34" s="1" t="s">
        <v>40</v>
      </c>
      <c r="D34" s="1" t="str">
        <f t="shared" si="1"/>
        <v>9801</v>
      </c>
      <c r="E34" s="1" t="s">
        <v>25</v>
      </c>
      <c r="F34" s="1" t="str">
        <f>"2702331343"</f>
        <v>2702331343</v>
      </c>
      <c r="G34" s="1" t="s">
        <v>33</v>
      </c>
      <c r="H34" s="1" t="str">
        <f t="shared" ref="H34:H65" si="6">"20220901"</f>
        <v>20220901</v>
      </c>
      <c r="I34" s="1" t="str">
        <f>"144736"</f>
        <v>144736</v>
      </c>
      <c r="J34" s="1" t="s">
        <v>70</v>
      </c>
      <c r="K34" s="1" t="s">
        <v>28</v>
      </c>
      <c r="L34" s="1" t="str">
        <f t="shared" ref="L34:L65" si="7">"20220901"</f>
        <v>20220901</v>
      </c>
      <c r="M34" s="1" t="str">
        <f>"145314"</f>
        <v>145314</v>
      </c>
      <c r="N34" s="1" t="s">
        <v>28</v>
      </c>
      <c r="O34" s="1" t="s">
        <v>28</v>
      </c>
      <c r="P34" s="1" t="s">
        <v>55</v>
      </c>
      <c r="Q34" s="1">
        <v>25</v>
      </c>
      <c r="R34" s="1">
        <v>25</v>
      </c>
      <c r="S34" s="1">
        <v>0</v>
      </c>
      <c r="T34" s="1">
        <v>0</v>
      </c>
      <c r="U34" s="1">
        <v>0</v>
      </c>
      <c r="V34" s="1" t="str">
        <f t="shared" si="4"/>
        <v>里程返程</v>
      </c>
      <c r="W34" s="1" t="s">
        <v>35</v>
      </c>
    </row>
    <row r="35" spans="1:23" x14ac:dyDescent="0.3">
      <c r="A35" s="1" t="str">
        <f t="shared" si="5"/>
        <v>59822</v>
      </c>
      <c r="B35" s="1" t="s">
        <v>39</v>
      </c>
      <c r="C35" s="1" t="s">
        <v>40</v>
      </c>
      <c r="D35" s="1" t="str">
        <f t="shared" si="1"/>
        <v>9801</v>
      </c>
      <c r="E35" s="1" t="s">
        <v>25</v>
      </c>
      <c r="F35" s="1" t="str">
        <f>"1259149621"</f>
        <v>1259149621</v>
      </c>
      <c r="G35" s="1" t="s">
        <v>38</v>
      </c>
      <c r="H35" s="1" t="str">
        <f t="shared" si="6"/>
        <v>20220901</v>
      </c>
      <c r="I35" s="1" t="str">
        <f>"152511"</f>
        <v>152511</v>
      </c>
      <c r="J35" s="1" t="s">
        <v>44</v>
      </c>
      <c r="K35" s="1" t="s">
        <v>45</v>
      </c>
      <c r="L35" s="1" t="str">
        <f t="shared" si="7"/>
        <v>20220901</v>
      </c>
      <c r="M35" s="1" t="str">
        <f>"153616"</f>
        <v>153616</v>
      </c>
      <c r="N35" s="1" t="s">
        <v>91</v>
      </c>
      <c r="O35" s="1" t="s">
        <v>45</v>
      </c>
      <c r="P35" s="1" t="s">
        <v>55</v>
      </c>
      <c r="Q35" s="1">
        <v>25</v>
      </c>
      <c r="R35" s="1">
        <v>25</v>
      </c>
      <c r="S35" s="1">
        <v>0</v>
      </c>
      <c r="T35" s="1">
        <v>0</v>
      </c>
      <c r="U35" s="1">
        <v>0</v>
      </c>
      <c r="V35" s="1" t="str">
        <f t="shared" si="4"/>
        <v>里程返程</v>
      </c>
      <c r="W35" s="1" t="s">
        <v>35</v>
      </c>
    </row>
    <row r="36" spans="1:23" x14ac:dyDescent="0.3">
      <c r="A36" s="1" t="str">
        <f t="shared" si="5"/>
        <v>59822</v>
      </c>
      <c r="B36" s="1" t="s">
        <v>39</v>
      </c>
      <c r="C36" s="1" t="s">
        <v>40</v>
      </c>
      <c r="D36" s="1" t="str">
        <f t="shared" si="1"/>
        <v>9801</v>
      </c>
      <c r="E36" s="1" t="s">
        <v>25</v>
      </c>
      <c r="F36" s="1" t="str">
        <f>"4249A416B9880400C814002000000019"</f>
        <v>4249A416B9880400C814002000000019</v>
      </c>
      <c r="G36" s="1" t="s">
        <v>59</v>
      </c>
      <c r="H36" s="1" t="str">
        <f t="shared" si="6"/>
        <v>20220901</v>
      </c>
      <c r="I36" s="1" t="str">
        <f>"152517"</f>
        <v>152517</v>
      </c>
      <c r="J36" s="1" t="s">
        <v>44</v>
      </c>
      <c r="K36" s="1" t="s">
        <v>45</v>
      </c>
      <c r="L36" s="1" t="str">
        <f t="shared" si="7"/>
        <v>20220901</v>
      </c>
      <c r="M36" s="1" t="str">
        <f>"153612"</f>
        <v>153612</v>
      </c>
      <c r="N36" s="1" t="s">
        <v>91</v>
      </c>
      <c r="O36" s="1" t="s">
        <v>45</v>
      </c>
      <c r="P36" s="1" t="s">
        <v>55</v>
      </c>
      <c r="Q36" s="1">
        <v>25</v>
      </c>
      <c r="R36" s="1">
        <v>25</v>
      </c>
      <c r="S36" s="1">
        <v>0</v>
      </c>
      <c r="T36" s="1">
        <v>0</v>
      </c>
      <c r="U36" s="1">
        <v>0</v>
      </c>
      <c r="V36" s="1" t="str">
        <f t="shared" si="4"/>
        <v>里程返程</v>
      </c>
      <c r="W36" s="1" t="s">
        <v>29</v>
      </c>
    </row>
    <row r="37" spans="1:23" x14ac:dyDescent="0.3">
      <c r="A37" s="1" t="str">
        <f t="shared" si="5"/>
        <v>59822</v>
      </c>
      <c r="B37" s="1" t="s">
        <v>39</v>
      </c>
      <c r="C37" s="1" t="s">
        <v>40</v>
      </c>
      <c r="D37" s="1" t="str">
        <f t="shared" si="1"/>
        <v>9801</v>
      </c>
      <c r="E37" s="1" t="s">
        <v>25</v>
      </c>
      <c r="F37" s="1" t="str">
        <f>"C112914406280400F700000000000000"</f>
        <v>C112914406280400F700000000000000</v>
      </c>
      <c r="G37" s="1" t="s">
        <v>58</v>
      </c>
      <c r="H37" s="1" t="str">
        <f t="shared" si="6"/>
        <v>20220901</v>
      </c>
      <c r="I37" s="1" t="str">
        <f>"152630"</f>
        <v>152630</v>
      </c>
      <c r="J37" s="1" t="s">
        <v>44</v>
      </c>
      <c r="K37" s="1" t="s">
        <v>45</v>
      </c>
      <c r="L37" s="1" t="str">
        <f t="shared" si="7"/>
        <v>20220901</v>
      </c>
      <c r="M37" s="1" t="str">
        <f>"155206"</f>
        <v>155206</v>
      </c>
      <c r="N37" s="1" t="s">
        <v>28</v>
      </c>
      <c r="O37" s="1" t="s">
        <v>28</v>
      </c>
      <c r="P37" s="1" t="s">
        <v>55</v>
      </c>
      <c r="Q37" s="1">
        <v>25</v>
      </c>
      <c r="R37" s="1">
        <v>25</v>
      </c>
      <c r="S37" s="1">
        <v>0</v>
      </c>
      <c r="T37" s="1">
        <v>0</v>
      </c>
      <c r="U37" s="1">
        <v>0</v>
      </c>
      <c r="V37" s="1" t="str">
        <f t="shared" si="4"/>
        <v>里程返程</v>
      </c>
      <c r="W37" s="1" t="s">
        <v>29</v>
      </c>
    </row>
    <row r="38" spans="1:23" x14ac:dyDescent="0.3">
      <c r="A38" s="1" t="str">
        <f t="shared" si="5"/>
        <v>59822</v>
      </c>
      <c r="B38" s="1" t="s">
        <v>39</v>
      </c>
      <c r="C38" s="1" t="s">
        <v>40</v>
      </c>
      <c r="D38" s="1" t="str">
        <f t="shared" si="1"/>
        <v>9801</v>
      </c>
      <c r="E38" s="1" t="s">
        <v>25</v>
      </c>
      <c r="F38" s="1" t="str">
        <f>"1862308692"</f>
        <v>1862308692</v>
      </c>
      <c r="G38" s="1" t="s">
        <v>33</v>
      </c>
      <c r="H38" s="1" t="str">
        <f t="shared" si="6"/>
        <v>20220901</v>
      </c>
      <c r="I38" s="1" t="str">
        <f>"153955"</f>
        <v>153955</v>
      </c>
      <c r="J38" s="1" t="s">
        <v>56</v>
      </c>
      <c r="K38" s="1" t="s">
        <v>45</v>
      </c>
      <c r="L38" s="1" t="str">
        <f t="shared" si="7"/>
        <v>20220901</v>
      </c>
      <c r="M38" s="1" t="str">
        <f>"155210"</f>
        <v>155210</v>
      </c>
      <c r="N38" s="1" t="s">
        <v>28</v>
      </c>
      <c r="O38" s="1" t="s">
        <v>28</v>
      </c>
      <c r="P38" s="1" t="s">
        <v>55</v>
      </c>
      <c r="Q38" s="1">
        <v>25</v>
      </c>
      <c r="R38" s="1">
        <v>25</v>
      </c>
      <c r="S38" s="1">
        <v>0</v>
      </c>
      <c r="T38" s="1">
        <v>0</v>
      </c>
      <c r="U38" s="1">
        <v>0</v>
      </c>
      <c r="V38" s="1" t="str">
        <f t="shared" si="4"/>
        <v>里程返程</v>
      </c>
      <c r="W38" s="1" t="s">
        <v>35</v>
      </c>
    </row>
    <row r="39" spans="1:23" x14ac:dyDescent="0.3">
      <c r="A39" s="1" t="str">
        <f t="shared" si="5"/>
        <v>59822</v>
      </c>
      <c r="B39" s="1" t="s">
        <v>39</v>
      </c>
      <c r="C39" s="1" t="s">
        <v>40</v>
      </c>
      <c r="D39" s="1" t="str">
        <f t="shared" si="1"/>
        <v>9801</v>
      </c>
      <c r="E39" s="1" t="s">
        <v>25</v>
      </c>
      <c r="F39" s="1" t="str">
        <f>"1748169525"</f>
        <v>1748169525</v>
      </c>
      <c r="G39" s="1" t="s">
        <v>33</v>
      </c>
      <c r="H39" s="1" t="str">
        <f t="shared" si="6"/>
        <v>20220901</v>
      </c>
      <c r="I39" s="1" t="str">
        <f>"154036"</f>
        <v>154036</v>
      </c>
      <c r="J39" s="1" t="s">
        <v>61</v>
      </c>
      <c r="K39" s="1" t="s">
        <v>45</v>
      </c>
      <c r="L39" s="1" t="str">
        <f t="shared" si="7"/>
        <v>20220901</v>
      </c>
      <c r="M39" s="1" t="str">
        <f>"155155"</f>
        <v>155155</v>
      </c>
      <c r="N39" s="1" t="s">
        <v>28</v>
      </c>
      <c r="O39" s="1" t="s">
        <v>28</v>
      </c>
      <c r="P39" s="1" t="s">
        <v>55</v>
      </c>
      <c r="Q39" s="1">
        <v>25</v>
      </c>
      <c r="R39" s="1">
        <v>25</v>
      </c>
      <c r="S39" s="1">
        <v>0</v>
      </c>
      <c r="T39" s="1">
        <v>0</v>
      </c>
      <c r="U39" s="1">
        <v>0</v>
      </c>
      <c r="V39" s="1" t="str">
        <f t="shared" si="4"/>
        <v>里程返程</v>
      </c>
      <c r="W39" s="1" t="s">
        <v>35</v>
      </c>
    </row>
    <row r="40" spans="1:23" x14ac:dyDescent="0.3">
      <c r="A40" s="1" t="str">
        <f t="shared" si="5"/>
        <v>59822</v>
      </c>
      <c r="B40" s="1" t="s">
        <v>39</v>
      </c>
      <c r="C40" s="1" t="s">
        <v>40</v>
      </c>
      <c r="D40" s="1" t="str">
        <f t="shared" si="1"/>
        <v>9801</v>
      </c>
      <c r="E40" s="1" t="s">
        <v>25</v>
      </c>
      <c r="F40" s="1" t="str">
        <f>"1038806837"</f>
        <v>1038806837</v>
      </c>
      <c r="G40" s="1" t="s">
        <v>38</v>
      </c>
      <c r="H40" s="1" t="str">
        <f t="shared" si="6"/>
        <v>20220901</v>
      </c>
      <c r="I40" s="1" t="str">
        <f>"155216"</f>
        <v>155216</v>
      </c>
      <c r="J40" s="1" t="s">
        <v>28</v>
      </c>
      <c r="K40" s="1" t="s">
        <v>28</v>
      </c>
      <c r="L40" s="1" t="str">
        <f t="shared" si="7"/>
        <v>20220901</v>
      </c>
      <c r="M40" s="1" t="str">
        <f>"161645"</f>
        <v>161645</v>
      </c>
      <c r="N40" s="1" t="s">
        <v>65</v>
      </c>
      <c r="O40" s="1" t="s">
        <v>52</v>
      </c>
      <c r="P40" s="1" t="s">
        <v>55</v>
      </c>
      <c r="Q40" s="1">
        <v>25</v>
      </c>
      <c r="R40" s="1">
        <v>0</v>
      </c>
      <c r="S40" s="1">
        <v>25</v>
      </c>
      <c r="T40" s="1">
        <v>0</v>
      </c>
      <c r="U40" s="1">
        <v>0</v>
      </c>
      <c r="V40" s="1" t="str">
        <f t="shared" si="4"/>
        <v>里程返程</v>
      </c>
      <c r="W40" s="1" t="s">
        <v>35</v>
      </c>
    </row>
    <row r="41" spans="1:23" x14ac:dyDescent="0.3">
      <c r="A41" s="1" t="str">
        <f t="shared" si="5"/>
        <v>59822</v>
      </c>
      <c r="B41" s="1" t="s">
        <v>39</v>
      </c>
      <c r="C41" s="1" t="s">
        <v>40</v>
      </c>
      <c r="D41" s="1" t="str">
        <f t="shared" si="1"/>
        <v>9801</v>
      </c>
      <c r="E41" s="1" t="s">
        <v>25</v>
      </c>
      <c r="F41" s="1" t="str">
        <f>"1102101509"</f>
        <v>1102101509</v>
      </c>
      <c r="G41" s="1" t="s">
        <v>38</v>
      </c>
      <c r="H41" s="1" t="str">
        <f t="shared" si="6"/>
        <v>20220901</v>
      </c>
      <c r="I41" s="1" t="str">
        <f>"155218"</f>
        <v>155218</v>
      </c>
      <c r="J41" s="1" t="s">
        <v>28</v>
      </c>
      <c r="K41" s="1" t="s">
        <v>28</v>
      </c>
      <c r="L41" s="1" t="str">
        <f t="shared" si="7"/>
        <v>20220901</v>
      </c>
      <c r="M41" s="1" t="str">
        <f>"161641"</f>
        <v>161641</v>
      </c>
      <c r="N41" s="1" t="s">
        <v>65</v>
      </c>
      <c r="O41" s="1" t="s">
        <v>52</v>
      </c>
      <c r="P41" s="1" t="s">
        <v>55</v>
      </c>
      <c r="Q41" s="1">
        <v>25</v>
      </c>
      <c r="R41" s="1">
        <v>0</v>
      </c>
      <c r="S41" s="1">
        <v>25</v>
      </c>
      <c r="T41" s="1">
        <v>0</v>
      </c>
      <c r="U41" s="1">
        <v>0</v>
      </c>
      <c r="V41" s="1" t="str">
        <f t="shared" si="4"/>
        <v>里程返程</v>
      </c>
      <c r="W41" s="1" t="s">
        <v>35</v>
      </c>
    </row>
    <row r="42" spans="1:23" x14ac:dyDescent="0.3">
      <c r="A42" s="1" t="str">
        <f t="shared" si="5"/>
        <v>59822</v>
      </c>
      <c r="B42" s="1" t="s">
        <v>39</v>
      </c>
      <c r="C42" s="1" t="s">
        <v>40</v>
      </c>
      <c r="D42" s="1" t="str">
        <f t="shared" si="1"/>
        <v>9801</v>
      </c>
      <c r="E42" s="1" t="s">
        <v>25</v>
      </c>
      <c r="F42" s="1" t="str">
        <f>"2725457807"</f>
        <v>2725457807</v>
      </c>
      <c r="G42" s="1" t="s">
        <v>74</v>
      </c>
      <c r="H42" s="1" t="str">
        <f t="shared" si="6"/>
        <v>20220901</v>
      </c>
      <c r="I42" s="1" t="str">
        <f>"155222"</f>
        <v>155222</v>
      </c>
      <c r="J42" s="1" t="s">
        <v>28</v>
      </c>
      <c r="K42" s="1" t="s">
        <v>28</v>
      </c>
      <c r="L42" s="1" t="str">
        <f t="shared" si="7"/>
        <v>20220901</v>
      </c>
      <c r="M42" s="1" t="str">
        <f>"162453"</f>
        <v>162453</v>
      </c>
      <c r="N42" s="1" t="s">
        <v>86</v>
      </c>
      <c r="O42" s="1" t="s">
        <v>52</v>
      </c>
      <c r="P42" s="1" t="s">
        <v>55</v>
      </c>
      <c r="Q42" s="1">
        <v>13</v>
      </c>
      <c r="R42" s="1">
        <v>13</v>
      </c>
      <c r="S42" s="1">
        <v>0</v>
      </c>
      <c r="T42" s="1">
        <v>0</v>
      </c>
      <c r="U42" s="1">
        <v>0</v>
      </c>
      <c r="V42" s="1" t="str">
        <f t="shared" si="4"/>
        <v>里程返程</v>
      </c>
      <c r="W42" s="1" t="s">
        <v>35</v>
      </c>
    </row>
    <row r="43" spans="1:23" x14ac:dyDescent="0.3">
      <c r="A43" s="1" t="str">
        <f t="shared" si="5"/>
        <v>59822</v>
      </c>
      <c r="B43" s="1" t="s">
        <v>39</v>
      </c>
      <c r="C43" s="1" t="s">
        <v>40</v>
      </c>
      <c r="D43" s="1" t="str">
        <f t="shared" si="1"/>
        <v>9801</v>
      </c>
      <c r="E43" s="1" t="s">
        <v>25</v>
      </c>
      <c r="F43" s="1" t="str">
        <f>"2725392527"</f>
        <v>2725392527</v>
      </c>
      <c r="G43" s="1" t="s">
        <v>102</v>
      </c>
      <c r="H43" s="1" t="str">
        <f t="shared" si="6"/>
        <v>20220901</v>
      </c>
      <c r="I43" s="1" t="str">
        <f>"155225"</f>
        <v>155225</v>
      </c>
      <c r="J43" s="1" t="s">
        <v>28</v>
      </c>
      <c r="K43" s="1" t="s">
        <v>28</v>
      </c>
      <c r="L43" s="1" t="str">
        <f t="shared" si="7"/>
        <v>20220901</v>
      </c>
      <c r="M43" s="1" t="str">
        <f>"162454"</f>
        <v>162454</v>
      </c>
      <c r="N43" s="1" t="s">
        <v>86</v>
      </c>
      <c r="O43" s="1" t="s">
        <v>52</v>
      </c>
      <c r="P43" s="1" t="s">
        <v>55</v>
      </c>
      <c r="Q43" s="1">
        <v>13</v>
      </c>
      <c r="R43" s="1">
        <v>13</v>
      </c>
      <c r="S43" s="1">
        <v>0</v>
      </c>
      <c r="T43" s="1">
        <v>0</v>
      </c>
      <c r="U43" s="1">
        <v>0</v>
      </c>
      <c r="V43" s="1" t="str">
        <f t="shared" si="4"/>
        <v>里程返程</v>
      </c>
      <c r="W43" s="1" t="s">
        <v>35</v>
      </c>
    </row>
    <row r="44" spans="1:23" x14ac:dyDescent="0.3">
      <c r="A44" s="1" t="str">
        <f t="shared" si="5"/>
        <v>59822</v>
      </c>
      <c r="B44" s="1" t="s">
        <v>39</v>
      </c>
      <c r="C44" s="1" t="s">
        <v>40</v>
      </c>
      <c r="D44" s="1" t="str">
        <f t="shared" si="1"/>
        <v>9801</v>
      </c>
      <c r="E44" s="1" t="s">
        <v>25</v>
      </c>
      <c r="F44" s="1" t="str">
        <f>"947325925"</f>
        <v>947325925</v>
      </c>
      <c r="G44" s="1" t="s">
        <v>38</v>
      </c>
      <c r="H44" s="1" t="str">
        <f t="shared" si="6"/>
        <v>20220901</v>
      </c>
      <c r="I44" s="1" t="str">
        <f>"162721"</f>
        <v>162721</v>
      </c>
      <c r="J44" s="1" t="s">
        <v>44</v>
      </c>
      <c r="K44" s="1" t="s">
        <v>45</v>
      </c>
      <c r="L44" s="1" t="str">
        <f t="shared" si="7"/>
        <v>20220901</v>
      </c>
      <c r="M44" s="1" t="str">
        <f>"165318"</f>
        <v>165318</v>
      </c>
      <c r="N44" s="1" t="s">
        <v>28</v>
      </c>
      <c r="O44" s="1" t="s">
        <v>28</v>
      </c>
      <c r="P44" s="1" t="s">
        <v>55</v>
      </c>
      <c r="Q44" s="1">
        <v>25</v>
      </c>
      <c r="R44" s="1">
        <v>25</v>
      </c>
      <c r="S44" s="1">
        <v>0</v>
      </c>
      <c r="T44" s="1">
        <v>0</v>
      </c>
      <c r="U44" s="1">
        <v>0</v>
      </c>
      <c r="V44" s="1" t="str">
        <f t="shared" si="4"/>
        <v>里程返程</v>
      </c>
      <c r="W44" s="1" t="s">
        <v>35</v>
      </c>
    </row>
    <row r="45" spans="1:23" x14ac:dyDescent="0.3">
      <c r="A45" s="1" t="str">
        <f t="shared" si="5"/>
        <v>59822</v>
      </c>
      <c r="B45" s="1" t="s">
        <v>39</v>
      </c>
      <c r="C45" s="1" t="s">
        <v>40</v>
      </c>
      <c r="D45" s="1" t="str">
        <f t="shared" si="1"/>
        <v>9801</v>
      </c>
      <c r="E45" s="1" t="s">
        <v>25</v>
      </c>
      <c r="F45" s="1" t="str">
        <f>"881231413"</f>
        <v>881231413</v>
      </c>
      <c r="G45" s="1" t="s">
        <v>38</v>
      </c>
      <c r="H45" s="1" t="str">
        <f t="shared" si="6"/>
        <v>20220901</v>
      </c>
      <c r="I45" s="1" t="str">
        <f>"162726"</f>
        <v>162726</v>
      </c>
      <c r="J45" s="1" t="s">
        <v>44</v>
      </c>
      <c r="K45" s="1" t="s">
        <v>45</v>
      </c>
      <c r="L45" s="1" t="str">
        <f t="shared" si="7"/>
        <v>20220901</v>
      </c>
      <c r="M45" s="1" t="str">
        <f>"165313"</f>
        <v>165313</v>
      </c>
      <c r="N45" s="1" t="s">
        <v>28</v>
      </c>
      <c r="O45" s="1" t="s">
        <v>28</v>
      </c>
      <c r="P45" s="1" t="s">
        <v>55</v>
      </c>
      <c r="Q45" s="1">
        <v>25</v>
      </c>
      <c r="R45" s="1">
        <v>25</v>
      </c>
      <c r="S45" s="1">
        <v>0</v>
      </c>
      <c r="T45" s="1">
        <v>0</v>
      </c>
      <c r="U45" s="1">
        <v>0</v>
      </c>
      <c r="V45" s="1" t="str">
        <f t="shared" si="4"/>
        <v>里程返程</v>
      </c>
      <c r="W45" s="1" t="s">
        <v>35</v>
      </c>
    </row>
    <row r="46" spans="1:23" x14ac:dyDescent="0.3">
      <c r="A46" s="1" t="str">
        <f t="shared" si="5"/>
        <v>59822</v>
      </c>
      <c r="B46" s="1" t="s">
        <v>39</v>
      </c>
      <c r="C46" s="1" t="s">
        <v>40</v>
      </c>
      <c r="D46" s="1" t="str">
        <f t="shared" si="1"/>
        <v>9801</v>
      </c>
      <c r="E46" s="1" t="s">
        <v>25</v>
      </c>
      <c r="F46" s="1" t="str">
        <f>"947690293"</f>
        <v>947690293</v>
      </c>
      <c r="G46" s="1" t="s">
        <v>38</v>
      </c>
      <c r="H46" s="1" t="str">
        <f t="shared" si="6"/>
        <v>20220901</v>
      </c>
      <c r="I46" s="1" t="str">
        <f>"162737"</f>
        <v>162737</v>
      </c>
      <c r="J46" s="1" t="s">
        <v>44</v>
      </c>
      <c r="K46" s="1" t="s">
        <v>45</v>
      </c>
      <c r="L46" s="1" t="str">
        <f t="shared" si="7"/>
        <v>20220901</v>
      </c>
      <c r="M46" s="1" t="str">
        <f>"165302"</f>
        <v>165302</v>
      </c>
      <c r="N46" s="1" t="s">
        <v>28</v>
      </c>
      <c r="O46" s="1" t="s">
        <v>28</v>
      </c>
      <c r="P46" s="1" t="s">
        <v>55</v>
      </c>
      <c r="Q46" s="1">
        <v>25</v>
      </c>
      <c r="R46" s="1">
        <v>25</v>
      </c>
      <c r="S46" s="1">
        <v>0</v>
      </c>
      <c r="T46" s="1">
        <v>0</v>
      </c>
      <c r="U46" s="1">
        <v>0</v>
      </c>
      <c r="V46" s="1" t="str">
        <f t="shared" si="4"/>
        <v>里程返程</v>
      </c>
      <c r="W46" s="1" t="s">
        <v>35</v>
      </c>
    </row>
    <row r="47" spans="1:23" x14ac:dyDescent="0.3">
      <c r="A47" s="1" t="str">
        <f t="shared" si="5"/>
        <v>59822</v>
      </c>
      <c r="B47" s="1" t="s">
        <v>39</v>
      </c>
      <c r="C47" s="1" t="s">
        <v>40</v>
      </c>
      <c r="D47" s="1" t="str">
        <f t="shared" si="1"/>
        <v>9801</v>
      </c>
      <c r="E47" s="1" t="s">
        <v>25</v>
      </c>
      <c r="F47" s="1" t="str">
        <f>"F2BC8115DA28040080CEDB5165514018"</f>
        <v>F2BC8115DA28040080CEDB5165514018</v>
      </c>
      <c r="G47" s="1" t="s">
        <v>59</v>
      </c>
      <c r="H47" s="1" t="str">
        <f t="shared" si="6"/>
        <v>20220901</v>
      </c>
      <c r="I47" s="1" t="str">
        <f>"162745"</f>
        <v>162745</v>
      </c>
      <c r="J47" s="1" t="s">
        <v>44</v>
      </c>
      <c r="K47" s="1" t="s">
        <v>45</v>
      </c>
      <c r="L47" s="1" t="str">
        <f t="shared" si="7"/>
        <v>20220901</v>
      </c>
      <c r="M47" s="1" t="str">
        <f>"165237"</f>
        <v>165237</v>
      </c>
      <c r="N47" s="1" t="s">
        <v>28</v>
      </c>
      <c r="O47" s="1" t="s">
        <v>28</v>
      </c>
      <c r="P47" s="1" t="s">
        <v>55</v>
      </c>
      <c r="Q47" s="1">
        <v>25</v>
      </c>
      <c r="R47" s="1">
        <v>25</v>
      </c>
      <c r="S47" s="1">
        <v>0</v>
      </c>
      <c r="T47" s="1">
        <v>0</v>
      </c>
      <c r="U47" s="1">
        <v>0</v>
      </c>
      <c r="V47" s="1" t="str">
        <f t="shared" si="4"/>
        <v>里程返程</v>
      </c>
      <c r="W47" s="1" t="s">
        <v>29</v>
      </c>
    </row>
    <row r="48" spans="1:23" x14ac:dyDescent="0.3">
      <c r="A48" s="1" t="str">
        <f t="shared" si="5"/>
        <v>59822</v>
      </c>
      <c r="B48" s="1" t="s">
        <v>39</v>
      </c>
      <c r="C48" s="1" t="s">
        <v>40</v>
      </c>
      <c r="D48" s="1" t="str">
        <f t="shared" si="1"/>
        <v>9801</v>
      </c>
      <c r="E48" s="1" t="s">
        <v>25</v>
      </c>
      <c r="F48" s="1" t="str">
        <f>"62428215B728040080CEDB5165514018"</f>
        <v>62428215B728040080CEDB5165514018</v>
      </c>
      <c r="G48" s="1" t="s">
        <v>59</v>
      </c>
      <c r="H48" s="1" t="str">
        <f t="shared" si="6"/>
        <v>20220901</v>
      </c>
      <c r="I48" s="1" t="str">
        <f>"162749"</f>
        <v>162749</v>
      </c>
      <c r="J48" s="1" t="s">
        <v>44</v>
      </c>
      <c r="K48" s="1" t="s">
        <v>45</v>
      </c>
      <c r="L48" s="1" t="str">
        <f t="shared" si="7"/>
        <v>20220901</v>
      </c>
      <c r="M48" s="1" t="str">
        <f>"165234"</f>
        <v>165234</v>
      </c>
      <c r="N48" s="1" t="s">
        <v>28</v>
      </c>
      <c r="O48" s="1" t="s">
        <v>28</v>
      </c>
      <c r="P48" s="1" t="s">
        <v>55</v>
      </c>
      <c r="Q48" s="1">
        <v>25</v>
      </c>
      <c r="R48" s="1">
        <v>25</v>
      </c>
      <c r="S48" s="1">
        <v>0</v>
      </c>
      <c r="T48" s="1">
        <v>0</v>
      </c>
      <c r="U48" s="1">
        <v>0</v>
      </c>
      <c r="V48" s="1" t="str">
        <f t="shared" si="4"/>
        <v>里程返程</v>
      </c>
      <c r="W48" s="1" t="s">
        <v>29</v>
      </c>
    </row>
    <row r="49" spans="1:23" x14ac:dyDescent="0.3">
      <c r="A49" s="1" t="str">
        <f t="shared" si="5"/>
        <v>59822</v>
      </c>
      <c r="B49" s="1" t="s">
        <v>39</v>
      </c>
      <c r="C49" s="1" t="s">
        <v>40</v>
      </c>
      <c r="D49" s="1" t="str">
        <f t="shared" si="1"/>
        <v>9801</v>
      </c>
      <c r="E49" s="1" t="s">
        <v>25</v>
      </c>
      <c r="F49" s="1" t="str">
        <f>"C2BA1B0360880400C834002000000015"</f>
        <v>C2BA1B0360880400C834002000000015</v>
      </c>
      <c r="G49" s="1" t="s">
        <v>26</v>
      </c>
      <c r="H49" s="1" t="str">
        <f t="shared" si="6"/>
        <v>20220901</v>
      </c>
      <c r="I49" s="1" t="str">
        <f>"165332"</f>
        <v>165332</v>
      </c>
      <c r="J49" s="1" t="s">
        <v>28</v>
      </c>
      <c r="K49" s="1" t="s">
        <v>28</v>
      </c>
      <c r="L49" s="1" t="str">
        <f t="shared" si="7"/>
        <v>20220901</v>
      </c>
      <c r="M49" s="1" t="str">
        <f>"171457"</f>
        <v>171457</v>
      </c>
      <c r="N49" s="1" t="s">
        <v>77</v>
      </c>
      <c r="O49" s="1" t="s">
        <v>52</v>
      </c>
      <c r="P49" s="1" t="s">
        <v>68</v>
      </c>
      <c r="Q49" s="1">
        <v>13</v>
      </c>
      <c r="R49" s="1">
        <v>0</v>
      </c>
      <c r="S49" s="1">
        <v>0</v>
      </c>
      <c r="T49" s="1">
        <v>13</v>
      </c>
      <c r="U49" s="1">
        <v>0</v>
      </c>
      <c r="V49" s="1" t="str">
        <f t="shared" si="4"/>
        <v>里程返程</v>
      </c>
      <c r="W49" s="1" t="s">
        <v>29</v>
      </c>
    </row>
    <row r="50" spans="1:23" x14ac:dyDescent="0.3">
      <c r="A50" s="1" t="str">
        <f t="shared" si="5"/>
        <v>59822</v>
      </c>
      <c r="B50" s="1" t="s">
        <v>39</v>
      </c>
      <c r="C50" s="1" t="s">
        <v>40</v>
      </c>
      <c r="D50" s="1" t="str">
        <f t="shared" si="1"/>
        <v>9801</v>
      </c>
      <c r="E50" s="1" t="s">
        <v>25</v>
      </c>
      <c r="F50" s="1" t="str">
        <f>"908577429"</f>
        <v>908577429</v>
      </c>
      <c r="G50" s="1" t="s">
        <v>26</v>
      </c>
      <c r="H50" s="1" t="str">
        <f t="shared" si="6"/>
        <v>20220901</v>
      </c>
      <c r="I50" s="1" t="str">
        <f>"165352"</f>
        <v>165352</v>
      </c>
      <c r="J50" s="1" t="s">
        <v>28</v>
      </c>
      <c r="K50" s="1" t="s">
        <v>28</v>
      </c>
      <c r="L50" s="1" t="str">
        <f t="shared" si="7"/>
        <v>20220901</v>
      </c>
      <c r="M50" s="1" t="str">
        <f>"171538"</f>
        <v>171538</v>
      </c>
      <c r="N50" s="1" t="s">
        <v>77</v>
      </c>
      <c r="O50" s="1" t="s">
        <v>52</v>
      </c>
      <c r="P50" s="1" t="s">
        <v>55</v>
      </c>
      <c r="Q50" s="1">
        <v>13</v>
      </c>
      <c r="R50" s="1">
        <v>13</v>
      </c>
      <c r="S50" s="1">
        <v>0</v>
      </c>
      <c r="T50" s="1">
        <v>0</v>
      </c>
      <c r="U50" s="1">
        <v>0</v>
      </c>
      <c r="V50" s="1" t="str">
        <f t="shared" si="4"/>
        <v>里程返程</v>
      </c>
      <c r="W50" s="1" t="s">
        <v>35</v>
      </c>
    </row>
    <row r="51" spans="1:23" x14ac:dyDescent="0.3">
      <c r="A51" s="1" t="str">
        <f t="shared" ref="A51:A90" si="8">"59825"</f>
        <v>59825</v>
      </c>
      <c r="B51" s="1" t="s">
        <v>30</v>
      </c>
      <c r="C51" s="1" t="s">
        <v>31</v>
      </c>
      <c r="D51" s="1" t="str">
        <f t="shared" si="1"/>
        <v>9801</v>
      </c>
      <c r="E51" s="1" t="s">
        <v>25</v>
      </c>
      <c r="F51" s="1" t="str">
        <f>"F29BD102BA880400C834002000000015"</f>
        <v>F29BD102BA880400C834002000000015</v>
      </c>
      <c r="G51" s="1" t="s">
        <v>26</v>
      </c>
      <c r="H51" s="1" t="str">
        <f t="shared" si="6"/>
        <v>20220901</v>
      </c>
      <c r="I51" s="1" t="str">
        <f>"083343"</f>
        <v>083343</v>
      </c>
      <c r="J51" s="1" t="s">
        <v>44</v>
      </c>
      <c r="K51" s="1" t="s">
        <v>45</v>
      </c>
      <c r="L51" s="1" t="str">
        <f t="shared" si="7"/>
        <v>20220901</v>
      </c>
      <c r="M51" s="1" t="str">
        <f>"085342"</f>
        <v>085342</v>
      </c>
      <c r="N51" s="1" t="s">
        <v>28</v>
      </c>
      <c r="O51" s="1" t="s">
        <v>28</v>
      </c>
      <c r="P51" s="1" t="s">
        <v>68</v>
      </c>
      <c r="Q51" s="1">
        <v>13</v>
      </c>
      <c r="R51" s="1">
        <v>0</v>
      </c>
      <c r="S51" s="1">
        <v>0</v>
      </c>
      <c r="T51" s="1">
        <v>13</v>
      </c>
      <c r="U51" s="1">
        <v>0</v>
      </c>
      <c r="V51" s="1" t="str">
        <f t="shared" si="4"/>
        <v>里程返程</v>
      </c>
      <c r="W51" s="1" t="s">
        <v>29</v>
      </c>
    </row>
    <row r="52" spans="1:23" x14ac:dyDescent="0.3">
      <c r="A52" s="1" t="str">
        <f t="shared" si="8"/>
        <v>59825</v>
      </c>
      <c r="B52" s="1" t="s">
        <v>30</v>
      </c>
      <c r="C52" s="1" t="s">
        <v>31</v>
      </c>
      <c r="D52" s="1" t="str">
        <f t="shared" si="1"/>
        <v>9801</v>
      </c>
      <c r="E52" s="1" t="s">
        <v>25</v>
      </c>
      <c r="F52" s="1" t="str">
        <f>"799288085"</f>
        <v>799288085</v>
      </c>
      <c r="G52" s="1" t="s">
        <v>26</v>
      </c>
      <c r="H52" s="1" t="str">
        <f t="shared" si="6"/>
        <v>20220901</v>
      </c>
      <c r="I52" s="1" t="str">
        <f>"084115"</f>
        <v>084115</v>
      </c>
      <c r="J52" s="1" t="s">
        <v>56</v>
      </c>
      <c r="K52" s="1" t="s">
        <v>45</v>
      </c>
      <c r="L52" s="1" t="str">
        <f t="shared" si="7"/>
        <v>20220901</v>
      </c>
      <c r="M52" s="1" t="str">
        <f>"085349"</f>
        <v>085349</v>
      </c>
      <c r="N52" s="1" t="s">
        <v>28</v>
      </c>
      <c r="O52" s="1" t="s">
        <v>28</v>
      </c>
      <c r="P52" s="1" t="s">
        <v>55</v>
      </c>
      <c r="Q52" s="1">
        <v>13</v>
      </c>
      <c r="R52" s="1">
        <v>13</v>
      </c>
      <c r="S52" s="1">
        <v>0</v>
      </c>
      <c r="T52" s="1">
        <v>0</v>
      </c>
      <c r="U52" s="1">
        <v>0</v>
      </c>
      <c r="V52" s="1" t="str">
        <f t="shared" si="4"/>
        <v>里程返程</v>
      </c>
      <c r="W52" s="1" t="s">
        <v>35</v>
      </c>
    </row>
    <row r="53" spans="1:23" x14ac:dyDescent="0.3">
      <c r="A53" s="1" t="str">
        <f t="shared" si="8"/>
        <v>59825</v>
      </c>
      <c r="B53" s="1" t="s">
        <v>30</v>
      </c>
      <c r="C53" s="1" t="s">
        <v>31</v>
      </c>
      <c r="D53" s="1" t="str">
        <f t="shared" si="1"/>
        <v>9801</v>
      </c>
      <c r="E53" s="1" t="s">
        <v>25</v>
      </c>
      <c r="F53" s="1" t="str">
        <f>"1990032291"</f>
        <v>1990032291</v>
      </c>
      <c r="G53" s="1" t="s">
        <v>26</v>
      </c>
      <c r="H53" s="1" t="str">
        <f t="shared" si="6"/>
        <v>20220901</v>
      </c>
      <c r="I53" s="1" t="str">
        <f>"084122"</f>
        <v>084122</v>
      </c>
      <c r="J53" s="1" t="s">
        <v>56</v>
      </c>
      <c r="K53" s="1" t="s">
        <v>45</v>
      </c>
      <c r="L53" s="1" t="str">
        <f t="shared" si="7"/>
        <v>20220901</v>
      </c>
      <c r="M53" s="1" t="str">
        <f>"085352"</f>
        <v>085352</v>
      </c>
      <c r="N53" s="1" t="s">
        <v>28</v>
      </c>
      <c r="O53" s="1" t="s">
        <v>28</v>
      </c>
      <c r="P53" s="1" t="s">
        <v>55</v>
      </c>
      <c r="Q53" s="1">
        <v>13</v>
      </c>
      <c r="R53" s="1">
        <v>13</v>
      </c>
      <c r="S53" s="1">
        <v>0</v>
      </c>
      <c r="T53" s="1">
        <v>0</v>
      </c>
      <c r="U53" s="1">
        <v>0</v>
      </c>
      <c r="V53" s="1" t="str">
        <f t="shared" si="4"/>
        <v>里程返程</v>
      </c>
      <c r="W53" s="1" t="s">
        <v>35</v>
      </c>
    </row>
    <row r="54" spans="1:23" x14ac:dyDescent="0.3">
      <c r="A54" s="1" t="str">
        <f t="shared" si="8"/>
        <v>59825</v>
      </c>
      <c r="B54" s="1" t="s">
        <v>30</v>
      </c>
      <c r="C54" s="1" t="s">
        <v>31</v>
      </c>
      <c r="D54" s="1" t="str">
        <f t="shared" si="1"/>
        <v>9801</v>
      </c>
      <c r="E54" s="1" t="s">
        <v>25</v>
      </c>
      <c r="F54" s="1" t="str">
        <f>"1103653621"</f>
        <v>1103653621</v>
      </c>
      <c r="G54" s="1" t="s">
        <v>38</v>
      </c>
      <c r="H54" s="1" t="str">
        <f t="shared" si="6"/>
        <v>20220901</v>
      </c>
      <c r="I54" s="1" t="str">
        <f>"084124"</f>
        <v>084124</v>
      </c>
      <c r="J54" s="1" t="s">
        <v>56</v>
      </c>
      <c r="K54" s="1" t="s">
        <v>45</v>
      </c>
      <c r="L54" s="1" t="str">
        <f t="shared" si="7"/>
        <v>20220901</v>
      </c>
      <c r="M54" s="1" t="str">
        <f>"085356"</f>
        <v>085356</v>
      </c>
      <c r="N54" s="1" t="s">
        <v>28</v>
      </c>
      <c r="O54" s="1" t="s">
        <v>28</v>
      </c>
      <c r="P54" s="1" t="s">
        <v>55</v>
      </c>
      <c r="Q54" s="1">
        <v>25</v>
      </c>
      <c r="R54" s="1">
        <v>25</v>
      </c>
      <c r="S54" s="1">
        <v>0</v>
      </c>
      <c r="T54" s="1">
        <v>0</v>
      </c>
      <c r="U54" s="1">
        <v>0</v>
      </c>
      <c r="V54" s="1" t="str">
        <f t="shared" si="4"/>
        <v>里程返程</v>
      </c>
      <c r="W54" s="1" t="s">
        <v>35</v>
      </c>
    </row>
    <row r="55" spans="1:23" x14ac:dyDescent="0.3">
      <c r="A55" s="1" t="str">
        <f t="shared" si="8"/>
        <v>59825</v>
      </c>
      <c r="B55" s="1" t="s">
        <v>30</v>
      </c>
      <c r="C55" s="1" t="s">
        <v>31</v>
      </c>
      <c r="D55" s="1" t="str">
        <f t="shared" si="1"/>
        <v>9801</v>
      </c>
      <c r="E55" s="1" t="s">
        <v>25</v>
      </c>
      <c r="F55" s="1" t="str">
        <f>"03A6A9454988040048B994D749703809"</f>
        <v>03A6A9454988040048B994D749703809</v>
      </c>
      <c r="G55" s="1" t="s">
        <v>64</v>
      </c>
      <c r="H55" s="1" t="str">
        <f t="shared" si="6"/>
        <v>20220901</v>
      </c>
      <c r="I55" s="1" t="str">
        <f>"085408"</f>
        <v>085408</v>
      </c>
      <c r="J55" s="1" t="s">
        <v>28</v>
      </c>
      <c r="K55" s="1" t="s">
        <v>28</v>
      </c>
      <c r="L55" s="1" t="str">
        <f t="shared" si="7"/>
        <v>20220901</v>
      </c>
      <c r="M55" s="1" t="str">
        <f>"090753"</f>
        <v>090753</v>
      </c>
      <c r="N55" s="1" t="s">
        <v>78</v>
      </c>
      <c r="O55" s="1" t="s">
        <v>52</v>
      </c>
      <c r="P55" s="1" t="s">
        <v>55</v>
      </c>
      <c r="Q55" s="1">
        <v>13</v>
      </c>
      <c r="R55" s="1">
        <v>13</v>
      </c>
      <c r="S55" s="1">
        <v>0</v>
      </c>
      <c r="T55" s="1">
        <v>0</v>
      </c>
      <c r="U55" s="1">
        <v>0</v>
      </c>
      <c r="V55" s="1" t="str">
        <f t="shared" si="4"/>
        <v>里程返程</v>
      </c>
      <c r="W55" s="1" t="s">
        <v>29</v>
      </c>
    </row>
    <row r="56" spans="1:23" x14ac:dyDescent="0.3">
      <c r="A56" s="1" t="str">
        <f t="shared" si="8"/>
        <v>59825</v>
      </c>
      <c r="B56" s="1" t="s">
        <v>30</v>
      </c>
      <c r="C56" s="1" t="s">
        <v>31</v>
      </c>
      <c r="D56" s="1" t="str">
        <f t="shared" si="1"/>
        <v>9801</v>
      </c>
      <c r="E56" s="1" t="s">
        <v>25</v>
      </c>
      <c r="F56" s="1" t="str">
        <f>"529E1903D6880400C834002000000015"</f>
        <v>529E1903D6880400C834002000000015</v>
      </c>
      <c r="G56" s="1" t="s">
        <v>26</v>
      </c>
      <c r="H56" s="1" t="str">
        <f t="shared" si="6"/>
        <v>20220901</v>
      </c>
      <c r="I56" s="1" t="str">
        <f>"085413"</f>
        <v>085413</v>
      </c>
      <c r="J56" s="1" t="s">
        <v>28</v>
      </c>
      <c r="K56" s="1" t="s">
        <v>28</v>
      </c>
      <c r="L56" s="1" t="str">
        <f t="shared" si="7"/>
        <v>20220901</v>
      </c>
      <c r="M56" s="1" t="str">
        <f>"092338"</f>
        <v>092338</v>
      </c>
      <c r="N56" s="1" t="s">
        <v>60</v>
      </c>
      <c r="O56" s="1" t="s">
        <v>52</v>
      </c>
      <c r="P56" s="1" t="s">
        <v>68</v>
      </c>
      <c r="Q56" s="1">
        <v>13</v>
      </c>
      <c r="R56" s="1">
        <v>0</v>
      </c>
      <c r="S56" s="1">
        <v>0</v>
      </c>
      <c r="T56" s="1">
        <v>13</v>
      </c>
      <c r="U56" s="1">
        <v>0</v>
      </c>
      <c r="V56" s="1" t="str">
        <f t="shared" si="4"/>
        <v>里程返程</v>
      </c>
      <c r="W56" s="1" t="s">
        <v>29</v>
      </c>
    </row>
    <row r="57" spans="1:23" x14ac:dyDescent="0.3">
      <c r="A57" s="1" t="str">
        <f t="shared" si="8"/>
        <v>59825</v>
      </c>
      <c r="B57" s="1" t="s">
        <v>30</v>
      </c>
      <c r="C57" s="1" t="s">
        <v>31</v>
      </c>
      <c r="D57" s="1" t="str">
        <f t="shared" si="1"/>
        <v>9801</v>
      </c>
      <c r="E57" s="1" t="s">
        <v>25</v>
      </c>
      <c r="F57" s="1" t="str">
        <f>"2AFA6262D0880400C18514D045304512"</f>
        <v>2AFA6262D0880400C18514D045304512</v>
      </c>
      <c r="G57" s="1" t="s">
        <v>59</v>
      </c>
      <c r="H57" s="1" t="str">
        <f t="shared" si="6"/>
        <v>20220901</v>
      </c>
      <c r="I57" s="1" t="str">
        <f>"095733"</f>
        <v>095733</v>
      </c>
      <c r="J57" s="1" t="s">
        <v>28</v>
      </c>
      <c r="K57" s="1" t="s">
        <v>28</v>
      </c>
      <c r="L57" s="1" t="str">
        <f t="shared" si="7"/>
        <v>20220901</v>
      </c>
      <c r="M57" s="1" t="str">
        <f>"102657"</f>
        <v>102657</v>
      </c>
      <c r="N57" s="1" t="s">
        <v>60</v>
      </c>
      <c r="O57" s="1" t="s">
        <v>52</v>
      </c>
      <c r="P57" s="1" t="s">
        <v>55</v>
      </c>
      <c r="Q57" s="1">
        <v>25</v>
      </c>
      <c r="R57" s="1">
        <v>25</v>
      </c>
      <c r="S57" s="1">
        <v>0</v>
      </c>
      <c r="T57" s="1">
        <v>0</v>
      </c>
      <c r="U57" s="1">
        <v>0</v>
      </c>
      <c r="V57" s="1" t="str">
        <f t="shared" si="4"/>
        <v>里程返程</v>
      </c>
      <c r="W57" s="1" t="s">
        <v>29</v>
      </c>
    </row>
    <row r="58" spans="1:23" x14ac:dyDescent="0.3">
      <c r="A58" s="1" t="str">
        <f t="shared" si="8"/>
        <v>59825</v>
      </c>
      <c r="B58" s="1" t="s">
        <v>30</v>
      </c>
      <c r="C58" s="1" t="s">
        <v>31</v>
      </c>
      <c r="D58" s="1" t="str">
        <f t="shared" si="1"/>
        <v>9801</v>
      </c>
      <c r="E58" s="1" t="s">
        <v>25</v>
      </c>
      <c r="F58" s="1" t="str">
        <f>"DA09B4CEA9880400475935D541403307"</f>
        <v>DA09B4CEA9880400475935D541403307</v>
      </c>
      <c r="G58" s="1" t="s">
        <v>58</v>
      </c>
      <c r="H58" s="1" t="str">
        <f t="shared" si="6"/>
        <v>20220901</v>
      </c>
      <c r="I58" s="1" t="str">
        <f>"095739"</f>
        <v>095739</v>
      </c>
      <c r="J58" s="1" t="s">
        <v>28</v>
      </c>
      <c r="K58" s="1" t="s">
        <v>28</v>
      </c>
      <c r="L58" s="1" t="str">
        <f t="shared" si="7"/>
        <v>20220901</v>
      </c>
      <c r="M58" s="1" t="str">
        <f>"102037"</f>
        <v>102037</v>
      </c>
      <c r="N58" s="1" t="s">
        <v>65</v>
      </c>
      <c r="O58" s="1" t="s">
        <v>52</v>
      </c>
      <c r="P58" s="1" t="s">
        <v>55</v>
      </c>
      <c r="Q58" s="1">
        <v>25</v>
      </c>
      <c r="R58" s="1">
        <v>25</v>
      </c>
      <c r="S58" s="1">
        <v>0</v>
      </c>
      <c r="T58" s="1">
        <v>0</v>
      </c>
      <c r="U58" s="1">
        <v>0</v>
      </c>
      <c r="V58" s="1" t="str">
        <f t="shared" si="4"/>
        <v>里程返程</v>
      </c>
      <c r="W58" s="1" t="s">
        <v>29</v>
      </c>
    </row>
    <row r="59" spans="1:23" x14ac:dyDescent="0.3">
      <c r="A59" s="1" t="str">
        <f t="shared" si="8"/>
        <v>59825</v>
      </c>
      <c r="B59" s="1" t="s">
        <v>30</v>
      </c>
      <c r="C59" s="1" t="s">
        <v>31</v>
      </c>
      <c r="D59" s="1" t="str">
        <f t="shared" si="1"/>
        <v>9801</v>
      </c>
      <c r="E59" s="1" t="s">
        <v>25</v>
      </c>
      <c r="F59" s="1" t="str">
        <f>"285817872"</f>
        <v>285817872</v>
      </c>
      <c r="G59" s="1" t="s">
        <v>33</v>
      </c>
      <c r="H59" s="1" t="str">
        <f t="shared" si="6"/>
        <v>20220901</v>
      </c>
      <c r="I59" s="1" t="str">
        <f>"095743"</f>
        <v>095743</v>
      </c>
      <c r="J59" s="1" t="s">
        <v>28</v>
      </c>
      <c r="K59" s="1" t="s">
        <v>28</v>
      </c>
      <c r="L59" s="1" t="str">
        <f t="shared" si="7"/>
        <v>20220901</v>
      </c>
      <c r="M59" s="1" t="str">
        <f>"102654"</f>
        <v>102654</v>
      </c>
      <c r="N59" s="1" t="s">
        <v>60</v>
      </c>
      <c r="O59" s="1" t="s">
        <v>52</v>
      </c>
      <c r="P59" s="1" t="s">
        <v>55</v>
      </c>
      <c r="Q59" s="1">
        <v>25</v>
      </c>
      <c r="R59" s="1">
        <v>0</v>
      </c>
      <c r="S59" s="1">
        <v>25</v>
      </c>
      <c r="T59" s="1">
        <v>0</v>
      </c>
      <c r="U59" s="1">
        <v>0</v>
      </c>
      <c r="V59" s="1" t="str">
        <f t="shared" si="4"/>
        <v>里程返程</v>
      </c>
      <c r="W59" s="1" t="s">
        <v>35</v>
      </c>
    </row>
    <row r="60" spans="1:23" x14ac:dyDescent="0.3">
      <c r="A60" s="1" t="str">
        <f t="shared" si="8"/>
        <v>59825</v>
      </c>
      <c r="B60" s="1" t="s">
        <v>30</v>
      </c>
      <c r="C60" s="1" t="s">
        <v>31</v>
      </c>
      <c r="D60" s="1" t="str">
        <f t="shared" si="1"/>
        <v>9801</v>
      </c>
      <c r="E60" s="1" t="s">
        <v>25</v>
      </c>
      <c r="F60" s="1" t="str">
        <f>"223123029"</f>
        <v>223123029</v>
      </c>
      <c r="G60" s="1" t="s">
        <v>33</v>
      </c>
      <c r="H60" s="1" t="str">
        <f t="shared" si="6"/>
        <v>20220901</v>
      </c>
      <c r="I60" s="1" t="str">
        <f>"095810"</f>
        <v>095810</v>
      </c>
      <c r="J60" s="1" t="s">
        <v>28</v>
      </c>
      <c r="K60" s="1" t="s">
        <v>28</v>
      </c>
      <c r="L60" s="1" t="str">
        <f t="shared" si="7"/>
        <v>20220901</v>
      </c>
      <c r="M60" s="1" t="str">
        <f>"101723"</f>
        <v>101723</v>
      </c>
      <c r="N60" s="1" t="s">
        <v>80</v>
      </c>
      <c r="O60" s="1" t="s">
        <v>52</v>
      </c>
      <c r="P60" s="1" t="s">
        <v>55</v>
      </c>
      <c r="Q60" s="1">
        <v>25</v>
      </c>
      <c r="R60" s="1">
        <v>25</v>
      </c>
      <c r="S60" s="1">
        <v>0</v>
      </c>
      <c r="T60" s="1">
        <v>0</v>
      </c>
      <c r="U60" s="1">
        <v>0</v>
      </c>
      <c r="V60" s="1" t="str">
        <f t="shared" si="4"/>
        <v>里程返程</v>
      </c>
      <c r="W60" s="1" t="s">
        <v>35</v>
      </c>
    </row>
    <row r="61" spans="1:23" x14ac:dyDescent="0.3">
      <c r="A61" s="1" t="str">
        <f t="shared" si="8"/>
        <v>59825</v>
      </c>
      <c r="B61" s="1" t="s">
        <v>30</v>
      </c>
      <c r="C61" s="1" t="s">
        <v>31</v>
      </c>
      <c r="D61" s="1" t="str">
        <f t="shared" si="1"/>
        <v>9801</v>
      </c>
      <c r="E61" s="1" t="s">
        <v>25</v>
      </c>
      <c r="F61" s="1" t="str">
        <f>"92BE6D1352880400C831002000000018"</f>
        <v>92BE6D1352880400C831002000000018</v>
      </c>
      <c r="G61" s="1" t="s">
        <v>59</v>
      </c>
      <c r="H61" s="1" t="str">
        <f t="shared" si="6"/>
        <v>20220901</v>
      </c>
      <c r="I61" s="1" t="str">
        <f>"095836"</f>
        <v>095836</v>
      </c>
      <c r="J61" s="1" t="s">
        <v>28</v>
      </c>
      <c r="K61" s="1" t="s">
        <v>28</v>
      </c>
      <c r="L61" s="1" t="str">
        <f t="shared" si="7"/>
        <v>20220901</v>
      </c>
      <c r="M61" s="1" t="str">
        <f>"102026"</f>
        <v>102026</v>
      </c>
      <c r="N61" s="1" t="s">
        <v>65</v>
      </c>
      <c r="O61" s="1" t="s">
        <v>52</v>
      </c>
      <c r="P61" s="1" t="s">
        <v>55</v>
      </c>
      <c r="Q61" s="1">
        <v>25</v>
      </c>
      <c r="R61" s="1">
        <v>25</v>
      </c>
      <c r="S61" s="1">
        <v>0</v>
      </c>
      <c r="T61" s="1">
        <v>0</v>
      </c>
      <c r="U61" s="1">
        <v>0</v>
      </c>
      <c r="V61" s="1" t="str">
        <f t="shared" si="4"/>
        <v>里程返程</v>
      </c>
      <c r="W61" s="1" t="s">
        <v>29</v>
      </c>
    </row>
    <row r="62" spans="1:23" x14ac:dyDescent="0.3">
      <c r="A62" s="1" t="str">
        <f t="shared" si="8"/>
        <v>59825</v>
      </c>
      <c r="B62" s="1" t="s">
        <v>30</v>
      </c>
      <c r="C62" s="1" t="s">
        <v>31</v>
      </c>
      <c r="D62" s="1" t="str">
        <f t="shared" si="1"/>
        <v>9801</v>
      </c>
      <c r="E62" s="1" t="s">
        <v>25</v>
      </c>
      <c r="F62" s="1" t="str">
        <f>"4249A416B9880400C814002000000019"</f>
        <v>4249A416B9880400C814002000000019</v>
      </c>
      <c r="G62" s="1" t="s">
        <v>59</v>
      </c>
      <c r="H62" s="1" t="str">
        <f t="shared" si="6"/>
        <v>20220901</v>
      </c>
      <c r="I62" s="1" t="str">
        <f>"105612"</f>
        <v>105612</v>
      </c>
      <c r="J62" s="1" t="s">
        <v>28</v>
      </c>
      <c r="K62" s="1" t="s">
        <v>28</v>
      </c>
      <c r="L62" s="1" t="str">
        <f t="shared" si="7"/>
        <v>20220901</v>
      </c>
      <c r="M62" s="1" t="str">
        <f>"112409"</f>
        <v>112409</v>
      </c>
      <c r="N62" s="1" t="s">
        <v>52</v>
      </c>
      <c r="O62" s="1" t="s">
        <v>52</v>
      </c>
      <c r="P62" s="1" t="s">
        <v>55</v>
      </c>
      <c r="Q62" s="1">
        <v>25</v>
      </c>
      <c r="R62" s="1">
        <v>0</v>
      </c>
      <c r="S62" s="1">
        <v>25</v>
      </c>
      <c r="T62" s="1">
        <v>0</v>
      </c>
      <c r="U62" s="1">
        <v>0</v>
      </c>
      <c r="V62" s="1" t="str">
        <f t="shared" si="4"/>
        <v>里程返程</v>
      </c>
      <c r="W62" s="1" t="s">
        <v>29</v>
      </c>
    </row>
    <row r="63" spans="1:23" x14ac:dyDescent="0.3">
      <c r="A63" s="1" t="str">
        <f t="shared" si="8"/>
        <v>59825</v>
      </c>
      <c r="B63" s="1" t="s">
        <v>30</v>
      </c>
      <c r="C63" s="1" t="s">
        <v>31</v>
      </c>
      <c r="D63" s="1" t="str">
        <f t="shared" si="1"/>
        <v>9801</v>
      </c>
      <c r="E63" s="1" t="s">
        <v>25</v>
      </c>
      <c r="F63" s="1" t="str">
        <f>"1259149621"</f>
        <v>1259149621</v>
      </c>
      <c r="G63" s="1" t="s">
        <v>38</v>
      </c>
      <c r="H63" s="1" t="str">
        <f t="shared" si="6"/>
        <v>20220901</v>
      </c>
      <c r="I63" s="1" t="str">
        <f>"105613"</f>
        <v>105613</v>
      </c>
      <c r="J63" s="1" t="s">
        <v>28</v>
      </c>
      <c r="K63" s="1" t="s">
        <v>28</v>
      </c>
      <c r="L63" s="1" t="str">
        <f t="shared" si="7"/>
        <v>20220901</v>
      </c>
      <c r="M63" s="1" t="str">
        <f>"112412"</f>
        <v>112412</v>
      </c>
      <c r="N63" s="1" t="s">
        <v>52</v>
      </c>
      <c r="O63" s="1" t="s">
        <v>52</v>
      </c>
      <c r="P63" s="1" t="s">
        <v>55</v>
      </c>
      <c r="Q63" s="1">
        <v>25</v>
      </c>
      <c r="R63" s="1">
        <v>0</v>
      </c>
      <c r="S63" s="1">
        <v>25</v>
      </c>
      <c r="T63" s="1">
        <v>0</v>
      </c>
      <c r="U63" s="1">
        <v>0</v>
      </c>
      <c r="V63" s="1" t="str">
        <f t="shared" si="4"/>
        <v>里程返程</v>
      </c>
      <c r="W63" s="1" t="s">
        <v>35</v>
      </c>
    </row>
    <row r="64" spans="1:23" x14ac:dyDescent="0.3">
      <c r="A64" s="1" t="str">
        <f t="shared" si="8"/>
        <v>59825</v>
      </c>
      <c r="B64" s="1" t="s">
        <v>30</v>
      </c>
      <c r="C64" s="1" t="s">
        <v>31</v>
      </c>
      <c r="D64" s="1" t="str">
        <f t="shared" si="1"/>
        <v>9801</v>
      </c>
      <c r="E64" s="1" t="s">
        <v>25</v>
      </c>
      <c r="F64" s="1" t="str">
        <f>"82D5FB02AE880400C834002000000015"</f>
        <v>82D5FB02AE880400C834002000000015</v>
      </c>
      <c r="G64" s="1" t="s">
        <v>26</v>
      </c>
      <c r="H64" s="1" t="str">
        <f t="shared" si="6"/>
        <v>20220901</v>
      </c>
      <c r="I64" s="1" t="str">
        <f>"111453"</f>
        <v>111453</v>
      </c>
      <c r="J64" s="1" t="s">
        <v>65</v>
      </c>
      <c r="K64" s="1" t="s">
        <v>52</v>
      </c>
      <c r="L64" s="1" t="str">
        <f t="shared" si="7"/>
        <v>20220901</v>
      </c>
      <c r="M64" s="1" t="str">
        <f>"111858"</f>
        <v>111858</v>
      </c>
      <c r="N64" s="1" t="s">
        <v>51</v>
      </c>
      <c r="O64" s="1" t="s">
        <v>52</v>
      </c>
      <c r="P64" s="1" t="s">
        <v>68</v>
      </c>
      <c r="Q64" s="1">
        <v>13</v>
      </c>
      <c r="R64" s="1">
        <v>0</v>
      </c>
      <c r="S64" s="1">
        <v>0</v>
      </c>
      <c r="T64" s="1">
        <v>13</v>
      </c>
      <c r="U64" s="1">
        <v>0</v>
      </c>
      <c r="V64" s="1" t="str">
        <f t="shared" si="4"/>
        <v>里程返程</v>
      </c>
      <c r="W64" s="1" t="s">
        <v>29</v>
      </c>
    </row>
    <row r="65" spans="1:23" x14ac:dyDescent="0.3">
      <c r="A65" s="1" t="str">
        <f t="shared" si="8"/>
        <v>59825</v>
      </c>
      <c r="B65" s="1" t="s">
        <v>30</v>
      </c>
      <c r="C65" s="1" t="s">
        <v>110</v>
      </c>
      <c r="D65" s="1" t="str">
        <f t="shared" si="1"/>
        <v>9801</v>
      </c>
      <c r="E65" s="1" t="s">
        <v>25</v>
      </c>
      <c r="F65" s="1" t="str">
        <f>"9517172006176499"</f>
        <v>9517172006176499</v>
      </c>
      <c r="G65" s="1" t="s">
        <v>33</v>
      </c>
      <c r="H65" s="1" t="str">
        <f t="shared" si="6"/>
        <v>20220901</v>
      </c>
      <c r="I65" s="1" t="str">
        <f>"113850"</f>
        <v>113850</v>
      </c>
      <c r="J65" s="1" t="s">
        <v>91</v>
      </c>
      <c r="K65" s="1" t="s">
        <v>45</v>
      </c>
      <c r="L65" s="1" t="str">
        <f t="shared" si="7"/>
        <v>20220901</v>
      </c>
      <c r="M65" s="1" t="str">
        <f>"115619"</f>
        <v>115619</v>
      </c>
      <c r="N65" s="1" t="s">
        <v>28</v>
      </c>
      <c r="O65" s="1" t="s">
        <v>28</v>
      </c>
      <c r="P65" s="1" t="s">
        <v>55</v>
      </c>
      <c r="Q65" s="1">
        <v>25</v>
      </c>
      <c r="R65" s="1">
        <v>25</v>
      </c>
      <c r="S65" s="1">
        <v>0</v>
      </c>
      <c r="T65" s="1">
        <v>0</v>
      </c>
      <c r="U65" s="1">
        <v>0</v>
      </c>
      <c r="V65" s="1" t="str">
        <f t="shared" si="4"/>
        <v>里程返程</v>
      </c>
      <c r="W65" s="1" t="s">
        <v>109</v>
      </c>
    </row>
    <row r="66" spans="1:23" x14ac:dyDescent="0.3">
      <c r="A66" s="1" t="str">
        <f t="shared" si="8"/>
        <v>59825</v>
      </c>
      <c r="B66" s="1" t="s">
        <v>30</v>
      </c>
      <c r="C66" s="1" t="s">
        <v>31</v>
      </c>
      <c r="D66" s="1" t="str">
        <f t="shared" ref="D66:D129" si="9">"9801"</f>
        <v>9801</v>
      </c>
      <c r="E66" s="1" t="s">
        <v>25</v>
      </c>
      <c r="F66" s="1" t="str">
        <f>"3909530269"</f>
        <v>3909530269</v>
      </c>
      <c r="G66" s="1" t="s">
        <v>33</v>
      </c>
      <c r="H66" s="1" t="str">
        <f t="shared" ref="H66:H90" si="10">"20220901"</f>
        <v>20220901</v>
      </c>
      <c r="I66" s="1" t="str">
        <f>"114124"</f>
        <v>114124</v>
      </c>
      <c r="J66" s="1" t="s">
        <v>75</v>
      </c>
      <c r="K66" s="1" t="s">
        <v>45</v>
      </c>
      <c r="L66" s="1" t="str">
        <f t="shared" ref="L66:L90" si="11">"20220901"</f>
        <v>20220901</v>
      </c>
      <c r="M66" s="1" t="str">
        <f>"115607"</f>
        <v>115607</v>
      </c>
      <c r="N66" s="1" t="s">
        <v>28</v>
      </c>
      <c r="O66" s="1" t="s">
        <v>28</v>
      </c>
      <c r="P66" s="1" t="s">
        <v>55</v>
      </c>
      <c r="Q66" s="1">
        <v>25</v>
      </c>
      <c r="R66" s="1">
        <v>25</v>
      </c>
      <c r="S66" s="1">
        <v>0</v>
      </c>
      <c r="T66" s="1">
        <v>0</v>
      </c>
      <c r="U66" s="1">
        <v>0</v>
      </c>
      <c r="V66" s="1" t="str">
        <f t="shared" ref="V66:V129" si="12">"里程返程"</f>
        <v>里程返程</v>
      </c>
      <c r="W66" s="1" t="s">
        <v>35</v>
      </c>
    </row>
    <row r="67" spans="1:23" x14ac:dyDescent="0.3">
      <c r="A67" s="1" t="str">
        <f t="shared" si="8"/>
        <v>59825</v>
      </c>
      <c r="B67" s="1" t="s">
        <v>30</v>
      </c>
      <c r="C67" s="1" t="s">
        <v>31</v>
      </c>
      <c r="D67" s="1" t="str">
        <f t="shared" si="9"/>
        <v>9801</v>
      </c>
      <c r="E67" s="1" t="s">
        <v>25</v>
      </c>
      <c r="F67" s="1" t="str">
        <f>"858261873"</f>
        <v>858261873</v>
      </c>
      <c r="G67" s="1" t="s">
        <v>33</v>
      </c>
      <c r="H67" s="1" t="str">
        <f t="shared" si="10"/>
        <v>20220901</v>
      </c>
      <c r="I67" s="1" t="str">
        <f>"114129"</f>
        <v>114129</v>
      </c>
      <c r="J67" s="1" t="s">
        <v>75</v>
      </c>
      <c r="K67" s="1" t="s">
        <v>45</v>
      </c>
      <c r="L67" s="1" t="str">
        <f t="shared" si="11"/>
        <v>20220901</v>
      </c>
      <c r="M67" s="1" t="str">
        <f>"115603"</f>
        <v>115603</v>
      </c>
      <c r="N67" s="1" t="s">
        <v>28</v>
      </c>
      <c r="O67" s="1" t="s">
        <v>28</v>
      </c>
      <c r="P67" s="1" t="s">
        <v>55</v>
      </c>
      <c r="Q67" s="1">
        <v>25</v>
      </c>
      <c r="R67" s="1">
        <v>25</v>
      </c>
      <c r="S67" s="1">
        <v>0</v>
      </c>
      <c r="T67" s="1">
        <v>0</v>
      </c>
      <c r="U67" s="1">
        <v>0</v>
      </c>
      <c r="V67" s="1" t="str">
        <f t="shared" si="12"/>
        <v>里程返程</v>
      </c>
      <c r="W67" s="1" t="s">
        <v>35</v>
      </c>
    </row>
    <row r="68" spans="1:23" x14ac:dyDescent="0.3">
      <c r="A68" s="1" t="str">
        <f t="shared" si="8"/>
        <v>59825</v>
      </c>
      <c r="B68" s="1" t="s">
        <v>30</v>
      </c>
      <c r="C68" s="1" t="s">
        <v>31</v>
      </c>
      <c r="D68" s="1" t="str">
        <f t="shared" si="9"/>
        <v>9801</v>
      </c>
      <c r="E68" s="1" t="s">
        <v>25</v>
      </c>
      <c r="F68" s="1" t="str">
        <f>"1113721829"</f>
        <v>1113721829</v>
      </c>
      <c r="G68" s="1" t="s">
        <v>38</v>
      </c>
      <c r="H68" s="1" t="str">
        <f t="shared" si="10"/>
        <v>20220901</v>
      </c>
      <c r="I68" s="1" t="str">
        <f>"115614"</f>
        <v>115614</v>
      </c>
      <c r="J68" s="1" t="s">
        <v>28</v>
      </c>
      <c r="K68" s="1" t="s">
        <v>28</v>
      </c>
      <c r="L68" s="1" t="str">
        <f t="shared" si="11"/>
        <v>20220901</v>
      </c>
      <c r="M68" s="1" t="str">
        <f>"123102"</f>
        <v>123102</v>
      </c>
      <c r="N68" s="1" t="s">
        <v>52</v>
      </c>
      <c r="O68" s="1" t="s">
        <v>52</v>
      </c>
      <c r="P68" s="1" t="s">
        <v>55</v>
      </c>
      <c r="Q68" s="1">
        <v>25</v>
      </c>
      <c r="R68" s="1">
        <v>0</v>
      </c>
      <c r="S68" s="1">
        <v>25</v>
      </c>
      <c r="T68" s="1">
        <v>0</v>
      </c>
      <c r="U68" s="1">
        <v>0</v>
      </c>
      <c r="V68" s="1" t="str">
        <f t="shared" si="12"/>
        <v>里程返程</v>
      </c>
      <c r="W68" s="1" t="s">
        <v>35</v>
      </c>
    </row>
    <row r="69" spans="1:23" x14ac:dyDescent="0.3">
      <c r="A69" s="1" t="str">
        <f t="shared" si="8"/>
        <v>59825</v>
      </c>
      <c r="B69" s="1" t="s">
        <v>30</v>
      </c>
      <c r="C69" s="1" t="s">
        <v>31</v>
      </c>
      <c r="D69" s="1" t="str">
        <f t="shared" si="9"/>
        <v>9801</v>
      </c>
      <c r="E69" s="1" t="s">
        <v>25</v>
      </c>
      <c r="F69" s="1" t="str">
        <f>"1021234485"</f>
        <v>1021234485</v>
      </c>
      <c r="G69" s="1" t="s">
        <v>38</v>
      </c>
      <c r="H69" s="1" t="str">
        <f t="shared" si="10"/>
        <v>20220901</v>
      </c>
      <c r="I69" s="1" t="str">
        <f>"115616"</f>
        <v>115616</v>
      </c>
      <c r="J69" s="1" t="s">
        <v>28</v>
      </c>
      <c r="K69" s="1" t="s">
        <v>28</v>
      </c>
      <c r="L69" s="1" t="str">
        <f t="shared" si="11"/>
        <v>20220901</v>
      </c>
      <c r="M69" s="1" t="str">
        <f>"123105"</f>
        <v>123105</v>
      </c>
      <c r="N69" s="1" t="s">
        <v>52</v>
      </c>
      <c r="O69" s="1" t="s">
        <v>52</v>
      </c>
      <c r="P69" s="1" t="s">
        <v>55</v>
      </c>
      <c r="Q69" s="1">
        <v>25</v>
      </c>
      <c r="R69" s="1">
        <v>0</v>
      </c>
      <c r="S69" s="1">
        <v>25</v>
      </c>
      <c r="T69" s="1">
        <v>0</v>
      </c>
      <c r="U69" s="1">
        <v>0</v>
      </c>
      <c r="V69" s="1" t="str">
        <f t="shared" si="12"/>
        <v>里程返程</v>
      </c>
      <c r="W69" s="1" t="s">
        <v>35</v>
      </c>
    </row>
    <row r="70" spans="1:23" x14ac:dyDescent="0.3">
      <c r="A70" s="1" t="str">
        <f t="shared" si="8"/>
        <v>59825</v>
      </c>
      <c r="B70" s="1" t="s">
        <v>30</v>
      </c>
      <c r="C70" s="1" t="s">
        <v>31</v>
      </c>
      <c r="D70" s="1" t="str">
        <f t="shared" si="9"/>
        <v>9801</v>
      </c>
      <c r="E70" s="1" t="s">
        <v>25</v>
      </c>
      <c r="F70" s="1" t="str">
        <f>"1028949093"</f>
        <v>1028949093</v>
      </c>
      <c r="G70" s="1" t="s">
        <v>38</v>
      </c>
      <c r="H70" s="1" t="str">
        <f t="shared" si="10"/>
        <v>20220901</v>
      </c>
      <c r="I70" s="1" t="str">
        <f>"115627"</f>
        <v>115627</v>
      </c>
      <c r="J70" s="1" t="s">
        <v>28</v>
      </c>
      <c r="K70" s="1" t="s">
        <v>28</v>
      </c>
      <c r="L70" s="1" t="str">
        <f t="shared" si="11"/>
        <v>20220901</v>
      </c>
      <c r="M70" s="1" t="str">
        <f>"123059"</f>
        <v>123059</v>
      </c>
      <c r="N70" s="1" t="s">
        <v>52</v>
      </c>
      <c r="O70" s="1" t="s">
        <v>52</v>
      </c>
      <c r="P70" s="1" t="s">
        <v>55</v>
      </c>
      <c r="Q70" s="1">
        <v>25</v>
      </c>
      <c r="R70" s="1">
        <v>25</v>
      </c>
      <c r="S70" s="1">
        <v>0</v>
      </c>
      <c r="T70" s="1">
        <v>0</v>
      </c>
      <c r="U70" s="1">
        <v>0</v>
      </c>
      <c r="V70" s="1" t="str">
        <f t="shared" si="12"/>
        <v>里程返程</v>
      </c>
      <c r="W70" s="1" t="s">
        <v>35</v>
      </c>
    </row>
    <row r="71" spans="1:23" x14ac:dyDescent="0.3">
      <c r="A71" s="1" t="str">
        <f t="shared" si="8"/>
        <v>59825</v>
      </c>
      <c r="B71" s="1" t="s">
        <v>30</v>
      </c>
      <c r="C71" s="1" t="s">
        <v>31</v>
      </c>
      <c r="D71" s="1" t="str">
        <f t="shared" si="9"/>
        <v>9801</v>
      </c>
      <c r="E71" s="1" t="s">
        <v>25</v>
      </c>
      <c r="F71" s="1" t="str">
        <f>"436588337"</f>
        <v>436588337</v>
      </c>
      <c r="G71" s="1" t="s">
        <v>33</v>
      </c>
      <c r="H71" s="1" t="str">
        <f t="shared" si="10"/>
        <v>20220901</v>
      </c>
      <c r="I71" s="1" t="str">
        <f>"115651"</f>
        <v>115651</v>
      </c>
      <c r="J71" s="1" t="s">
        <v>28</v>
      </c>
      <c r="K71" s="1" t="s">
        <v>28</v>
      </c>
      <c r="L71" s="1" t="str">
        <f t="shared" si="11"/>
        <v>20220901</v>
      </c>
      <c r="M71" s="1" t="str">
        <f>"122153"</f>
        <v>122153</v>
      </c>
      <c r="N71" s="1" t="s">
        <v>65</v>
      </c>
      <c r="O71" s="1" t="s">
        <v>52</v>
      </c>
      <c r="P71" s="1" t="s">
        <v>55</v>
      </c>
      <c r="Q71" s="1">
        <v>25</v>
      </c>
      <c r="R71" s="1">
        <v>25</v>
      </c>
      <c r="S71" s="1">
        <v>0</v>
      </c>
      <c r="T71" s="1">
        <v>0</v>
      </c>
      <c r="U71" s="1">
        <v>0</v>
      </c>
      <c r="V71" s="1" t="str">
        <f t="shared" si="12"/>
        <v>里程返程</v>
      </c>
      <c r="W71" s="1" t="s">
        <v>35</v>
      </c>
    </row>
    <row r="72" spans="1:23" x14ac:dyDescent="0.3">
      <c r="A72" s="1" t="str">
        <f t="shared" si="8"/>
        <v>59825</v>
      </c>
      <c r="B72" s="1" t="s">
        <v>30</v>
      </c>
      <c r="C72" s="1" t="s">
        <v>31</v>
      </c>
      <c r="D72" s="1" t="str">
        <f t="shared" si="9"/>
        <v>9801</v>
      </c>
      <c r="E72" s="1" t="s">
        <v>25</v>
      </c>
      <c r="F72" s="1" t="str">
        <f>"760319445"</f>
        <v>760319445</v>
      </c>
      <c r="G72" s="1" t="s">
        <v>33</v>
      </c>
      <c r="H72" s="1" t="str">
        <f t="shared" si="10"/>
        <v>20220901</v>
      </c>
      <c r="I72" s="1" t="str">
        <f>"115656"</f>
        <v>115656</v>
      </c>
      <c r="J72" s="1" t="s">
        <v>28</v>
      </c>
      <c r="K72" s="1" t="s">
        <v>28</v>
      </c>
      <c r="L72" s="1" t="str">
        <f t="shared" si="11"/>
        <v>20220901</v>
      </c>
      <c r="M72" s="1" t="str">
        <f>"122127"</f>
        <v>122127</v>
      </c>
      <c r="N72" s="1" t="s">
        <v>65</v>
      </c>
      <c r="O72" s="1" t="s">
        <v>52</v>
      </c>
      <c r="P72" s="1" t="s">
        <v>55</v>
      </c>
      <c r="Q72" s="1">
        <v>25</v>
      </c>
      <c r="R72" s="1">
        <v>25</v>
      </c>
      <c r="S72" s="1">
        <v>0</v>
      </c>
      <c r="T72" s="1">
        <v>0</v>
      </c>
      <c r="U72" s="1">
        <v>0</v>
      </c>
      <c r="V72" s="1" t="str">
        <f t="shared" si="12"/>
        <v>里程返程</v>
      </c>
      <c r="W72" s="1" t="s">
        <v>35</v>
      </c>
    </row>
    <row r="73" spans="1:23" x14ac:dyDescent="0.3">
      <c r="A73" s="1" t="str">
        <f t="shared" si="8"/>
        <v>59825</v>
      </c>
      <c r="B73" s="1" t="s">
        <v>30</v>
      </c>
      <c r="C73" s="1" t="s">
        <v>31</v>
      </c>
      <c r="D73" s="1" t="str">
        <f t="shared" si="9"/>
        <v>9801</v>
      </c>
      <c r="E73" s="1" t="s">
        <v>25</v>
      </c>
      <c r="F73" s="1" t="str">
        <f>"904789157"</f>
        <v>904789157</v>
      </c>
      <c r="G73" s="1" t="s">
        <v>33</v>
      </c>
      <c r="H73" s="1" t="str">
        <f t="shared" si="10"/>
        <v>20220901</v>
      </c>
      <c r="I73" s="1" t="str">
        <f>"115702"</f>
        <v>115702</v>
      </c>
      <c r="J73" s="1" t="s">
        <v>28</v>
      </c>
      <c r="K73" s="1" t="s">
        <v>28</v>
      </c>
      <c r="L73" s="1" t="str">
        <f t="shared" si="11"/>
        <v>20220901</v>
      </c>
      <c r="M73" s="1" t="str">
        <f>"122137"</f>
        <v>122137</v>
      </c>
      <c r="N73" s="1" t="s">
        <v>65</v>
      </c>
      <c r="O73" s="1" t="s">
        <v>52</v>
      </c>
      <c r="P73" s="1" t="s">
        <v>55</v>
      </c>
      <c r="Q73" s="1">
        <v>25</v>
      </c>
      <c r="R73" s="1">
        <v>25</v>
      </c>
      <c r="S73" s="1">
        <v>0</v>
      </c>
      <c r="T73" s="1">
        <v>0</v>
      </c>
      <c r="U73" s="1">
        <v>0</v>
      </c>
      <c r="V73" s="1" t="str">
        <f t="shared" si="12"/>
        <v>里程返程</v>
      </c>
      <c r="W73" s="1" t="s">
        <v>35</v>
      </c>
    </row>
    <row r="74" spans="1:23" x14ac:dyDescent="0.3">
      <c r="A74" s="1" t="str">
        <f t="shared" si="8"/>
        <v>59825</v>
      </c>
      <c r="B74" s="1" t="s">
        <v>30</v>
      </c>
      <c r="C74" s="1" t="s">
        <v>31</v>
      </c>
      <c r="D74" s="1" t="str">
        <f t="shared" si="9"/>
        <v>9801</v>
      </c>
      <c r="E74" s="1" t="s">
        <v>25</v>
      </c>
      <c r="F74" s="1" t="str">
        <f>"2789389583"</f>
        <v>2789389583</v>
      </c>
      <c r="G74" s="1" t="s">
        <v>74</v>
      </c>
      <c r="H74" s="1" t="str">
        <f t="shared" si="10"/>
        <v>20220901</v>
      </c>
      <c r="I74" s="1" t="str">
        <f>"115709"</f>
        <v>115709</v>
      </c>
      <c r="J74" s="1" t="s">
        <v>28</v>
      </c>
      <c r="K74" s="1" t="s">
        <v>28</v>
      </c>
      <c r="L74" s="1" t="str">
        <f t="shared" si="11"/>
        <v>20220901</v>
      </c>
      <c r="M74" s="1" t="str">
        <f>"122144"</f>
        <v>122144</v>
      </c>
      <c r="N74" s="1" t="s">
        <v>65</v>
      </c>
      <c r="O74" s="1" t="s">
        <v>52</v>
      </c>
      <c r="P74" s="1" t="s">
        <v>55</v>
      </c>
      <c r="Q74" s="1">
        <v>13</v>
      </c>
      <c r="R74" s="1">
        <v>13</v>
      </c>
      <c r="S74" s="1">
        <v>0</v>
      </c>
      <c r="T74" s="1">
        <v>0</v>
      </c>
      <c r="U74" s="1">
        <v>0</v>
      </c>
      <c r="V74" s="1" t="str">
        <f t="shared" si="12"/>
        <v>里程返程</v>
      </c>
      <c r="W74" s="1" t="s">
        <v>35</v>
      </c>
    </row>
    <row r="75" spans="1:23" x14ac:dyDescent="0.3">
      <c r="A75" s="1" t="str">
        <f t="shared" si="8"/>
        <v>59825</v>
      </c>
      <c r="B75" s="1" t="s">
        <v>30</v>
      </c>
      <c r="C75" s="1" t="s">
        <v>31</v>
      </c>
      <c r="D75" s="1" t="str">
        <f t="shared" si="9"/>
        <v>9801</v>
      </c>
      <c r="E75" s="1" t="s">
        <v>25</v>
      </c>
      <c r="F75" s="1" t="str">
        <f>"2790787759"</f>
        <v>2790787759</v>
      </c>
      <c r="G75" s="1" t="s">
        <v>102</v>
      </c>
      <c r="H75" s="1" t="str">
        <f t="shared" si="10"/>
        <v>20220901</v>
      </c>
      <c r="I75" s="1" t="str">
        <f>"115712"</f>
        <v>115712</v>
      </c>
      <c r="J75" s="1" t="s">
        <v>28</v>
      </c>
      <c r="K75" s="1" t="s">
        <v>28</v>
      </c>
      <c r="L75" s="1" t="str">
        <f t="shared" si="11"/>
        <v>20220901</v>
      </c>
      <c r="M75" s="1" t="str">
        <f>"122147"</f>
        <v>122147</v>
      </c>
      <c r="N75" s="1" t="s">
        <v>65</v>
      </c>
      <c r="O75" s="1" t="s">
        <v>52</v>
      </c>
      <c r="P75" s="1" t="s">
        <v>55</v>
      </c>
      <c r="Q75" s="1">
        <v>13</v>
      </c>
      <c r="R75" s="1">
        <v>13</v>
      </c>
      <c r="S75" s="1">
        <v>0</v>
      </c>
      <c r="T75" s="1">
        <v>0</v>
      </c>
      <c r="U75" s="1">
        <v>0</v>
      </c>
      <c r="V75" s="1" t="str">
        <f t="shared" si="12"/>
        <v>里程返程</v>
      </c>
      <c r="W75" s="1" t="s">
        <v>35</v>
      </c>
    </row>
    <row r="76" spans="1:23" x14ac:dyDescent="0.3">
      <c r="A76" s="1" t="str">
        <f t="shared" si="8"/>
        <v>59825</v>
      </c>
      <c r="B76" s="1" t="s">
        <v>30</v>
      </c>
      <c r="C76" s="1" t="s">
        <v>110</v>
      </c>
      <c r="D76" s="1" t="str">
        <f t="shared" si="9"/>
        <v>9801</v>
      </c>
      <c r="E76" s="1" t="s">
        <v>25</v>
      </c>
      <c r="F76" s="1" t="str">
        <f>"7311220568000393"</f>
        <v>7311220568000393</v>
      </c>
      <c r="G76" s="1" t="s">
        <v>33</v>
      </c>
      <c r="H76" s="1" t="str">
        <f t="shared" si="10"/>
        <v>20220901</v>
      </c>
      <c r="I76" s="1" t="str">
        <f>"115728"</f>
        <v>115728</v>
      </c>
      <c r="J76" s="1" t="s">
        <v>28</v>
      </c>
      <c r="K76" s="1" t="s">
        <v>28</v>
      </c>
      <c r="L76" s="1" t="str">
        <f t="shared" si="11"/>
        <v>20220901</v>
      </c>
      <c r="M76" s="1" t="str">
        <f>"122154"</f>
        <v>122154</v>
      </c>
      <c r="N76" s="1" t="s">
        <v>65</v>
      </c>
      <c r="O76" s="1" t="s">
        <v>52</v>
      </c>
      <c r="P76" s="1" t="s">
        <v>55</v>
      </c>
      <c r="Q76" s="1">
        <v>25</v>
      </c>
      <c r="R76" s="1">
        <v>25</v>
      </c>
      <c r="S76" s="1">
        <v>0</v>
      </c>
      <c r="T76" s="1">
        <v>0</v>
      </c>
      <c r="U76" s="1">
        <v>0</v>
      </c>
      <c r="V76" s="1" t="str">
        <f t="shared" si="12"/>
        <v>里程返程</v>
      </c>
      <c r="W76" s="1" t="s">
        <v>109</v>
      </c>
    </row>
    <row r="77" spans="1:23" x14ac:dyDescent="0.3">
      <c r="A77" s="1" t="str">
        <f t="shared" si="8"/>
        <v>59825</v>
      </c>
      <c r="B77" s="1" t="s">
        <v>30</v>
      </c>
      <c r="C77" s="1" t="s">
        <v>31</v>
      </c>
      <c r="D77" s="1" t="str">
        <f t="shared" si="9"/>
        <v>9801</v>
      </c>
      <c r="E77" s="1" t="s">
        <v>25</v>
      </c>
      <c r="F77" s="1" t="str">
        <f>"1250296629"</f>
        <v>1250296629</v>
      </c>
      <c r="G77" s="1" t="s">
        <v>33</v>
      </c>
      <c r="H77" s="1" t="str">
        <f t="shared" si="10"/>
        <v>20220901</v>
      </c>
      <c r="I77" s="1" t="str">
        <f>"115742"</f>
        <v>115742</v>
      </c>
      <c r="J77" s="1" t="s">
        <v>28</v>
      </c>
      <c r="K77" s="1" t="s">
        <v>28</v>
      </c>
      <c r="L77" s="1" t="str">
        <f t="shared" si="11"/>
        <v>20220901</v>
      </c>
      <c r="M77" s="1" t="str">
        <f>"123042"</f>
        <v>123042</v>
      </c>
      <c r="N77" s="1" t="s">
        <v>52</v>
      </c>
      <c r="O77" s="1" t="s">
        <v>52</v>
      </c>
      <c r="P77" s="1" t="s">
        <v>55</v>
      </c>
      <c r="Q77" s="1">
        <v>25</v>
      </c>
      <c r="R77" s="1">
        <v>25</v>
      </c>
      <c r="S77" s="1">
        <v>0</v>
      </c>
      <c r="T77" s="1">
        <v>0</v>
      </c>
      <c r="U77" s="1">
        <v>0</v>
      </c>
      <c r="V77" s="1" t="str">
        <f t="shared" si="12"/>
        <v>里程返程</v>
      </c>
      <c r="W77" s="1" t="s">
        <v>35</v>
      </c>
    </row>
    <row r="78" spans="1:23" x14ac:dyDescent="0.3">
      <c r="A78" s="1" t="str">
        <f t="shared" si="8"/>
        <v>59825</v>
      </c>
      <c r="B78" s="1" t="s">
        <v>30</v>
      </c>
      <c r="C78" s="1" t="s">
        <v>31</v>
      </c>
      <c r="D78" s="1" t="str">
        <f t="shared" si="9"/>
        <v>9801</v>
      </c>
      <c r="E78" s="1" t="s">
        <v>25</v>
      </c>
      <c r="F78" s="1" t="str">
        <f>"1108988853"</f>
        <v>1108988853</v>
      </c>
      <c r="G78" s="1" t="s">
        <v>38</v>
      </c>
      <c r="H78" s="1" t="str">
        <f t="shared" si="10"/>
        <v>20220901</v>
      </c>
      <c r="I78" s="1" t="str">
        <f>"115746"</f>
        <v>115746</v>
      </c>
      <c r="J78" s="1" t="s">
        <v>28</v>
      </c>
      <c r="K78" s="1" t="s">
        <v>28</v>
      </c>
      <c r="L78" s="1" t="str">
        <f t="shared" si="11"/>
        <v>20220901</v>
      </c>
      <c r="M78" s="1" t="str">
        <f>"123036"</f>
        <v>123036</v>
      </c>
      <c r="N78" s="1" t="s">
        <v>52</v>
      </c>
      <c r="O78" s="1" t="s">
        <v>52</v>
      </c>
      <c r="P78" s="1" t="s">
        <v>55</v>
      </c>
      <c r="Q78" s="1">
        <v>25</v>
      </c>
      <c r="R78" s="1">
        <v>25</v>
      </c>
      <c r="S78" s="1">
        <v>0</v>
      </c>
      <c r="T78" s="1">
        <v>0</v>
      </c>
      <c r="U78" s="1">
        <v>0</v>
      </c>
      <c r="V78" s="1" t="str">
        <f t="shared" si="12"/>
        <v>里程返程</v>
      </c>
      <c r="W78" s="1" t="s">
        <v>35</v>
      </c>
    </row>
    <row r="79" spans="1:23" x14ac:dyDescent="0.3">
      <c r="A79" s="1" t="str">
        <f t="shared" si="8"/>
        <v>59825</v>
      </c>
      <c r="B79" s="1" t="s">
        <v>30</v>
      </c>
      <c r="C79" s="1" t="s">
        <v>31</v>
      </c>
      <c r="D79" s="1" t="str">
        <f t="shared" si="9"/>
        <v>9801</v>
      </c>
      <c r="E79" s="1" t="s">
        <v>25</v>
      </c>
      <c r="F79" s="1" t="str">
        <f>"D5C273492D880400C835002000000020"</f>
        <v>D5C273492D880400C835002000000020</v>
      </c>
      <c r="G79" s="1" t="s">
        <v>58</v>
      </c>
      <c r="H79" s="1" t="str">
        <f t="shared" si="10"/>
        <v>20220901</v>
      </c>
      <c r="I79" s="1" t="str">
        <f>"115758"</f>
        <v>115758</v>
      </c>
      <c r="J79" s="1" t="s">
        <v>28</v>
      </c>
      <c r="K79" s="1" t="s">
        <v>28</v>
      </c>
      <c r="L79" s="1" t="str">
        <f t="shared" si="11"/>
        <v>20220901</v>
      </c>
      <c r="M79" s="1" t="str">
        <f>"123050"</f>
        <v>123050</v>
      </c>
      <c r="N79" s="1" t="s">
        <v>52</v>
      </c>
      <c r="O79" s="1" t="s">
        <v>52</v>
      </c>
      <c r="P79" s="1" t="s">
        <v>55</v>
      </c>
      <c r="Q79" s="1">
        <v>25</v>
      </c>
      <c r="R79" s="1">
        <v>25</v>
      </c>
      <c r="S79" s="1">
        <v>0</v>
      </c>
      <c r="T79" s="1">
        <v>0</v>
      </c>
      <c r="U79" s="1">
        <v>0</v>
      </c>
      <c r="V79" s="1" t="str">
        <f t="shared" si="12"/>
        <v>里程返程</v>
      </c>
      <c r="W79" s="1" t="s">
        <v>29</v>
      </c>
    </row>
    <row r="80" spans="1:23" x14ac:dyDescent="0.3">
      <c r="A80" s="1" t="str">
        <f t="shared" si="8"/>
        <v>59825</v>
      </c>
      <c r="B80" s="1" t="s">
        <v>30</v>
      </c>
      <c r="C80" s="1" t="s">
        <v>31</v>
      </c>
      <c r="D80" s="1" t="str">
        <f t="shared" si="9"/>
        <v>9801</v>
      </c>
      <c r="E80" s="1" t="s">
        <v>25</v>
      </c>
      <c r="F80" s="1" t="str">
        <f>"672935621"</f>
        <v>672935621</v>
      </c>
      <c r="G80" s="1" t="s">
        <v>33</v>
      </c>
      <c r="H80" s="1" t="str">
        <f t="shared" si="10"/>
        <v>20220901</v>
      </c>
      <c r="I80" s="1" t="str">
        <f>"115803"</f>
        <v>115803</v>
      </c>
      <c r="J80" s="1" t="s">
        <v>28</v>
      </c>
      <c r="K80" s="1" t="s">
        <v>28</v>
      </c>
      <c r="L80" s="1" t="str">
        <f t="shared" si="11"/>
        <v>20220901</v>
      </c>
      <c r="M80" s="1" t="str">
        <f>"123038"</f>
        <v>123038</v>
      </c>
      <c r="N80" s="1" t="s">
        <v>52</v>
      </c>
      <c r="O80" s="1" t="s">
        <v>52</v>
      </c>
      <c r="P80" s="1" t="s">
        <v>55</v>
      </c>
      <c r="Q80" s="1">
        <v>25</v>
      </c>
      <c r="R80" s="1">
        <v>25</v>
      </c>
      <c r="S80" s="1">
        <v>0</v>
      </c>
      <c r="T80" s="1">
        <v>0</v>
      </c>
      <c r="U80" s="1">
        <v>0</v>
      </c>
      <c r="V80" s="1" t="str">
        <f t="shared" si="12"/>
        <v>里程返程</v>
      </c>
      <c r="W80" s="1" t="s">
        <v>35</v>
      </c>
    </row>
    <row r="81" spans="1:23" x14ac:dyDescent="0.3">
      <c r="A81" s="1" t="str">
        <f t="shared" si="8"/>
        <v>59825</v>
      </c>
      <c r="B81" s="1" t="s">
        <v>30</v>
      </c>
      <c r="C81" s="1" t="s">
        <v>31</v>
      </c>
      <c r="D81" s="1" t="str">
        <f t="shared" si="9"/>
        <v>9801</v>
      </c>
      <c r="E81" s="1" t="s">
        <v>25</v>
      </c>
      <c r="F81" s="1" t="str">
        <f>"1111383285"</f>
        <v>1111383285</v>
      </c>
      <c r="G81" s="1" t="s">
        <v>38</v>
      </c>
      <c r="H81" s="1" t="str">
        <f t="shared" si="10"/>
        <v>20220901</v>
      </c>
      <c r="I81" s="1" t="str">
        <f>"115807"</f>
        <v>115807</v>
      </c>
      <c r="J81" s="1" t="s">
        <v>28</v>
      </c>
      <c r="K81" s="1" t="s">
        <v>28</v>
      </c>
      <c r="L81" s="1" t="str">
        <f t="shared" si="11"/>
        <v>20220901</v>
      </c>
      <c r="M81" s="1" t="str">
        <f>"123032"</f>
        <v>123032</v>
      </c>
      <c r="N81" s="1" t="s">
        <v>52</v>
      </c>
      <c r="O81" s="1" t="s">
        <v>52</v>
      </c>
      <c r="P81" s="1" t="s">
        <v>55</v>
      </c>
      <c r="Q81" s="1">
        <v>25</v>
      </c>
      <c r="R81" s="1">
        <v>25</v>
      </c>
      <c r="S81" s="1">
        <v>0</v>
      </c>
      <c r="T81" s="1">
        <v>0</v>
      </c>
      <c r="U81" s="1">
        <v>0</v>
      </c>
      <c r="V81" s="1" t="str">
        <f t="shared" si="12"/>
        <v>里程返程</v>
      </c>
      <c r="W81" s="1" t="s">
        <v>35</v>
      </c>
    </row>
    <row r="82" spans="1:23" x14ac:dyDescent="0.3">
      <c r="A82" s="1" t="str">
        <f t="shared" si="8"/>
        <v>59825</v>
      </c>
      <c r="B82" s="1" t="s">
        <v>30</v>
      </c>
      <c r="C82" s="1" t="s">
        <v>31</v>
      </c>
      <c r="D82" s="1" t="str">
        <f t="shared" si="9"/>
        <v>9801</v>
      </c>
      <c r="E82" s="1" t="s">
        <v>25</v>
      </c>
      <c r="F82" s="1" t="str">
        <f>"1114242933"</f>
        <v>1114242933</v>
      </c>
      <c r="G82" s="1" t="s">
        <v>38</v>
      </c>
      <c r="H82" s="1" t="str">
        <f t="shared" si="10"/>
        <v>20220901</v>
      </c>
      <c r="I82" s="1" t="str">
        <f>"115816"</f>
        <v>115816</v>
      </c>
      <c r="J82" s="1" t="s">
        <v>28</v>
      </c>
      <c r="K82" s="1" t="s">
        <v>28</v>
      </c>
      <c r="L82" s="1" t="str">
        <f t="shared" si="11"/>
        <v>20220901</v>
      </c>
      <c r="M82" s="1" t="str">
        <f>"123015"</f>
        <v>123015</v>
      </c>
      <c r="N82" s="1" t="s">
        <v>52</v>
      </c>
      <c r="O82" s="1" t="s">
        <v>52</v>
      </c>
      <c r="P82" s="1" t="s">
        <v>55</v>
      </c>
      <c r="Q82" s="1">
        <v>25</v>
      </c>
      <c r="R82" s="1">
        <v>25</v>
      </c>
      <c r="S82" s="1">
        <v>0</v>
      </c>
      <c r="T82" s="1">
        <v>0</v>
      </c>
      <c r="U82" s="1">
        <v>0</v>
      </c>
      <c r="V82" s="1" t="str">
        <f t="shared" si="12"/>
        <v>里程返程</v>
      </c>
      <c r="W82" s="1" t="s">
        <v>35</v>
      </c>
    </row>
    <row r="83" spans="1:23" x14ac:dyDescent="0.3">
      <c r="A83" s="1" t="str">
        <f t="shared" si="8"/>
        <v>59825</v>
      </c>
      <c r="B83" s="1" t="s">
        <v>30</v>
      </c>
      <c r="C83" s="1" t="s">
        <v>31</v>
      </c>
      <c r="D83" s="1" t="str">
        <f t="shared" si="9"/>
        <v>9801</v>
      </c>
      <c r="E83" s="1" t="s">
        <v>25</v>
      </c>
      <c r="F83" s="1" t="str">
        <f>"1104393541"</f>
        <v>1104393541</v>
      </c>
      <c r="G83" s="1" t="s">
        <v>38</v>
      </c>
      <c r="H83" s="1" t="str">
        <f t="shared" si="10"/>
        <v>20220901</v>
      </c>
      <c r="I83" s="1" t="str">
        <f>"115828"</f>
        <v>115828</v>
      </c>
      <c r="J83" s="1" t="s">
        <v>28</v>
      </c>
      <c r="K83" s="1" t="s">
        <v>28</v>
      </c>
      <c r="L83" s="1" t="str">
        <f t="shared" si="11"/>
        <v>20220901</v>
      </c>
      <c r="M83" s="1" t="str">
        <f>"123029"</f>
        <v>123029</v>
      </c>
      <c r="N83" s="1" t="s">
        <v>52</v>
      </c>
      <c r="O83" s="1" t="s">
        <v>52</v>
      </c>
      <c r="P83" s="1" t="s">
        <v>55</v>
      </c>
      <c r="Q83" s="1">
        <v>25</v>
      </c>
      <c r="R83" s="1">
        <v>25</v>
      </c>
      <c r="S83" s="1">
        <v>0</v>
      </c>
      <c r="T83" s="1">
        <v>0</v>
      </c>
      <c r="U83" s="1">
        <v>0</v>
      </c>
      <c r="V83" s="1" t="str">
        <f t="shared" si="12"/>
        <v>里程返程</v>
      </c>
      <c r="W83" s="1" t="s">
        <v>35</v>
      </c>
    </row>
    <row r="84" spans="1:23" x14ac:dyDescent="0.3">
      <c r="A84" s="1" t="str">
        <f t="shared" si="8"/>
        <v>59825</v>
      </c>
      <c r="B84" s="1" t="s">
        <v>30</v>
      </c>
      <c r="C84" s="1" t="s">
        <v>31</v>
      </c>
      <c r="D84" s="1" t="str">
        <f t="shared" si="9"/>
        <v>9801</v>
      </c>
      <c r="E84" s="1" t="s">
        <v>25</v>
      </c>
      <c r="F84" s="1" t="str">
        <f>"1010389845"</f>
        <v>1010389845</v>
      </c>
      <c r="G84" s="1" t="s">
        <v>38</v>
      </c>
      <c r="H84" s="1" t="str">
        <f t="shared" si="10"/>
        <v>20220901</v>
      </c>
      <c r="I84" s="1" t="str">
        <f>"115833"</f>
        <v>115833</v>
      </c>
      <c r="J84" s="1" t="s">
        <v>28</v>
      </c>
      <c r="K84" s="1" t="s">
        <v>28</v>
      </c>
      <c r="L84" s="1" t="str">
        <f t="shared" si="11"/>
        <v>20220901</v>
      </c>
      <c r="M84" s="1" t="str">
        <f>"121736"</f>
        <v>121736</v>
      </c>
      <c r="N84" s="1" t="s">
        <v>80</v>
      </c>
      <c r="O84" s="1" t="s">
        <v>52</v>
      </c>
      <c r="P84" s="1" t="s">
        <v>55</v>
      </c>
      <c r="Q84" s="1">
        <v>25</v>
      </c>
      <c r="R84" s="1">
        <v>25</v>
      </c>
      <c r="S84" s="1">
        <v>0</v>
      </c>
      <c r="T84" s="1">
        <v>0</v>
      </c>
      <c r="U84" s="1">
        <v>0</v>
      </c>
      <c r="V84" s="1" t="str">
        <f t="shared" si="12"/>
        <v>里程返程</v>
      </c>
      <c r="W84" s="1" t="s">
        <v>35</v>
      </c>
    </row>
    <row r="85" spans="1:23" x14ac:dyDescent="0.3">
      <c r="A85" s="1" t="str">
        <f t="shared" si="8"/>
        <v>59825</v>
      </c>
      <c r="B85" s="1" t="s">
        <v>30</v>
      </c>
      <c r="C85" s="1" t="s">
        <v>31</v>
      </c>
      <c r="D85" s="1" t="str">
        <f t="shared" si="9"/>
        <v>9801</v>
      </c>
      <c r="E85" s="1" t="s">
        <v>25</v>
      </c>
      <c r="F85" s="1" t="str">
        <f>"1355017201"</f>
        <v>1355017201</v>
      </c>
      <c r="G85" s="1" t="s">
        <v>38</v>
      </c>
      <c r="H85" s="1" t="str">
        <f t="shared" si="10"/>
        <v>20220901</v>
      </c>
      <c r="I85" s="1" t="str">
        <f>"115837"</f>
        <v>115837</v>
      </c>
      <c r="J85" s="1" t="s">
        <v>28</v>
      </c>
      <c r="K85" s="1" t="s">
        <v>28</v>
      </c>
      <c r="L85" s="1" t="str">
        <f t="shared" si="11"/>
        <v>20220901</v>
      </c>
      <c r="M85" s="1" t="str">
        <f>"121734"</f>
        <v>121734</v>
      </c>
      <c r="N85" s="1" t="s">
        <v>80</v>
      </c>
      <c r="O85" s="1" t="s">
        <v>52</v>
      </c>
      <c r="P85" s="1" t="s">
        <v>55</v>
      </c>
      <c r="Q85" s="1">
        <v>25</v>
      </c>
      <c r="R85" s="1">
        <v>25</v>
      </c>
      <c r="S85" s="1">
        <v>0</v>
      </c>
      <c r="T85" s="1">
        <v>0</v>
      </c>
      <c r="U85" s="1">
        <v>0</v>
      </c>
      <c r="V85" s="1" t="str">
        <f t="shared" si="12"/>
        <v>里程返程</v>
      </c>
      <c r="W85" s="1" t="s">
        <v>35</v>
      </c>
    </row>
    <row r="86" spans="1:23" x14ac:dyDescent="0.3">
      <c r="A86" s="1" t="str">
        <f t="shared" si="8"/>
        <v>59825</v>
      </c>
      <c r="B86" s="1" t="s">
        <v>30</v>
      </c>
      <c r="C86" s="1" t="s">
        <v>31</v>
      </c>
      <c r="D86" s="1" t="str">
        <f t="shared" si="9"/>
        <v>9801</v>
      </c>
      <c r="E86" s="1" t="s">
        <v>25</v>
      </c>
      <c r="F86" s="1" t="str">
        <f>"617633935"</f>
        <v>617633935</v>
      </c>
      <c r="G86" s="1" t="s">
        <v>33</v>
      </c>
      <c r="H86" s="1" t="str">
        <f t="shared" si="10"/>
        <v>20220901</v>
      </c>
      <c r="I86" s="1" t="str">
        <f>"115841"</f>
        <v>115841</v>
      </c>
      <c r="J86" s="1" t="s">
        <v>28</v>
      </c>
      <c r="K86" s="1" t="s">
        <v>28</v>
      </c>
      <c r="L86" s="1" t="str">
        <f t="shared" si="11"/>
        <v>20220901</v>
      </c>
      <c r="M86" s="1" t="str">
        <f>"121731"</f>
        <v>121731</v>
      </c>
      <c r="N86" s="1" t="s">
        <v>80</v>
      </c>
      <c r="O86" s="1" t="s">
        <v>52</v>
      </c>
      <c r="P86" s="1" t="s">
        <v>55</v>
      </c>
      <c r="Q86" s="1">
        <v>25</v>
      </c>
      <c r="R86" s="1">
        <v>25</v>
      </c>
      <c r="S86" s="1">
        <v>0</v>
      </c>
      <c r="T86" s="1">
        <v>0</v>
      </c>
      <c r="U86" s="1">
        <v>0</v>
      </c>
      <c r="V86" s="1" t="str">
        <f t="shared" si="12"/>
        <v>里程返程</v>
      </c>
      <c r="W86" s="1" t="s">
        <v>35</v>
      </c>
    </row>
    <row r="87" spans="1:23" x14ac:dyDescent="0.3">
      <c r="A87" s="1" t="str">
        <f t="shared" si="8"/>
        <v>59825</v>
      </c>
      <c r="B87" s="1" t="s">
        <v>30</v>
      </c>
      <c r="C87" s="1" t="s">
        <v>31</v>
      </c>
      <c r="D87" s="1" t="str">
        <f t="shared" si="9"/>
        <v>9801</v>
      </c>
      <c r="E87" s="1" t="s">
        <v>25</v>
      </c>
      <c r="F87" s="1" t="str">
        <f>"968976529"</f>
        <v>968976529</v>
      </c>
      <c r="G87" s="1" t="s">
        <v>33</v>
      </c>
      <c r="H87" s="1" t="str">
        <f t="shared" si="10"/>
        <v>20220901</v>
      </c>
      <c r="I87" s="1" t="str">
        <f>"192456"</f>
        <v>192456</v>
      </c>
      <c r="J87" s="1" t="s">
        <v>28</v>
      </c>
      <c r="K87" s="1" t="s">
        <v>28</v>
      </c>
      <c r="L87" s="1" t="str">
        <f t="shared" si="11"/>
        <v>20220901</v>
      </c>
      <c r="M87" s="1" t="str">
        <f>"193424"</f>
        <v>193424</v>
      </c>
      <c r="N87" s="1" t="s">
        <v>84</v>
      </c>
      <c r="O87" s="1" t="s">
        <v>28</v>
      </c>
      <c r="P87" s="1" t="s">
        <v>55</v>
      </c>
      <c r="Q87" s="1">
        <v>25</v>
      </c>
      <c r="R87" s="1">
        <v>25</v>
      </c>
      <c r="S87" s="1">
        <v>0</v>
      </c>
      <c r="T87" s="1">
        <v>0</v>
      </c>
      <c r="U87" s="1">
        <v>0</v>
      </c>
      <c r="V87" s="1" t="str">
        <f t="shared" si="12"/>
        <v>里程返程</v>
      </c>
      <c r="W87" s="1" t="s">
        <v>35</v>
      </c>
    </row>
    <row r="88" spans="1:23" x14ac:dyDescent="0.3">
      <c r="A88" s="1" t="str">
        <f t="shared" si="8"/>
        <v>59825</v>
      </c>
      <c r="B88" s="1" t="s">
        <v>30</v>
      </c>
      <c r="C88" s="1" t="s">
        <v>31</v>
      </c>
      <c r="D88" s="1" t="str">
        <f t="shared" si="9"/>
        <v>9801</v>
      </c>
      <c r="E88" s="1" t="s">
        <v>25</v>
      </c>
      <c r="F88" s="1" t="str">
        <f>"72AEE60238880400C834002000000015"</f>
        <v>72AEE60238880400C834002000000015</v>
      </c>
      <c r="G88" s="1" t="s">
        <v>74</v>
      </c>
      <c r="H88" s="1" t="str">
        <f t="shared" si="10"/>
        <v>20220901</v>
      </c>
      <c r="I88" s="1" t="str">
        <f>"192542"</f>
        <v>192542</v>
      </c>
      <c r="J88" s="1" t="s">
        <v>28</v>
      </c>
      <c r="K88" s="1" t="s">
        <v>28</v>
      </c>
      <c r="L88" s="1" t="str">
        <f t="shared" si="11"/>
        <v>20220901</v>
      </c>
      <c r="M88" s="1" t="str">
        <f>"200016"</f>
        <v>200016</v>
      </c>
      <c r="N88" s="1" t="s">
        <v>52</v>
      </c>
      <c r="O88" s="1" t="s">
        <v>52</v>
      </c>
      <c r="P88" s="1" t="s">
        <v>68</v>
      </c>
      <c r="Q88" s="1">
        <v>13</v>
      </c>
      <c r="R88" s="1">
        <v>0</v>
      </c>
      <c r="S88" s="1">
        <v>0</v>
      </c>
      <c r="T88" s="1">
        <v>13</v>
      </c>
      <c r="U88" s="1">
        <v>0</v>
      </c>
      <c r="V88" s="1" t="str">
        <f t="shared" si="12"/>
        <v>里程返程</v>
      </c>
      <c r="W88" s="1" t="s">
        <v>29</v>
      </c>
    </row>
    <row r="89" spans="1:23" x14ac:dyDescent="0.3">
      <c r="A89" s="1" t="str">
        <f t="shared" si="8"/>
        <v>59825</v>
      </c>
      <c r="B89" s="1" t="s">
        <v>30</v>
      </c>
      <c r="C89" s="1" t="s">
        <v>31</v>
      </c>
      <c r="D89" s="1" t="str">
        <f t="shared" si="9"/>
        <v>9801</v>
      </c>
      <c r="E89" s="1" t="s">
        <v>25</v>
      </c>
      <c r="F89" s="1" t="str">
        <f>"1081540405"</f>
        <v>1081540405</v>
      </c>
      <c r="G89" s="1" t="s">
        <v>33</v>
      </c>
      <c r="H89" s="1" t="str">
        <f t="shared" si="10"/>
        <v>20220901</v>
      </c>
      <c r="I89" s="1" t="str">
        <f>"192658"</f>
        <v>192658</v>
      </c>
      <c r="J89" s="1" t="s">
        <v>28</v>
      </c>
      <c r="K89" s="1" t="s">
        <v>28</v>
      </c>
      <c r="L89" s="1" t="str">
        <f t="shared" si="11"/>
        <v>20220901</v>
      </c>
      <c r="M89" s="1" t="str">
        <f>"194143"</f>
        <v>194143</v>
      </c>
      <c r="N89" s="1" t="s">
        <v>69</v>
      </c>
      <c r="O89" s="1" t="s">
        <v>52</v>
      </c>
      <c r="P89" s="1" t="s">
        <v>55</v>
      </c>
      <c r="Q89" s="1">
        <v>25</v>
      </c>
      <c r="R89" s="1">
        <v>25</v>
      </c>
      <c r="S89" s="1">
        <v>0</v>
      </c>
      <c r="T89" s="1">
        <v>0</v>
      </c>
      <c r="U89" s="1">
        <v>0</v>
      </c>
      <c r="V89" s="1" t="str">
        <f t="shared" si="12"/>
        <v>里程返程</v>
      </c>
      <c r="W89" s="1" t="s">
        <v>35</v>
      </c>
    </row>
    <row r="90" spans="1:23" x14ac:dyDescent="0.3">
      <c r="A90" s="1" t="str">
        <f t="shared" si="8"/>
        <v>59825</v>
      </c>
      <c r="B90" s="1" t="s">
        <v>30</v>
      </c>
      <c r="C90" s="1" t="s">
        <v>31</v>
      </c>
      <c r="D90" s="1" t="str">
        <f t="shared" si="9"/>
        <v>9801</v>
      </c>
      <c r="E90" s="1" t="s">
        <v>25</v>
      </c>
      <c r="F90" s="1" t="str">
        <f>"1106224133"</f>
        <v>1106224133</v>
      </c>
      <c r="G90" s="1" t="s">
        <v>38</v>
      </c>
      <c r="H90" s="1" t="str">
        <f t="shared" si="10"/>
        <v>20220901</v>
      </c>
      <c r="I90" s="1" t="str">
        <f>"192932"</f>
        <v>192932</v>
      </c>
      <c r="J90" s="1" t="s">
        <v>41</v>
      </c>
      <c r="K90" s="1" t="s">
        <v>28</v>
      </c>
      <c r="L90" s="1" t="str">
        <f t="shared" si="11"/>
        <v>20220901</v>
      </c>
      <c r="M90" s="1" t="str">
        <f>"195100"</f>
        <v>195100</v>
      </c>
      <c r="N90" s="1" t="s">
        <v>65</v>
      </c>
      <c r="O90" s="1" t="s">
        <v>52</v>
      </c>
      <c r="P90" s="1" t="s">
        <v>55</v>
      </c>
      <c r="Q90" s="1">
        <v>25</v>
      </c>
      <c r="R90" s="1">
        <v>25</v>
      </c>
      <c r="S90" s="1">
        <v>0</v>
      </c>
      <c r="T90" s="1">
        <v>0</v>
      </c>
      <c r="U90" s="1">
        <v>0</v>
      </c>
      <c r="V90" s="1" t="str">
        <f t="shared" si="12"/>
        <v>里程返程</v>
      </c>
      <c r="W90" s="1" t="s">
        <v>35</v>
      </c>
    </row>
    <row r="91" spans="1:23" x14ac:dyDescent="0.3">
      <c r="A91" s="1" t="str">
        <f t="shared" ref="A91:A101" si="13">"59820"</f>
        <v>59820</v>
      </c>
      <c r="B91" s="1" t="s">
        <v>53</v>
      </c>
      <c r="C91" s="1" t="s">
        <v>54</v>
      </c>
      <c r="D91" s="1" t="str">
        <f t="shared" si="9"/>
        <v>9801</v>
      </c>
      <c r="E91" s="1" t="s">
        <v>25</v>
      </c>
      <c r="F91" s="1" t="str">
        <f>"C2C2E010F0880400C823002000000018"</f>
        <v>C2C2E010F0880400C823002000000018</v>
      </c>
      <c r="G91" s="1" t="s">
        <v>58</v>
      </c>
      <c r="H91" s="1" t="str">
        <f t="shared" ref="H91:H122" si="14">"20220902"</f>
        <v>20220902</v>
      </c>
      <c r="I91" s="1" t="str">
        <f>"172714"</f>
        <v>172714</v>
      </c>
      <c r="J91" s="1" t="s">
        <v>44</v>
      </c>
      <c r="K91" s="1" t="s">
        <v>45</v>
      </c>
      <c r="L91" s="1" t="str">
        <f t="shared" ref="L91:L122" si="15">"20220902"</f>
        <v>20220902</v>
      </c>
      <c r="M91" s="1" t="str">
        <f>"175156"</f>
        <v>175156</v>
      </c>
      <c r="N91" s="1" t="s">
        <v>28</v>
      </c>
      <c r="O91" s="1" t="s">
        <v>28</v>
      </c>
      <c r="P91" s="1" t="s">
        <v>55</v>
      </c>
      <c r="Q91" s="1">
        <v>25</v>
      </c>
      <c r="R91" s="1">
        <v>0</v>
      </c>
      <c r="S91" s="1">
        <v>25</v>
      </c>
      <c r="T91" s="1">
        <v>0</v>
      </c>
      <c r="U91" s="1">
        <v>0</v>
      </c>
      <c r="V91" s="1" t="str">
        <f t="shared" si="12"/>
        <v>里程返程</v>
      </c>
      <c r="W91" s="1" t="s">
        <v>29</v>
      </c>
    </row>
    <row r="92" spans="1:23" x14ac:dyDescent="0.3">
      <c r="A92" s="1" t="str">
        <f t="shared" si="13"/>
        <v>59820</v>
      </c>
      <c r="B92" s="1" t="s">
        <v>53</v>
      </c>
      <c r="C92" s="1" t="s">
        <v>54</v>
      </c>
      <c r="D92" s="1" t="str">
        <f t="shared" si="9"/>
        <v>9801</v>
      </c>
      <c r="E92" s="1" t="s">
        <v>25</v>
      </c>
      <c r="F92" s="1" t="str">
        <f>"5178DC49BC280400F700000000000000"</f>
        <v>5178DC49BC280400F700000000000000</v>
      </c>
      <c r="G92" s="1" t="s">
        <v>58</v>
      </c>
      <c r="H92" s="1" t="str">
        <f t="shared" si="14"/>
        <v>20220902</v>
      </c>
      <c r="I92" s="1" t="str">
        <f>"185502"</f>
        <v>185502</v>
      </c>
      <c r="J92" s="1" t="s">
        <v>28</v>
      </c>
      <c r="K92" s="1" t="s">
        <v>28</v>
      </c>
      <c r="L92" s="1" t="str">
        <f t="shared" si="15"/>
        <v>20220902</v>
      </c>
      <c r="M92" s="1" t="str">
        <f>"192546"</f>
        <v>192546</v>
      </c>
      <c r="N92" s="1" t="s">
        <v>52</v>
      </c>
      <c r="O92" s="1" t="s">
        <v>52</v>
      </c>
      <c r="P92" s="1" t="s">
        <v>55</v>
      </c>
      <c r="Q92" s="1">
        <v>25</v>
      </c>
      <c r="R92" s="1">
        <v>0</v>
      </c>
      <c r="S92" s="1">
        <v>25</v>
      </c>
      <c r="T92" s="1">
        <v>0</v>
      </c>
      <c r="U92" s="1">
        <v>0</v>
      </c>
      <c r="V92" s="1" t="str">
        <f t="shared" si="12"/>
        <v>里程返程</v>
      </c>
      <c r="W92" s="1" t="s">
        <v>29</v>
      </c>
    </row>
    <row r="93" spans="1:23" x14ac:dyDescent="0.3">
      <c r="A93" s="1" t="str">
        <f t="shared" si="13"/>
        <v>59820</v>
      </c>
      <c r="B93" s="1" t="s">
        <v>53</v>
      </c>
      <c r="C93" s="1" t="s">
        <v>54</v>
      </c>
      <c r="D93" s="1" t="str">
        <f t="shared" si="9"/>
        <v>9801</v>
      </c>
      <c r="E93" s="1" t="s">
        <v>25</v>
      </c>
      <c r="F93" s="1" t="str">
        <f>"1423293105"</f>
        <v>1423293105</v>
      </c>
      <c r="G93" s="1" t="s">
        <v>33</v>
      </c>
      <c r="H93" s="1" t="str">
        <f t="shared" si="14"/>
        <v>20220902</v>
      </c>
      <c r="I93" s="1" t="str">
        <f>"185510"</f>
        <v>185510</v>
      </c>
      <c r="J93" s="1" t="s">
        <v>28</v>
      </c>
      <c r="K93" s="1" t="s">
        <v>28</v>
      </c>
      <c r="L93" s="1" t="str">
        <f t="shared" si="15"/>
        <v>20220902</v>
      </c>
      <c r="M93" s="1" t="str">
        <f>"191106"</f>
        <v>191106</v>
      </c>
      <c r="N93" s="1" t="s">
        <v>77</v>
      </c>
      <c r="O93" s="1" t="s">
        <v>52</v>
      </c>
      <c r="P93" s="1" t="s">
        <v>55</v>
      </c>
      <c r="Q93" s="1">
        <v>25</v>
      </c>
      <c r="R93" s="1">
        <v>0</v>
      </c>
      <c r="S93" s="1">
        <v>25</v>
      </c>
      <c r="T93" s="1">
        <v>0</v>
      </c>
      <c r="U93" s="1">
        <v>0</v>
      </c>
      <c r="V93" s="1" t="str">
        <f t="shared" si="12"/>
        <v>里程返程</v>
      </c>
      <c r="W93" s="1" t="s">
        <v>35</v>
      </c>
    </row>
    <row r="94" spans="1:23" x14ac:dyDescent="0.3">
      <c r="A94" s="1" t="str">
        <f t="shared" si="13"/>
        <v>59820</v>
      </c>
      <c r="B94" s="1" t="s">
        <v>53</v>
      </c>
      <c r="C94" s="1" t="s">
        <v>54</v>
      </c>
      <c r="D94" s="1" t="str">
        <f t="shared" si="9"/>
        <v>9801</v>
      </c>
      <c r="E94" s="1" t="s">
        <v>25</v>
      </c>
      <c r="F94" s="1" t="str">
        <f>"52A4C1122528040080CEBCD765212818"</f>
        <v>52A4C1122528040080CEBCD765212818</v>
      </c>
      <c r="G94" s="1" t="s">
        <v>59</v>
      </c>
      <c r="H94" s="1" t="str">
        <f t="shared" si="14"/>
        <v>20220902</v>
      </c>
      <c r="I94" s="1" t="str">
        <f>"185511"</f>
        <v>185511</v>
      </c>
      <c r="J94" s="1" t="s">
        <v>28</v>
      </c>
      <c r="K94" s="1" t="s">
        <v>28</v>
      </c>
      <c r="L94" s="1" t="str">
        <f t="shared" si="15"/>
        <v>20220902</v>
      </c>
      <c r="M94" s="1" t="str">
        <f>"191111"</f>
        <v>191111</v>
      </c>
      <c r="N94" s="1" t="s">
        <v>77</v>
      </c>
      <c r="O94" s="1" t="s">
        <v>52</v>
      </c>
      <c r="P94" s="1" t="s">
        <v>55</v>
      </c>
      <c r="Q94" s="1">
        <v>25</v>
      </c>
      <c r="R94" s="1">
        <v>0</v>
      </c>
      <c r="S94" s="1">
        <v>25</v>
      </c>
      <c r="T94" s="1">
        <v>0</v>
      </c>
      <c r="U94" s="1">
        <v>0</v>
      </c>
      <c r="V94" s="1" t="str">
        <f t="shared" si="12"/>
        <v>里程返程</v>
      </c>
      <c r="W94" s="1" t="s">
        <v>29</v>
      </c>
    </row>
    <row r="95" spans="1:23" x14ac:dyDescent="0.3">
      <c r="A95" s="1" t="str">
        <f t="shared" si="13"/>
        <v>59820</v>
      </c>
      <c r="B95" s="1" t="s">
        <v>53</v>
      </c>
      <c r="C95" s="1" t="s">
        <v>54</v>
      </c>
      <c r="D95" s="1" t="str">
        <f t="shared" si="9"/>
        <v>9801</v>
      </c>
      <c r="E95" s="1" t="s">
        <v>25</v>
      </c>
      <c r="F95" s="1" t="str">
        <f>"E2A7C1129628040080CEBCD765212818"</f>
        <v>E2A7C1129628040080CEBCD765212818</v>
      </c>
      <c r="G95" s="1" t="s">
        <v>59</v>
      </c>
      <c r="H95" s="1" t="str">
        <f t="shared" si="14"/>
        <v>20220902</v>
      </c>
      <c r="I95" s="1" t="str">
        <f>"185517"</f>
        <v>185517</v>
      </c>
      <c r="J95" s="1" t="s">
        <v>28</v>
      </c>
      <c r="K95" s="1" t="s">
        <v>28</v>
      </c>
      <c r="L95" s="1" t="str">
        <f t="shared" si="15"/>
        <v>20220902</v>
      </c>
      <c r="M95" s="1" t="str">
        <f>"191118"</f>
        <v>191118</v>
      </c>
      <c r="N95" s="1" t="s">
        <v>77</v>
      </c>
      <c r="O95" s="1" t="s">
        <v>52</v>
      </c>
      <c r="P95" s="1" t="s">
        <v>55</v>
      </c>
      <c r="Q95" s="1">
        <v>25</v>
      </c>
      <c r="R95" s="1">
        <v>0</v>
      </c>
      <c r="S95" s="1">
        <v>25</v>
      </c>
      <c r="T95" s="1">
        <v>0</v>
      </c>
      <c r="U95" s="1">
        <v>0</v>
      </c>
      <c r="V95" s="1" t="str">
        <f t="shared" si="12"/>
        <v>里程返程</v>
      </c>
      <c r="W95" s="1" t="s">
        <v>29</v>
      </c>
    </row>
    <row r="96" spans="1:23" x14ac:dyDescent="0.3">
      <c r="A96" s="1" t="str">
        <f t="shared" si="13"/>
        <v>59820</v>
      </c>
      <c r="B96" s="1" t="s">
        <v>53</v>
      </c>
      <c r="C96" s="1" t="s">
        <v>54</v>
      </c>
      <c r="D96" s="1" t="str">
        <f t="shared" si="9"/>
        <v>9801</v>
      </c>
      <c r="E96" s="1" t="s">
        <v>25</v>
      </c>
      <c r="F96" s="1" t="str">
        <f>"02A4C1127528040080CEBCD765212818"</f>
        <v>02A4C1127528040080CEBCD765212818</v>
      </c>
      <c r="G96" s="1" t="s">
        <v>59</v>
      </c>
      <c r="H96" s="1" t="str">
        <f t="shared" si="14"/>
        <v>20220902</v>
      </c>
      <c r="I96" s="1" t="str">
        <f>"185521"</f>
        <v>185521</v>
      </c>
      <c r="J96" s="1" t="s">
        <v>28</v>
      </c>
      <c r="K96" s="1" t="s">
        <v>28</v>
      </c>
      <c r="L96" s="1" t="str">
        <f t="shared" si="15"/>
        <v>20220902</v>
      </c>
      <c r="M96" s="1" t="str">
        <f>"191121"</f>
        <v>191121</v>
      </c>
      <c r="N96" s="1" t="s">
        <v>77</v>
      </c>
      <c r="O96" s="1" t="s">
        <v>52</v>
      </c>
      <c r="P96" s="1" t="s">
        <v>55</v>
      </c>
      <c r="Q96" s="1">
        <v>25</v>
      </c>
      <c r="R96" s="1">
        <v>0</v>
      </c>
      <c r="S96" s="1">
        <v>25</v>
      </c>
      <c r="T96" s="1">
        <v>0</v>
      </c>
      <c r="U96" s="1">
        <v>0</v>
      </c>
      <c r="V96" s="1" t="str">
        <f t="shared" si="12"/>
        <v>里程返程</v>
      </c>
      <c r="W96" s="1" t="s">
        <v>29</v>
      </c>
    </row>
    <row r="97" spans="1:23" x14ac:dyDescent="0.3">
      <c r="A97" s="1" t="str">
        <f t="shared" si="13"/>
        <v>59820</v>
      </c>
      <c r="B97" s="1" t="s">
        <v>53</v>
      </c>
      <c r="C97" s="1" t="s">
        <v>54</v>
      </c>
      <c r="D97" s="1" t="str">
        <f t="shared" si="9"/>
        <v>9801</v>
      </c>
      <c r="E97" s="1" t="s">
        <v>25</v>
      </c>
      <c r="F97" s="1" t="str">
        <f>"32C82413CD28040080CED9985D913018"</f>
        <v>32C82413CD28040080CED9985D913018</v>
      </c>
      <c r="G97" s="1" t="s">
        <v>59</v>
      </c>
      <c r="H97" s="1" t="str">
        <f t="shared" si="14"/>
        <v>20220902</v>
      </c>
      <c r="I97" s="1" t="str">
        <f>"185528"</f>
        <v>185528</v>
      </c>
      <c r="J97" s="1" t="s">
        <v>28</v>
      </c>
      <c r="K97" s="1" t="s">
        <v>28</v>
      </c>
      <c r="L97" s="1" t="str">
        <f t="shared" si="15"/>
        <v>20220902</v>
      </c>
      <c r="M97" s="1" t="str">
        <f>"191114"</f>
        <v>191114</v>
      </c>
      <c r="N97" s="1" t="s">
        <v>77</v>
      </c>
      <c r="O97" s="1" t="s">
        <v>52</v>
      </c>
      <c r="P97" s="1" t="s">
        <v>55</v>
      </c>
      <c r="Q97" s="1">
        <v>25</v>
      </c>
      <c r="R97" s="1">
        <v>0</v>
      </c>
      <c r="S97" s="1">
        <v>25</v>
      </c>
      <c r="T97" s="1">
        <v>0</v>
      </c>
      <c r="U97" s="1">
        <v>0</v>
      </c>
      <c r="V97" s="1" t="str">
        <f t="shared" si="12"/>
        <v>里程返程</v>
      </c>
      <c r="W97" s="1" t="s">
        <v>29</v>
      </c>
    </row>
    <row r="98" spans="1:23" x14ac:dyDescent="0.3">
      <c r="A98" s="1" t="str">
        <f t="shared" si="13"/>
        <v>59820</v>
      </c>
      <c r="B98" s="1" t="s">
        <v>53</v>
      </c>
      <c r="C98" s="1" t="s">
        <v>54</v>
      </c>
      <c r="D98" s="1" t="str">
        <f t="shared" si="9"/>
        <v>9801</v>
      </c>
      <c r="E98" s="1" t="s">
        <v>25</v>
      </c>
      <c r="F98" s="1" t="str">
        <f>"1479925393"</f>
        <v>1479925393</v>
      </c>
      <c r="G98" s="1" t="s">
        <v>33</v>
      </c>
      <c r="H98" s="1" t="str">
        <f t="shared" si="14"/>
        <v>20220902</v>
      </c>
      <c r="I98" s="1" t="str">
        <f>"185539"</f>
        <v>185539</v>
      </c>
      <c r="J98" s="1" t="s">
        <v>28</v>
      </c>
      <c r="K98" s="1" t="s">
        <v>28</v>
      </c>
      <c r="L98" s="1" t="str">
        <f t="shared" si="15"/>
        <v>20220902</v>
      </c>
      <c r="M98" s="1" t="str">
        <f>"192543"</f>
        <v>192543</v>
      </c>
      <c r="N98" s="1" t="s">
        <v>52</v>
      </c>
      <c r="O98" s="1" t="s">
        <v>52</v>
      </c>
      <c r="P98" s="1" t="s">
        <v>55</v>
      </c>
      <c r="Q98" s="1">
        <v>25</v>
      </c>
      <c r="R98" s="1">
        <v>25</v>
      </c>
      <c r="S98" s="1">
        <v>0</v>
      </c>
      <c r="T98" s="1">
        <v>0</v>
      </c>
      <c r="U98" s="1">
        <v>0</v>
      </c>
      <c r="V98" s="1" t="str">
        <f t="shared" si="12"/>
        <v>里程返程</v>
      </c>
      <c r="W98" s="1" t="s">
        <v>35</v>
      </c>
    </row>
    <row r="99" spans="1:23" x14ac:dyDescent="0.3">
      <c r="A99" s="1" t="str">
        <f t="shared" si="13"/>
        <v>59820</v>
      </c>
      <c r="B99" s="1" t="s">
        <v>53</v>
      </c>
      <c r="C99" s="1" t="s">
        <v>54</v>
      </c>
      <c r="D99" s="1" t="str">
        <f t="shared" si="9"/>
        <v>9801</v>
      </c>
      <c r="E99" s="1" t="s">
        <v>25</v>
      </c>
      <c r="F99" s="1" t="str">
        <f>"1102643221"</f>
        <v>1102643221</v>
      </c>
      <c r="G99" s="1" t="s">
        <v>38</v>
      </c>
      <c r="H99" s="1" t="str">
        <f t="shared" si="14"/>
        <v>20220902</v>
      </c>
      <c r="I99" s="1" t="str">
        <f>"185542"</f>
        <v>185542</v>
      </c>
      <c r="J99" s="1" t="s">
        <v>28</v>
      </c>
      <c r="K99" s="1" t="s">
        <v>28</v>
      </c>
      <c r="L99" s="1" t="str">
        <f t="shared" si="15"/>
        <v>20220902</v>
      </c>
      <c r="M99" s="1" t="str">
        <f>"192537"</f>
        <v>192537</v>
      </c>
      <c r="N99" s="1" t="s">
        <v>52</v>
      </c>
      <c r="O99" s="1" t="s">
        <v>52</v>
      </c>
      <c r="P99" s="1" t="s">
        <v>55</v>
      </c>
      <c r="Q99" s="1">
        <v>25</v>
      </c>
      <c r="R99" s="1">
        <v>25</v>
      </c>
      <c r="S99" s="1">
        <v>0</v>
      </c>
      <c r="T99" s="1">
        <v>0</v>
      </c>
      <c r="U99" s="1">
        <v>0</v>
      </c>
      <c r="V99" s="1" t="str">
        <f t="shared" si="12"/>
        <v>里程返程</v>
      </c>
      <c r="W99" s="1" t="s">
        <v>35</v>
      </c>
    </row>
    <row r="100" spans="1:23" x14ac:dyDescent="0.3">
      <c r="A100" s="1" t="str">
        <f t="shared" si="13"/>
        <v>59820</v>
      </c>
      <c r="B100" s="1" t="s">
        <v>53</v>
      </c>
      <c r="C100" s="1" t="s">
        <v>54</v>
      </c>
      <c r="D100" s="1" t="str">
        <f t="shared" si="9"/>
        <v>9801</v>
      </c>
      <c r="E100" s="1" t="s">
        <v>25</v>
      </c>
      <c r="F100" s="1" t="str">
        <f>"226873057"</f>
        <v>226873057</v>
      </c>
      <c r="G100" s="1" t="s">
        <v>33</v>
      </c>
      <c r="H100" s="1" t="str">
        <f t="shared" si="14"/>
        <v>20220902</v>
      </c>
      <c r="I100" s="1" t="str">
        <f>"185544"</f>
        <v>185544</v>
      </c>
      <c r="J100" s="1" t="s">
        <v>28</v>
      </c>
      <c r="K100" s="1" t="s">
        <v>28</v>
      </c>
      <c r="L100" s="1" t="str">
        <f t="shared" si="15"/>
        <v>20220902</v>
      </c>
      <c r="M100" s="1" t="str">
        <f>"192541"</f>
        <v>192541</v>
      </c>
      <c r="N100" s="1" t="s">
        <v>52</v>
      </c>
      <c r="O100" s="1" t="s">
        <v>52</v>
      </c>
      <c r="P100" s="1" t="s">
        <v>55</v>
      </c>
      <c r="Q100" s="1">
        <v>25</v>
      </c>
      <c r="R100" s="1">
        <v>25</v>
      </c>
      <c r="S100" s="1">
        <v>0</v>
      </c>
      <c r="T100" s="1">
        <v>0</v>
      </c>
      <c r="U100" s="1">
        <v>0</v>
      </c>
      <c r="V100" s="1" t="str">
        <f t="shared" si="12"/>
        <v>里程返程</v>
      </c>
      <c r="W100" s="1" t="s">
        <v>35</v>
      </c>
    </row>
    <row r="101" spans="1:23" x14ac:dyDescent="0.3">
      <c r="A101" s="1" t="str">
        <f t="shared" si="13"/>
        <v>59820</v>
      </c>
      <c r="B101" s="1" t="s">
        <v>53</v>
      </c>
      <c r="C101" s="1" t="s">
        <v>54</v>
      </c>
      <c r="D101" s="1" t="str">
        <f t="shared" si="9"/>
        <v>9801</v>
      </c>
      <c r="E101" s="1" t="s">
        <v>25</v>
      </c>
      <c r="F101" s="1" t="str">
        <f>"398784737"</f>
        <v>398784737</v>
      </c>
      <c r="G101" s="1" t="s">
        <v>33</v>
      </c>
      <c r="H101" s="1" t="str">
        <f t="shared" si="14"/>
        <v>20220902</v>
      </c>
      <c r="I101" s="1" t="str">
        <f>"185547"</f>
        <v>185547</v>
      </c>
      <c r="J101" s="1" t="s">
        <v>28</v>
      </c>
      <c r="K101" s="1" t="s">
        <v>28</v>
      </c>
      <c r="L101" s="1" t="str">
        <f t="shared" si="15"/>
        <v>20220902</v>
      </c>
      <c r="M101" s="1" t="str">
        <f>"192549"</f>
        <v>192549</v>
      </c>
      <c r="N101" s="1" t="s">
        <v>52</v>
      </c>
      <c r="O101" s="1" t="s">
        <v>52</v>
      </c>
      <c r="P101" s="1" t="s">
        <v>55</v>
      </c>
      <c r="Q101" s="1">
        <v>25</v>
      </c>
      <c r="R101" s="1">
        <v>25</v>
      </c>
      <c r="S101" s="1">
        <v>0</v>
      </c>
      <c r="T101" s="1">
        <v>0</v>
      </c>
      <c r="U101" s="1">
        <v>0</v>
      </c>
      <c r="V101" s="1" t="str">
        <f t="shared" si="12"/>
        <v>里程返程</v>
      </c>
      <c r="W101" s="1" t="s">
        <v>35</v>
      </c>
    </row>
    <row r="102" spans="1:23" x14ac:dyDescent="0.3">
      <c r="A102" s="1" t="str">
        <f t="shared" ref="A102:A131" si="16">"59825"</f>
        <v>59825</v>
      </c>
      <c r="B102" s="1" t="s">
        <v>30</v>
      </c>
      <c r="C102" s="1" t="s">
        <v>31</v>
      </c>
      <c r="D102" s="1" t="str">
        <f t="shared" si="9"/>
        <v>9801</v>
      </c>
      <c r="E102" s="1" t="s">
        <v>25</v>
      </c>
      <c r="F102" s="1" t="str">
        <f>"F29BD102BA880400C834002000000015"</f>
        <v>F29BD102BA880400C834002000000015</v>
      </c>
      <c r="G102" s="1" t="s">
        <v>26</v>
      </c>
      <c r="H102" s="1" t="str">
        <f t="shared" si="14"/>
        <v>20220902</v>
      </c>
      <c r="I102" s="1" t="str">
        <f>"083221"</f>
        <v>083221</v>
      </c>
      <c r="J102" s="1" t="s">
        <v>44</v>
      </c>
      <c r="K102" s="1" t="s">
        <v>45</v>
      </c>
      <c r="L102" s="1" t="str">
        <f t="shared" si="15"/>
        <v>20220902</v>
      </c>
      <c r="M102" s="1" t="str">
        <f>"085417"</f>
        <v>085417</v>
      </c>
      <c r="N102" s="1" t="s">
        <v>28</v>
      </c>
      <c r="O102" s="1" t="s">
        <v>28</v>
      </c>
      <c r="P102" s="1" t="s">
        <v>68</v>
      </c>
      <c r="Q102" s="1">
        <v>13</v>
      </c>
      <c r="R102" s="1">
        <v>0</v>
      </c>
      <c r="S102" s="1">
        <v>0</v>
      </c>
      <c r="T102" s="1">
        <v>13</v>
      </c>
      <c r="U102" s="1">
        <v>0</v>
      </c>
      <c r="V102" s="1" t="str">
        <f t="shared" si="12"/>
        <v>里程返程</v>
      </c>
      <c r="W102" s="1" t="s">
        <v>29</v>
      </c>
    </row>
    <row r="103" spans="1:23" x14ac:dyDescent="0.3">
      <c r="A103" s="1" t="str">
        <f t="shared" si="16"/>
        <v>59825</v>
      </c>
      <c r="B103" s="1" t="s">
        <v>30</v>
      </c>
      <c r="C103" s="1" t="s">
        <v>31</v>
      </c>
      <c r="D103" s="1" t="str">
        <f t="shared" si="9"/>
        <v>9801</v>
      </c>
      <c r="E103" s="1" t="s">
        <v>25</v>
      </c>
      <c r="F103" s="1" t="str">
        <f>"1203000709"</f>
        <v>1203000709</v>
      </c>
      <c r="G103" s="1" t="s">
        <v>33</v>
      </c>
      <c r="H103" s="1" t="str">
        <f t="shared" si="14"/>
        <v>20220902</v>
      </c>
      <c r="I103" s="1" t="str">
        <f>"084535"</f>
        <v>084535</v>
      </c>
      <c r="J103" s="1" t="s">
        <v>79</v>
      </c>
      <c r="K103" s="1" t="s">
        <v>45</v>
      </c>
      <c r="L103" s="1" t="str">
        <f t="shared" si="15"/>
        <v>20220902</v>
      </c>
      <c r="M103" s="1" t="str">
        <f>"085428"</f>
        <v>085428</v>
      </c>
      <c r="N103" s="1" t="s">
        <v>28</v>
      </c>
      <c r="O103" s="1" t="s">
        <v>28</v>
      </c>
      <c r="P103" s="1" t="s">
        <v>55</v>
      </c>
      <c r="Q103" s="1">
        <v>25</v>
      </c>
      <c r="R103" s="1">
        <v>25</v>
      </c>
      <c r="S103" s="1">
        <v>0</v>
      </c>
      <c r="T103" s="1">
        <v>0</v>
      </c>
      <c r="U103" s="1">
        <v>0</v>
      </c>
      <c r="V103" s="1" t="str">
        <f t="shared" si="12"/>
        <v>里程返程</v>
      </c>
      <c r="W103" s="1" t="s">
        <v>35</v>
      </c>
    </row>
    <row r="104" spans="1:23" x14ac:dyDescent="0.3">
      <c r="A104" s="1" t="str">
        <f t="shared" si="16"/>
        <v>59825</v>
      </c>
      <c r="B104" s="1" t="s">
        <v>30</v>
      </c>
      <c r="C104" s="1" t="s">
        <v>31</v>
      </c>
      <c r="D104" s="1" t="str">
        <f t="shared" si="9"/>
        <v>9801</v>
      </c>
      <c r="E104" s="1" t="s">
        <v>25</v>
      </c>
      <c r="F104" s="1" t="str">
        <f>"529E1903D6880400C834002000000015"</f>
        <v>529E1903D6880400C834002000000015</v>
      </c>
      <c r="G104" s="1" t="s">
        <v>26</v>
      </c>
      <c r="H104" s="1" t="str">
        <f t="shared" si="14"/>
        <v>20220902</v>
      </c>
      <c r="I104" s="1" t="str">
        <f>"085439"</f>
        <v>085439</v>
      </c>
      <c r="J104" s="1" t="s">
        <v>28</v>
      </c>
      <c r="K104" s="1" t="s">
        <v>28</v>
      </c>
      <c r="L104" s="1" t="str">
        <f t="shared" si="15"/>
        <v>20220902</v>
      </c>
      <c r="M104" s="1" t="str">
        <f>"092044"</f>
        <v>092044</v>
      </c>
      <c r="N104" s="1" t="s">
        <v>60</v>
      </c>
      <c r="O104" s="1" t="s">
        <v>52</v>
      </c>
      <c r="P104" s="1" t="s">
        <v>68</v>
      </c>
      <c r="Q104" s="1">
        <v>13</v>
      </c>
      <c r="R104" s="1">
        <v>0</v>
      </c>
      <c r="S104" s="1">
        <v>0</v>
      </c>
      <c r="T104" s="1">
        <v>13</v>
      </c>
      <c r="U104" s="1">
        <v>0</v>
      </c>
      <c r="V104" s="1" t="str">
        <f t="shared" si="12"/>
        <v>里程返程</v>
      </c>
      <c r="W104" s="1" t="s">
        <v>29</v>
      </c>
    </row>
    <row r="105" spans="1:23" x14ac:dyDescent="0.3">
      <c r="A105" s="1" t="str">
        <f t="shared" si="16"/>
        <v>59825</v>
      </c>
      <c r="B105" s="1" t="s">
        <v>30</v>
      </c>
      <c r="C105" s="1" t="s">
        <v>31</v>
      </c>
      <c r="D105" s="1" t="str">
        <f t="shared" si="9"/>
        <v>9801</v>
      </c>
      <c r="E105" s="1" t="s">
        <v>25</v>
      </c>
      <c r="F105" s="1" t="str">
        <f>"03A6A9454988040048B994D749703809"</f>
        <v>03A6A9454988040048B994D749703809</v>
      </c>
      <c r="G105" s="1" t="s">
        <v>64</v>
      </c>
      <c r="H105" s="1" t="str">
        <f t="shared" si="14"/>
        <v>20220902</v>
      </c>
      <c r="I105" s="1" t="str">
        <f>"085445"</f>
        <v>085445</v>
      </c>
      <c r="J105" s="1" t="s">
        <v>28</v>
      </c>
      <c r="K105" s="1" t="s">
        <v>28</v>
      </c>
      <c r="L105" s="1" t="str">
        <f t="shared" si="15"/>
        <v>20220902</v>
      </c>
      <c r="M105" s="1" t="str">
        <f>"090624"</f>
        <v>090624</v>
      </c>
      <c r="N105" s="1" t="s">
        <v>78</v>
      </c>
      <c r="O105" s="1" t="s">
        <v>52</v>
      </c>
      <c r="P105" s="1" t="s">
        <v>55</v>
      </c>
      <c r="Q105" s="1">
        <v>13</v>
      </c>
      <c r="R105" s="1">
        <v>13</v>
      </c>
      <c r="S105" s="1">
        <v>0</v>
      </c>
      <c r="T105" s="1">
        <v>0</v>
      </c>
      <c r="U105" s="1">
        <v>0</v>
      </c>
      <c r="V105" s="1" t="str">
        <f t="shared" si="12"/>
        <v>里程返程</v>
      </c>
      <c r="W105" s="1" t="s">
        <v>29</v>
      </c>
    </row>
    <row r="106" spans="1:23" x14ac:dyDescent="0.3">
      <c r="A106" s="1" t="str">
        <f t="shared" si="16"/>
        <v>59825</v>
      </c>
      <c r="B106" s="1" t="s">
        <v>30</v>
      </c>
      <c r="C106" s="1" t="s">
        <v>31</v>
      </c>
      <c r="D106" s="1" t="str">
        <f t="shared" si="9"/>
        <v>9801</v>
      </c>
      <c r="E106" s="1" t="s">
        <v>25</v>
      </c>
      <c r="F106" s="1" t="str">
        <f>"1827226693"</f>
        <v>1827226693</v>
      </c>
      <c r="G106" s="1" t="s">
        <v>38</v>
      </c>
      <c r="H106" s="1" t="str">
        <f t="shared" si="14"/>
        <v>20220902</v>
      </c>
      <c r="I106" s="1" t="str">
        <f>"094031"</f>
        <v>094031</v>
      </c>
      <c r="J106" s="1" t="s">
        <v>75</v>
      </c>
      <c r="K106" s="1" t="s">
        <v>45</v>
      </c>
      <c r="L106" s="1" t="str">
        <f t="shared" si="15"/>
        <v>20220902</v>
      </c>
      <c r="M106" s="1" t="str">
        <f>"095442"</f>
        <v>095442</v>
      </c>
      <c r="N106" s="1" t="s">
        <v>28</v>
      </c>
      <c r="O106" s="1" t="s">
        <v>28</v>
      </c>
      <c r="P106" s="1" t="s">
        <v>55</v>
      </c>
      <c r="Q106" s="1">
        <v>25</v>
      </c>
      <c r="R106" s="1">
        <v>25</v>
      </c>
      <c r="S106" s="1">
        <v>0</v>
      </c>
      <c r="T106" s="1">
        <v>0</v>
      </c>
      <c r="U106" s="1">
        <v>0</v>
      </c>
      <c r="V106" s="1" t="str">
        <f t="shared" si="12"/>
        <v>里程返程</v>
      </c>
      <c r="W106" s="1" t="s">
        <v>35</v>
      </c>
    </row>
    <row r="107" spans="1:23" x14ac:dyDescent="0.3">
      <c r="A107" s="1" t="str">
        <f t="shared" si="16"/>
        <v>59825</v>
      </c>
      <c r="B107" s="1" t="s">
        <v>30</v>
      </c>
      <c r="C107" s="1" t="s">
        <v>31</v>
      </c>
      <c r="D107" s="1" t="str">
        <f t="shared" si="9"/>
        <v>9801</v>
      </c>
      <c r="E107" s="1" t="s">
        <v>25</v>
      </c>
      <c r="F107" s="1" t="str">
        <f>"3888359370"</f>
        <v>3888359370</v>
      </c>
      <c r="G107" s="1" t="s">
        <v>33</v>
      </c>
      <c r="H107" s="1" t="str">
        <f t="shared" si="14"/>
        <v>20220902</v>
      </c>
      <c r="I107" s="1" t="str">
        <f>"094041"</f>
        <v>094041</v>
      </c>
      <c r="J107" s="1" t="s">
        <v>75</v>
      </c>
      <c r="K107" s="1" t="s">
        <v>45</v>
      </c>
      <c r="L107" s="1" t="str">
        <f t="shared" si="15"/>
        <v>20220902</v>
      </c>
      <c r="M107" s="1" t="str">
        <f>"095437"</f>
        <v>095437</v>
      </c>
      <c r="N107" s="1" t="s">
        <v>28</v>
      </c>
      <c r="O107" s="1" t="s">
        <v>28</v>
      </c>
      <c r="P107" s="1" t="s">
        <v>55</v>
      </c>
      <c r="Q107" s="1">
        <v>25</v>
      </c>
      <c r="R107" s="1">
        <v>25</v>
      </c>
      <c r="S107" s="1">
        <v>0</v>
      </c>
      <c r="T107" s="1">
        <v>0</v>
      </c>
      <c r="U107" s="1">
        <v>0</v>
      </c>
      <c r="V107" s="1" t="str">
        <f t="shared" si="12"/>
        <v>里程返程</v>
      </c>
      <c r="W107" s="1" t="s">
        <v>35</v>
      </c>
    </row>
    <row r="108" spans="1:23" x14ac:dyDescent="0.3">
      <c r="A108" s="1" t="str">
        <f t="shared" si="16"/>
        <v>59825</v>
      </c>
      <c r="B108" s="1" t="s">
        <v>30</v>
      </c>
      <c r="C108" s="1" t="s">
        <v>31</v>
      </c>
      <c r="D108" s="1" t="str">
        <f t="shared" si="9"/>
        <v>9801</v>
      </c>
      <c r="E108" s="1" t="s">
        <v>25</v>
      </c>
      <c r="F108" s="1" t="str">
        <f>"528167681"</f>
        <v>528167681</v>
      </c>
      <c r="G108" s="1" t="s">
        <v>33</v>
      </c>
      <c r="H108" s="1" t="str">
        <f t="shared" si="14"/>
        <v>20220902</v>
      </c>
      <c r="I108" s="1" t="str">
        <f>"094241"</f>
        <v>094241</v>
      </c>
      <c r="J108" s="1" t="s">
        <v>56</v>
      </c>
      <c r="K108" s="1" t="s">
        <v>45</v>
      </c>
      <c r="L108" s="1" t="str">
        <f t="shared" si="15"/>
        <v>20220902</v>
      </c>
      <c r="M108" s="1" t="str">
        <f>"095445"</f>
        <v>095445</v>
      </c>
      <c r="N108" s="1" t="s">
        <v>28</v>
      </c>
      <c r="O108" s="1" t="s">
        <v>28</v>
      </c>
      <c r="P108" s="1" t="s">
        <v>55</v>
      </c>
      <c r="Q108" s="1">
        <v>25</v>
      </c>
      <c r="R108" s="1">
        <v>25</v>
      </c>
      <c r="S108" s="1">
        <v>0</v>
      </c>
      <c r="T108" s="1">
        <v>0</v>
      </c>
      <c r="U108" s="1">
        <v>0</v>
      </c>
      <c r="V108" s="1" t="str">
        <f t="shared" si="12"/>
        <v>里程返程</v>
      </c>
      <c r="W108" s="1" t="s">
        <v>35</v>
      </c>
    </row>
    <row r="109" spans="1:23" x14ac:dyDescent="0.3">
      <c r="A109" s="1" t="str">
        <f t="shared" si="16"/>
        <v>59825</v>
      </c>
      <c r="B109" s="1" t="s">
        <v>30</v>
      </c>
      <c r="C109" s="1" t="s">
        <v>31</v>
      </c>
      <c r="D109" s="1" t="str">
        <f t="shared" si="9"/>
        <v>9801</v>
      </c>
      <c r="E109" s="1" t="s">
        <v>25</v>
      </c>
      <c r="F109" s="1" t="str">
        <f>"1204061808880400C814002000000019"</f>
        <v>1204061808880400C814002000000019</v>
      </c>
      <c r="G109" s="1" t="s">
        <v>59</v>
      </c>
      <c r="H109" s="1" t="str">
        <f t="shared" si="14"/>
        <v>20220902</v>
      </c>
      <c r="I109" s="1" t="str">
        <f>"095450"</f>
        <v>095450</v>
      </c>
      <c r="J109" s="1" t="s">
        <v>28</v>
      </c>
      <c r="K109" s="1" t="s">
        <v>28</v>
      </c>
      <c r="L109" s="1" t="str">
        <f t="shared" si="15"/>
        <v>20220902</v>
      </c>
      <c r="M109" s="1" t="str">
        <f>"101728"</f>
        <v>101728</v>
      </c>
      <c r="N109" s="1" t="s">
        <v>72</v>
      </c>
      <c r="O109" s="1" t="s">
        <v>52</v>
      </c>
      <c r="P109" s="1" t="s">
        <v>55</v>
      </c>
      <c r="Q109" s="1">
        <v>25</v>
      </c>
      <c r="R109" s="1">
        <v>25</v>
      </c>
      <c r="S109" s="1">
        <v>0</v>
      </c>
      <c r="T109" s="1">
        <v>0</v>
      </c>
      <c r="U109" s="1">
        <v>0</v>
      </c>
      <c r="V109" s="1" t="str">
        <f t="shared" si="12"/>
        <v>里程返程</v>
      </c>
      <c r="W109" s="1" t="s">
        <v>29</v>
      </c>
    </row>
    <row r="110" spans="1:23" x14ac:dyDescent="0.3">
      <c r="A110" s="1" t="str">
        <f t="shared" si="16"/>
        <v>59825</v>
      </c>
      <c r="B110" s="1" t="s">
        <v>30</v>
      </c>
      <c r="C110" s="1" t="s">
        <v>31</v>
      </c>
      <c r="D110" s="1" t="str">
        <f t="shared" si="9"/>
        <v>9801</v>
      </c>
      <c r="E110" s="1" t="s">
        <v>25</v>
      </c>
      <c r="F110" s="1" t="str">
        <f>"285817872"</f>
        <v>285817872</v>
      </c>
      <c r="G110" s="1" t="s">
        <v>33</v>
      </c>
      <c r="H110" s="1" t="str">
        <f t="shared" si="14"/>
        <v>20220902</v>
      </c>
      <c r="I110" s="1" t="str">
        <f>"095457"</f>
        <v>095457</v>
      </c>
      <c r="J110" s="1" t="s">
        <v>28</v>
      </c>
      <c r="K110" s="1" t="s">
        <v>28</v>
      </c>
      <c r="L110" s="1" t="str">
        <f t="shared" si="15"/>
        <v>20220902</v>
      </c>
      <c r="M110" s="1" t="str">
        <f>"102249"</f>
        <v>102249</v>
      </c>
      <c r="N110" s="1" t="s">
        <v>60</v>
      </c>
      <c r="O110" s="1" t="s">
        <v>52</v>
      </c>
      <c r="P110" s="1" t="s">
        <v>55</v>
      </c>
      <c r="Q110" s="1">
        <v>25</v>
      </c>
      <c r="R110" s="1">
        <v>0</v>
      </c>
      <c r="S110" s="1">
        <v>25</v>
      </c>
      <c r="T110" s="1">
        <v>0</v>
      </c>
      <c r="U110" s="1">
        <v>0</v>
      </c>
      <c r="V110" s="1" t="str">
        <f t="shared" si="12"/>
        <v>里程返程</v>
      </c>
      <c r="W110" s="1" t="s">
        <v>35</v>
      </c>
    </row>
    <row r="111" spans="1:23" x14ac:dyDescent="0.3">
      <c r="A111" s="1" t="str">
        <f t="shared" si="16"/>
        <v>59825</v>
      </c>
      <c r="B111" s="1" t="s">
        <v>30</v>
      </c>
      <c r="C111" s="1" t="s">
        <v>31</v>
      </c>
      <c r="D111" s="1" t="str">
        <f t="shared" si="9"/>
        <v>9801</v>
      </c>
      <c r="E111" s="1" t="s">
        <v>25</v>
      </c>
      <c r="F111" s="1" t="str">
        <f>"51321A037A88040043252B4B000D050F"</f>
        <v>51321A037A88040043252B4B000D050F</v>
      </c>
      <c r="G111" s="1" t="s">
        <v>26</v>
      </c>
      <c r="H111" s="1" t="str">
        <f t="shared" si="14"/>
        <v>20220902</v>
      </c>
      <c r="I111" s="1" t="str">
        <f>"095501"</f>
        <v>095501</v>
      </c>
      <c r="J111" s="1" t="s">
        <v>28</v>
      </c>
      <c r="K111" s="1" t="s">
        <v>28</v>
      </c>
      <c r="L111" s="1" t="str">
        <f t="shared" si="15"/>
        <v>20220902</v>
      </c>
      <c r="M111" s="1" t="str">
        <f>"102738"</f>
        <v>102738</v>
      </c>
      <c r="N111" s="1" t="s">
        <v>52</v>
      </c>
      <c r="O111" s="1" t="s">
        <v>52</v>
      </c>
      <c r="P111" s="1" t="s">
        <v>55</v>
      </c>
      <c r="Q111" s="1">
        <v>13</v>
      </c>
      <c r="R111" s="1">
        <v>13</v>
      </c>
      <c r="S111" s="1">
        <v>0</v>
      </c>
      <c r="T111" s="1">
        <v>0</v>
      </c>
      <c r="U111" s="1">
        <v>0</v>
      </c>
      <c r="V111" s="1" t="str">
        <f t="shared" si="12"/>
        <v>里程返程</v>
      </c>
      <c r="W111" s="1" t="s">
        <v>29</v>
      </c>
    </row>
    <row r="112" spans="1:23" x14ac:dyDescent="0.3">
      <c r="A112" s="1" t="str">
        <f t="shared" si="16"/>
        <v>59825</v>
      </c>
      <c r="B112" s="1" t="s">
        <v>30</v>
      </c>
      <c r="C112" s="1" t="s">
        <v>31</v>
      </c>
      <c r="D112" s="1" t="str">
        <f t="shared" si="9"/>
        <v>9801</v>
      </c>
      <c r="E112" s="1" t="s">
        <v>25</v>
      </c>
      <c r="F112" s="1" t="str">
        <f>"E15824009D8804004324714D0004080E"</f>
        <v>E15824009D8804004324714D0004080E</v>
      </c>
      <c r="G112" s="1" t="s">
        <v>26</v>
      </c>
      <c r="H112" s="1" t="str">
        <f t="shared" si="14"/>
        <v>20220902</v>
      </c>
      <c r="I112" s="1" t="str">
        <f>"095507"</f>
        <v>095507</v>
      </c>
      <c r="J112" s="1" t="s">
        <v>28</v>
      </c>
      <c r="K112" s="1" t="s">
        <v>28</v>
      </c>
      <c r="L112" s="1" t="str">
        <f t="shared" si="15"/>
        <v>20220902</v>
      </c>
      <c r="M112" s="1" t="str">
        <f>"102733"</f>
        <v>102733</v>
      </c>
      <c r="N112" s="1" t="s">
        <v>52</v>
      </c>
      <c r="O112" s="1" t="s">
        <v>52</v>
      </c>
      <c r="P112" s="1" t="s">
        <v>55</v>
      </c>
      <c r="Q112" s="1">
        <v>13</v>
      </c>
      <c r="R112" s="1">
        <v>13</v>
      </c>
      <c r="S112" s="1">
        <v>0</v>
      </c>
      <c r="T112" s="1">
        <v>0</v>
      </c>
      <c r="U112" s="1">
        <v>0</v>
      </c>
      <c r="V112" s="1" t="str">
        <f t="shared" si="12"/>
        <v>里程返程</v>
      </c>
      <c r="W112" s="1" t="s">
        <v>29</v>
      </c>
    </row>
    <row r="113" spans="1:23" x14ac:dyDescent="0.3">
      <c r="A113" s="1" t="str">
        <f t="shared" si="16"/>
        <v>59825</v>
      </c>
      <c r="B113" s="1" t="s">
        <v>30</v>
      </c>
      <c r="C113" s="1" t="s">
        <v>31</v>
      </c>
      <c r="D113" s="1" t="str">
        <f t="shared" si="9"/>
        <v>9801</v>
      </c>
      <c r="E113" s="1" t="s">
        <v>25</v>
      </c>
      <c r="F113" s="1" t="str">
        <f>"6243E702C4880400C834002000000015"</f>
        <v>6243E702C4880400C834002000000015</v>
      </c>
      <c r="G113" s="1" t="s">
        <v>74</v>
      </c>
      <c r="H113" s="1" t="str">
        <f t="shared" si="14"/>
        <v>20220902</v>
      </c>
      <c r="I113" s="1" t="str">
        <f>"095518"</f>
        <v>095518</v>
      </c>
      <c r="J113" s="1" t="s">
        <v>28</v>
      </c>
      <c r="K113" s="1" t="s">
        <v>28</v>
      </c>
      <c r="L113" s="1" t="str">
        <f t="shared" si="15"/>
        <v>20220902</v>
      </c>
      <c r="M113" s="1" t="str">
        <f>"102237"</f>
        <v>102237</v>
      </c>
      <c r="N113" s="1" t="s">
        <v>60</v>
      </c>
      <c r="O113" s="1" t="s">
        <v>52</v>
      </c>
      <c r="P113" s="1" t="s">
        <v>68</v>
      </c>
      <c r="Q113" s="1">
        <v>13</v>
      </c>
      <c r="R113" s="1">
        <v>0</v>
      </c>
      <c r="S113" s="1">
        <v>0</v>
      </c>
      <c r="T113" s="1">
        <v>13</v>
      </c>
      <c r="U113" s="1">
        <v>0</v>
      </c>
      <c r="V113" s="1" t="str">
        <f t="shared" si="12"/>
        <v>里程返程</v>
      </c>
      <c r="W113" s="1" t="s">
        <v>29</v>
      </c>
    </row>
    <row r="114" spans="1:23" x14ac:dyDescent="0.3">
      <c r="A114" s="1" t="str">
        <f t="shared" si="16"/>
        <v>59825</v>
      </c>
      <c r="B114" s="1" t="s">
        <v>30</v>
      </c>
      <c r="C114" s="1" t="s">
        <v>31</v>
      </c>
      <c r="D114" s="1" t="str">
        <f t="shared" si="9"/>
        <v>9801</v>
      </c>
      <c r="E114" s="1" t="s">
        <v>25</v>
      </c>
      <c r="F114" s="1" t="str">
        <f>"E15824009D8804004324714D0004080E"</f>
        <v>E15824009D8804004324714D0004080E</v>
      </c>
      <c r="G114" s="1" t="s">
        <v>26</v>
      </c>
      <c r="H114" s="1" t="str">
        <f t="shared" si="14"/>
        <v>20220902</v>
      </c>
      <c r="I114" s="1" t="str">
        <f>"102818"</f>
        <v>102818</v>
      </c>
      <c r="J114" s="1" t="s">
        <v>44</v>
      </c>
      <c r="K114" s="1" t="s">
        <v>45</v>
      </c>
      <c r="L114" s="1" t="str">
        <f t="shared" si="15"/>
        <v>20220902</v>
      </c>
      <c r="M114" s="1" t="str">
        <f>"103156"</f>
        <v>103156</v>
      </c>
      <c r="N114" s="1" t="s">
        <v>100</v>
      </c>
      <c r="O114" s="1" t="s">
        <v>45</v>
      </c>
      <c r="P114" s="1" t="s">
        <v>55</v>
      </c>
      <c r="Q114" s="1">
        <v>13</v>
      </c>
      <c r="R114" s="1">
        <v>13</v>
      </c>
      <c r="S114" s="1">
        <v>0</v>
      </c>
      <c r="T114" s="1">
        <v>0</v>
      </c>
      <c r="U114" s="1">
        <v>0</v>
      </c>
      <c r="V114" s="1" t="str">
        <f t="shared" si="12"/>
        <v>里程返程</v>
      </c>
      <c r="W114" s="1" t="s">
        <v>29</v>
      </c>
    </row>
    <row r="115" spans="1:23" x14ac:dyDescent="0.3">
      <c r="A115" s="1" t="str">
        <f t="shared" si="16"/>
        <v>59825</v>
      </c>
      <c r="B115" s="1" t="s">
        <v>30</v>
      </c>
      <c r="C115" s="1" t="s">
        <v>31</v>
      </c>
      <c r="D115" s="1" t="str">
        <f t="shared" si="9"/>
        <v>9801</v>
      </c>
      <c r="E115" s="1" t="s">
        <v>25</v>
      </c>
      <c r="F115" s="1" t="str">
        <f>"51321A037A88040043252B4B000D050F"</f>
        <v>51321A037A88040043252B4B000D050F</v>
      </c>
      <c r="G115" s="1" t="s">
        <v>26</v>
      </c>
      <c r="H115" s="1" t="str">
        <f t="shared" si="14"/>
        <v>20220902</v>
      </c>
      <c r="I115" s="1" t="str">
        <f>"102827"</f>
        <v>102827</v>
      </c>
      <c r="J115" s="1" t="s">
        <v>44</v>
      </c>
      <c r="K115" s="1" t="s">
        <v>45</v>
      </c>
      <c r="L115" s="1" t="str">
        <f t="shared" si="15"/>
        <v>20220902</v>
      </c>
      <c r="M115" s="1" t="str">
        <f>"103202"</f>
        <v>103202</v>
      </c>
      <c r="N115" s="1" t="s">
        <v>100</v>
      </c>
      <c r="O115" s="1" t="s">
        <v>45</v>
      </c>
      <c r="P115" s="1" t="s">
        <v>55</v>
      </c>
      <c r="Q115" s="1">
        <v>13</v>
      </c>
      <c r="R115" s="1">
        <v>13</v>
      </c>
      <c r="S115" s="1">
        <v>0</v>
      </c>
      <c r="T115" s="1">
        <v>0</v>
      </c>
      <c r="U115" s="1">
        <v>0</v>
      </c>
      <c r="V115" s="1" t="str">
        <f t="shared" si="12"/>
        <v>里程返程</v>
      </c>
      <c r="W115" s="1" t="s">
        <v>29</v>
      </c>
    </row>
    <row r="116" spans="1:23" x14ac:dyDescent="0.3">
      <c r="A116" s="1" t="str">
        <f t="shared" si="16"/>
        <v>59825</v>
      </c>
      <c r="B116" s="1" t="s">
        <v>30</v>
      </c>
      <c r="C116" s="1" t="s">
        <v>31</v>
      </c>
      <c r="D116" s="1" t="str">
        <f t="shared" si="9"/>
        <v>9801</v>
      </c>
      <c r="E116" s="1" t="s">
        <v>25</v>
      </c>
      <c r="F116" s="1" t="str">
        <f>"F1DA0D2F0988040043288DA200020912"</f>
        <v>F1DA0D2F0988040043288DA200020912</v>
      </c>
      <c r="G116" s="1" t="s">
        <v>58</v>
      </c>
      <c r="H116" s="1" t="str">
        <f t="shared" si="14"/>
        <v>20220902</v>
      </c>
      <c r="I116" s="1" t="str">
        <f>"103717"</f>
        <v>103717</v>
      </c>
      <c r="J116" s="1" t="s">
        <v>91</v>
      </c>
      <c r="K116" s="1" t="s">
        <v>45</v>
      </c>
      <c r="L116" s="1" t="str">
        <f t="shared" si="15"/>
        <v>20220902</v>
      </c>
      <c r="M116" s="1" t="str">
        <f>"105346"</f>
        <v>105346</v>
      </c>
      <c r="N116" s="1" t="s">
        <v>28</v>
      </c>
      <c r="O116" s="1" t="s">
        <v>28</v>
      </c>
      <c r="P116" s="1" t="s">
        <v>55</v>
      </c>
      <c r="Q116" s="1">
        <v>25</v>
      </c>
      <c r="R116" s="1">
        <v>25</v>
      </c>
      <c r="S116" s="1">
        <v>0</v>
      </c>
      <c r="T116" s="1">
        <v>0</v>
      </c>
      <c r="U116" s="1">
        <v>0</v>
      </c>
      <c r="V116" s="1" t="str">
        <f t="shared" si="12"/>
        <v>里程返程</v>
      </c>
      <c r="W116" s="1" t="s">
        <v>29</v>
      </c>
    </row>
    <row r="117" spans="1:23" x14ac:dyDescent="0.3">
      <c r="A117" s="1" t="str">
        <f t="shared" si="16"/>
        <v>59825</v>
      </c>
      <c r="B117" s="1" t="s">
        <v>30</v>
      </c>
      <c r="C117" s="1" t="s">
        <v>31</v>
      </c>
      <c r="D117" s="1" t="str">
        <f t="shared" si="9"/>
        <v>9801</v>
      </c>
      <c r="E117" s="1" t="s">
        <v>25</v>
      </c>
      <c r="F117" s="1" t="str">
        <f>"248556513"</f>
        <v>248556513</v>
      </c>
      <c r="G117" s="1" t="s">
        <v>33</v>
      </c>
      <c r="H117" s="1" t="str">
        <f t="shared" si="14"/>
        <v>20220902</v>
      </c>
      <c r="I117" s="1" t="str">
        <f>"105404"</f>
        <v>105404</v>
      </c>
      <c r="J117" s="1" t="s">
        <v>28</v>
      </c>
      <c r="K117" s="1" t="s">
        <v>28</v>
      </c>
      <c r="L117" s="1" t="str">
        <f t="shared" si="15"/>
        <v>20220902</v>
      </c>
      <c r="M117" s="1" t="str">
        <f>"112006"</f>
        <v>112006</v>
      </c>
      <c r="N117" s="1" t="s">
        <v>60</v>
      </c>
      <c r="O117" s="1" t="s">
        <v>52</v>
      </c>
      <c r="P117" s="1" t="s">
        <v>55</v>
      </c>
      <c r="Q117" s="1">
        <v>25</v>
      </c>
      <c r="R117" s="1">
        <v>25</v>
      </c>
      <c r="S117" s="1">
        <v>0</v>
      </c>
      <c r="T117" s="1">
        <v>0</v>
      </c>
      <c r="U117" s="1">
        <v>0</v>
      </c>
      <c r="V117" s="1" t="str">
        <f t="shared" si="12"/>
        <v>里程返程</v>
      </c>
      <c r="W117" s="1" t="s">
        <v>35</v>
      </c>
    </row>
    <row r="118" spans="1:23" x14ac:dyDescent="0.3">
      <c r="A118" s="1" t="str">
        <f t="shared" si="16"/>
        <v>59825</v>
      </c>
      <c r="B118" s="1" t="s">
        <v>30</v>
      </c>
      <c r="C118" s="1" t="s">
        <v>31</v>
      </c>
      <c r="D118" s="1" t="str">
        <f t="shared" si="9"/>
        <v>9801</v>
      </c>
      <c r="E118" s="1" t="s">
        <v>25</v>
      </c>
      <c r="F118" s="1" t="str">
        <f>"32780D0344880400C834002000000015"</f>
        <v>32780D0344880400C834002000000015</v>
      </c>
      <c r="G118" s="1" t="s">
        <v>26</v>
      </c>
      <c r="H118" s="1" t="str">
        <f t="shared" si="14"/>
        <v>20220902</v>
      </c>
      <c r="I118" s="1" t="str">
        <f>"112909"</f>
        <v>112909</v>
      </c>
      <c r="J118" s="1" t="s">
        <v>44</v>
      </c>
      <c r="K118" s="1" t="s">
        <v>45</v>
      </c>
      <c r="L118" s="1" t="str">
        <f t="shared" si="15"/>
        <v>20220902</v>
      </c>
      <c r="M118" s="1" t="str">
        <f>"115318"</f>
        <v>115318</v>
      </c>
      <c r="N118" s="1" t="s">
        <v>95</v>
      </c>
      <c r="O118" s="1" t="s">
        <v>28</v>
      </c>
      <c r="P118" s="1" t="s">
        <v>68</v>
      </c>
      <c r="Q118" s="1">
        <v>13</v>
      </c>
      <c r="R118" s="1">
        <v>0</v>
      </c>
      <c r="S118" s="1">
        <v>0</v>
      </c>
      <c r="T118" s="1">
        <v>13</v>
      </c>
      <c r="U118" s="1">
        <v>0</v>
      </c>
      <c r="V118" s="1" t="str">
        <f t="shared" si="12"/>
        <v>里程返程</v>
      </c>
      <c r="W118" s="1" t="s">
        <v>29</v>
      </c>
    </row>
    <row r="119" spans="1:23" x14ac:dyDescent="0.3">
      <c r="A119" s="1" t="str">
        <f t="shared" si="16"/>
        <v>59825</v>
      </c>
      <c r="B119" s="1" t="s">
        <v>30</v>
      </c>
      <c r="C119" s="1" t="s">
        <v>31</v>
      </c>
      <c r="D119" s="1" t="str">
        <f t="shared" si="9"/>
        <v>9801</v>
      </c>
      <c r="E119" s="1" t="s">
        <v>25</v>
      </c>
      <c r="F119" s="1" t="str">
        <f>"E207D00035880400C801002000000015"</f>
        <v>E207D00035880400C801002000000015</v>
      </c>
      <c r="G119" s="1" t="s">
        <v>59</v>
      </c>
      <c r="H119" s="1" t="str">
        <f t="shared" si="14"/>
        <v>20220902</v>
      </c>
      <c r="I119" s="1" t="str">
        <f>"113348"</f>
        <v>113348</v>
      </c>
      <c r="J119" s="1" t="s">
        <v>44</v>
      </c>
      <c r="K119" s="1" t="s">
        <v>45</v>
      </c>
      <c r="L119" s="1" t="str">
        <f t="shared" si="15"/>
        <v>20220902</v>
      </c>
      <c r="M119" s="1" t="str">
        <f>"113838"</f>
        <v>113838</v>
      </c>
      <c r="N119" s="1" t="s">
        <v>91</v>
      </c>
      <c r="O119" s="1" t="s">
        <v>45</v>
      </c>
      <c r="P119" s="1" t="s">
        <v>55</v>
      </c>
      <c r="Q119" s="1">
        <v>25</v>
      </c>
      <c r="R119" s="1">
        <v>25</v>
      </c>
      <c r="S119" s="1">
        <v>0</v>
      </c>
      <c r="T119" s="1">
        <v>0</v>
      </c>
      <c r="U119" s="1">
        <v>0</v>
      </c>
      <c r="V119" s="1" t="str">
        <f t="shared" si="12"/>
        <v>里程返程</v>
      </c>
      <c r="W119" s="1" t="s">
        <v>29</v>
      </c>
    </row>
    <row r="120" spans="1:23" x14ac:dyDescent="0.3">
      <c r="A120" s="1" t="str">
        <f t="shared" si="16"/>
        <v>59825</v>
      </c>
      <c r="B120" s="1" t="s">
        <v>30</v>
      </c>
      <c r="C120" s="1" t="s">
        <v>31</v>
      </c>
      <c r="D120" s="1" t="str">
        <f t="shared" si="9"/>
        <v>9801</v>
      </c>
      <c r="E120" s="1" t="s">
        <v>25</v>
      </c>
      <c r="F120" s="1" t="str">
        <f>"1103034737"</f>
        <v>1103034737</v>
      </c>
      <c r="G120" s="1" t="s">
        <v>33</v>
      </c>
      <c r="H120" s="1" t="str">
        <f t="shared" si="14"/>
        <v>20220902</v>
      </c>
      <c r="I120" s="1" t="str">
        <f>"113351"</f>
        <v>113351</v>
      </c>
      <c r="J120" s="1" t="s">
        <v>44</v>
      </c>
      <c r="K120" s="1" t="s">
        <v>45</v>
      </c>
      <c r="L120" s="1" t="str">
        <f t="shared" si="15"/>
        <v>20220902</v>
      </c>
      <c r="M120" s="1" t="str">
        <f>"113843"</f>
        <v>113843</v>
      </c>
      <c r="N120" s="1" t="s">
        <v>91</v>
      </c>
      <c r="O120" s="1" t="s">
        <v>45</v>
      </c>
      <c r="P120" s="1" t="s">
        <v>55</v>
      </c>
      <c r="Q120" s="1">
        <v>25</v>
      </c>
      <c r="R120" s="1">
        <v>25</v>
      </c>
      <c r="S120" s="1">
        <v>0</v>
      </c>
      <c r="T120" s="1">
        <v>0</v>
      </c>
      <c r="U120" s="1">
        <v>0</v>
      </c>
      <c r="V120" s="1" t="str">
        <f t="shared" si="12"/>
        <v>里程返程</v>
      </c>
      <c r="W120" s="1" t="s">
        <v>35</v>
      </c>
    </row>
    <row r="121" spans="1:23" x14ac:dyDescent="0.3">
      <c r="A121" s="1" t="str">
        <f t="shared" si="16"/>
        <v>59825</v>
      </c>
      <c r="B121" s="1" t="s">
        <v>30</v>
      </c>
      <c r="C121" s="1" t="s">
        <v>31</v>
      </c>
      <c r="D121" s="1" t="str">
        <f t="shared" si="9"/>
        <v>9801</v>
      </c>
      <c r="E121" s="1" t="s">
        <v>25</v>
      </c>
      <c r="F121" s="1" t="str">
        <f>"82B8F802C0880400C834002000000015"</f>
        <v>82B8F802C0880400C834002000000015</v>
      </c>
      <c r="G121" s="1" t="s">
        <v>58</v>
      </c>
      <c r="H121" s="1" t="str">
        <f t="shared" si="14"/>
        <v>20220902</v>
      </c>
      <c r="I121" s="1" t="str">
        <f>"113354"</f>
        <v>113354</v>
      </c>
      <c r="J121" s="1" t="s">
        <v>44</v>
      </c>
      <c r="K121" s="1" t="s">
        <v>45</v>
      </c>
      <c r="L121" s="1" t="str">
        <f t="shared" si="15"/>
        <v>20220902</v>
      </c>
      <c r="M121" s="1" t="str">
        <f>"114616"</f>
        <v>114616</v>
      </c>
      <c r="N121" s="1" t="s">
        <v>45</v>
      </c>
      <c r="O121" s="1" t="s">
        <v>45</v>
      </c>
      <c r="P121" s="1" t="s">
        <v>55</v>
      </c>
      <c r="Q121" s="1">
        <v>25</v>
      </c>
      <c r="R121" s="1">
        <v>25</v>
      </c>
      <c r="S121" s="1">
        <v>0</v>
      </c>
      <c r="T121" s="1">
        <v>0</v>
      </c>
      <c r="U121" s="1">
        <v>0</v>
      </c>
      <c r="V121" s="1" t="str">
        <f t="shared" si="12"/>
        <v>里程返程</v>
      </c>
      <c r="W121" s="1" t="s">
        <v>29</v>
      </c>
    </row>
    <row r="122" spans="1:23" x14ac:dyDescent="0.3">
      <c r="A122" s="1" t="str">
        <f t="shared" si="16"/>
        <v>59825</v>
      </c>
      <c r="B122" s="1" t="s">
        <v>30</v>
      </c>
      <c r="C122" s="1" t="s">
        <v>31</v>
      </c>
      <c r="D122" s="1" t="str">
        <f t="shared" si="9"/>
        <v>9801</v>
      </c>
      <c r="E122" s="1" t="s">
        <v>25</v>
      </c>
      <c r="F122" s="1" t="str">
        <f>"02E43A13CF28040080CED9985D913018"</f>
        <v>02E43A13CF28040080CED9985D913018</v>
      </c>
      <c r="G122" s="1" t="s">
        <v>58</v>
      </c>
      <c r="H122" s="1" t="str">
        <f t="shared" si="14"/>
        <v>20220902</v>
      </c>
      <c r="I122" s="1" t="str">
        <f>"113356"</f>
        <v>113356</v>
      </c>
      <c r="J122" s="1" t="s">
        <v>44</v>
      </c>
      <c r="K122" s="1" t="s">
        <v>45</v>
      </c>
      <c r="L122" s="1" t="str">
        <f t="shared" si="15"/>
        <v>20220902</v>
      </c>
      <c r="M122" s="1" t="str">
        <f>"114614"</f>
        <v>114614</v>
      </c>
      <c r="N122" s="1" t="s">
        <v>45</v>
      </c>
      <c r="O122" s="1" t="s">
        <v>45</v>
      </c>
      <c r="P122" s="1" t="s">
        <v>55</v>
      </c>
      <c r="Q122" s="1">
        <v>25</v>
      </c>
      <c r="R122" s="1">
        <v>25</v>
      </c>
      <c r="S122" s="1">
        <v>0</v>
      </c>
      <c r="T122" s="1">
        <v>0</v>
      </c>
      <c r="U122" s="1">
        <v>0</v>
      </c>
      <c r="V122" s="1" t="str">
        <f t="shared" si="12"/>
        <v>里程返程</v>
      </c>
      <c r="W122" s="1" t="s">
        <v>29</v>
      </c>
    </row>
    <row r="123" spans="1:23" x14ac:dyDescent="0.3">
      <c r="A123" s="1" t="str">
        <f t="shared" si="16"/>
        <v>59825</v>
      </c>
      <c r="B123" s="1" t="s">
        <v>30</v>
      </c>
      <c r="C123" s="1" t="s">
        <v>31</v>
      </c>
      <c r="D123" s="1" t="str">
        <f t="shared" si="9"/>
        <v>9801</v>
      </c>
      <c r="E123" s="1" t="s">
        <v>25</v>
      </c>
      <c r="F123" s="1" t="str">
        <f>"A1533700C58804004324714D0008080E"</f>
        <v>A1533700C58804004324714D0008080E</v>
      </c>
      <c r="G123" s="1" t="s">
        <v>59</v>
      </c>
      <c r="H123" s="1" t="str">
        <f t="shared" ref="H123:H158" si="17">"20220902"</f>
        <v>20220902</v>
      </c>
      <c r="I123" s="1" t="str">
        <f>"113359"</f>
        <v>113359</v>
      </c>
      <c r="J123" s="1" t="s">
        <v>44</v>
      </c>
      <c r="K123" s="1" t="s">
        <v>45</v>
      </c>
      <c r="L123" s="1" t="str">
        <f t="shared" ref="L123:L158" si="18">"20220902"</f>
        <v>20220902</v>
      </c>
      <c r="M123" s="1" t="str">
        <f>"113841"</f>
        <v>113841</v>
      </c>
      <c r="N123" s="1" t="s">
        <v>91</v>
      </c>
      <c r="O123" s="1" t="s">
        <v>45</v>
      </c>
      <c r="P123" s="1" t="s">
        <v>55</v>
      </c>
      <c r="Q123" s="1">
        <v>25</v>
      </c>
      <c r="R123" s="1">
        <v>25</v>
      </c>
      <c r="S123" s="1">
        <v>0</v>
      </c>
      <c r="T123" s="1">
        <v>0</v>
      </c>
      <c r="U123" s="1">
        <v>0</v>
      </c>
      <c r="V123" s="1" t="str">
        <f t="shared" si="12"/>
        <v>里程返程</v>
      </c>
      <c r="W123" s="1" t="s">
        <v>29</v>
      </c>
    </row>
    <row r="124" spans="1:23" x14ac:dyDescent="0.3">
      <c r="A124" s="1" t="str">
        <f t="shared" si="16"/>
        <v>59825</v>
      </c>
      <c r="B124" s="1" t="s">
        <v>30</v>
      </c>
      <c r="C124" s="1" t="s">
        <v>31</v>
      </c>
      <c r="D124" s="1" t="str">
        <f t="shared" si="9"/>
        <v>9801</v>
      </c>
      <c r="E124" s="1" t="s">
        <v>25</v>
      </c>
      <c r="F124" s="1" t="str">
        <f>"E842C50E61880400488514D04D800613"</f>
        <v>E842C50E61880400488514D04D800613</v>
      </c>
      <c r="G124" s="1" t="s">
        <v>58</v>
      </c>
      <c r="H124" s="1" t="str">
        <f t="shared" si="17"/>
        <v>20220902</v>
      </c>
      <c r="I124" s="1" t="str">
        <f>"113402"</f>
        <v>113402</v>
      </c>
      <c r="J124" s="1" t="s">
        <v>44</v>
      </c>
      <c r="K124" s="1" t="s">
        <v>45</v>
      </c>
      <c r="L124" s="1" t="str">
        <f t="shared" si="18"/>
        <v>20220902</v>
      </c>
      <c r="M124" s="1" t="str">
        <f>"113835"</f>
        <v>113835</v>
      </c>
      <c r="N124" s="1" t="s">
        <v>91</v>
      </c>
      <c r="O124" s="1" t="s">
        <v>45</v>
      </c>
      <c r="P124" s="1" t="s">
        <v>55</v>
      </c>
      <c r="Q124" s="1">
        <v>25</v>
      </c>
      <c r="R124" s="1">
        <v>25</v>
      </c>
      <c r="S124" s="1">
        <v>0</v>
      </c>
      <c r="T124" s="1">
        <v>0</v>
      </c>
      <c r="U124" s="1">
        <v>0</v>
      </c>
      <c r="V124" s="1" t="str">
        <f t="shared" si="12"/>
        <v>里程返程</v>
      </c>
      <c r="W124" s="1" t="s">
        <v>29</v>
      </c>
    </row>
    <row r="125" spans="1:23" x14ac:dyDescent="0.3">
      <c r="A125" s="1" t="str">
        <f t="shared" si="16"/>
        <v>59825</v>
      </c>
      <c r="B125" s="1" t="s">
        <v>30</v>
      </c>
      <c r="C125" s="1" t="s">
        <v>31</v>
      </c>
      <c r="D125" s="1" t="str">
        <f t="shared" si="9"/>
        <v>9801</v>
      </c>
      <c r="E125" s="1" t="s">
        <v>25</v>
      </c>
      <c r="F125" s="1" t="str">
        <f>"566510797"</f>
        <v>566510797</v>
      </c>
      <c r="G125" s="1" t="s">
        <v>33</v>
      </c>
      <c r="H125" s="1" t="str">
        <f t="shared" si="17"/>
        <v>20220902</v>
      </c>
      <c r="I125" s="1" t="str">
        <f>"113551"</f>
        <v>113551</v>
      </c>
      <c r="J125" s="1" t="s">
        <v>100</v>
      </c>
      <c r="K125" s="1" t="s">
        <v>45</v>
      </c>
      <c r="L125" s="1" t="str">
        <f t="shared" si="18"/>
        <v>20220902</v>
      </c>
      <c r="M125" s="1" t="str">
        <f>"115456"</f>
        <v>115456</v>
      </c>
      <c r="N125" s="1" t="s">
        <v>28</v>
      </c>
      <c r="O125" s="1" t="s">
        <v>28</v>
      </c>
      <c r="P125" s="1" t="s">
        <v>55</v>
      </c>
      <c r="Q125" s="1">
        <v>25</v>
      </c>
      <c r="R125" s="1">
        <v>25</v>
      </c>
      <c r="S125" s="1">
        <v>0</v>
      </c>
      <c r="T125" s="1">
        <v>0</v>
      </c>
      <c r="U125" s="1">
        <v>0</v>
      </c>
      <c r="V125" s="1" t="str">
        <f t="shared" si="12"/>
        <v>里程返程</v>
      </c>
      <c r="W125" s="1" t="s">
        <v>35</v>
      </c>
    </row>
    <row r="126" spans="1:23" x14ac:dyDescent="0.3">
      <c r="A126" s="1" t="str">
        <f t="shared" si="16"/>
        <v>59825</v>
      </c>
      <c r="B126" s="1" t="s">
        <v>30</v>
      </c>
      <c r="C126" s="1" t="s">
        <v>31</v>
      </c>
      <c r="D126" s="1" t="str">
        <f t="shared" si="9"/>
        <v>9801</v>
      </c>
      <c r="E126" s="1" t="s">
        <v>25</v>
      </c>
      <c r="F126" s="1" t="str">
        <f>"1251E618BD880400C821002000000019"</f>
        <v>1251E618BD880400C821002000000019</v>
      </c>
      <c r="G126" s="1" t="s">
        <v>58</v>
      </c>
      <c r="H126" s="1" t="str">
        <f t="shared" si="17"/>
        <v>20220902</v>
      </c>
      <c r="I126" s="1" t="str">
        <f>"113850"</f>
        <v>113850</v>
      </c>
      <c r="J126" s="1" t="s">
        <v>91</v>
      </c>
      <c r="K126" s="1" t="s">
        <v>45</v>
      </c>
      <c r="L126" s="1" t="str">
        <f t="shared" si="18"/>
        <v>20220902</v>
      </c>
      <c r="M126" s="1" t="str">
        <f>"120415"</f>
        <v>120415</v>
      </c>
      <c r="N126" s="1" t="s">
        <v>83</v>
      </c>
      <c r="O126" s="1" t="s">
        <v>52</v>
      </c>
      <c r="P126" s="1" t="s">
        <v>55</v>
      </c>
      <c r="Q126" s="1">
        <v>50</v>
      </c>
      <c r="R126" s="1">
        <v>50</v>
      </c>
      <c r="S126" s="1">
        <v>0</v>
      </c>
      <c r="T126" s="1">
        <v>0</v>
      </c>
      <c r="U126" s="1">
        <v>0</v>
      </c>
      <c r="V126" s="1" t="str">
        <f t="shared" si="12"/>
        <v>里程返程</v>
      </c>
      <c r="W126" s="1" t="s">
        <v>29</v>
      </c>
    </row>
    <row r="127" spans="1:23" x14ac:dyDescent="0.3">
      <c r="A127" s="1" t="str">
        <f t="shared" si="16"/>
        <v>59825</v>
      </c>
      <c r="B127" s="1" t="s">
        <v>30</v>
      </c>
      <c r="C127" s="1" t="s">
        <v>31</v>
      </c>
      <c r="D127" s="1" t="str">
        <f t="shared" si="9"/>
        <v>9801</v>
      </c>
      <c r="E127" s="1" t="s">
        <v>25</v>
      </c>
      <c r="F127" s="1" t="str">
        <f>"1633695205"</f>
        <v>1633695205</v>
      </c>
      <c r="G127" s="1" t="s">
        <v>33</v>
      </c>
      <c r="H127" s="1" t="str">
        <f t="shared" si="17"/>
        <v>20220902</v>
      </c>
      <c r="I127" s="1" t="str">
        <f>"113853"</f>
        <v>113853</v>
      </c>
      <c r="J127" s="1" t="s">
        <v>91</v>
      </c>
      <c r="K127" s="1" t="s">
        <v>45</v>
      </c>
      <c r="L127" s="1" t="str">
        <f t="shared" si="18"/>
        <v>20220902</v>
      </c>
      <c r="M127" s="1" t="str">
        <f>"120425"</f>
        <v>120425</v>
      </c>
      <c r="N127" s="1" t="s">
        <v>83</v>
      </c>
      <c r="O127" s="1" t="s">
        <v>52</v>
      </c>
      <c r="P127" s="1" t="s">
        <v>55</v>
      </c>
      <c r="Q127" s="1">
        <v>50</v>
      </c>
      <c r="R127" s="1">
        <v>50</v>
      </c>
      <c r="S127" s="1">
        <v>0</v>
      </c>
      <c r="T127" s="1">
        <v>0</v>
      </c>
      <c r="U127" s="1">
        <v>0</v>
      </c>
      <c r="V127" s="1" t="str">
        <f t="shared" si="12"/>
        <v>里程返程</v>
      </c>
      <c r="W127" s="1" t="s">
        <v>35</v>
      </c>
    </row>
    <row r="128" spans="1:23" x14ac:dyDescent="0.3">
      <c r="A128" s="1" t="str">
        <f t="shared" si="16"/>
        <v>59825</v>
      </c>
      <c r="B128" s="1" t="s">
        <v>30</v>
      </c>
      <c r="C128" s="1" t="s">
        <v>31</v>
      </c>
      <c r="D128" s="1" t="str">
        <f t="shared" si="9"/>
        <v>9801</v>
      </c>
      <c r="E128" s="1" t="s">
        <v>25</v>
      </c>
      <c r="F128" s="1" t="str">
        <f>"E1687444B9280400F700000000000000"</f>
        <v>E1687444B9280400F700000000000000</v>
      </c>
      <c r="G128" s="1" t="s">
        <v>58</v>
      </c>
      <c r="H128" s="1" t="str">
        <f t="shared" si="17"/>
        <v>20220902</v>
      </c>
      <c r="I128" s="1" t="str">
        <f>"113859"</f>
        <v>113859</v>
      </c>
      <c r="J128" s="1" t="s">
        <v>91</v>
      </c>
      <c r="K128" s="1" t="s">
        <v>45</v>
      </c>
      <c r="L128" s="1" t="str">
        <f t="shared" si="18"/>
        <v>20220902</v>
      </c>
      <c r="M128" s="1" t="str">
        <f>"120442"</f>
        <v>120442</v>
      </c>
      <c r="N128" s="1" t="s">
        <v>83</v>
      </c>
      <c r="O128" s="1" t="s">
        <v>52</v>
      </c>
      <c r="P128" s="1" t="s">
        <v>55</v>
      </c>
      <c r="Q128" s="1">
        <v>50</v>
      </c>
      <c r="R128" s="1">
        <v>50</v>
      </c>
      <c r="S128" s="1">
        <v>0</v>
      </c>
      <c r="T128" s="1">
        <v>0</v>
      </c>
      <c r="U128" s="1">
        <v>0</v>
      </c>
      <c r="V128" s="1" t="str">
        <f t="shared" si="12"/>
        <v>里程返程</v>
      </c>
      <c r="W128" s="1" t="s">
        <v>29</v>
      </c>
    </row>
    <row r="129" spans="1:23" x14ac:dyDescent="0.3">
      <c r="A129" s="1" t="str">
        <f t="shared" si="16"/>
        <v>59825</v>
      </c>
      <c r="B129" s="1" t="s">
        <v>30</v>
      </c>
      <c r="C129" s="1" t="s">
        <v>31</v>
      </c>
      <c r="D129" s="1" t="str">
        <f t="shared" si="9"/>
        <v>9801</v>
      </c>
      <c r="E129" s="1" t="s">
        <v>25</v>
      </c>
      <c r="F129" s="1" t="str">
        <f>"F2F7D002D7880400C834002000000015"</f>
        <v>F2F7D002D7880400C834002000000015</v>
      </c>
      <c r="G129" s="1" t="s">
        <v>74</v>
      </c>
      <c r="H129" s="1" t="str">
        <f t="shared" si="17"/>
        <v>20220902</v>
      </c>
      <c r="I129" s="1" t="str">
        <f>"120651"</f>
        <v>120651</v>
      </c>
      <c r="J129" s="1" t="s">
        <v>67</v>
      </c>
      <c r="K129" s="1" t="s">
        <v>52</v>
      </c>
      <c r="L129" s="1" t="str">
        <f t="shared" si="18"/>
        <v>20220902</v>
      </c>
      <c r="M129" s="1" t="str">
        <f>"122153"</f>
        <v>122153</v>
      </c>
      <c r="N129" s="1" t="s">
        <v>51</v>
      </c>
      <c r="O129" s="1" t="s">
        <v>52</v>
      </c>
      <c r="P129" s="1" t="s">
        <v>68</v>
      </c>
      <c r="Q129" s="1">
        <v>13</v>
      </c>
      <c r="R129" s="1">
        <v>0</v>
      </c>
      <c r="S129" s="1">
        <v>0</v>
      </c>
      <c r="T129" s="1">
        <v>13</v>
      </c>
      <c r="U129" s="1">
        <v>0</v>
      </c>
      <c r="V129" s="1" t="str">
        <f t="shared" si="12"/>
        <v>里程返程</v>
      </c>
      <c r="W129" s="1" t="s">
        <v>29</v>
      </c>
    </row>
    <row r="130" spans="1:23" x14ac:dyDescent="0.3">
      <c r="A130" s="1" t="str">
        <f t="shared" si="16"/>
        <v>59825</v>
      </c>
      <c r="B130" s="1" t="s">
        <v>30</v>
      </c>
      <c r="C130" s="1" t="s">
        <v>31</v>
      </c>
      <c r="D130" s="1" t="str">
        <f t="shared" ref="D130:D193" si="19">"9801"</f>
        <v>9801</v>
      </c>
      <c r="E130" s="1" t="s">
        <v>25</v>
      </c>
      <c r="F130" s="1" t="str">
        <f>"205662177"</f>
        <v>205662177</v>
      </c>
      <c r="G130" s="1" t="s">
        <v>33</v>
      </c>
      <c r="H130" s="1" t="str">
        <f t="shared" si="17"/>
        <v>20220902</v>
      </c>
      <c r="I130" s="1" t="str">
        <f>"192413"</f>
        <v>192413</v>
      </c>
      <c r="J130" s="1" t="s">
        <v>28</v>
      </c>
      <c r="K130" s="1" t="s">
        <v>28</v>
      </c>
      <c r="L130" s="1" t="str">
        <f t="shared" si="18"/>
        <v>20220902</v>
      </c>
      <c r="M130" s="1" t="str">
        <f>"194308"</f>
        <v>194308</v>
      </c>
      <c r="N130" s="1" t="s">
        <v>65</v>
      </c>
      <c r="O130" s="1" t="s">
        <v>52</v>
      </c>
      <c r="P130" s="1" t="s">
        <v>55</v>
      </c>
      <c r="Q130" s="1">
        <v>25</v>
      </c>
      <c r="R130" s="1">
        <v>25</v>
      </c>
      <c r="S130" s="1">
        <v>0</v>
      </c>
      <c r="T130" s="1">
        <v>0</v>
      </c>
      <c r="U130" s="1">
        <v>0</v>
      </c>
      <c r="V130" s="1" t="str">
        <f t="shared" ref="V130:V193" si="20">"里程返程"</f>
        <v>里程返程</v>
      </c>
      <c r="W130" s="1" t="s">
        <v>35</v>
      </c>
    </row>
    <row r="131" spans="1:23" x14ac:dyDescent="0.3">
      <c r="A131" s="1" t="str">
        <f t="shared" si="16"/>
        <v>59825</v>
      </c>
      <c r="B131" s="1" t="s">
        <v>30</v>
      </c>
      <c r="C131" s="1" t="s">
        <v>31</v>
      </c>
      <c r="D131" s="1" t="str">
        <f t="shared" si="19"/>
        <v>9801</v>
      </c>
      <c r="E131" s="1" t="s">
        <v>25</v>
      </c>
      <c r="F131" s="1" t="str">
        <f>"3606748307"</f>
        <v>3606748307</v>
      </c>
      <c r="G131" s="1" t="s">
        <v>33</v>
      </c>
      <c r="H131" s="1" t="str">
        <f t="shared" si="17"/>
        <v>20220902</v>
      </c>
      <c r="I131" s="1" t="str">
        <f>"192420"</f>
        <v>192420</v>
      </c>
      <c r="J131" s="1" t="s">
        <v>28</v>
      </c>
      <c r="K131" s="1" t="s">
        <v>28</v>
      </c>
      <c r="L131" s="1" t="str">
        <f t="shared" si="18"/>
        <v>20220902</v>
      </c>
      <c r="M131" s="1" t="str">
        <f>"194852"</f>
        <v>194852</v>
      </c>
      <c r="N131" s="1" t="s">
        <v>60</v>
      </c>
      <c r="O131" s="1" t="s">
        <v>52</v>
      </c>
      <c r="P131" s="1" t="s">
        <v>55</v>
      </c>
      <c r="Q131" s="1">
        <v>25</v>
      </c>
      <c r="R131" s="1">
        <v>25</v>
      </c>
      <c r="S131" s="1">
        <v>0</v>
      </c>
      <c r="T131" s="1">
        <v>0</v>
      </c>
      <c r="U131" s="1">
        <v>0</v>
      </c>
      <c r="V131" s="1" t="str">
        <f t="shared" si="20"/>
        <v>里程返程</v>
      </c>
      <c r="W131" s="1" t="s">
        <v>35</v>
      </c>
    </row>
    <row r="132" spans="1:23" x14ac:dyDescent="0.3">
      <c r="A132" s="1" t="str">
        <f t="shared" ref="A132:A158" si="21">"59828"</f>
        <v>59828</v>
      </c>
      <c r="B132" s="1" t="s">
        <v>23</v>
      </c>
      <c r="C132" s="1" t="s">
        <v>24</v>
      </c>
      <c r="D132" s="1" t="str">
        <f t="shared" si="19"/>
        <v>9801</v>
      </c>
      <c r="E132" s="1" t="s">
        <v>25</v>
      </c>
      <c r="F132" s="1" t="str">
        <f>"B2A5D102C4880400C834002000000015"</f>
        <v>B2A5D102C4880400C834002000000015</v>
      </c>
      <c r="G132" s="1" t="s">
        <v>74</v>
      </c>
      <c r="H132" s="1" t="str">
        <f t="shared" si="17"/>
        <v>20220902</v>
      </c>
      <c r="I132" s="1" t="str">
        <f>"061749"</f>
        <v>061749</v>
      </c>
      <c r="J132" s="1" t="s">
        <v>61</v>
      </c>
      <c r="K132" s="1" t="s">
        <v>45</v>
      </c>
      <c r="L132" s="1" t="str">
        <f t="shared" si="18"/>
        <v>20220902</v>
      </c>
      <c r="M132" s="1" t="str">
        <f>"062702"</f>
        <v>062702</v>
      </c>
      <c r="N132" s="1" t="s">
        <v>28</v>
      </c>
      <c r="O132" s="1" t="s">
        <v>28</v>
      </c>
      <c r="P132" s="1" t="s">
        <v>68</v>
      </c>
      <c r="Q132" s="1">
        <v>13</v>
      </c>
      <c r="R132" s="1">
        <v>0</v>
      </c>
      <c r="S132" s="1">
        <v>0</v>
      </c>
      <c r="T132" s="1">
        <v>13</v>
      </c>
      <c r="U132" s="1">
        <v>0</v>
      </c>
      <c r="V132" s="1" t="str">
        <f t="shared" si="20"/>
        <v>里程返程</v>
      </c>
      <c r="W132" s="1" t="s">
        <v>29</v>
      </c>
    </row>
    <row r="133" spans="1:23" x14ac:dyDescent="0.3">
      <c r="A133" s="1" t="str">
        <f t="shared" si="21"/>
        <v>59828</v>
      </c>
      <c r="B133" s="1" t="s">
        <v>23</v>
      </c>
      <c r="C133" s="1" t="s">
        <v>24</v>
      </c>
      <c r="D133" s="1" t="str">
        <f t="shared" si="19"/>
        <v>9801</v>
      </c>
      <c r="E133" s="1" t="s">
        <v>25</v>
      </c>
      <c r="F133" s="1" t="str">
        <f>"E130C75F492804001C00000000000000"</f>
        <v>E130C75F492804001C00000000000000</v>
      </c>
      <c r="G133" s="1" t="s">
        <v>58</v>
      </c>
      <c r="H133" s="1" t="str">
        <f t="shared" si="17"/>
        <v>20220902</v>
      </c>
      <c r="I133" s="1" t="str">
        <f>"062153"</f>
        <v>062153</v>
      </c>
      <c r="J133" s="1" t="s">
        <v>79</v>
      </c>
      <c r="K133" s="1" t="s">
        <v>45</v>
      </c>
      <c r="L133" s="1" t="str">
        <f t="shared" si="18"/>
        <v>20220902</v>
      </c>
      <c r="M133" s="1" t="str">
        <f>"062715"</f>
        <v>062715</v>
      </c>
      <c r="N133" s="1" t="s">
        <v>28</v>
      </c>
      <c r="O133" s="1" t="s">
        <v>28</v>
      </c>
      <c r="P133" s="1" t="s">
        <v>55</v>
      </c>
      <c r="Q133" s="1">
        <v>25</v>
      </c>
      <c r="R133" s="1">
        <v>25</v>
      </c>
      <c r="S133" s="1">
        <v>0</v>
      </c>
      <c r="T133" s="1">
        <v>0</v>
      </c>
      <c r="U133" s="1">
        <v>0</v>
      </c>
      <c r="V133" s="1" t="str">
        <f t="shared" si="20"/>
        <v>里程返程</v>
      </c>
      <c r="W133" s="1" t="s">
        <v>29</v>
      </c>
    </row>
    <row r="134" spans="1:23" x14ac:dyDescent="0.3">
      <c r="A134" s="1" t="str">
        <f t="shared" si="21"/>
        <v>59828</v>
      </c>
      <c r="B134" s="1" t="s">
        <v>23</v>
      </c>
      <c r="C134" s="1" t="s">
        <v>24</v>
      </c>
      <c r="D134" s="1" t="str">
        <f t="shared" si="19"/>
        <v>9801</v>
      </c>
      <c r="E134" s="1" t="s">
        <v>25</v>
      </c>
      <c r="F134" s="1" t="str">
        <f>"1752749445"</f>
        <v>1752749445</v>
      </c>
      <c r="G134" s="1" t="s">
        <v>33</v>
      </c>
      <c r="H134" s="1" t="str">
        <f t="shared" si="17"/>
        <v>20220902</v>
      </c>
      <c r="I134" s="1" t="str">
        <f>"063052"</f>
        <v>063052</v>
      </c>
      <c r="J134" s="1" t="s">
        <v>28</v>
      </c>
      <c r="K134" s="1" t="s">
        <v>28</v>
      </c>
      <c r="L134" s="1" t="str">
        <f t="shared" si="18"/>
        <v>20220902</v>
      </c>
      <c r="M134" s="1" t="str">
        <f>"065253"</f>
        <v>065253</v>
      </c>
      <c r="N134" s="1" t="s">
        <v>72</v>
      </c>
      <c r="O134" s="1" t="s">
        <v>52</v>
      </c>
      <c r="P134" s="1" t="s">
        <v>55</v>
      </c>
      <c r="Q134" s="1">
        <v>25</v>
      </c>
      <c r="R134" s="1">
        <v>0</v>
      </c>
      <c r="S134" s="1">
        <v>25</v>
      </c>
      <c r="T134" s="1">
        <v>0</v>
      </c>
      <c r="U134" s="1">
        <v>0</v>
      </c>
      <c r="V134" s="1" t="str">
        <f t="shared" si="20"/>
        <v>里程返程</v>
      </c>
      <c r="W134" s="1" t="s">
        <v>35</v>
      </c>
    </row>
    <row r="135" spans="1:23" x14ac:dyDescent="0.3">
      <c r="A135" s="1" t="str">
        <f t="shared" si="21"/>
        <v>59828</v>
      </c>
      <c r="B135" s="1" t="s">
        <v>23</v>
      </c>
      <c r="C135" s="1" t="s">
        <v>24</v>
      </c>
      <c r="D135" s="1" t="str">
        <f t="shared" si="19"/>
        <v>9801</v>
      </c>
      <c r="E135" s="1" t="s">
        <v>25</v>
      </c>
      <c r="F135" s="1" t="str">
        <f>"619F1761882804001C00000000000000"</f>
        <v>619F1761882804001C00000000000000</v>
      </c>
      <c r="G135" s="1" t="s">
        <v>58</v>
      </c>
      <c r="H135" s="1" t="str">
        <f t="shared" si="17"/>
        <v>20220902</v>
      </c>
      <c r="I135" s="1" t="str">
        <f>"063103"</f>
        <v>063103</v>
      </c>
      <c r="J135" s="1" t="s">
        <v>28</v>
      </c>
      <c r="K135" s="1" t="s">
        <v>28</v>
      </c>
      <c r="L135" s="1" t="str">
        <f t="shared" si="18"/>
        <v>20220902</v>
      </c>
      <c r="M135" s="1" t="str">
        <f>"065249"</f>
        <v>065249</v>
      </c>
      <c r="N135" s="1" t="s">
        <v>72</v>
      </c>
      <c r="O135" s="1" t="s">
        <v>52</v>
      </c>
      <c r="P135" s="1" t="s">
        <v>55</v>
      </c>
      <c r="Q135" s="1">
        <v>25</v>
      </c>
      <c r="R135" s="1">
        <v>0</v>
      </c>
      <c r="S135" s="1">
        <v>25</v>
      </c>
      <c r="T135" s="1">
        <v>0</v>
      </c>
      <c r="U135" s="1">
        <v>0</v>
      </c>
      <c r="V135" s="1" t="str">
        <f t="shared" si="20"/>
        <v>里程返程</v>
      </c>
      <c r="W135" s="1" t="s">
        <v>29</v>
      </c>
    </row>
    <row r="136" spans="1:23" x14ac:dyDescent="0.3">
      <c r="A136" s="1" t="str">
        <f t="shared" si="21"/>
        <v>59828</v>
      </c>
      <c r="B136" s="1" t="s">
        <v>23</v>
      </c>
      <c r="C136" s="1" t="s">
        <v>24</v>
      </c>
      <c r="D136" s="1" t="str">
        <f t="shared" si="19"/>
        <v>9801</v>
      </c>
      <c r="E136" s="1" t="s">
        <v>25</v>
      </c>
      <c r="F136" s="1" t="str">
        <f>"E27D1D0381880400C834002000000015"</f>
        <v>E27D1D0381880400C834002000000015</v>
      </c>
      <c r="G136" s="1" t="s">
        <v>26</v>
      </c>
      <c r="H136" s="1" t="str">
        <f t="shared" si="17"/>
        <v>20220902</v>
      </c>
      <c r="I136" s="1" t="str">
        <f>"063114"</f>
        <v>063114</v>
      </c>
      <c r="J136" s="1" t="s">
        <v>28</v>
      </c>
      <c r="K136" s="1" t="s">
        <v>28</v>
      </c>
      <c r="L136" s="1" t="str">
        <f t="shared" si="18"/>
        <v>20220902</v>
      </c>
      <c r="M136" s="1" t="str">
        <f>"065147"</f>
        <v>065147</v>
      </c>
      <c r="N136" s="1" t="s">
        <v>65</v>
      </c>
      <c r="O136" s="1" t="s">
        <v>52</v>
      </c>
      <c r="P136" s="1" t="s">
        <v>68</v>
      </c>
      <c r="Q136" s="1">
        <v>13</v>
      </c>
      <c r="R136" s="1">
        <v>0</v>
      </c>
      <c r="S136" s="1">
        <v>0</v>
      </c>
      <c r="T136" s="1">
        <v>13</v>
      </c>
      <c r="U136" s="1">
        <v>0</v>
      </c>
      <c r="V136" s="1" t="str">
        <f t="shared" si="20"/>
        <v>里程返程</v>
      </c>
      <c r="W136" s="1" t="s">
        <v>29</v>
      </c>
    </row>
    <row r="137" spans="1:23" x14ac:dyDescent="0.3">
      <c r="A137" s="1" t="str">
        <f t="shared" si="21"/>
        <v>59828</v>
      </c>
      <c r="B137" s="1" t="s">
        <v>23</v>
      </c>
      <c r="C137" s="1" t="s">
        <v>24</v>
      </c>
      <c r="D137" s="1" t="str">
        <f t="shared" si="19"/>
        <v>9801</v>
      </c>
      <c r="E137" s="1" t="s">
        <v>25</v>
      </c>
      <c r="F137" s="1" t="str">
        <f>"1558861583"</f>
        <v>1558861583</v>
      </c>
      <c r="G137" s="1" t="s">
        <v>33</v>
      </c>
      <c r="H137" s="1" t="str">
        <f t="shared" si="17"/>
        <v>20220902</v>
      </c>
      <c r="I137" s="1" t="str">
        <f>"070727"</f>
        <v>070727</v>
      </c>
      <c r="J137" s="1" t="s">
        <v>75</v>
      </c>
      <c r="K137" s="1" t="s">
        <v>45</v>
      </c>
      <c r="L137" s="1" t="str">
        <f t="shared" si="18"/>
        <v>20220902</v>
      </c>
      <c r="M137" s="1" t="str">
        <f>"072154"</f>
        <v>072154</v>
      </c>
      <c r="N137" s="1" t="s">
        <v>28</v>
      </c>
      <c r="O137" s="1" t="s">
        <v>28</v>
      </c>
      <c r="P137" s="1" t="s">
        <v>55</v>
      </c>
      <c r="Q137" s="1">
        <v>25</v>
      </c>
      <c r="R137" s="1">
        <v>25</v>
      </c>
      <c r="S137" s="1">
        <v>0</v>
      </c>
      <c r="T137" s="1">
        <v>0</v>
      </c>
      <c r="U137" s="1">
        <v>0</v>
      </c>
      <c r="V137" s="1" t="str">
        <f t="shared" si="20"/>
        <v>里程返程</v>
      </c>
      <c r="W137" s="1" t="s">
        <v>35</v>
      </c>
    </row>
    <row r="138" spans="1:23" x14ac:dyDescent="0.3">
      <c r="A138" s="1" t="str">
        <f t="shared" si="21"/>
        <v>59828</v>
      </c>
      <c r="B138" s="1" t="s">
        <v>23</v>
      </c>
      <c r="C138" s="1" t="s">
        <v>24</v>
      </c>
      <c r="D138" s="1" t="str">
        <f t="shared" si="19"/>
        <v>9801</v>
      </c>
      <c r="E138" s="1" t="s">
        <v>25</v>
      </c>
      <c r="F138" s="1" t="str">
        <f>"1760414485"</f>
        <v>1760414485</v>
      </c>
      <c r="G138" s="1" t="s">
        <v>33</v>
      </c>
      <c r="H138" s="1" t="str">
        <f t="shared" si="17"/>
        <v>20220902</v>
      </c>
      <c r="I138" s="1" t="str">
        <f>"070729"</f>
        <v>070729</v>
      </c>
      <c r="J138" s="1" t="s">
        <v>75</v>
      </c>
      <c r="K138" s="1" t="s">
        <v>45</v>
      </c>
      <c r="L138" s="1" t="str">
        <f t="shared" si="18"/>
        <v>20220902</v>
      </c>
      <c r="M138" s="1" t="str">
        <f>"072151"</f>
        <v>072151</v>
      </c>
      <c r="N138" s="1" t="s">
        <v>28</v>
      </c>
      <c r="O138" s="1" t="s">
        <v>28</v>
      </c>
      <c r="P138" s="1" t="s">
        <v>55</v>
      </c>
      <c r="Q138" s="1">
        <v>25</v>
      </c>
      <c r="R138" s="1">
        <v>25</v>
      </c>
      <c r="S138" s="1">
        <v>0</v>
      </c>
      <c r="T138" s="1">
        <v>0</v>
      </c>
      <c r="U138" s="1">
        <v>0</v>
      </c>
      <c r="V138" s="1" t="str">
        <f t="shared" si="20"/>
        <v>里程返程</v>
      </c>
      <c r="W138" s="1" t="s">
        <v>35</v>
      </c>
    </row>
    <row r="139" spans="1:23" x14ac:dyDescent="0.3">
      <c r="A139" s="1" t="str">
        <f t="shared" si="21"/>
        <v>59828</v>
      </c>
      <c r="B139" s="1" t="s">
        <v>23</v>
      </c>
      <c r="C139" s="1" t="s">
        <v>24</v>
      </c>
      <c r="D139" s="1" t="str">
        <f t="shared" si="19"/>
        <v>9801</v>
      </c>
      <c r="E139" s="1" t="s">
        <v>25</v>
      </c>
      <c r="F139" s="1" t="str">
        <f>"1121254629"</f>
        <v>1121254629</v>
      </c>
      <c r="G139" s="1" t="s">
        <v>33</v>
      </c>
      <c r="H139" s="1" t="str">
        <f t="shared" si="17"/>
        <v>20220902</v>
      </c>
      <c r="I139" s="1" t="str">
        <f>"070732"</f>
        <v>070732</v>
      </c>
      <c r="J139" s="1" t="s">
        <v>75</v>
      </c>
      <c r="K139" s="1" t="s">
        <v>45</v>
      </c>
      <c r="L139" s="1" t="str">
        <f t="shared" si="18"/>
        <v>20220902</v>
      </c>
      <c r="M139" s="1" t="str">
        <f>"072144"</f>
        <v>072144</v>
      </c>
      <c r="N139" s="1" t="s">
        <v>28</v>
      </c>
      <c r="O139" s="1" t="s">
        <v>28</v>
      </c>
      <c r="P139" s="1" t="s">
        <v>55</v>
      </c>
      <c r="Q139" s="1">
        <v>25</v>
      </c>
      <c r="R139" s="1">
        <v>25</v>
      </c>
      <c r="S139" s="1">
        <v>0</v>
      </c>
      <c r="T139" s="1">
        <v>0</v>
      </c>
      <c r="U139" s="1">
        <v>0</v>
      </c>
      <c r="V139" s="1" t="str">
        <f t="shared" si="20"/>
        <v>里程返程</v>
      </c>
      <c r="W139" s="1" t="s">
        <v>35</v>
      </c>
    </row>
    <row r="140" spans="1:23" x14ac:dyDescent="0.3">
      <c r="A140" s="1" t="str">
        <f t="shared" si="21"/>
        <v>59828</v>
      </c>
      <c r="B140" s="1" t="s">
        <v>23</v>
      </c>
      <c r="C140" s="1" t="s">
        <v>24</v>
      </c>
      <c r="D140" s="1" t="str">
        <f t="shared" si="19"/>
        <v>9801</v>
      </c>
      <c r="E140" s="1" t="s">
        <v>25</v>
      </c>
      <c r="F140" s="1" t="str">
        <f>"92BE6D1352880400C831002000000018"</f>
        <v>92BE6D1352880400C831002000000018</v>
      </c>
      <c r="G140" s="1" t="s">
        <v>59</v>
      </c>
      <c r="H140" s="1" t="str">
        <f t="shared" si="17"/>
        <v>20220902</v>
      </c>
      <c r="I140" s="1" t="str">
        <f>"070751"</f>
        <v>070751</v>
      </c>
      <c r="J140" s="1" t="s">
        <v>75</v>
      </c>
      <c r="K140" s="1" t="s">
        <v>45</v>
      </c>
      <c r="L140" s="1" t="str">
        <f t="shared" si="18"/>
        <v>20220902</v>
      </c>
      <c r="M140" s="1" t="str">
        <f>"072140"</f>
        <v>072140</v>
      </c>
      <c r="N140" s="1" t="s">
        <v>28</v>
      </c>
      <c r="O140" s="1" t="s">
        <v>28</v>
      </c>
      <c r="P140" s="1" t="s">
        <v>55</v>
      </c>
      <c r="Q140" s="1">
        <v>25</v>
      </c>
      <c r="R140" s="1">
        <v>25</v>
      </c>
      <c r="S140" s="1">
        <v>0</v>
      </c>
      <c r="T140" s="1">
        <v>0</v>
      </c>
      <c r="U140" s="1">
        <v>0</v>
      </c>
      <c r="V140" s="1" t="str">
        <f t="shared" si="20"/>
        <v>里程返程</v>
      </c>
      <c r="W140" s="1" t="s">
        <v>29</v>
      </c>
    </row>
    <row r="141" spans="1:23" x14ac:dyDescent="0.3">
      <c r="A141" s="1" t="str">
        <f t="shared" si="21"/>
        <v>59828</v>
      </c>
      <c r="B141" s="1" t="s">
        <v>23</v>
      </c>
      <c r="C141" s="1" t="s">
        <v>24</v>
      </c>
      <c r="D141" s="1" t="str">
        <f t="shared" si="19"/>
        <v>9801</v>
      </c>
      <c r="E141" s="1" t="s">
        <v>25</v>
      </c>
      <c r="F141" s="1" t="str">
        <f>"D257BD023A880400C834002000000015"</f>
        <v>D257BD023A880400C834002000000015</v>
      </c>
      <c r="G141" s="1" t="s">
        <v>74</v>
      </c>
      <c r="H141" s="1" t="str">
        <f t="shared" si="17"/>
        <v>20220902</v>
      </c>
      <c r="I141" s="1" t="str">
        <f>"072159"</f>
        <v>072159</v>
      </c>
      <c r="J141" s="1" t="s">
        <v>28</v>
      </c>
      <c r="K141" s="1" t="s">
        <v>28</v>
      </c>
      <c r="L141" s="1" t="str">
        <f t="shared" si="18"/>
        <v>20220902</v>
      </c>
      <c r="M141" s="1" t="str">
        <f>"073348"</f>
        <v>073348</v>
      </c>
      <c r="N141" s="1" t="s">
        <v>67</v>
      </c>
      <c r="O141" s="1" t="s">
        <v>52</v>
      </c>
      <c r="P141" s="1" t="s">
        <v>68</v>
      </c>
      <c r="Q141" s="1">
        <v>13</v>
      </c>
      <c r="R141" s="1">
        <v>0</v>
      </c>
      <c r="S141" s="1">
        <v>0</v>
      </c>
      <c r="T141" s="1">
        <v>13</v>
      </c>
      <c r="U141" s="1">
        <v>0</v>
      </c>
      <c r="V141" s="1" t="str">
        <f t="shared" si="20"/>
        <v>里程返程</v>
      </c>
      <c r="W141" s="1" t="s">
        <v>29</v>
      </c>
    </row>
    <row r="142" spans="1:23" x14ac:dyDescent="0.3">
      <c r="A142" s="1" t="str">
        <f t="shared" si="21"/>
        <v>59828</v>
      </c>
      <c r="B142" s="1" t="s">
        <v>23</v>
      </c>
      <c r="C142" s="1" t="s">
        <v>24</v>
      </c>
      <c r="D142" s="1" t="str">
        <f t="shared" si="19"/>
        <v>9801</v>
      </c>
      <c r="E142" s="1" t="s">
        <v>25</v>
      </c>
      <c r="F142" s="1" t="str">
        <f>"F282E40195880400C821002000000015"</f>
        <v>F282E40195880400C821002000000015</v>
      </c>
      <c r="G142" s="1" t="s">
        <v>58</v>
      </c>
      <c r="H142" s="1" t="str">
        <f t="shared" si="17"/>
        <v>20220902</v>
      </c>
      <c r="I142" s="1" t="str">
        <f>"072203"</f>
        <v>072203</v>
      </c>
      <c r="J142" s="1" t="s">
        <v>28</v>
      </c>
      <c r="K142" s="1" t="s">
        <v>28</v>
      </c>
      <c r="L142" s="1" t="str">
        <f t="shared" si="18"/>
        <v>20220902</v>
      </c>
      <c r="M142" s="1" t="str">
        <f>"074751"</f>
        <v>074751</v>
      </c>
      <c r="N142" s="1" t="s">
        <v>65</v>
      </c>
      <c r="O142" s="1" t="s">
        <v>52</v>
      </c>
      <c r="P142" s="1" t="s">
        <v>55</v>
      </c>
      <c r="Q142" s="1">
        <v>25</v>
      </c>
      <c r="R142" s="1">
        <v>0</v>
      </c>
      <c r="S142" s="1">
        <v>25</v>
      </c>
      <c r="T142" s="1">
        <v>0</v>
      </c>
      <c r="U142" s="1">
        <v>0</v>
      </c>
      <c r="V142" s="1" t="str">
        <f t="shared" si="20"/>
        <v>里程返程</v>
      </c>
      <c r="W142" s="1" t="s">
        <v>29</v>
      </c>
    </row>
    <row r="143" spans="1:23" x14ac:dyDescent="0.3">
      <c r="A143" s="1" t="str">
        <f t="shared" si="21"/>
        <v>59828</v>
      </c>
      <c r="B143" s="1" t="s">
        <v>23</v>
      </c>
      <c r="C143" s="1" t="s">
        <v>24</v>
      </c>
      <c r="D143" s="1" t="str">
        <f t="shared" si="19"/>
        <v>9801</v>
      </c>
      <c r="E143" s="1" t="s">
        <v>25</v>
      </c>
      <c r="F143" s="1" t="str">
        <f>"62F00B1881880400C814002000000019"</f>
        <v>62F00B1881880400C814002000000019</v>
      </c>
      <c r="G143" s="1" t="s">
        <v>59</v>
      </c>
      <c r="H143" s="1" t="str">
        <f t="shared" si="17"/>
        <v>20220902</v>
      </c>
      <c r="I143" s="1" t="str">
        <f>"072207"</f>
        <v>072207</v>
      </c>
      <c r="J143" s="1" t="s">
        <v>28</v>
      </c>
      <c r="K143" s="1" t="s">
        <v>28</v>
      </c>
      <c r="L143" s="1" t="str">
        <f t="shared" si="18"/>
        <v>20220902</v>
      </c>
      <c r="M143" s="1" t="str">
        <f>"074858"</f>
        <v>074858</v>
      </c>
      <c r="N143" s="1" t="s">
        <v>72</v>
      </c>
      <c r="O143" s="1" t="s">
        <v>52</v>
      </c>
      <c r="P143" s="1" t="s">
        <v>55</v>
      </c>
      <c r="Q143" s="1">
        <v>25</v>
      </c>
      <c r="R143" s="1">
        <v>0</v>
      </c>
      <c r="S143" s="1">
        <v>25</v>
      </c>
      <c r="T143" s="1">
        <v>0</v>
      </c>
      <c r="U143" s="1">
        <v>0</v>
      </c>
      <c r="V143" s="1" t="str">
        <f t="shared" si="20"/>
        <v>里程返程</v>
      </c>
      <c r="W143" s="1" t="s">
        <v>29</v>
      </c>
    </row>
    <row r="144" spans="1:23" x14ac:dyDescent="0.3">
      <c r="A144" s="1" t="str">
        <f t="shared" si="21"/>
        <v>59828</v>
      </c>
      <c r="B144" s="1" t="s">
        <v>23</v>
      </c>
      <c r="C144" s="1" t="s">
        <v>24</v>
      </c>
      <c r="D144" s="1" t="str">
        <f t="shared" si="19"/>
        <v>9801</v>
      </c>
      <c r="E144" s="1" t="s">
        <v>25</v>
      </c>
      <c r="F144" s="1" t="str">
        <f>"82730F18E6880400C814002000000019"</f>
        <v>82730F18E6880400C814002000000019</v>
      </c>
      <c r="G144" s="1" t="s">
        <v>59</v>
      </c>
      <c r="H144" s="1" t="str">
        <f t="shared" si="17"/>
        <v>20220902</v>
      </c>
      <c r="I144" s="1" t="str">
        <f>"072211"</f>
        <v>072211</v>
      </c>
      <c r="J144" s="1" t="s">
        <v>28</v>
      </c>
      <c r="K144" s="1" t="s">
        <v>28</v>
      </c>
      <c r="L144" s="1" t="str">
        <f t="shared" si="18"/>
        <v>20220902</v>
      </c>
      <c r="M144" s="1" t="str">
        <f>"074856"</f>
        <v>074856</v>
      </c>
      <c r="N144" s="1" t="s">
        <v>72</v>
      </c>
      <c r="O144" s="1" t="s">
        <v>52</v>
      </c>
      <c r="P144" s="1" t="s">
        <v>55</v>
      </c>
      <c r="Q144" s="1">
        <v>25</v>
      </c>
      <c r="R144" s="1">
        <v>0</v>
      </c>
      <c r="S144" s="1">
        <v>25</v>
      </c>
      <c r="T144" s="1">
        <v>0</v>
      </c>
      <c r="U144" s="1">
        <v>0</v>
      </c>
      <c r="V144" s="1" t="str">
        <f t="shared" si="20"/>
        <v>里程返程</v>
      </c>
      <c r="W144" s="1" t="s">
        <v>29</v>
      </c>
    </row>
    <row r="145" spans="1:23" x14ac:dyDescent="0.3">
      <c r="A145" s="1" t="str">
        <f t="shared" si="21"/>
        <v>59828</v>
      </c>
      <c r="B145" s="1" t="s">
        <v>23</v>
      </c>
      <c r="C145" s="1" t="s">
        <v>24</v>
      </c>
      <c r="D145" s="1" t="str">
        <f t="shared" si="19"/>
        <v>9801</v>
      </c>
      <c r="E145" s="1" t="s">
        <v>25</v>
      </c>
      <c r="F145" s="1" t="str">
        <f>"879807136"</f>
        <v>879807136</v>
      </c>
      <c r="G145" s="1" t="s">
        <v>33</v>
      </c>
      <c r="H145" s="1" t="str">
        <f t="shared" si="17"/>
        <v>20220902</v>
      </c>
      <c r="I145" s="1" t="str">
        <f>"125119"</f>
        <v>125119</v>
      </c>
      <c r="J145" s="1" t="s">
        <v>28</v>
      </c>
      <c r="K145" s="1" t="s">
        <v>28</v>
      </c>
      <c r="L145" s="1" t="str">
        <f t="shared" si="18"/>
        <v>20220902</v>
      </c>
      <c r="M145" s="1" t="str">
        <f>"130635"</f>
        <v>130635</v>
      </c>
      <c r="N145" s="1" t="s">
        <v>67</v>
      </c>
      <c r="O145" s="1" t="s">
        <v>52</v>
      </c>
      <c r="P145" s="1" t="s">
        <v>55</v>
      </c>
      <c r="Q145" s="1">
        <v>25</v>
      </c>
      <c r="R145" s="1">
        <v>25</v>
      </c>
      <c r="S145" s="1">
        <v>0</v>
      </c>
      <c r="T145" s="1">
        <v>0</v>
      </c>
      <c r="U145" s="1">
        <v>0</v>
      </c>
      <c r="V145" s="1" t="str">
        <f t="shared" si="20"/>
        <v>里程返程</v>
      </c>
      <c r="W145" s="1" t="s">
        <v>35</v>
      </c>
    </row>
    <row r="146" spans="1:23" x14ac:dyDescent="0.3">
      <c r="A146" s="1" t="str">
        <f t="shared" si="21"/>
        <v>59828</v>
      </c>
      <c r="B146" s="1" t="s">
        <v>23</v>
      </c>
      <c r="C146" s="1" t="s">
        <v>24</v>
      </c>
      <c r="D146" s="1" t="str">
        <f t="shared" si="19"/>
        <v>9801</v>
      </c>
      <c r="E146" s="1" t="s">
        <v>25</v>
      </c>
      <c r="F146" s="1" t="str">
        <f>"41AE265D948804004325C3F900090C0F"</f>
        <v>41AE265D948804004325C3F900090C0F</v>
      </c>
      <c r="G146" s="1" t="s">
        <v>26</v>
      </c>
      <c r="H146" s="1" t="str">
        <f t="shared" si="17"/>
        <v>20220902</v>
      </c>
      <c r="I146" s="1" t="str">
        <f>"125126"</f>
        <v>125126</v>
      </c>
      <c r="J146" s="1" t="s">
        <v>28</v>
      </c>
      <c r="K146" s="1" t="s">
        <v>28</v>
      </c>
      <c r="L146" s="1" t="str">
        <f t="shared" si="18"/>
        <v>20220902</v>
      </c>
      <c r="M146" s="1" t="str">
        <f>"132524"</f>
        <v>132524</v>
      </c>
      <c r="N146" s="1" t="s">
        <v>52</v>
      </c>
      <c r="O146" s="1" t="s">
        <v>52</v>
      </c>
      <c r="P146" s="1" t="s">
        <v>55</v>
      </c>
      <c r="Q146" s="1">
        <v>13</v>
      </c>
      <c r="R146" s="1">
        <v>13</v>
      </c>
      <c r="S146" s="1">
        <v>0</v>
      </c>
      <c r="T146" s="1">
        <v>0</v>
      </c>
      <c r="U146" s="1">
        <v>0</v>
      </c>
      <c r="V146" s="1" t="str">
        <f t="shared" si="20"/>
        <v>里程返程</v>
      </c>
      <c r="W146" s="1" t="s">
        <v>29</v>
      </c>
    </row>
    <row r="147" spans="1:23" x14ac:dyDescent="0.3">
      <c r="A147" s="1" t="str">
        <f t="shared" si="21"/>
        <v>59828</v>
      </c>
      <c r="B147" s="1" t="s">
        <v>23</v>
      </c>
      <c r="C147" s="1" t="s">
        <v>24</v>
      </c>
      <c r="D147" s="1" t="str">
        <f t="shared" si="19"/>
        <v>9801</v>
      </c>
      <c r="E147" s="1" t="s">
        <v>25</v>
      </c>
      <c r="F147" s="1" t="str">
        <f>"82B8F802C0880400C834002000000015"</f>
        <v>82B8F802C0880400C834002000000015</v>
      </c>
      <c r="G147" s="1" t="s">
        <v>58</v>
      </c>
      <c r="H147" s="1" t="str">
        <f t="shared" si="17"/>
        <v>20220902</v>
      </c>
      <c r="I147" s="1" t="str">
        <f>"125212"</f>
        <v>125212</v>
      </c>
      <c r="J147" s="1" t="s">
        <v>28</v>
      </c>
      <c r="K147" s="1" t="s">
        <v>28</v>
      </c>
      <c r="L147" s="1" t="str">
        <f t="shared" si="18"/>
        <v>20220902</v>
      </c>
      <c r="M147" s="1" t="str">
        <f>"130753"</f>
        <v>130753</v>
      </c>
      <c r="N147" s="1" t="s">
        <v>78</v>
      </c>
      <c r="O147" s="1" t="s">
        <v>52</v>
      </c>
      <c r="P147" s="1" t="s">
        <v>55</v>
      </c>
      <c r="Q147" s="1">
        <v>25</v>
      </c>
      <c r="R147" s="1">
        <v>0</v>
      </c>
      <c r="S147" s="1">
        <v>25</v>
      </c>
      <c r="T147" s="1">
        <v>0</v>
      </c>
      <c r="U147" s="1">
        <v>0</v>
      </c>
      <c r="V147" s="1" t="str">
        <f t="shared" si="20"/>
        <v>里程返程</v>
      </c>
      <c r="W147" s="1" t="s">
        <v>29</v>
      </c>
    </row>
    <row r="148" spans="1:23" x14ac:dyDescent="0.3">
      <c r="A148" s="1" t="str">
        <f t="shared" si="21"/>
        <v>59828</v>
      </c>
      <c r="B148" s="1" t="s">
        <v>23</v>
      </c>
      <c r="C148" s="1" t="s">
        <v>24</v>
      </c>
      <c r="D148" s="1" t="str">
        <f t="shared" si="19"/>
        <v>9801</v>
      </c>
      <c r="E148" s="1" t="s">
        <v>25</v>
      </c>
      <c r="F148" s="1" t="str">
        <f>"02E43A13CF28040080CED9985D913018"</f>
        <v>02E43A13CF28040080CED9985D913018</v>
      </c>
      <c r="G148" s="1" t="s">
        <v>58</v>
      </c>
      <c r="H148" s="1" t="str">
        <f t="shared" si="17"/>
        <v>20220902</v>
      </c>
      <c r="I148" s="1" t="str">
        <f>"125218"</f>
        <v>125218</v>
      </c>
      <c r="J148" s="1" t="s">
        <v>28</v>
      </c>
      <c r="K148" s="1" t="s">
        <v>28</v>
      </c>
      <c r="L148" s="1" t="str">
        <f t="shared" si="18"/>
        <v>20220902</v>
      </c>
      <c r="M148" s="1" t="str">
        <f>"130756"</f>
        <v>130756</v>
      </c>
      <c r="N148" s="1" t="s">
        <v>78</v>
      </c>
      <c r="O148" s="1" t="s">
        <v>52</v>
      </c>
      <c r="P148" s="1" t="s">
        <v>55</v>
      </c>
      <c r="Q148" s="1">
        <v>25</v>
      </c>
      <c r="R148" s="1">
        <v>0</v>
      </c>
      <c r="S148" s="1">
        <v>25</v>
      </c>
      <c r="T148" s="1">
        <v>0</v>
      </c>
      <c r="U148" s="1">
        <v>0</v>
      </c>
      <c r="V148" s="1" t="str">
        <f t="shared" si="20"/>
        <v>里程返程</v>
      </c>
      <c r="W148" s="1" t="s">
        <v>29</v>
      </c>
    </row>
    <row r="149" spans="1:23" x14ac:dyDescent="0.3">
      <c r="A149" s="1" t="str">
        <f t="shared" si="21"/>
        <v>59828</v>
      </c>
      <c r="B149" s="1" t="s">
        <v>23</v>
      </c>
      <c r="C149" s="1" t="s">
        <v>24</v>
      </c>
      <c r="D149" s="1" t="str">
        <f t="shared" si="19"/>
        <v>9801</v>
      </c>
      <c r="E149" s="1" t="s">
        <v>25</v>
      </c>
      <c r="F149" s="1" t="str">
        <f>"89946705"</f>
        <v>89946705</v>
      </c>
      <c r="G149" s="1" t="s">
        <v>33</v>
      </c>
      <c r="H149" s="1" t="str">
        <f t="shared" si="17"/>
        <v>20220902</v>
      </c>
      <c r="I149" s="1" t="str">
        <f>"125245"</f>
        <v>125245</v>
      </c>
      <c r="J149" s="1" t="s">
        <v>28</v>
      </c>
      <c r="K149" s="1" t="s">
        <v>28</v>
      </c>
      <c r="L149" s="1" t="str">
        <f t="shared" si="18"/>
        <v>20220902</v>
      </c>
      <c r="M149" s="1" t="str">
        <f>"132527"</f>
        <v>132527</v>
      </c>
      <c r="N149" s="1" t="s">
        <v>52</v>
      </c>
      <c r="O149" s="1" t="s">
        <v>52</v>
      </c>
      <c r="P149" s="1" t="s">
        <v>55</v>
      </c>
      <c r="Q149" s="1">
        <v>25</v>
      </c>
      <c r="R149" s="1">
        <v>25</v>
      </c>
      <c r="S149" s="1">
        <v>0</v>
      </c>
      <c r="T149" s="1">
        <v>0</v>
      </c>
      <c r="U149" s="1">
        <v>0</v>
      </c>
      <c r="V149" s="1" t="str">
        <f t="shared" si="20"/>
        <v>里程返程</v>
      </c>
      <c r="W149" s="1" t="s">
        <v>35</v>
      </c>
    </row>
    <row r="150" spans="1:23" x14ac:dyDescent="0.3">
      <c r="A150" s="1" t="str">
        <f t="shared" si="21"/>
        <v>59828</v>
      </c>
      <c r="B150" s="1" t="s">
        <v>23</v>
      </c>
      <c r="C150" s="1" t="s">
        <v>24</v>
      </c>
      <c r="D150" s="1" t="str">
        <f t="shared" si="19"/>
        <v>9801</v>
      </c>
      <c r="E150" s="1" t="s">
        <v>25</v>
      </c>
      <c r="F150" s="1" t="str">
        <f>"E220D10211880400C834002000000015"</f>
        <v>E220D10211880400C834002000000015</v>
      </c>
      <c r="G150" s="1" t="s">
        <v>74</v>
      </c>
      <c r="H150" s="1" t="str">
        <f t="shared" si="17"/>
        <v>20220902</v>
      </c>
      <c r="I150" s="1" t="str">
        <f>"131449"</f>
        <v>131449</v>
      </c>
      <c r="J150" s="1" t="s">
        <v>97</v>
      </c>
      <c r="K150" s="1" t="s">
        <v>52</v>
      </c>
      <c r="L150" s="1" t="str">
        <f t="shared" si="18"/>
        <v>20220902</v>
      </c>
      <c r="M150" s="1" t="str">
        <f>"131644"</f>
        <v>131644</v>
      </c>
      <c r="N150" s="1" t="s">
        <v>65</v>
      </c>
      <c r="O150" s="1" t="s">
        <v>52</v>
      </c>
      <c r="P150" s="1" t="s">
        <v>68</v>
      </c>
      <c r="Q150" s="1">
        <v>13</v>
      </c>
      <c r="R150" s="1">
        <v>0</v>
      </c>
      <c r="S150" s="1">
        <v>0</v>
      </c>
      <c r="T150" s="1">
        <v>13</v>
      </c>
      <c r="U150" s="1">
        <v>0</v>
      </c>
      <c r="V150" s="1" t="str">
        <f t="shared" si="20"/>
        <v>里程返程</v>
      </c>
      <c r="W150" s="1" t="s">
        <v>29</v>
      </c>
    </row>
    <row r="151" spans="1:23" x14ac:dyDescent="0.3">
      <c r="A151" s="1" t="str">
        <f t="shared" si="21"/>
        <v>59828</v>
      </c>
      <c r="B151" s="1" t="s">
        <v>23</v>
      </c>
      <c r="C151" s="1" t="s">
        <v>24</v>
      </c>
      <c r="D151" s="1" t="str">
        <f t="shared" si="19"/>
        <v>9801</v>
      </c>
      <c r="E151" s="1" t="s">
        <v>25</v>
      </c>
      <c r="F151" s="1" t="str">
        <f>"2651777679"</f>
        <v>2651777679</v>
      </c>
      <c r="G151" s="1" t="s">
        <v>33</v>
      </c>
      <c r="H151" s="1" t="str">
        <f t="shared" si="17"/>
        <v>20220902</v>
      </c>
      <c r="I151" s="1" t="str">
        <f>"142934"</f>
        <v>142934</v>
      </c>
      <c r="J151" s="1" t="s">
        <v>44</v>
      </c>
      <c r="K151" s="1" t="s">
        <v>45</v>
      </c>
      <c r="L151" s="1" t="str">
        <f t="shared" si="18"/>
        <v>20220902</v>
      </c>
      <c r="M151" s="1" t="str">
        <f>"145108"</f>
        <v>145108</v>
      </c>
      <c r="N151" s="1" t="s">
        <v>28</v>
      </c>
      <c r="O151" s="1" t="s">
        <v>28</v>
      </c>
      <c r="P151" s="1" t="s">
        <v>55</v>
      </c>
      <c r="Q151" s="1">
        <v>25</v>
      </c>
      <c r="R151" s="1">
        <v>25</v>
      </c>
      <c r="S151" s="1">
        <v>0</v>
      </c>
      <c r="T151" s="1">
        <v>0</v>
      </c>
      <c r="U151" s="1">
        <v>0</v>
      </c>
      <c r="V151" s="1" t="str">
        <f t="shared" si="20"/>
        <v>里程返程</v>
      </c>
      <c r="W151" s="1" t="s">
        <v>35</v>
      </c>
    </row>
    <row r="152" spans="1:23" x14ac:dyDescent="0.3">
      <c r="A152" s="1" t="str">
        <f t="shared" si="21"/>
        <v>59828</v>
      </c>
      <c r="B152" s="1" t="s">
        <v>23</v>
      </c>
      <c r="C152" s="1" t="s">
        <v>24</v>
      </c>
      <c r="D152" s="1" t="str">
        <f t="shared" si="19"/>
        <v>9801</v>
      </c>
      <c r="E152" s="1" t="s">
        <v>25</v>
      </c>
      <c r="F152" s="1" t="str">
        <f>"1038806837"</f>
        <v>1038806837</v>
      </c>
      <c r="G152" s="1" t="s">
        <v>38</v>
      </c>
      <c r="H152" s="1" t="str">
        <f t="shared" si="17"/>
        <v>20220902</v>
      </c>
      <c r="I152" s="1" t="str">
        <f>"143213"</f>
        <v>143213</v>
      </c>
      <c r="J152" s="1" t="s">
        <v>44</v>
      </c>
      <c r="K152" s="1" t="s">
        <v>45</v>
      </c>
      <c r="L152" s="1" t="str">
        <f t="shared" si="18"/>
        <v>20220902</v>
      </c>
      <c r="M152" s="1" t="str">
        <f>"145115"</f>
        <v>145115</v>
      </c>
      <c r="N152" s="1" t="s">
        <v>28</v>
      </c>
      <c r="O152" s="1" t="s">
        <v>28</v>
      </c>
      <c r="P152" s="1" t="s">
        <v>55</v>
      </c>
      <c r="Q152" s="1">
        <v>25</v>
      </c>
      <c r="R152" s="1">
        <v>25</v>
      </c>
      <c r="S152" s="1">
        <v>0</v>
      </c>
      <c r="T152" s="1">
        <v>0</v>
      </c>
      <c r="U152" s="1">
        <v>0</v>
      </c>
      <c r="V152" s="1" t="str">
        <f t="shared" si="20"/>
        <v>里程返程</v>
      </c>
      <c r="W152" s="1" t="s">
        <v>35</v>
      </c>
    </row>
    <row r="153" spans="1:23" x14ac:dyDescent="0.3">
      <c r="A153" s="1" t="str">
        <f t="shared" si="21"/>
        <v>59828</v>
      </c>
      <c r="B153" s="1" t="s">
        <v>23</v>
      </c>
      <c r="C153" s="1" t="s">
        <v>24</v>
      </c>
      <c r="D153" s="1" t="str">
        <f t="shared" si="19"/>
        <v>9801</v>
      </c>
      <c r="E153" s="1" t="s">
        <v>25</v>
      </c>
      <c r="F153" s="1" t="str">
        <f>"1102101509"</f>
        <v>1102101509</v>
      </c>
      <c r="G153" s="1" t="s">
        <v>38</v>
      </c>
      <c r="H153" s="1" t="str">
        <f t="shared" si="17"/>
        <v>20220902</v>
      </c>
      <c r="I153" s="1" t="str">
        <f>"143216"</f>
        <v>143216</v>
      </c>
      <c r="J153" s="1" t="s">
        <v>44</v>
      </c>
      <c r="K153" s="1" t="s">
        <v>45</v>
      </c>
      <c r="L153" s="1" t="str">
        <f t="shared" si="18"/>
        <v>20220902</v>
      </c>
      <c r="M153" s="1" t="str">
        <f>"145118"</f>
        <v>145118</v>
      </c>
      <c r="N153" s="1" t="s">
        <v>28</v>
      </c>
      <c r="O153" s="1" t="s">
        <v>28</v>
      </c>
      <c r="P153" s="1" t="s">
        <v>55</v>
      </c>
      <c r="Q153" s="1">
        <v>25</v>
      </c>
      <c r="R153" s="1">
        <v>25</v>
      </c>
      <c r="S153" s="1">
        <v>0</v>
      </c>
      <c r="T153" s="1">
        <v>0</v>
      </c>
      <c r="U153" s="1">
        <v>0</v>
      </c>
      <c r="V153" s="1" t="str">
        <f t="shared" si="20"/>
        <v>里程返程</v>
      </c>
      <c r="W153" s="1" t="s">
        <v>35</v>
      </c>
    </row>
    <row r="154" spans="1:23" x14ac:dyDescent="0.3">
      <c r="A154" s="1" t="str">
        <f t="shared" si="21"/>
        <v>59828</v>
      </c>
      <c r="B154" s="1" t="s">
        <v>23</v>
      </c>
      <c r="C154" s="1" t="s">
        <v>24</v>
      </c>
      <c r="D154" s="1" t="str">
        <f t="shared" si="19"/>
        <v>9801</v>
      </c>
      <c r="E154" s="1" t="s">
        <v>25</v>
      </c>
      <c r="F154" s="1" t="str">
        <f>"72C3A51602880400C814002000000019"</f>
        <v>72C3A51602880400C814002000000019</v>
      </c>
      <c r="G154" s="1" t="s">
        <v>64</v>
      </c>
      <c r="H154" s="1" t="str">
        <f t="shared" si="17"/>
        <v>20220902</v>
      </c>
      <c r="I154" s="1" t="str">
        <f>"152816"</f>
        <v>152816</v>
      </c>
      <c r="J154" s="1" t="s">
        <v>44</v>
      </c>
      <c r="K154" s="1" t="s">
        <v>45</v>
      </c>
      <c r="L154" s="1" t="str">
        <f t="shared" si="18"/>
        <v>20220902</v>
      </c>
      <c r="M154" s="1" t="str">
        <f>"154921"</f>
        <v>154921</v>
      </c>
      <c r="N154" s="1" t="s">
        <v>28</v>
      </c>
      <c r="O154" s="1" t="s">
        <v>28</v>
      </c>
      <c r="P154" s="1" t="s">
        <v>55</v>
      </c>
      <c r="Q154" s="1">
        <v>13</v>
      </c>
      <c r="R154" s="1">
        <v>0</v>
      </c>
      <c r="S154" s="1">
        <v>13</v>
      </c>
      <c r="T154" s="1">
        <v>0</v>
      </c>
      <c r="U154" s="1">
        <v>0</v>
      </c>
      <c r="V154" s="1" t="str">
        <f t="shared" si="20"/>
        <v>里程返程</v>
      </c>
      <c r="W154" s="1" t="s">
        <v>29</v>
      </c>
    </row>
    <row r="155" spans="1:23" x14ac:dyDescent="0.3">
      <c r="A155" s="1" t="str">
        <f t="shared" si="21"/>
        <v>59828</v>
      </c>
      <c r="B155" s="1" t="s">
        <v>23</v>
      </c>
      <c r="C155" s="1" t="s">
        <v>24</v>
      </c>
      <c r="D155" s="1" t="str">
        <f t="shared" si="19"/>
        <v>9801</v>
      </c>
      <c r="E155" s="1" t="s">
        <v>25</v>
      </c>
      <c r="F155" s="1" t="str">
        <f>"817054238688040043281482000F0112"</f>
        <v>817054238688040043281482000F0112</v>
      </c>
      <c r="G155" s="1" t="s">
        <v>64</v>
      </c>
      <c r="H155" s="1" t="str">
        <f t="shared" si="17"/>
        <v>20220902</v>
      </c>
      <c r="I155" s="1" t="str">
        <f>"152824"</f>
        <v>152824</v>
      </c>
      <c r="J155" s="1" t="s">
        <v>44</v>
      </c>
      <c r="K155" s="1" t="s">
        <v>45</v>
      </c>
      <c r="L155" s="1" t="str">
        <f t="shared" si="18"/>
        <v>20220902</v>
      </c>
      <c r="M155" s="1" t="str">
        <f>"154923"</f>
        <v>154923</v>
      </c>
      <c r="N155" s="1" t="s">
        <v>28</v>
      </c>
      <c r="O155" s="1" t="s">
        <v>28</v>
      </c>
      <c r="P155" s="1" t="s">
        <v>55</v>
      </c>
      <c r="Q155" s="1">
        <v>13</v>
      </c>
      <c r="R155" s="1">
        <v>0</v>
      </c>
      <c r="S155" s="1">
        <v>13</v>
      </c>
      <c r="T155" s="1">
        <v>0</v>
      </c>
      <c r="U155" s="1">
        <v>0</v>
      </c>
      <c r="V155" s="1" t="str">
        <f t="shared" si="20"/>
        <v>里程返程</v>
      </c>
      <c r="W155" s="1" t="s">
        <v>29</v>
      </c>
    </row>
    <row r="156" spans="1:23" x14ac:dyDescent="0.3">
      <c r="A156" s="1" t="str">
        <f t="shared" si="21"/>
        <v>59828</v>
      </c>
      <c r="B156" s="1" t="s">
        <v>23</v>
      </c>
      <c r="C156" s="1" t="s">
        <v>24</v>
      </c>
      <c r="D156" s="1" t="str">
        <f t="shared" si="19"/>
        <v>9801</v>
      </c>
      <c r="E156" s="1" t="s">
        <v>25</v>
      </c>
      <c r="F156" s="1" t="str">
        <f>"42AFE60209880400C834002000000015"</f>
        <v>42AFE60209880400C834002000000015</v>
      </c>
      <c r="G156" s="1" t="s">
        <v>74</v>
      </c>
      <c r="H156" s="1" t="str">
        <f t="shared" si="17"/>
        <v>20220902</v>
      </c>
      <c r="I156" s="1" t="str">
        <f>"161503"</f>
        <v>161503</v>
      </c>
      <c r="J156" s="1" t="s">
        <v>80</v>
      </c>
      <c r="K156" s="1" t="s">
        <v>52</v>
      </c>
      <c r="L156" s="1" t="str">
        <f t="shared" si="18"/>
        <v>20220902</v>
      </c>
      <c r="M156" s="1" t="str">
        <f>"163027"</f>
        <v>163027</v>
      </c>
      <c r="N156" s="1" t="s">
        <v>52</v>
      </c>
      <c r="O156" s="1" t="s">
        <v>52</v>
      </c>
      <c r="P156" s="1" t="s">
        <v>68</v>
      </c>
      <c r="Q156" s="1">
        <v>13</v>
      </c>
      <c r="R156" s="1">
        <v>0</v>
      </c>
      <c r="S156" s="1">
        <v>0</v>
      </c>
      <c r="T156" s="1">
        <v>13</v>
      </c>
      <c r="U156" s="1">
        <v>0</v>
      </c>
      <c r="V156" s="1" t="str">
        <f t="shared" si="20"/>
        <v>里程返程</v>
      </c>
      <c r="W156" s="1" t="s">
        <v>29</v>
      </c>
    </row>
    <row r="157" spans="1:23" x14ac:dyDescent="0.3">
      <c r="A157" s="1" t="str">
        <f t="shared" si="21"/>
        <v>59828</v>
      </c>
      <c r="B157" s="1" t="s">
        <v>23</v>
      </c>
      <c r="C157" s="1" t="s">
        <v>24</v>
      </c>
      <c r="D157" s="1" t="str">
        <f t="shared" si="19"/>
        <v>9801</v>
      </c>
      <c r="E157" s="1" t="s">
        <v>25</v>
      </c>
      <c r="F157" s="1" t="str">
        <f>"540148081"</f>
        <v>540148081</v>
      </c>
      <c r="G157" s="1" t="s">
        <v>74</v>
      </c>
      <c r="H157" s="1" t="str">
        <f t="shared" si="17"/>
        <v>20220902</v>
      </c>
      <c r="I157" s="1" t="str">
        <f>"164051"</f>
        <v>164051</v>
      </c>
      <c r="J157" s="1" t="s">
        <v>61</v>
      </c>
      <c r="K157" s="1" t="s">
        <v>45</v>
      </c>
      <c r="L157" s="1" t="str">
        <f t="shared" si="18"/>
        <v>20220902</v>
      </c>
      <c r="M157" s="1" t="str">
        <f>"165009"</f>
        <v>165009</v>
      </c>
      <c r="N157" s="1" t="s">
        <v>28</v>
      </c>
      <c r="O157" s="1" t="s">
        <v>28</v>
      </c>
      <c r="P157" s="1" t="s">
        <v>55</v>
      </c>
      <c r="Q157" s="1">
        <v>13</v>
      </c>
      <c r="R157" s="1">
        <v>13</v>
      </c>
      <c r="S157" s="1">
        <v>0</v>
      </c>
      <c r="T157" s="1">
        <v>0</v>
      </c>
      <c r="U157" s="1">
        <v>0</v>
      </c>
      <c r="V157" s="1" t="str">
        <f t="shared" si="20"/>
        <v>里程返程</v>
      </c>
      <c r="W157" s="1" t="s">
        <v>35</v>
      </c>
    </row>
    <row r="158" spans="1:23" x14ac:dyDescent="0.3">
      <c r="A158" s="1" t="str">
        <f t="shared" si="21"/>
        <v>59828</v>
      </c>
      <c r="B158" s="1" t="s">
        <v>23</v>
      </c>
      <c r="C158" s="1" t="s">
        <v>24</v>
      </c>
      <c r="D158" s="1" t="str">
        <f t="shared" si="19"/>
        <v>9801</v>
      </c>
      <c r="E158" s="1" t="s">
        <v>25</v>
      </c>
      <c r="F158" s="1" t="str">
        <f>"101610657"</f>
        <v>101610657</v>
      </c>
      <c r="G158" s="1" t="s">
        <v>33</v>
      </c>
      <c r="H158" s="1" t="str">
        <f t="shared" si="17"/>
        <v>20220902</v>
      </c>
      <c r="I158" s="1" t="str">
        <f>"165144"</f>
        <v>165144</v>
      </c>
      <c r="J158" s="1" t="s">
        <v>28</v>
      </c>
      <c r="K158" s="1" t="s">
        <v>28</v>
      </c>
      <c r="L158" s="1" t="str">
        <f t="shared" si="18"/>
        <v>20220902</v>
      </c>
      <c r="M158" s="1" t="str">
        <f>"173003"</f>
        <v>173003</v>
      </c>
      <c r="N158" s="1" t="s">
        <v>52</v>
      </c>
      <c r="O158" s="1" t="s">
        <v>52</v>
      </c>
      <c r="P158" s="1" t="s">
        <v>55</v>
      </c>
      <c r="Q158" s="1">
        <v>25</v>
      </c>
      <c r="R158" s="1">
        <v>25</v>
      </c>
      <c r="S158" s="1">
        <v>0</v>
      </c>
      <c r="T158" s="1">
        <v>0</v>
      </c>
      <c r="U158" s="1">
        <v>0</v>
      </c>
      <c r="V158" s="1" t="str">
        <f t="shared" si="20"/>
        <v>里程返程</v>
      </c>
      <c r="W158" s="1" t="s">
        <v>35</v>
      </c>
    </row>
    <row r="159" spans="1:23" x14ac:dyDescent="0.3">
      <c r="A159" s="1" t="str">
        <f>"59820"</f>
        <v>59820</v>
      </c>
      <c r="B159" s="1" t="s">
        <v>53</v>
      </c>
      <c r="C159" s="1" t="s">
        <v>54</v>
      </c>
      <c r="D159" s="1" t="str">
        <f t="shared" si="19"/>
        <v>9801</v>
      </c>
      <c r="E159" s="1" t="s">
        <v>25</v>
      </c>
      <c r="F159" s="1" t="str">
        <f>"1769011745"</f>
        <v>1769011745</v>
      </c>
      <c r="G159" s="1" t="s">
        <v>33</v>
      </c>
      <c r="H159" s="1" t="str">
        <f t="shared" ref="H159:H204" si="22">"20220903"</f>
        <v>20220903</v>
      </c>
      <c r="I159" s="1" t="str">
        <f>"172913"</f>
        <v>172913</v>
      </c>
      <c r="J159" s="1" t="s">
        <v>44</v>
      </c>
      <c r="K159" s="1" t="s">
        <v>45</v>
      </c>
      <c r="L159" s="1" t="str">
        <f t="shared" ref="L159:L204" si="23">"20220903"</f>
        <v>20220903</v>
      </c>
      <c r="M159" s="1" t="str">
        <f>"174948"</f>
        <v>174948</v>
      </c>
      <c r="N159" s="1" t="s">
        <v>28</v>
      </c>
      <c r="O159" s="1" t="s">
        <v>28</v>
      </c>
      <c r="P159" s="1" t="s">
        <v>55</v>
      </c>
      <c r="Q159" s="1">
        <v>25</v>
      </c>
      <c r="R159" s="1">
        <v>25</v>
      </c>
      <c r="S159" s="1">
        <v>0</v>
      </c>
      <c r="T159" s="1">
        <v>0</v>
      </c>
      <c r="U159" s="1">
        <v>0</v>
      </c>
      <c r="V159" s="1" t="str">
        <f t="shared" si="20"/>
        <v>里程返程</v>
      </c>
      <c r="W159" s="1" t="s">
        <v>35</v>
      </c>
    </row>
    <row r="160" spans="1:23" x14ac:dyDescent="0.3">
      <c r="A160" s="1" t="str">
        <f>"59820"</f>
        <v>59820</v>
      </c>
      <c r="B160" s="1" t="s">
        <v>53</v>
      </c>
      <c r="C160" s="1" t="s">
        <v>54</v>
      </c>
      <c r="D160" s="1" t="str">
        <f t="shared" si="19"/>
        <v>9801</v>
      </c>
      <c r="E160" s="1" t="s">
        <v>25</v>
      </c>
      <c r="F160" s="1" t="str">
        <f>"1255328197"</f>
        <v>1255328197</v>
      </c>
      <c r="G160" s="1" t="s">
        <v>38</v>
      </c>
      <c r="H160" s="1" t="str">
        <f t="shared" si="22"/>
        <v>20220903</v>
      </c>
      <c r="I160" s="1" t="str">
        <f>"172916"</f>
        <v>172916</v>
      </c>
      <c r="J160" s="1" t="s">
        <v>44</v>
      </c>
      <c r="K160" s="1" t="s">
        <v>45</v>
      </c>
      <c r="L160" s="1" t="str">
        <f t="shared" si="23"/>
        <v>20220903</v>
      </c>
      <c r="M160" s="1" t="str">
        <f>"175004"</f>
        <v>175004</v>
      </c>
      <c r="N160" s="1" t="s">
        <v>28</v>
      </c>
      <c r="O160" s="1" t="s">
        <v>28</v>
      </c>
      <c r="P160" s="1" t="s">
        <v>55</v>
      </c>
      <c r="Q160" s="1">
        <v>25</v>
      </c>
      <c r="R160" s="1">
        <v>25</v>
      </c>
      <c r="S160" s="1">
        <v>0</v>
      </c>
      <c r="T160" s="1">
        <v>0</v>
      </c>
      <c r="U160" s="1">
        <v>0</v>
      </c>
      <c r="V160" s="1" t="str">
        <f t="shared" si="20"/>
        <v>里程返程</v>
      </c>
      <c r="W160" s="1" t="s">
        <v>35</v>
      </c>
    </row>
    <row r="161" spans="1:23" x14ac:dyDescent="0.3">
      <c r="A161" s="1" t="str">
        <f>"59820"</f>
        <v>59820</v>
      </c>
      <c r="B161" s="1" t="s">
        <v>53</v>
      </c>
      <c r="C161" s="1" t="s">
        <v>54</v>
      </c>
      <c r="D161" s="1" t="str">
        <f t="shared" si="19"/>
        <v>9801</v>
      </c>
      <c r="E161" s="1" t="s">
        <v>25</v>
      </c>
      <c r="F161" s="1" t="str">
        <f>"835995889"</f>
        <v>835995889</v>
      </c>
      <c r="G161" s="1" t="s">
        <v>33</v>
      </c>
      <c r="H161" s="1" t="str">
        <f t="shared" si="22"/>
        <v>20220903</v>
      </c>
      <c r="I161" s="1" t="str">
        <f>"185701"</f>
        <v>185701</v>
      </c>
      <c r="J161" s="1" t="s">
        <v>28</v>
      </c>
      <c r="K161" s="1" t="s">
        <v>28</v>
      </c>
      <c r="L161" s="1" t="str">
        <f t="shared" si="23"/>
        <v>20220903</v>
      </c>
      <c r="M161" s="1" t="str">
        <f>"192842"</f>
        <v>192842</v>
      </c>
      <c r="N161" s="1" t="s">
        <v>52</v>
      </c>
      <c r="O161" s="1" t="s">
        <v>52</v>
      </c>
      <c r="P161" s="1" t="s">
        <v>55</v>
      </c>
      <c r="Q161" s="1">
        <v>25</v>
      </c>
      <c r="R161" s="1">
        <v>25</v>
      </c>
      <c r="S161" s="1">
        <v>0</v>
      </c>
      <c r="T161" s="1">
        <v>0</v>
      </c>
      <c r="U161" s="1">
        <v>0</v>
      </c>
      <c r="V161" s="1" t="str">
        <f t="shared" si="20"/>
        <v>里程返程</v>
      </c>
      <c r="W161" s="1" t="s">
        <v>35</v>
      </c>
    </row>
    <row r="162" spans="1:23" x14ac:dyDescent="0.3">
      <c r="A162" s="1" t="str">
        <f t="shared" ref="A162:A177" si="24">"59825"</f>
        <v>59825</v>
      </c>
      <c r="B162" s="1" t="s">
        <v>30</v>
      </c>
      <c r="C162" s="1" t="s">
        <v>31</v>
      </c>
      <c r="D162" s="1" t="str">
        <f t="shared" si="19"/>
        <v>9801</v>
      </c>
      <c r="E162" s="1" t="s">
        <v>25</v>
      </c>
      <c r="F162" s="1" t="str">
        <f>"1725435766"</f>
        <v>1725435766</v>
      </c>
      <c r="G162" s="1" t="s">
        <v>26</v>
      </c>
      <c r="H162" s="1" t="str">
        <f t="shared" si="22"/>
        <v>20220903</v>
      </c>
      <c r="I162" s="1" t="str">
        <f>"083026"</f>
        <v>083026</v>
      </c>
      <c r="J162" s="1" t="s">
        <v>44</v>
      </c>
      <c r="K162" s="1" t="s">
        <v>45</v>
      </c>
      <c r="L162" s="1" t="str">
        <f t="shared" si="23"/>
        <v>20220903</v>
      </c>
      <c r="M162" s="1" t="str">
        <f>"084332"</f>
        <v>084332</v>
      </c>
      <c r="N162" s="1" t="s">
        <v>45</v>
      </c>
      <c r="O162" s="1" t="s">
        <v>45</v>
      </c>
      <c r="P162" s="1" t="s">
        <v>55</v>
      </c>
      <c r="Q162" s="1">
        <v>13</v>
      </c>
      <c r="R162" s="1">
        <v>0</v>
      </c>
      <c r="S162" s="1">
        <v>13</v>
      </c>
      <c r="T162" s="1">
        <v>0</v>
      </c>
      <c r="U162" s="1">
        <v>0</v>
      </c>
      <c r="V162" s="1" t="str">
        <f t="shared" si="20"/>
        <v>里程返程</v>
      </c>
      <c r="W162" s="1" t="s">
        <v>35</v>
      </c>
    </row>
    <row r="163" spans="1:23" x14ac:dyDescent="0.3">
      <c r="A163" s="1" t="str">
        <f t="shared" si="24"/>
        <v>59825</v>
      </c>
      <c r="B163" s="1" t="s">
        <v>30</v>
      </c>
      <c r="C163" s="1" t="s">
        <v>31</v>
      </c>
      <c r="D163" s="1" t="str">
        <f t="shared" si="19"/>
        <v>9801</v>
      </c>
      <c r="E163" s="1" t="s">
        <v>25</v>
      </c>
      <c r="F163" s="1" t="str">
        <f>"244993935"</f>
        <v>244993935</v>
      </c>
      <c r="G163" s="1" t="s">
        <v>33</v>
      </c>
      <c r="H163" s="1" t="str">
        <f t="shared" si="22"/>
        <v>20220903</v>
      </c>
      <c r="I163" s="1" t="str">
        <f>"083514"</f>
        <v>083514</v>
      </c>
      <c r="J163" s="1" t="s">
        <v>100</v>
      </c>
      <c r="K163" s="1" t="s">
        <v>45</v>
      </c>
      <c r="L163" s="1" t="str">
        <f t="shared" si="23"/>
        <v>20220903</v>
      </c>
      <c r="M163" s="1" t="str">
        <f>"085238"</f>
        <v>085238</v>
      </c>
      <c r="N163" s="1" t="s">
        <v>28</v>
      </c>
      <c r="O163" s="1" t="s">
        <v>28</v>
      </c>
      <c r="P163" s="1" t="s">
        <v>55</v>
      </c>
      <c r="Q163" s="1">
        <v>25</v>
      </c>
      <c r="R163" s="1">
        <v>25</v>
      </c>
      <c r="S163" s="1">
        <v>0</v>
      </c>
      <c r="T163" s="1">
        <v>0</v>
      </c>
      <c r="U163" s="1">
        <v>0</v>
      </c>
      <c r="V163" s="1" t="str">
        <f t="shared" si="20"/>
        <v>里程返程</v>
      </c>
      <c r="W163" s="1" t="s">
        <v>35</v>
      </c>
    </row>
    <row r="164" spans="1:23" x14ac:dyDescent="0.3">
      <c r="A164" s="1" t="str">
        <f t="shared" si="24"/>
        <v>59825</v>
      </c>
      <c r="B164" s="1" t="s">
        <v>30</v>
      </c>
      <c r="C164" s="1" t="s">
        <v>31</v>
      </c>
      <c r="D164" s="1" t="str">
        <f t="shared" si="19"/>
        <v>9801</v>
      </c>
      <c r="E164" s="1" t="s">
        <v>25</v>
      </c>
      <c r="F164" s="1" t="str">
        <f>"1060614593"</f>
        <v>1060614593</v>
      </c>
      <c r="G164" s="1" t="s">
        <v>33</v>
      </c>
      <c r="H164" s="1" t="str">
        <f t="shared" si="22"/>
        <v>20220903</v>
      </c>
      <c r="I164" s="1" t="str">
        <f>"092835"</f>
        <v>092835</v>
      </c>
      <c r="J164" s="1" t="s">
        <v>44</v>
      </c>
      <c r="K164" s="1" t="s">
        <v>45</v>
      </c>
      <c r="L164" s="1" t="str">
        <f t="shared" si="23"/>
        <v>20220903</v>
      </c>
      <c r="M164" s="1" t="str">
        <f>"095306"</f>
        <v>095306</v>
      </c>
      <c r="N164" s="1" t="s">
        <v>28</v>
      </c>
      <c r="O164" s="1" t="s">
        <v>28</v>
      </c>
      <c r="P164" s="1" t="s">
        <v>55</v>
      </c>
      <c r="Q164" s="1">
        <v>25</v>
      </c>
      <c r="R164" s="1">
        <v>25</v>
      </c>
      <c r="S164" s="1">
        <v>0</v>
      </c>
      <c r="T164" s="1">
        <v>0</v>
      </c>
      <c r="U164" s="1">
        <v>0</v>
      </c>
      <c r="V164" s="1" t="str">
        <f t="shared" si="20"/>
        <v>里程返程</v>
      </c>
      <c r="W164" s="1" t="s">
        <v>35</v>
      </c>
    </row>
    <row r="165" spans="1:23" x14ac:dyDescent="0.3">
      <c r="A165" s="1" t="str">
        <f t="shared" si="24"/>
        <v>59825</v>
      </c>
      <c r="B165" s="1" t="s">
        <v>30</v>
      </c>
      <c r="C165" s="1" t="s">
        <v>31</v>
      </c>
      <c r="D165" s="1" t="str">
        <f t="shared" si="19"/>
        <v>9801</v>
      </c>
      <c r="E165" s="1" t="s">
        <v>25</v>
      </c>
      <c r="F165" s="1" t="str">
        <f>"946133157"</f>
        <v>946133157</v>
      </c>
      <c r="G165" s="1" t="s">
        <v>33</v>
      </c>
      <c r="H165" s="1" t="str">
        <f t="shared" si="22"/>
        <v>20220903</v>
      </c>
      <c r="I165" s="1" t="str">
        <f>"095326"</f>
        <v>095326</v>
      </c>
      <c r="J165" s="1" t="s">
        <v>28</v>
      </c>
      <c r="K165" s="1" t="s">
        <v>28</v>
      </c>
      <c r="L165" s="1" t="str">
        <f t="shared" si="23"/>
        <v>20220903</v>
      </c>
      <c r="M165" s="1" t="str">
        <f>"101359"</f>
        <v>101359</v>
      </c>
      <c r="N165" s="1" t="s">
        <v>80</v>
      </c>
      <c r="O165" s="1" t="s">
        <v>52</v>
      </c>
      <c r="P165" s="1" t="s">
        <v>55</v>
      </c>
      <c r="Q165" s="1">
        <v>25</v>
      </c>
      <c r="R165" s="1">
        <v>25</v>
      </c>
      <c r="S165" s="1">
        <v>0</v>
      </c>
      <c r="T165" s="1">
        <v>0</v>
      </c>
      <c r="U165" s="1">
        <v>0</v>
      </c>
      <c r="V165" s="1" t="str">
        <f t="shared" si="20"/>
        <v>里程返程</v>
      </c>
      <c r="W165" s="1" t="s">
        <v>35</v>
      </c>
    </row>
    <row r="166" spans="1:23" x14ac:dyDescent="0.3">
      <c r="A166" s="1" t="str">
        <f t="shared" si="24"/>
        <v>59825</v>
      </c>
      <c r="B166" s="1" t="s">
        <v>30</v>
      </c>
      <c r="C166" s="1" t="s">
        <v>31</v>
      </c>
      <c r="D166" s="1" t="str">
        <f t="shared" si="19"/>
        <v>9801</v>
      </c>
      <c r="E166" s="1" t="s">
        <v>25</v>
      </c>
      <c r="F166" s="1" t="str">
        <f>"642910863"</f>
        <v>642910863</v>
      </c>
      <c r="G166" s="1" t="s">
        <v>33</v>
      </c>
      <c r="H166" s="1" t="str">
        <f t="shared" si="22"/>
        <v>20220903</v>
      </c>
      <c r="I166" s="1" t="str">
        <f>"095340"</f>
        <v>095340</v>
      </c>
      <c r="J166" s="1" t="s">
        <v>28</v>
      </c>
      <c r="K166" s="1" t="s">
        <v>28</v>
      </c>
      <c r="L166" s="1" t="str">
        <f t="shared" si="23"/>
        <v>20220903</v>
      </c>
      <c r="M166" s="1" t="str">
        <f>"102540"</f>
        <v>102540</v>
      </c>
      <c r="N166" s="1" t="s">
        <v>52</v>
      </c>
      <c r="O166" s="1" t="s">
        <v>52</v>
      </c>
      <c r="P166" s="1" t="s">
        <v>55</v>
      </c>
      <c r="Q166" s="1">
        <v>25</v>
      </c>
      <c r="R166" s="1">
        <v>25</v>
      </c>
      <c r="S166" s="1">
        <v>0</v>
      </c>
      <c r="T166" s="1">
        <v>0</v>
      </c>
      <c r="U166" s="1">
        <v>0</v>
      </c>
      <c r="V166" s="1" t="str">
        <f t="shared" si="20"/>
        <v>里程返程</v>
      </c>
      <c r="W166" s="1" t="s">
        <v>35</v>
      </c>
    </row>
    <row r="167" spans="1:23" x14ac:dyDescent="0.3">
      <c r="A167" s="1" t="str">
        <f t="shared" si="24"/>
        <v>59825</v>
      </c>
      <c r="B167" s="1" t="s">
        <v>30</v>
      </c>
      <c r="C167" s="1" t="s">
        <v>31</v>
      </c>
      <c r="D167" s="1" t="str">
        <f t="shared" si="19"/>
        <v>9801</v>
      </c>
      <c r="E167" s="1" t="s">
        <v>25</v>
      </c>
      <c r="F167" s="1" t="str">
        <f>"969889189"</f>
        <v>969889189</v>
      </c>
      <c r="G167" s="1" t="s">
        <v>33</v>
      </c>
      <c r="H167" s="1" t="str">
        <f t="shared" si="22"/>
        <v>20220903</v>
      </c>
      <c r="I167" s="1" t="str">
        <f>"100631"</f>
        <v>100631</v>
      </c>
      <c r="J167" s="1" t="s">
        <v>67</v>
      </c>
      <c r="K167" s="1" t="s">
        <v>52</v>
      </c>
      <c r="L167" s="1" t="str">
        <f t="shared" si="23"/>
        <v>20220903</v>
      </c>
      <c r="M167" s="1" t="str">
        <f>"102543"</f>
        <v>102543</v>
      </c>
      <c r="N167" s="1" t="s">
        <v>52</v>
      </c>
      <c r="O167" s="1" t="s">
        <v>52</v>
      </c>
      <c r="P167" s="1" t="s">
        <v>55</v>
      </c>
      <c r="Q167" s="1">
        <v>25</v>
      </c>
      <c r="R167" s="1">
        <v>25</v>
      </c>
      <c r="S167" s="1">
        <v>0</v>
      </c>
      <c r="T167" s="1">
        <v>0</v>
      </c>
      <c r="U167" s="1">
        <v>0</v>
      </c>
      <c r="V167" s="1" t="str">
        <f t="shared" si="20"/>
        <v>里程返程</v>
      </c>
      <c r="W167" s="1" t="s">
        <v>35</v>
      </c>
    </row>
    <row r="168" spans="1:23" x14ac:dyDescent="0.3">
      <c r="A168" s="1" t="str">
        <f t="shared" si="24"/>
        <v>59825</v>
      </c>
      <c r="B168" s="1" t="s">
        <v>30</v>
      </c>
      <c r="C168" s="1" t="s">
        <v>31</v>
      </c>
      <c r="D168" s="1" t="str">
        <f t="shared" si="19"/>
        <v>9801</v>
      </c>
      <c r="E168" s="1" t="s">
        <v>25</v>
      </c>
      <c r="F168" s="1" t="str">
        <f>"1658104480"</f>
        <v>1658104480</v>
      </c>
      <c r="G168" s="1" t="s">
        <v>33</v>
      </c>
      <c r="H168" s="1" t="str">
        <f t="shared" si="22"/>
        <v>20220903</v>
      </c>
      <c r="I168" s="1" t="str">
        <f>"105552"</f>
        <v>105552</v>
      </c>
      <c r="J168" s="1" t="s">
        <v>28</v>
      </c>
      <c r="K168" s="1" t="s">
        <v>28</v>
      </c>
      <c r="L168" s="1" t="str">
        <f t="shared" si="23"/>
        <v>20220903</v>
      </c>
      <c r="M168" s="1" t="str">
        <f>"110752"</f>
        <v>110752</v>
      </c>
      <c r="N168" s="1" t="s">
        <v>78</v>
      </c>
      <c r="O168" s="1" t="s">
        <v>52</v>
      </c>
      <c r="P168" s="1" t="s">
        <v>55</v>
      </c>
      <c r="Q168" s="1">
        <v>25</v>
      </c>
      <c r="R168" s="1">
        <v>25</v>
      </c>
      <c r="S168" s="1">
        <v>0</v>
      </c>
      <c r="T168" s="1">
        <v>0</v>
      </c>
      <c r="U168" s="1">
        <v>0</v>
      </c>
      <c r="V168" s="1" t="str">
        <f t="shared" si="20"/>
        <v>里程返程</v>
      </c>
      <c r="W168" s="1" t="s">
        <v>35</v>
      </c>
    </row>
    <row r="169" spans="1:23" x14ac:dyDescent="0.3">
      <c r="A169" s="1" t="str">
        <f t="shared" si="24"/>
        <v>59825</v>
      </c>
      <c r="B169" s="1" t="s">
        <v>30</v>
      </c>
      <c r="C169" s="1" t="s">
        <v>31</v>
      </c>
      <c r="D169" s="1" t="str">
        <f t="shared" si="19"/>
        <v>9801</v>
      </c>
      <c r="E169" s="1" t="s">
        <v>25</v>
      </c>
      <c r="F169" s="1" t="str">
        <f>"951029585"</f>
        <v>951029585</v>
      </c>
      <c r="G169" s="1" t="s">
        <v>33</v>
      </c>
      <c r="H169" s="1" t="str">
        <f t="shared" si="22"/>
        <v>20220903</v>
      </c>
      <c r="I169" s="1" t="str">
        <f>"105652"</f>
        <v>105652</v>
      </c>
      <c r="J169" s="1" t="s">
        <v>28</v>
      </c>
      <c r="K169" s="1" t="s">
        <v>28</v>
      </c>
      <c r="L169" s="1" t="str">
        <f t="shared" si="23"/>
        <v>20220903</v>
      </c>
      <c r="M169" s="1" t="str">
        <f>"111917"</f>
        <v>111917</v>
      </c>
      <c r="N169" s="1" t="s">
        <v>65</v>
      </c>
      <c r="O169" s="1" t="s">
        <v>52</v>
      </c>
      <c r="P169" s="1" t="s">
        <v>55</v>
      </c>
      <c r="Q169" s="1">
        <v>25</v>
      </c>
      <c r="R169" s="1">
        <v>25</v>
      </c>
      <c r="S169" s="1">
        <v>0</v>
      </c>
      <c r="T169" s="1">
        <v>0</v>
      </c>
      <c r="U169" s="1">
        <v>0</v>
      </c>
      <c r="V169" s="1" t="str">
        <f t="shared" si="20"/>
        <v>里程返程</v>
      </c>
      <c r="W169" s="1" t="s">
        <v>35</v>
      </c>
    </row>
    <row r="170" spans="1:23" x14ac:dyDescent="0.3">
      <c r="A170" s="1" t="str">
        <f t="shared" si="24"/>
        <v>59825</v>
      </c>
      <c r="B170" s="1" t="s">
        <v>30</v>
      </c>
      <c r="C170" s="1" t="s">
        <v>31</v>
      </c>
      <c r="D170" s="1" t="str">
        <f t="shared" si="19"/>
        <v>9801</v>
      </c>
      <c r="E170" s="1" t="s">
        <v>25</v>
      </c>
      <c r="F170" s="1" t="str">
        <f>"831336213"</f>
        <v>831336213</v>
      </c>
      <c r="G170" s="1" t="s">
        <v>33</v>
      </c>
      <c r="H170" s="1" t="str">
        <f t="shared" si="22"/>
        <v>20220903</v>
      </c>
      <c r="I170" s="1" t="str">
        <f>"105659"</f>
        <v>105659</v>
      </c>
      <c r="J170" s="1" t="s">
        <v>28</v>
      </c>
      <c r="K170" s="1" t="s">
        <v>28</v>
      </c>
      <c r="L170" s="1" t="str">
        <f t="shared" si="23"/>
        <v>20220903</v>
      </c>
      <c r="M170" s="1" t="str">
        <f>"112055"</f>
        <v>112055</v>
      </c>
      <c r="N170" s="1" t="s">
        <v>72</v>
      </c>
      <c r="O170" s="1" t="s">
        <v>52</v>
      </c>
      <c r="P170" s="1" t="s">
        <v>55</v>
      </c>
      <c r="Q170" s="1">
        <v>25</v>
      </c>
      <c r="R170" s="1">
        <v>25</v>
      </c>
      <c r="S170" s="1">
        <v>0</v>
      </c>
      <c r="T170" s="1">
        <v>0</v>
      </c>
      <c r="U170" s="1">
        <v>0</v>
      </c>
      <c r="V170" s="1" t="str">
        <f t="shared" si="20"/>
        <v>里程返程</v>
      </c>
      <c r="W170" s="1" t="s">
        <v>35</v>
      </c>
    </row>
    <row r="171" spans="1:23" x14ac:dyDescent="0.3">
      <c r="A171" s="1" t="str">
        <f t="shared" si="24"/>
        <v>59825</v>
      </c>
      <c r="B171" s="1" t="s">
        <v>30</v>
      </c>
      <c r="C171" s="1" t="s">
        <v>31</v>
      </c>
      <c r="D171" s="1" t="str">
        <f t="shared" si="19"/>
        <v>9801</v>
      </c>
      <c r="E171" s="1" t="s">
        <v>25</v>
      </c>
      <c r="F171" s="1" t="str">
        <f>"1051369429"</f>
        <v>1051369429</v>
      </c>
      <c r="G171" s="1" t="s">
        <v>33</v>
      </c>
      <c r="H171" s="1" t="str">
        <f t="shared" si="22"/>
        <v>20220903</v>
      </c>
      <c r="I171" s="1" t="str">
        <f>"105702"</f>
        <v>105702</v>
      </c>
      <c r="J171" s="1" t="s">
        <v>28</v>
      </c>
      <c r="K171" s="1" t="s">
        <v>28</v>
      </c>
      <c r="L171" s="1" t="str">
        <f t="shared" si="23"/>
        <v>20220903</v>
      </c>
      <c r="M171" s="1" t="str">
        <f>"111618"</f>
        <v>111618</v>
      </c>
      <c r="N171" s="1" t="s">
        <v>97</v>
      </c>
      <c r="O171" s="1" t="s">
        <v>52</v>
      </c>
      <c r="P171" s="1" t="s">
        <v>55</v>
      </c>
      <c r="Q171" s="1">
        <v>25</v>
      </c>
      <c r="R171" s="1">
        <v>0</v>
      </c>
      <c r="S171" s="1">
        <v>25</v>
      </c>
      <c r="T171" s="1">
        <v>0</v>
      </c>
      <c r="U171" s="1">
        <v>0</v>
      </c>
      <c r="V171" s="1" t="str">
        <f t="shared" si="20"/>
        <v>里程返程</v>
      </c>
      <c r="W171" s="1" t="s">
        <v>35</v>
      </c>
    </row>
    <row r="172" spans="1:23" x14ac:dyDescent="0.3">
      <c r="A172" s="1" t="str">
        <f t="shared" si="24"/>
        <v>59825</v>
      </c>
      <c r="B172" s="1" t="s">
        <v>30</v>
      </c>
      <c r="C172" s="1" t="s">
        <v>31</v>
      </c>
      <c r="D172" s="1" t="str">
        <f t="shared" si="19"/>
        <v>9801</v>
      </c>
      <c r="E172" s="1" t="s">
        <v>25</v>
      </c>
      <c r="F172" s="1" t="str">
        <f>"2094463244"</f>
        <v>2094463244</v>
      </c>
      <c r="G172" s="1" t="s">
        <v>33</v>
      </c>
      <c r="H172" s="1" t="str">
        <f t="shared" si="22"/>
        <v>20220903</v>
      </c>
      <c r="I172" s="1" t="str">
        <f>"105704"</f>
        <v>105704</v>
      </c>
      <c r="J172" s="1" t="s">
        <v>28</v>
      </c>
      <c r="K172" s="1" t="s">
        <v>28</v>
      </c>
      <c r="L172" s="1" t="str">
        <f t="shared" si="23"/>
        <v>20220903</v>
      </c>
      <c r="M172" s="1" t="str">
        <f>"111609"</f>
        <v>111609</v>
      </c>
      <c r="N172" s="1" t="s">
        <v>97</v>
      </c>
      <c r="O172" s="1" t="s">
        <v>52</v>
      </c>
      <c r="P172" s="1" t="s">
        <v>55</v>
      </c>
      <c r="Q172" s="1">
        <v>25</v>
      </c>
      <c r="R172" s="1">
        <v>0</v>
      </c>
      <c r="S172" s="1">
        <v>25</v>
      </c>
      <c r="T172" s="1">
        <v>0</v>
      </c>
      <c r="U172" s="1">
        <v>0</v>
      </c>
      <c r="V172" s="1" t="str">
        <f t="shared" si="20"/>
        <v>里程返程</v>
      </c>
      <c r="W172" s="1" t="s">
        <v>35</v>
      </c>
    </row>
    <row r="173" spans="1:23" x14ac:dyDescent="0.3">
      <c r="A173" s="1" t="str">
        <f t="shared" si="24"/>
        <v>59825</v>
      </c>
      <c r="B173" s="1" t="s">
        <v>30</v>
      </c>
      <c r="C173" s="1" t="s">
        <v>31</v>
      </c>
      <c r="D173" s="1" t="str">
        <f t="shared" si="19"/>
        <v>9801</v>
      </c>
      <c r="E173" s="1" t="s">
        <v>25</v>
      </c>
      <c r="F173" s="1" t="str">
        <f>"158886069"</f>
        <v>158886069</v>
      </c>
      <c r="G173" s="1" t="s">
        <v>33</v>
      </c>
      <c r="H173" s="1" t="str">
        <f t="shared" si="22"/>
        <v>20220903</v>
      </c>
      <c r="I173" s="1" t="str">
        <f>"115611"</f>
        <v>115611</v>
      </c>
      <c r="J173" s="1" t="s">
        <v>28</v>
      </c>
      <c r="K173" s="1" t="s">
        <v>28</v>
      </c>
      <c r="L173" s="1" t="str">
        <f t="shared" si="23"/>
        <v>20220903</v>
      </c>
      <c r="M173" s="1" t="str">
        <f>"121946"</f>
        <v>121946</v>
      </c>
      <c r="N173" s="1" t="s">
        <v>71</v>
      </c>
      <c r="O173" s="1" t="s">
        <v>52</v>
      </c>
      <c r="P173" s="1" t="s">
        <v>55</v>
      </c>
      <c r="Q173" s="1">
        <v>25</v>
      </c>
      <c r="R173" s="1">
        <v>0</v>
      </c>
      <c r="S173" s="1">
        <v>25</v>
      </c>
      <c r="T173" s="1">
        <v>0</v>
      </c>
      <c r="U173" s="1">
        <v>0</v>
      </c>
      <c r="V173" s="1" t="str">
        <f t="shared" si="20"/>
        <v>里程返程</v>
      </c>
      <c r="W173" s="1" t="s">
        <v>35</v>
      </c>
    </row>
    <row r="174" spans="1:23" x14ac:dyDescent="0.3">
      <c r="A174" s="1" t="str">
        <f t="shared" si="24"/>
        <v>59825</v>
      </c>
      <c r="B174" s="1" t="s">
        <v>30</v>
      </c>
      <c r="C174" s="1" t="s">
        <v>31</v>
      </c>
      <c r="D174" s="1" t="str">
        <f t="shared" si="19"/>
        <v>9801</v>
      </c>
      <c r="E174" s="1" t="s">
        <v>25</v>
      </c>
      <c r="F174" s="1" t="str">
        <f>"1256518469"</f>
        <v>1256518469</v>
      </c>
      <c r="G174" s="1" t="s">
        <v>33</v>
      </c>
      <c r="H174" s="1" t="str">
        <f t="shared" si="22"/>
        <v>20220903</v>
      </c>
      <c r="I174" s="1" t="str">
        <f>"115613"</f>
        <v>115613</v>
      </c>
      <c r="J174" s="1" t="s">
        <v>28</v>
      </c>
      <c r="K174" s="1" t="s">
        <v>28</v>
      </c>
      <c r="L174" s="1" t="str">
        <f t="shared" si="23"/>
        <v>20220903</v>
      </c>
      <c r="M174" s="1" t="str">
        <f>"121943"</f>
        <v>121943</v>
      </c>
      <c r="N174" s="1" t="s">
        <v>71</v>
      </c>
      <c r="O174" s="1" t="s">
        <v>52</v>
      </c>
      <c r="P174" s="1" t="s">
        <v>55</v>
      </c>
      <c r="Q174" s="1">
        <v>25</v>
      </c>
      <c r="R174" s="1">
        <v>0</v>
      </c>
      <c r="S174" s="1">
        <v>25</v>
      </c>
      <c r="T174" s="1">
        <v>0</v>
      </c>
      <c r="U174" s="1">
        <v>0</v>
      </c>
      <c r="V174" s="1" t="str">
        <f t="shared" si="20"/>
        <v>里程返程</v>
      </c>
      <c r="W174" s="1" t="s">
        <v>35</v>
      </c>
    </row>
    <row r="175" spans="1:23" x14ac:dyDescent="0.3">
      <c r="A175" s="1" t="str">
        <f t="shared" si="24"/>
        <v>59825</v>
      </c>
      <c r="B175" s="1" t="s">
        <v>30</v>
      </c>
      <c r="C175" s="1" t="s">
        <v>31</v>
      </c>
      <c r="D175" s="1" t="str">
        <f t="shared" si="19"/>
        <v>9801</v>
      </c>
      <c r="E175" s="1" t="s">
        <v>25</v>
      </c>
      <c r="F175" s="1" t="str">
        <f>"2621352495"</f>
        <v>2621352495</v>
      </c>
      <c r="G175" s="1" t="s">
        <v>33</v>
      </c>
      <c r="H175" s="1" t="str">
        <f t="shared" si="22"/>
        <v>20220903</v>
      </c>
      <c r="I175" s="1" t="str">
        <f>"115616"</f>
        <v>115616</v>
      </c>
      <c r="J175" s="1" t="s">
        <v>28</v>
      </c>
      <c r="K175" s="1" t="s">
        <v>28</v>
      </c>
      <c r="L175" s="1" t="str">
        <f t="shared" si="23"/>
        <v>20220903</v>
      </c>
      <c r="M175" s="1" t="str">
        <f>"122812"</f>
        <v>122812</v>
      </c>
      <c r="N175" s="1" t="s">
        <v>52</v>
      </c>
      <c r="O175" s="1" t="s">
        <v>52</v>
      </c>
      <c r="P175" s="1" t="s">
        <v>55</v>
      </c>
      <c r="Q175" s="1">
        <v>25</v>
      </c>
      <c r="R175" s="1">
        <v>0</v>
      </c>
      <c r="S175" s="1">
        <v>25</v>
      </c>
      <c r="T175" s="1">
        <v>0</v>
      </c>
      <c r="U175" s="1">
        <v>0</v>
      </c>
      <c r="V175" s="1" t="str">
        <f t="shared" si="20"/>
        <v>里程返程</v>
      </c>
      <c r="W175" s="1" t="s">
        <v>35</v>
      </c>
    </row>
    <row r="176" spans="1:23" x14ac:dyDescent="0.3">
      <c r="A176" s="1" t="str">
        <f t="shared" si="24"/>
        <v>59825</v>
      </c>
      <c r="B176" s="1" t="s">
        <v>30</v>
      </c>
      <c r="C176" s="1" t="s">
        <v>31</v>
      </c>
      <c r="D176" s="1" t="str">
        <f t="shared" si="19"/>
        <v>9801</v>
      </c>
      <c r="E176" s="1" t="s">
        <v>25</v>
      </c>
      <c r="F176" s="1" t="str">
        <f>"1819200369"</f>
        <v>1819200369</v>
      </c>
      <c r="G176" s="1" t="s">
        <v>33</v>
      </c>
      <c r="H176" s="1" t="str">
        <f t="shared" si="22"/>
        <v>20220903</v>
      </c>
      <c r="I176" s="1" t="str">
        <f>"185753"</f>
        <v>185753</v>
      </c>
      <c r="J176" s="1" t="s">
        <v>44</v>
      </c>
      <c r="K176" s="1" t="s">
        <v>45</v>
      </c>
      <c r="L176" s="1" t="str">
        <f t="shared" si="23"/>
        <v>20220903</v>
      </c>
      <c r="M176" s="1" t="str">
        <f>"192407"</f>
        <v>192407</v>
      </c>
      <c r="N176" s="1" t="s">
        <v>28</v>
      </c>
      <c r="O176" s="1" t="s">
        <v>28</v>
      </c>
      <c r="P176" s="1" t="s">
        <v>55</v>
      </c>
      <c r="Q176" s="1">
        <v>25</v>
      </c>
      <c r="R176" s="1">
        <v>25</v>
      </c>
      <c r="S176" s="1">
        <v>0</v>
      </c>
      <c r="T176" s="1">
        <v>0</v>
      </c>
      <c r="U176" s="1">
        <v>0</v>
      </c>
      <c r="V176" s="1" t="str">
        <f t="shared" si="20"/>
        <v>里程返程</v>
      </c>
      <c r="W176" s="1" t="s">
        <v>35</v>
      </c>
    </row>
    <row r="177" spans="1:23" x14ac:dyDescent="0.3">
      <c r="A177" s="1" t="str">
        <f t="shared" si="24"/>
        <v>59825</v>
      </c>
      <c r="B177" s="1" t="s">
        <v>30</v>
      </c>
      <c r="C177" s="1" t="s">
        <v>31</v>
      </c>
      <c r="D177" s="1" t="str">
        <f t="shared" si="19"/>
        <v>9801</v>
      </c>
      <c r="E177" s="1" t="s">
        <v>25</v>
      </c>
      <c r="F177" s="1" t="str">
        <f>"1875531185"</f>
        <v>1875531185</v>
      </c>
      <c r="G177" s="1" t="s">
        <v>33</v>
      </c>
      <c r="H177" s="1" t="str">
        <f t="shared" si="22"/>
        <v>20220903</v>
      </c>
      <c r="I177" s="1" t="str">
        <f>"190341"</f>
        <v>190341</v>
      </c>
      <c r="J177" s="1" t="s">
        <v>44</v>
      </c>
      <c r="K177" s="1" t="s">
        <v>45</v>
      </c>
      <c r="L177" s="1" t="str">
        <f t="shared" si="23"/>
        <v>20220903</v>
      </c>
      <c r="M177" s="1" t="str">
        <f>"192411"</f>
        <v>192411</v>
      </c>
      <c r="N177" s="1" t="s">
        <v>28</v>
      </c>
      <c r="O177" s="1" t="s">
        <v>28</v>
      </c>
      <c r="P177" s="1" t="s">
        <v>55</v>
      </c>
      <c r="Q177" s="1">
        <v>25</v>
      </c>
      <c r="R177" s="1">
        <v>25</v>
      </c>
      <c r="S177" s="1">
        <v>0</v>
      </c>
      <c r="T177" s="1">
        <v>0</v>
      </c>
      <c r="U177" s="1">
        <v>0</v>
      </c>
      <c r="V177" s="1" t="str">
        <f t="shared" si="20"/>
        <v>里程返程</v>
      </c>
      <c r="W177" s="1" t="s">
        <v>35</v>
      </c>
    </row>
    <row r="178" spans="1:23" x14ac:dyDescent="0.3">
      <c r="A178" s="1" t="str">
        <f t="shared" ref="A178:A204" si="25">"59828"</f>
        <v>59828</v>
      </c>
      <c r="B178" s="1" t="s">
        <v>23</v>
      </c>
      <c r="C178" s="1" t="s">
        <v>24</v>
      </c>
      <c r="D178" s="1" t="str">
        <f t="shared" si="19"/>
        <v>9801</v>
      </c>
      <c r="E178" s="1" t="s">
        <v>25</v>
      </c>
      <c r="F178" s="1" t="str">
        <f>"4035494611"</f>
        <v>4035494611</v>
      </c>
      <c r="G178" s="1" t="s">
        <v>33</v>
      </c>
      <c r="H178" s="1" t="str">
        <f t="shared" si="22"/>
        <v>20220903</v>
      </c>
      <c r="I178" s="1" t="str">
        <f>"063302"</f>
        <v>063302</v>
      </c>
      <c r="J178" s="1" t="s">
        <v>28</v>
      </c>
      <c r="K178" s="1" t="s">
        <v>28</v>
      </c>
      <c r="L178" s="1" t="str">
        <f t="shared" si="23"/>
        <v>20220903</v>
      </c>
      <c r="M178" s="1" t="str">
        <f>"064113"</f>
        <v>064113</v>
      </c>
      <c r="N178" s="1" t="s">
        <v>83</v>
      </c>
      <c r="O178" s="1" t="s">
        <v>52</v>
      </c>
      <c r="P178" s="1" t="s">
        <v>55</v>
      </c>
      <c r="Q178" s="1">
        <v>25</v>
      </c>
      <c r="R178" s="1">
        <v>25</v>
      </c>
      <c r="S178" s="1">
        <v>0</v>
      </c>
      <c r="T178" s="1">
        <v>0</v>
      </c>
      <c r="U178" s="1">
        <v>0</v>
      </c>
      <c r="V178" s="1" t="str">
        <f t="shared" si="20"/>
        <v>里程返程</v>
      </c>
      <c r="W178" s="1" t="s">
        <v>35</v>
      </c>
    </row>
    <row r="179" spans="1:23" x14ac:dyDescent="0.3">
      <c r="A179" s="1" t="str">
        <f t="shared" si="25"/>
        <v>59828</v>
      </c>
      <c r="B179" s="1" t="s">
        <v>23</v>
      </c>
      <c r="C179" s="1" t="s">
        <v>24</v>
      </c>
      <c r="D179" s="1" t="str">
        <f t="shared" si="19"/>
        <v>9801</v>
      </c>
      <c r="E179" s="1" t="s">
        <v>25</v>
      </c>
      <c r="F179" s="1" t="str">
        <f>"120A1D191C880400C821002000000019"</f>
        <v>120A1D191C880400C821002000000019</v>
      </c>
      <c r="G179" s="1" t="s">
        <v>58</v>
      </c>
      <c r="H179" s="1" t="str">
        <f t="shared" si="22"/>
        <v>20220903</v>
      </c>
      <c r="I179" s="1" t="str">
        <f>"063307"</f>
        <v>063307</v>
      </c>
      <c r="J179" s="1" t="s">
        <v>28</v>
      </c>
      <c r="K179" s="1" t="s">
        <v>28</v>
      </c>
      <c r="L179" s="1" t="str">
        <f t="shared" si="23"/>
        <v>20220903</v>
      </c>
      <c r="M179" s="1" t="str">
        <f>"065125"</f>
        <v>065125</v>
      </c>
      <c r="N179" s="1" t="s">
        <v>65</v>
      </c>
      <c r="O179" s="1" t="s">
        <v>52</v>
      </c>
      <c r="P179" s="1" t="s">
        <v>55</v>
      </c>
      <c r="Q179" s="1">
        <v>25</v>
      </c>
      <c r="R179" s="1">
        <v>25</v>
      </c>
      <c r="S179" s="1">
        <v>0</v>
      </c>
      <c r="T179" s="1">
        <v>0</v>
      </c>
      <c r="U179" s="1">
        <v>0</v>
      </c>
      <c r="V179" s="1" t="str">
        <f t="shared" si="20"/>
        <v>里程返程</v>
      </c>
      <c r="W179" s="1" t="s">
        <v>29</v>
      </c>
    </row>
    <row r="180" spans="1:23" x14ac:dyDescent="0.3">
      <c r="A180" s="1" t="str">
        <f t="shared" si="25"/>
        <v>59828</v>
      </c>
      <c r="B180" s="1" t="s">
        <v>23</v>
      </c>
      <c r="C180" s="1" t="s">
        <v>24</v>
      </c>
      <c r="D180" s="1" t="str">
        <f t="shared" si="19"/>
        <v>9801</v>
      </c>
      <c r="E180" s="1" t="s">
        <v>25</v>
      </c>
      <c r="F180" s="1" t="str">
        <f>"1108376293"</f>
        <v>1108376293</v>
      </c>
      <c r="G180" s="1" t="s">
        <v>33</v>
      </c>
      <c r="H180" s="1" t="str">
        <f t="shared" si="22"/>
        <v>20220903</v>
      </c>
      <c r="I180" s="1" t="str">
        <f>"063337"</f>
        <v>063337</v>
      </c>
      <c r="J180" s="1" t="s">
        <v>28</v>
      </c>
      <c r="K180" s="1" t="s">
        <v>28</v>
      </c>
      <c r="L180" s="1" t="str">
        <f t="shared" si="23"/>
        <v>20220903</v>
      </c>
      <c r="M180" s="1" t="str">
        <f>"065443"</f>
        <v>065443</v>
      </c>
      <c r="N180" s="1" t="s">
        <v>51</v>
      </c>
      <c r="O180" s="1" t="s">
        <v>52</v>
      </c>
      <c r="P180" s="1" t="s">
        <v>55</v>
      </c>
      <c r="Q180" s="1">
        <v>25</v>
      </c>
      <c r="R180" s="1">
        <v>0</v>
      </c>
      <c r="S180" s="1">
        <v>25</v>
      </c>
      <c r="T180" s="1">
        <v>0</v>
      </c>
      <c r="U180" s="1">
        <v>0</v>
      </c>
      <c r="V180" s="1" t="str">
        <f t="shared" si="20"/>
        <v>里程返程</v>
      </c>
      <c r="W180" s="1" t="s">
        <v>35</v>
      </c>
    </row>
    <row r="181" spans="1:23" x14ac:dyDescent="0.3">
      <c r="A181" s="1" t="str">
        <f t="shared" si="25"/>
        <v>59828</v>
      </c>
      <c r="B181" s="1" t="s">
        <v>23</v>
      </c>
      <c r="C181" s="1" t="s">
        <v>24</v>
      </c>
      <c r="D181" s="1" t="str">
        <f t="shared" si="19"/>
        <v>9801</v>
      </c>
      <c r="E181" s="1" t="s">
        <v>25</v>
      </c>
      <c r="F181" s="1" t="str">
        <f>"F282E40195880400C821002000000015"</f>
        <v>F282E40195880400C821002000000015</v>
      </c>
      <c r="G181" s="1" t="s">
        <v>58</v>
      </c>
      <c r="H181" s="1" t="str">
        <f t="shared" si="22"/>
        <v>20220903</v>
      </c>
      <c r="I181" s="1" t="str">
        <f>"072054"</f>
        <v>072054</v>
      </c>
      <c r="J181" s="1" t="s">
        <v>28</v>
      </c>
      <c r="K181" s="1" t="s">
        <v>28</v>
      </c>
      <c r="L181" s="1" t="str">
        <f t="shared" si="23"/>
        <v>20220903</v>
      </c>
      <c r="M181" s="1" t="str">
        <f>"074328"</f>
        <v>074328</v>
      </c>
      <c r="N181" s="1" t="s">
        <v>65</v>
      </c>
      <c r="O181" s="1" t="s">
        <v>52</v>
      </c>
      <c r="P181" s="1" t="s">
        <v>55</v>
      </c>
      <c r="Q181" s="1">
        <v>25</v>
      </c>
      <c r="R181" s="1">
        <v>0</v>
      </c>
      <c r="S181" s="1">
        <v>25</v>
      </c>
      <c r="T181" s="1">
        <v>0</v>
      </c>
      <c r="U181" s="1">
        <v>0</v>
      </c>
      <c r="V181" s="1" t="str">
        <f t="shared" si="20"/>
        <v>里程返程</v>
      </c>
      <c r="W181" s="1" t="s">
        <v>29</v>
      </c>
    </row>
    <row r="182" spans="1:23" x14ac:dyDescent="0.3">
      <c r="A182" s="1" t="str">
        <f t="shared" si="25"/>
        <v>59828</v>
      </c>
      <c r="B182" s="1" t="s">
        <v>23</v>
      </c>
      <c r="C182" s="1" t="s">
        <v>24</v>
      </c>
      <c r="D182" s="1" t="str">
        <f t="shared" si="19"/>
        <v>9801</v>
      </c>
      <c r="E182" s="1" t="s">
        <v>25</v>
      </c>
      <c r="F182" s="1" t="str">
        <f>"2396183627"</f>
        <v>2396183627</v>
      </c>
      <c r="G182" s="1" t="s">
        <v>33</v>
      </c>
      <c r="H182" s="1" t="str">
        <f t="shared" si="22"/>
        <v>20220903</v>
      </c>
      <c r="I182" s="1" t="str">
        <f>"072058"</f>
        <v>072058</v>
      </c>
      <c r="J182" s="1" t="s">
        <v>28</v>
      </c>
      <c r="K182" s="1" t="s">
        <v>28</v>
      </c>
      <c r="L182" s="1" t="str">
        <f t="shared" si="23"/>
        <v>20220903</v>
      </c>
      <c r="M182" s="1" t="str">
        <f>"075530"</f>
        <v>075530</v>
      </c>
      <c r="N182" s="1" t="s">
        <v>52</v>
      </c>
      <c r="O182" s="1" t="s">
        <v>52</v>
      </c>
      <c r="P182" s="1" t="s">
        <v>55</v>
      </c>
      <c r="Q182" s="1">
        <v>25</v>
      </c>
      <c r="R182" s="1">
        <v>0</v>
      </c>
      <c r="S182" s="1">
        <v>25</v>
      </c>
      <c r="T182" s="1">
        <v>0</v>
      </c>
      <c r="U182" s="1">
        <v>0</v>
      </c>
      <c r="V182" s="1" t="str">
        <f t="shared" si="20"/>
        <v>里程返程</v>
      </c>
      <c r="W182" s="1" t="s">
        <v>35</v>
      </c>
    </row>
    <row r="183" spans="1:23" x14ac:dyDescent="0.3">
      <c r="A183" s="1" t="str">
        <f t="shared" si="25"/>
        <v>59828</v>
      </c>
      <c r="B183" s="1" t="s">
        <v>23</v>
      </c>
      <c r="C183" s="1" t="s">
        <v>24</v>
      </c>
      <c r="D183" s="1" t="str">
        <f t="shared" si="19"/>
        <v>9801</v>
      </c>
      <c r="E183" s="1" t="s">
        <v>25</v>
      </c>
      <c r="F183" s="1" t="str">
        <f>"826FD2023D880400C834002000000015"</f>
        <v>826FD2023D880400C834002000000015</v>
      </c>
      <c r="G183" s="1" t="s">
        <v>26</v>
      </c>
      <c r="H183" s="1" t="str">
        <f t="shared" si="22"/>
        <v>20220903</v>
      </c>
      <c r="I183" s="1" t="str">
        <f>"072136"</f>
        <v>072136</v>
      </c>
      <c r="J183" s="1" t="s">
        <v>28</v>
      </c>
      <c r="K183" s="1" t="s">
        <v>28</v>
      </c>
      <c r="L183" s="1" t="str">
        <f t="shared" si="23"/>
        <v>20220903</v>
      </c>
      <c r="M183" s="1" t="str">
        <f>"074454"</f>
        <v>074454</v>
      </c>
      <c r="N183" s="1" t="s">
        <v>72</v>
      </c>
      <c r="O183" s="1" t="s">
        <v>52</v>
      </c>
      <c r="P183" s="1" t="s">
        <v>68</v>
      </c>
      <c r="Q183" s="1">
        <v>13</v>
      </c>
      <c r="R183" s="1">
        <v>0</v>
      </c>
      <c r="S183" s="1">
        <v>0</v>
      </c>
      <c r="T183" s="1">
        <v>13</v>
      </c>
      <c r="U183" s="1">
        <v>0</v>
      </c>
      <c r="V183" s="1" t="str">
        <f t="shared" si="20"/>
        <v>里程返程</v>
      </c>
      <c r="W183" s="1" t="s">
        <v>29</v>
      </c>
    </row>
    <row r="184" spans="1:23" x14ac:dyDescent="0.3">
      <c r="A184" s="1" t="str">
        <f t="shared" si="25"/>
        <v>59828</v>
      </c>
      <c r="B184" s="1" t="s">
        <v>23</v>
      </c>
      <c r="C184" s="1" t="s">
        <v>24</v>
      </c>
      <c r="D184" s="1" t="str">
        <f t="shared" si="19"/>
        <v>9801</v>
      </c>
      <c r="E184" s="1" t="s">
        <v>25</v>
      </c>
      <c r="F184" s="1" t="str">
        <f>"D257BD023A880400C834002000000015"</f>
        <v>D257BD023A880400C834002000000015</v>
      </c>
      <c r="G184" s="1" t="s">
        <v>74</v>
      </c>
      <c r="H184" s="1" t="str">
        <f t="shared" si="22"/>
        <v>20220903</v>
      </c>
      <c r="I184" s="1" t="str">
        <f>"072150"</f>
        <v>072150</v>
      </c>
      <c r="J184" s="1" t="s">
        <v>28</v>
      </c>
      <c r="K184" s="1" t="s">
        <v>28</v>
      </c>
      <c r="L184" s="1" t="str">
        <f t="shared" si="23"/>
        <v>20220903</v>
      </c>
      <c r="M184" s="1" t="str">
        <f>"073146"</f>
        <v>073146</v>
      </c>
      <c r="N184" s="1" t="s">
        <v>67</v>
      </c>
      <c r="O184" s="1" t="s">
        <v>52</v>
      </c>
      <c r="P184" s="1" t="s">
        <v>68</v>
      </c>
      <c r="Q184" s="1">
        <v>13</v>
      </c>
      <c r="R184" s="1">
        <v>0</v>
      </c>
      <c r="S184" s="1">
        <v>0</v>
      </c>
      <c r="T184" s="1">
        <v>13</v>
      </c>
      <c r="U184" s="1">
        <v>0</v>
      </c>
      <c r="V184" s="1" t="str">
        <f t="shared" si="20"/>
        <v>里程返程</v>
      </c>
      <c r="W184" s="1" t="s">
        <v>29</v>
      </c>
    </row>
    <row r="185" spans="1:23" x14ac:dyDescent="0.3">
      <c r="A185" s="1" t="str">
        <f t="shared" si="25"/>
        <v>59828</v>
      </c>
      <c r="B185" s="1" t="s">
        <v>23</v>
      </c>
      <c r="C185" s="1" t="s">
        <v>24</v>
      </c>
      <c r="D185" s="1" t="str">
        <f t="shared" si="19"/>
        <v>9801</v>
      </c>
      <c r="E185" s="1" t="s">
        <v>25</v>
      </c>
      <c r="F185" s="1" t="str">
        <f>"1761947509"</f>
        <v>1761947509</v>
      </c>
      <c r="G185" s="1" t="s">
        <v>33</v>
      </c>
      <c r="H185" s="1" t="str">
        <f t="shared" si="22"/>
        <v>20220903</v>
      </c>
      <c r="I185" s="1" t="str">
        <f>"125015"</f>
        <v>125015</v>
      </c>
      <c r="J185" s="1" t="s">
        <v>28</v>
      </c>
      <c r="K185" s="1" t="s">
        <v>28</v>
      </c>
      <c r="L185" s="1" t="str">
        <f t="shared" si="23"/>
        <v>20220903</v>
      </c>
      <c r="M185" s="1" t="str">
        <f>"131743"</f>
        <v>131743</v>
      </c>
      <c r="N185" s="1" t="s">
        <v>65</v>
      </c>
      <c r="O185" s="1" t="s">
        <v>52</v>
      </c>
      <c r="P185" s="1" t="s">
        <v>55</v>
      </c>
      <c r="Q185" s="1">
        <v>25</v>
      </c>
      <c r="R185" s="1">
        <v>25</v>
      </c>
      <c r="S185" s="1">
        <v>0</v>
      </c>
      <c r="T185" s="1">
        <v>0</v>
      </c>
      <c r="U185" s="1">
        <v>0</v>
      </c>
      <c r="V185" s="1" t="str">
        <f t="shared" si="20"/>
        <v>里程返程</v>
      </c>
      <c r="W185" s="1" t="s">
        <v>35</v>
      </c>
    </row>
    <row r="186" spans="1:23" x14ac:dyDescent="0.3">
      <c r="A186" s="1" t="str">
        <f t="shared" si="25"/>
        <v>59828</v>
      </c>
      <c r="B186" s="1" t="s">
        <v>23</v>
      </c>
      <c r="C186" s="1" t="s">
        <v>24</v>
      </c>
      <c r="D186" s="1" t="str">
        <f t="shared" si="19"/>
        <v>9801</v>
      </c>
      <c r="E186" s="1" t="s">
        <v>25</v>
      </c>
      <c r="F186" s="1" t="str">
        <f>"1634059552"</f>
        <v>1634059552</v>
      </c>
      <c r="G186" s="1" t="s">
        <v>33</v>
      </c>
      <c r="H186" s="1" t="str">
        <f t="shared" si="22"/>
        <v>20220903</v>
      </c>
      <c r="I186" s="1" t="str">
        <f>"125021"</f>
        <v>125021</v>
      </c>
      <c r="J186" s="1" t="s">
        <v>28</v>
      </c>
      <c r="K186" s="1" t="s">
        <v>28</v>
      </c>
      <c r="L186" s="1" t="str">
        <f t="shared" si="23"/>
        <v>20220903</v>
      </c>
      <c r="M186" s="1" t="str">
        <f>"132522"</f>
        <v>132522</v>
      </c>
      <c r="N186" s="1" t="s">
        <v>52</v>
      </c>
      <c r="O186" s="1" t="s">
        <v>52</v>
      </c>
      <c r="P186" s="1" t="s">
        <v>55</v>
      </c>
      <c r="Q186" s="1">
        <v>25</v>
      </c>
      <c r="R186" s="1">
        <v>25</v>
      </c>
      <c r="S186" s="1">
        <v>0</v>
      </c>
      <c r="T186" s="1">
        <v>0</v>
      </c>
      <c r="U186" s="1">
        <v>0</v>
      </c>
      <c r="V186" s="1" t="str">
        <f t="shared" si="20"/>
        <v>里程返程</v>
      </c>
      <c r="W186" s="1" t="s">
        <v>35</v>
      </c>
    </row>
    <row r="187" spans="1:23" x14ac:dyDescent="0.3">
      <c r="A187" s="1" t="str">
        <f t="shared" si="25"/>
        <v>59828</v>
      </c>
      <c r="B187" s="1" t="s">
        <v>23</v>
      </c>
      <c r="C187" s="1" t="s">
        <v>24</v>
      </c>
      <c r="D187" s="1" t="str">
        <f t="shared" si="19"/>
        <v>9801</v>
      </c>
      <c r="E187" s="1" t="s">
        <v>25</v>
      </c>
      <c r="F187" s="1" t="str">
        <f>"D15AE0513A2804001C00000000000000"</f>
        <v>D15AE0513A2804001C00000000000000</v>
      </c>
      <c r="G187" s="1" t="s">
        <v>58</v>
      </c>
      <c r="H187" s="1" t="str">
        <f t="shared" si="22"/>
        <v>20220903</v>
      </c>
      <c r="I187" s="1" t="str">
        <f>"142605"</f>
        <v>142605</v>
      </c>
      <c r="J187" s="1" t="s">
        <v>44</v>
      </c>
      <c r="K187" s="1" t="s">
        <v>45</v>
      </c>
      <c r="L187" s="1" t="str">
        <f t="shared" si="23"/>
        <v>20220903</v>
      </c>
      <c r="M187" s="1" t="str">
        <f>"144147"</f>
        <v>144147</v>
      </c>
      <c r="N187" s="1" t="s">
        <v>45</v>
      </c>
      <c r="O187" s="1" t="s">
        <v>45</v>
      </c>
      <c r="P187" s="1" t="s">
        <v>55</v>
      </c>
      <c r="Q187" s="1">
        <v>25</v>
      </c>
      <c r="R187" s="1">
        <v>0</v>
      </c>
      <c r="S187" s="1">
        <v>25</v>
      </c>
      <c r="T187" s="1">
        <v>0</v>
      </c>
      <c r="U187" s="1">
        <v>0</v>
      </c>
      <c r="V187" s="1" t="str">
        <f t="shared" si="20"/>
        <v>里程返程</v>
      </c>
      <c r="W187" s="1" t="s">
        <v>29</v>
      </c>
    </row>
    <row r="188" spans="1:23" x14ac:dyDescent="0.3">
      <c r="A188" s="1" t="str">
        <f t="shared" si="25"/>
        <v>59828</v>
      </c>
      <c r="B188" s="1" t="s">
        <v>23</v>
      </c>
      <c r="C188" s="1" t="s">
        <v>24</v>
      </c>
      <c r="D188" s="1" t="str">
        <f t="shared" si="19"/>
        <v>9801</v>
      </c>
      <c r="E188" s="1" t="s">
        <v>25</v>
      </c>
      <c r="F188" s="1" t="str">
        <f>"1127797057"</f>
        <v>1127797057</v>
      </c>
      <c r="G188" s="1" t="s">
        <v>33</v>
      </c>
      <c r="H188" s="1" t="str">
        <f t="shared" si="22"/>
        <v>20220903</v>
      </c>
      <c r="I188" s="1" t="str">
        <f>"144221"</f>
        <v>144221</v>
      </c>
      <c r="J188" s="1" t="s">
        <v>45</v>
      </c>
      <c r="K188" s="1" t="s">
        <v>45</v>
      </c>
      <c r="L188" s="1" t="str">
        <f t="shared" si="23"/>
        <v>20220903</v>
      </c>
      <c r="M188" s="1" t="str">
        <f>"145110"</f>
        <v>145110</v>
      </c>
      <c r="N188" s="1" t="s">
        <v>28</v>
      </c>
      <c r="O188" s="1" t="s">
        <v>28</v>
      </c>
      <c r="P188" s="1" t="s">
        <v>55</v>
      </c>
      <c r="Q188" s="1">
        <v>25</v>
      </c>
      <c r="R188" s="1">
        <v>25</v>
      </c>
      <c r="S188" s="1">
        <v>0</v>
      </c>
      <c r="T188" s="1">
        <v>0</v>
      </c>
      <c r="U188" s="1">
        <v>0</v>
      </c>
      <c r="V188" s="1" t="str">
        <f t="shared" si="20"/>
        <v>里程返程</v>
      </c>
      <c r="W188" s="1" t="s">
        <v>35</v>
      </c>
    </row>
    <row r="189" spans="1:23" x14ac:dyDescent="0.3">
      <c r="A189" s="1" t="str">
        <f t="shared" si="25"/>
        <v>59828</v>
      </c>
      <c r="B189" s="1" t="s">
        <v>23</v>
      </c>
      <c r="C189" s="1" t="s">
        <v>24</v>
      </c>
      <c r="D189" s="1" t="str">
        <f t="shared" si="19"/>
        <v>9801</v>
      </c>
      <c r="E189" s="1" t="s">
        <v>25</v>
      </c>
      <c r="F189" s="1" t="str">
        <f>"885956401"</f>
        <v>885956401</v>
      </c>
      <c r="G189" s="1" t="s">
        <v>33</v>
      </c>
      <c r="H189" s="1" t="str">
        <f t="shared" si="22"/>
        <v>20220903</v>
      </c>
      <c r="I189" s="1" t="str">
        <f>"144223"</f>
        <v>144223</v>
      </c>
      <c r="J189" s="1" t="s">
        <v>45</v>
      </c>
      <c r="K189" s="1" t="s">
        <v>45</v>
      </c>
      <c r="L189" s="1" t="str">
        <f t="shared" si="23"/>
        <v>20220903</v>
      </c>
      <c r="M189" s="1" t="str">
        <f>"145112"</f>
        <v>145112</v>
      </c>
      <c r="N189" s="1" t="s">
        <v>28</v>
      </c>
      <c r="O189" s="1" t="s">
        <v>28</v>
      </c>
      <c r="P189" s="1" t="s">
        <v>55</v>
      </c>
      <c r="Q189" s="1">
        <v>25</v>
      </c>
      <c r="R189" s="1">
        <v>25</v>
      </c>
      <c r="S189" s="1">
        <v>0</v>
      </c>
      <c r="T189" s="1">
        <v>0</v>
      </c>
      <c r="U189" s="1">
        <v>0</v>
      </c>
      <c r="V189" s="1" t="str">
        <f t="shared" si="20"/>
        <v>里程返程</v>
      </c>
      <c r="W189" s="1" t="s">
        <v>35</v>
      </c>
    </row>
    <row r="190" spans="1:23" x14ac:dyDescent="0.3">
      <c r="A190" s="1" t="str">
        <f t="shared" si="25"/>
        <v>59828</v>
      </c>
      <c r="B190" s="1" t="s">
        <v>23</v>
      </c>
      <c r="C190" s="1" t="s">
        <v>24</v>
      </c>
      <c r="D190" s="1" t="str">
        <f t="shared" si="19"/>
        <v>9801</v>
      </c>
      <c r="E190" s="1" t="s">
        <v>25</v>
      </c>
      <c r="F190" s="1" t="str">
        <f>"2025826032"</f>
        <v>2025826032</v>
      </c>
      <c r="G190" s="1" t="s">
        <v>33</v>
      </c>
      <c r="H190" s="1" t="str">
        <f t="shared" si="22"/>
        <v>20220903</v>
      </c>
      <c r="I190" s="1" t="str">
        <f>"145158"</f>
        <v>145158</v>
      </c>
      <c r="J190" s="1" t="s">
        <v>28</v>
      </c>
      <c r="K190" s="1" t="s">
        <v>28</v>
      </c>
      <c r="L190" s="1" t="str">
        <f t="shared" si="23"/>
        <v>20220903</v>
      </c>
      <c r="M190" s="1" t="str">
        <f>"152700"</f>
        <v>152700</v>
      </c>
      <c r="N190" s="1" t="s">
        <v>52</v>
      </c>
      <c r="O190" s="1" t="s">
        <v>52</v>
      </c>
      <c r="P190" s="1" t="s">
        <v>55</v>
      </c>
      <c r="Q190" s="1">
        <v>25</v>
      </c>
      <c r="R190" s="1">
        <v>0</v>
      </c>
      <c r="S190" s="1">
        <v>25</v>
      </c>
      <c r="T190" s="1">
        <v>0</v>
      </c>
      <c r="U190" s="1">
        <v>0</v>
      </c>
      <c r="V190" s="1" t="str">
        <f t="shared" si="20"/>
        <v>里程返程</v>
      </c>
      <c r="W190" s="1" t="s">
        <v>35</v>
      </c>
    </row>
    <row r="191" spans="1:23" x14ac:dyDescent="0.3">
      <c r="A191" s="1" t="str">
        <f t="shared" si="25"/>
        <v>59828</v>
      </c>
      <c r="B191" s="1" t="s">
        <v>23</v>
      </c>
      <c r="C191" s="1" t="s">
        <v>24</v>
      </c>
      <c r="D191" s="1" t="str">
        <f t="shared" si="19"/>
        <v>9801</v>
      </c>
      <c r="E191" s="1" t="s">
        <v>25</v>
      </c>
      <c r="F191" s="1" t="str">
        <f>"1014721781"</f>
        <v>1014721781</v>
      </c>
      <c r="G191" s="1" t="s">
        <v>33</v>
      </c>
      <c r="H191" s="1" t="str">
        <f t="shared" si="22"/>
        <v>20220903</v>
      </c>
      <c r="I191" s="1" t="str">
        <f>"145204"</f>
        <v>145204</v>
      </c>
      <c r="J191" s="1" t="s">
        <v>28</v>
      </c>
      <c r="K191" s="1" t="s">
        <v>28</v>
      </c>
      <c r="L191" s="1" t="str">
        <f t="shared" si="23"/>
        <v>20220903</v>
      </c>
      <c r="M191" s="1" t="str">
        <f>"151442"</f>
        <v>151442</v>
      </c>
      <c r="N191" s="1" t="s">
        <v>80</v>
      </c>
      <c r="O191" s="1" t="s">
        <v>52</v>
      </c>
      <c r="P191" s="1" t="s">
        <v>55</v>
      </c>
      <c r="Q191" s="1">
        <v>25</v>
      </c>
      <c r="R191" s="1">
        <v>25</v>
      </c>
      <c r="S191" s="1">
        <v>0</v>
      </c>
      <c r="T191" s="1">
        <v>0</v>
      </c>
      <c r="U191" s="1">
        <v>0</v>
      </c>
      <c r="V191" s="1" t="str">
        <f t="shared" si="20"/>
        <v>里程返程</v>
      </c>
      <c r="W191" s="1" t="s">
        <v>35</v>
      </c>
    </row>
    <row r="192" spans="1:23" x14ac:dyDescent="0.3">
      <c r="A192" s="1" t="str">
        <f t="shared" si="25"/>
        <v>59828</v>
      </c>
      <c r="B192" s="1" t="s">
        <v>23</v>
      </c>
      <c r="C192" s="1" t="s">
        <v>24</v>
      </c>
      <c r="D192" s="1" t="str">
        <f t="shared" si="19"/>
        <v>9801</v>
      </c>
      <c r="E192" s="1" t="s">
        <v>25</v>
      </c>
      <c r="F192" s="1" t="str">
        <f>"1771718133"</f>
        <v>1771718133</v>
      </c>
      <c r="G192" s="1" t="s">
        <v>33</v>
      </c>
      <c r="H192" s="1" t="str">
        <f t="shared" si="22"/>
        <v>20220903</v>
      </c>
      <c r="I192" s="1" t="str">
        <f>"162739"</f>
        <v>162739</v>
      </c>
      <c r="J192" s="1" t="s">
        <v>44</v>
      </c>
      <c r="K192" s="1" t="s">
        <v>45</v>
      </c>
      <c r="L192" s="1" t="str">
        <f t="shared" si="23"/>
        <v>20220903</v>
      </c>
      <c r="M192" s="1" t="str">
        <f>"164832"</f>
        <v>164832</v>
      </c>
      <c r="N192" s="1" t="s">
        <v>28</v>
      </c>
      <c r="O192" s="1" t="s">
        <v>28</v>
      </c>
      <c r="P192" s="1" t="s">
        <v>55</v>
      </c>
      <c r="Q192" s="1">
        <v>25</v>
      </c>
      <c r="R192" s="1">
        <v>0</v>
      </c>
      <c r="S192" s="1">
        <v>25</v>
      </c>
      <c r="T192" s="1">
        <v>0</v>
      </c>
      <c r="U192" s="1">
        <v>0</v>
      </c>
      <c r="V192" s="1" t="str">
        <f t="shared" si="20"/>
        <v>里程返程</v>
      </c>
      <c r="W192" s="1" t="s">
        <v>35</v>
      </c>
    </row>
    <row r="193" spans="1:23" x14ac:dyDescent="0.3">
      <c r="A193" s="1" t="str">
        <f t="shared" si="25"/>
        <v>59828</v>
      </c>
      <c r="B193" s="1" t="s">
        <v>23</v>
      </c>
      <c r="C193" s="1" t="s">
        <v>24</v>
      </c>
      <c r="D193" s="1" t="str">
        <f t="shared" si="19"/>
        <v>9801</v>
      </c>
      <c r="E193" s="1" t="s">
        <v>25</v>
      </c>
      <c r="F193" s="1" t="str">
        <f>"22AE6609E3880400C810002000000016"</f>
        <v>22AE6609E3880400C810002000000016</v>
      </c>
      <c r="G193" s="1" t="s">
        <v>59</v>
      </c>
      <c r="H193" s="1" t="str">
        <f t="shared" si="22"/>
        <v>20220903</v>
      </c>
      <c r="I193" s="1" t="str">
        <f>"162751"</f>
        <v>162751</v>
      </c>
      <c r="J193" s="1" t="s">
        <v>44</v>
      </c>
      <c r="K193" s="1" t="s">
        <v>45</v>
      </c>
      <c r="L193" s="1" t="str">
        <f t="shared" si="23"/>
        <v>20220903</v>
      </c>
      <c r="M193" s="1" t="str">
        <f>"164835"</f>
        <v>164835</v>
      </c>
      <c r="N193" s="1" t="s">
        <v>28</v>
      </c>
      <c r="O193" s="1" t="s">
        <v>28</v>
      </c>
      <c r="P193" s="1" t="s">
        <v>55</v>
      </c>
      <c r="Q193" s="1">
        <v>25</v>
      </c>
      <c r="R193" s="1">
        <v>0</v>
      </c>
      <c r="S193" s="1">
        <v>25</v>
      </c>
      <c r="T193" s="1">
        <v>0</v>
      </c>
      <c r="U193" s="1">
        <v>0</v>
      </c>
      <c r="V193" s="1" t="str">
        <f t="shared" si="20"/>
        <v>里程返程</v>
      </c>
      <c r="W193" s="1" t="s">
        <v>29</v>
      </c>
    </row>
    <row r="194" spans="1:23" x14ac:dyDescent="0.3">
      <c r="A194" s="1" t="str">
        <f t="shared" si="25"/>
        <v>59828</v>
      </c>
      <c r="B194" s="1" t="s">
        <v>23</v>
      </c>
      <c r="C194" s="1" t="s">
        <v>24</v>
      </c>
      <c r="D194" s="1" t="str">
        <f t="shared" ref="D194:D257" si="26">"9801"</f>
        <v>9801</v>
      </c>
      <c r="E194" s="1" t="s">
        <v>25</v>
      </c>
      <c r="F194" s="1" t="str">
        <f>"2071452438"</f>
        <v>2071452438</v>
      </c>
      <c r="G194" s="1" t="s">
        <v>33</v>
      </c>
      <c r="H194" s="1" t="str">
        <f t="shared" si="22"/>
        <v>20220903</v>
      </c>
      <c r="I194" s="1" t="str">
        <f>"163227"</f>
        <v>163227</v>
      </c>
      <c r="J194" s="1" t="s">
        <v>44</v>
      </c>
      <c r="K194" s="1" t="s">
        <v>45</v>
      </c>
      <c r="L194" s="1" t="str">
        <f t="shared" si="23"/>
        <v>20220903</v>
      </c>
      <c r="M194" s="1" t="str">
        <f>"164847"</f>
        <v>164847</v>
      </c>
      <c r="N194" s="1" t="s">
        <v>28</v>
      </c>
      <c r="O194" s="1" t="s">
        <v>28</v>
      </c>
      <c r="P194" s="1" t="s">
        <v>55</v>
      </c>
      <c r="Q194" s="1">
        <v>25</v>
      </c>
      <c r="R194" s="1">
        <v>25</v>
      </c>
      <c r="S194" s="1">
        <v>0</v>
      </c>
      <c r="T194" s="1">
        <v>0</v>
      </c>
      <c r="U194" s="1">
        <v>0</v>
      </c>
      <c r="V194" s="1" t="str">
        <f t="shared" ref="V194:V257" si="27">"里程返程"</f>
        <v>里程返程</v>
      </c>
      <c r="W194" s="1" t="s">
        <v>35</v>
      </c>
    </row>
    <row r="195" spans="1:23" x14ac:dyDescent="0.3">
      <c r="A195" s="1" t="str">
        <f t="shared" si="25"/>
        <v>59828</v>
      </c>
      <c r="B195" s="1" t="s">
        <v>23</v>
      </c>
      <c r="C195" s="1" t="s">
        <v>24</v>
      </c>
      <c r="D195" s="1" t="str">
        <f t="shared" si="26"/>
        <v>9801</v>
      </c>
      <c r="E195" s="1" t="s">
        <v>25</v>
      </c>
      <c r="F195" s="1" t="str">
        <f>"25827325"</f>
        <v>25827325</v>
      </c>
      <c r="G195" s="1" t="s">
        <v>96</v>
      </c>
      <c r="H195" s="1" t="str">
        <f t="shared" si="22"/>
        <v>20220903</v>
      </c>
      <c r="I195" s="1" t="str">
        <f>"163233"</f>
        <v>163233</v>
      </c>
      <c r="J195" s="1" t="s">
        <v>44</v>
      </c>
      <c r="K195" s="1" t="s">
        <v>45</v>
      </c>
      <c r="L195" s="1" t="str">
        <f t="shared" si="23"/>
        <v>20220903</v>
      </c>
      <c r="M195" s="1" t="str">
        <f>"164829"</f>
        <v>164829</v>
      </c>
      <c r="N195" s="1" t="s">
        <v>28</v>
      </c>
      <c r="O195" s="1" t="s">
        <v>28</v>
      </c>
      <c r="P195" s="1" t="s">
        <v>55</v>
      </c>
      <c r="Q195" s="1">
        <v>13</v>
      </c>
      <c r="R195" s="1">
        <v>13</v>
      </c>
      <c r="S195" s="1">
        <v>0</v>
      </c>
      <c r="T195" s="1">
        <v>0</v>
      </c>
      <c r="U195" s="1">
        <v>0</v>
      </c>
      <c r="V195" s="1" t="str">
        <f t="shared" si="27"/>
        <v>里程返程</v>
      </c>
      <c r="W195" s="1" t="s">
        <v>35</v>
      </c>
    </row>
    <row r="196" spans="1:23" x14ac:dyDescent="0.3">
      <c r="A196" s="1" t="str">
        <f t="shared" si="25"/>
        <v>59828</v>
      </c>
      <c r="B196" s="1" t="s">
        <v>23</v>
      </c>
      <c r="C196" s="1" t="s">
        <v>24</v>
      </c>
      <c r="D196" s="1" t="str">
        <f t="shared" si="26"/>
        <v>9801</v>
      </c>
      <c r="E196" s="1" t="s">
        <v>25</v>
      </c>
      <c r="F196" s="1" t="str">
        <f>"804136613"</f>
        <v>804136613</v>
      </c>
      <c r="G196" s="1" t="s">
        <v>26</v>
      </c>
      <c r="H196" s="1" t="str">
        <f t="shared" si="22"/>
        <v>20220903</v>
      </c>
      <c r="I196" s="1" t="str">
        <f>"163234"</f>
        <v>163234</v>
      </c>
      <c r="J196" s="1" t="s">
        <v>44</v>
      </c>
      <c r="K196" s="1" t="s">
        <v>45</v>
      </c>
      <c r="L196" s="1" t="str">
        <f t="shared" si="23"/>
        <v>20220903</v>
      </c>
      <c r="M196" s="1" t="str">
        <f>"164844"</f>
        <v>164844</v>
      </c>
      <c r="N196" s="1" t="s">
        <v>28</v>
      </c>
      <c r="O196" s="1" t="s">
        <v>28</v>
      </c>
      <c r="P196" s="1" t="s">
        <v>55</v>
      </c>
      <c r="Q196" s="1">
        <v>13</v>
      </c>
      <c r="R196" s="1">
        <v>0</v>
      </c>
      <c r="S196" s="1">
        <v>13</v>
      </c>
      <c r="T196" s="1">
        <v>0</v>
      </c>
      <c r="U196" s="1">
        <v>0</v>
      </c>
      <c r="V196" s="1" t="str">
        <f t="shared" si="27"/>
        <v>里程返程</v>
      </c>
      <c r="W196" s="1" t="s">
        <v>35</v>
      </c>
    </row>
    <row r="197" spans="1:23" x14ac:dyDescent="0.3">
      <c r="A197" s="1" t="str">
        <f t="shared" si="25"/>
        <v>59828</v>
      </c>
      <c r="B197" s="1" t="s">
        <v>23</v>
      </c>
      <c r="C197" s="1" t="s">
        <v>24</v>
      </c>
      <c r="D197" s="1" t="str">
        <f t="shared" si="26"/>
        <v>9801</v>
      </c>
      <c r="E197" s="1" t="s">
        <v>25</v>
      </c>
      <c r="F197" s="1" t="str">
        <f>"4222936045"</f>
        <v>4222936045</v>
      </c>
      <c r="G197" s="1" t="s">
        <v>26</v>
      </c>
      <c r="H197" s="1" t="str">
        <f t="shared" si="22"/>
        <v>20220903</v>
      </c>
      <c r="I197" s="1" t="str">
        <f>"163240"</f>
        <v>163240</v>
      </c>
      <c r="J197" s="1" t="s">
        <v>44</v>
      </c>
      <c r="K197" s="1" t="s">
        <v>45</v>
      </c>
      <c r="L197" s="1" t="str">
        <f t="shared" si="23"/>
        <v>20220903</v>
      </c>
      <c r="M197" s="1" t="str">
        <f>"164825"</f>
        <v>164825</v>
      </c>
      <c r="N197" s="1" t="s">
        <v>28</v>
      </c>
      <c r="O197" s="1" t="s">
        <v>28</v>
      </c>
      <c r="P197" s="1" t="s">
        <v>55</v>
      </c>
      <c r="Q197" s="1">
        <v>13</v>
      </c>
      <c r="R197" s="1">
        <v>0</v>
      </c>
      <c r="S197" s="1">
        <v>13</v>
      </c>
      <c r="T197" s="1">
        <v>0</v>
      </c>
      <c r="U197" s="1">
        <v>0</v>
      </c>
      <c r="V197" s="1" t="str">
        <f t="shared" si="27"/>
        <v>里程返程</v>
      </c>
      <c r="W197" s="1" t="s">
        <v>35</v>
      </c>
    </row>
    <row r="198" spans="1:23" x14ac:dyDescent="0.3">
      <c r="A198" s="1" t="str">
        <f t="shared" si="25"/>
        <v>59828</v>
      </c>
      <c r="B198" s="1" t="s">
        <v>23</v>
      </c>
      <c r="C198" s="1" t="s">
        <v>24</v>
      </c>
      <c r="D198" s="1" t="str">
        <f t="shared" si="26"/>
        <v>9801</v>
      </c>
      <c r="E198" s="1" t="s">
        <v>25</v>
      </c>
      <c r="F198" s="1" t="str">
        <f>"813320661"</f>
        <v>813320661</v>
      </c>
      <c r="G198" s="1" t="s">
        <v>26</v>
      </c>
      <c r="H198" s="1" t="str">
        <f t="shared" si="22"/>
        <v>20220903</v>
      </c>
      <c r="I198" s="1" t="str">
        <f>"163240"</f>
        <v>163240</v>
      </c>
      <c r="J198" s="1" t="s">
        <v>44</v>
      </c>
      <c r="K198" s="1" t="s">
        <v>45</v>
      </c>
      <c r="L198" s="1" t="str">
        <f t="shared" si="23"/>
        <v>20220903</v>
      </c>
      <c r="M198" s="1" t="str">
        <f>"164821"</f>
        <v>164821</v>
      </c>
      <c r="N198" s="1" t="s">
        <v>28</v>
      </c>
      <c r="O198" s="1" t="s">
        <v>28</v>
      </c>
      <c r="P198" s="1" t="s">
        <v>55</v>
      </c>
      <c r="Q198" s="1">
        <v>13</v>
      </c>
      <c r="R198" s="1">
        <v>0</v>
      </c>
      <c r="S198" s="1">
        <v>13</v>
      </c>
      <c r="T198" s="1">
        <v>0</v>
      </c>
      <c r="U198" s="1">
        <v>0</v>
      </c>
      <c r="V198" s="1" t="str">
        <f t="shared" si="27"/>
        <v>里程返程</v>
      </c>
      <c r="W198" s="1" t="s">
        <v>35</v>
      </c>
    </row>
    <row r="199" spans="1:23" x14ac:dyDescent="0.3">
      <c r="A199" s="1" t="str">
        <f t="shared" si="25"/>
        <v>59828</v>
      </c>
      <c r="B199" s="1" t="s">
        <v>23</v>
      </c>
      <c r="C199" s="1" t="s">
        <v>24</v>
      </c>
      <c r="D199" s="1" t="str">
        <f t="shared" si="26"/>
        <v>9801</v>
      </c>
      <c r="E199" s="1" t="s">
        <v>25</v>
      </c>
      <c r="F199" s="1" t="str">
        <f>"942396965"</f>
        <v>942396965</v>
      </c>
      <c r="G199" s="1" t="s">
        <v>26</v>
      </c>
      <c r="H199" s="1" t="str">
        <f t="shared" si="22"/>
        <v>20220903</v>
      </c>
      <c r="I199" s="1" t="str">
        <f>"163246"</f>
        <v>163246</v>
      </c>
      <c r="J199" s="1" t="s">
        <v>44</v>
      </c>
      <c r="K199" s="1" t="s">
        <v>45</v>
      </c>
      <c r="L199" s="1" t="str">
        <f t="shared" si="23"/>
        <v>20220903</v>
      </c>
      <c r="M199" s="1" t="str">
        <f>"164838"</f>
        <v>164838</v>
      </c>
      <c r="N199" s="1" t="s">
        <v>28</v>
      </c>
      <c r="O199" s="1" t="s">
        <v>28</v>
      </c>
      <c r="P199" s="1" t="s">
        <v>55</v>
      </c>
      <c r="Q199" s="1">
        <v>13</v>
      </c>
      <c r="R199" s="1">
        <v>0</v>
      </c>
      <c r="S199" s="1">
        <v>13</v>
      </c>
      <c r="T199" s="1">
        <v>0</v>
      </c>
      <c r="U199" s="1">
        <v>0</v>
      </c>
      <c r="V199" s="1" t="str">
        <f t="shared" si="27"/>
        <v>里程返程</v>
      </c>
      <c r="W199" s="1" t="s">
        <v>35</v>
      </c>
    </row>
    <row r="200" spans="1:23" x14ac:dyDescent="0.3">
      <c r="A200" s="1" t="str">
        <f t="shared" si="25"/>
        <v>59828</v>
      </c>
      <c r="B200" s="1" t="s">
        <v>23</v>
      </c>
      <c r="C200" s="1" t="s">
        <v>24</v>
      </c>
      <c r="D200" s="1" t="str">
        <f t="shared" si="26"/>
        <v>9801</v>
      </c>
      <c r="E200" s="1" t="s">
        <v>25</v>
      </c>
      <c r="F200" s="1" t="str">
        <f>"1406404689"</f>
        <v>1406404689</v>
      </c>
      <c r="G200" s="1" t="s">
        <v>26</v>
      </c>
      <c r="H200" s="1" t="str">
        <f t="shared" si="22"/>
        <v>20220903</v>
      </c>
      <c r="I200" s="1" t="str">
        <f>"163253"</f>
        <v>163253</v>
      </c>
      <c r="J200" s="1" t="s">
        <v>44</v>
      </c>
      <c r="K200" s="1" t="s">
        <v>45</v>
      </c>
      <c r="L200" s="1" t="str">
        <f t="shared" si="23"/>
        <v>20220903</v>
      </c>
      <c r="M200" s="1" t="str">
        <f>"164841"</f>
        <v>164841</v>
      </c>
      <c r="N200" s="1" t="s">
        <v>28</v>
      </c>
      <c r="O200" s="1" t="s">
        <v>28</v>
      </c>
      <c r="P200" s="1" t="s">
        <v>55</v>
      </c>
      <c r="Q200" s="1">
        <v>13</v>
      </c>
      <c r="R200" s="1">
        <v>0</v>
      </c>
      <c r="S200" s="1">
        <v>13</v>
      </c>
      <c r="T200" s="1">
        <v>0</v>
      </c>
      <c r="U200" s="1">
        <v>0</v>
      </c>
      <c r="V200" s="1" t="str">
        <f t="shared" si="27"/>
        <v>里程返程</v>
      </c>
      <c r="W200" s="1" t="s">
        <v>35</v>
      </c>
    </row>
    <row r="201" spans="1:23" x14ac:dyDescent="0.3">
      <c r="A201" s="1" t="str">
        <f t="shared" si="25"/>
        <v>59828</v>
      </c>
      <c r="B201" s="1" t="s">
        <v>23</v>
      </c>
      <c r="C201" s="1" t="s">
        <v>24</v>
      </c>
      <c r="D201" s="1" t="str">
        <f t="shared" si="26"/>
        <v>9801</v>
      </c>
      <c r="E201" s="1" t="s">
        <v>25</v>
      </c>
      <c r="F201" s="1" t="str">
        <f>"E9001910E08804004326A4E600150211"</f>
        <v>E9001910E08804004326A4E600150211</v>
      </c>
      <c r="G201" s="1" t="s">
        <v>58</v>
      </c>
      <c r="H201" s="1" t="str">
        <f t="shared" si="22"/>
        <v>20220903</v>
      </c>
      <c r="I201" s="1" t="str">
        <f>"164901"</f>
        <v>164901</v>
      </c>
      <c r="J201" s="1" t="s">
        <v>28</v>
      </c>
      <c r="K201" s="1" t="s">
        <v>28</v>
      </c>
      <c r="L201" s="1" t="str">
        <f t="shared" si="23"/>
        <v>20220903</v>
      </c>
      <c r="M201" s="1" t="str">
        <f>"165951"</f>
        <v>165951</v>
      </c>
      <c r="N201" s="1" t="s">
        <v>84</v>
      </c>
      <c r="O201" s="1" t="s">
        <v>28</v>
      </c>
      <c r="P201" s="1" t="s">
        <v>55</v>
      </c>
      <c r="Q201" s="1">
        <v>25</v>
      </c>
      <c r="R201" s="1">
        <v>25</v>
      </c>
      <c r="S201" s="1">
        <v>0</v>
      </c>
      <c r="T201" s="1">
        <v>0</v>
      </c>
      <c r="U201" s="1">
        <v>0</v>
      </c>
      <c r="V201" s="1" t="str">
        <f t="shared" si="27"/>
        <v>里程返程</v>
      </c>
      <c r="W201" s="1" t="s">
        <v>29</v>
      </c>
    </row>
    <row r="202" spans="1:23" x14ac:dyDescent="0.3">
      <c r="A202" s="1" t="str">
        <f t="shared" si="25"/>
        <v>59828</v>
      </c>
      <c r="B202" s="1" t="s">
        <v>23</v>
      </c>
      <c r="C202" s="1" t="s">
        <v>24</v>
      </c>
      <c r="D202" s="1" t="str">
        <f t="shared" si="26"/>
        <v>9801</v>
      </c>
      <c r="E202" s="1" t="s">
        <v>25</v>
      </c>
      <c r="F202" s="1" t="str">
        <f>"021C29182F880400C819002000000019"</f>
        <v>021C29182F880400C819002000000019</v>
      </c>
      <c r="G202" s="1" t="s">
        <v>59</v>
      </c>
      <c r="H202" s="1" t="str">
        <f t="shared" si="22"/>
        <v>20220903</v>
      </c>
      <c r="I202" s="1" t="str">
        <f>"164914"</f>
        <v>164914</v>
      </c>
      <c r="J202" s="1" t="s">
        <v>28</v>
      </c>
      <c r="K202" s="1" t="s">
        <v>28</v>
      </c>
      <c r="L202" s="1" t="str">
        <f t="shared" si="23"/>
        <v>20220903</v>
      </c>
      <c r="M202" s="1" t="str">
        <f>"170405"</f>
        <v>170405</v>
      </c>
      <c r="N202" s="1" t="s">
        <v>67</v>
      </c>
      <c r="O202" s="1" t="s">
        <v>52</v>
      </c>
      <c r="P202" s="1" t="s">
        <v>55</v>
      </c>
      <c r="Q202" s="1">
        <v>25</v>
      </c>
      <c r="R202" s="1">
        <v>25</v>
      </c>
      <c r="S202" s="1">
        <v>0</v>
      </c>
      <c r="T202" s="1">
        <v>0</v>
      </c>
      <c r="U202" s="1">
        <v>0</v>
      </c>
      <c r="V202" s="1" t="str">
        <f t="shared" si="27"/>
        <v>里程返程</v>
      </c>
      <c r="W202" s="1" t="s">
        <v>29</v>
      </c>
    </row>
    <row r="203" spans="1:23" x14ac:dyDescent="0.3">
      <c r="A203" s="1" t="str">
        <f t="shared" si="25"/>
        <v>59828</v>
      </c>
      <c r="B203" s="1" t="s">
        <v>23</v>
      </c>
      <c r="C203" s="1" t="s">
        <v>24</v>
      </c>
      <c r="D203" s="1" t="str">
        <f t="shared" si="26"/>
        <v>9801</v>
      </c>
      <c r="E203" s="1" t="s">
        <v>25</v>
      </c>
      <c r="F203" s="1" t="str">
        <f>"F276E60260880400C834002000000015"</f>
        <v>F276E60260880400C834002000000015</v>
      </c>
      <c r="G203" s="1" t="s">
        <v>74</v>
      </c>
      <c r="H203" s="1" t="str">
        <f t="shared" si="22"/>
        <v>20220903</v>
      </c>
      <c r="I203" s="1" t="str">
        <f>"170219"</f>
        <v>170219</v>
      </c>
      <c r="J203" s="1" t="s">
        <v>83</v>
      </c>
      <c r="K203" s="1" t="s">
        <v>52</v>
      </c>
      <c r="L203" s="1" t="str">
        <f t="shared" si="23"/>
        <v>20220903</v>
      </c>
      <c r="M203" s="1" t="str">
        <f>"171538"</f>
        <v>171538</v>
      </c>
      <c r="N203" s="1" t="s">
        <v>65</v>
      </c>
      <c r="O203" s="1" t="s">
        <v>52</v>
      </c>
      <c r="P203" s="1" t="s">
        <v>68</v>
      </c>
      <c r="Q203" s="1">
        <v>13</v>
      </c>
      <c r="R203" s="1">
        <v>0</v>
      </c>
      <c r="S203" s="1">
        <v>0</v>
      </c>
      <c r="T203" s="1">
        <v>13</v>
      </c>
      <c r="U203" s="1">
        <v>0</v>
      </c>
      <c r="V203" s="1" t="str">
        <f t="shared" si="27"/>
        <v>里程返程</v>
      </c>
      <c r="W203" s="1" t="s">
        <v>29</v>
      </c>
    </row>
    <row r="204" spans="1:23" x14ac:dyDescent="0.3">
      <c r="A204" s="1" t="str">
        <f t="shared" si="25"/>
        <v>59828</v>
      </c>
      <c r="B204" s="1" t="s">
        <v>23</v>
      </c>
      <c r="C204" s="1" t="s">
        <v>24</v>
      </c>
      <c r="D204" s="1" t="str">
        <f t="shared" si="26"/>
        <v>9801</v>
      </c>
      <c r="E204" s="1" t="s">
        <v>25</v>
      </c>
      <c r="F204" s="1" t="str">
        <f>"52534E1B54880400C822002000000021"</f>
        <v>52534E1B54880400C822002000000021</v>
      </c>
      <c r="G204" s="1" t="s">
        <v>66</v>
      </c>
      <c r="H204" s="1" t="str">
        <f t="shared" si="22"/>
        <v>20220903</v>
      </c>
      <c r="I204" s="1" t="str">
        <f>"170221"</f>
        <v>170221</v>
      </c>
      <c r="J204" s="1" t="s">
        <v>83</v>
      </c>
      <c r="K204" s="1" t="s">
        <v>52</v>
      </c>
      <c r="L204" s="1" t="str">
        <f t="shared" si="23"/>
        <v>20220903</v>
      </c>
      <c r="M204" s="1" t="str">
        <f>"171540"</f>
        <v>171540</v>
      </c>
      <c r="N204" s="1" t="s">
        <v>65</v>
      </c>
      <c r="O204" s="1" t="s">
        <v>52</v>
      </c>
      <c r="P204" s="1" t="s">
        <v>55</v>
      </c>
      <c r="Q204" s="1">
        <v>13</v>
      </c>
      <c r="R204" s="1">
        <v>13</v>
      </c>
      <c r="S204" s="1">
        <v>0</v>
      </c>
      <c r="T204" s="1">
        <v>0</v>
      </c>
      <c r="U204" s="1">
        <v>0</v>
      </c>
      <c r="V204" s="1" t="str">
        <f t="shared" si="27"/>
        <v>里程返程</v>
      </c>
      <c r="W204" s="1" t="s">
        <v>29</v>
      </c>
    </row>
    <row r="205" spans="1:23" x14ac:dyDescent="0.3">
      <c r="A205" s="1" t="str">
        <f t="shared" ref="A205:A213" si="28">"59822"</f>
        <v>59822</v>
      </c>
      <c r="B205" s="1" t="s">
        <v>39</v>
      </c>
      <c r="C205" s="1" t="s">
        <v>40</v>
      </c>
      <c r="D205" s="1" t="str">
        <f t="shared" si="26"/>
        <v>9801</v>
      </c>
      <c r="E205" s="1" t="s">
        <v>25</v>
      </c>
      <c r="F205" s="1" t="str">
        <f>"1658104480"</f>
        <v>1658104480</v>
      </c>
      <c r="G205" s="1" t="s">
        <v>33</v>
      </c>
      <c r="H205" s="1" t="str">
        <f t="shared" ref="H205:H236" si="29">"20220904"</f>
        <v>20220904</v>
      </c>
      <c r="I205" s="1" t="str">
        <f>"174259"</f>
        <v>174259</v>
      </c>
      <c r="J205" s="1" t="s">
        <v>79</v>
      </c>
      <c r="K205" s="1" t="s">
        <v>45</v>
      </c>
      <c r="L205" s="1" t="str">
        <f t="shared" ref="L205:L211" si="30">"20220904"</f>
        <v>20220904</v>
      </c>
      <c r="M205" s="1" t="str">
        <f>"174937"</f>
        <v>174937</v>
      </c>
      <c r="N205" s="1" t="s">
        <v>28</v>
      </c>
      <c r="O205" s="1" t="s">
        <v>28</v>
      </c>
      <c r="P205" s="1" t="s">
        <v>55</v>
      </c>
      <c r="Q205" s="1">
        <v>25</v>
      </c>
      <c r="R205" s="1">
        <v>25</v>
      </c>
      <c r="S205" s="1">
        <v>0</v>
      </c>
      <c r="T205" s="1">
        <v>0</v>
      </c>
      <c r="U205" s="1">
        <v>0</v>
      </c>
      <c r="V205" s="1" t="str">
        <f t="shared" si="27"/>
        <v>里程返程</v>
      </c>
      <c r="W205" s="1" t="s">
        <v>35</v>
      </c>
    </row>
    <row r="206" spans="1:23" x14ac:dyDescent="0.3">
      <c r="A206" s="1" t="str">
        <f t="shared" si="28"/>
        <v>59822</v>
      </c>
      <c r="B206" s="1" t="s">
        <v>39</v>
      </c>
      <c r="C206" s="1" t="s">
        <v>40</v>
      </c>
      <c r="D206" s="1" t="str">
        <f t="shared" si="26"/>
        <v>9801</v>
      </c>
      <c r="E206" s="1" t="s">
        <v>25</v>
      </c>
      <c r="F206" s="1" t="str">
        <f>"1561820417"</f>
        <v>1561820417</v>
      </c>
      <c r="G206" s="1" t="s">
        <v>33</v>
      </c>
      <c r="H206" s="1" t="str">
        <f t="shared" si="29"/>
        <v>20220904</v>
      </c>
      <c r="I206" s="1" t="str">
        <f>"175009"</f>
        <v>175009</v>
      </c>
      <c r="J206" s="1" t="s">
        <v>28</v>
      </c>
      <c r="K206" s="1" t="s">
        <v>28</v>
      </c>
      <c r="L206" s="1" t="str">
        <f t="shared" si="30"/>
        <v>20220904</v>
      </c>
      <c r="M206" s="1" t="str">
        <f>"182303"</f>
        <v>182303</v>
      </c>
      <c r="N206" s="1" t="s">
        <v>52</v>
      </c>
      <c r="O206" s="1" t="s">
        <v>52</v>
      </c>
      <c r="P206" s="1" t="s">
        <v>55</v>
      </c>
      <c r="Q206" s="1">
        <v>25</v>
      </c>
      <c r="R206" s="1">
        <v>25</v>
      </c>
      <c r="S206" s="1">
        <v>0</v>
      </c>
      <c r="T206" s="1">
        <v>0</v>
      </c>
      <c r="U206" s="1">
        <v>0</v>
      </c>
      <c r="V206" s="1" t="str">
        <f t="shared" si="27"/>
        <v>里程返程</v>
      </c>
      <c r="W206" s="1" t="s">
        <v>35</v>
      </c>
    </row>
    <row r="207" spans="1:23" x14ac:dyDescent="0.3">
      <c r="A207" s="1" t="str">
        <f t="shared" si="28"/>
        <v>59822</v>
      </c>
      <c r="B207" s="1" t="s">
        <v>39</v>
      </c>
      <c r="C207" s="1" t="s">
        <v>40</v>
      </c>
      <c r="D207" s="1" t="str">
        <f t="shared" si="26"/>
        <v>9801</v>
      </c>
      <c r="E207" s="1" t="s">
        <v>25</v>
      </c>
      <c r="F207" s="1" t="str">
        <f>"108155457"</f>
        <v>108155457</v>
      </c>
      <c r="G207" s="1" t="s">
        <v>33</v>
      </c>
      <c r="H207" s="1" t="str">
        <f t="shared" si="29"/>
        <v>20220904</v>
      </c>
      <c r="I207" s="1" t="str">
        <f>"175021"</f>
        <v>175021</v>
      </c>
      <c r="J207" s="1" t="s">
        <v>28</v>
      </c>
      <c r="K207" s="1" t="s">
        <v>28</v>
      </c>
      <c r="L207" s="1" t="str">
        <f t="shared" si="30"/>
        <v>20220904</v>
      </c>
      <c r="M207" s="1" t="str">
        <f>"180247"</f>
        <v>180247</v>
      </c>
      <c r="N207" s="1" t="s">
        <v>83</v>
      </c>
      <c r="O207" s="1" t="s">
        <v>52</v>
      </c>
      <c r="P207" s="1" t="s">
        <v>55</v>
      </c>
      <c r="Q207" s="1">
        <v>25</v>
      </c>
      <c r="R207" s="1">
        <v>25</v>
      </c>
      <c r="S207" s="1">
        <v>0</v>
      </c>
      <c r="T207" s="1">
        <v>0</v>
      </c>
      <c r="U207" s="1">
        <v>0</v>
      </c>
      <c r="V207" s="1" t="str">
        <f t="shared" si="27"/>
        <v>里程返程</v>
      </c>
      <c r="W207" s="1" t="s">
        <v>35</v>
      </c>
    </row>
    <row r="208" spans="1:23" x14ac:dyDescent="0.3">
      <c r="A208" s="1" t="str">
        <f t="shared" si="28"/>
        <v>59822</v>
      </c>
      <c r="B208" s="1" t="s">
        <v>39</v>
      </c>
      <c r="C208" s="1" t="s">
        <v>40</v>
      </c>
      <c r="D208" s="1" t="str">
        <f t="shared" si="26"/>
        <v>9801</v>
      </c>
      <c r="E208" s="1" t="s">
        <v>25</v>
      </c>
      <c r="F208" s="1" t="str">
        <f>"7311170791004013"</f>
        <v>7311170791004013</v>
      </c>
      <c r="G208" s="1" t="s">
        <v>33</v>
      </c>
      <c r="H208" s="1" t="str">
        <f t="shared" si="29"/>
        <v>20220904</v>
      </c>
      <c r="I208" s="1" t="str">
        <f>"175200"</f>
        <v>175200</v>
      </c>
      <c r="J208" s="1" t="s">
        <v>28</v>
      </c>
      <c r="K208" s="1" t="s">
        <v>28</v>
      </c>
      <c r="L208" s="1" t="str">
        <f t="shared" si="30"/>
        <v>20220904</v>
      </c>
      <c r="M208" s="1" t="str">
        <f>"182258"</f>
        <v>182258</v>
      </c>
      <c r="N208" s="1" t="s">
        <v>52</v>
      </c>
      <c r="O208" s="1" t="s">
        <v>52</v>
      </c>
      <c r="P208" s="1" t="s">
        <v>55</v>
      </c>
      <c r="Q208" s="1">
        <v>25</v>
      </c>
      <c r="R208" s="1">
        <v>25</v>
      </c>
      <c r="S208" s="1">
        <v>0</v>
      </c>
      <c r="T208" s="1">
        <v>0</v>
      </c>
      <c r="U208" s="1">
        <v>0</v>
      </c>
      <c r="V208" s="1" t="str">
        <f t="shared" si="27"/>
        <v>里程返程</v>
      </c>
      <c r="W208" s="1" t="s">
        <v>109</v>
      </c>
    </row>
    <row r="209" spans="1:23" x14ac:dyDescent="0.3">
      <c r="A209" s="1" t="str">
        <f t="shared" si="28"/>
        <v>59822</v>
      </c>
      <c r="B209" s="1" t="s">
        <v>39</v>
      </c>
      <c r="C209" s="1" t="s">
        <v>40</v>
      </c>
      <c r="D209" s="1" t="str">
        <f t="shared" si="26"/>
        <v>9801</v>
      </c>
      <c r="E209" s="1" t="s">
        <v>25</v>
      </c>
      <c r="F209" s="1" t="str">
        <f>"1713976517"</f>
        <v>1713976517</v>
      </c>
      <c r="G209" s="1" t="s">
        <v>33</v>
      </c>
      <c r="H209" s="1" t="str">
        <f t="shared" si="29"/>
        <v>20220904</v>
      </c>
      <c r="I209" s="1" t="str">
        <f>"175216"</f>
        <v>175216</v>
      </c>
      <c r="J209" s="1" t="s">
        <v>28</v>
      </c>
      <c r="K209" s="1" t="s">
        <v>28</v>
      </c>
      <c r="L209" s="1" t="str">
        <f t="shared" si="30"/>
        <v>20220904</v>
      </c>
      <c r="M209" s="1" t="str">
        <f>"181648"</f>
        <v>181648</v>
      </c>
      <c r="N209" s="1" t="s">
        <v>72</v>
      </c>
      <c r="O209" s="1" t="s">
        <v>52</v>
      </c>
      <c r="P209" s="1" t="s">
        <v>55</v>
      </c>
      <c r="Q209" s="1">
        <v>25</v>
      </c>
      <c r="R209" s="1">
        <v>25</v>
      </c>
      <c r="S209" s="1">
        <v>0</v>
      </c>
      <c r="T209" s="1">
        <v>0</v>
      </c>
      <c r="U209" s="1">
        <v>0</v>
      </c>
      <c r="V209" s="1" t="str">
        <f t="shared" si="27"/>
        <v>里程返程</v>
      </c>
      <c r="W209" s="1" t="s">
        <v>35</v>
      </c>
    </row>
    <row r="210" spans="1:23" x14ac:dyDescent="0.3">
      <c r="A210" s="1" t="str">
        <f t="shared" si="28"/>
        <v>59822</v>
      </c>
      <c r="B210" s="1" t="s">
        <v>39</v>
      </c>
      <c r="C210" s="1" t="s">
        <v>40</v>
      </c>
      <c r="D210" s="1" t="str">
        <f t="shared" si="26"/>
        <v>9801</v>
      </c>
      <c r="E210" s="1" t="s">
        <v>25</v>
      </c>
      <c r="F210" s="1" t="str">
        <f>"723936145"</f>
        <v>723936145</v>
      </c>
      <c r="G210" s="1" t="s">
        <v>33</v>
      </c>
      <c r="H210" s="1" t="str">
        <f t="shared" si="29"/>
        <v>20220904</v>
      </c>
      <c r="I210" s="1" t="str">
        <f>"175225"</f>
        <v>175225</v>
      </c>
      <c r="J210" s="1" t="s">
        <v>28</v>
      </c>
      <c r="K210" s="1" t="s">
        <v>28</v>
      </c>
      <c r="L210" s="1" t="str">
        <f t="shared" si="30"/>
        <v>20220904</v>
      </c>
      <c r="M210" s="1" t="str">
        <f>"181221"</f>
        <v>181221</v>
      </c>
      <c r="N210" s="1" t="s">
        <v>80</v>
      </c>
      <c r="O210" s="1" t="s">
        <v>52</v>
      </c>
      <c r="P210" s="1" t="s">
        <v>55</v>
      </c>
      <c r="Q210" s="1">
        <v>25</v>
      </c>
      <c r="R210" s="1">
        <v>25</v>
      </c>
      <c r="S210" s="1">
        <v>0</v>
      </c>
      <c r="T210" s="1">
        <v>0</v>
      </c>
      <c r="U210" s="1">
        <v>0</v>
      </c>
      <c r="V210" s="1" t="str">
        <f t="shared" si="27"/>
        <v>里程返程</v>
      </c>
      <c r="W210" s="1" t="s">
        <v>35</v>
      </c>
    </row>
    <row r="211" spans="1:23" x14ac:dyDescent="0.3">
      <c r="A211" s="1" t="str">
        <f t="shared" si="28"/>
        <v>59822</v>
      </c>
      <c r="B211" s="1" t="s">
        <v>39</v>
      </c>
      <c r="C211" s="1" t="s">
        <v>40</v>
      </c>
      <c r="D211" s="1" t="str">
        <f t="shared" si="26"/>
        <v>9801</v>
      </c>
      <c r="E211" s="1" t="s">
        <v>25</v>
      </c>
      <c r="F211" s="1" t="str">
        <f>"1110524741"</f>
        <v>1110524741</v>
      </c>
      <c r="G211" s="1" t="s">
        <v>26</v>
      </c>
      <c r="H211" s="1" t="str">
        <f t="shared" si="29"/>
        <v>20220904</v>
      </c>
      <c r="I211" s="1" t="str">
        <f>"175344"</f>
        <v>175344</v>
      </c>
      <c r="J211" s="1" t="s">
        <v>28</v>
      </c>
      <c r="K211" s="1" t="s">
        <v>28</v>
      </c>
      <c r="L211" s="1" t="str">
        <f t="shared" si="30"/>
        <v>20220904</v>
      </c>
      <c r="M211" s="1" t="str">
        <f>"180818"</f>
        <v>180818</v>
      </c>
      <c r="N211" s="1" t="s">
        <v>69</v>
      </c>
      <c r="O211" s="1" t="s">
        <v>52</v>
      </c>
      <c r="P211" s="1" t="s">
        <v>55</v>
      </c>
      <c r="Q211" s="1">
        <v>13</v>
      </c>
      <c r="R211" s="1">
        <v>0</v>
      </c>
      <c r="S211" s="1">
        <v>13</v>
      </c>
      <c r="T211" s="1">
        <v>0</v>
      </c>
      <c r="U211" s="1">
        <v>0</v>
      </c>
      <c r="V211" s="1" t="str">
        <f t="shared" si="27"/>
        <v>里程返程</v>
      </c>
      <c r="W211" s="1" t="s">
        <v>35</v>
      </c>
    </row>
    <row r="212" spans="1:23" x14ac:dyDescent="0.3">
      <c r="A212" s="1" t="str">
        <f t="shared" si="28"/>
        <v>59822</v>
      </c>
      <c r="B212" s="1" t="s">
        <v>39</v>
      </c>
      <c r="C212" s="1" t="s">
        <v>40</v>
      </c>
      <c r="D212" s="1" t="str">
        <f t="shared" si="26"/>
        <v>9801</v>
      </c>
      <c r="E212" s="1" t="s">
        <v>25</v>
      </c>
      <c r="F212" s="1" t="str">
        <f>"1525334024"</f>
        <v>1525334024</v>
      </c>
      <c r="G212" s="1" t="s">
        <v>33</v>
      </c>
      <c r="H212" s="1" t="str">
        <f t="shared" si="29"/>
        <v>20220904</v>
      </c>
      <c r="I212" s="1" t="str">
        <f>"183855"</f>
        <v>183855</v>
      </c>
      <c r="J212" s="1" t="s">
        <v>75</v>
      </c>
      <c r="K212" s="1" t="s">
        <v>45</v>
      </c>
      <c r="L212" s="1" t="str">
        <f>""</f>
        <v/>
      </c>
      <c r="M212" s="1" t="str">
        <f>""</f>
        <v/>
      </c>
      <c r="P212" s="1" t="s">
        <v>88</v>
      </c>
      <c r="Q212" s="1">
        <v>25</v>
      </c>
      <c r="R212" s="1">
        <v>25</v>
      </c>
      <c r="S212" s="1">
        <v>0</v>
      </c>
      <c r="T212" s="1">
        <v>0</v>
      </c>
      <c r="U212" s="1">
        <v>0</v>
      </c>
      <c r="V212" s="1" t="str">
        <f t="shared" si="27"/>
        <v>里程返程</v>
      </c>
      <c r="W212" s="1" t="s">
        <v>35</v>
      </c>
    </row>
    <row r="213" spans="1:23" x14ac:dyDescent="0.3">
      <c r="A213" s="1" t="str">
        <f t="shared" si="28"/>
        <v>59822</v>
      </c>
      <c r="B213" s="1" t="s">
        <v>39</v>
      </c>
      <c r="C213" s="1" t="s">
        <v>40</v>
      </c>
      <c r="D213" s="1" t="str">
        <f t="shared" si="26"/>
        <v>9801</v>
      </c>
      <c r="E213" s="1" t="s">
        <v>25</v>
      </c>
      <c r="F213" s="1" t="str">
        <f>"3221782280"</f>
        <v>3221782280</v>
      </c>
      <c r="G213" s="1" t="s">
        <v>33</v>
      </c>
      <c r="H213" s="1" t="str">
        <f t="shared" si="29"/>
        <v>20220904</v>
      </c>
      <c r="I213" s="1" t="str">
        <f>"185252"</f>
        <v>185252</v>
      </c>
      <c r="J213" s="1" t="s">
        <v>28</v>
      </c>
      <c r="K213" s="1" t="s">
        <v>28</v>
      </c>
      <c r="P213" s="1" t="s">
        <v>113</v>
      </c>
      <c r="Q213" s="1">
        <v>25</v>
      </c>
      <c r="R213" s="1">
        <v>0</v>
      </c>
      <c r="S213" s="1">
        <v>0</v>
      </c>
      <c r="T213" s="1">
        <v>0</v>
      </c>
      <c r="U213" s="1">
        <v>0</v>
      </c>
      <c r="V213" s="1" t="str">
        <f t="shared" si="27"/>
        <v>里程返程</v>
      </c>
      <c r="W213" s="1" t="s">
        <v>35</v>
      </c>
    </row>
    <row r="214" spans="1:23" x14ac:dyDescent="0.3">
      <c r="A214" s="1" t="str">
        <f t="shared" ref="A214:A223" si="31">"59825"</f>
        <v>59825</v>
      </c>
      <c r="B214" s="1" t="s">
        <v>30</v>
      </c>
      <c r="C214" s="1" t="s">
        <v>31</v>
      </c>
      <c r="D214" s="1" t="str">
        <f t="shared" si="26"/>
        <v>9801</v>
      </c>
      <c r="E214" s="1" t="s">
        <v>25</v>
      </c>
      <c r="F214" s="1" t="str">
        <f>"1558861583"</f>
        <v>1558861583</v>
      </c>
      <c r="G214" s="1" t="s">
        <v>33</v>
      </c>
      <c r="H214" s="1" t="str">
        <f t="shared" si="29"/>
        <v>20220904</v>
      </c>
      <c r="I214" s="1" t="str">
        <f>"083856"</f>
        <v>083856</v>
      </c>
      <c r="J214" s="1" t="s">
        <v>75</v>
      </c>
      <c r="K214" s="1" t="s">
        <v>45</v>
      </c>
      <c r="L214" s="1" t="str">
        <f t="shared" ref="L214:L253" si="32">"20220904"</f>
        <v>20220904</v>
      </c>
      <c r="M214" s="1" t="str">
        <f>"085344"</f>
        <v>085344</v>
      </c>
      <c r="N214" s="1" t="s">
        <v>28</v>
      </c>
      <c r="O214" s="1" t="s">
        <v>28</v>
      </c>
      <c r="P214" s="1" t="s">
        <v>55</v>
      </c>
      <c r="Q214" s="1">
        <v>25</v>
      </c>
      <c r="R214" s="1">
        <v>25</v>
      </c>
      <c r="S214" s="1">
        <v>0</v>
      </c>
      <c r="T214" s="1">
        <v>0</v>
      </c>
      <c r="U214" s="1">
        <v>0</v>
      </c>
      <c r="V214" s="1" t="str">
        <f t="shared" si="27"/>
        <v>里程返程</v>
      </c>
      <c r="W214" s="1" t="s">
        <v>35</v>
      </c>
    </row>
    <row r="215" spans="1:23" x14ac:dyDescent="0.3">
      <c r="A215" s="1" t="str">
        <f t="shared" si="31"/>
        <v>59825</v>
      </c>
      <c r="B215" s="1" t="s">
        <v>30</v>
      </c>
      <c r="C215" s="1" t="s">
        <v>31</v>
      </c>
      <c r="D215" s="1" t="str">
        <f t="shared" si="26"/>
        <v>9801</v>
      </c>
      <c r="E215" s="1" t="s">
        <v>25</v>
      </c>
      <c r="F215" s="1" t="str">
        <f>"942403653"</f>
        <v>942403653</v>
      </c>
      <c r="G215" s="1" t="s">
        <v>33</v>
      </c>
      <c r="H215" s="1" t="str">
        <f t="shared" si="29"/>
        <v>20220904</v>
      </c>
      <c r="I215" s="1" t="str">
        <f>"090636"</f>
        <v>090636</v>
      </c>
      <c r="J215" s="1" t="s">
        <v>67</v>
      </c>
      <c r="K215" s="1" t="s">
        <v>52</v>
      </c>
      <c r="L215" s="1" t="str">
        <f t="shared" si="32"/>
        <v>20220904</v>
      </c>
      <c r="M215" s="1" t="str">
        <f>"091810"</f>
        <v>091810</v>
      </c>
      <c r="N215" s="1" t="s">
        <v>72</v>
      </c>
      <c r="O215" s="1" t="s">
        <v>52</v>
      </c>
      <c r="P215" s="1" t="s">
        <v>55</v>
      </c>
      <c r="Q215" s="1">
        <v>25</v>
      </c>
      <c r="R215" s="1">
        <v>25</v>
      </c>
      <c r="S215" s="1">
        <v>0</v>
      </c>
      <c r="T215" s="1">
        <v>0</v>
      </c>
      <c r="U215" s="1">
        <v>0</v>
      </c>
      <c r="V215" s="1" t="str">
        <f t="shared" si="27"/>
        <v>里程返程</v>
      </c>
      <c r="W215" s="1" t="s">
        <v>35</v>
      </c>
    </row>
    <row r="216" spans="1:23" x14ac:dyDescent="0.3">
      <c r="A216" s="1" t="str">
        <f t="shared" si="31"/>
        <v>59825</v>
      </c>
      <c r="B216" s="1" t="s">
        <v>30</v>
      </c>
      <c r="C216" s="1" t="s">
        <v>31</v>
      </c>
      <c r="D216" s="1" t="str">
        <f t="shared" si="26"/>
        <v>9801</v>
      </c>
      <c r="E216" s="1" t="s">
        <v>25</v>
      </c>
      <c r="F216" s="1" t="str">
        <f>"1367289936"</f>
        <v>1367289936</v>
      </c>
      <c r="G216" s="1" t="s">
        <v>33</v>
      </c>
      <c r="H216" s="1" t="str">
        <f t="shared" si="29"/>
        <v>20220904</v>
      </c>
      <c r="I216" s="1" t="str">
        <f>"090638"</f>
        <v>090638</v>
      </c>
      <c r="J216" s="1" t="s">
        <v>67</v>
      </c>
      <c r="K216" s="1" t="s">
        <v>52</v>
      </c>
      <c r="L216" s="1" t="str">
        <f t="shared" si="32"/>
        <v>20220904</v>
      </c>
      <c r="M216" s="1" t="str">
        <f>"091807"</f>
        <v>091807</v>
      </c>
      <c r="N216" s="1" t="s">
        <v>72</v>
      </c>
      <c r="O216" s="1" t="s">
        <v>52</v>
      </c>
      <c r="P216" s="1" t="s">
        <v>55</v>
      </c>
      <c r="Q216" s="1">
        <v>25</v>
      </c>
      <c r="R216" s="1">
        <v>25</v>
      </c>
      <c r="S216" s="1">
        <v>0</v>
      </c>
      <c r="T216" s="1">
        <v>0</v>
      </c>
      <c r="U216" s="1">
        <v>0</v>
      </c>
      <c r="V216" s="1" t="str">
        <f t="shared" si="27"/>
        <v>里程返程</v>
      </c>
      <c r="W216" s="1" t="s">
        <v>35</v>
      </c>
    </row>
    <row r="217" spans="1:23" x14ac:dyDescent="0.3">
      <c r="A217" s="1" t="str">
        <f t="shared" si="31"/>
        <v>59825</v>
      </c>
      <c r="B217" s="1" t="s">
        <v>30</v>
      </c>
      <c r="C217" s="1" t="s">
        <v>31</v>
      </c>
      <c r="D217" s="1" t="str">
        <f t="shared" si="26"/>
        <v>9801</v>
      </c>
      <c r="E217" s="1" t="s">
        <v>25</v>
      </c>
      <c r="F217" s="1" t="str">
        <f>"1261025957"</f>
        <v>1261025957</v>
      </c>
      <c r="G217" s="1" t="s">
        <v>33</v>
      </c>
      <c r="H217" s="1" t="str">
        <f t="shared" si="29"/>
        <v>20220904</v>
      </c>
      <c r="I217" s="1" t="str">
        <f>"115623"</f>
        <v>115623</v>
      </c>
      <c r="J217" s="1" t="s">
        <v>28</v>
      </c>
      <c r="K217" s="1" t="s">
        <v>28</v>
      </c>
      <c r="L217" s="1" t="str">
        <f t="shared" si="32"/>
        <v>20220904</v>
      </c>
      <c r="M217" s="1" t="str">
        <f>"122454"</f>
        <v>122454</v>
      </c>
      <c r="N217" s="1" t="s">
        <v>52</v>
      </c>
      <c r="O217" s="1" t="s">
        <v>52</v>
      </c>
      <c r="P217" s="1" t="s">
        <v>55</v>
      </c>
      <c r="Q217" s="1">
        <v>25</v>
      </c>
      <c r="R217" s="1">
        <v>0</v>
      </c>
      <c r="S217" s="1">
        <v>25</v>
      </c>
      <c r="T217" s="1">
        <v>0</v>
      </c>
      <c r="U217" s="1">
        <v>0</v>
      </c>
      <c r="V217" s="1" t="str">
        <f t="shared" si="27"/>
        <v>里程返程</v>
      </c>
      <c r="W217" s="1" t="s">
        <v>35</v>
      </c>
    </row>
    <row r="218" spans="1:23" x14ac:dyDescent="0.3">
      <c r="A218" s="1" t="str">
        <f t="shared" si="31"/>
        <v>59825</v>
      </c>
      <c r="B218" s="1" t="s">
        <v>30</v>
      </c>
      <c r="C218" s="1" t="s">
        <v>31</v>
      </c>
      <c r="D218" s="1" t="str">
        <f t="shared" si="26"/>
        <v>9801</v>
      </c>
      <c r="E218" s="1" t="s">
        <v>25</v>
      </c>
      <c r="F218" s="1" t="str">
        <f>"669733429"</f>
        <v>669733429</v>
      </c>
      <c r="G218" s="1" t="s">
        <v>33</v>
      </c>
      <c r="H218" s="1" t="str">
        <f t="shared" si="29"/>
        <v>20220904</v>
      </c>
      <c r="I218" s="1" t="str">
        <f>"115626"</f>
        <v>115626</v>
      </c>
      <c r="J218" s="1" t="s">
        <v>28</v>
      </c>
      <c r="K218" s="1" t="s">
        <v>28</v>
      </c>
      <c r="L218" s="1" t="str">
        <f t="shared" si="32"/>
        <v>20220904</v>
      </c>
      <c r="M218" s="1" t="str">
        <f>"122448"</f>
        <v>122448</v>
      </c>
      <c r="N218" s="1" t="s">
        <v>52</v>
      </c>
      <c r="O218" s="1" t="s">
        <v>52</v>
      </c>
      <c r="P218" s="1" t="s">
        <v>55</v>
      </c>
      <c r="Q218" s="1">
        <v>25</v>
      </c>
      <c r="R218" s="1">
        <v>0</v>
      </c>
      <c r="S218" s="1">
        <v>25</v>
      </c>
      <c r="T218" s="1">
        <v>0</v>
      </c>
      <c r="U218" s="1">
        <v>0</v>
      </c>
      <c r="V218" s="1" t="str">
        <f t="shared" si="27"/>
        <v>里程返程</v>
      </c>
      <c r="W218" s="1" t="s">
        <v>35</v>
      </c>
    </row>
    <row r="219" spans="1:23" x14ac:dyDescent="0.3">
      <c r="A219" s="1" t="str">
        <f t="shared" si="31"/>
        <v>59825</v>
      </c>
      <c r="B219" s="1" t="s">
        <v>30</v>
      </c>
      <c r="C219" s="1" t="s">
        <v>31</v>
      </c>
      <c r="D219" s="1" t="str">
        <f t="shared" si="26"/>
        <v>9801</v>
      </c>
      <c r="E219" s="1" t="s">
        <v>25</v>
      </c>
      <c r="F219" s="1" t="str">
        <f>"1062958421"</f>
        <v>1062958421</v>
      </c>
      <c r="G219" s="1" t="s">
        <v>33</v>
      </c>
      <c r="H219" s="1" t="str">
        <f t="shared" si="29"/>
        <v>20220904</v>
      </c>
      <c r="I219" s="1" t="str">
        <f>"115710"</f>
        <v>115710</v>
      </c>
      <c r="J219" s="1" t="s">
        <v>28</v>
      </c>
      <c r="K219" s="1" t="s">
        <v>28</v>
      </c>
      <c r="L219" s="1" t="str">
        <f t="shared" si="32"/>
        <v>20220904</v>
      </c>
      <c r="M219" s="1" t="str">
        <f>"122437"</f>
        <v>122437</v>
      </c>
      <c r="N219" s="1" t="s">
        <v>52</v>
      </c>
      <c r="O219" s="1" t="s">
        <v>52</v>
      </c>
      <c r="P219" s="1" t="s">
        <v>55</v>
      </c>
      <c r="Q219" s="1">
        <v>25</v>
      </c>
      <c r="R219" s="1">
        <v>25</v>
      </c>
      <c r="S219" s="1">
        <v>0</v>
      </c>
      <c r="T219" s="1">
        <v>0</v>
      </c>
      <c r="U219" s="1">
        <v>0</v>
      </c>
      <c r="V219" s="1" t="str">
        <f t="shared" si="27"/>
        <v>里程返程</v>
      </c>
      <c r="W219" s="1" t="s">
        <v>35</v>
      </c>
    </row>
    <row r="220" spans="1:23" x14ac:dyDescent="0.3">
      <c r="A220" s="1" t="str">
        <f t="shared" si="31"/>
        <v>59825</v>
      </c>
      <c r="B220" s="1" t="s">
        <v>30</v>
      </c>
      <c r="C220" s="1" t="s">
        <v>31</v>
      </c>
      <c r="D220" s="1" t="str">
        <f t="shared" si="26"/>
        <v>9801</v>
      </c>
      <c r="E220" s="1" t="s">
        <v>25</v>
      </c>
      <c r="F220" s="1" t="str">
        <f>"1821976720"</f>
        <v>1821976720</v>
      </c>
      <c r="G220" s="1" t="s">
        <v>26</v>
      </c>
      <c r="H220" s="1" t="str">
        <f t="shared" si="29"/>
        <v>20220904</v>
      </c>
      <c r="I220" s="1" t="str">
        <f>"115713"</f>
        <v>115713</v>
      </c>
      <c r="J220" s="1" t="s">
        <v>28</v>
      </c>
      <c r="K220" s="1" t="s">
        <v>28</v>
      </c>
      <c r="L220" s="1" t="str">
        <f t="shared" si="32"/>
        <v>20220904</v>
      </c>
      <c r="M220" s="1" t="str">
        <f>"122409"</f>
        <v>122409</v>
      </c>
      <c r="N220" s="1" t="s">
        <v>52</v>
      </c>
      <c r="O220" s="1" t="s">
        <v>52</v>
      </c>
      <c r="P220" s="1" t="s">
        <v>55</v>
      </c>
      <c r="Q220" s="1">
        <v>13</v>
      </c>
      <c r="R220" s="1">
        <v>13</v>
      </c>
      <c r="S220" s="1">
        <v>0</v>
      </c>
      <c r="T220" s="1">
        <v>0</v>
      </c>
      <c r="U220" s="1">
        <v>0</v>
      </c>
      <c r="V220" s="1" t="str">
        <f t="shared" si="27"/>
        <v>里程返程</v>
      </c>
      <c r="W220" s="1" t="s">
        <v>35</v>
      </c>
    </row>
    <row r="221" spans="1:23" x14ac:dyDescent="0.3">
      <c r="A221" s="1" t="str">
        <f t="shared" si="31"/>
        <v>59825</v>
      </c>
      <c r="B221" s="1" t="s">
        <v>30</v>
      </c>
      <c r="C221" s="1" t="s">
        <v>31</v>
      </c>
      <c r="D221" s="1" t="str">
        <f t="shared" si="26"/>
        <v>9801</v>
      </c>
      <c r="E221" s="1" t="s">
        <v>25</v>
      </c>
      <c r="F221" s="1" t="str">
        <f>"478425130"</f>
        <v>478425130</v>
      </c>
      <c r="G221" s="1" t="s">
        <v>33</v>
      </c>
      <c r="H221" s="1" t="str">
        <f t="shared" si="29"/>
        <v>20220904</v>
      </c>
      <c r="I221" s="1" t="str">
        <f>"115720"</f>
        <v>115720</v>
      </c>
      <c r="J221" s="1" t="s">
        <v>28</v>
      </c>
      <c r="K221" s="1" t="s">
        <v>28</v>
      </c>
      <c r="L221" s="1" t="str">
        <f t="shared" si="32"/>
        <v>20220904</v>
      </c>
      <c r="M221" s="1" t="str">
        <f>"122441"</f>
        <v>122441</v>
      </c>
      <c r="N221" s="1" t="s">
        <v>52</v>
      </c>
      <c r="O221" s="1" t="s">
        <v>52</v>
      </c>
      <c r="P221" s="1" t="s">
        <v>55</v>
      </c>
      <c r="Q221" s="1">
        <v>25</v>
      </c>
      <c r="R221" s="1">
        <v>25</v>
      </c>
      <c r="S221" s="1">
        <v>0</v>
      </c>
      <c r="T221" s="1">
        <v>0</v>
      </c>
      <c r="U221" s="1">
        <v>0</v>
      </c>
      <c r="V221" s="1" t="str">
        <f t="shared" si="27"/>
        <v>里程返程</v>
      </c>
      <c r="W221" s="1" t="s">
        <v>35</v>
      </c>
    </row>
    <row r="222" spans="1:23" x14ac:dyDescent="0.3">
      <c r="A222" s="1" t="str">
        <f t="shared" si="31"/>
        <v>59825</v>
      </c>
      <c r="B222" s="1" t="s">
        <v>30</v>
      </c>
      <c r="C222" s="1" t="s">
        <v>31</v>
      </c>
      <c r="D222" s="1" t="str">
        <f t="shared" si="26"/>
        <v>9801</v>
      </c>
      <c r="E222" s="1" t="s">
        <v>25</v>
      </c>
      <c r="F222" s="1" t="str">
        <f>"106334769"</f>
        <v>106334769</v>
      </c>
      <c r="G222" s="1" t="s">
        <v>26</v>
      </c>
      <c r="H222" s="1" t="str">
        <f t="shared" si="29"/>
        <v>20220904</v>
      </c>
      <c r="I222" s="1" t="str">
        <f>"185716"</f>
        <v>185716</v>
      </c>
      <c r="J222" s="1" t="s">
        <v>44</v>
      </c>
      <c r="K222" s="1" t="s">
        <v>45</v>
      </c>
      <c r="L222" s="1" t="str">
        <f t="shared" si="32"/>
        <v>20220904</v>
      </c>
      <c r="M222" s="1" t="str">
        <f>"192316"</f>
        <v>192316</v>
      </c>
      <c r="N222" s="1" t="s">
        <v>95</v>
      </c>
      <c r="O222" s="1" t="s">
        <v>28</v>
      </c>
      <c r="P222" s="1" t="s">
        <v>55</v>
      </c>
      <c r="Q222" s="1">
        <v>13</v>
      </c>
      <c r="R222" s="1">
        <v>0</v>
      </c>
      <c r="S222" s="1">
        <v>13</v>
      </c>
      <c r="T222" s="1">
        <v>0</v>
      </c>
      <c r="U222" s="1">
        <v>0</v>
      </c>
      <c r="V222" s="1" t="str">
        <f t="shared" si="27"/>
        <v>里程返程</v>
      </c>
      <c r="W222" s="1" t="s">
        <v>35</v>
      </c>
    </row>
    <row r="223" spans="1:23" x14ac:dyDescent="0.3">
      <c r="A223" s="1" t="str">
        <f t="shared" si="31"/>
        <v>59825</v>
      </c>
      <c r="B223" s="1" t="s">
        <v>30</v>
      </c>
      <c r="C223" s="1" t="s">
        <v>31</v>
      </c>
      <c r="D223" s="1" t="str">
        <f t="shared" si="26"/>
        <v>9801</v>
      </c>
      <c r="E223" s="1" t="s">
        <v>25</v>
      </c>
      <c r="F223" s="1" t="str">
        <f>"1401854721"</f>
        <v>1401854721</v>
      </c>
      <c r="G223" s="1" t="s">
        <v>33</v>
      </c>
      <c r="H223" s="1" t="str">
        <f t="shared" si="29"/>
        <v>20220904</v>
      </c>
      <c r="I223" s="1" t="str">
        <f>"192441"</f>
        <v>192441</v>
      </c>
      <c r="J223" s="1" t="s">
        <v>28</v>
      </c>
      <c r="K223" s="1" t="s">
        <v>28</v>
      </c>
      <c r="L223" s="1" t="str">
        <f t="shared" si="32"/>
        <v>20220904</v>
      </c>
      <c r="M223" s="1" t="str">
        <f>"194709"</f>
        <v>194709</v>
      </c>
      <c r="N223" s="1" t="s">
        <v>71</v>
      </c>
      <c r="O223" s="1" t="s">
        <v>52</v>
      </c>
      <c r="P223" s="1" t="s">
        <v>55</v>
      </c>
      <c r="Q223" s="1">
        <v>25</v>
      </c>
      <c r="R223" s="1">
        <v>0</v>
      </c>
      <c r="S223" s="1">
        <v>25</v>
      </c>
      <c r="T223" s="1">
        <v>0</v>
      </c>
      <c r="U223" s="1">
        <v>0</v>
      </c>
      <c r="V223" s="1" t="str">
        <f t="shared" si="27"/>
        <v>里程返程</v>
      </c>
      <c r="W223" s="1" t="s">
        <v>35</v>
      </c>
    </row>
    <row r="224" spans="1:23" x14ac:dyDescent="0.3">
      <c r="A224" s="1" t="str">
        <f t="shared" ref="A224:A253" si="33">"59828"</f>
        <v>59828</v>
      </c>
      <c r="B224" s="1" t="s">
        <v>23</v>
      </c>
      <c r="C224" s="1" t="s">
        <v>24</v>
      </c>
      <c r="D224" s="1" t="str">
        <f t="shared" si="26"/>
        <v>9801</v>
      </c>
      <c r="E224" s="1" t="s">
        <v>25</v>
      </c>
      <c r="F224" s="1" t="str">
        <f>"32780D0344880400C834002000000015"</f>
        <v>32780D0344880400C834002000000015</v>
      </c>
      <c r="G224" s="1" t="s">
        <v>26</v>
      </c>
      <c r="H224" s="1" t="str">
        <f t="shared" si="29"/>
        <v>20220904</v>
      </c>
      <c r="I224" s="1" t="str">
        <f>"063902"</f>
        <v>063902</v>
      </c>
      <c r="J224" s="1" t="s">
        <v>41</v>
      </c>
      <c r="K224" s="1" t="s">
        <v>28</v>
      </c>
      <c r="L224" s="1" t="str">
        <f t="shared" si="32"/>
        <v>20220904</v>
      </c>
      <c r="M224" s="1" t="str">
        <f>"065749"</f>
        <v>065749</v>
      </c>
      <c r="N224" s="1" t="s">
        <v>65</v>
      </c>
      <c r="O224" s="1" t="s">
        <v>52</v>
      </c>
      <c r="P224" s="1" t="s">
        <v>68</v>
      </c>
      <c r="Q224" s="1">
        <v>13</v>
      </c>
      <c r="R224" s="1">
        <v>0</v>
      </c>
      <c r="S224" s="1">
        <v>0</v>
      </c>
      <c r="T224" s="1">
        <v>13</v>
      </c>
      <c r="U224" s="1">
        <v>0</v>
      </c>
      <c r="V224" s="1" t="str">
        <f t="shared" si="27"/>
        <v>里程返程</v>
      </c>
      <c r="W224" s="1" t="s">
        <v>29</v>
      </c>
    </row>
    <row r="225" spans="1:23" x14ac:dyDescent="0.3">
      <c r="A225" s="1" t="str">
        <f t="shared" si="33"/>
        <v>59828</v>
      </c>
      <c r="B225" s="1" t="s">
        <v>23</v>
      </c>
      <c r="C225" s="1" t="s">
        <v>24</v>
      </c>
      <c r="D225" s="1" t="str">
        <f t="shared" si="26"/>
        <v>9801</v>
      </c>
      <c r="E225" s="1" t="s">
        <v>25</v>
      </c>
      <c r="F225" s="1" t="str">
        <f>"F282E40195880400C821002000000015"</f>
        <v>F282E40195880400C821002000000015</v>
      </c>
      <c r="G225" s="1" t="s">
        <v>58</v>
      </c>
      <c r="H225" s="1" t="str">
        <f t="shared" si="29"/>
        <v>20220904</v>
      </c>
      <c r="I225" s="1" t="str">
        <f>"072521"</f>
        <v>072521</v>
      </c>
      <c r="J225" s="1" t="s">
        <v>28</v>
      </c>
      <c r="K225" s="1" t="s">
        <v>28</v>
      </c>
      <c r="L225" s="1" t="str">
        <f t="shared" si="32"/>
        <v>20220904</v>
      </c>
      <c r="M225" s="1" t="str">
        <f>"074507"</f>
        <v>074507</v>
      </c>
      <c r="N225" s="1" t="s">
        <v>65</v>
      </c>
      <c r="O225" s="1" t="s">
        <v>52</v>
      </c>
      <c r="P225" s="1" t="s">
        <v>55</v>
      </c>
      <c r="Q225" s="1">
        <v>25</v>
      </c>
      <c r="R225" s="1">
        <v>0</v>
      </c>
      <c r="S225" s="1">
        <v>25</v>
      </c>
      <c r="T225" s="1">
        <v>0</v>
      </c>
      <c r="U225" s="1">
        <v>0</v>
      </c>
      <c r="V225" s="1" t="str">
        <f t="shared" si="27"/>
        <v>里程返程</v>
      </c>
      <c r="W225" s="1" t="s">
        <v>29</v>
      </c>
    </row>
    <row r="226" spans="1:23" x14ac:dyDescent="0.3">
      <c r="A226" s="1" t="str">
        <f t="shared" si="33"/>
        <v>59828</v>
      </c>
      <c r="B226" s="1" t="s">
        <v>23</v>
      </c>
      <c r="C226" s="1" t="s">
        <v>24</v>
      </c>
      <c r="D226" s="1" t="str">
        <f t="shared" si="26"/>
        <v>9801</v>
      </c>
      <c r="E226" s="1" t="s">
        <v>25</v>
      </c>
      <c r="F226" s="1" t="str">
        <f>"222FE702E8880400C834002000000015"</f>
        <v>222FE702E8880400C834002000000015</v>
      </c>
      <c r="G226" s="1" t="s">
        <v>74</v>
      </c>
      <c r="H226" s="1" t="str">
        <f t="shared" si="29"/>
        <v>20220904</v>
      </c>
      <c r="I226" s="1" t="str">
        <f>"072533"</f>
        <v>072533</v>
      </c>
      <c r="J226" s="1" t="s">
        <v>28</v>
      </c>
      <c r="K226" s="1" t="s">
        <v>28</v>
      </c>
      <c r="L226" s="1" t="str">
        <f t="shared" si="32"/>
        <v>20220904</v>
      </c>
      <c r="M226" s="1" t="str">
        <f>"075024"</f>
        <v>075024</v>
      </c>
      <c r="N226" s="1" t="s">
        <v>60</v>
      </c>
      <c r="O226" s="1" t="s">
        <v>52</v>
      </c>
      <c r="P226" s="1" t="s">
        <v>68</v>
      </c>
      <c r="Q226" s="1">
        <v>13</v>
      </c>
      <c r="R226" s="1">
        <v>0</v>
      </c>
      <c r="S226" s="1">
        <v>0</v>
      </c>
      <c r="T226" s="1">
        <v>13</v>
      </c>
      <c r="U226" s="1">
        <v>0</v>
      </c>
      <c r="V226" s="1" t="str">
        <f t="shared" si="27"/>
        <v>里程返程</v>
      </c>
      <c r="W226" s="1" t="s">
        <v>29</v>
      </c>
    </row>
    <row r="227" spans="1:23" x14ac:dyDescent="0.3">
      <c r="A227" s="1" t="str">
        <f t="shared" si="33"/>
        <v>59828</v>
      </c>
      <c r="B227" s="1" t="s">
        <v>23</v>
      </c>
      <c r="C227" s="1" t="s">
        <v>24</v>
      </c>
      <c r="D227" s="1" t="str">
        <f t="shared" si="26"/>
        <v>9801</v>
      </c>
      <c r="E227" s="1" t="s">
        <v>25</v>
      </c>
      <c r="F227" s="1" t="str">
        <f>"02A2BB0219880400C834002000000015"</f>
        <v>02A2BB0219880400C834002000000015</v>
      </c>
      <c r="G227" s="1" t="s">
        <v>26</v>
      </c>
      <c r="H227" s="1" t="str">
        <f t="shared" si="29"/>
        <v>20220904</v>
      </c>
      <c r="I227" s="1" t="str">
        <f>"074610"</f>
        <v>074610</v>
      </c>
      <c r="J227" s="1" t="s">
        <v>72</v>
      </c>
      <c r="K227" s="1" t="s">
        <v>52</v>
      </c>
      <c r="L227" s="1" t="str">
        <f t="shared" si="32"/>
        <v>20220904</v>
      </c>
      <c r="M227" s="1" t="str">
        <f>"075354"</f>
        <v>075354</v>
      </c>
      <c r="N227" s="1" t="s">
        <v>52</v>
      </c>
      <c r="O227" s="1" t="s">
        <v>52</v>
      </c>
      <c r="P227" s="1" t="s">
        <v>68</v>
      </c>
      <c r="Q227" s="1">
        <v>13</v>
      </c>
      <c r="R227" s="1">
        <v>0</v>
      </c>
      <c r="S227" s="1">
        <v>0</v>
      </c>
      <c r="T227" s="1">
        <v>13</v>
      </c>
      <c r="U227" s="1">
        <v>0</v>
      </c>
      <c r="V227" s="1" t="str">
        <f t="shared" si="27"/>
        <v>里程返程</v>
      </c>
      <c r="W227" s="1" t="s">
        <v>29</v>
      </c>
    </row>
    <row r="228" spans="1:23" x14ac:dyDescent="0.3">
      <c r="A228" s="1" t="str">
        <f t="shared" si="33"/>
        <v>59828</v>
      </c>
      <c r="B228" s="1" t="s">
        <v>23</v>
      </c>
      <c r="C228" s="1" t="s">
        <v>24</v>
      </c>
      <c r="D228" s="1" t="str">
        <f t="shared" si="26"/>
        <v>9801</v>
      </c>
      <c r="E228" s="1" t="s">
        <v>25</v>
      </c>
      <c r="F228" s="1" t="str">
        <f>"9582CD9E448804004326529300190710"</f>
        <v>9582CD9E448804004326529300190710</v>
      </c>
      <c r="G228" s="1" t="s">
        <v>58</v>
      </c>
      <c r="H228" s="1" t="str">
        <f t="shared" si="29"/>
        <v>20220904</v>
      </c>
      <c r="I228" s="1" t="str">
        <f>"125426"</f>
        <v>125426</v>
      </c>
      <c r="J228" s="1" t="s">
        <v>28</v>
      </c>
      <c r="K228" s="1" t="s">
        <v>28</v>
      </c>
      <c r="L228" s="1" t="str">
        <f t="shared" si="32"/>
        <v>20220904</v>
      </c>
      <c r="M228" s="1" t="str">
        <f>"132705"</f>
        <v>132705</v>
      </c>
      <c r="N228" s="1" t="s">
        <v>52</v>
      </c>
      <c r="O228" s="1" t="s">
        <v>52</v>
      </c>
      <c r="P228" s="1" t="s">
        <v>55</v>
      </c>
      <c r="Q228" s="1">
        <v>25</v>
      </c>
      <c r="R228" s="1">
        <v>0</v>
      </c>
      <c r="S228" s="1">
        <v>25</v>
      </c>
      <c r="T228" s="1">
        <v>0</v>
      </c>
      <c r="U228" s="1">
        <v>0</v>
      </c>
      <c r="V228" s="1" t="str">
        <f t="shared" si="27"/>
        <v>里程返程</v>
      </c>
      <c r="W228" s="1" t="s">
        <v>29</v>
      </c>
    </row>
    <row r="229" spans="1:23" x14ac:dyDescent="0.3">
      <c r="A229" s="1" t="str">
        <f t="shared" si="33"/>
        <v>59828</v>
      </c>
      <c r="B229" s="1" t="s">
        <v>23</v>
      </c>
      <c r="C229" s="1" t="s">
        <v>24</v>
      </c>
      <c r="D229" s="1" t="str">
        <f t="shared" si="26"/>
        <v>9801</v>
      </c>
      <c r="E229" s="1" t="s">
        <v>25</v>
      </c>
      <c r="F229" s="1" t="str">
        <f>"1240779889"</f>
        <v>1240779889</v>
      </c>
      <c r="G229" s="1" t="s">
        <v>33</v>
      </c>
      <c r="H229" s="1" t="str">
        <f t="shared" si="29"/>
        <v>20220904</v>
      </c>
      <c r="I229" s="1" t="str">
        <f>"143220"</f>
        <v>143220</v>
      </c>
      <c r="J229" s="1" t="s">
        <v>44</v>
      </c>
      <c r="K229" s="1" t="s">
        <v>45</v>
      </c>
      <c r="L229" s="1" t="str">
        <f t="shared" si="32"/>
        <v>20220904</v>
      </c>
      <c r="M229" s="1" t="str">
        <f>"145132"</f>
        <v>145132</v>
      </c>
      <c r="N229" s="1" t="s">
        <v>28</v>
      </c>
      <c r="O229" s="1" t="s">
        <v>28</v>
      </c>
      <c r="P229" s="1" t="s">
        <v>55</v>
      </c>
      <c r="Q229" s="1">
        <v>25</v>
      </c>
      <c r="R229" s="1">
        <v>25</v>
      </c>
      <c r="S229" s="1">
        <v>0</v>
      </c>
      <c r="T229" s="1">
        <v>0</v>
      </c>
      <c r="U229" s="1">
        <v>0</v>
      </c>
      <c r="V229" s="1" t="str">
        <f t="shared" si="27"/>
        <v>里程返程</v>
      </c>
      <c r="W229" s="1" t="s">
        <v>35</v>
      </c>
    </row>
    <row r="230" spans="1:23" x14ac:dyDescent="0.3">
      <c r="A230" s="1" t="str">
        <f t="shared" si="33"/>
        <v>59828</v>
      </c>
      <c r="B230" s="1" t="s">
        <v>23</v>
      </c>
      <c r="C230" s="1" t="s">
        <v>24</v>
      </c>
      <c r="D230" s="1" t="str">
        <f t="shared" si="26"/>
        <v>9801</v>
      </c>
      <c r="E230" s="1" t="s">
        <v>25</v>
      </c>
      <c r="F230" s="1" t="str">
        <f>"2802894415"</f>
        <v>2802894415</v>
      </c>
      <c r="G230" s="1" t="s">
        <v>33</v>
      </c>
      <c r="H230" s="1" t="str">
        <f t="shared" si="29"/>
        <v>20220904</v>
      </c>
      <c r="I230" s="1" t="str">
        <f>"143223"</f>
        <v>143223</v>
      </c>
      <c r="J230" s="1" t="s">
        <v>44</v>
      </c>
      <c r="K230" s="1" t="s">
        <v>45</v>
      </c>
      <c r="L230" s="1" t="str">
        <f t="shared" si="32"/>
        <v>20220904</v>
      </c>
      <c r="M230" s="1" t="str">
        <f>"145127"</f>
        <v>145127</v>
      </c>
      <c r="N230" s="1" t="s">
        <v>28</v>
      </c>
      <c r="O230" s="1" t="s">
        <v>28</v>
      </c>
      <c r="P230" s="1" t="s">
        <v>55</v>
      </c>
      <c r="Q230" s="1">
        <v>25</v>
      </c>
      <c r="R230" s="1">
        <v>25</v>
      </c>
      <c r="S230" s="1">
        <v>0</v>
      </c>
      <c r="T230" s="1">
        <v>0</v>
      </c>
      <c r="U230" s="1">
        <v>0</v>
      </c>
      <c r="V230" s="1" t="str">
        <f t="shared" si="27"/>
        <v>里程返程</v>
      </c>
      <c r="W230" s="1" t="s">
        <v>35</v>
      </c>
    </row>
    <row r="231" spans="1:23" x14ac:dyDescent="0.3">
      <c r="A231" s="1" t="str">
        <f t="shared" si="33"/>
        <v>59828</v>
      </c>
      <c r="B231" s="1" t="s">
        <v>23</v>
      </c>
      <c r="C231" s="1" t="s">
        <v>24</v>
      </c>
      <c r="D231" s="1" t="str">
        <f t="shared" si="26"/>
        <v>9801</v>
      </c>
      <c r="E231" s="1" t="s">
        <v>25</v>
      </c>
      <c r="F231" s="1" t="str">
        <f>"1207803793"</f>
        <v>1207803793</v>
      </c>
      <c r="G231" s="1" t="s">
        <v>33</v>
      </c>
      <c r="H231" s="1" t="str">
        <f t="shared" si="29"/>
        <v>20220904</v>
      </c>
      <c r="I231" s="1" t="str">
        <f>"143225"</f>
        <v>143225</v>
      </c>
      <c r="J231" s="1" t="s">
        <v>44</v>
      </c>
      <c r="K231" s="1" t="s">
        <v>45</v>
      </c>
      <c r="L231" s="1" t="str">
        <f t="shared" si="32"/>
        <v>20220904</v>
      </c>
      <c r="M231" s="1" t="str">
        <f>"145126"</f>
        <v>145126</v>
      </c>
      <c r="N231" s="1" t="s">
        <v>28</v>
      </c>
      <c r="O231" s="1" t="s">
        <v>28</v>
      </c>
      <c r="P231" s="1" t="s">
        <v>55</v>
      </c>
      <c r="Q231" s="1">
        <v>25</v>
      </c>
      <c r="R231" s="1">
        <v>25</v>
      </c>
      <c r="S231" s="1">
        <v>0</v>
      </c>
      <c r="T231" s="1">
        <v>0</v>
      </c>
      <c r="U231" s="1">
        <v>0</v>
      </c>
      <c r="V231" s="1" t="str">
        <f t="shared" si="27"/>
        <v>里程返程</v>
      </c>
      <c r="W231" s="1" t="s">
        <v>35</v>
      </c>
    </row>
    <row r="232" spans="1:23" x14ac:dyDescent="0.3">
      <c r="A232" s="1" t="str">
        <f t="shared" si="33"/>
        <v>59828</v>
      </c>
      <c r="B232" s="1" t="s">
        <v>23</v>
      </c>
      <c r="C232" s="1" t="s">
        <v>24</v>
      </c>
      <c r="D232" s="1" t="str">
        <f t="shared" si="26"/>
        <v>9801</v>
      </c>
      <c r="E232" s="1" t="s">
        <v>25</v>
      </c>
      <c r="F232" s="1" t="str">
        <f>"412147137"</f>
        <v>412147137</v>
      </c>
      <c r="G232" s="1" t="s">
        <v>33</v>
      </c>
      <c r="H232" s="1" t="str">
        <f t="shared" si="29"/>
        <v>20220904</v>
      </c>
      <c r="I232" s="1" t="str">
        <f>"144317"</f>
        <v>144317</v>
      </c>
      <c r="J232" s="1" t="s">
        <v>79</v>
      </c>
      <c r="K232" s="1" t="s">
        <v>45</v>
      </c>
      <c r="L232" s="1" t="str">
        <f t="shared" si="32"/>
        <v>20220904</v>
      </c>
      <c r="M232" s="1" t="str">
        <f>"145106"</f>
        <v>145106</v>
      </c>
      <c r="N232" s="1" t="s">
        <v>28</v>
      </c>
      <c r="O232" s="1" t="s">
        <v>28</v>
      </c>
      <c r="P232" s="1" t="s">
        <v>55</v>
      </c>
      <c r="Q232" s="1">
        <v>25</v>
      </c>
      <c r="R232" s="1">
        <v>0</v>
      </c>
      <c r="S232" s="1">
        <v>25</v>
      </c>
      <c r="T232" s="1">
        <v>0</v>
      </c>
      <c r="U232" s="1">
        <v>0</v>
      </c>
      <c r="V232" s="1" t="str">
        <f t="shared" si="27"/>
        <v>里程返程</v>
      </c>
      <c r="W232" s="1" t="s">
        <v>35</v>
      </c>
    </row>
    <row r="233" spans="1:23" x14ac:dyDescent="0.3">
      <c r="A233" s="1" t="str">
        <f t="shared" si="33"/>
        <v>59828</v>
      </c>
      <c r="B233" s="1" t="s">
        <v>23</v>
      </c>
      <c r="C233" s="1" t="s">
        <v>24</v>
      </c>
      <c r="D233" s="1" t="str">
        <f t="shared" si="26"/>
        <v>9801</v>
      </c>
      <c r="E233" s="1" t="s">
        <v>25</v>
      </c>
      <c r="F233" s="1" t="str">
        <f>"1658104480"</f>
        <v>1658104480</v>
      </c>
      <c r="G233" s="1" t="s">
        <v>33</v>
      </c>
      <c r="H233" s="1" t="str">
        <f t="shared" si="29"/>
        <v>20220904</v>
      </c>
      <c r="I233" s="1" t="str">
        <f>"152941"</f>
        <v>152941</v>
      </c>
      <c r="J233" s="1" t="s">
        <v>44</v>
      </c>
      <c r="K233" s="1" t="s">
        <v>45</v>
      </c>
      <c r="L233" s="1" t="str">
        <f t="shared" si="32"/>
        <v>20220904</v>
      </c>
      <c r="M233" s="1" t="str">
        <f>"161401"</f>
        <v>161401</v>
      </c>
      <c r="N233" s="1" t="s">
        <v>97</v>
      </c>
      <c r="O233" s="1" t="s">
        <v>52</v>
      </c>
      <c r="P233" s="1" t="s">
        <v>55</v>
      </c>
      <c r="Q233" s="1">
        <v>50</v>
      </c>
      <c r="R233" s="1">
        <v>25</v>
      </c>
      <c r="S233" s="1">
        <v>25</v>
      </c>
      <c r="T233" s="1">
        <v>0</v>
      </c>
      <c r="U233" s="1">
        <v>0</v>
      </c>
      <c r="V233" s="1" t="str">
        <f t="shared" si="27"/>
        <v>里程返程</v>
      </c>
      <c r="W233" s="1" t="s">
        <v>35</v>
      </c>
    </row>
    <row r="234" spans="1:23" x14ac:dyDescent="0.3">
      <c r="A234" s="1" t="str">
        <f t="shared" si="33"/>
        <v>59828</v>
      </c>
      <c r="B234" s="1" t="s">
        <v>23</v>
      </c>
      <c r="C234" s="1" t="s">
        <v>24</v>
      </c>
      <c r="D234" s="1" t="str">
        <f t="shared" si="26"/>
        <v>9801</v>
      </c>
      <c r="E234" s="1" t="s">
        <v>25</v>
      </c>
      <c r="F234" s="1" t="str">
        <f>"1106998097"</f>
        <v>1106998097</v>
      </c>
      <c r="G234" s="1" t="s">
        <v>33</v>
      </c>
      <c r="H234" s="1" t="str">
        <f t="shared" si="29"/>
        <v>20220904</v>
      </c>
      <c r="I234" s="1" t="str">
        <f>"153636"</f>
        <v>153636</v>
      </c>
      <c r="J234" s="1" t="s">
        <v>91</v>
      </c>
      <c r="K234" s="1" t="s">
        <v>45</v>
      </c>
      <c r="L234" s="1" t="str">
        <f t="shared" si="32"/>
        <v>20220904</v>
      </c>
      <c r="M234" s="1" t="str">
        <f>"155225"</f>
        <v>155225</v>
      </c>
      <c r="N234" s="1" t="s">
        <v>28</v>
      </c>
      <c r="O234" s="1" t="s">
        <v>28</v>
      </c>
      <c r="P234" s="1" t="s">
        <v>55</v>
      </c>
      <c r="Q234" s="1">
        <v>25</v>
      </c>
      <c r="R234" s="1">
        <v>25</v>
      </c>
      <c r="S234" s="1">
        <v>0</v>
      </c>
      <c r="T234" s="1">
        <v>0</v>
      </c>
      <c r="U234" s="1">
        <v>0</v>
      </c>
      <c r="V234" s="1" t="str">
        <f t="shared" si="27"/>
        <v>里程返程</v>
      </c>
      <c r="W234" s="1" t="s">
        <v>35</v>
      </c>
    </row>
    <row r="235" spans="1:23" x14ac:dyDescent="0.3">
      <c r="A235" s="1" t="str">
        <f t="shared" si="33"/>
        <v>59828</v>
      </c>
      <c r="B235" s="1" t="s">
        <v>23</v>
      </c>
      <c r="C235" s="1" t="s">
        <v>24</v>
      </c>
      <c r="D235" s="1" t="str">
        <f t="shared" si="26"/>
        <v>9801</v>
      </c>
      <c r="E235" s="1" t="s">
        <v>25</v>
      </c>
      <c r="F235" s="1" t="str">
        <f>"32780D0344880400C834002000000015"</f>
        <v>32780D0344880400C834002000000015</v>
      </c>
      <c r="G235" s="1" t="s">
        <v>26</v>
      </c>
      <c r="H235" s="1" t="str">
        <f t="shared" si="29"/>
        <v>20220904</v>
      </c>
      <c r="I235" s="1" t="str">
        <f>"154022"</f>
        <v>154022</v>
      </c>
      <c r="J235" s="1" t="s">
        <v>56</v>
      </c>
      <c r="K235" s="1" t="s">
        <v>45</v>
      </c>
      <c r="L235" s="1" t="str">
        <f t="shared" si="32"/>
        <v>20220904</v>
      </c>
      <c r="M235" s="1" t="str">
        <f>"155048"</f>
        <v>155048</v>
      </c>
      <c r="N235" s="1" t="s">
        <v>95</v>
      </c>
      <c r="O235" s="1" t="s">
        <v>28</v>
      </c>
      <c r="P235" s="1" t="s">
        <v>68</v>
      </c>
      <c r="Q235" s="1">
        <v>13</v>
      </c>
      <c r="R235" s="1">
        <v>0</v>
      </c>
      <c r="S235" s="1">
        <v>0</v>
      </c>
      <c r="T235" s="1">
        <v>13</v>
      </c>
      <c r="U235" s="1">
        <v>0</v>
      </c>
      <c r="V235" s="1" t="str">
        <f t="shared" si="27"/>
        <v>里程返程</v>
      </c>
      <c r="W235" s="1" t="s">
        <v>29</v>
      </c>
    </row>
    <row r="236" spans="1:23" x14ac:dyDescent="0.3">
      <c r="A236" s="1" t="str">
        <f t="shared" si="33"/>
        <v>59828</v>
      </c>
      <c r="B236" s="1" t="s">
        <v>23</v>
      </c>
      <c r="C236" s="1" t="s">
        <v>24</v>
      </c>
      <c r="D236" s="1" t="str">
        <f t="shared" si="26"/>
        <v>9801</v>
      </c>
      <c r="E236" s="1" t="s">
        <v>25</v>
      </c>
      <c r="F236" s="1" t="str">
        <f>"829986341"</f>
        <v>829986341</v>
      </c>
      <c r="G236" s="1" t="s">
        <v>26</v>
      </c>
      <c r="H236" s="1" t="str">
        <f t="shared" si="29"/>
        <v>20220904</v>
      </c>
      <c r="I236" s="1" t="str">
        <f>"154322"</f>
        <v>154322</v>
      </c>
      <c r="J236" s="1" t="s">
        <v>45</v>
      </c>
      <c r="K236" s="1" t="s">
        <v>45</v>
      </c>
      <c r="L236" s="1" t="str">
        <f t="shared" si="32"/>
        <v>20220904</v>
      </c>
      <c r="M236" s="1" t="str">
        <f>"162556"</f>
        <v>162556</v>
      </c>
      <c r="N236" s="1" t="s">
        <v>52</v>
      </c>
      <c r="O236" s="1" t="s">
        <v>52</v>
      </c>
      <c r="P236" s="1" t="s">
        <v>55</v>
      </c>
      <c r="Q236" s="1">
        <v>25</v>
      </c>
      <c r="R236" s="1">
        <v>12</v>
      </c>
      <c r="S236" s="1">
        <v>13</v>
      </c>
      <c r="T236" s="1">
        <v>0</v>
      </c>
      <c r="U236" s="1">
        <v>0</v>
      </c>
      <c r="V236" s="1" t="str">
        <f t="shared" si="27"/>
        <v>里程返程</v>
      </c>
      <c r="W236" s="1" t="s">
        <v>35</v>
      </c>
    </row>
    <row r="237" spans="1:23" x14ac:dyDescent="0.3">
      <c r="A237" s="1" t="str">
        <f t="shared" si="33"/>
        <v>59828</v>
      </c>
      <c r="B237" s="1" t="s">
        <v>23</v>
      </c>
      <c r="C237" s="1" t="s">
        <v>24</v>
      </c>
      <c r="D237" s="1" t="str">
        <f t="shared" si="26"/>
        <v>9801</v>
      </c>
      <c r="E237" s="1" t="s">
        <v>25</v>
      </c>
      <c r="F237" s="1" t="str">
        <f>"900722181"</f>
        <v>900722181</v>
      </c>
      <c r="G237" s="1" t="s">
        <v>26</v>
      </c>
      <c r="H237" s="1" t="str">
        <f t="shared" ref="H237:H253" si="34">"20220904"</f>
        <v>20220904</v>
      </c>
      <c r="I237" s="1" t="str">
        <f>"154325"</f>
        <v>154325</v>
      </c>
      <c r="J237" s="1" t="s">
        <v>45</v>
      </c>
      <c r="K237" s="1" t="s">
        <v>45</v>
      </c>
      <c r="L237" s="1" t="str">
        <f t="shared" si="32"/>
        <v>20220904</v>
      </c>
      <c r="M237" s="1" t="str">
        <f>"162614"</f>
        <v>162614</v>
      </c>
      <c r="N237" s="1" t="s">
        <v>52</v>
      </c>
      <c r="O237" s="1" t="s">
        <v>52</v>
      </c>
      <c r="P237" s="1" t="s">
        <v>55</v>
      </c>
      <c r="Q237" s="1">
        <v>25</v>
      </c>
      <c r="R237" s="1">
        <v>12</v>
      </c>
      <c r="S237" s="1">
        <v>13</v>
      </c>
      <c r="T237" s="1">
        <v>0</v>
      </c>
      <c r="U237" s="1">
        <v>0</v>
      </c>
      <c r="V237" s="1" t="str">
        <f t="shared" si="27"/>
        <v>里程返程</v>
      </c>
      <c r="W237" s="1" t="s">
        <v>35</v>
      </c>
    </row>
    <row r="238" spans="1:23" x14ac:dyDescent="0.3">
      <c r="A238" s="1" t="str">
        <f t="shared" si="33"/>
        <v>59828</v>
      </c>
      <c r="B238" s="1" t="s">
        <v>23</v>
      </c>
      <c r="C238" s="1" t="s">
        <v>24</v>
      </c>
      <c r="D238" s="1" t="str">
        <f t="shared" si="26"/>
        <v>9801</v>
      </c>
      <c r="E238" s="1" t="s">
        <v>25</v>
      </c>
      <c r="F238" s="1" t="str">
        <f>"1087459877"</f>
        <v>1087459877</v>
      </c>
      <c r="G238" s="1" t="s">
        <v>33</v>
      </c>
      <c r="H238" s="1" t="str">
        <f t="shared" si="34"/>
        <v>20220904</v>
      </c>
      <c r="I238" s="1" t="str">
        <f>"154328"</f>
        <v>154328</v>
      </c>
      <c r="J238" s="1" t="s">
        <v>45</v>
      </c>
      <c r="K238" s="1" t="s">
        <v>45</v>
      </c>
      <c r="L238" s="1" t="str">
        <f t="shared" si="32"/>
        <v>20220904</v>
      </c>
      <c r="M238" s="1" t="str">
        <f>"162604"</f>
        <v>162604</v>
      </c>
      <c r="N238" s="1" t="s">
        <v>52</v>
      </c>
      <c r="O238" s="1" t="s">
        <v>52</v>
      </c>
      <c r="P238" s="1" t="s">
        <v>55</v>
      </c>
      <c r="Q238" s="1">
        <v>50</v>
      </c>
      <c r="R238" s="1">
        <v>25</v>
      </c>
      <c r="S238" s="1">
        <v>25</v>
      </c>
      <c r="T238" s="1">
        <v>0</v>
      </c>
      <c r="U238" s="1">
        <v>0</v>
      </c>
      <c r="V238" s="1" t="str">
        <f t="shared" si="27"/>
        <v>里程返程</v>
      </c>
      <c r="W238" s="1" t="s">
        <v>35</v>
      </c>
    </row>
    <row r="239" spans="1:23" x14ac:dyDescent="0.3">
      <c r="A239" s="1" t="str">
        <f t="shared" si="33"/>
        <v>59828</v>
      </c>
      <c r="B239" s="1" t="s">
        <v>23</v>
      </c>
      <c r="C239" s="1" t="s">
        <v>24</v>
      </c>
      <c r="D239" s="1" t="str">
        <f t="shared" si="26"/>
        <v>9801</v>
      </c>
      <c r="E239" s="1" t="s">
        <v>25</v>
      </c>
      <c r="F239" s="1" t="str">
        <f>"1046616245"</f>
        <v>1046616245</v>
      </c>
      <c r="G239" s="1" t="s">
        <v>26</v>
      </c>
      <c r="H239" s="1" t="str">
        <f t="shared" si="34"/>
        <v>20220904</v>
      </c>
      <c r="I239" s="1" t="str">
        <f>"154332"</f>
        <v>154332</v>
      </c>
      <c r="J239" s="1" t="s">
        <v>45</v>
      </c>
      <c r="K239" s="1" t="s">
        <v>45</v>
      </c>
      <c r="L239" s="1" t="str">
        <f t="shared" si="32"/>
        <v>20220904</v>
      </c>
      <c r="M239" s="1" t="str">
        <f>"162611"</f>
        <v>162611</v>
      </c>
      <c r="N239" s="1" t="s">
        <v>52</v>
      </c>
      <c r="O239" s="1" t="s">
        <v>52</v>
      </c>
      <c r="P239" s="1" t="s">
        <v>55</v>
      </c>
      <c r="Q239" s="1">
        <v>25</v>
      </c>
      <c r="R239" s="1">
        <v>12</v>
      </c>
      <c r="S239" s="1">
        <v>13</v>
      </c>
      <c r="T239" s="1">
        <v>0</v>
      </c>
      <c r="U239" s="1">
        <v>0</v>
      </c>
      <c r="V239" s="1" t="str">
        <f t="shared" si="27"/>
        <v>里程返程</v>
      </c>
      <c r="W239" s="1" t="s">
        <v>35</v>
      </c>
    </row>
    <row r="240" spans="1:23" x14ac:dyDescent="0.3">
      <c r="A240" s="1" t="str">
        <f t="shared" si="33"/>
        <v>59828</v>
      </c>
      <c r="B240" s="1" t="s">
        <v>23</v>
      </c>
      <c r="C240" s="1" t="s">
        <v>24</v>
      </c>
      <c r="D240" s="1" t="str">
        <f t="shared" si="26"/>
        <v>9801</v>
      </c>
      <c r="E240" s="1" t="s">
        <v>25</v>
      </c>
      <c r="F240" s="1" t="str">
        <f>"255928385"</f>
        <v>255928385</v>
      </c>
      <c r="G240" s="1" t="s">
        <v>96</v>
      </c>
      <c r="H240" s="1" t="str">
        <f t="shared" si="34"/>
        <v>20220904</v>
      </c>
      <c r="I240" s="1" t="str">
        <f>"154335"</f>
        <v>154335</v>
      </c>
      <c r="J240" s="1" t="s">
        <v>45</v>
      </c>
      <c r="K240" s="1" t="s">
        <v>45</v>
      </c>
      <c r="L240" s="1" t="str">
        <f t="shared" si="32"/>
        <v>20220904</v>
      </c>
      <c r="M240" s="1" t="str">
        <f>"162548"</f>
        <v>162548</v>
      </c>
      <c r="N240" s="1" t="s">
        <v>52</v>
      </c>
      <c r="O240" s="1" t="s">
        <v>52</v>
      </c>
      <c r="P240" s="1" t="s">
        <v>55</v>
      </c>
      <c r="Q240" s="1">
        <v>25</v>
      </c>
      <c r="R240" s="1">
        <v>12</v>
      </c>
      <c r="S240" s="1">
        <v>13</v>
      </c>
      <c r="T240" s="1">
        <v>0</v>
      </c>
      <c r="U240" s="1">
        <v>0</v>
      </c>
      <c r="V240" s="1" t="str">
        <f t="shared" si="27"/>
        <v>里程返程</v>
      </c>
      <c r="W240" s="1" t="s">
        <v>35</v>
      </c>
    </row>
    <row r="241" spans="1:23" x14ac:dyDescent="0.3">
      <c r="A241" s="1" t="str">
        <f t="shared" si="33"/>
        <v>59828</v>
      </c>
      <c r="B241" s="1" t="s">
        <v>23</v>
      </c>
      <c r="C241" s="1" t="s">
        <v>24</v>
      </c>
      <c r="D241" s="1" t="str">
        <f t="shared" si="26"/>
        <v>9801</v>
      </c>
      <c r="E241" s="1" t="s">
        <v>25</v>
      </c>
      <c r="F241" s="1" t="str">
        <f>"973188021"</f>
        <v>973188021</v>
      </c>
      <c r="G241" s="1" t="s">
        <v>26</v>
      </c>
      <c r="H241" s="1" t="str">
        <f t="shared" si="34"/>
        <v>20220904</v>
      </c>
      <c r="I241" s="1" t="str">
        <f>"154338"</f>
        <v>154338</v>
      </c>
      <c r="J241" s="1" t="s">
        <v>45</v>
      </c>
      <c r="K241" s="1" t="s">
        <v>45</v>
      </c>
      <c r="L241" s="1" t="str">
        <f t="shared" si="32"/>
        <v>20220904</v>
      </c>
      <c r="M241" s="1" t="str">
        <f>"162608"</f>
        <v>162608</v>
      </c>
      <c r="N241" s="1" t="s">
        <v>52</v>
      </c>
      <c r="O241" s="1" t="s">
        <v>52</v>
      </c>
      <c r="P241" s="1" t="s">
        <v>55</v>
      </c>
      <c r="Q241" s="1">
        <v>25</v>
      </c>
      <c r="R241" s="1">
        <v>12</v>
      </c>
      <c r="S241" s="1">
        <v>13</v>
      </c>
      <c r="T241" s="1">
        <v>0</v>
      </c>
      <c r="U241" s="1">
        <v>0</v>
      </c>
      <c r="V241" s="1" t="str">
        <f t="shared" si="27"/>
        <v>里程返程</v>
      </c>
      <c r="W241" s="1" t="s">
        <v>35</v>
      </c>
    </row>
    <row r="242" spans="1:23" x14ac:dyDescent="0.3">
      <c r="A242" s="1" t="str">
        <f t="shared" si="33"/>
        <v>59828</v>
      </c>
      <c r="B242" s="1" t="s">
        <v>23</v>
      </c>
      <c r="C242" s="1" t="s">
        <v>24</v>
      </c>
      <c r="D242" s="1" t="str">
        <f t="shared" si="26"/>
        <v>9801</v>
      </c>
      <c r="E242" s="1" t="s">
        <v>25</v>
      </c>
      <c r="F242" s="1" t="str">
        <f>"1744109029"</f>
        <v>1744109029</v>
      </c>
      <c r="G242" s="1" t="s">
        <v>33</v>
      </c>
      <c r="H242" s="1" t="str">
        <f t="shared" si="34"/>
        <v>20220904</v>
      </c>
      <c r="I242" s="1" t="str">
        <f>"154342"</f>
        <v>154342</v>
      </c>
      <c r="J242" s="1" t="s">
        <v>45</v>
      </c>
      <c r="K242" s="1" t="s">
        <v>45</v>
      </c>
      <c r="L242" s="1" t="str">
        <f t="shared" si="32"/>
        <v>20220904</v>
      </c>
      <c r="M242" s="1" t="str">
        <f>"162601"</f>
        <v>162601</v>
      </c>
      <c r="N242" s="1" t="s">
        <v>52</v>
      </c>
      <c r="O242" s="1" t="s">
        <v>52</v>
      </c>
      <c r="P242" s="1" t="s">
        <v>55</v>
      </c>
      <c r="Q242" s="1">
        <v>50</v>
      </c>
      <c r="R242" s="1">
        <v>25</v>
      </c>
      <c r="S242" s="1">
        <v>25</v>
      </c>
      <c r="T242" s="1">
        <v>0</v>
      </c>
      <c r="U242" s="1">
        <v>0</v>
      </c>
      <c r="V242" s="1" t="str">
        <f t="shared" si="27"/>
        <v>里程返程</v>
      </c>
      <c r="W242" s="1" t="s">
        <v>35</v>
      </c>
    </row>
    <row r="243" spans="1:23" x14ac:dyDescent="0.3">
      <c r="A243" s="1" t="str">
        <f t="shared" si="33"/>
        <v>59828</v>
      </c>
      <c r="B243" s="1" t="s">
        <v>23</v>
      </c>
      <c r="C243" s="1" t="s">
        <v>24</v>
      </c>
      <c r="D243" s="1" t="str">
        <f t="shared" si="26"/>
        <v>9801</v>
      </c>
      <c r="E243" s="1" t="s">
        <v>25</v>
      </c>
      <c r="F243" s="1" t="str">
        <f>"420B39136328040080CED9985D913018"</f>
        <v>420B39136328040080CED9985D913018</v>
      </c>
      <c r="G243" s="1" t="s">
        <v>58</v>
      </c>
      <c r="H243" s="1" t="str">
        <f t="shared" si="34"/>
        <v>20220904</v>
      </c>
      <c r="I243" s="1" t="str">
        <f>"162745"</f>
        <v>162745</v>
      </c>
      <c r="J243" s="1" t="s">
        <v>44</v>
      </c>
      <c r="K243" s="1" t="s">
        <v>45</v>
      </c>
      <c r="L243" s="1" t="str">
        <f t="shared" si="32"/>
        <v>20220904</v>
      </c>
      <c r="M243" s="1" t="str">
        <f>"164945"</f>
        <v>164945</v>
      </c>
      <c r="N243" s="1" t="s">
        <v>95</v>
      </c>
      <c r="O243" s="1" t="s">
        <v>28</v>
      </c>
      <c r="P243" s="1" t="s">
        <v>55</v>
      </c>
      <c r="Q243" s="1">
        <v>25</v>
      </c>
      <c r="R243" s="1">
        <v>25</v>
      </c>
      <c r="S243" s="1">
        <v>0</v>
      </c>
      <c r="T243" s="1">
        <v>0</v>
      </c>
      <c r="U243" s="1">
        <v>0</v>
      </c>
      <c r="V243" s="1" t="str">
        <f t="shared" si="27"/>
        <v>里程返程</v>
      </c>
      <c r="W243" s="1" t="s">
        <v>29</v>
      </c>
    </row>
    <row r="244" spans="1:23" x14ac:dyDescent="0.3">
      <c r="A244" s="1" t="str">
        <f t="shared" si="33"/>
        <v>59828</v>
      </c>
      <c r="B244" s="1" t="s">
        <v>23</v>
      </c>
      <c r="C244" s="1" t="s">
        <v>24</v>
      </c>
      <c r="D244" s="1" t="str">
        <f t="shared" si="26"/>
        <v>9801</v>
      </c>
      <c r="E244" s="1" t="s">
        <v>25</v>
      </c>
      <c r="F244" s="1" t="str">
        <f>"1103653621"</f>
        <v>1103653621</v>
      </c>
      <c r="G244" s="1" t="s">
        <v>38</v>
      </c>
      <c r="H244" s="1" t="str">
        <f t="shared" si="34"/>
        <v>20220904</v>
      </c>
      <c r="I244" s="1" t="str">
        <f>"165122"</f>
        <v>165122</v>
      </c>
      <c r="J244" s="1" t="s">
        <v>28</v>
      </c>
      <c r="K244" s="1" t="s">
        <v>28</v>
      </c>
      <c r="L244" s="1" t="str">
        <f t="shared" si="32"/>
        <v>20220904</v>
      </c>
      <c r="M244" s="1" t="str">
        <f>"171421"</f>
        <v>171421</v>
      </c>
      <c r="N244" s="1" t="s">
        <v>65</v>
      </c>
      <c r="O244" s="1" t="s">
        <v>52</v>
      </c>
      <c r="P244" s="1" t="s">
        <v>55</v>
      </c>
      <c r="Q244" s="1">
        <v>25</v>
      </c>
      <c r="R244" s="1">
        <v>25</v>
      </c>
      <c r="S244" s="1">
        <v>0</v>
      </c>
      <c r="T244" s="1">
        <v>0</v>
      </c>
      <c r="U244" s="1">
        <v>0</v>
      </c>
      <c r="V244" s="1" t="str">
        <f t="shared" si="27"/>
        <v>里程返程</v>
      </c>
      <c r="W244" s="1" t="s">
        <v>35</v>
      </c>
    </row>
    <row r="245" spans="1:23" x14ac:dyDescent="0.3">
      <c r="A245" s="1" t="str">
        <f t="shared" si="33"/>
        <v>59828</v>
      </c>
      <c r="B245" s="1" t="s">
        <v>23</v>
      </c>
      <c r="C245" s="1" t="s">
        <v>24</v>
      </c>
      <c r="D245" s="1" t="str">
        <f t="shared" si="26"/>
        <v>9801</v>
      </c>
      <c r="E245" s="1" t="s">
        <v>25</v>
      </c>
      <c r="F245" s="1" t="str">
        <f>"807336885"</f>
        <v>807336885</v>
      </c>
      <c r="G245" s="1" t="s">
        <v>33</v>
      </c>
      <c r="H245" s="1" t="str">
        <f t="shared" si="34"/>
        <v>20220904</v>
      </c>
      <c r="I245" s="1" t="str">
        <f>"165137"</f>
        <v>165137</v>
      </c>
      <c r="J245" s="1" t="s">
        <v>28</v>
      </c>
      <c r="K245" s="1" t="s">
        <v>28</v>
      </c>
      <c r="L245" s="1" t="str">
        <f t="shared" si="32"/>
        <v>20220904</v>
      </c>
      <c r="M245" s="1" t="str">
        <f>"172534"</f>
        <v>172534</v>
      </c>
      <c r="N245" s="1" t="s">
        <v>52</v>
      </c>
      <c r="O245" s="1" t="s">
        <v>52</v>
      </c>
      <c r="P245" s="1" t="s">
        <v>55</v>
      </c>
      <c r="Q245" s="1">
        <v>25</v>
      </c>
      <c r="R245" s="1">
        <v>0</v>
      </c>
      <c r="S245" s="1">
        <v>25</v>
      </c>
      <c r="T245" s="1">
        <v>0</v>
      </c>
      <c r="U245" s="1">
        <v>0</v>
      </c>
      <c r="V245" s="1" t="str">
        <f t="shared" si="27"/>
        <v>里程返程</v>
      </c>
      <c r="W245" s="1" t="s">
        <v>35</v>
      </c>
    </row>
    <row r="246" spans="1:23" x14ac:dyDescent="0.3">
      <c r="A246" s="1" t="str">
        <f t="shared" si="33"/>
        <v>59828</v>
      </c>
      <c r="B246" s="1" t="s">
        <v>23</v>
      </c>
      <c r="C246" s="1" t="s">
        <v>24</v>
      </c>
      <c r="D246" s="1" t="str">
        <f t="shared" si="26"/>
        <v>9801</v>
      </c>
      <c r="E246" s="1" t="s">
        <v>25</v>
      </c>
      <c r="F246" s="1" t="str">
        <f>"2648693135"</f>
        <v>2648693135</v>
      </c>
      <c r="G246" s="1" t="s">
        <v>33</v>
      </c>
      <c r="H246" s="1" t="str">
        <f t="shared" si="34"/>
        <v>20220904</v>
      </c>
      <c r="I246" s="1" t="str">
        <f>"165202"</f>
        <v>165202</v>
      </c>
      <c r="J246" s="1" t="s">
        <v>28</v>
      </c>
      <c r="K246" s="1" t="s">
        <v>28</v>
      </c>
      <c r="L246" s="1" t="str">
        <f t="shared" si="32"/>
        <v>20220904</v>
      </c>
      <c r="M246" s="1" t="str">
        <f>"171950"</f>
        <v>171950</v>
      </c>
      <c r="N246" s="1" t="s">
        <v>60</v>
      </c>
      <c r="O246" s="1" t="s">
        <v>52</v>
      </c>
      <c r="P246" s="1" t="s">
        <v>55</v>
      </c>
      <c r="Q246" s="1">
        <v>25</v>
      </c>
      <c r="R246" s="1">
        <v>25</v>
      </c>
      <c r="S246" s="1">
        <v>0</v>
      </c>
      <c r="T246" s="1">
        <v>0</v>
      </c>
      <c r="U246" s="1">
        <v>0</v>
      </c>
      <c r="V246" s="1" t="str">
        <f t="shared" si="27"/>
        <v>里程返程</v>
      </c>
      <c r="W246" s="1" t="s">
        <v>35</v>
      </c>
    </row>
    <row r="247" spans="1:23" x14ac:dyDescent="0.3">
      <c r="A247" s="1" t="str">
        <f t="shared" si="33"/>
        <v>59828</v>
      </c>
      <c r="B247" s="1" t="s">
        <v>23</v>
      </c>
      <c r="C247" s="1" t="s">
        <v>24</v>
      </c>
      <c r="D247" s="1" t="str">
        <f t="shared" si="26"/>
        <v>9801</v>
      </c>
      <c r="E247" s="1" t="s">
        <v>25</v>
      </c>
      <c r="F247" s="1" t="str">
        <f>"A145DF152E280400F700000000000000"</f>
        <v>A145DF152E280400F700000000000000</v>
      </c>
      <c r="G247" s="1" t="s">
        <v>58</v>
      </c>
      <c r="H247" s="1" t="str">
        <f t="shared" si="34"/>
        <v>20220904</v>
      </c>
      <c r="I247" s="1" t="str">
        <f>"165207"</f>
        <v>165207</v>
      </c>
      <c r="J247" s="1" t="s">
        <v>28</v>
      </c>
      <c r="K247" s="1" t="s">
        <v>28</v>
      </c>
      <c r="L247" s="1" t="str">
        <f t="shared" si="32"/>
        <v>20220904</v>
      </c>
      <c r="M247" s="1" t="str">
        <f>"171427"</f>
        <v>171427</v>
      </c>
      <c r="N247" s="1" t="s">
        <v>65</v>
      </c>
      <c r="O247" s="1" t="s">
        <v>52</v>
      </c>
      <c r="P247" s="1" t="s">
        <v>55</v>
      </c>
      <c r="Q247" s="1">
        <v>25</v>
      </c>
      <c r="R247" s="1">
        <v>0</v>
      </c>
      <c r="S247" s="1">
        <v>25</v>
      </c>
      <c r="T247" s="1">
        <v>0</v>
      </c>
      <c r="U247" s="1">
        <v>0</v>
      </c>
      <c r="V247" s="1" t="str">
        <f t="shared" si="27"/>
        <v>里程返程</v>
      </c>
      <c r="W247" s="1" t="s">
        <v>29</v>
      </c>
    </row>
    <row r="248" spans="1:23" x14ac:dyDescent="0.3">
      <c r="A248" s="1" t="str">
        <f t="shared" si="33"/>
        <v>59828</v>
      </c>
      <c r="B248" s="1" t="s">
        <v>23</v>
      </c>
      <c r="C248" s="1" t="s">
        <v>24</v>
      </c>
      <c r="D248" s="1" t="str">
        <f t="shared" si="26"/>
        <v>9801</v>
      </c>
      <c r="E248" s="1" t="s">
        <v>25</v>
      </c>
      <c r="F248" s="1" t="str">
        <f>"212223297"</f>
        <v>212223297</v>
      </c>
      <c r="G248" s="1" t="s">
        <v>33</v>
      </c>
      <c r="H248" s="1" t="str">
        <f t="shared" si="34"/>
        <v>20220904</v>
      </c>
      <c r="I248" s="1" t="str">
        <f>"165223"</f>
        <v>165223</v>
      </c>
      <c r="J248" s="1" t="s">
        <v>28</v>
      </c>
      <c r="K248" s="1" t="s">
        <v>28</v>
      </c>
      <c r="L248" s="1" t="str">
        <f t="shared" si="32"/>
        <v>20220904</v>
      </c>
      <c r="M248" s="1" t="str">
        <f>"172246"</f>
        <v>172246</v>
      </c>
      <c r="N248" s="1" t="s">
        <v>86</v>
      </c>
      <c r="O248" s="1" t="s">
        <v>52</v>
      </c>
      <c r="P248" s="1" t="s">
        <v>55</v>
      </c>
      <c r="Q248" s="1">
        <v>25</v>
      </c>
      <c r="R248" s="1">
        <v>0</v>
      </c>
      <c r="S248" s="1">
        <v>25</v>
      </c>
      <c r="T248" s="1">
        <v>0</v>
      </c>
      <c r="U248" s="1">
        <v>0</v>
      </c>
      <c r="V248" s="1" t="str">
        <f t="shared" si="27"/>
        <v>里程返程</v>
      </c>
      <c r="W248" s="1" t="s">
        <v>35</v>
      </c>
    </row>
    <row r="249" spans="1:23" x14ac:dyDescent="0.3">
      <c r="A249" s="1" t="str">
        <f t="shared" si="33"/>
        <v>59828</v>
      </c>
      <c r="B249" s="1" t="s">
        <v>23</v>
      </c>
      <c r="C249" s="1" t="s">
        <v>24</v>
      </c>
      <c r="D249" s="1" t="str">
        <f t="shared" si="26"/>
        <v>9801</v>
      </c>
      <c r="E249" s="1" t="s">
        <v>25</v>
      </c>
      <c r="F249" s="1" t="str">
        <f>"02A2F00959880400C810002000000016"</f>
        <v>02A2F00959880400C810002000000016</v>
      </c>
      <c r="G249" s="1" t="s">
        <v>59</v>
      </c>
      <c r="H249" s="1" t="str">
        <f t="shared" si="34"/>
        <v>20220904</v>
      </c>
      <c r="I249" s="1" t="str">
        <f>"165237"</f>
        <v>165237</v>
      </c>
      <c r="J249" s="1" t="s">
        <v>28</v>
      </c>
      <c r="K249" s="1" t="s">
        <v>28</v>
      </c>
      <c r="L249" s="1" t="str">
        <f t="shared" si="32"/>
        <v>20220904</v>
      </c>
      <c r="M249" s="1" t="str">
        <f>"172526"</f>
        <v>172526</v>
      </c>
      <c r="N249" s="1" t="s">
        <v>52</v>
      </c>
      <c r="O249" s="1" t="s">
        <v>52</v>
      </c>
      <c r="P249" s="1" t="s">
        <v>55</v>
      </c>
      <c r="Q249" s="1">
        <v>25</v>
      </c>
      <c r="R249" s="1">
        <v>0</v>
      </c>
      <c r="S249" s="1">
        <v>25</v>
      </c>
      <c r="T249" s="1">
        <v>0</v>
      </c>
      <c r="U249" s="1">
        <v>0</v>
      </c>
      <c r="V249" s="1" t="str">
        <f t="shared" si="27"/>
        <v>里程返程</v>
      </c>
      <c r="W249" s="1" t="s">
        <v>29</v>
      </c>
    </row>
    <row r="250" spans="1:23" x14ac:dyDescent="0.3">
      <c r="A250" s="1" t="str">
        <f t="shared" si="33"/>
        <v>59828</v>
      </c>
      <c r="B250" s="1" t="s">
        <v>23</v>
      </c>
      <c r="C250" s="1" t="s">
        <v>24</v>
      </c>
      <c r="D250" s="1" t="str">
        <f t="shared" si="26"/>
        <v>9801</v>
      </c>
      <c r="E250" s="1" t="s">
        <v>25</v>
      </c>
      <c r="F250" s="1" t="str">
        <f>"C287F609BA880400C810002000000016"</f>
        <v>C287F609BA880400C810002000000016</v>
      </c>
      <c r="G250" s="1" t="s">
        <v>59</v>
      </c>
      <c r="H250" s="1" t="str">
        <f t="shared" si="34"/>
        <v>20220904</v>
      </c>
      <c r="I250" s="1" t="str">
        <f>"165241"</f>
        <v>165241</v>
      </c>
      <c r="J250" s="1" t="s">
        <v>28</v>
      </c>
      <c r="K250" s="1" t="s">
        <v>28</v>
      </c>
      <c r="L250" s="1" t="str">
        <f t="shared" si="32"/>
        <v>20220904</v>
      </c>
      <c r="M250" s="1" t="str">
        <f>"172529"</f>
        <v>172529</v>
      </c>
      <c r="N250" s="1" t="s">
        <v>52</v>
      </c>
      <c r="O250" s="1" t="s">
        <v>52</v>
      </c>
      <c r="P250" s="1" t="s">
        <v>55</v>
      </c>
      <c r="Q250" s="1">
        <v>25</v>
      </c>
      <c r="R250" s="1">
        <v>0</v>
      </c>
      <c r="S250" s="1">
        <v>25</v>
      </c>
      <c r="T250" s="1">
        <v>0</v>
      </c>
      <c r="U250" s="1">
        <v>0</v>
      </c>
      <c r="V250" s="1" t="str">
        <f t="shared" si="27"/>
        <v>里程返程</v>
      </c>
      <c r="W250" s="1" t="s">
        <v>29</v>
      </c>
    </row>
    <row r="251" spans="1:23" x14ac:dyDescent="0.3">
      <c r="A251" s="1" t="str">
        <f t="shared" si="33"/>
        <v>59828</v>
      </c>
      <c r="B251" s="1" t="s">
        <v>23</v>
      </c>
      <c r="C251" s="1" t="s">
        <v>24</v>
      </c>
      <c r="D251" s="1" t="str">
        <f t="shared" si="26"/>
        <v>9801</v>
      </c>
      <c r="E251" s="1" t="s">
        <v>25</v>
      </c>
      <c r="F251" s="1" t="str">
        <f>"1769189713"</f>
        <v>1769189713</v>
      </c>
      <c r="G251" s="1" t="s">
        <v>33</v>
      </c>
      <c r="H251" s="1" t="str">
        <f t="shared" si="34"/>
        <v>20220904</v>
      </c>
      <c r="I251" s="1" t="str">
        <f>"165249"</f>
        <v>165249</v>
      </c>
      <c r="J251" s="1" t="s">
        <v>28</v>
      </c>
      <c r="K251" s="1" t="s">
        <v>28</v>
      </c>
      <c r="L251" s="1" t="str">
        <f t="shared" si="32"/>
        <v>20220904</v>
      </c>
      <c r="M251" s="1" t="str">
        <f>"172520"</f>
        <v>172520</v>
      </c>
      <c r="N251" s="1" t="s">
        <v>52</v>
      </c>
      <c r="O251" s="1" t="s">
        <v>52</v>
      </c>
      <c r="P251" s="1" t="s">
        <v>55</v>
      </c>
      <c r="Q251" s="1">
        <v>25</v>
      </c>
      <c r="R251" s="1">
        <v>25</v>
      </c>
      <c r="S251" s="1">
        <v>0</v>
      </c>
      <c r="T251" s="1">
        <v>0</v>
      </c>
      <c r="U251" s="1">
        <v>0</v>
      </c>
      <c r="V251" s="1" t="str">
        <f t="shared" si="27"/>
        <v>里程返程</v>
      </c>
      <c r="W251" s="1" t="s">
        <v>35</v>
      </c>
    </row>
    <row r="252" spans="1:23" x14ac:dyDescent="0.3">
      <c r="A252" s="1" t="str">
        <f t="shared" si="33"/>
        <v>59828</v>
      </c>
      <c r="B252" s="1" t="s">
        <v>23</v>
      </c>
      <c r="C252" s="1" t="s">
        <v>24</v>
      </c>
      <c r="D252" s="1" t="str">
        <f t="shared" si="26"/>
        <v>9801</v>
      </c>
      <c r="E252" s="1" t="s">
        <v>25</v>
      </c>
      <c r="F252" s="1" t="str">
        <f>"1319951505"</f>
        <v>1319951505</v>
      </c>
      <c r="G252" s="1" t="s">
        <v>33</v>
      </c>
      <c r="H252" s="1" t="str">
        <f t="shared" si="34"/>
        <v>20220904</v>
      </c>
      <c r="I252" s="1" t="str">
        <f>"170219"</f>
        <v>170219</v>
      </c>
      <c r="J252" s="1" t="s">
        <v>83</v>
      </c>
      <c r="K252" s="1" t="s">
        <v>52</v>
      </c>
      <c r="L252" s="1" t="str">
        <f t="shared" si="32"/>
        <v>20220904</v>
      </c>
      <c r="M252" s="1" t="str">
        <f>"172243"</f>
        <v>172243</v>
      </c>
      <c r="N252" s="1" t="s">
        <v>86</v>
      </c>
      <c r="O252" s="1" t="s">
        <v>52</v>
      </c>
      <c r="P252" s="1" t="s">
        <v>55</v>
      </c>
      <c r="Q252" s="1">
        <v>25</v>
      </c>
      <c r="R252" s="1">
        <v>25</v>
      </c>
      <c r="S252" s="1">
        <v>0</v>
      </c>
      <c r="T252" s="1">
        <v>0</v>
      </c>
      <c r="U252" s="1">
        <v>0</v>
      </c>
      <c r="V252" s="1" t="str">
        <f t="shared" si="27"/>
        <v>里程返程</v>
      </c>
      <c r="W252" s="1" t="s">
        <v>35</v>
      </c>
    </row>
    <row r="253" spans="1:23" x14ac:dyDescent="0.3">
      <c r="A253" s="1" t="str">
        <f t="shared" si="33"/>
        <v>59828</v>
      </c>
      <c r="B253" s="1" t="s">
        <v>23</v>
      </c>
      <c r="C253" s="1" t="s">
        <v>24</v>
      </c>
      <c r="D253" s="1" t="str">
        <f t="shared" si="26"/>
        <v>9801</v>
      </c>
      <c r="E253" s="1" t="s">
        <v>25</v>
      </c>
      <c r="F253" s="1" t="str">
        <f>"E17A0B039388040043252B4B000B050F"</f>
        <v>E17A0B039388040043252B4B000B050F</v>
      </c>
      <c r="G253" s="1" t="s">
        <v>58</v>
      </c>
      <c r="H253" s="1" t="str">
        <f t="shared" si="34"/>
        <v>20220904</v>
      </c>
      <c r="I253" s="1" t="str">
        <f>"170221"</f>
        <v>170221</v>
      </c>
      <c r="J253" s="1" t="s">
        <v>83</v>
      </c>
      <c r="K253" s="1" t="s">
        <v>52</v>
      </c>
      <c r="L253" s="1" t="str">
        <f t="shared" si="32"/>
        <v>20220904</v>
      </c>
      <c r="M253" s="1" t="str">
        <f>"172241"</f>
        <v>172241</v>
      </c>
      <c r="N253" s="1" t="s">
        <v>86</v>
      </c>
      <c r="O253" s="1" t="s">
        <v>52</v>
      </c>
      <c r="P253" s="1" t="s">
        <v>55</v>
      </c>
      <c r="Q253" s="1">
        <v>25</v>
      </c>
      <c r="R253" s="1">
        <v>25</v>
      </c>
      <c r="S253" s="1">
        <v>0</v>
      </c>
      <c r="T253" s="1">
        <v>0</v>
      </c>
      <c r="U253" s="1">
        <v>0</v>
      </c>
      <c r="V253" s="1" t="str">
        <f t="shared" si="27"/>
        <v>里程返程</v>
      </c>
      <c r="W253" s="1" t="s">
        <v>29</v>
      </c>
    </row>
    <row r="254" spans="1:23" x14ac:dyDescent="0.3">
      <c r="A254" s="1" t="str">
        <f t="shared" ref="A254:A275" si="35">"59820"</f>
        <v>59820</v>
      </c>
      <c r="B254" s="1" t="s">
        <v>53</v>
      </c>
      <c r="C254" s="1" t="s">
        <v>31</v>
      </c>
      <c r="D254" s="1" t="str">
        <f t="shared" si="26"/>
        <v>9801</v>
      </c>
      <c r="E254" s="1" t="s">
        <v>25</v>
      </c>
      <c r="F254" s="1" t="str">
        <f>"F29BD102BA880400C834002000000015"</f>
        <v>F29BD102BA880400C834002000000015</v>
      </c>
      <c r="G254" s="1" t="s">
        <v>26</v>
      </c>
      <c r="H254" s="1" t="str">
        <f t="shared" ref="H254:H285" si="36">"20220905"</f>
        <v>20220905</v>
      </c>
      <c r="I254" s="1" t="str">
        <f>"083350"</f>
        <v>083350</v>
      </c>
      <c r="J254" s="1" t="s">
        <v>44</v>
      </c>
      <c r="K254" s="1" t="s">
        <v>45</v>
      </c>
      <c r="L254" s="1" t="str">
        <f t="shared" ref="L254:L285" si="37">"20220905"</f>
        <v>20220905</v>
      </c>
      <c r="M254" s="1" t="str">
        <f>"085033"</f>
        <v>085033</v>
      </c>
      <c r="N254" s="1" t="s">
        <v>95</v>
      </c>
      <c r="O254" s="1" t="s">
        <v>28</v>
      </c>
      <c r="P254" s="1" t="s">
        <v>68</v>
      </c>
      <c r="Q254" s="1">
        <v>13</v>
      </c>
      <c r="R254" s="1">
        <v>0</v>
      </c>
      <c r="S254" s="1">
        <v>0</v>
      </c>
      <c r="T254" s="1">
        <v>13</v>
      </c>
      <c r="U254" s="1">
        <v>0</v>
      </c>
      <c r="V254" s="1" t="str">
        <f t="shared" si="27"/>
        <v>里程返程</v>
      </c>
      <c r="W254" s="1" t="s">
        <v>29</v>
      </c>
    </row>
    <row r="255" spans="1:23" x14ac:dyDescent="0.3">
      <c r="A255" s="1" t="str">
        <f t="shared" si="35"/>
        <v>59820</v>
      </c>
      <c r="B255" s="1" t="s">
        <v>53</v>
      </c>
      <c r="C255" s="1" t="s">
        <v>31</v>
      </c>
      <c r="D255" s="1" t="str">
        <f t="shared" si="26"/>
        <v>9801</v>
      </c>
      <c r="E255" s="1" t="s">
        <v>25</v>
      </c>
      <c r="F255" s="1" t="str">
        <f>"03A6A9454988040048B994D749703809"</f>
        <v>03A6A9454988040048B994D749703809</v>
      </c>
      <c r="G255" s="1" t="s">
        <v>64</v>
      </c>
      <c r="H255" s="1" t="str">
        <f t="shared" si="36"/>
        <v>20220905</v>
      </c>
      <c r="I255" s="1" t="str">
        <f>"085110"</f>
        <v>085110</v>
      </c>
      <c r="J255" s="1" t="s">
        <v>28</v>
      </c>
      <c r="K255" s="1" t="s">
        <v>28</v>
      </c>
      <c r="L255" s="1" t="str">
        <f t="shared" si="37"/>
        <v>20220905</v>
      </c>
      <c r="M255" s="1" t="str">
        <f>"090532"</f>
        <v>090532</v>
      </c>
      <c r="N255" s="1" t="s">
        <v>78</v>
      </c>
      <c r="O255" s="1" t="s">
        <v>52</v>
      </c>
      <c r="P255" s="1" t="s">
        <v>55</v>
      </c>
      <c r="Q255" s="1">
        <v>13</v>
      </c>
      <c r="R255" s="1">
        <v>13</v>
      </c>
      <c r="S255" s="1">
        <v>0</v>
      </c>
      <c r="T255" s="1">
        <v>0</v>
      </c>
      <c r="U255" s="1">
        <v>0</v>
      </c>
      <c r="V255" s="1" t="str">
        <f t="shared" si="27"/>
        <v>里程返程</v>
      </c>
      <c r="W255" s="1" t="s">
        <v>29</v>
      </c>
    </row>
    <row r="256" spans="1:23" x14ac:dyDescent="0.3">
      <c r="A256" s="1" t="str">
        <f t="shared" si="35"/>
        <v>59820</v>
      </c>
      <c r="B256" s="1" t="s">
        <v>53</v>
      </c>
      <c r="C256" s="1" t="s">
        <v>31</v>
      </c>
      <c r="D256" s="1" t="str">
        <f t="shared" si="26"/>
        <v>9801</v>
      </c>
      <c r="E256" s="1" t="s">
        <v>25</v>
      </c>
      <c r="F256" s="1" t="str">
        <f>"835995889"</f>
        <v>835995889</v>
      </c>
      <c r="G256" s="1" t="s">
        <v>33</v>
      </c>
      <c r="H256" s="1" t="str">
        <f t="shared" si="36"/>
        <v>20220905</v>
      </c>
      <c r="I256" s="1" t="str">
        <f>"093808"</f>
        <v>093808</v>
      </c>
      <c r="J256" s="1" t="s">
        <v>75</v>
      </c>
      <c r="K256" s="1" t="s">
        <v>45</v>
      </c>
      <c r="L256" s="1" t="str">
        <f t="shared" si="37"/>
        <v>20220905</v>
      </c>
      <c r="M256" s="1" t="str">
        <f>"095055"</f>
        <v>095055</v>
      </c>
      <c r="N256" s="1" t="s">
        <v>28</v>
      </c>
      <c r="O256" s="1" t="s">
        <v>28</v>
      </c>
      <c r="P256" s="1" t="s">
        <v>55</v>
      </c>
      <c r="Q256" s="1">
        <v>25</v>
      </c>
      <c r="R256" s="1">
        <v>25</v>
      </c>
      <c r="S256" s="1">
        <v>0</v>
      </c>
      <c r="T256" s="1">
        <v>0</v>
      </c>
      <c r="U256" s="1">
        <v>0</v>
      </c>
      <c r="V256" s="1" t="str">
        <f t="shared" si="27"/>
        <v>里程返程</v>
      </c>
      <c r="W256" s="1" t="s">
        <v>35</v>
      </c>
    </row>
    <row r="257" spans="1:23" x14ac:dyDescent="0.3">
      <c r="A257" s="1" t="str">
        <f t="shared" si="35"/>
        <v>59820</v>
      </c>
      <c r="B257" s="1" t="s">
        <v>53</v>
      </c>
      <c r="C257" s="1" t="s">
        <v>31</v>
      </c>
      <c r="D257" s="1" t="str">
        <f t="shared" si="26"/>
        <v>9801</v>
      </c>
      <c r="E257" s="1" t="s">
        <v>25</v>
      </c>
      <c r="F257" s="1" t="str">
        <f>"42ECA11916880400C824002000000020"</f>
        <v>42ECA11916880400C824002000000020</v>
      </c>
      <c r="G257" s="1" t="s">
        <v>64</v>
      </c>
      <c r="H257" s="1" t="str">
        <f t="shared" si="36"/>
        <v>20220905</v>
      </c>
      <c r="I257" s="1" t="str">
        <f>"093956"</f>
        <v>093956</v>
      </c>
      <c r="J257" s="1" t="s">
        <v>56</v>
      </c>
      <c r="K257" s="1" t="s">
        <v>45</v>
      </c>
      <c r="L257" s="1" t="str">
        <f t="shared" si="37"/>
        <v>20220905</v>
      </c>
      <c r="M257" s="1" t="str">
        <f>"095052"</f>
        <v>095052</v>
      </c>
      <c r="N257" s="1" t="s">
        <v>28</v>
      </c>
      <c r="O257" s="1" t="s">
        <v>28</v>
      </c>
      <c r="P257" s="1" t="s">
        <v>55</v>
      </c>
      <c r="Q257" s="1">
        <v>13</v>
      </c>
      <c r="R257" s="1">
        <v>13</v>
      </c>
      <c r="S257" s="1">
        <v>0</v>
      </c>
      <c r="T257" s="1">
        <v>0</v>
      </c>
      <c r="U257" s="1">
        <v>0</v>
      </c>
      <c r="V257" s="1" t="str">
        <f t="shared" si="27"/>
        <v>里程返程</v>
      </c>
      <c r="W257" s="1" t="s">
        <v>29</v>
      </c>
    </row>
    <row r="258" spans="1:23" x14ac:dyDescent="0.3">
      <c r="A258" s="1" t="str">
        <f t="shared" si="35"/>
        <v>59820</v>
      </c>
      <c r="B258" s="1" t="s">
        <v>53</v>
      </c>
      <c r="C258" s="1" t="s">
        <v>31</v>
      </c>
      <c r="D258" s="1" t="str">
        <f t="shared" ref="D258:D321" si="38">"9801"</f>
        <v>9801</v>
      </c>
      <c r="E258" s="1" t="s">
        <v>25</v>
      </c>
      <c r="F258" s="1" t="str">
        <f>"5AD59E8190880400C185149965804512"</f>
        <v>5AD59E8190880400C185149965804512</v>
      </c>
      <c r="G258" s="1" t="s">
        <v>58</v>
      </c>
      <c r="H258" s="1" t="str">
        <f t="shared" si="36"/>
        <v>20220905</v>
      </c>
      <c r="I258" s="1" t="str">
        <f>"095109"</f>
        <v>095109</v>
      </c>
      <c r="J258" s="1" t="s">
        <v>28</v>
      </c>
      <c r="K258" s="1" t="s">
        <v>28</v>
      </c>
      <c r="L258" s="1" t="str">
        <f t="shared" si="37"/>
        <v>20220905</v>
      </c>
      <c r="M258" s="1" t="str">
        <f>"101407"</f>
        <v>101407</v>
      </c>
      <c r="N258" s="1" t="s">
        <v>65</v>
      </c>
      <c r="O258" s="1" t="s">
        <v>52</v>
      </c>
      <c r="P258" s="1" t="s">
        <v>55</v>
      </c>
      <c r="Q258" s="1">
        <v>25</v>
      </c>
      <c r="R258" s="1">
        <v>25</v>
      </c>
      <c r="S258" s="1">
        <v>0</v>
      </c>
      <c r="T258" s="1">
        <v>0</v>
      </c>
      <c r="U258" s="1">
        <v>0</v>
      </c>
      <c r="V258" s="1" t="str">
        <f t="shared" ref="V258:V321" si="39">"里程返程"</f>
        <v>里程返程</v>
      </c>
      <c r="W258" s="1" t="s">
        <v>29</v>
      </c>
    </row>
    <row r="259" spans="1:23" x14ac:dyDescent="0.3">
      <c r="A259" s="1" t="str">
        <f t="shared" si="35"/>
        <v>59820</v>
      </c>
      <c r="B259" s="1" t="s">
        <v>53</v>
      </c>
      <c r="C259" s="1" t="s">
        <v>31</v>
      </c>
      <c r="D259" s="1" t="str">
        <f t="shared" si="38"/>
        <v>9801</v>
      </c>
      <c r="E259" s="1" t="s">
        <v>25</v>
      </c>
      <c r="F259" s="1" t="str">
        <f>"285817872"</f>
        <v>285817872</v>
      </c>
      <c r="G259" s="1" t="s">
        <v>33</v>
      </c>
      <c r="H259" s="1" t="str">
        <f t="shared" si="36"/>
        <v>20220905</v>
      </c>
      <c r="I259" s="1" t="str">
        <f>"095129"</f>
        <v>095129</v>
      </c>
      <c r="J259" s="1" t="s">
        <v>28</v>
      </c>
      <c r="K259" s="1" t="s">
        <v>28</v>
      </c>
      <c r="L259" s="1" t="str">
        <f t="shared" si="37"/>
        <v>20220905</v>
      </c>
      <c r="M259" s="1" t="str">
        <f>"101844"</f>
        <v>101844</v>
      </c>
      <c r="N259" s="1" t="s">
        <v>60</v>
      </c>
      <c r="O259" s="1" t="s">
        <v>52</v>
      </c>
      <c r="P259" s="1" t="s">
        <v>55</v>
      </c>
      <c r="Q259" s="1">
        <v>25</v>
      </c>
      <c r="R259" s="1">
        <v>0</v>
      </c>
      <c r="S259" s="1">
        <v>25</v>
      </c>
      <c r="T259" s="1">
        <v>0</v>
      </c>
      <c r="U259" s="1">
        <v>0</v>
      </c>
      <c r="V259" s="1" t="str">
        <f t="shared" si="39"/>
        <v>里程返程</v>
      </c>
      <c r="W259" s="1" t="s">
        <v>35</v>
      </c>
    </row>
    <row r="260" spans="1:23" x14ac:dyDescent="0.3">
      <c r="A260" s="1" t="str">
        <f t="shared" si="35"/>
        <v>59820</v>
      </c>
      <c r="B260" s="1" t="s">
        <v>53</v>
      </c>
      <c r="C260" s="1" t="s">
        <v>31</v>
      </c>
      <c r="D260" s="1" t="str">
        <f t="shared" si="38"/>
        <v>9801</v>
      </c>
      <c r="E260" s="1" t="s">
        <v>25</v>
      </c>
      <c r="F260" s="1" t="str">
        <f>"4251460257880400C821002000000015"</f>
        <v>4251460257880400C821002000000015</v>
      </c>
      <c r="G260" s="1" t="s">
        <v>26</v>
      </c>
      <c r="H260" s="1" t="str">
        <f t="shared" si="36"/>
        <v>20220905</v>
      </c>
      <c r="I260" s="1" t="str">
        <f>"100615"</f>
        <v>100615</v>
      </c>
      <c r="J260" s="1" t="s">
        <v>69</v>
      </c>
      <c r="K260" s="1" t="s">
        <v>52</v>
      </c>
      <c r="L260" s="1" t="str">
        <f t="shared" si="37"/>
        <v>20220905</v>
      </c>
      <c r="M260" s="1" t="str">
        <f>"101039"</f>
        <v>101039</v>
      </c>
      <c r="N260" s="1" t="s">
        <v>80</v>
      </c>
      <c r="O260" s="1" t="s">
        <v>52</v>
      </c>
      <c r="P260" s="1" t="s">
        <v>68</v>
      </c>
      <c r="Q260" s="1">
        <v>13</v>
      </c>
      <c r="R260" s="1">
        <v>0</v>
      </c>
      <c r="S260" s="1">
        <v>0</v>
      </c>
      <c r="T260" s="1">
        <v>13</v>
      </c>
      <c r="U260" s="1">
        <v>0</v>
      </c>
      <c r="V260" s="1" t="str">
        <f t="shared" si="39"/>
        <v>里程返程</v>
      </c>
      <c r="W260" s="1" t="s">
        <v>29</v>
      </c>
    </row>
    <row r="261" spans="1:23" x14ac:dyDescent="0.3">
      <c r="A261" s="1" t="str">
        <f t="shared" si="35"/>
        <v>59820</v>
      </c>
      <c r="B261" s="1" t="s">
        <v>53</v>
      </c>
      <c r="C261" s="1" t="s">
        <v>31</v>
      </c>
      <c r="D261" s="1" t="str">
        <f t="shared" si="38"/>
        <v>9801</v>
      </c>
      <c r="E261" s="1" t="s">
        <v>25</v>
      </c>
      <c r="F261" s="1" t="str">
        <f>"32780D0344880400C834002000000015"</f>
        <v>32780D0344880400C834002000000015</v>
      </c>
      <c r="G261" s="1" t="s">
        <v>26</v>
      </c>
      <c r="H261" s="1" t="str">
        <f t="shared" si="36"/>
        <v>20220905</v>
      </c>
      <c r="I261" s="1" t="str">
        <f>"102422"</f>
        <v>102422</v>
      </c>
      <c r="J261" s="1" t="s">
        <v>44</v>
      </c>
      <c r="K261" s="1" t="s">
        <v>45</v>
      </c>
      <c r="L261" s="1" t="str">
        <f t="shared" si="37"/>
        <v>20220905</v>
      </c>
      <c r="M261" s="1" t="str">
        <f>"105006"</f>
        <v>105006</v>
      </c>
      <c r="N261" s="1" t="s">
        <v>95</v>
      </c>
      <c r="O261" s="1" t="s">
        <v>28</v>
      </c>
      <c r="P261" s="1" t="s">
        <v>68</v>
      </c>
      <c r="Q261" s="1">
        <v>13</v>
      </c>
      <c r="R261" s="1">
        <v>0</v>
      </c>
      <c r="S261" s="1">
        <v>0</v>
      </c>
      <c r="T261" s="1">
        <v>13</v>
      </c>
      <c r="U261" s="1">
        <v>0</v>
      </c>
      <c r="V261" s="1" t="str">
        <f t="shared" si="39"/>
        <v>里程返程</v>
      </c>
      <c r="W261" s="1" t="s">
        <v>29</v>
      </c>
    </row>
    <row r="262" spans="1:23" x14ac:dyDescent="0.3">
      <c r="A262" s="1" t="str">
        <f t="shared" si="35"/>
        <v>59820</v>
      </c>
      <c r="B262" s="1" t="s">
        <v>53</v>
      </c>
      <c r="C262" s="1" t="s">
        <v>31</v>
      </c>
      <c r="D262" s="1" t="str">
        <f t="shared" si="38"/>
        <v>9801</v>
      </c>
      <c r="E262" s="1" t="s">
        <v>25</v>
      </c>
      <c r="F262" s="1" t="str">
        <f>"8DF6A3AB73880400488514574D503810"</f>
        <v>8DF6A3AB73880400488514574D503810</v>
      </c>
      <c r="G262" s="1" t="s">
        <v>82</v>
      </c>
      <c r="H262" s="1" t="str">
        <f t="shared" si="36"/>
        <v>20220905</v>
      </c>
      <c r="I262" s="1" t="str">
        <f>"103814"</f>
        <v>103814</v>
      </c>
      <c r="J262" s="1" t="s">
        <v>75</v>
      </c>
      <c r="K262" s="1" t="s">
        <v>45</v>
      </c>
      <c r="L262" s="1" t="str">
        <f t="shared" si="37"/>
        <v>20220905</v>
      </c>
      <c r="M262" s="1" t="str">
        <f>"105124"</f>
        <v>105124</v>
      </c>
      <c r="N262" s="1" t="s">
        <v>28</v>
      </c>
      <c r="O262" s="1" t="s">
        <v>28</v>
      </c>
      <c r="P262" s="1" t="s">
        <v>55</v>
      </c>
      <c r="Q262" s="1">
        <v>13</v>
      </c>
      <c r="R262" s="1">
        <v>13</v>
      </c>
      <c r="S262" s="1">
        <v>0</v>
      </c>
      <c r="T262" s="1">
        <v>0</v>
      </c>
      <c r="U262" s="1">
        <v>0</v>
      </c>
      <c r="V262" s="1" t="str">
        <f t="shared" si="39"/>
        <v>里程返程</v>
      </c>
      <c r="W262" s="1" t="s">
        <v>29</v>
      </c>
    </row>
    <row r="263" spans="1:23" x14ac:dyDescent="0.3">
      <c r="A263" s="1" t="str">
        <f t="shared" si="35"/>
        <v>59820</v>
      </c>
      <c r="B263" s="1" t="s">
        <v>53</v>
      </c>
      <c r="C263" s="1" t="s">
        <v>31</v>
      </c>
      <c r="D263" s="1" t="str">
        <f t="shared" si="38"/>
        <v>9801</v>
      </c>
      <c r="E263" s="1" t="s">
        <v>25</v>
      </c>
      <c r="F263" s="1" t="str">
        <f>"2D6AC2880D8804004885145845003810"</f>
        <v>2D6AC2880D8804004885145845003810</v>
      </c>
      <c r="G263" s="1" t="s">
        <v>66</v>
      </c>
      <c r="H263" s="1" t="str">
        <f t="shared" si="36"/>
        <v>20220905</v>
      </c>
      <c r="I263" s="1" t="str">
        <f>"103816"</f>
        <v>103816</v>
      </c>
      <c r="J263" s="1" t="s">
        <v>75</v>
      </c>
      <c r="K263" s="1" t="s">
        <v>45</v>
      </c>
      <c r="L263" s="1" t="str">
        <f t="shared" si="37"/>
        <v>20220905</v>
      </c>
      <c r="M263" s="1" t="str">
        <f>"105127"</f>
        <v>105127</v>
      </c>
      <c r="N263" s="1" t="s">
        <v>28</v>
      </c>
      <c r="O263" s="1" t="s">
        <v>28</v>
      </c>
      <c r="P263" s="1" t="s">
        <v>55</v>
      </c>
      <c r="Q263" s="1">
        <v>13</v>
      </c>
      <c r="R263" s="1">
        <v>13</v>
      </c>
      <c r="S263" s="1">
        <v>0</v>
      </c>
      <c r="T263" s="1">
        <v>0</v>
      </c>
      <c r="U263" s="1">
        <v>0</v>
      </c>
      <c r="V263" s="1" t="str">
        <f t="shared" si="39"/>
        <v>里程返程</v>
      </c>
      <c r="W263" s="1" t="s">
        <v>29</v>
      </c>
    </row>
    <row r="264" spans="1:23" x14ac:dyDescent="0.3">
      <c r="A264" s="1" t="str">
        <f t="shared" si="35"/>
        <v>59820</v>
      </c>
      <c r="B264" s="1" t="s">
        <v>53</v>
      </c>
      <c r="C264" s="1" t="s">
        <v>31</v>
      </c>
      <c r="D264" s="1" t="str">
        <f t="shared" si="38"/>
        <v>9801</v>
      </c>
      <c r="E264" s="1" t="s">
        <v>25</v>
      </c>
      <c r="F264" s="1" t="str">
        <f>"61025B231B8804004328148200100112"</f>
        <v>61025B231B8804004328148200100112</v>
      </c>
      <c r="G264" s="1" t="s">
        <v>64</v>
      </c>
      <c r="H264" s="1" t="str">
        <f t="shared" si="36"/>
        <v>20220905</v>
      </c>
      <c r="I264" s="1" t="str">
        <f>"103820"</f>
        <v>103820</v>
      </c>
      <c r="J264" s="1" t="s">
        <v>75</v>
      </c>
      <c r="K264" s="1" t="s">
        <v>45</v>
      </c>
      <c r="L264" s="1" t="str">
        <f t="shared" si="37"/>
        <v>20220905</v>
      </c>
      <c r="M264" s="1" t="str">
        <f>"105121"</f>
        <v>105121</v>
      </c>
      <c r="N264" s="1" t="s">
        <v>28</v>
      </c>
      <c r="O264" s="1" t="s">
        <v>28</v>
      </c>
      <c r="P264" s="1" t="s">
        <v>55</v>
      </c>
      <c r="Q264" s="1">
        <v>13</v>
      </c>
      <c r="R264" s="1">
        <v>13</v>
      </c>
      <c r="S264" s="1">
        <v>0</v>
      </c>
      <c r="T264" s="1">
        <v>0</v>
      </c>
      <c r="U264" s="1">
        <v>0</v>
      </c>
      <c r="V264" s="1" t="str">
        <f t="shared" si="39"/>
        <v>里程返程</v>
      </c>
      <c r="W264" s="1" t="s">
        <v>29</v>
      </c>
    </row>
    <row r="265" spans="1:23" x14ac:dyDescent="0.3">
      <c r="A265" s="1" t="str">
        <f t="shared" si="35"/>
        <v>59820</v>
      </c>
      <c r="B265" s="1" t="s">
        <v>53</v>
      </c>
      <c r="C265" s="1" t="s">
        <v>31</v>
      </c>
      <c r="D265" s="1" t="str">
        <f t="shared" si="38"/>
        <v>9801</v>
      </c>
      <c r="E265" s="1" t="s">
        <v>25</v>
      </c>
      <c r="F265" s="1" t="str">
        <f>"32631C034E880400C834002000000015"</f>
        <v>32631C034E880400C834002000000015</v>
      </c>
      <c r="G265" s="1" t="s">
        <v>26</v>
      </c>
      <c r="H265" s="1" t="str">
        <f t="shared" si="36"/>
        <v>20220905</v>
      </c>
      <c r="I265" s="1" t="str">
        <f>"112041"</f>
        <v>112041</v>
      </c>
      <c r="J265" s="1" t="s">
        <v>60</v>
      </c>
      <c r="K265" s="1" t="s">
        <v>52</v>
      </c>
      <c r="L265" s="1" t="str">
        <f t="shared" si="37"/>
        <v>20220905</v>
      </c>
      <c r="M265" s="1" t="str">
        <f>"112421"</f>
        <v>112421</v>
      </c>
      <c r="N265" s="1" t="s">
        <v>52</v>
      </c>
      <c r="O265" s="1" t="s">
        <v>52</v>
      </c>
      <c r="P265" s="1" t="s">
        <v>68</v>
      </c>
      <c r="Q265" s="1">
        <v>13</v>
      </c>
      <c r="R265" s="1">
        <v>0</v>
      </c>
      <c r="S265" s="1">
        <v>0</v>
      </c>
      <c r="T265" s="1">
        <v>13</v>
      </c>
      <c r="U265" s="1">
        <v>0</v>
      </c>
      <c r="V265" s="1" t="str">
        <f t="shared" si="39"/>
        <v>里程返程</v>
      </c>
      <c r="W265" s="1" t="s">
        <v>29</v>
      </c>
    </row>
    <row r="266" spans="1:23" x14ac:dyDescent="0.3">
      <c r="A266" s="1" t="str">
        <f t="shared" si="35"/>
        <v>59820</v>
      </c>
      <c r="B266" s="1" t="s">
        <v>53</v>
      </c>
      <c r="C266" s="1" t="s">
        <v>31</v>
      </c>
      <c r="D266" s="1" t="str">
        <f t="shared" si="38"/>
        <v>9801</v>
      </c>
      <c r="E266" s="1" t="s">
        <v>25</v>
      </c>
      <c r="F266" s="1" t="str">
        <f>"025E1C0343880400C834002000000015"</f>
        <v>025E1C0343880400C834002000000015</v>
      </c>
      <c r="G266" s="1" t="s">
        <v>26</v>
      </c>
      <c r="H266" s="1" t="str">
        <f t="shared" si="36"/>
        <v>20220905</v>
      </c>
      <c r="I266" s="1" t="str">
        <f>"112044"</f>
        <v>112044</v>
      </c>
      <c r="J266" s="1" t="s">
        <v>60</v>
      </c>
      <c r="K266" s="1" t="s">
        <v>52</v>
      </c>
      <c r="L266" s="1" t="str">
        <f t="shared" si="37"/>
        <v>20220905</v>
      </c>
      <c r="M266" s="1" t="str">
        <f>"112424"</f>
        <v>112424</v>
      </c>
      <c r="N266" s="1" t="s">
        <v>52</v>
      </c>
      <c r="O266" s="1" t="s">
        <v>52</v>
      </c>
      <c r="P266" s="1" t="s">
        <v>68</v>
      </c>
      <c r="Q266" s="1">
        <v>13</v>
      </c>
      <c r="R266" s="1">
        <v>0</v>
      </c>
      <c r="S266" s="1">
        <v>0</v>
      </c>
      <c r="T266" s="1">
        <v>13</v>
      </c>
      <c r="U266" s="1">
        <v>0</v>
      </c>
      <c r="V266" s="1" t="str">
        <f t="shared" si="39"/>
        <v>里程返程</v>
      </c>
      <c r="W266" s="1" t="s">
        <v>29</v>
      </c>
    </row>
    <row r="267" spans="1:23" x14ac:dyDescent="0.3">
      <c r="A267" s="1" t="str">
        <f t="shared" si="35"/>
        <v>59820</v>
      </c>
      <c r="B267" s="1" t="s">
        <v>53</v>
      </c>
      <c r="C267" s="1" t="s">
        <v>31</v>
      </c>
      <c r="D267" s="1" t="str">
        <f t="shared" si="38"/>
        <v>9801</v>
      </c>
      <c r="E267" s="1" t="s">
        <v>25</v>
      </c>
      <c r="F267" s="1" t="str">
        <f>"991209989"</f>
        <v>991209989</v>
      </c>
      <c r="G267" s="1" t="s">
        <v>33</v>
      </c>
      <c r="H267" s="1" t="str">
        <f t="shared" si="36"/>
        <v>20220905</v>
      </c>
      <c r="I267" s="1" t="str">
        <f>"113854"</f>
        <v>113854</v>
      </c>
      <c r="J267" s="1" t="s">
        <v>75</v>
      </c>
      <c r="K267" s="1" t="s">
        <v>45</v>
      </c>
      <c r="L267" s="1" t="str">
        <f t="shared" si="37"/>
        <v>20220905</v>
      </c>
      <c r="M267" s="1" t="str">
        <f>"115205"</f>
        <v>115205</v>
      </c>
      <c r="N267" s="1" t="s">
        <v>28</v>
      </c>
      <c r="O267" s="1" t="s">
        <v>28</v>
      </c>
      <c r="P267" s="1" t="s">
        <v>55</v>
      </c>
      <c r="Q267" s="1">
        <v>25</v>
      </c>
      <c r="R267" s="1">
        <v>25</v>
      </c>
      <c r="S267" s="1">
        <v>0</v>
      </c>
      <c r="T267" s="1">
        <v>0</v>
      </c>
      <c r="U267" s="1">
        <v>0</v>
      </c>
      <c r="V267" s="1" t="str">
        <f t="shared" si="39"/>
        <v>里程返程</v>
      </c>
      <c r="W267" s="1" t="s">
        <v>35</v>
      </c>
    </row>
    <row r="268" spans="1:23" x14ac:dyDescent="0.3">
      <c r="A268" s="1" t="str">
        <f t="shared" si="35"/>
        <v>59820</v>
      </c>
      <c r="B268" s="1" t="s">
        <v>53</v>
      </c>
      <c r="C268" s="1" t="s">
        <v>31</v>
      </c>
      <c r="D268" s="1" t="str">
        <f t="shared" si="38"/>
        <v>9801</v>
      </c>
      <c r="E268" s="1" t="s">
        <v>25</v>
      </c>
      <c r="F268" s="1" t="str">
        <f>"E22D4A199C880400C821002000000019"</f>
        <v>E22D4A199C880400C821002000000019</v>
      </c>
      <c r="G268" s="1" t="s">
        <v>64</v>
      </c>
      <c r="H268" s="1" t="str">
        <f t="shared" si="36"/>
        <v>20220905</v>
      </c>
      <c r="I268" s="1" t="str">
        <f>"115216"</f>
        <v>115216</v>
      </c>
      <c r="J268" s="1" t="s">
        <v>28</v>
      </c>
      <c r="K268" s="1" t="s">
        <v>28</v>
      </c>
      <c r="L268" s="1" t="str">
        <f t="shared" si="37"/>
        <v>20220905</v>
      </c>
      <c r="M268" s="1" t="str">
        <f>"122522"</f>
        <v>122522</v>
      </c>
      <c r="N268" s="1" t="s">
        <v>52</v>
      </c>
      <c r="O268" s="1" t="s">
        <v>52</v>
      </c>
      <c r="P268" s="1" t="s">
        <v>55</v>
      </c>
      <c r="Q268" s="1">
        <v>13</v>
      </c>
      <c r="R268" s="1">
        <v>0</v>
      </c>
      <c r="S268" s="1">
        <v>13</v>
      </c>
      <c r="T268" s="1">
        <v>0</v>
      </c>
      <c r="U268" s="1">
        <v>0</v>
      </c>
      <c r="V268" s="1" t="str">
        <f t="shared" si="39"/>
        <v>里程返程</v>
      </c>
      <c r="W268" s="1" t="s">
        <v>29</v>
      </c>
    </row>
    <row r="269" spans="1:23" x14ac:dyDescent="0.3">
      <c r="A269" s="1" t="str">
        <f t="shared" si="35"/>
        <v>59820</v>
      </c>
      <c r="B269" s="1" t="s">
        <v>53</v>
      </c>
      <c r="C269" s="1" t="s">
        <v>31</v>
      </c>
      <c r="D269" s="1" t="str">
        <f t="shared" si="38"/>
        <v>9801</v>
      </c>
      <c r="E269" s="1" t="s">
        <v>25</v>
      </c>
      <c r="F269" s="1" t="str">
        <f>"1612397969"</f>
        <v>1612397969</v>
      </c>
      <c r="G269" s="1" t="s">
        <v>33</v>
      </c>
      <c r="H269" s="1" t="str">
        <f t="shared" si="36"/>
        <v>20220905</v>
      </c>
      <c r="I269" s="1" t="str">
        <f>"115235"</f>
        <v>115235</v>
      </c>
      <c r="J269" s="1" t="s">
        <v>28</v>
      </c>
      <c r="K269" s="1" t="s">
        <v>28</v>
      </c>
      <c r="L269" s="1" t="str">
        <f t="shared" si="37"/>
        <v>20220905</v>
      </c>
      <c r="M269" s="1" t="str">
        <f>"122525"</f>
        <v>122525</v>
      </c>
      <c r="N269" s="1" t="s">
        <v>52</v>
      </c>
      <c r="O269" s="1" t="s">
        <v>52</v>
      </c>
      <c r="P269" s="1" t="s">
        <v>55</v>
      </c>
      <c r="Q269" s="1">
        <v>25</v>
      </c>
      <c r="R269" s="1">
        <v>0</v>
      </c>
      <c r="S269" s="1">
        <v>25</v>
      </c>
      <c r="T269" s="1">
        <v>0</v>
      </c>
      <c r="U269" s="1">
        <v>0</v>
      </c>
      <c r="V269" s="1" t="str">
        <f t="shared" si="39"/>
        <v>里程返程</v>
      </c>
      <c r="W269" s="1" t="s">
        <v>35</v>
      </c>
    </row>
    <row r="270" spans="1:23" x14ac:dyDescent="0.3">
      <c r="A270" s="1" t="str">
        <f t="shared" si="35"/>
        <v>59820</v>
      </c>
      <c r="B270" s="1" t="s">
        <v>53</v>
      </c>
      <c r="C270" s="1" t="s">
        <v>31</v>
      </c>
      <c r="D270" s="1" t="str">
        <f t="shared" si="38"/>
        <v>9801</v>
      </c>
      <c r="E270" s="1" t="s">
        <v>25</v>
      </c>
      <c r="F270" s="1" t="str">
        <f>"12672A1946880400C821002000000019"</f>
        <v>12672A1946880400C821002000000019</v>
      </c>
      <c r="G270" s="1" t="s">
        <v>64</v>
      </c>
      <c r="H270" s="1" t="str">
        <f t="shared" si="36"/>
        <v>20220905</v>
      </c>
      <c r="I270" s="1" t="str">
        <f>"115403"</f>
        <v>115403</v>
      </c>
      <c r="J270" s="1" t="s">
        <v>28</v>
      </c>
      <c r="K270" s="1" t="s">
        <v>28</v>
      </c>
      <c r="L270" s="1" t="str">
        <f t="shared" si="37"/>
        <v>20220905</v>
      </c>
      <c r="M270" s="1" t="str">
        <f>"121517"</f>
        <v>121517</v>
      </c>
      <c r="N270" s="1" t="s">
        <v>65</v>
      </c>
      <c r="O270" s="1" t="s">
        <v>52</v>
      </c>
      <c r="P270" s="1" t="s">
        <v>55</v>
      </c>
      <c r="Q270" s="1">
        <v>13</v>
      </c>
      <c r="R270" s="1">
        <v>0</v>
      </c>
      <c r="S270" s="1">
        <v>13</v>
      </c>
      <c r="T270" s="1">
        <v>0</v>
      </c>
      <c r="U270" s="1">
        <v>0</v>
      </c>
      <c r="V270" s="1" t="str">
        <f t="shared" si="39"/>
        <v>里程返程</v>
      </c>
      <c r="W270" s="1" t="s">
        <v>29</v>
      </c>
    </row>
    <row r="271" spans="1:23" x14ac:dyDescent="0.3">
      <c r="A271" s="1" t="str">
        <f t="shared" si="35"/>
        <v>59820</v>
      </c>
      <c r="B271" s="1" t="s">
        <v>53</v>
      </c>
      <c r="C271" s="1" t="s">
        <v>31</v>
      </c>
      <c r="D271" s="1" t="str">
        <f t="shared" si="38"/>
        <v>9801</v>
      </c>
      <c r="E271" s="1" t="s">
        <v>25</v>
      </c>
      <c r="F271" s="1" t="str">
        <f>"1807383873"</f>
        <v>1807383873</v>
      </c>
      <c r="G271" s="1" t="s">
        <v>33</v>
      </c>
      <c r="H271" s="1" t="str">
        <f t="shared" si="36"/>
        <v>20220905</v>
      </c>
      <c r="I271" s="1" t="str">
        <f>"185236"</f>
        <v>185236</v>
      </c>
      <c r="J271" s="1" t="s">
        <v>44</v>
      </c>
      <c r="K271" s="1" t="s">
        <v>45</v>
      </c>
      <c r="L271" s="1" t="str">
        <f t="shared" si="37"/>
        <v>20220905</v>
      </c>
      <c r="M271" s="1" t="str">
        <f>"192136"</f>
        <v>192136</v>
      </c>
      <c r="N271" s="1" t="s">
        <v>28</v>
      </c>
      <c r="O271" s="1" t="s">
        <v>28</v>
      </c>
      <c r="P271" s="1" t="s">
        <v>55</v>
      </c>
      <c r="Q271" s="1">
        <v>25</v>
      </c>
      <c r="R271" s="1">
        <v>25</v>
      </c>
      <c r="S271" s="1">
        <v>0</v>
      </c>
      <c r="T271" s="1">
        <v>0</v>
      </c>
      <c r="U271" s="1">
        <v>0</v>
      </c>
      <c r="V271" s="1" t="str">
        <f t="shared" si="39"/>
        <v>里程返程</v>
      </c>
      <c r="W271" s="1" t="s">
        <v>35</v>
      </c>
    </row>
    <row r="272" spans="1:23" x14ac:dyDescent="0.3">
      <c r="A272" s="1" t="str">
        <f t="shared" si="35"/>
        <v>59820</v>
      </c>
      <c r="B272" s="1" t="s">
        <v>53</v>
      </c>
      <c r="C272" s="1" t="s">
        <v>31</v>
      </c>
      <c r="D272" s="1" t="str">
        <f t="shared" si="38"/>
        <v>9801</v>
      </c>
      <c r="E272" s="1" t="s">
        <v>25</v>
      </c>
      <c r="F272" s="1" t="str">
        <f>"901915489"</f>
        <v>901915489</v>
      </c>
      <c r="G272" s="1" t="s">
        <v>33</v>
      </c>
      <c r="H272" s="1" t="str">
        <f t="shared" si="36"/>
        <v>20220905</v>
      </c>
      <c r="I272" s="1" t="str">
        <f>"185240"</f>
        <v>185240</v>
      </c>
      <c r="J272" s="1" t="s">
        <v>44</v>
      </c>
      <c r="K272" s="1" t="s">
        <v>45</v>
      </c>
      <c r="L272" s="1" t="str">
        <f t="shared" si="37"/>
        <v>20220905</v>
      </c>
      <c r="M272" s="1" t="str">
        <f>"192140"</f>
        <v>192140</v>
      </c>
      <c r="N272" s="1" t="s">
        <v>28</v>
      </c>
      <c r="O272" s="1" t="s">
        <v>28</v>
      </c>
      <c r="P272" s="1" t="s">
        <v>55</v>
      </c>
      <c r="Q272" s="1">
        <v>25</v>
      </c>
      <c r="R272" s="1">
        <v>25</v>
      </c>
      <c r="S272" s="1">
        <v>0</v>
      </c>
      <c r="T272" s="1">
        <v>0</v>
      </c>
      <c r="U272" s="1">
        <v>0</v>
      </c>
      <c r="V272" s="1" t="str">
        <f t="shared" si="39"/>
        <v>里程返程</v>
      </c>
      <c r="W272" s="1" t="s">
        <v>35</v>
      </c>
    </row>
    <row r="273" spans="1:23" x14ac:dyDescent="0.3">
      <c r="A273" s="1" t="str">
        <f t="shared" si="35"/>
        <v>59820</v>
      </c>
      <c r="B273" s="1" t="s">
        <v>53</v>
      </c>
      <c r="C273" s="1" t="s">
        <v>31</v>
      </c>
      <c r="D273" s="1" t="str">
        <f t="shared" si="38"/>
        <v>9801</v>
      </c>
      <c r="E273" s="1" t="s">
        <v>25</v>
      </c>
      <c r="F273" s="1" t="str">
        <f>"3491078967"</f>
        <v>3491078967</v>
      </c>
      <c r="G273" s="1" t="s">
        <v>33</v>
      </c>
      <c r="H273" s="1" t="str">
        <f t="shared" si="36"/>
        <v>20220905</v>
      </c>
      <c r="I273" s="1" t="str">
        <f>"192204"</f>
        <v>192204</v>
      </c>
      <c r="J273" s="1" t="s">
        <v>28</v>
      </c>
      <c r="K273" s="1" t="s">
        <v>28</v>
      </c>
      <c r="L273" s="1" t="str">
        <f t="shared" si="37"/>
        <v>20220905</v>
      </c>
      <c r="M273" s="1" t="str">
        <f>"195301"</f>
        <v>195301</v>
      </c>
      <c r="N273" s="1" t="s">
        <v>52</v>
      </c>
      <c r="O273" s="1" t="s">
        <v>52</v>
      </c>
      <c r="P273" s="1" t="s">
        <v>55</v>
      </c>
      <c r="Q273" s="1">
        <v>25</v>
      </c>
      <c r="R273" s="1">
        <v>25</v>
      </c>
      <c r="S273" s="1">
        <v>0</v>
      </c>
      <c r="T273" s="1">
        <v>0</v>
      </c>
      <c r="U273" s="1">
        <v>0</v>
      </c>
      <c r="V273" s="1" t="str">
        <f t="shared" si="39"/>
        <v>里程返程</v>
      </c>
      <c r="W273" s="1" t="s">
        <v>35</v>
      </c>
    </row>
    <row r="274" spans="1:23" x14ac:dyDescent="0.3">
      <c r="A274" s="1" t="str">
        <f t="shared" si="35"/>
        <v>59820</v>
      </c>
      <c r="B274" s="1" t="s">
        <v>53</v>
      </c>
      <c r="C274" s="1" t="s">
        <v>31</v>
      </c>
      <c r="D274" s="1" t="str">
        <f t="shared" si="38"/>
        <v>9801</v>
      </c>
      <c r="E274" s="1" t="s">
        <v>25</v>
      </c>
      <c r="F274" s="1" t="str">
        <f>"B53C950E12180200D200000C22400417"</f>
        <v>B53C950E12180200D200000C22400417</v>
      </c>
      <c r="G274" s="1" t="s">
        <v>58</v>
      </c>
      <c r="H274" s="1" t="str">
        <f t="shared" si="36"/>
        <v>20220905</v>
      </c>
      <c r="I274" s="1" t="str">
        <f>"192216"</f>
        <v>192216</v>
      </c>
      <c r="J274" s="1" t="s">
        <v>28</v>
      </c>
      <c r="K274" s="1" t="s">
        <v>28</v>
      </c>
      <c r="L274" s="1" t="str">
        <f t="shared" si="37"/>
        <v>20220905</v>
      </c>
      <c r="M274" s="1" t="str">
        <f>"195250"</f>
        <v>195250</v>
      </c>
      <c r="N274" s="1" t="s">
        <v>52</v>
      </c>
      <c r="O274" s="1" t="s">
        <v>52</v>
      </c>
      <c r="P274" s="1" t="s">
        <v>55</v>
      </c>
      <c r="Q274" s="1">
        <v>25</v>
      </c>
      <c r="R274" s="1">
        <v>25</v>
      </c>
      <c r="S274" s="1">
        <v>0</v>
      </c>
      <c r="T274" s="1">
        <v>0</v>
      </c>
      <c r="U274" s="1">
        <v>0</v>
      </c>
      <c r="V274" s="1" t="str">
        <f t="shared" si="39"/>
        <v>里程返程</v>
      </c>
      <c r="W274" s="1" t="s">
        <v>29</v>
      </c>
    </row>
    <row r="275" spans="1:23" x14ac:dyDescent="0.3">
      <c r="A275" s="1" t="str">
        <f t="shared" si="35"/>
        <v>59820</v>
      </c>
      <c r="B275" s="1" t="s">
        <v>53</v>
      </c>
      <c r="C275" s="1" t="s">
        <v>31</v>
      </c>
      <c r="D275" s="1" t="str">
        <f t="shared" si="38"/>
        <v>9801</v>
      </c>
      <c r="E275" s="1" t="s">
        <v>25</v>
      </c>
      <c r="F275" s="1" t="str">
        <f>"0245BD02F8880400C834002000000015"</f>
        <v>0245BD02F8880400C834002000000015</v>
      </c>
      <c r="G275" s="1" t="s">
        <v>26</v>
      </c>
      <c r="H275" s="1" t="str">
        <f t="shared" si="36"/>
        <v>20220905</v>
      </c>
      <c r="I275" s="1" t="str">
        <f>"192341"</f>
        <v>192341</v>
      </c>
      <c r="J275" s="1" t="s">
        <v>28</v>
      </c>
      <c r="K275" s="1" t="s">
        <v>28</v>
      </c>
      <c r="L275" s="1" t="str">
        <f t="shared" si="37"/>
        <v>20220905</v>
      </c>
      <c r="M275" s="1" t="str">
        <f>"195305"</f>
        <v>195305</v>
      </c>
      <c r="N275" s="1" t="s">
        <v>52</v>
      </c>
      <c r="O275" s="1" t="s">
        <v>52</v>
      </c>
      <c r="P275" s="1" t="s">
        <v>68</v>
      </c>
      <c r="Q275" s="1">
        <v>13</v>
      </c>
      <c r="R275" s="1">
        <v>0</v>
      </c>
      <c r="S275" s="1">
        <v>0</v>
      </c>
      <c r="T275" s="1">
        <v>13</v>
      </c>
      <c r="U275" s="1">
        <v>0</v>
      </c>
      <c r="V275" s="1" t="str">
        <f t="shared" si="39"/>
        <v>里程返程</v>
      </c>
      <c r="W275" s="1" t="s">
        <v>29</v>
      </c>
    </row>
    <row r="276" spans="1:23" x14ac:dyDescent="0.3">
      <c r="A276" s="1" t="str">
        <f t="shared" ref="A276:A292" si="40">"59822"</f>
        <v>59822</v>
      </c>
      <c r="B276" s="1" t="s">
        <v>39</v>
      </c>
      <c r="C276" s="1" t="s">
        <v>40</v>
      </c>
      <c r="D276" s="1" t="str">
        <f t="shared" si="38"/>
        <v>9801</v>
      </c>
      <c r="E276" s="1" t="s">
        <v>25</v>
      </c>
      <c r="F276" s="1" t="str">
        <f>"1112715573"</f>
        <v>1112715573</v>
      </c>
      <c r="G276" s="1" t="s">
        <v>38</v>
      </c>
      <c r="H276" s="1" t="str">
        <f t="shared" si="36"/>
        <v>20220905</v>
      </c>
      <c r="I276" s="1" t="str">
        <f>"172524"</f>
        <v>172524</v>
      </c>
      <c r="J276" s="1" t="s">
        <v>44</v>
      </c>
      <c r="K276" s="1" t="s">
        <v>45</v>
      </c>
      <c r="L276" s="1" t="str">
        <f t="shared" si="37"/>
        <v>20220905</v>
      </c>
      <c r="M276" s="1" t="str">
        <f>"180436"</f>
        <v>180436</v>
      </c>
      <c r="N276" s="1" t="s">
        <v>67</v>
      </c>
      <c r="O276" s="1" t="s">
        <v>52</v>
      </c>
      <c r="P276" s="1" t="s">
        <v>55</v>
      </c>
      <c r="Q276" s="1">
        <v>50</v>
      </c>
      <c r="R276" s="1">
        <v>50</v>
      </c>
      <c r="S276" s="1">
        <v>0</v>
      </c>
      <c r="T276" s="1">
        <v>0</v>
      </c>
      <c r="U276" s="1">
        <v>0</v>
      </c>
      <c r="V276" s="1" t="str">
        <f t="shared" si="39"/>
        <v>里程返程</v>
      </c>
      <c r="W276" s="1" t="s">
        <v>35</v>
      </c>
    </row>
    <row r="277" spans="1:23" x14ac:dyDescent="0.3">
      <c r="A277" s="1" t="str">
        <f t="shared" si="40"/>
        <v>59822</v>
      </c>
      <c r="B277" s="1" t="s">
        <v>39</v>
      </c>
      <c r="C277" s="1" t="s">
        <v>40</v>
      </c>
      <c r="D277" s="1" t="str">
        <f t="shared" si="38"/>
        <v>9801</v>
      </c>
      <c r="E277" s="1" t="s">
        <v>25</v>
      </c>
      <c r="F277" s="1" t="str">
        <f>"026A101860880400C814002000000019"</f>
        <v>026A101860880400C814002000000019</v>
      </c>
      <c r="G277" s="1" t="s">
        <v>59</v>
      </c>
      <c r="H277" s="1" t="str">
        <f t="shared" si="36"/>
        <v>20220905</v>
      </c>
      <c r="I277" s="1" t="str">
        <f>"172542"</f>
        <v>172542</v>
      </c>
      <c r="J277" s="1" t="s">
        <v>44</v>
      </c>
      <c r="K277" s="1" t="s">
        <v>45</v>
      </c>
      <c r="L277" s="1" t="str">
        <f t="shared" si="37"/>
        <v>20220905</v>
      </c>
      <c r="M277" s="1" t="str">
        <f>"175401"</f>
        <v>175401</v>
      </c>
      <c r="N277" s="1" t="s">
        <v>28</v>
      </c>
      <c r="O277" s="1" t="s">
        <v>28</v>
      </c>
      <c r="P277" s="1" t="s">
        <v>55</v>
      </c>
      <c r="Q277" s="1">
        <v>25</v>
      </c>
      <c r="R277" s="1">
        <v>25</v>
      </c>
      <c r="S277" s="1">
        <v>0</v>
      </c>
      <c r="T277" s="1">
        <v>0</v>
      </c>
      <c r="U277" s="1">
        <v>0</v>
      </c>
      <c r="V277" s="1" t="str">
        <f t="shared" si="39"/>
        <v>里程返程</v>
      </c>
      <c r="W277" s="1" t="s">
        <v>29</v>
      </c>
    </row>
    <row r="278" spans="1:23" x14ac:dyDescent="0.3">
      <c r="A278" s="1" t="str">
        <f t="shared" si="40"/>
        <v>59822</v>
      </c>
      <c r="B278" s="1" t="s">
        <v>39</v>
      </c>
      <c r="C278" s="1" t="s">
        <v>40</v>
      </c>
      <c r="D278" s="1" t="str">
        <f t="shared" si="38"/>
        <v>9801</v>
      </c>
      <c r="E278" s="1" t="s">
        <v>25</v>
      </c>
      <c r="F278" s="1" t="str">
        <f>"5A87B3E789880400475975915D101608"</f>
        <v>5A87B3E789880400475975915D101608</v>
      </c>
      <c r="G278" s="1" t="s">
        <v>64</v>
      </c>
      <c r="H278" s="1" t="str">
        <f t="shared" si="36"/>
        <v>20220905</v>
      </c>
      <c r="I278" s="1" t="str">
        <f>"183419"</f>
        <v>183419</v>
      </c>
      <c r="J278" s="1" t="s">
        <v>44</v>
      </c>
      <c r="K278" s="1" t="s">
        <v>45</v>
      </c>
      <c r="L278" s="1" t="str">
        <f t="shared" si="37"/>
        <v>20220905</v>
      </c>
      <c r="M278" s="1" t="str">
        <f>"185453"</f>
        <v>185453</v>
      </c>
      <c r="N278" s="1" t="s">
        <v>28</v>
      </c>
      <c r="O278" s="1" t="s">
        <v>28</v>
      </c>
      <c r="P278" s="1" t="s">
        <v>55</v>
      </c>
      <c r="Q278" s="1">
        <v>13</v>
      </c>
      <c r="R278" s="1">
        <v>13</v>
      </c>
      <c r="S278" s="1">
        <v>0</v>
      </c>
      <c r="T278" s="1">
        <v>0</v>
      </c>
      <c r="U278" s="1">
        <v>0</v>
      </c>
      <c r="V278" s="1" t="str">
        <f t="shared" si="39"/>
        <v>里程返程</v>
      </c>
      <c r="W278" s="1" t="s">
        <v>29</v>
      </c>
    </row>
    <row r="279" spans="1:23" x14ac:dyDescent="0.3">
      <c r="A279" s="1" t="str">
        <f t="shared" si="40"/>
        <v>59822</v>
      </c>
      <c r="B279" s="1" t="s">
        <v>39</v>
      </c>
      <c r="C279" s="1" t="s">
        <v>40</v>
      </c>
      <c r="D279" s="1" t="str">
        <f t="shared" si="38"/>
        <v>9801</v>
      </c>
      <c r="E279" s="1" t="s">
        <v>25</v>
      </c>
      <c r="F279" s="1" t="str">
        <f>"3922955454"</f>
        <v>3922955454</v>
      </c>
      <c r="G279" s="1" t="s">
        <v>33</v>
      </c>
      <c r="H279" s="1" t="str">
        <f t="shared" si="36"/>
        <v>20220905</v>
      </c>
      <c r="I279" s="1" t="str">
        <f>"183421"</f>
        <v>183421</v>
      </c>
      <c r="J279" s="1" t="s">
        <v>44</v>
      </c>
      <c r="K279" s="1" t="s">
        <v>45</v>
      </c>
      <c r="L279" s="1" t="str">
        <f t="shared" si="37"/>
        <v>20220905</v>
      </c>
      <c r="M279" s="1" t="str">
        <f>"185451"</f>
        <v>185451</v>
      </c>
      <c r="N279" s="1" t="s">
        <v>28</v>
      </c>
      <c r="O279" s="1" t="s">
        <v>28</v>
      </c>
      <c r="P279" s="1" t="s">
        <v>55</v>
      </c>
      <c r="Q279" s="1">
        <v>25</v>
      </c>
      <c r="R279" s="1">
        <v>25</v>
      </c>
      <c r="S279" s="1">
        <v>0</v>
      </c>
      <c r="T279" s="1">
        <v>0</v>
      </c>
      <c r="U279" s="1">
        <v>0</v>
      </c>
      <c r="V279" s="1" t="str">
        <f t="shared" si="39"/>
        <v>里程返程</v>
      </c>
      <c r="W279" s="1" t="s">
        <v>35</v>
      </c>
    </row>
    <row r="280" spans="1:23" x14ac:dyDescent="0.3">
      <c r="A280" s="1" t="str">
        <f t="shared" si="40"/>
        <v>59822</v>
      </c>
      <c r="B280" s="1" t="s">
        <v>39</v>
      </c>
      <c r="C280" s="1" t="s">
        <v>40</v>
      </c>
      <c r="D280" s="1" t="str">
        <f t="shared" si="38"/>
        <v>9801</v>
      </c>
      <c r="E280" s="1" t="s">
        <v>25</v>
      </c>
      <c r="F280" s="1" t="str">
        <f>"1242005525"</f>
        <v>1242005525</v>
      </c>
      <c r="G280" s="1" t="s">
        <v>38</v>
      </c>
      <c r="H280" s="1" t="str">
        <f t="shared" si="36"/>
        <v>20220905</v>
      </c>
      <c r="I280" s="1" t="str">
        <f>"183822"</f>
        <v>183822</v>
      </c>
      <c r="J280" s="1" t="s">
        <v>91</v>
      </c>
      <c r="K280" s="1" t="s">
        <v>45</v>
      </c>
      <c r="L280" s="1" t="str">
        <f t="shared" si="37"/>
        <v>20220905</v>
      </c>
      <c r="M280" s="1" t="str">
        <f>"185500"</f>
        <v>185500</v>
      </c>
      <c r="N280" s="1" t="s">
        <v>28</v>
      </c>
      <c r="O280" s="1" t="s">
        <v>28</v>
      </c>
      <c r="P280" s="1" t="s">
        <v>55</v>
      </c>
      <c r="Q280" s="1">
        <v>25</v>
      </c>
      <c r="R280" s="1">
        <v>25</v>
      </c>
      <c r="S280" s="1">
        <v>0</v>
      </c>
      <c r="T280" s="1">
        <v>0</v>
      </c>
      <c r="U280" s="1">
        <v>0</v>
      </c>
      <c r="V280" s="1" t="str">
        <f t="shared" si="39"/>
        <v>里程返程</v>
      </c>
      <c r="W280" s="1" t="s">
        <v>35</v>
      </c>
    </row>
    <row r="281" spans="1:23" x14ac:dyDescent="0.3">
      <c r="A281" s="1" t="str">
        <f t="shared" si="40"/>
        <v>59822</v>
      </c>
      <c r="B281" s="1" t="s">
        <v>39</v>
      </c>
      <c r="C281" s="1" t="s">
        <v>40</v>
      </c>
      <c r="D281" s="1" t="str">
        <f t="shared" si="38"/>
        <v>9801</v>
      </c>
      <c r="E281" s="1" t="s">
        <v>25</v>
      </c>
      <c r="F281" s="1" t="str">
        <f>"1241978085"</f>
        <v>1241978085</v>
      </c>
      <c r="G281" s="1" t="s">
        <v>38</v>
      </c>
      <c r="H281" s="1" t="str">
        <f t="shared" si="36"/>
        <v>20220905</v>
      </c>
      <c r="I281" s="1" t="str">
        <f>"183823"</f>
        <v>183823</v>
      </c>
      <c r="J281" s="1" t="s">
        <v>91</v>
      </c>
      <c r="K281" s="1" t="s">
        <v>45</v>
      </c>
      <c r="L281" s="1" t="str">
        <f t="shared" si="37"/>
        <v>20220905</v>
      </c>
      <c r="M281" s="1" t="str">
        <f>"185506"</f>
        <v>185506</v>
      </c>
      <c r="N281" s="1" t="s">
        <v>28</v>
      </c>
      <c r="O281" s="1" t="s">
        <v>28</v>
      </c>
      <c r="P281" s="1" t="s">
        <v>55</v>
      </c>
      <c r="Q281" s="1">
        <v>25</v>
      </c>
      <c r="R281" s="1">
        <v>25</v>
      </c>
      <c r="S281" s="1">
        <v>0</v>
      </c>
      <c r="T281" s="1">
        <v>0</v>
      </c>
      <c r="U281" s="1">
        <v>0</v>
      </c>
      <c r="V281" s="1" t="str">
        <f t="shared" si="39"/>
        <v>里程返程</v>
      </c>
      <c r="W281" s="1" t="s">
        <v>35</v>
      </c>
    </row>
    <row r="282" spans="1:23" x14ac:dyDescent="0.3">
      <c r="A282" s="1" t="str">
        <f t="shared" si="40"/>
        <v>59822</v>
      </c>
      <c r="B282" s="1" t="s">
        <v>39</v>
      </c>
      <c r="C282" s="1" t="s">
        <v>40</v>
      </c>
      <c r="D282" s="1" t="str">
        <f t="shared" si="38"/>
        <v>9801</v>
      </c>
      <c r="E282" s="1" t="s">
        <v>25</v>
      </c>
      <c r="F282" s="1" t="str">
        <f>"1230232645"</f>
        <v>1230232645</v>
      </c>
      <c r="G282" s="1" t="s">
        <v>38</v>
      </c>
      <c r="H282" s="1" t="str">
        <f t="shared" si="36"/>
        <v>20220905</v>
      </c>
      <c r="I282" s="1" t="str">
        <f>"183826"</f>
        <v>183826</v>
      </c>
      <c r="J282" s="1" t="s">
        <v>91</v>
      </c>
      <c r="K282" s="1" t="s">
        <v>45</v>
      </c>
      <c r="L282" s="1" t="str">
        <f t="shared" si="37"/>
        <v>20220905</v>
      </c>
      <c r="M282" s="1" t="str">
        <f>"185504"</f>
        <v>185504</v>
      </c>
      <c r="N282" s="1" t="s">
        <v>28</v>
      </c>
      <c r="O282" s="1" t="s">
        <v>28</v>
      </c>
      <c r="P282" s="1" t="s">
        <v>55</v>
      </c>
      <c r="Q282" s="1">
        <v>25</v>
      </c>
      <c r="R282" s="1">
        <v>25</v>
      </c>
      <c r="S282" s="1">
        <v>0</v>
      </c>
      <c r="T282" s="1">
        <v>0</v>
      </c>
      <c r="U282" s="1">
        <v>0</v>
      </c>
      <c r="V282" s="1" t="str">
        <f t="shared" si="39"/>
        <v>里程返程</v>
      </c>
      <c r="W282" s="1" t="s">
        <v>35</v>
      </c>
    </row>
    <row r="283" spans="1:23" x14ac:dyDescent="0.3">
      <c r="A283" s="1" t="str">
        <f t="shared" si="40"/>
        <v>59822</v>
      </c>
      <c r="B283" s="1" t="s">
        <v>39</v>
      </c>
      <c r="C283" s="1" t="s">
        <v>40</v>
      </c>
      <c r="D283" s="1" t="str">
        <f t="shared" si="38"/>
        <v>9801</v>
      </c>
      <c r="E283" s="1" t="s">
        <v>25</v>
      </c>
      <c r="F283" s="1" t="str">
        <f>"E1D5760A48280400F700000000000000"</f>
        <v>E1D5760A48280400F700000000000000</v>
      </c>
      <c r="G283" s="1" t="s">
        <v>58</v>
      </c>
      <c r="H283" s="1" t="str">
        <f t="shared" si="36"/>
        <v>20220905</v>
      </c>
      <c r="I283" s="1" t="str">
        <f>"183829"</f>
        <v>183829</v>
      </c>
      <c r="J283" s="1" t="s">
        <v>91</v>
      </c>
      <c r="K283" s="1" t="s">
        <v>45</v>
      </c>
      <c r="L283" s="1" t="str">
        <f t="shared" si="37"/>
        <v>20220905</v>
      </c>
      <c r="M283" s="1" t="str">
        <f>"185449"</f>
        <v>185449</v>
      </c>
      <c r="N283" s="1" t="s">
        <v>28</v>
      </c>
      <c r="O283" s="1" t="s">
        <v>28</v>
      </c>
      <c r="P283" s="1" t="s">
        <v>55</v>
      </c>
      <c r="Q283" s="1">
        <v>25</v>
      </c>
      <c r="R283" s="1">
        <v>0</v>
      </c>
      <c r="S283" s="1">
        <v>25</v>
      </c>
      <c r="T283" s="1">
        <v>0</v>
      </c>
      <c r="U283" s="1">
        <v>0</v>
      </c>
      <c r="V283" s="1" t="str">
        <f t="shared" si="39"/>
        <v>里程返程</v>
      </c>
      <c r="W283" s="1" t="s">
        <v>29</v>
      </c>
    </row>
    <row r="284" spans="1:23" x14ac:dyDescent="0.3">
      <c r="A284" s="1" t="str">
        <f t="shared" si="40"/>
        <v>59822</v>
      </c>
      <c r="B284" s="1" t="s">
        <v>39</v>
      </c>
      <c r="C284" s="1" t="s">
        <v>40</v>
      </c>
      <c r="D284" s="1" t="str">
        <f t="shared" si="38"/>
        <v>9801</v>
      </c>
      <c r="E284" s="1" t="s">
        <v>25</v>
      </c>
      <c r="F284" s="1" t="str">
        <f>"61F60455C62804001C00000000000000"</f>
        <v>61F60455C62804001C00000000000000</v>
      </c>
      <c r="G284" s="1" t="s">
        <v>58</v>
      </c>
      <c r="H284" s="1" t="str">
        <f t="shared" si="36"/>
        <v>20220905</v>
      </c>
      <c r="I284" s="1" t="str">
        <f>"183831"</f>
        <v>183831</v>
      </c>
      <c r="J284" s="1" t="s">
        <v>91</v>
      </c>
      <c r="K284" s="1" t="s">
        <v>45</v>
      </c>
      <c r="L284" s="1" t="str">
        <f t="shared" si="37"/>
        <v>20220905</v>
      </c>
      <c r="M284" s="1" t="str">
        <f>"185446"</f>
        <v>185446</v>
      </c>
      <c r="N284" s="1" t="s">
        <v>28</v>
      </c>
      <c r="O284" s="1" t="s">
        <v>28</v>
      </c>
      <c r="P284" s="1" t="s">
        <v>55</v>
      </c>
      <c r="Q284" s="1">
        <v>25</v>
      </c>
      <c r="R284" s="1">
        <v>0</v>
      </c>
      <c r="S284" s="1">
        <v>25</v>
      </c>
      <c r="T284" s="1">
        <v>0</v>
      </c>
      <c r="U284" s="1">
        <v>0</v>
      </c>
      <c r="V284" s="1" t="str">
        <f t="shared" si="39"/>
        <v>里程返程</v>
      </c>
      <c r="W284" s="1" t="s">
        <v>29</v>
      </c>
    </row>
    <row r="285" spans="1:23" x14ac:dyDescent="0.3">
      <c r="A285" s="1" t="str">
        <f t="shared" si="40"/>
        <v>59822</v>
      </c>
      <c r="B285" s="1" t="s">
        <v>39</v>
      </c>
      <c r="C285" s="1" t="s">
        <v>40</v>
      </c>
      <c r="D285" s="1" t="str">
        <f t="shared" si="38"/>
        <v>9801</v>
      </c>
      <c r="E285" s="1" t="s">
        <v>25</v>
      </c>
      <c r="F285" s="1" t="str">
        <f>"232582417"</f>
        <v>232582417</v>
      </c>
      <c r="G285" s="1" t="s">
        <v>33</v>
      </c>
      <c r="H285" s="1" t="str">
        <f t="shared" si="36"/>
        <v>20220905</v>
      </c>
      <c r="I285" s="1" t="str">
        <f>"185511"</f>
        <v>185511</v>
      </c>
      <c r="J285" s="1" t="s">
        <v>28</v>
      </c>
      <c r="K285" s="1" t="s">
        <v>28</v>
      </c>
      <c r="L285" s="1" t="str">
        <f t="shared" si="37"/>
        <v>20220905</v>
      </c>
      <c r="M285" s="1" t="str">
        <f>"192146"</f>
        <v>192146</v>
      </c>
      <c r="N285" s="1" t="s">
        <v>60</v>
      </c>
      <c r="O285" s="1" t="s">
        <v>52</v>
      </c>
      <c r="P285" s="1" t="s">
        <v>55</v>
      </c>
      <c r="Q285" s="1">
        <v>25</v>
      </c>
      <c r="R285" s="1">
        <v>0</v>
      </c>
      <c r="S285" s="1">
        <v>25</v>
      </c>
      <c r="T285" s="1">
        <v>0</v>
      </c>
      <c r="U285" s="1">
        <v>0</v>
      </c>
      <c r="V285" s="1" t="str">
        <f t="shared" si="39"/>
        <v>里程返程</v>
      </c>
      <c r="W285" s="1" t="s">
        <v>35</v>
      </c>
    </row>
    <row r="286" spans="1:23" x14ac:dyDescent="0.3">
      <c r="A286" s="1" t="str">
        <f t="shared" si="40"/>
        <v>59822</v>
      </c>
      <c r="B286" s="1" t="s">
        <v>39</v>
      </c>
      <c r="C286" s="1" t="s">
        <v>40</v>
      </c>
      <c r="D286" s="1" t="str">
        <f t="shared" si="38"/>
        <v>9801</v>
      </c>
      <c r="E286" s="1" t="s">
        <v>25</v>
      </c>
      <c r="F286" s="1" t="str">
        <f>"394183313"</f>
        <v>394183313</v>
      </c>
      <c r="G286" s="1" t="s">
        <v>33</v>
      </c>
      <c r="H286" s="1" t="str">
        <f t="shared" ref="H286:H317" si="41">"20220905"</f>
        <v>20220905</v>
      </c>
      <c r="I286" s="1" t="str">
        <f>"185514"</f>
        <v>185514</v>
      </c>
      <c r="J286" s="1" t="s">
        <v>28</v>
      </c>
      <c r="K286" s="1" t="s">
        <v>28</v>
      </c>
      <c r="L286" s="1" t="str">
        <f t="shared" ref="L286:L317" si="42">"20220905"</f>
        <v>20220905</v>
      </c>
      <c r="M286" s="1" t="str">
        <f>"192616"</f>
        <v>192616</v>
      </c>
      <c r="N286" s="1" t="s">
        <v>52</v>
      </c>
      <c r="O286" s="1" t="s">
        <v>52</v>
      </c>
      <c r="P286" s="1" t="s">
        <v>55</v>
      </c>
      <c r="Q286" s="1">
        <v>25</v>
      </c>
      <c r="R286" s="1">
        <v>25</v>
      </c>
      <c r="S286" s="1">
        <v>0</v>
      </c>
      <c r="T286" s="1">
        <v>0</v>
      </c>
      <c r="U286" s="1">
        <v>0</v>
      </c>
      <c r="V286" s="1" t="str">
        <f t="shared" si="39"/>
        <v>里程返程</v>
      </c>
      <c r="W286" s="1" t="s">
        <v>35</v>
      </c>
    </row>
    <row r="287" spans="1:23" x14ac:dyDescent="0.3">
      <c r="A287" s="1" t="str">
        <f t="shared" si="40"/>
        <v>59822</v>
      </c>
      <c r="B287" s="1" t="s">
        <v>39</v>
      </c>
      <c r="C287" s="1" t="s">
        <v>40</v>
      </c>
      <c r="D287" s="1" t="str">
        <f t="shared" si="38"/>
        <v>9801</v>
      </c>
      <c r="E287" s="1" t="s">
        <v>25</v>
      </c>
      <c r="F287" s="1" t="str">
        <f>"640757845"</f>
        <v>640757845</v>
      </c>
      <c r="G287" s="1" t="s">
        <v>38</v>
      </c>
      <c r="H287" s="1" t="str">
        <f t="shared" si="41"/>
        <v>20220905</v>
      </c>
      <c r="I287" s="1" t="str">
        <f>"185517"</f>
        <v>185517</v>
      </c>
      <c r="J287" s="1" t="s">
        <v>28</v>
      </c>
      <c r="K287" s="1" t="s">
        <v>28</v>
      </c>
      <c r="L287" s="1" t="str">
        <f t="shared" si="42"/>
        <v>20220905</v>
      </c>
      <c r="M287" s="1" t="str">
        <f>"192613"</f>
        <v>192613</v>
      </c>
      <c r="N287" s="1" t="s">
        <v>52</v>
      </c>
      <c r="O287" s="1" t="s">
        <v>52</v>
      </c>
      <c r="P287" s="1" t="s">
        <v>55</v>
      </c>
      <c r="Q287" s="1">
        <v>25</v>
      </c>
      <c r="R287" s="1">
        <v>0</v>
      </c>
      <c r="S287" s="1">
        <v>25</v>
      </c>
      <c r="T287" s="1">
        <v>0</v>
      </c>
      <c r="U287" s="1">
        <v>0</v>
      </c>
      <c r="V287" s="1" t="str">
        <f t="shared" si="39"/>
        <v>里程返程</v>
      </c>
      <c r="W287" s="1" t="s">
        <v>35</v>
      </c>
    </row>
    <row r="288" spans="1:23" x14ac:dyDescent="0.3">
      <c r="A288" s="1" t="str">
        <f t="shared" si="40"/>
        <v>59822</v>
      </c>
      <c r="B288" s="1" t="s">
        <v>39</v>
      </c>
      <c r="C288" s="1" t="s">
        <v>40</v>
      </c>
      <c r="D288" s="1" t="str">
        <f t="shared" si="38"/>
        <v>9801</v>
      </c>
      <c r="E288" s="1" t="s">
        <v>25</v>
      </c>
      <c r="F288" s="1" t="str">
        <f>"629413266"</f>
        <v>629413266</v>
      </c>
      <c r="G288" s="1" t="s">
        <v>33</v>
      </c>
      <c r="H288" s="1" t="str">
        <f t="shared" si="41"/>
        <v>20220905</v>
      </c>
      <c r="I288" s="1" t="str">
        <f>"185522"</f>
        <v>185522</v>
      </c>
      <c r="J288" s="1" t="s">
        <v>28</v>
      </c>
      <c r="K288" s="1" t="s">
        <v>28</v>
      </c>
      <c r="L288" s="1" t="str">
        <f t="shared" si="42"/>
        <v>20220905</v>
      </c>
      <c r="M288" s="1" t="str">
        <f>"190358"</f>
        <v>190358</v>
      </c>
      <c r="N288" s="1" t="s">
        <v>83</v>
      </c>
      <c r="O288" s="1" t="s">
        <v>52</v>
      </c>
      <c r="P288" s="1" t="s">
        <v>55</v>
      </c>
      <c r="Q288" s="1">
        <v>25</v>
      </c>
      <c r="R288" s="1">
        <v>0</v>
      </c>
      <c r="S288" s="1">
        <v>25</v>
      </c>
      <c r="T288" s="1">
        <v>0</v>
      </c>
      <c r="U288" s="1">
        <v>0</v>
      </c>
      <c r="V288" s="1" t="str">
        <f t="shared" si="39"/>
        <v>里程返程</v>
      </c>
      <c r="W288" s="1" t="s">
        <v>35</v>
      </c>
    </row>
    <row r="289" spans="1:23" x14ac:dyDescent="0.3">
      <c r="A289" s="1" t="str">
        <f t="shared" si="40"/>
        <v>59822</v>
      </c>
      <c r="B289" s="1" t="s">
        <v>39</v>
      </c>
      <c r="C289" s="1" t="s">
        <v>40</v>
      </c>
      <c r="D289" s="1" t="str">
        <f t="shared" si="38"/>
        <v>9801</v>
      </c>
      <c r="E289" s="1" t="s">
        <v>25</v>
      </c>
      <c r="F289" s="1" t="str">
        <f>"752197777"</f>
        <v>752197777</v>
      </c>
      <c r="G289" s="1" t="s">
        <v>33</v>
      </c>
      <c r="H289" s="1" t="str">
        <f t="shared" si="41"/>
        <v>20220905</v>
      </c>
      <c r="I289" s="1" t="str">
        <f>"185525"</f>
        <v>185525</v>
      </c>
      <c r="J289" s="1" t="s">
        <v>28</v>
      </c>
      <c r="K289" s="1" t="s">
        <v>28</v>
      </c>
      <c r="L289" s="1" t="str">
        <f t="shared" si="42"/>
        <v>20220905</v>
      </c>
      <c r="M289" s="1" t="str">
        <f>"191217"</f>
        <v>191217</v>
      </c>
      <c r="N289" s="1" t="s">
        <v>77</v>
      </c>
      <c r="O289" s="1" t="s">
        <v>52</v>
      </c>
      <c r="P289" s="1" t="s">
        <v>55</v>
      </c>
      <c r="Q289" s="1">
        <v>25</v>
      </c>
      <c r="R289" s="1">
        <v>25</v>
      </c>
      <c r="S289" s="1">
        <v>0</v>
      </c>
      <c r="T289" s="1">
        <v>0</v>
      </c>
      <c r="U289" s="1">
        <v>0</v>
      </c>
      <c r="V289" s="1" t="str">
        <f t="shared" si="39"/>
        <v>里程返程</v>
      </c>
      <c r="W289" s="1" t="s">
        <v>35</v>
      </c>
    </row>
    <row r="290" spans="1:23" x14ac:dyDescent="0.3">
      <c r="A290" s="1" t="str">
        <f t="shared" si="40"/>
        <v>59822</v>
      </c>
      <c r="B290" s="1" t="s">
        <v>39</v>
      </c>
      <c r="C290" s="1" t="s">
        <v>40</v>
      </c>
      <c r="D290" s="1" t="str">
        <f t="shared" si="38"/>
        <v>9801</v>
      </c>
      <c r="E290" s="1" t="s">
        <v>25</v>
      </c>
      <c r="F290" s="1" t="str">
        <f>"590022737"</f>
        <v>590022737</v>
      </c>
      <c r="G290" s="1" t="s">
        <v>33</v>
      </c>
      <c r="H290" s="1" t="str">
        <f t="shared" si="41"/>
        <v>20220905</v>
      </c>
      <c r="I290" s="1" t="str">
        <f>"185530"</f>
        <v>185530</v>
      </c>
      <c r="J290" s="1" t="s">
        <v>28</v>
      </c>
      <c r="K290" s="1" t="s">
        <v>28</v>
      </c>
      <c r="L290" s="1" t="str">
        <f t="shared" si="42"/>
        <v>20220905</v>
      </c>
      <c r="M290" s="1" t="str">
        <f>"192608"</f>
        <v>192608</v>
      </c>
      <c r="N290" s="1" t="s">
        <v>52</v>
      </c>
      <c r="O290" s="1" t="s">
        <v>52</v>
      </c>
      <c r="P290" s="1" t="s">
        <v>55</v>
      </c>
      <c r="Q290" s="1">
        <v>25</v>
      </c>
      <c r="R290" s="1">
        <v>25</v>
      </c>
      <c r="S290" s="1">
        <v>0</v>
      </c>
      <c r="T290" s="1">
        <v>0</v>
      </c>
      <c r="U290" s="1">
        <v>0</v>
      </c>
      <c r="V290" s="1" t="str">
        <f t="shared" si="39"/>
        <v>里程返程</v>
      </c>
      <c r="W290" s="1" t="s">
        <v>35</v>
      </c>
    </row>
    <row r="291" spans="1:23" x14ac:dyDescent="0.3">
      <c r="A291" s="1" t="str">
        <f t="shared" si="40"/>
        <v>59822</v>
      </c>
      <c r="B291" s="1" t="s">
        <v>39</v>
      </c>
      <c r="C291" s="1" t="s">
        <v>40</v>
      </c>
      <c r="D291" s="1" t="str">
        <f t="shared" si="38"/>
        <v>9801</v>
      </c>
      <c r="E291" s="1" t="s">
        <v>25</v>
      </c>
      <c r="F291" s="1" t="str">
        <f>"627069839"</f>
        <v>627069839</v>
      </c>
      <c r="G291" s="1" t="s">
        <v>33</v>
      </c>
      <c r="H291" s="1" t="str">
        <f t="shared" si="41"/>
        <v>20220905</v>
      </c>
      <c r="I291" s="1" t="str">
        <f>"185534"</f>
        <v>185534</v>
      </c>
      <c r="J291" s="1" t="s">
        <v>28</v>
      </c>
      <c r="K291" s="1" t="s">
        <v>28</v>
      </c>
      <c r="L291" s="1" t="str">
        <f t="shared" si="42"/>
        <v>20220905</v>
      </c>
      <c r="M291" s="1" t="str">
        <f>"192610"</f>
        <v>192610</v>
      </c>
      <c r="N291" s="1" t="s">
        <v>52</v>
      </c>
      <c r="O291" s="1" t="s">
        <v>52</v>
      </c>
      <c r="P291" s="1" t="s">
        <v>55</v>
      </c>
      <c r="Q291" s="1">
        <v>25</v>
      </c>
      <c r="R291" s="1">
        <v>25</v>
      </c>
      <c r="S291" s="1">
        <v>0</v>
      </c>
      <c r="T291" s="1">
        <v>0</v>
      </c>
      <c r="U291" s="1">
        <v>0</v>
      </c>
      <c r="V291" s="1" t="str">
        <f t="shared" si="39"/>
        <v>里程返程</v>
      </c>
      <c r="W291" s="1" t="s">
        <v>35</v>
      </c>
    </row>
    <row r="292" spans="1:23" x14ac:dyDescent="0.3">
      <c r="A292" s="1" t="str">
        <f t="shared" si="40"/>
        <v>59822</v>
      </c>
      <c r="B292" s="1" t="s">
        <v>39</v>
      </c>
      <c r="C292" s="1" t="s">
        <v>40</v>
      </c>
      <c r="D292" s="1" t="str">
        <f t="shared" si="38"/>
        <v>9801</v>
      </c>
      <c r="E292" s="1" t="s">
        <v>25</v>
      </c>
      <c r="F292" s="1" t="str">
        <f>"1430746513"</f>
        <v>1430746513</v>
      </c>
      <c r="G292" s="1" t="s">
        <v>33</v>
      </c>
      <c r="H292" s="1" t="str">
        <f t="shared" si="41"/>
        <v>20220905</v>
      </c>
      <c r="I292" s="1" t="str">
        <f>"185539"</f>
        <v>185539</v>
      </c>
      <c r="J292" s="1" t="s">
        <v>28</v>
      </c>
      <c r="K292" s="1" t="s">
        <v>28</v>
      </c>
      <c r="L292" s="1" t="str">
        <f t="shared" si="42"/>
        <v>20220905</v>
      </c>
      <c r="M292" s="1" t="str">
        <f>"192603"</f>
        <v>192603</v>
      </c>
      <c r="N292" s="1" t="s">
        <v>52</v>
      </c>
      <c r="O292" s="1" t="s">
        <v>52</v>
      </c>
      <c r="P292" s="1" t="s">
        <v>55</v>
      </c>
      <c r="Q292" s="1">
        <v>25</v>
      </c>
      <c r="R292" s="1">
        <v>25</v>
      </c>
      <c r="S292" s="1">
        <v>0</v>
      </c>
      <c r="T292" s="1">
        <v>0</v>
      </c>
      <c r="U292" s="1">
        <v>0</v>
      </c>
      <c r="V292" s="1" t="str">
        <f t="shared" si="39"/>
        <v>里程返程</v>
      </c>
      <c r="W292" s="1" t="s">
        <v>35</v>
      </c>
    </row>
    <row r="293" spans="1:23" x14ac:dyDescent="0.3">
      <c r="A293" s="1" t="str">
        <f t="shared" ref="A293:A329" si="43">"59828"</f>
        <v>59828</v>
      </c>
      <c r="B293" s="1" t="s">
        <v>23</v>
      </c>
      <c r="C293" s="1" t="s">
        <v>24</v>
      </c>
      <c r="D293" s="1" t="str">
        <f t="shared" si="38"/>
        <v>9801</v>
      </c>
      <c r="E293" s="1" t="s">
        <v>25</v>
      </c>
      <c r="F293" s="1" t="str">
        <f>"41E6A74444280400F700000000000000"</f>
        <v>41E6A74444280400F700000000000000</v>
      </c>
      <c r="G293" s="1" t="s">
        <v>58</v>
      </c>
      <c r="H293" s="1" t="str">
        <f t="shared" si="41"/>
        <v>20220905</v>
      </c>
      <c r="I293" s="1" t="str">
        <f>"060932"</f>
        <v>060932</v>
      </c>
      <c r="J293" s="1" t="s">
        <v>75</v>
      </c>
      <c r="K293" s="1" t="s">
        <v>45</v>
      </c>
      <c r="L293" s="1" t="str">
        <f t="shared" si="42"/>
        <v>20220905</v>
      </c>
      <c r="M293" s="1" t="str">
        <f>"062103"</f>
        <v>062103</v>
      </c>
      <c r="N293" s="1" t="s">
        <v>28</v>
      </c>
      <c r="O293" s="1" t="s">
        <v>28</v>
      </c>
      <c r="P293" s="1" t="s">
        <v>55</v>
      </c>
      <c r="Q293" s="1">
        <v>25</v>
      </c>
      <c r="R293" s="1">
        <v>25</v>
      </c>
      <c r="S293" s="1">
        <v>0</v>
      </c>
      <c r="T293" s="1">
        <v>0</v>
      </c>
      <c r="U293" s="1">
        <v>0</v>
      </c>
      <c r="V293" s="1" t="str">
        <f t="shared" si="39"/>
        <v>里程返程</v>
      </c>
      <c r="W293" s="1" t="s">
        <v>29</v>
      </c>
    </row>
    <row r="294" spans="1:23" x14ac:dyDescent="0.3">
      <c r="A294" s="1" t="str">
        <f t="shared" si="43"/>
        <v>59828</v>
      </c>
      <c r="B294" s="1" t="s">
        <v>23</v>
      </c>
      <c r="C294" s="1" t="s">
        <v>24</v>
      </c>
      <c r="D294" s="1" t="str">
        <f t="shared" si="38"/>
        <v>9801</v>
      </c>
      <c r="E294" s="1" t="s">
        <v>25</v>
      </c>
      <c r="F294" s="1" t="str">
        <f>"3578288275"</f>
        <v>3578288275</v>
      </c>
      <c r="G294" s="1" t="s">
        <v>33</v>
      </c>
      <c r="H294" s="1" t="str">
        <f t="shared" si="41"/>
        <v>20220905</v>
      </c>
      <c r="I294" s="1" t="str">
        <f>"060936"</f>
        <v>060936</v>
      </c>
      <c r="J294" s="1" t="s">
        <v>75</v>
      </c>
      <c r="K294" s="1" t="s">
        <v>45</v>
      </c>
      <c r="L294" s="1" t="str">
        <f t="shared" si="42"/>
        <v>20220905</v>
      </c>
      <c r="M294" s="1" t="str">
        <f>"062100"</f>
        <v>062100</v>
      </c>
      <c r="N294" s="1" t="s">
        <v>28</v>
      </c>
      <c r="O294" s="1" t="s">
        <v>28</v>
      </c>
      <c r="P294" s="1" t="s">
        <v>55</v>
      </c>
      <c r="Q294" s="1">
        <v>25</v>
      </c>
      <c r="R294" s="1">
        <v>25</v>
      </c>
      <c r="S294" s="1">
        <v>0</v>
      </c>
      <c r="T294" s="1">
        <v>0</v>
      </c>
      <c r="U294" s="1">
        <v>0</v>
      </c>
      <c r="V294" s="1" t="str">
        <f t="shared" si="39"/>
        <v>里程返程</v>
      </c>
      <c r="W294" s="1" t="s">
        <v>35</v>
      </c>
    </row>
    <row r="295" spans="1:23" x14ac:dyDescent="0.3">
      <c r="A295" s="1" t="str">
        <f t="shared" si="43"/>
        <v>59828</v>
      </c>
      <c r="B295" s="1" t="s">
        <v>23</v>
      </c>
      <c r="C295" s="1" t="s">
        <v>24</v>
      </c>
      <c r="D295" s="1" t="str">
        <f t="shared" si="38"/>
        <v>9801</v>
      </c>
      <c r="E295" s="1" t="s">
        <v>25</v>
      </c>
      <c r="F295" s="1" t="str">
        <f>"1752749445"</f>
        <v>1752749445</v>
      </c>
      <c r="G295" s="1" t="s">
        <v>33</v>
      </c>
      <c r="H295" s="1" t="str">
        <f t="shared" si="41"/>
        <v>20220905</v>
      </c>
      <c r="I295" s="1" t="str">
        <f>"063237"</f>
        <v>063237</v>
      </c>
      <c r="J295" s="1" t="s">
        <v>28</v>
      </c>
      <c r="K295" s="1" t="s">
        <v>28</v>
      </c>
      <c r="L295" s="1" t="str">
        <f t="shared" si="42"/>
        <v>20220905</v>
      </c>
      <c r="M295" s="1" t="str">
        <f>"065246"</f>
        <v>065246</v>
      </c>
      <c r="N295" s="1" t="s">
        <v>72</v>
      </c>
      <c r="O295" s="1" t="s">
        <v>52</v>
      </c>
      <c r="P295" s="1" t="s">
        <v>55</v>
      </c>
      <c r="Q295" s="1">
        <v>25</v>
      </c>
      <c r="R295" s="1">
        <v>0</v>
      </c>
      <c r="S295" s="1">
        <v>25</v>
      </c>
      <c r="T295" s="1">
        <v>0</v>
      </c>
      <c r="U295" s="1">
        <v>0</v>
      </c>
      <c r="V295" s="1" t="str">
        <f t="shared" si="39"/>
        <v>里程返程</v>
      </c>
      <c r="W295" s="1" t="s">
        <v>35</v>
      </c>
    </row>
    <row r="296" spans="1:23" x14ac:dyDescent="0.3">
      <c r="A296" s="1" t="str">
        <f t="shared" si="43"/>
        <v>59828</v>
      </c>
      <c r="B296" s="1" t="s">
        <v>23</v>
      </c>
      <c r="C296" s="1" t="s">
        <v>24</v>
      </c>
      <c r="D296" s="1" t="str">
        <f t="shared" si="38"/>
        <v>9801</v>
      </c>
      <c r="E296" s="1" t="s">
        <v>25</v>
      </c>
      <c r="F296" s="1" t="str">
        <f>"619F1761882804001C00000000000000"</f>
        <v>619F1761882804001C00000000000000</v>
      </c>
      <c r="G296" s="1" t="s">
        <v>58</v>
      </c>
      <c r="H296" s="1" t="str">
        <f t="shared" si="41"/>
        <v>20220905</v>
      </c>
      <c r="I296" s="1" t="str">
        <f>"063246"</f>
        <v>063246</v>
      </c>
      <c r="J296" s="1" t="s">
        <v>28</v>
      </c>
      <c r="K296" s="1" t="s">
        <v>28</v>
      </c>
      <c r="L296" s="1" t="str">
        <f t="shared" si="42"/>
        <v>20220905</v>
      </c>
      <c r="M296" s="1" t="str">
        <f>"065242"</f>
        <v>065242</v>
      </c>
      <c r="N296" s="1" t="s">
        <v>72</v>
      </c>
      <c r="O296" s="1" t="s">
        <v>52</v>
      </c>
      <c r="P296" s="1" t="s">
        <v>55</v>
      </c>
      <c r="Q296" s="1">
        <v>25</v>
      </c>
      <c r="R296" s="1">
        <v>0</v>
      </c>
      <c r="S296" s="1">
        <v>25</v>
      </c>
      <c r="T296" s="1">
        <v>0</v>
      </c>
      <c r="U296" s="1">
        <v>0</v>
      </c>
      <c r="V296" s="1" t="str">
        <f t="shared" si="39"/>
        <v>里程返程</v>
      </c>
      <c r="W296" s="1" t="s">
        <v>29</v>
      </c>
    </row>
    <row r="297" spans="1:23" x14ac:dyDescent="0.3">
      <c r="A297" s="1" t="str">
        <f t="shared" si="43"/>
        <v>59828</v>
      </c>
      <c r="B297" s="1" t="s">
        <v>23</v>
      </c>
      <c r="C297" s="1" t="s">
        <v>24</v>
      </c>
      <c r="D297" s="1" t="str">
        <f t="shared" si="38"/>
        <v>9801</v>
      </c>
      <c r="E297" s="1" t="s">
        <v>25</v>
      </c>
      <c r="F297" s="1" t="str">
        <f>"D2EDC500FA880400C801002000000015"</f>
        <v>D2EDC500FA880400C801002000000015</v>
      </c>
      <c r="G297" s="1" t="s">
        <v>58</v>
      </c>
      <c r="H297" s="1" t="str">
        <f t="shared" si="41"/>
        <v>20220905</v>
      </c>
      <c r="I297" s="1" t="str">
        <f>"063254"</f>
        <v>063254</v>
      </c>
      <c r="J297" s="1" t="s">
        <v>28</v>
      </c>
      <c r="K297" s="1" t="s">
        <v>28</v>
      </c>
      <c r="L297" s="1" t="str">
        <f t="shared" si="42"/>
        <v>20220905</v>
      </c>
      <c r="M297" s="1" t="str">
        <f>"070019"</f>
        <v>070019</v>
      </c>
      <c r="N297" s="1" t="s">
        <v>52</v>
      </c>
      <c r="O297" s="1" t="s">
        <v>52</v>
      </c>
      <c r="P297" s="1" t="s">
        <v>55</v>
      </c>
      <c r="Q297" s="1">
        <v>25</v>
      </c>
      <c r="R297" s="1">
        <v>25</v>
      </c>
      <c r="S297" s="1">
        <v>0</v>
      </c>
      <c r="T297" s="1">
        <v>0</v>
      </c>
      <c r="U297" s="1">
        <v>0</v>
      </c>
      <c r="V297" s="1" t="str">
        <f t="shared" si="39"/>
        <v>里程返程</v>
      </c>
      <c r="W297" s="1" t="s">
        <v>29</v>
      </c>
    </row>
    <row r="298" spans="1:23" x14ac:dyDescent="0.3">
      <c r="A298" s="1" t="str">
        <f t="shared" si="43"/>
        <v>59828</v>
      </c>
      <c r="B298" s="1" t="s">
        <v>23</v>
      </c>
      <c r="C298" s="1" t="s">
        <v>24</v>
      </c>
      <c r="D298" s="1" t="str">
        <f t="shared" si="38"/>
        <v>9801</v>
      </c>
      <c r="E298" s="1" t="s">
        <v>25</v>
      </c>
      <c r="F298" s="1" t="str">
        <f>"32780D0344880400C834002000000015"</f>
        <v>32780D0344880400C834002000000015</v>
      </c>
      <c r="G298" s="1" t="s">
        <v>26</v>
      </c>
      <c r="H298" s="1" t="str">
        <f t="shared" si="41"/>
        <v>20220905</v>
      </c>
      <c r="I298" s="1" t="str">
        <f>"063621"</f>
        <v>063621</v>
      </c>
      <c r="J298" s="1" t="s">
        <v>41</v>
      </c>
      <c r="K298" s="1" t="s">
        <v>28</v>
      </c>
      <c r="L298" s="1" t="str">
        <f t="shared" si="42"/>
        <v>20220905</v>
      </c>
      <c r="M298" s="1" t="str">
        <f>"065228"</f>
        <v>065228</v>
      </c>
      <c r="N298" s="1" t="s">
        <v>65</v>
      </c>
      <c r="O298" s="1" t="s">
        <v>52</v>
      </c>
      <c r="P298" s="1" t="s">
        <v>68</v>
      </c>
      <c r="Q298" s="1">
        <v>13</v>
      </c>
      <c r="R298" s="1">
        <v>0</v>
      </c>
      <c r="S298" s="1">
        <v>0</v>
      </c>
      <c r="T298" s="1">
        <v>13</v>
      </c>
      <c r="U298" s="1">
        <v>0</v>
      </c>
      <c r="V298" s="1" t="str">
        <f t="shared" si="39"/>
        <v>里程返程</v>
      </c>
      <c r="W298" s="1" t="s">
        <v>29</v>
      </c>
    </row>
    <row r="299" spans="1:23" x14ac:dyDescent="0.3">
      <c r="A299" s="1" t="str">
        <f t="shared" si="43"/>
        <v>59828</v>
      </c>
      <c r="B299" s="1" t="s">
        <v>23</v>
      </c>
      <c r="C299" s="1" t="s">
        <v>24</v>
      </c>
      <c r="D299" s="1" t="str">
        <f t="shared" si="38"/>
        <v>9801</v>
      </c>
      <c r="E299" s="1" t="s">
        <v>25</v>
      </c>
      <c r="F299" s="1" t="str">
        <f>"994049557"</f>
        <v>994049557</v>
      </c>
      <c r="G299" s="1" t="s">
        <v>33</v>
      </c>
      <c r="H299" s="1" t="str">
        <f t="shared" si="41"/>
        <v>20220905</v>
      </c>
      <c r="I299" s="1" t="str">
        <f>"070056"</f>
        <v>070056</v>
      </c>
      <c r="J299" s="1" t="s">
        <v>44</v>
      </c>
      <c r="K299" s="1" t="s">
        <v>45</v>
      </c>
      <c r="L299" s="1" t="str">
        <f t="shared" si="42"/>
        <v>20220905</v>
      </c>
      <c r="M299" s="1" t="str">
        <f>"071155"</f>
        <v>071155</v>
      </c>
      <c r="N299" s="1" t="s">
        <v>61</v>
      </c>
      <c r="O299" s="1" t="s">
        <v>45</v>
      </c>
      <c r="P299" s="1" t="s">
        <v>55</v>
      </c>
      <c r="Q299" s="1">
        <v>25</v>
      </c>
      <c r="R299" s="1">
        <v>25</v>
      </c>
      <c r="S299" s="1">
        <v>0</v>
      </c>
      <c r="T299" s="1">
        <v>0</v>
      </c>
      <c r="U299" s="1">
        <v>0</v>
      </c>
      <c r="V299" s="1" t="str">
        <f t="shared" si="39"/>
        <v>里程返程</v>
      </c>
      <c r="W299" s="1" t="s">
        <v>35</v>
      </c>
    </row>
    <row r="300" spans="1:23" x14ac:dyDescent="0.3">
      <c r="A300" s="1" t="str">
        <f t="shared" si="43"/>
        <v>59828</v>
      </c>
      <c r="B300" s="1" t="s">
        <v>23</v>
      </c>
      <c r="C300" s="1" t="s">
        <v>24</v>
      </c>
      <c r="D300" s="1" t="str">
        <f t="shared" si="38"/>
        <v>9801</v>
      </c>
      <c r="E300" s="1" t="s">
        <v>25</v>
      </c>
      <c r="F300" s="1" t="str">
        <f>"FE4816369688040047C13517C9002508"</f>
        <v>FE4816369688040047C13517C9002508</v>
      </c>
      <c r="G300" s="1" t="s">
        <v>58</v>
      </c>
      <c r="H300" s="1" t="str">
        <f t="shared" si="41"/>
        <v>20220905</v>
      </c>
      <c r="I300" s="1" t="str">
        <f>"070102"</f>
        <v>070102</v>
      </c>
      <c r="J300" s="1" t="s">
        <v>44</v>
      </c>
      <c r="K300" s="1" t="s">
        <v>45</v>
      </c>
      <c r="L300" s="1" t="str">
        <f t="shared" si="42"/>
        <v>20220905</v>
      </c>
      <c r="M300" s="1" t="str">
        <f>"072321"</f>
        <v>072321</v>
      </c>
      <c r="N300" s="1" t="s">
        <v>28</v>
      </c>
      <c r="O300" s="1" t="s">
        <v>28</v>
      </c>
      <c r="P300" s="1" t="s">
        <v>55</v>
      </c>
      <c r="Q300" s="1">
        <v>25</v>
      </c>
      <c r="R300" s="1">
        <v>25</v>
      </c>
      <c r="S300" s="1">
        <v>0</v>
      </c>
      <c r="T300" s="1">
        <v>0</v>
      </c>
      <c r="U300" s="1">
        <v>0</v>
      </c>
      <c r="V300" s="1" t="str">
        <f t="shared" si="39"/>
        <v>里程返程</v>
      </c>
      <c r="W300" s="1" t="s">
        <v>29</v>
      </c>
    </row>
    <row r="301" spans="1:23" x14ac:dyDescent="0.3">
      <c r="A301" s="1" t="str">
        <f t="shared" si="43"/>
        <v>59828</v>
      </c>
      <c r="B301" s="1" t="s">
        <v>23</v>
      </c>
      <c r="C301" s="1" t="s">
        <v>24</v>
      </c>
      <c r="D301" s="1" t="str">
        <f t="shared" si="38"/>
        <v>9801</v>
      </c>
      <c r="E301" s="1" t="s">
        <v>25</v>
      </c>
      <c r="F301" s="1" t="str">
        <f>"72BFE5022A880400C834002000000015"</f>
        <v>72BFE5022A880400C834002000000015</v>
      </c>
      <c r="G301" s="1" t="s">
        <v>26</v>
      </c>
      <c r="H301" s="1" t="str">
        <f t="shared" si="41"/>
        <v>20220905</v>
      </c>
      <c r="I301" s="1" t="str">
        <f>"071048"</f>
        <v>071048</v>
      </c>
      <c r="J301" s="1" t="s">
        <v>56</v>
      </c>
      <c r="K301" s="1" t="s">
        <v>45</v>
      </c>
      <c r="L301" s="1" t="str">
        <f t="shared" si="42"/>
        <v>20220905</v>
      </c>
      <c r="M301" s="1" t="str">
        <f>"072316"</f>
        <v>072316</v>
      </c>
      <c r="N301" s="1" t="s">
        <v>28</v>
      </c>
      <c r="O301" s="1" t="s">
        <v>28</v>
      </c>
      <c r="P301" s="1" t="s">
        <v>68</v>
      </c>
      <c r="Q301" s="1">
        <v>13</v>
      </c>
      <c r="R301" s="1">
        <v>0</v>
      </c>
      <c r="S301" s="1">
        <v>0</v>
      </c>
      <c r="T301" s="1">
        <v>13</v>
      </c>
      <c r="U301" s="1">
        <v>0</v>
      </c>
      <c r="V301" s="1" t="str">
        <f t="shared" si="39"/>
        <v>里程返程</v>
      </c>
      <c r="W301" s="1" t="s">
        <v>29</v>
      </c>
    </row>
    <row r="302" spans="1:23" x14ac:dyDescent="0.3">
      <c r="A302" s="1" t="str">
        <f t="shared" si="43"/>
        <v>59828</v>
      </c>
      <c r="B302" s="1" t="s">
        <v>23</v>
      </c>
      <c r="C302" s="1" t="s">
        <v>24</v>
      </c>
      <c r="D302" s="1" t="str">
        <f t="shared" si="38"/>
        <v>9801</v>
      </c>
      <c r="E302" s="1" t="s">
        <v>25</v>
      </c>
      <c r="F302" s="1" t="str">
        <f>"D257BD023A880400C834002000000015"</f>
        <v>D257BD023A880400C834002000000015</v>
      </c>
      <c r="G302" s="1" t="s">
        <v>74</v>
      </c>
      <c r="H302" s="1" t="str">
        <f t="shared" si="41"/>
        <v>20220905</v>
      </c>
      <c r="I302" s="1" t="str">
        <f>"072330"</f>
        <v>072330</v>
      </c>
      <c r="J302" s="1" t="s">
        <v>28</v>
      </c>
      <c r="K302" s="1" t="s">
        <v>28</v>
      </c>
      <c r="L302" s="1" t="str">
        <f t="shared" si="42"/>
        <v>20220905</v>
      </c>
      <c r="M302" s="1" t="str">
        <f>"073201"</f>
        <v>073201</v>
      </c>
      <c r="N302" s="1" t="s">
        <v>67</v>
      </c>
      <c r="O302" s="1" t="s">
        <v>52</v>
      </c>
      <c r="P302" s="1" t="s">
        <v>68</v>
      </c>
      <c r="Q302" s="1">
        <v>13</v>
      </c>
      <c r="R302" s="1">
        <v>0</v>
      </c>
      <c r="S302" s="1">
        <v>0</v>
      </c>
      <c r="T302" s="1">
        <v>13</v>
      </c>
      <c r="U302" s="1">
        <v>0</v>
      </c>
      <c r="V302" s="1" t="str">
        <f t="shared" si="39"/>
        <v>里程返程</v>
      </c>
      <c r="W302" s="1" t="s">
        <v>29</v>
      </c>
    </row>
    <row r="303" spans="1:23" x14ac:dyDescent="0.3">
      <c r="A303" s="1" t="str">
        <f t="shared" si="43"/>
        <v>59828</v>
      </c>
      <c r="B303" s="1" t="s">
        <v>23</v>
      </c>
      <c r="C303" s="1" t="s">
        <v>24</v>
      </c>
      <c r="D303" s="1" t="str">
        <f t="shared" si="38"/>
        <v>9801</v>
      </c>
      <c r="E303" s="1" t="s">
        <v>25</v>
      </c>
      <c r="F303" s="1" t="str">
        <f>"1636928213"</f>
        <v>1636928213</v>
      </c>
      <c r="G303" s="1" t="s">
        <v>33</v>
      </c>
      <c r="H303" s="1" t="str">
        <f t="shared" si="41"/>
        <v>20220905</v>
      </c>
      <c r="I303" s="1" t="str">
        <f>"072351"</f>
        <v>072351</v>
      </c>
      <c r="J303" s="1" t="s">
        <v>28</v>
      </c>
      <c r="K303" s="1" t="s">
        <v>28</v>
      </c>
      <c r="L303" s="1" t="str">
        <f t="shared" si="42"/>
        <v>20220905</v>
      </c>
      <c r="M303" s="1" t="str">
        <f>"073537"</f>
        <v>073537</v>
      </c>
      <c r="N303" s="1" t="s">
        <v>69</v>
      </c>
      <c r="O303" s="1" t="s">
        <v>52</v>
      </c>
      <c r="P303" s="1" t="s">
        <v>55</v>
      </c>
      <c r="Q303" s="1">
        <v>25</v>
      </c>
      <c r="R303" s="1">
        <v>0</v>
      </c>
      <c r="S303" s="1">
        <v>25</v>
      </c>
      <c r="T303" s="1">
        <v>0</v>
      </c>
      <c r="U303" s="1">
        <v>0</v>
      </c>
      <c r="V303" s="1" t="str">
        <f t="shared" si="39"/>
        <v>里程返程</v>
      </c>
      <c r="W303" s="1" t="s">
        <v>35</v>
      </c>
    </row>
    <row r="304" spans="1:23" x14ac:dyDescent="0.3">
      <c r="A304" s="1" t="str">
        <f t="shared" si="43"/>
        <v>59828</v>
      </c>
      <c r="B304" s="1" t="s">
        <v>23</v>
      </c>
      <c r="C304" s="1" t="s">
        <v>24</v>
      </c>
      <c r="D304" s="1" t="str">
        <f t="shared" si="38"/>
        <v>9801</v>
      </c>
      <c r="E304" s="1" t="s">
        <v>25</v>
      </c>
      <c r="F304" s="1" t="str">
        <f>"82730F18E6880400C814002000000019"</f>
        <v>82730F18E6880400C814002000000019</v>
      </c>
      <c r="G304" s="1" t="s">
        <v>59</v>
      </c>
      <c r="H304" s="1" t="str">
        <f t="shared" si="41"/>
        <v>20220905</v>
      </c>
      <c r="I304" s="1" t="str">
        <f>"072353"</f>
        <v>072353</v>
      </c>
      <c r="J304" s="1" t="s">
        <v>28</v>
      </c>
      <c r="K304" s="1" t="s">
        <v>28</v>
      </c>
      <c r="L304" s="1" t="str">
        <f t="shared" si="42"/>
        <v>20220905</v>
      </c>
      <c r="M304" s="1" t="str">
        <f>"074731"</f>
        <v>074731</v>
      </c>
      <c r="N304" s="1" t="s">
        <v>72</v>
      </c>
      <c r="O304" s="1" t="s">
        <v>52</v>
      </c>
      <c r="P304" s="1" t="s">
        <v>55</v>
      </c>
      <c r="Q304" s="1">
        <v>25</v>
      </c>
      <c r="R304" s="1">
        <v>0</v>
      </c>
      <c r="S304" s="1">
        <v>25</v>
      </c>
      <c r="T304" s="1">
        <v>0</v>
      </c>
      <c r="U304" s="1">
        <v>0</v>
      </c>
      <c r="V304" s="1" t="str">
        <f t="shared" si="39"/>
        <v>里程返程</v>
      </c>
      <c r="W304" s="1" t="s">
        <v>29</v>
      </c>
    </row>
    <row r="305" spans="1:23" x14ac:dyDescent="0.3">
      <c r="A305" s="1" t="str">
        <f t="shared" si="43"/>
        <v>59828</v>
      </c>
      <c r="B305" s="1" t="s">
        <v>23</v>
      </c>
      <c r="C305" s="1" t="s">
        <v>24</v>
      </c>
      <c r="D305" s="1" t="str">
        <f t="shared" si="38"/>
        <v>9801</v>
      </c>
      <c r="E305" s="1" t="s">
        <v>25</v>
      </c>
      <c r="F305" s="1" t="str">
        <f>"62F00B1881880400C814002000000019"</f>
        <v>62F00B1881880400C814002000000019</v>
      </c>
      <c r="G305" s="1" t="s">
        <v>59</v>
      </c>
      <c r="H305" s="1" t="str">
        <f t="shared" si="41"/>
        <v>20220905</v>
      </c>
      <c r="I305" s="1" t="str">
        <f>"072356"</f>
        <v>072356</v>
      </c>
      <c r="J305" s="1" t="s">
        <v>28</v>
      </c>
      <c r="K305" s="1" t="s">
        <v>28</v>
      </c>
      <c r="L305" s="1" t="str">
        <f t="shared" si="42"/>
        <v>20220905</v>
      </c>
      <c r="M305" s="1" t="str">
        <f>"074733"</f>
        <v>074733</v>
      </c>
      <c r="N305" s="1" t="s">
        <v>72</v>
      </c>
      <c r="O305" s="1" t="s">
        <v>52</v>
      </c>
      <c r="P305" s="1" t="s">
        <v>55</v>
      </c>
      <c r="Q305" s="1">
        <v>25</v>
      </c>
      <c r="R305" s="1">
        <v>0</v>
      </c>
      <c r="S305" s="1">
        <v>25</v>
      </c>
      <c r="T305" s="1">
        <v>0</v>
      </c>
      <c r="U305" s="1">
        <v>0</v>
      </c>
      <c r="V305" s="1" t="str">
        <f t="shared" si="39"/>
        <v>里程返程</v>
      </c>
      <c r="W305" s="1" t="s">
        <v>29</v>
      </c>
    </row>
    <row r="306" spans="1:23" x14ac:dyDescent="0.3">
      <c r="A306" s="1" t="str">
        <f t="shared" si="43"/>
        <v>59828</v>
      </c>
      <c r="B306" s="1" t="s">
        <v>23</v>
      </c>
      <c r="C306" s="1" t="s">
        <v>24</v>
      </c>
      <c r="D306" s="1" t="str">
        <f t="shared" si="38"/>
        <v>9801</v>
      </c>
      <c r="E306" s="1" t="s">
        <v>25</v>
      </c>
      <c r="F306" s="1" t="str">
        <f>"762922005"</f>
        <v>762922005</v>
      </c>
      <c r="G306" s="1" t="s">
        <v>33</v>
      </c>
      <c r="H306" s="1" t="str">
        <f t="shared" si="41"/>
        <v>20220905</v>
      </c>
      <c r="I306" s="1" t="str">
        <f>"072400"</f>
        <v>072400</v>
      </c>
      <c r="J306" s="1" t="s">
        <v>28</v>
      </c>
      <c r="K306" s="1" t="s">
        <v>28</v>
      </c>
      <c r="L306" s="1" t="str">
        <f t="shared" si="42"/>
        <v>20220905</v>
      </c>
      <c r="M306" s="1" t="str">
        <f>"074740"</f>
        <v>074740</v>
      </c>
      <c r="N306" s="1" t="s">
        <v>72</v>
      </c>
      <c r="O306" s="1" t="s">
        <v>52</v>
      </c>
      <c r="P306" s="1" t="s">
        <v>55</v>
      </c>
      <c r="Q306" s="1">
        <v>25</v>
      </c>
      <c r="R306" s="1">
        <v>25</v>
      </c>
      <c r="S306" s="1">
        <v>0</v>
      </c>
      <c r="T306" s="1">
        <v>0</v>
      </c>
      <c r="U306" s="1">
        <v>0</v>
      </c>
      <c r="V306" s="1" t="str">
        <f t="shared" si="39"/>
        <v>里程返程</v>
      </c>
      <c r="W306" s="1" t="s">
        <v>35</v>
      </c>
    </row>
    <row r="307" spans="1:23" x14ac:dyDescent="0.3">
      <c r="A307" s="1" t="str">
        <f t="shared" si="43"/>
        <v>59828</v>
      </c>
      <c r="B307" s="1" t="s">
        <v>23</v>
      </c>
      <c r="C307" s="1" t="s">
        <v>24</v>
      </c>
      <c r="D307" s="1" t="str">
        <f t="shared" si="38"/>
        <v>9801</v>
      </c>
      <c r="E307" s="1" t="s">
        <v>25</v>
      </c>
      <c r="F307" s="1" t="str">
        <f>"924942453"</f>
        <v>924942453</v>
      </c>
      <c r="G307" s="1" t="s">
        <v>38</v>
      </c>
      <c r="H307" s="1" t="str">
        <f t="shared" si="41"/>
        <v>20220905</v>
      </c>
      <c r="I307" s="1" t="str">
        <f>"072404"</f>
        <v>072404</v>
      </c>
      <c r="J307" s="1" t="s">
        <v>28</v>
      </c>
      <c r="K307" s="1" t="s">
        <v>28</v>
      </c>
      <c r="L307" s="1" t="str">
        <f t="shared" si="42"/>
        <v>20220905</v>
      </c>
      <c r="M307" s="1" t="str">
        <f>"074735"</f>
        <v>074735</v>
      </c>
      <c r="N307" s="1" t="s">
        <v>72</v>
      </c>
      <c r="O307" s="1" t="s">
        <v>52</v>
      </c>
      <c r="P307" s="1" t="s">
        <v>55</v>
      </c>
      <c r="Q307" s="1">
        <v>25</v>
      </c>
      <c r="R307" s="1">
        <v>0</v>
      </c>
      <c r="S307" s="1">
        <v>25</v>
      </c>
      <c r="T307" s="1">
        <v>0</v>
      </c>
      <c r="U307" s="1">
        <v>0</v>
      </c>
      <c r="V307" s="1" t="str">
        <f t="shared" si="39"/>
        <v>里程返程</v>
      </c>
      <c r="W307" s="1" t="s">
        <v>35</v>
      </c>
    </row>
    <row r="308" spans="1:23" x14ac:dyDescent="0.3">
      <c r="A308" s="1" t="str">
        <f t="shared" si="43"/>
        <v>59828</v>
      </c>
      <c r="B308" s="1" t="s">
        <v>23</v>
      </c>
      <c r="C308" s="1" t="s">
        <v>24</v>
      </c>
      <c r="D308" s="1" t="str">
        <f t="shared" si="38"/>
        <v>9801</v>
      </c>
      <c r="E308" s="1" t="s">
        <v>25</v>
      </c>
      <c r="F308" s="1" t="str">
        <f>"1759959808"</f>
        <v>1759959808</v>
      </c>
      <c r="G308" s="1" t="s">
        <v>33</v>
      </c>
      <c r="H308" s="1" t="str">
        <f t="shared" si="41"/>
        <v>20220905</v>
      </c>
      <c r="I308" s="1" t="str">
        <f>"074331"</f>
        <v>074331</v>
      </c>
      <c r="J308" s="1" t="s">
        <v>80</v>
      </c>
      <c r="K308" s="1" t="s">
        <v>52</v>
      </c>
      <c r="L308" s="1" t="str">
        <f t="shared" si="42"/>
        <v>20220905</v>
      </c>
      <c r="M308" s="1" t="str">
        <f>"075226"</f>
        <v>075226</v>
      </c>
      <c r="N308" s="1" t="s">
        <v>60</v>
      </c>
      <c r="O308" s="1" t="s">
        <v>52</v>
      </c>
      <c r="P308" s="1" t="s">
        <v>55</v>
      </c>
      <c r="Q308" s="1">
        <v>25</v>
      </c>
      <c r="R308" s="1">
        <v>25</v>
      </c>
      <c r="S308" s="1">
        <v>0</v>
      </c>
      <c r="T308" s="1">
        <v>0</v>
      </c>
      <c r="U308" s="1">
        <v>0</v>
      </c>
      <c r="V308" s="1" t="str">
        <f t="shared" si="39"/>
        <v>里程返程</v>
      </c>
      <c r="W308" s="1" t="s">
        <v>35</v>
      </c>
    </row>
    <row r="309" spans="1:23" x14ac:dyDescent="0.3">
      <c r="A309" s="1" t="str">
        <f t="shared" si="43"/>
        <v>59828</v>
      </c>
      <c r="B309" s="1" t="s">
        <v>23</v>
      </c>
      <c r="C309" s="1" t="s">
        <v>24</v>
      </c>
      <c r="D309" s="1" t="str">
        <f t="shared" si="38"/>
        <v>9801</v>
      </c>
      <c r="E309" s="1" t="s">
        <v>25</v>
      </c>
      <c r="F309" s="1" t="str">
        <f>"2604765327"</f>
        <v>2604765327</v>
      </c>
      <c r="G309" s="1" t="s">
        <v>33</v>
      </c>
      <c r="H309" s="1" t="str">
        <f t="shared" si="41"/>
        <v>20220905</v>
      </c>
      <c r="I309" s="1" t="str">
        <f>"123235"</f>
        <v>123235</v>
      </c>
      <c r="J309" s="1" t="s">
        <v>44</v>
      </c>
      <c r="K309" s="1" t="s">
        <v>45</v>
      </c>
      <c r="L309" s="1" t="str">
        <f t="shared" si="42"/>
        <v>20220905</v>
      </c>
      <c r="M309" s="1" t="str">
        <f>"125018"</f>
        <v>125018</v>
      </c>
      <c r="N309" s="1" t="s">
        <v>28</v>
      </c>
      <c r="O309" s="1" t="s">
        <v>28</v>
      </c>
      <c r="P309" s="1" t="s">
        <v>55</v>
      </c>
      <c r="Q309" s="1">
        <v>25</v>
      </c>
      <c r="R309" s="1">
        <v>25</v>
      </c>
      <c r="S309" s="1">
        <v>0</v>
      </c>
      <c r="T309" s="1">
        <v>0</v>
      </c>
      <c r="U309" s="1">
        <v>0</v>
      </c>
      <c r="V309" s="1" t="str">
        <f t="shared" si="39"/>
        <v>里程返程</v>
      </c>
      <c r="W309" s="1" t="s">
        <v>35</v>
      </c>
    </row>
    <row r="310" spans="1:23" x14ac:dyDescent="0.3">
      <c r="A310" s="1" t="str">
        <f t="shared" si="43"/>
        <v>59828</v>
      </c>
      <c r="B310" s="1" t="s">
        <v>23</v>
      </c>
      <c r="C310" s="1" t="s">
        <v>24</v>
      </c>
      <c r="D310" s="1" t="str">
        <f t="shared" si="38"/>
        <v>9801</v>
      </c>
      <c r="E310" s="1" t="s">
        <v>25</v>
      </c>
      <c r="F310" s="1" t="str">
        <f>"1222134209"</f>
        <v>1222134209</v>
      </c>
      <c r="G310" s="1" t="s">
        <v>33</v>
      </c>
      <c r="H310" s="1" t="str">
        <f t="shared" si="41"/>
        <v>20220905</v>
      </c>
      <c r="I310" s="1" t="str">
        <f>"123239"</f>
        <v>123239</v>
      </c>
      <c r="J310" s="1" t="s">
        <v>44</v>
      </c>
      <c r="K310" s="1" t="s">
        <v>45</v>
      </c>
      <c r="L310" s="1" t="str">
        <f t="shared" si="42"/>
        <v>20220905</v>
      </c>
      <c r="M310" s="1" t="str">
        <f>"125013"</f>
        <v>125013</v>
      </c>
      <c r="N310" s="1" t="s">
        <v>28</v>
      </c>
      <c r="O310" s="1" t="s">
        <v>28</v>
      </c>
      <c r="P310" s="1" t="s">
        <v>55</v>
      </c>
      <c r="Q310" s="1">
        <v>25</v>
      </c>
      <c r="R310" s="1">
        <v>25</v>
      </c>
      <c r="S310" s="1">
        <v>0</v>
      </c>
      <c r="T310" s="1">
        <v>0</v>
      </c>
      <c r="U310" s="1">
        <v>0</v>
      </c>
      <c r="V310" s="1" t="str">
        <f t="shared" si="39"/>
        <v>里程返程</v>
      </c>
      <c r="W310" s="1" t="s">
        <v>35</v>
      </c>
    </row>
    <row r="311" spans="1:23" x14ac:dyDescent="0.3">
      <c r="A311" s="1" t="str">
        <f t="shared" si="43"/>
        <v>59828</v>
      </c>
      <c r="B311" s="1" t="s">
        <v>23</v>
      </c>
      <c r="C311" s="1" t="s">
        <v>24</v>
      </c>
      <c r="D311" s="1" t="str">
        <f t="shared" si="38"/>
        <v>9801</v>
      </c>
      <c r="E311" s="1" t="s">
        <v>25</v>
      </c>
      <c r="F311" s="1" t="str">
        <f>"1734483201"</f>
        <v>1734483201</v>
      </c>
      <c r="G311" s="1" t="s">
        <v>26</v>
      </c>
      <c r="H311" s="1" t="str">
        <f t="shared" si="41"/>
        <v>20220905</v>
      </c>
      <c r="I311" s="1" t="str">
        <f>"124003"</f>
        <v>124003</v>
      </c>
      <c r="J311" s="1" t="s">
        <v>56</v>
      </c>
      <c r="K311" s="1" t="s">
        <v>45</v>
      </c>
      <c r="L311" s="1" t="str">
        <f t="shared" si="42"/>
        <v>20220905</v>
      </c>
      <c r="M311" s="1" t="str">
        <f>"125023"</f>
        <v>125023</v>
      </c>
      <c r="N311" s="1" t="s">
        <v>28</v>
      </c>
      <c r="O311" s="1" t="s">
        <v>28</v>
      </c>
      <c r="P311" s="1" t="s">
        <v>55</v>
      </c>
      <c r="Q311" s="1">
        <v>13</v>
      </c>
      <c r="R311" s="1">
        <v>0</v>
      </c>
      <c r="S311" s="1">
        <v>13</v>
      </c>
      <c r="T311" s="1">
        <v>0</v>
      </c>
      <c r="U311" s="1">
        <v>0</v>
      </c>
      <c r="V311" s="1" t="str">
        <f t="shared" si="39"/>
        <v>里程返程</v>
      </c>
      <c r="W311" s="1" t="s">
        <v>35</v>
      </c>
    </row>
    <row r="312" spans="1:23" x14ac:dyDescent="0.3">
      <c r="A312" s="1" t="str">
        <f t="shared" si="43"/>
        <v>59828</v>
      </c>
      <c r="B312" s="1" t="s">
        <v>23</v>
      </c>
      <c r="C312" s="1" t="s">
        <v>24</v>
      </c>
      <c r="D312" s="1" t="str">
        <f t="shared" si="38"/>
        <v>9801</v>
      </c>
      <c r="E312" s="1" t="s">
        <v>25</v>
      </c>
      <c r="F312" s="1" t="str">
        <f>"200114070"</f>
        <v>200114070</v>
      </c>
      <c r="G312" s="1" t="s">
        <v>33</v>
      </c>
      <c r="H312" s="1" t="str">
        <f t="shared" si="41"/>
        <v>20220905</v>
      </c>
      <c r="I312" s="1" t="str">
        <f>"125030"</f>
        <v>125030</v>
      </c>
      <c r="J312" s="1" t="s">
        <v>28</v>
      </c>
      <c r="K312" s="1" t="s">
        <v>28</v>
      </c>
      <c r="L312" s="1" t="str">
        <f t="shared" si="42"/>
        <v>20220905</v>
      </c>
      <c r="M312" s="1" t="str">
        <f>"130445"</f>
        <v>130445</v>
      </c>
      <c r="N312" s="1" t="s">
        <v>83</v>
      </c>
      <c r="O312" s="1" t="s">
        <v>52</v>
      </c>
      <c r="P312" s="1" t="s">
        <v>55</v>
      </c>
      <c r="Q312" s="1">
        <v>25</v>
      </c>
      <c r="R312" s="1">
        <v>25</v>
      </c>
      <c r="S312" s="1">
        <v>0</v>
      </c>
      <c r="T312" s="1">
        <v>0</v>
      </c>
      <c r="U312" s="1">
        <v>0</v>
      </c>
      <c r="V312" s="1" t="str">
        <f t="shared" si="39"/>
        <v>里程返程</v>
      </c>
      <c r="W312" s="1" t="s">
        <v>35</v>
      </c>
    </row>
    <row r="313" spans="1:23" x14ac:dyDescent="0.3">
      <c r="A313" s="1" t="str">
        <f t="shared" si="43"/>
        <v>59828</v>
      </c>
      <c r="B313" s="1" t="s">
        <v>23</v>
      </c>
      <c r="C313" s="1" t="s">
        <v>24</v>
      </c>
      <c r="D313" s="1" t="str">
        <f t="shared" si="38"/>
        <v>9801</v>
      </c>
      <c r="E313" s="1" t="s">
        <v>25</v>
      </c>
      <c r="F313" s="1" t="str">
        <f>"41489F33A5280400F700000000000000"</f>
        <v>41489F33A5280400F700000000000000</v>
      </c>
      <c r="G313" s="1" t="s">
        <v>58</v>
      </c>
      <c r="H313" s="1" t="str">
        <f t="shared" si="41"/>
        <v>20220905</v>
      </c>
      <c r="I313" s="1" t="str">
        <f>"125037"</f>
        <v>125037</v>
      </c>
      <c r="J313" s="1" t="s">
        <v>28</v>
      </c>
      <c r="K313" s="1" t="s">
        <v>28</v>
      </c>
      <c r="L313" s="1" t="str">
        <f t="shared" si="42"/>
        <v>20220905</v>
      </c>
      <c r="M313" s="1" t="str">
        <f>"132527"</f>
        <v>132527</v>
      </c>
      <c r="N313" s="1" t="s">
        <v>52</v>
      </c>
      <c r="O313" s="1" t="s">
        <v>52</v>
      </c>
      <c r="P313" s="1" t="s">
        <v>55</v>
      </c>
      <c r="Q313" s="1">
        <v>25</v>
      </c>
      <c r="R313" s="1">
        <v>25</v>
      </c>
      <c r="S313" s="1">
        <v>0</v>
      </c>
      <c r="T313" s="1">
        <v>0</v>
      </c>
      <c r="U313" s="1">
        <v>0</v>
      </c>
      <c r="V313" s="1" t="str">
        <f t="shared" si="39"/>
        <v>里程返程</v>
      </c>
      <c r="W313" s="1" t="s">
        <v>29</v>
      </c>
    </row>
    <row r="314" spans="1:23" x14ac:dyDescent="0.3">
      <c r="A314" s="1" t="str">
        <f t="shared" si="43"/>
        <v>59828</v>
      </c>
      <c r="B314" s="1" t="s">
        <v>23</v>
      </c>
      <c r="C314" s="1" t="s">
        <v>24</v>
      </c>
      <c r="D314" s="1" t="str">
        <f t="shared" si="38"/>
        <v>9801</v>
      </c>
      <c r="E314" s="1" t="s">
        <v>25</v>
      </c>
      <c r="F314" s="1" t="str">
        <f>"922E0C15A528040080CEDA1449914018"</f>
        <v>922E0C15A528040080CEDA1449914018</v>
      </c>
      <c r="G314" s="1" t="s">
        <v>58</v>
      </c>
      <c r="H314" s="1" t="str">
        <f t="shared" si="41"/>
        <v>20220905</v>
      </c>
      <c r="I314" s="1" t="str">
        <f>"125041"</f>
        <v>125041</v>
      </c>
      <c r="J314" s="1" t="s">
        <v>28</v>
      </c>
      <c r="K314" s="1" t="s">
        <v>28</v>
      </c>
      <c r="L314" s="1" t="str">
        <f t="shared" si="42"/>
        <v>20220905</v>
      </c>
      <c r="M314" s="1" t="str">
        <f>"132524"</f>
        <v>132524</v>
      </c>
      <c r="N314" s="1" t="s">
        <v>52</v>
      </c>
      <c r="O314" s="1" t="s">
        <v>52</v>
      </c>
      <c r="P314" s="1" t="s">
        <v>55</v>
      </c>
      <c r="Q314" s="1">
        <v>25</v>
      </c>
      <c r="R314" s="1">
        <v>25</v>
      </c>
      <c r="S314" s="1">
        <v>0</v>
      </c>
      <c r="T314" s="1">
        <v>0</v>
      </c>
      <c r="U314" s="1">
        <v>0</v>
      </c>
      <c r="V314" s="1" t="str">
        <f t="shared" si="39"/>
        <v>里程返程</v>
      </c>
      <c r="W314" s="1" t="s">
        <v>29</v>
      </c>
    </row>
    <row r="315" spans="1:23" x14ac:dyDescent="0.3">
      <c r="A315" s="1" t="str">
        <f t="shared" si="43"/>
        <v>59828</v>
      </c>
      <c r="B315" s="1" t="s">
        <v>23</v>
      </c>
      <c r="C315" s="1" t="s">
        <v>24</v>
      </c>
      <c r="D315" s="1" t="str">
        <f t="shared" si="38"/>
        <v>9801</v>
      </c>
      <c r="E315" s="1" t="s">
        <v>25</v>
      </c>
      <c r="F315" s="1" t="str">
        <f>"A21E29198C880400C821002000000019"</f>
        <v>A21E29198C880400C821002000000019</v>
      </c>
      <c r="G315" s="1" t="s">
        <v>64</v>
      </c>
      <c r="H315" s="1" t="str">
        <f t="shared" si="41"/>
        <v>20220905</v>
      </c>
      <c r="I315" s="1" t="str">
        <f>"125300"</f>
        <v>125300</v>
      </c>
      <c r="J315" s="1" t="s">
        <v>28</v>
      </c>
      <c r="K315" s="1" t="s">
        <v>28</v>
      </c>
      <c r="L315" s="1" t="str">
        <f t="shared" si="42"/>
        <v>20220905</v>
      </c>
      <c r="M315" s="1" t="str">
        <f>"131904"</f>
        <v>131904</v>
      </c>
      <c r="N315" s="1" t="s">
        <v>51</v>
      </c>
      <c r="O315" s="1" t="s">
        <v>52</v>
      </c>
      <c r="P315" s="1" t="s">
        <v>55</v>
      </c>
      <c r="Q315" s="1">
        <v>13</v>
      </c>
      <c r="R315" s="1">
        <v>13</v>
      </c>
      <c r="S315" s="1">
        <v>0</v>
      </c>
      <c r="T315" s="1">
        <v>0</v>
      </c>
      <c r="U315" s="1">
        <v>0</v>
      </c>
      <c r="V315" s="1" t="str">
        <f t="shared" si="39"/>
        <v>里程返程</v>
      </c>
      <c r="W315" s="1" t="s">
        <v>29</v>
      </c>
    </row>
    <row r="316" spans="1:23" x14ac:dyDescent="0.3">
      <c r="A316" s="1" t="str">
        <f t="shared" si="43"/>
        <v>59828</v>
      </c>
      <c r="B316" s="1" t="s">
        <v>23</v>
      </c>
      <c r="C316" s="1" t="s">
        <v>24</v>
      </c>
      <c r="D316" s="1" t="str">
        <f t="shared" si="38"/>
        <v>9801</v>
      </c>
      <c r="E316" s="1" t="s">
        <v>25</v>
      </c>
      <c r="F316" s="1" t="str">
        <f>"B1588800618804004324714D0015080E"</f>
        <v>B1588800618804004324714D0015080E</v>
      </c>
      <c r="G316" s="1" t="s">
        <v>58</v>
      </c>
      <c r="H316" s="1" t="str">
        <f t="shared" si="41"/>
        <v>20220905</v>
      </c>
      <c r="I316" s="1" t="str">
        <f>"125317"</f>
        <v>125317</v>
      </c>
      <c r="J316" s="1" t="s">
        <v>28</v>
      </c>
      <c r="K316" s="1" t="s">
        <v>28</v>
      </c>
      <c r="L316" s="1" t="str">
        <f t="shared" si="42"/>
        <v>20220905</v>
      </c>
      <c r="M316" s="1" t="str">
        <f>"130220"</f>
        <v>130220</v>
      </c>
      <c r="N316" s="1" t="s">
        <v>84</v>
      </c>
      <c r="O316" s="1" t="s">
        <v>28</v>
      </c>
      <c r="P316" s="1" t="s">
        <v>55</v>
      </c>
      <c r="Q316" s="1">
        <v>25</v>
      </c>
      <c r="R316" s="1">
        <v>25</v>
      </c>
      <c r="S316" s="1">
        <v>0</v>
      </c>
      <c r="T316" s="1">
        <v>0</v>
      </c>
      <c r="U316" s="1">
        <v>0</v>
      </c>
      <c r="V316" s="1" t="str">
        <f t="shared" si="39"/>
        <v>里程返程</v>
      </c>
      <c r="W316" s="1" t="s">
        <v>29</v>
      </c>
    </row>
    <row r="317" spans="1:23" x14ac:dyDescent="0.3">
      <c r="A317" s="1" t="str">
        <f t="shared" si="43"/>
        <v>59828</v>
      </c>
      <c r="B317" s="1" t="s">
        <v>23</v>
      </c>
      <c r="C317" s="1" t="s">
        <v>24</v>
      </c>
      <c r="D317" s="1" t="str">
        <f t="shared" si="38"/>
        <v>9801</v>
      </c>
      <c r="E317" s="1" t="s">
        <v>25</v>
      </c>
      <c r="F317" s="1" t="str">
        <f>"E220D10211880400C834002000000015"</f>
        <v>E220D10211880400C834002000000015</v>
      </c>
      <c r="G317" s="1" t="s">
        <v>74</v>
      </c>
      <c r="H317" s="1" t="str">
        <f t="shared" si="41"/>
        <v>20220905</v>
      </c>
      <c r="I317" s="1" t="str">
        <f>"131407"</f>
        <v>131407</v>
      </c>
      <c r="J317" s="1" t="s">
        <v>97</v>
      </c>
      <c r="K317" s="1" t="s">
        <v>52</v>
      </c>
      <c r="L317" s="1" t="str">
        <f t="shared" si="42"/>
        <v>20220905</v>
      </c>
      <c r="M317" s="1" t="str">
        <f>"131526"</f>
        <v>131526</v>
      </c>
      <c r="N317" s="1" t="s">
        <v>65</v>
      </c>
      <c r="O317" s="1" t="s">
        <v>52</v>
      </c>
      <c r="P317" s="1" t="s">
        <v>68</v>
      </c>
      <c r="Q317" s="1">
        <v>13</v>
      </c>
      <c r="R317" s="1">
        <v>0</v>
      </c>
      <c r="S317" s="1">
        <v>0</v>
      </c>
      <c r="T317" s="1">
        <v>13</v>
      </c>
      <c r="U317" s="1">
        <v>0</v>
      </c>
      <c r="V317" s="1" t="str">
        <f t="shared" si="39"/>
        <v>里程返程</v>
      </c>
      <c r="W317" s="1" t="s">
        <v>29</v>
      </c>
    </row>
    <row r="318" spans="1:23" x14ac:dyDescent="0.3">
      <c r="A318" s="1" t="str">
        <f t="shared" si="43"/>
        <v>59828</v>
      </c>
      <c r="B318" s="1" t="s">
        <v>23</v>
      </c>
      <c r="C318" s="1" t="s">
        <v>24</v>
      </c>
      <c r="D318" s="1" t="str">
        <f t="shared" si="38"/>
        <v>9801</v>
      </c>
      <c r="E318" s="1" t="s">
        <v>25</v>
      </c>
      <c r="F318" s="1" t="str">
        <f>"776560917"</f>
        <v>776560917</v>
      </c>
      <c r="G318" s="1" t="s">
        <v>33</v>
      </c>
      <c r="H318" s="1" t="str">
        <f t="shared" ref="H318:H329" si="44">"20220905"</f>
        <v>20220905</v>
      </c>
      <c r="I318" s="1" t="str">
        <f>"143521"</f>
        <v>143521</v>
      </c>
      <c r="J318" s="1" t="s">
        <v>44</v>
      </c>
      <c r="K318" s="1" t="s">
        <v>45</v>
      </c>
      <c r="L318" s="1" t="str">
        <f t="shared" ref="L318:L329" si="45">"20220905"</f>
        <v>20220905</v>
      </c>
      <c r="M318" s="1" t="str">
        <f>"145310"</f>
        <v>145310</v>
      </c>
      <c r="N318" s="1" t="s">
        <v>28</v>
      </c>
      <c r="O318" s="1" t="s">
        <v>28</v>
      </c>
      <c r="P318" s="1" t="s">
        <v>55</v>
      </c>
      <c r="Q318" s="1">
        <v>25</v>
      </c>
      <c r="R318" s="1">
        <v>25</v>
      </c>
      <c r="S318" s="1">
        <v>0</v>
      </c>
      <c r="T318" s="1">
        <v>0</v>
      </c>
      <c r="U318" s="1">
        <v>0</v>
      </c>
      <c r="V318" s="1" t="str">
        <f t="shared" si="39"/>
        <v>里程返程</v>
      </c>
      <c r="W318" s="1" t="s">
        <v>35</v>
      </c>
    </row>
    <row r="319" spans="1:23" x14ac:dyDescent="0.3">
      <c r="A319" s="1" t="str">
        <f t="shared" si="43"/>
        <v>59828</v>
      </c>
      <c r="B319" s="1" t="s">
        <v>23</v>
      </c>
      <c r="C319" s="1" t="s">
        <v>24</v>
      </c>
      <c r="D319" s="1" t="str">
        <f t="shared" si="38"/>
        <v>9801</v>
      </c>
      <c r="E319" s="1" t="s">
        <v>25</v>
      </c>
      <c r="F319" s="1" t="str">
        <f>"423225169"</f>
        <v>423225169</v>
      </c>
      <c r="G319" s="1" t="s">
        <v>33</v>
      </c>
      <c r="H319" s="1" t="str">
        <f t="shared" si="44"/>
        <v>20220905</v>
      </c>
      <c r="I319" s="1" t="str">
        <f>"143523"</f>
        <v>143523</v>
      </c>
      <c r="J319" s="1" t="s">
        <v>44</v>
      </c>
      <c r="K319" s="1" t="s">
        <v>45</v>
      </c>
      <c r="L319" s="1" t="str">
        <f t="shared" si="45"/>
        <v>20220905</v>
      </c>
      <c r="M319" s="1" t="str">
        <f>"145306"</f>
        <v>145306</v>
      </c>
      <c r="N319" s="1" t="s">
        <v>28</v>
      </c>
      <c r="O319" s="1" t="s">
        <v>28</v>
      </c>
      <c r="P319" s="1" t="s">
        <v>55</v>
      </c>
      <c r="Q319" s="1">
        <v>25</v>
      </c>
      <c r="R319" s="1">
        <v>25</v>
      </c>
      <c r="S319" s="1">
        <v>0</v>
      </c>
      <c r="T319" s="1">
        <v>0</v>
      </c>
      <c r="U319" s="1">
        <v>0</v>
      </c>
      <c r="V319" s="1" t="str">
        <f t="shared" si="39"/>
        <v>里程返程</v>
      </c>
      <c r="W319" s="1" t="s">
        <v>35</v>
      </c>
    </row>
    <row r="320" spans="1:23" x14ac:dyDescent="0.3">
      <c r="A320" s="1" t="str">
        <f t="shared" si="43"/>
        <v>59828</v>
      </c>
      <c r="B320" s="1" t="s">
        <v>23</v>
      </c>
      <c r="C320" s="1" t="s">
        <v>24</v>
      </c>
      <c r="D320" s="1" t="str">
        <f t="shared" si="38"/>
        <v>9801</v>
      </c>
      <c r="E320" s="1" t="s">
        <v>25</v>
      </c>
      <c r="F320" s="1" t="str">
        <f>"1118558389"</f>
        <v>1118558389</v>
      </c>
      <c r="G320" s="1" t="s">
        <v>26</v>
      </c>
      <c r="H320" s="1" t="str">
        <f t="shared" si="44"/>
        <v>20220905</v>
      </c>
      <c r="I320" s="1" t="str">
        <f>"145513"</f>
        <v>145513</v>
      </c>
      <c r="J320" s="1" t="s">
        <v>28</v>
      </c>
      <c r="K320" s="1" t="s">
        <v>28</v>
      </c>
      <c r="L320" s="1" t="str">
        <f t="shared" si="45"/>
        <v>20220905</v>
      </c>
      <c r="M320" s="1" t="str">
        <f>"151203"</f>
        <v>151203</v>
      </c>
      <c r="N320" s="1" t="s">
        <v>97</v>
      </c>
      <c r="O320" s="1" t="s">
        <v>52</v>
      </c>
      <c r="P320" s="1" t="s">
        <v>55</v>
      </c>
      <c r="Q320" s="1">
        <v>13</v>
      </c>
      <c r="R320" s="1">
        <v>13</v>
      </c>
      <c r="S320" s="1">
        <v>0</v>
      </c>
      <c r="T320" s="1">
        <v>0</v>
      </c>
      <c r="U320" s="1">
        <v>0</v>
      </c>
      <c r="V320" s="1" t="str">
        <f t="shared" si="39"/>
        <v>里程返程</v>
      </c>
      <c r="W320" s="1" t="s">
        <v>35</v>
      </c>
    </row>
    <row r="321" spans="1:23" x14ac:dyDescent="0.3">
      <c r="A321" s="1" t="str">
        <f t="shared" si="43"/>
        <v>59828</v>
      </c>
      <c r="B321" s="1" t="s">
        <v>23</v>
      </c>
      <c r="C321" s="1" t="s">
        <v>24</v>
      </c>
      <c r="D321" s="1" t="str">
        <f t="shared" si="38"/>
        <v>9801</v>
      </c>
      <c r="E321" s="1" t="s">
        <v>25</v>
      </c>
      <c r="F321" s="1" t="str">
        <f>"147475633"</f>
        <v>147475633</v>
      </c>
      <c r="G321" s="1" t="s">
        <v>33</v>
      </c>
      <c r="H321" s="1" t="str">
        <f t="shared" si="44"/>
        <v>20220905</v>
      </c>
      <c r="I321" s="1" t="str">
        <f>"152010"</f>
        <v>152010</v>
      </c>
      <c r="J321" s="1" t="s">
        <v>60</v>
      </c>
      <c r="K321" s="1" t="s">
        <v>52</v>
      </c>
      <c r="L321" s="1" t="str">
        <f t="shared" si="45"/>
        <v>20220905</v>
      </c>
      <c r="M321" s="1" t="str">
        <f>"152354"</f>
        <v>152354</v>
      </c>
      <c r="N321" s="1" t="s">
        <v>52</v>
      </c>
      <c r="O321" s="1" t="s">
        <v>52</v>
      </c>
      <c r="P321" s="1" t="s">
        <v>55</v>
      </c>
      <c r="Q321" s="1">
        <v>25</v>
      </c>
      <c r="R321" s="1">
        <v>25</v>
      </c>
      <c r="S321" s="1">
        <v>0</v>
      </c>
      <c r="T321" s="1">
        <v>0</v>
      </c>
      <c r="U321" s="1">
        <v>0</v>
      </c>
      <c r="V321" s="1" t="str">
        <f t="shared" si="39"/>
        <v>里程返程</v>
      </c>
      <c r="W321" s="1" t="s">
        <v>35</v>
      </c>
    </row>
    <row r="322" spans="1:23" x14ac:dyDescent="0.3">
      <c r="A322" s="1" t="str">
        <f t="shared" si="43"/>
        <v>59828</v>
      </c>
      <c r="B322" s="1" t="s">
        <v>23</v>
      </c>
      <c r="C322" s="1" t="s">
        <v>24</v>
      </c>
      <c r="D322" s="1" t="str">
        <f t="shared" ref="D322:D385" si="46">"9801"</f>
        <v>9801</v>
      </c>
      <c r="E322" s="1" t="s">
        <v>25</v>
      </c>
      <c r="F322" s="1" t="str">
        <f>"1612083749"</f>
        <v>1612083749</v>
      </c>
      <c r="G322" s="1" t="s">
        <v>33</v>
      </c>
      <c r="H322" s="1" t="str">
        <f t="shared" si="44"/>
        <v>20220905</v>
      </c>
      <c r="I322" s="1" t="str">
        <f>"155057"</f>
        <v>155057</v>
      </c>
      <c r="J322" s="1" t="s">
        <v>28</v>
      </c>
      <c r="K322" s="1" t="s">
        <v>28</v>
      </c>
      <c r="L322" s="1" t="str">
        <f t="shared" si="45"/>
        <v>20220905</v>
      </c>
      <c r="M322" s="1" t="str">
        <f>"160527"</f>
        <v>160527</v>
      </c>
      <c r="N322" s="1" t="s">
        <v>78</v>
      </c>
      <c r="O322" s="1" t="s">
        <v>52</v>
      </c>
      <c r="P322" s="1" t="s">
        <v>55</v>
      </c>
      <c r="Q322" s="1">
        <v>25</v>
      </c>
      <c r="R322" s="1">
        <v>25</v>
      </c>
      <c r="S322" s="1">
        <v>0</v>
      </c>
      <c r="T322" s="1">
        <v>0</v>
      </c>
      <c r="U322" s="1">
        <v>0</v>
      </c>
      <c r="V322" s="1" t="str">
        <f t="shared" ref="V322:V385" si="47">"里程返程"</f>
        <v>里程返程</v>
      </c>
      <c r="W322" s="1" t="s">
        <v>35</v>
      </c>
    </row>
    <row r="323" spans="1:23" x14ac:dyDescent="0.3">
      <c r="A323" s="1" t="str">
        <f t="shared" si="43"/>
        <v>59828</v>
      </c>
      <c r="B323" s="1" t="s">
        <v>23</v>
      </c>
      <c r="C323" s="1" t="s">
        <v>24</v>
      </c>
      <c r="D323" s="1" t="str">
        <f t="shared" si="46"/>
        <v>9801</v>
      </c>
      <c r="E323" s="1" t="s">
        <v>25</v>
      </c>
      <c r="F323" s="1" t="str">
        <f>"42AFE60209880400C834002000000015"</f>
        <v>42AFE60209880400C834002000000015</v>
      </c>
      <c r="G323" s="1" t="s">
        <v>74</v>
      </c>
      <c r="H323" s="1" t="str">
        <f t="shared" si="44"/>
        <v>20220905</v>
      </c>
      <c r="I323" s="1" t="str">
        <f>"161320"</f>
        <v>161320</v>
      </c>
      <c r="J323" s="1" t="s">
        <v>80</v>
      </c>
      <c r="K323" s="1" t="s">
        <v>52</v>
      </c>
      <c r="L323" s="1" t="str">
        <f t="shared" si="45"/>
        <v>20220905</v>
      </c>
      <c r="M323" s="1" t="str">
        <f>"162706"</f>
        <v>162706</v>
      </c>
      <c r="N323" s="1" t="s">
        <v>52</v>
      </c>
      <c r="O323" s="1" t="s">
        <v>52</v>
      </c>
      <c r="P323" s="1" t="s">
        <v>68</v>
      </c>
      <c r="Q323" s="1">
        <v>13</v>
      </c>
      <c r="R323" s="1">
        <v>0</v>
      </c>
      <c r="S323" s="1">
        <v>0</v>
      </c>
      <c r="T323" s="1">
        <v>13</v>
      </c>
      <c r="U323" s="1">
        <v>0</v>
      </c>
      <c r="V323" s="1" t="str">
        <f t="shared" si="47"/>
        <v>里程返程</v>
      </c>
      <c r="W323" s="1" t="s">
        <v>29</v>
      </c>
    </row>
    <row r="324" spans="1:23" x14ac:dyDescent="0.3">
      <c r="A324" s="1" t="str">
        <f t="shared" si="43"/>
        <v>59828</v>
      </c>
      <c r="B324" s="1" t="s">
        <v>23</v>
      </c>
      <c r="C324" s="1" t="s">
        <v>24</v>
      </c>
      <c r="D324" s="1" t="str">
        <f t="shared" si="46"/>
        <v>9801</v>
      </c>
      <c r="E324" s="1" t="s">
        <v>25</v>
      </c>
      <c r="F324" s="1" t="str">
        <f>"82D5FB02AE880400C834002000000015"</f>
        <v>82D5FB02AE880400C834002000000015</v>
      </c>
      <c r="G324" s="1" t="s">
        <v>26</v>
      </c>
      <c r="H324" s="1" t="str">
        <f t="shared" si="44"/>
        <v>20220905</v>
      </c>
      <c r="I324" s="1" t="str">
        <f>"161325"</f>
        <v>161325</v>
      </c>
      <c r="J324" s="1" t="s">
        <v>80</v>
      </c>
      <c r="K324" s="1" t="s">
        <v>52</v>
      </c>
      <c r="L324" s="1" t="str">
        <f t="shared" si="45"/>
        <v>20220905</v>
      </c>
      <c r="M324" s="1" t="str">
        <f>"162056"</f>
        <v>162056</v>
      </c>
      <c r="N324" s="1" t="s">
        <v>51</v>
      </c>
      <c r="O324" s="1" t="s">
        <v>52</v>
      </c>
      <c r="P324" s="1" t="s">
        <v>68</v>
      </c>
      <c r="Q324" s="1">
        <v>13</v>
      </c>
      <c r="R324" s="1">
        <v>0</v>
      </c>
      <c r="S324" s="1">
        <v>0</v>
      </c>
      <c r="T324" s="1">
        <v>13</v>
      </c>
      <c r="U324" s="1">
        <v>0</v>
      </c>
      <c r="V324" s="1" t="str">
        <f t="shared" si="47"/>
        <v>里程返程</v>
      </c>
      <c r="W324" s="1" t="s">
        <v>29</v>
      </c>
    </row>
    <row r="325" spans="1:23" x14ac:dyDescent="0.3">
      <c r="A325" s="1" t="str">
        <f t="shared" si="43"/>
        <v>59828</v>
      </c>
      <c r="B325" s="1" t="s">
        <v>23</v>
      </c>
      <c r="C325" s="1" t="s">
        <v>24</v>
      </c>
      <c r="D325" s="1" t="str">
        <f t="shared" si="46"/>
        <v>9801</v>
      </c>
      <c r="E325" s="1" t="s">
        <v>25</v>
      </c>
      <c r="F325" s="1" t="str">
        <f>"197605365"</f>
        <v>197605365</v>
      </c>
      <c r="G325" s="1" t="s">
        <v>33</v>
      </c>
      <c r="H325" s="1" t="str">
        <f t="shared" si="44"/>
        <v>20220905</v>
      </c>
      <c r="I325" s="1" t="str">
        <f>"164202"</f>
        <v>164202</v>
      </c>
      <c r="J325" s="1" t="s">
        <v>56</v>
      </c>
      <c r="K325" s="1" t="s">
        <v>45</v>
      </c>
      <c r="L325" s="1" t="str">
        <f t="shared" si="45"/>
        <v>20220905</v>
      </c>
      <c r="M325" s="1" t="str">
        <f>"165413"</f>
        <v>165413</v>
      </c>
      <c r="N325" s="1" t="s">
        <v>28</v>
      </c>
      <c r="O325" s="1" t="s">
        <v>28</v>
      </c>
      <c r="P325" s="1" t="s">
        <v>55</v>
      </c>
      <c r="Q325" s="1">
        <v>25</v>
      </c>
      <c r="R325" s="1">
        <v>25</v>
      </c>
      <c r="S325" s="1">
        <v>0</v>
      </c>
      <c r="T325" s="1">
        <v>0</v>
      </c>
      <c r="U325" s="1">
        <v>0</v>
      </c>
      <c r="V325" s="1" t="str">
        <f t="shared" si="47"/>
        <v>里程返程</v>
      </c>
      <c r="W325" s="1" t="s">
        <v>35</v>
      </c>
    </row>
    <row r="326" spans="1:23" x14ac:dyDescent="0.3">
      <c r="A326" s="1" t="str">
        <f t="shared" si="43"/>
        <v>59828</v>
      </c>
      <c r="B326" s="1" t="s">
        <v>23</v>
      </c>
      <c r="C326" s="1" t="s">
        <v>24</v>
      </c>
      <c r="D326" s="1" t="str">
        <f t="shared" si="46"/>
        <v>9801</v>
      </c>
      <c r="E326" s="1" t="s">
        <v>25</v>
      </c>
      <c r="F326" s="1" t="str">
        <f>"42FC4602FA880400C821002000000015"</f>
        <v>42FC4602FA880400C821002000000015</v>
      </c>
      <c r="G326" s="1" t="s">
        <v>26</v>
      </c>
      <c r="H326" s="1" t="str">
        <f t="shared" si="44"/>
        <v>20220905</v>
      </c>
      <c r="I326" s="1" t="str">
        <f>"164219"</f>
        <v>164219</v>
      </c>
      <c r="J326" s="1" t="s">
        <v>56</v>
      </c>
      <c r="K326" s="1" t="s">
        <v>45</v>
      </c>
      <c r="L326" s="1" t="str">
        <f t="shared" si="45"/>
        <v>20220905</v>
      </c>
      <c r="M326" s="1" t="str">
        <f>"165416"</f>
        <v>165416</v>
      </c>
      <c r="N326" s="1" t="s">
        <v>28</v>
      </c>
      <c r="O326" s="1" t="s">
        <v>28</v>
      </c>
      <c r="P326" s="1" t="s">
        <v>68</v>
      </c>
      <c r="Q326" s="1">
        <v>13</v>
      </c>
      <c r="R326" s="1">
        <v>0</v>
      </c>
      <c r="S326" s="1">
        <v>0</v>
      </c>
      <c r="T326" s="1">
        <v>13</v>
      </c>
      <c r="U326" s="1">
        <v>0</v>
      </c>
      <c r="V326" s="1" t="str">
        <f t="shared" si="47"/>
        <v>里程返程</v>
      </c>
      <c r="W326" s="1" t="s">
        <v>29</v>
      </c>
    </row>
    <row r="327" spans="1:23" x14ac:dyDescent="0.3">
      <c r="A327" s="1" t="str">
        <f t="shared" si="43"/>
        <v>59828</v>
      </c>
      <c r="B327" s="1" t="s">
        <v>23</v>
      </c>
      <c r="C327" s="1" t="s">
        <v>24</v>
      </c>
      <c r="D327" s="1" t="str">
        <f t="shared" si="46"/>
        <v>9801</v>
      </c>
      <c r="E327" s="1" t="s">
        <v>25</v>
      </c>
      <c r="F327" s="1" t="str">
        <f>"8201E70266880400C834002000000015"</f>
        <v>8201E70266880400C834002000000015</v>
      </c>
      <c r="G327" s="1" t="s">
        <v>74</v>
      </c>
      <c r="H327" s="1" t="str">
        <f t="shared" si="44"/>
        <v>20220905</v>
      </c>
      <c r="I327" s="1" t="str">
        <f>"165430"</f>
        <v>165430</v>
      </c>
      <c r="J327" s="1" t="s">
        <v>28</v>
      </c>
      <c r="K327" s="1" t="s">
        <v>28</v>
      </c>
      <c r="L327" s="1" t="str">
        <f t="shared" si="45"/>
        <v>20220905</v>
      </c>
      <c r="M327" s="1" t="str">
        <f>"173441"</f>
        <v>173441</v>
      </c>
      <c r="N327" s="1" t="s">
        <v>51</v>
      </c>
      <c r="O327" s="1" t="s">
        <v>52</v>
      </c>
      <c r="P327" s="1" t="s">
        <v>68</v>
      </c>
      <c r="Q327" s="1">
        <v>13</v>
      </c>
      <c r="R327" s="1">
        <v>0</v>
      </c>
      <c r="S327" s="1">
        <v>0</v>
      </c>
      <c r="T327" s="1">
        <v>13</v>
      </c>
      <c r="U327" s="1">
        <v>0</v>
      </c>
      <c r="V327" s="1" t="str">
        <f t="shared" si="47"/>
        <v>里程返程</v>
      </c>
      <c r="W327" s="1" t="s">
        <v>29</v>
      </c>
    </row>
    <row r="328" spans="1:23" x14ac:dyDescent="0.3">
      <c r="A328" s="1" t="str">
        <f t="shared" si="43"/>
        <v>59828</v>
      </c>
      <c r="B328" s="1" t="s">
        <v>23</v>
      </c>
      <c r="C328" s="1" t="s">
        <v>24</v>
      </c>
      <c r="D328" s="1" t="str">
        <f t="shared" si="46"/>
        <v>9801</v>
      </c>
      <c r="E328" s="1" t="s">
        <v>25</v>
      </c>
      <c r="F328" s="1" t="str">
        <f>"1112548581"</f>
        <v>1112548581</v>
      </c>
      <c r="G328" s="1" t="s">
        <v>38</v>
      </c>
      <c r="H328" s="1" t="str">
        <f t="shared" si="44"/>
        <v>20220905</v>
      </c>
      <c r="I328" s="1" t="str">
        <f>"165433"</f>
        <v>165433</v>
      </c>
      <c r="J328" s="1" t="s">
        <v>28</v>
      </c>
      <c r="K328" s="1" t="s">
        <v>28</v>
      </c>
      <c r="L328" s="1" t="str">
        <f t="shared" si="45"/>
        <v>20220905</v>
      </c>
      <c r="M328" s="1" t="str">
        <f>"173024"</f>
        <v>173024</v>
      </c>
      <c r="N328" s="1" t="s">
        <v>71</v>
      </c>
      <c r="O328" s="1" t="s">
        <v>52</v>
      </c>
      <c r="P328" s="1" t="s">
        <v>55</v>
      </c>
      <c r="Q328" s="1">
        <v>25</v>
      </c>
      <c r="R328" s="1">
        <v>0</v>
      </c>
      <c r="S328" s="1">
        <v>25</v>
      </c>
      <c r="T328" s="1">
        <v>0</v>
      </c>
      <c r="U328" s="1">
        <v>0</v>
      </c>
      <c r="V328" s="1" t="str">
        <f t="shared" si="47"/>
        <v>里程返程</v>
      </c>
      <c r="W328" s="1" t="s">
        <v>35</v>
      </c>
    </row>
    <row r="329" spans="1:23" x14ac:dyDescent="0.3">
      <c r="A329" s="1" t="str">
        <f t="shared" si="43"/>
        <v>59828</v>
      </c>
      <c r="B329" s="1" t="s">
        <v>23</v>
      </c>
      <c r="C329" s="1" t="s">
        <v>24</v>
      </c>
      <c r="D329" s="1" t="str">
        <f t="shared" si="46"/>
        <v>9801</v>
      </c>
      <c r="E329" s="1" t="s">
        <v>25</v>
      </c>
      <c r="F329" s="1" t="str">
        <f>"796883057"</f>
        <v>796883057</v>
      </c>
      <c r="G329" s="1" t="s">
        <v>33</v>
      </c>
      <c r="H329" s="1" t="str">
        <f t="shared" si="44"/>
        <v>20220905</v>
      </c>
      <c r="I329" s="1" t="str">
        <f>"165436"</f>
        <v>165436</v>
      </c>
      <c r="J329" s="1" t="s">
        <v>28</v>
      </c>
      <c r="K329" s="1" t="s">
        <v>28</v>
      </c>
      <c r="L329" s="1" t="str">
        <f t="shared" si="45"/>
        <v>20220905</v>
      </c>
      <c r="M329" s="1" t="str">
        <f>"170423"</f>
        <v>170423</v>
      </c>
      <c r="N329" s="1" t="s">
        <v>67</v>
      </c>
      <c r="O329" s="1" t="s">
        <v>52</v>
      </c>
      <c r="P329" s="1" t="s">
        <v>55</v>
      </c>
      <c r="Q329" s="1">
        <v>25</v>
      </c>
      <c r="R329" s="1">
        <v>25</v>
      </c>
      <c r="S329" s="1">
        <v>0</v>
      </c>
      <c r="T329" s="1">
        <v>0</v>
      </c>
      <c r="U329" s="1">
        <v>0</v>
      </c>
      <c r="V329" s="1" t="str">
        <f t="shared" si="47"/>
        <v>里程返程</v>
      </c>
      <c r="W329" s="1" t="s">
        <v>35</v>
      </c>
    </row>
    <row r="330" spans="1:23" x14ac:dyDescent="0.3">
      <c r="A330" s="1" t="str">
        <f t="shared" ref="A330:A353" si="48">"59809"</f>
        <v>59809</v>
      </c>
      <c r="B330" s="1" t="s">
        <v>42</v>
      </c>
      <c r="C330" s="1" t="s">
        <v>43</v>
      </c>
      <c r="D330" s="1" t="str">
        <f t="shared" si="46"/>
        <v>9801</v>
      </c>
      <c r="E330" s="1" t="s">
        <v>25</v>
      </c>
      <c r="F330" s="1" t="str">
        <f>"1752749445"</f>
        <v>1752749445</v>
      </c>
      <c r="G330" s="1" t="s">
        <v>33</v>
      </c>
      <c r="H330" s="1" t="str">
        <f t="shared" ref="H330:H361" si="49">"20220906"</f>
        <v>20220906</v>
      </c>
      <c r="I330" s="1" t="str">
        <f>"062950"</f>
        <v>062950</v>
      </c>
      <c r="J330" s="1" t="s">
        <v>28</v>
      </c>
      <c r="K330" s="1" t="s">
        <v>28</v>
      </c>
      <c r="L330" s="1" t="str">
        <f t="shared" ref="L330:L361" si="50">"20220906"</f>
        <v>20220906</v>
      </c>
      <c r="M330" s="1" t="str">
        <f>"065243"</f>
        <v>065243</v>
      </c>
      <c r="N330" s="1" t="s">
        <v>72</v>
      </c>
      <c r="O330" s="1" t="s">
        <v>52</v>
      </c>
      <c r="P330" s="1" t="s">
        <v>55</v>
      </c>
      <c r="Q330" s="1">
        <v>25</v>
      </c>
      <c r="R330" s="1">
        <v>0</v>
      </c>
      <c r="S330" s="1">
        <v>25</v>
      </c>
      <c r="T330" s="1">
        <v>0</v>
      </c>
      <c r="U330" s="1">
        <v>0</v>
      </c>
      <c r="V330" s="1" t="str">
        <f t="shared" si="47"/>
        <v>里程返程</v>
      </c>
      <c r="W330" s="1" t="s">
        <v>35</v>
      </c>
    </row>
    <row r="331" spans="1:23" x14ac:dyDescent="0.3">
      <c r="A331" s="1" t="str">
        <f t="shared" si="48"/>
        <v>59809</v>
      </c>
      <c r="B331" s="1" t="s">
        <v>42</v>
      </c>
      <c r="C331" s="1" t="s">
        <v>43</v>
      </c>
      <c r="D331" s="1" t="str">
        <f t="shared" si="46"/>
        <v>9801</v>
      </c>
      <c r="E331" s="1" t="s">
        <v>25</v>
      </c>
      <c r="F331" s="1" t="str">
        <f>"026A101860880400C814002000000019"</f>
        <v>026A101860880400C814002000000019</v>
      </c>
      <c r="G331" s="1" t="s">
        <v>59</v>
      </c>
      <c r="H331" s="1" t="str">
        <f t="shared" si="49"/>
        <v>20220906</v>
      </c>
      <c r="I331" s="1" t="str">
        <f>"063036"</f>
        <v>063036</v>
      </c>
      <c r="J331" s="1" t="s">
        <v>28</v>
      </c>
      <c r="K331" s="1" t="s">
        <v>28</v>
      </c>
      <c r="L331" s="1" t="str">
        <f t="shared" si="50"/>
        <v>20220906</v>
      </c>
      <c r="M331" s="1" t="str">
        <f>"065331"</f>
        <v>065331</v>
      </c>
      <c r="N331" s="1" t="s">
        <v>71</v>
      </c>
      <c r="O331" s="1" t="s">
        <v>52</v>
      </c>
      <c r="P331" s="1" t="s">
        <v>55</v>
      </c>
      <c r="Q331" s="1">
        <v>25</v>
      </c>
      <c r="R331" s="1">
        <v>0</v>
      </c>
      <c r="S331" s="1">
        <v>25</v>
      </c>
      <c r="T331" s="1">
        <v>0</v>
      </c>
      <c r="U331" s="1">
        <v>0</v>
      </c>
      <c r="V331" s="1" t="str">
        <f t="shared" si="47"/>
        <v>里程返程</v>
      </c>
      <c r="W331" s="1" t="s">
        <v>29</v>
      </c>
    </row>
    <row r="332" spans="1:23" x14ac:dyDescent="0.3">
      <c r="A332" s="1" t="str">
        <f t="shared" si="48"/>
        <v>59809</v>
      </c>
      <c r="B332" s="1" t="s">
        <v>42</v>
      </c>
      <c r="C332" s="1" t="s">
        <v>43</v>
      </c>
      <c r="D332" s="1" t="str">
        <f t="shared" si="46"/>
        <v>9801</v>
      </c>
      <c r="E332" s="1" t="s">
        <v>25</v>
      </c>
      <c r="F332" s="1" t="str">
        <f>"D2EDC500FA880400C801002000000015"</f>
        <v>D2EDC500FA880400C801002000000015</v>
      </c>
      <c r="G332" s="1" t="s">
        <v>58</v>
      </c>
      <c r="H332" s="1" t="str">
        <f t="shared" si="49"/>
        <v>20220906</v>
      </c>
      <c r="I332" s="1" t="str">
        <f>"063516"</f>
        <v>063516</v>
      </c>
      <c r="J332" s="1" t="s">
        <v>28</v>
      </c>
      <c r="K332" s="1" t="s">
        <v>28</v>
      </c>
      <c r="L332" s="1" t="str">
        <f t="shared" si="50"/>
        <v>20220906</v>
      </c>
      <c r="M332" s="1" t="str">
        <f>"070021"</f>
        <v>070021</v>
      </c>
      <c r="N332" s="1" t="s">
        <v>52</v>
      </c>
      <c r="O332" s="1" t="s">
        <v>52</v>
      </c>
      <c r="P332" s="1" t="s">
        <v>55</v>
      </c>
      <c r="Q332" s="1">
        <v>25</v>
      </c>
      <c r="R332" s="1">
        <v>25</v>
      </c>
      <c r="S332" s="1">
        <v>0</v>
      </c>
      <c r="T332" s="1">
        <v>0</v>
      </c>
      <c r="U332" s="1">
        <v>0</v>
      </c>
      <c r="V332" s="1" t="str">
        <f t="shared" si="47"/>
        <v>里程返程</v>
      </c>
      <c r="W332" s="1" t="s">
        <v>29</v>
      </c>
    </row>
    <row r="333" spans="1:23" x14ac:dyDescent="0.3">
      <c r="A333" s="1" t="str">
        <f t="shared" si="48"/>
        <v>59809</v>
      </c>
      <c r="B333" s="1" t="s">
        <v>42</v>
      </c>
      <c r="C333" s="1" t="s">
        <v>43</v>
      </c>
      <c r="D333" s="1" t="str">
        <f t="shared" si="46"/>
        <v>9801</v>
      </c>
      <c r="E333" s="1" t="s">
        <v>25</v>
      </c>
      <c r="F333" s="1" t="str">
        <f>"A411A6E3F0280400D200000100000000"</f>
        <v>A411A6E3F0280400D200000100000000</v>
      </c>
      <c r="G333" s="1" t="s">
        <v>58</v>
      </c>
      <c r="H333" s="1" t="str">
        <f t="shared" si="49"/>
        <v>20220906</v>
      </c>
      <c r="I333" s="1" t="str">
        <f>"070059"</f>
        <v>070059</v>
      </c>
      <c r="J333" s="1" t="s">
        <v>44</v>
      </c>
      <c r="K333" s="1" t="s">
        <v>45</v>
      </c>
      <c r="L333" s="1" t="str">
        <f t="shared" si="50"/>
        <v>20220906</v>
      </c>
      <c r="M333" s="1" t="str">
        <f>"072054"</f>
        <v>072054</v>
      </c>
      <c r="N333" s="1" t="s">
        <v>28</v>
      </c>
      <c r="O333" s="1" t="s">
        <v>28</v>
      </c>
      <c r="P333" s="1" t="s">
        <v>55</v>
      </c>
      <c r="Q333" s="1">
        <v>25</v>
      </c>
      <c r="R333" s="1">
        <v>25</v>
      </c>
      <c r="S333" s="1">
        <v>0</v>
      </c>
      <c r="T333" s="1">
        <v>0</v>
      </c>
      <c r="U333" s="1">
        <v>0</v>
      </c>
      <c r="V333" s="1" t="str">
        <f t="shared" si="47"/>
        <v>里程返程</v>
      </c>
      <c r="W333" s="1" t="s">
        <v>29</v>
      </c>
    </row>
    <row r="334" spans="1:23" x14ac:dyDescent="0.3">
      <c r="A334" s="1" t="str">
        <f t="shared" si="48"/>
        <v>59809</v>
      </c>
      <c r="B334" s="1" t="s">
        <v>42</v>
      </c>
      <c r="C334" s="1" t="s">
        <v>43</v>
      </c>
      <c r="D334" s="1" t="str">
        <f t="shared" si="46"/>
        <v>9801</v>
      </c>
      <c r="E334" s="1" t="s">
        <v>25</v>
      </c>
      <c r="F334" s="1" t="str">
        <f>"929BE602ED880400C834002000000015"</f>
        <v>929BE602ED880400C834002000000015</v>
      </c>
      <c r="G334" s="1" t="s">
        <v>74</v>
      </c>
      <c r="H334" s="1" t="str">
        <f t="shared" si="49"/>
        <v>20220906</v>
      </c>
      <c r="I334" s="1" t="str">
        <f>"071321"</f>
        <v>071321</v>
      </c>
      <c r="J334" s="1" t="s">
        <v>45</v>
      </c>
      <c r="K334" s="1" t="s">
        <v>45</v>
      </c>
      <c r="L334" s="1" t="str">
        <f t="shared" si="50"/>
        <v>20220906</v>
      </c>
      <c r="M334" s="1" t="str">
        <f>"072057"</f>
        <v>072057</v>
      </c>
      <c r="N334" s="1" t="s">
        <v>28</v>
      </c>
      <c r="O334" s="1" t="s">
        <v>28</v>
      </c>
      <c r="P334" s="1" t="s">
        <v>68</v>
      </c>
      <c r="Q334" s="1">
        <v>13</v>
      </c>
      <c r="R334" s="1">
        <v>0</v>
      </c>
      <c r="S334" s="1">
        <v>0</v>
      </c>
      <c r="T334" s="1">
        <v>13</v>
      </c>
      <c r="U334" s="1">
        <v>0</v>
      </c>
      <c r="V334" s="1" t="str">
        <f t="shared" si="47"/>
        <v>里程返程</v>
      </c>
      <c r="W334" s="1" t="s">
        <v>29</v>
      </c>
    </row>
    <row r="335" spans="1:23" x14ac:dyDescent="0.3">
      <c r="A335" s="1" t="str">
        <f t="shared" si="48"/>
        <v>59809</v>
      </c>
      <c r="B335" s="1" t="s">
        <v>42</v>
      </c>
      <c r="C335" s="1" t="s">
        <v>43</v>
      </c>
      <c r="D335" s="1" t="str">
        <f t="shared" si="46"/>
        <v>9801</v>
      </c>
      <c r="E335" s="1" t="s">
        <v>25</v>
      </c>
      <c r="F335" s="1" t="str">
        <f>"D257BD023A880400C834002000000015"</f>
        <v>D257BD023A880400C834002000000015</v>
      </c>
      <c r="G335" s="1" t="s">
        <v>74</v>
      </c>
      <c r="H335" s="1" t="str">
        <f t="shared" si="49"/>
        <v>20220906</v>
      </c>
      <c r="I335" s="1" t="str">
        <f>"072105"</f>
        <v>072105</v>
      </c>
      <c r="J335" s="1" t="s">
        <v>28</v>
      </c>
      <c r="K335" s="1" t="s">
        <v>28</v>
      </c>
      <c r="L335" s="1" t="str">
        <f t="shared" si="50"/>
        <v>20220906</v>
      </c>
      <c r="M335" s="1" t="str">
        <f>"073515"</f>
        <v>073515</v>
      </c>
      <c r="N335" s="1" t="s">
        <v>67</v>
      </c>
      <c r="O335" s="1" t="s">
        <v>52</v>
      </c>
      <c r="P335" s="1" t="s">
        <v>68</v>
      </c>
      <c r="Q335" s="1">
        <v>13</v>
      </c>
      <c r="R335" s="1">
        <v>0</v>
      </c>
      <c r="S335" s="1">
        <v>0</v>
      </c>
      <c r="T335" s="1">
        <v>13</v>
      </c>
      <c r="U335" s="1">
        <v>0</v>
      </c>
      <c r="V335" s="1" t="str">
        <f t="shared" si="47"/>
        <v>里程返程</v>
      </c>
      <c r="W335" s="1" t="s">
        <v>29</v>
      </c>
    </row>
    <row r="336" spans="1:23" x14ac:dyDescent="0.3">
      <c r="A336" s="1" t="str">
        <f t="shared" si="48"/>
        <v>59809</v>
      </c>
      <c r="B336" s="1" t="s">
        <v>42</v>
      </c>
      <c r="C336" s="1" t="s">
        <v>43</v>
      </c>
      <c r="D336" s="1" t="str">
        <f t="shared" si="46"/>
        <v>9801</v>
      </c>
      <c r="E336" s="1" t="s">
        <v>25</v>
      </c>
      <c r="F336" s="1" t="str">
        <f>"F282E40195880400C821002000000015"</f>
        <v>F282E40195880400C821002000000015</v>
      </c>
      <c r="G336" s="1" t="s">
        <v>58</v>
      </c>
      <c r="H336" s="1" t="str">
        <f t="shared" si="49"/>
        <v>20220906</v>
      </c>
      <c r="I336" s="1" t="str">
        <f>"072108"</f>
        <v>072108</v>
      </c>
      <c r="J336" s="1" t="s">
        <v>28</v>
      </c>
      <c r="K336" s="1" t="s">
        <v>28</v>
      </c>
      <c r="L336" s="1" t="str">
        <f t="shared" si="50"/>
        <v>20220906</v>
      </c>
      <c r="M336" s="1" t="str">
        <f>"074910"</f>
        <v>074910</v>
      </c>
      <c r="N336" s="1" t="s">
        <v>65</v>
      </c>
      <c r="O336" s="1" t="s">
        <v>52</v>
      </c>
      <c r="P336" s="1" t="s">
        <v>55</v>
      </c>
      <c r="Q336" s="1">
        <v>25</v>
      </c>
      <c r="R336" s="1">
        <v>0</v>
      </c>
      <c r="S336" s="1">
        <v>25</v>
      </c>
      <c r="T336" s="1">
        <v>0</v>
      </c>
      <c r="U336" s="1">
        <v>0</v>
      </c>
      <c r="V336" s="1" t="str">
        <f t="shared" si="47"/>
        <v>里程返程</v>
      </c>
      <c r="W336" s="1" t="s">
        <v>29</v>
      </c>
    </row>
    <row r="337" spans="1:23" x14ac:dyDescent="0.3">
      <c r="A337" s="1" t="str">
        <f t="shared" si="48"/>
        <v>59809</v>
      </c>
      <c r="B337" s="1" t="s">
        <v>42</v>
      </c>
      <c r="C337" s="1" t="s">
        <v>43</v>
      </c>
      <c r="D337" s="1" t="str">
        <f t="shared" si="46"/>
        <v>9801</v>
      </c>
      <c r="E337" s="1" t="s">
        <v>25</v>
      </c>
      <c r="F337" s="1" t="str">
        <f>"82730F18E6880400C814002000000019"</f>
        <v>82730F18E6880400C814002000000019</v>
      </c>
      <c r="G337" s="1" t="s">
        <v>59</v>
      </c>
      <c r="H337" s="1" t="str">
        <f t="shared" si="49"/>
        <v>20220906</v>
      </c>
      <c r="I337" s="1" t="str">
        <f>"072116"</f>
        <v>072116</v>
      </c>
      <c r="J337" s="1" t="s">
        <v>28</v>
      </c>
      <c r="K337" s="1" t="s">
        <v>28</v>
      </c>
      <c r="L337" s="1" t="str">
        <f t="shared" si="50"/>
        <v>20220906</v>
      </c>
      <c r="M337" s="1" t="str">
        <f>"075021"</f>
        <v>075021</v>
      </c>
      <c r="N337" s="1" t="s">
        <v>72</v>
      </c>
      <c r="O337" s="1" t="s">
        <v>52</v>
      </c>
      <c r="P337" s="1" t="s">
        <v>55</v>
      </c>
      <c r="Q337" s="1">
        <v>25</v>
      </c>
      <c r="R337" s="1">
        <v>0</v>
      </c>
      <c r="S337" s="1">
        <v>25</v>
      </c>
      <c r="T337" s="1">
        <v>0</v>
      </c>
      <c r="U337" s="1">
        <v>0</v>
      </c>
      <c r="V337" s="1" t="str">
        <f t="shared" si="47"/>
        <v>里程返程</v>
      </c>
      <c r="W337" s="1" t="s">
        <v>29</v>
      </c>
    </row>
    <row r="338" spans="1:23" x14ac:dyDescent="0.3">
      <c r="A338" s="1" t="str">
        <f t="shared" si="48"/>
        <v>59809</v>
      </c>
      <c r="B338" s="1" t="s">
        <v>42</v>
      </c>
      <c r="C338" s="1" t="s">
        <v>43</v>
      </c>
      <c r="D338" s="1" t="str">
        <f t="shared" si="46"/>
        <v>9801</v>
      </c>
      <c r="E338" s="1" t="s">
        <v>25</v>
      </c>
      <c r="F338" s="1" t="str">
        <f>"62F00B1881880400C814002000000019"</f>
        <v>62F00B1881880400C814002000000019</v>
      </c>
      <c r="G338" s="1" t="s">
        <v>59</v>
      </c>
      <c r="H338" s="1" t="str">
        <f t="shared" si="49"/>
        <v>20220906</v>
      </c>
      <c r="I338" s="1" t="str">
        <f>"072120"</f>
        <v>072120</v>
      </c>
      <c r="J338" s="1" t="s">
        <v>28</v>
      </c>
      <c r="K338" s="1" t="s">
        <v>28</v>
      </c>
      <c r="L338" s="1" t="str">
        <f t="shared" si="50"/>
        <v>20220906</v>
      </c>
      <c r="M338" s="1" t="str">
        <f>"075023"</f>
        <v>075023</v>
      </c>
      <c r="N338" s="1" t="s">
        <v>72</v>
      </c>
      <c r="O338" s="1" t="s">
        <v>52</v>
      </c>
      <c r="P338" s="1" t="s">
        <v>55</v>
      </c>
      <c r="Q338" s="1">
        <v>25</v>
      </c>
      <c r="R338" s="1">
        <v>0</v>
      </c>
      <c r="S338" s="1">
        <v>25</v>
      </c>
      <c r="T338" s="1">
        <v>0</v>
      </c>
      <c r="U338" s="1">
        <v>0</v>
      </c>
      <c r="V338" s="1" t="str">
        <f t="shared" si="47"/>
        <v>里程返程</v>
      </c>
      <c r="W338" s="1" t="s">
        <v>29</v>
      </c>
    </row>
    <row r="339" spans="1:23" x14ac:dyDescent="0.3">
      <c r="A339" s="1" t="str">
        <f t="shared" si="48"/>
        <v>59809</v>
      </c>
      <c r="B339" s="1" t="s">
        <v>42</v>
      </c>
      <c r="C339" s="1" t="s">
        <v>43</v>
      </c>
      <c r="D339" s="1" t="str">
        <f t="shared" si="46"/>
        <v>9801</v>
      </c>
      <c r="E339" s="1" t="s">
        <v>25</v>
      </c>
      <c r="F339" s="1" t="str">
        <f>"62F8360AA6880400C810002000000016"</f>
        <v>62F8360AA6880400C810002000000016</v>
      </c>
      <c r="G339" s="1" t="s">
        <v>59</v>
      </c>
      <c r="H339" s="1" t="str">
        <f t="shared" si="49"/>
        <v>20220906</v>
      </c>
      <c r="I339" s="1" t="str">
        <f>"072123"</f>
        <v>072123</v>
      </c>
      <c r="J339" s="1" t="s">
        <v>28</v>
      </c>
      <c r="K339" s="1" t="s">
        <v>28</v>
      </c>
      <c r="L339" s="1" t="str">
        <f t="shared" si="50"/>
        <v>20220906</v>
      </c>
      <c r="M339" s="1" t="str">
        <f>"075018"</f>
        <v>075018</v>
      </c>
      <c r="N339" s="1" t="s">
        <v>72</v>
      </c>
      <c r="O339" s="1" t="s">
        <v>52</v>
      </c>
      <c r="P339" s="1" t="s">
        <v>55</v>
      </c>
      <c r="Q339" s="1">
        <v>25</v>
      </c>
      <c r="R339" s="1">
        <v>0</v>
      </c>
      <c r="S339" s="1">
        <v>25</v>
      </c>
      <c r="T339" s="1">
        <v>0</v>
      </c>
      <c r="U339" s="1">
        <v>0</v>
      </c>
      <c r="V339" s="1" t="str">
        <f t="shared" si="47"/>
        <v>里程返程</v>
      </c>
      <c r="W339" s="1" t="s">
        <v>29</v>
      </c>
    </row>
    <row r="340" spans="1:23" x14ac:dyDescent="0.3">
      <c r="A340" s="1" t="str">
        <f t="shared" si="48"/>
        <v>59809</v>
      </c>
      <c r="B340" s="1" t="s">
        <v>42</v>
      </c>
      <c r="C340" s="1" t="s">
        <v>43</v>
      </c>
      <c r="D340" s="1" t="str">
        <f t="shared" si="46"/>
        <v>9801</v>
      </c>
      <c r="E340" s="1" t="s">
        <v>25</v>
      </c>
      <c r="F340" s="1" t="str">
        <f>"1654839936"</f>
        <v>1654839936</v>
      </c>
      <c r="G340" s="1" t="s">
        <v>33</v>
      </c>
      <c r="H340" s="1" t="str">
        <f t="shared" si="49"/>
        <v>20220906</v>
      </c>
      <c r="I340" s="1" t="str">
        <f>"072126"</f>
        <v>072126</v>
      </c>
      <c r="J340" s="1" t="s">
        <v>28</v>
      </c>
      <c r="K340" s="1" t="s">
        <v>28</v>
      </c>
      <c r="L340" s="1" t="str">
        <f t="shared" si="50"/>
        <v>20220906</v>
      </c>
      <c r="M340" s="1" t="str">
        <f>"074232"</f>
        <v>074232</v>
      </c>
      <c r="N340" s="1" t="s">
        <v>77</v>
      </c>
      <c r="O340" s="1" t="s">
        <v>52</v>
      </c>
      <c r="P340" s="1" t="s">
        <v>55</v>
      </c>
      <c r="Q340" s="1">
        <v>25</v>
      </c>
      <c r="R340" s="1">
        <v>0</v>
      </c>
      <c r="S340" s="1">
        <v>25</v>
      </c>
      <c r="T340" s="1">
        <v>0</v>
      </c>
      <c r="U340" s="1">
        <v>0</v>
      </c>
      <c r="V340" s="1" t="str">
        <f t="shared" si="47"/>
        <v>里程返程</v>
      </c>
      <c r="W340" s="1" t="s">
        <v>35</v>
      </c>
    </row>
    <row r="341" spans="1:23" x14ac:dyDescent="0.3">
      <c r="A341" s="1" t="str">
        <f t="shared" si="48"/>
        <v>59809</v>
      </c>
      <c r="B341" s="1" t="s">
        <v>42</v>
      </c>
      <c r="C341" s="1" t="s">
        <v>43</v>
      </c>
      <c r="D341" s="1" t="str">
        <f t="shared" si="46"/>
        <v>9801</v>
      </c>
      <c r="E341" s="1" t="s">
        <v>25</v>
      </c>
      <c r="F341" s="1" t="str">
        <f>"E2FD4F134328040080CED99861013018"</f>
        <v>E2FD4F134328040080CED99861013018</v>
      </c>
      <c r="G341" s="1" t="s">
        <v>58</v>
      </c>
      <c r="H341" s="1" t="str">
        <f t="shared" si="49"/>
        <v>20220906</v>
      </c>
      <c r="I341" s="1" t="str">
        <f>"072247"</f>
        <v>072247</v>
      </c>
      <c r="J341" s="1" t="s">
        <v>28</v>
      </c>
      <c r="K341" s="1" t="s">
        <v>28</v>
      </c>
      <c r="L341" s="1" t="str">
        <f t="shared" si="50"/>
        <v>20220906</v>
      </c>
      <c r="M341" s="1" t="str">
        <f>"074906"</f>
        <v>074906</v>
      </c>
      <c r="N341" s="1" t="s">
        <v>65</v>
      </c>
      <c r="O341" s="1" t="s">
        <v>52</v>
      </c>
      <c r="P341" s="1" t="s">
        <v>55</v>
      </c>
      <c r="Q341" s="1">
        <v>25</v>
      </c>
      <c r="R341" s="1">
        <v>25</v>
      </c>
      <c r="S341" s="1">
        <v>0</v>
      </c>
      <c r="T341" s="1">
        <v>0</v>
      </c>
      <c r="U341" s="1">
        <v>0</v>
      </c>
      <c r="V341" s="1" t="str">
        <f t="shared" si="47"/>
        <v>里程返程</v>
      </c>
      <c r="W341" s="1" t="s">
        <v>29</v>
      </c>
    </row>
    <row r="342" spans="1:23" x14ac:dyDescent="0.3">
      <c r="A342" s="1" t="str">
        <f t="shared" si="48"/>
        <v>59809</v>
      </c>
      <c r="B342" s="1" t="s">
        <v>42</v>
      </c>
      <c r="C342" s="1" t="s">
        <v>43</v>
      </c>
      <c r="D342" s="1" t="str">
        <f t="shared" si="46"/>
        <v>9801</v>
      </c>
      <c r="E342" s="1" t="s">
        <v>25</v>
      </c>
      <c r="F342" s="1" t="str">
        <f>"1759959808"</f>
        <v>1759959808</v>
      </c>
      <c r="G342" s="1" t="s">
        <v>33</v>
      </c>
      <c r="H342" s="1" t="str">
        <f t="shared" si="49"/>
        <v>20220906</v>
      </c>
      <c r="I342" s="1" t="str">
        <f>"074517"</f>
        <v>074517</v>
      </c>
      <c r="J342" s="1" t="s">
        <v>80</v>
      </c>
      <c r="K342" s="1" t="s">
        <v>52</v>
      </c>
      <c r="L342" s="1" t="str">
        <f t="shared" si="50"/>
        <v>20220906</v>
      </c>
      <c r="M342" s="1" t="str">
        <f>"075454"</f>
        <v>075454</v>
      </c>
      <c r="N342" s="1" t="s">
        <v>60</v>
      </c>
      <c r="O342" s="1" t="s">
        <v>52</v>
      </c>
      <c r="P342" s="1" t="s">
        <v>55</v>
      </c>
      <c r="Q342" s="1">
        <v>25</v>
      </c>
      <c r="R342" s="1">
        <v>25</v>
      </c>
      <c r="S342" s="1">
        <v>0</v>
      </c>
      <c r="T342" s="1">
        <v>0</v>
      </c>
      <c r="U342" s="1">
        <v>0</v>
      </c>
      <c r="V342" s="1" t="str">
        <f t="shared" si="47"/>
        <v>里程返程</v>
      </c>
      <c r="W342" s="1" t="s">
        <v>35</v>
      </c>
    </row>
    <row r="343" spans="1:23" x14ac:dyDescent="0.3">
      <c r="A343" s="1" t="str">
        <f t="shared" si="48"/>
        <v>59809</v>
      </c>
      <c r="B343" s="1" t="s">
        <v>42</v>
      </c>
      <c r="C343" s="1" t="s">
        <v>43</v>
      </c>
      <c r="D343" s="1" t="str">
        <f t="shared" si="46"/>
        <v>9801</v>
      </c>
      <c r="E343" s="1" t="s">
        <v>25</v>
      </c>
      <c r="F343" s="1" t="str">
        <f>"2241D102B0880400C834002000000015"</f>
        <v>2241D102B0880400C834002000000015</v>
      </c>
      <c r="G343" s="1" t="s">
        <v>26</v>
      </c>
      <c r="H343" s="1" t="str">
        <f t="shared" si="49"/>
        <v>20220906</v>
      </c>
      <c r="I343" s="1" t="str">
        <f>"125048"</f>
        <v>125048</v>
      </c>
      <c r="J343" s="1" t="s">
        <v>28</v>
      </c>
      <c r="K343" s="1" t="s">
        <v>28</v>
      </c>
      <c r="L343" s="1" t="str">
        <f t="shared" si="50"/>
        <v>20220906</v>
      </c>
      <c r="M343" s="1" t="str">
        <f>"131816"</f>
        <v>131816</v>
      </c>
      <c r="N343" s="1" t="s">
        <v>60</v>
      </c>
      <c r="O343" s="1" t="s">
        <v>52</v>
      </c>
      <c r="P343" s="1" t="s">
        <v>68</v>
      </c>
      <c r="Q343" s="1">
        <v>13</v>
      </c>
      <c r="R343" s="1">
        <v>0</v>
      </c>
      <c r="S343" s="1">
        <v>0</v>
      </c>
      <c r="T343" s="1">
        <v>13</v>
      </c>
      <c r="U343" s="1">
        <v>0</v>
      </c>
      <c r="V343" s="1" t="str">
        <f t="shared" si="47"/>
        <v>里程返程</v>
      </c>
      <c r="W343" s="1" t="s">
        <v>29</v>
      </c>
    </row>
    <row r="344" spans="1:23" x14ac:dyDescent="0.3">
      <c r="A344" s="1" t="str">
        <f t="shared" si="48"/>
        <v>59809</v>
      </c>
      <c r="B344" s="1" t="s">
        <v>42</v>
      </c>
      <c r="C344" s="1" t="s">
        <v>43</v>
      </c>
      <c r="D344" s="1" t="str">
        <f t="shared" si="46"/>
        <v>9801</v>
      </c>
      <c r="E344" s="1" t="s">
        <v>25</v>
      </c>
      <c r="F344" s="1" t="str">
        <f>"C283FE02BD880400C834002000000015"</f>
        <v>C283FE02BD880400C834002000000015</v>
      </c>
      <c r="G344" s="1" t="s">
        <v>26</v>
      </c>
      <c r="H344" s="1" t="str">
        <f t="shared" si="49"/>
        <v>20220906</v>
      </c>
      <c r="I344" s="1" t="str">
        <f>"125056"</f>
        <v>125056</v>
      </c>
      <c r="J344" s="1" t="s">
        <v>28</v>
      </c>
      <c r="K344" s="1" t="s">
        <v>28</v>
      </c>
      <c r="L344" s="1" t="str">
        <f t="shared" si="50"/>
        <v>20220906</v>
      </c>
      <c r="M344" s="1" t="str">
        <f>"131820"</f>
        <v>131820</v>
      </c>
      <c r="N344" s="1" t="s">
        <v>60</v>
      </c>
      <c r="O344" s="1" t="s">
        <v>52</v>
      </c>
      <c r="P344" s="1" t="s">
        <v>68</v>
      </c>
      <c r="Q344" s="1">
        <v>13</v>
      </c>
      <c r="R344" s="1">
        <v>0</v>
      </c>
      <c r="S344" s="1">
        <v>0</v>
      </c>
      <c r="T344" s="1">
        <v>13</v>
      </c>
      <c r="U344" s="1">
        <v>0</v>
      </c>
      <c r="V344" s="1" t="str">
        <f t="shared" si="47"/>
        <v>里程返程</v>
      </c>
      <c r="W344" s="1" t="s">
        <v>29</v>
      </c>
    </row>
    <row r="345" spans="1:23" x14ac:dyDescent="0.3">
      <c r="A345" s="1" t="str">
        <f t="shared" si="48"/>
        <v>59809</v>
      </c>
      <c r="B345" s="1" t="s">
        <v>42</v>
      </c>
      <c r="C345" s="1" t="s">
        <v>43</v>
      </c>
      <c r="D345" s="1" t="str">
        <f t="shared" si="46"/>
        <v>9801</v>
      </c>
      <c r="E345" s="1" t="s">
        <v>25</v>
      </c>
      <c r="F345" s="1" t="str">
        <f>"766705333"</f>
        <v>766705333</v>
      </c>
      <c r="G345" s="1" t="s">
        <v>33</v>
      </c>
      <c r="H345" s="1" t="str">
        <f t="shared" si="49"/>
        <v>20220906</v>
      </c>
      <c r="I345" s="1" t="str">
        <f>"125352"</f>
        <v>125352</v>
      </c>
      <c r="J345" s="1" t="s">
        <v>28</v>
      </c>
      <c r="K345" s="1" t="s">
        <v>28</v>
      </c>
      <c r="L345" s="1" t="str">
        <f t="shared" si="50"/>
        <v>20220906</v>
      </c>
      <c r="M345" s="1" t="str">
        <f>"132027"</f>
        <v>132027</v>
      </c>
      <c r="N345" s="1" t="s">
        <v>86</v>
      </c>
      <c r="O345" s="1" t="s">
        <v>52</v>
      </c>
      <c r="P345" s="1" t="s">
        <v>55</v>
      </c>
      <c r="Q345" s="1">
        <v>25</v>
      </c>
      <c r="R345" s="1">
        <v>0</v>
      </c>
      <c r="S345" s="1">
        <v>25</v>
      </c>
      <c r="T345" s="1">
        <v>0</v>
      </c>
      <c r="U345" s="1">
        <v>0</v>
      </c>
      <c r="V345" s="1" t="str">
        <f t="shared" si="47"/>
        <v>里程返程</v>
      </c>
      <c r="W345" s="1" t="s">
        <v>35</v>
      </c>
    </row>
    <row r="346" spans="1:23" x14ac:dyDescent="0.3">
      <c r="A346" s="1" t="str">
        <f t="shared" si="48"/>
        <v>59809</v>
      </c>
      <c r="B346" s="1" t="s">
        <v>42</v>
      </c>
      <c r="C346" s="1" t="s">
        <v>43</v>
      </c>
      <c r="D346" s="1" t="str">
        <f t="shared" si="46"/>
        <v>9801</v>
      </c>
      <c r="E346" s="1" t="s">
        <v>25</v>
      </c>
      <c r="F346" s="1" t="str">
        <f>"55D2A79CBC88040043265ABE00170710"</f>
        <v>55D2A79CBC88040043265ABE00170710</v>
      </c>
      <c r="G346" s="1" t="s">
        <v>64</v>
      </c>
      <c r="H346" s="1" t="str">
        <f t="shared" si="49"/>
        <v>20220906</v>
      </c>
      <c r="I346" s="1" t="str">
        <f>"130456"</f>
        <v>130456</v>
      </c>
      <c r="J346" s="1" t="s">
        <v>67</v>
      </c>
      <c r="K346" s="1" t="s">
        <v>52</v>
      </c>
      <c r="L346" s="1" t="str">
        <f t="shared" si="50"/>
        <v>20220906</v>
      </c>
      <c r="M346" s="1" t="str">
        <f>"132031"</f>
        <v>132031</v>
      </c>
      <c r="N346" s="1" t="s">
        <v>86</v>
      </c>
      <c r="O346" s="1" t="s">
        <v>52</v>
      </c>
      <c r="P346" s="1" t="s">
        <v>55</v>
      </c>
      <c r="Q346" s="1">
        <v>13</v>
      </c>
      <c r="R346" s="1">
        <v>13</v>
      </c>
      <c r="S346" s="1">
        <v>0</v>
      </c>
      <c r="T346" s="1">
        <v>0</v>
      </c>
      <c r="U346" s="1">
        <v>0</v>
      </c>
      <c r="V346" s="1" t="str">
        <f t="shared" si="47"/>
        <v>里程返程</v>
      </c>
      <c r="W346" s="1" t="s">
        <v>29</v>
      </c>
    </row>
    <row r="347" spans="1:23" x14ac:dyDescent="0.3">
      <c r="A347" s="1" t="str">
        <f t="shared" si="48"/>
        <v>59809</v>
      </c>
      <c r="B347" s="1" t="s">
        <v>42</v>
      </c>
      <c r="C347" s="1" t="s">
        <v>43</v>
      </c>
      <c r="D347" s="1" t="str">
        <f t="shared" si="46"/>
        <v>9801</v>
      </c>
      <c r="E347" s="1" t="s">
        <v>25</v>
      </c>
      <c r="F347" s="1" t="str">
        <f>"82D5FB02AE880400C834002000000015"</f>
        <v>82D5FB02AE880400C834002000000015</v>
      </c>
      <c r="G347" s="1" t="s">
        <v>26</v>
      </c>
      <c r="H347" s="1" t="str">
        <f t="shared" si="49"/>
        <v>20220906</v>
      </c>
      <c r="I347" s="1" t="str">
        <f>"151412"</f>
        <v>151412</v>
      </c>
      <c r="J347" s="1" t="s">
        <v>72</v>
      </c>
      <c r="K347" s="1" t="s">
        <v>52</v>
      </c>
      <c r="L347" s="1" t="str">
        <f t="shared" si="50"/>
        <v>20220906</v>
      </c>
      <c r="M347" s="1" t="str">
        <f>"151716"</f>
        <v>151716</v>
      </c>
      <c r="N347" s="1" t="s">
        <v>51</v>
      </c>
      <c r="O347" s="1" t="s">
        <v>52</v>
      </c>
      <c r="P347" s="1" t="s">
        <v>68</v>
      </c>
      <c r="Q347" s="1">
        <v>13</v>
      </c>
      <c r="R347" s="1">
        <v>0</v>
      </c>
      <c r="S347" s="1">
        <v>0</v>
      </c>
      <c r="T347" s="1">
        <v>13</v>
      </c>
      <c r="U347" s="1">
        <v>0</v>
      </c>
      <c r="V347" s="1" t="str">
        <f t="shared" si="47"/>
        <v>里程返程</v>
      </c>
      <c r="W347" s="1" t="s">
        <v>29</v>
      </c>
    </row>
    <row r="348" spans="1:23" x14ac:dyDescent="0.3">
      <c r="A348" s="1" t="str">
        <f t="shared" si="48"/>
        <v>59809</v>
      </c>
      <c r="B348" s="1" t="s">
        <v>42</v>
      </c>
      <c r="C348" s="1" t="s">
        <v>43</v>
      </c>
      <c r="D348" s="1" t="str">
        <f t="shared" si="46"/>
        <v>9801</v>
      </c>
      <c r="E348" s="1" t="s">
        <v>25</v>
      </c>
      <c r="F348" s="1" t="str">
        <f>"A2CB9916E6880400C814002000000019"</f>
        <v>A2CB9916E6880400C814002000000019</v>
      </c>
      <c r="G348" s="1" t="s">
        <v>59</v>
      </c>
      <c r="H348" s="1" t="str">
        <f t="shared" si="49"/>
        <v>20220906</v>
      </c>
      <c r="I348" s="1" t="str">
        <f>"154323"</f>
        <v>154323</v>
      </c>
      <c r="J348" s="1" t="s">
        <v>45</v>
      </c>
      <c r="K348" s="1" t="s">
        <v>45</v>
      </c>
      <c r="L348" s="1" t="str">
        <f t="shared" si="50"/>
        <v>20220906</v>
      </c>
      <c r="M348" s="1" t="str">
        <f>"154943"</f>
        <v>154943</v>
      </c>
      <c r="N348" s="1" t="s">
        <v>28</v>
      </c>
      <c r="O348" s="1" t="s">
        <v>28</v>
      </c>
      <c r="P348" s="1" t="s">
        <v>55</v>
      </c>
      <c r="Q348" s="1">
        <v>25</v>
      </c>
      <c r="R348" s="1">
        <v>25</v>
      </c>
      <c r="S348" s="1">
        <v>0</v>
      </c>
      <c r="T348" s="1">
        <v>0</v>
      </c>
      <c r="U348" s="1">
        <v>0</v>
      </c>
      <c r="V348" s="1" t="str">
        <f t="shared" si="47"/>
        <v>里程返程</v>
      </c>
      <c r="W348" s="1" t="s">
        <v>29</v>
      </c>
    </row>
    <row r="349" spans="1:23" x14ac:dyDescent="0.3">
      <c r="A349" s="1" t="str">
        <f t="shared" si="48"/>
        <v>59809</v>
      </c>
      <c r="B349" s="1" t="s">
        <v>42</v>
      </c>
      <c r="C349" s="1" t="s">
        <v>43</v>
      </c>
      <c r="D349" s="1" t="str">
        <f t="shared" si="46"/>
        <v>9801</v>
      </c>
      <c r="E349" s="1" t="s">
        <v>25</v>
      </c>
      <c r="F349" s="1" t="str">
        <f>"3A6D12BDF8880400475564D949702207"</f>
        <v>3A6D12BDF8880400475564D949702207</v>
      </c>
      <c r="G349" s="1" t="s">
        <v>58</v>
      </c>
      <c r="H349" s="1" t="str">
        <f t="shared" si="49"/>
        <v>20220906</v>
      </c>
      <c r="I349" s="1" t="str">
        <f>"155002"</f>
        <v>155002</v>
      </c>
      <c r="J349" s="1" t="s">
        <v>28</v>
      </c>
      <c r="K349" s="1" t="s">
        <v>28</v>
      </c>
      <c r="L349" s="1" t="str">
        <f t="shared" si="50"/>
        <v>20220906</v>
      </c>
      <c r="M349" s="1" t="str">
        <f>"160907"</f>
        <v>160907</v>
      </c>
      <c r="N349" s="1" t="s">
        <v>77</v>
      </c>
      <c r="O349" s="1" t="s">
        <v>52</v>
      </c>
      <c r="P349" s="1" t="s">
        <v>55</v>
      </c>
      <c r="Q349" s="1">
        <v>25</v>
      </c>
      <c r="R349" s="1">
        <v>25</v>
      </c>
      <c r="S349" s="1">
        <v>0</v>
      </c>
      <c r="T349" s="1">
        <v>0</v>
      </c>
      <c r="U349" s="1">
        <v>0</v>
      </c>
      <c r="V349" s="1" t="str">
        <f t="shared" si="47"/>
        <v>里程返程</v>
      </c>
      <c r="W349" s="1" t="s">
        <v>29</v>
      </c>
    </row>
    <row r="350" spans="1:23" x14ac:dyDescent="0.3">
      <c r="A350" s="1" t="str">
        <f t="shared" si="48"/>
        <v>59809</v>
      </c>
      <c r="B350" s="1" t="s">
        <v>42</v>
      </c>
      <c r="C350" s="1" t="s">
        <v>43</v>
      </c>
      <c r="D350" s="1" t="str">
        <f t="shared" si="46"/>
        <v>9801</v>
      </c>
      <c r="E350" s="1" t="s">
        <v>25</v>
      </c>
      <c r="F350" s="1" t="str">
        <f>"806757153"</f>
        <v>806757153</v>
      </c>
      <c r="G350" s="1" t="s">
        <v>74</v>
      </c>
      <c r="H350" s="1" t="str">
        <f t="shared" si="49"/>
        <v>20220906</v>
      </c>
      <c r="I350" s="1" t="str">
        <f>"155513"</f>
        <v>155513</v>
      </c>
      <c r="J350" s="1" t="s">
        <v>28</v>
      </c>
      <c r="K350" s="1" t="s">
        <v>28</v>
      </c>
      <c r="L350" s="1" t="str">
        <f t="shared" si="50"/>
        <v>20220906</v>
      </c>
      <c r="M350" s="1" t="str">
        <f>"163514"</f>
        <v>163514</v>
      </c>
      <c r="N350" s="1" t="s">
        <v>52</v>
      </c>
      <c r="O350" s="1" t="s">
        <v>52</v>
      </c>
      <c r="P350" s="1" t="s">
        <v>55</v>
      </c>
      <c r="Q350" s="1">
        <v>13</v>
      </c>
      <c r="R350" s="1">
        <v>0</v>
      </c>
      <c r="S350" s="1">
        <v>13</v>
      </c>
      <c r="T350" s="1">
        <v>0</v>
      </c>
      <c r="U350" s="1">
        <v>0</v>
      </c>
      <c r="V350" s="1" t="str">
        <f t="shared" si="47"/>
        <v>里程返程</v>
      </c>
      <c r="W350" s="1" t="s">
        <v>35</v>
      </c>
    </row>
    <row r="351" spans="1:23" x14ac:dyDescent="0.3">
      <c r="A351" s="1" t="str">
        <f t="shared" si="48"/>
        <v>59809</v>
      </c>
      <c r="B351" s="1" t="s">
        <v>42</v>
      </c>
      <c r="C351" s="1" t="s">
        <v>43</v>
      </c>
      <c r="D351" s="1" t="str">
        <f t="shared" si="46"/>
        <v>9801</v>
      </c>
      <c r="E351" s="1" t="s">
        <v>25</v>
      </c>
      <c r="F351" s="1" t="str">
        <f>"806588721"</f>
        <v>806588721</v>
      </c>
      <c r="G351" s="1" t="s">
        <v>102</v>
      </c>
      <c r="H351" s="1" t="str">
        <f t="shared" si="49"/>
        <v>20220906</v>
      </c>
      <c r="I351" s="1" t="str">
        <f>"155515"</f>
        <v>155515</v>
      </c>
      <c r="J351" s="1" t="s">
        <v>28</v>
      </c>
      <c r="K351" s="1" t="s">
        <v>28</v>
      </c>
      <c r="L351" s="1" t="str">
        <f t="shared" si="50"/>
        <v>20220906</v>
      </c>
      <c r="M351" s="1" t="str">
        <f>"163515"</f>
        <v>163515</v>
      </c>
      <c r="N351" s="1" t="s">
        <v>52</v>
      </c>
      <c r="O351" s="1" t="s">
        <v>52</v>
      </c>
      <c r="P351" s="1" t="s">
        <v>55</v>
      </c>
      <c r="Q351" s="1">
        <v>13</v>
      </c>
      <c r="R351" s="1">
        <v>0</v>
      </c>
      <c r="S351" s="1">
        <v>13</v>
      </c>
      <c r="T351" s="1">
        <v>0</v>
      </c>
      <c r="U351" s="1">
        <v>0</v>
      </c>
      <c r="V351" s="1" t="str">
        <f t="shared" si="47"/>
        <v>里程返程</v>
      </c>
      <c r="W351" s="1" t="s">
        <v>35</v>
      </c>
    </row>
    <row r="352" spans="1:23" x14ac:dyDescent="0.3">
      <c r="A352" s="1" t="str">
        <f t="shared" si="48"/>
        <v>59809</v>
      </c>
      <c r="B352" s="1" t="s">
        <v>42</v>
      </c>
      <c r="C352" s="1" t="s">
        <v>43</v>
      </c>
      <c r="D352" s="1" t="str">
        <f t="shared" si="46"/>
        <v>9801</v>
      </c>
      <c r="E352" s="1" t="s">
        <v>25</v>
      </c>
      <c r="F352" s="1" t="str">
        <f>"7227E702B0880400C834002000000015"</f>
        <v>7227E702B0880400C834002000000015</v>
      </c>
      <c r="G352" s="1" t="s">
        <v>74</v>
      </c>
      <c r="H352" s="1" t="str">
        <f t="shared" si="49"/>
        <v>20220906</v>
      </c>
      <c r="I352" s="1" t="str">
        <f>"161336"</f>
        <v>161336</v>
      </c>
      <c r="J352" s="1" t="s">
        <v>80</v>
      </c>
      <c r="K352" s="1" t="s">
        <v>52</v>
      </c>
      <c r="L352" s="1" t="str">
        <f t="shared" si="50"/>
        <v>20220906</v>
      </c>
      <c r="M352" s="1" t="str">
        <f>"163000"</f>
        <v>163000</v>
      </c>
      <c r="N352" s="1" t="s">
        <v>60</v>
      </c>
      <c r="O352" s="1" t="s">
        <v>52</v>
      </c>
      <c r="P352" s="1" t="s">
        <v>68</v>
      </c>
      <c r="Q352" s="1">
        <v>13</v>
      </c>
      <c r="R352" s="1">
        <v>0</v>
      </c>
      <c r="S352" s="1">
        <v>0</v>
      </c>
      <c r="T352" s="1">
        <v>13</v>
      </c>
      <c r="U352" s="1">
        <v>0</v>
      </c>
      <c r="V352" s="1" t="str">
        <f t="shared" si="47"/>
        <v>里程返程</v>
      </c>
      <c r="W352" s="1" t="s">
        <v>29</v>
      </c>
    </row>
    <row r="353" spans="1:23" x14ac:dyDescent="0.3">
      <c r="A353" s="1" t="str">
        <f t="shared" si="48"/>
        <v>59809</v>
      </c>
      <c r="B353" s="1" t="s">
        <v>42</v>
      </c>
      <c r="C353" s="1" t="s">
        <v>43</v>
      </c>
      <c r="D353" s="1" t="str">
        <f t="shared" si="46"/>
        <v>9801</v>
      </c>
      <c r="E353" s="1" t="s">
        <v>25</v>
      </c>
      <c r="F353" s="1" t="str">
        <f>"917581349"</f>
        <v>917581349</v>
      </c>
      <c r="G353" s="1" t="s">
        <v>38</v>
      </c>
      <c r="H353" s="1" t="str">
        <f t="shared" si="49"/>
        <v>20220906</v>
      </c>
      <c r="I353" s="1" t="str">
        <f>"164004"</f>
        <v>164004</v>
      </c>
      <c r="J353" s="1" t="s">
        <v>100</v>
      </c>
      <c r="K353" s="1" t="s">
        <v>45</v>
      </c>
      <c r="L353" s="1" t="str">
        <f t="shared" si="50"/>
        <v>20220906</v>
      </c>
      <c r="M353" s="1" t="str">
        <f>"165759"</f>
        <v>165759</v>
      </c>
      <c r="N353" s="1" t="s">
        <v>28</v>
      </c>
      <c r="O353" s="1" t="s">
        <v>28</v>
      </c>
      <c r="P353" s="1" t="s">
        <v>55</v>
      </c>
      <c r="Q353" s="1">
        <v>25</v>
      </c>
      <c r="R353" s="1">
        <v>25</v>
      </c>
      <c r="S353" s="1">
        <v>0</v>
      </c>
      <c r="T353" s="1">
        <v>0</v>
      </c>
      <c r="U353" s="1">
        <v>0</v>
      </c>
      <c r="V353" s="1" t="str">
        <f t="shared" si="47"/>
        <v>里程返程</v>
      </c>
      <c r="W353" s="1" t="s">
        <v>35</v>
      </c>
    </row>
    <row r="354" spans="1:23" x14ac:dyDescent="0.3">
      <c r="A354" s="1" t="str">
        <f t="shared" ref="A354:A379" si="51">"59820"</f>
        <v>59820</v>
      </c>
      <c r="B354" s="1" t="s">
        <v>53</v>
      </c>
      <c r="C354" s="1" t="s">
        <v>54</v>
      </c>
      <c r="D354" s="1" t="str">
        <f t="shared" si="46"/>
        <v>9801</v>
      </c>
      <c r="E354" s="1" t="s">
        <v>25</v>
      </c>
      <c r="F354" s="1" t="str">
        <f>"F29BD102BA880400C834002000000015"</f>
        <v>F29BD102BA880400C834002000000015</v>
      </c>
      <c r="G354" s="1" t="s">
        <v>26</v>
      </c>
      <c r="H354" s="1" t="str">
        <f t="shared" si="49"/>
        <v>20220906</v>
      </c>
      <c r="I354" s="1" t="str">
        <f>"083337"</f>
        <v>083337</v>
      </c>
      <c r="J354" s="1" t="s">
        <v>44</v>
      </c>
      <c r="K354" s="1" t="s">
        <v>45</v>
      </c>
      <c r="L354" s="1" t="str">
        <f t="shared" si="50"/>
        <v>20220906</v>
      </c>
      <c r="M354" s="1" t="str">
        <f>"085035"</f>
        <v>085035</v>
      </c>
      <c r="N354" s="1" t="s">
        <v>28</v>
      </c>
      <c r="O354" s="1" t="s">
        <v>28</v>
      </c>
      <c r="P354" s="1" t="s">
        <v>68</v>
      </c>
      <c r="Q354" s="1">
        <v>13</v>
      </c>
      <c r="R354" s="1">
        <v>0</v>
      </c>
      <c r="S354" s="1">
        <v>0</v>
      </c>
      <c r="T354" s="1">
        <v>13</v>
      </c>
      <c r="U354" s="1">
        <v>0</v>
      </c>
      <c r="V354" s="1" t="str">
        <f t="shared" si="47"/>
        <v>里程返程</v>
      </c>
      <c r="W354" s="1" t="s">
        <v>29</v>
      </c>
    </row>
    <row r="355" spans="1:23" x14ac:dyDescent="0.3">
      <c r="A355" s="1" t="str">
        <f t="shared" si="51"/>
        <v>59820</v>
      </c>
      <c r="B355" s="1" t="s">
        <v>53</v>
      </c>
      <c r="C355" s="1" t="s">
        <v>54</v>
      </c>
      <c r="D355" s="1" t="str">
        <f t="shared" si="46"/>
        <v>9801</v>
      </c>
      <c r="E355" s="1" t="s">
        <v>25</v>
      </c>
      <c r="F355" s="1" t="str">
        <f>"025F1C0342880400C834002000000015"</f>
        <v>025F1C0342880400C834002000000015</v>
      </c>
      <c r="G355" s="1" t="s">
        <v>26</v>
      </c>
      <c r="H355" s="1" t="str">
        <f t="shared" si="49"/>
        <v>20220906</v>
      </c>
      <c r="I355" s="1" t="str">
        <f>"085100"</f>
        <v>085100</v>
      </c>
      <c r="J355" s="1" t="s">
        <v>28</v>
      </c>
      <c r="K355" s="1" t="s">
        <v>28</v>
      </c>
      <c r="L355" s="1" t="str">
        <f t="shared" si="50"/>
        <v>20220906</v>
      </c>
      <c r="M355" s="1" t="str">
        <f>"090745"</f>
        <v>090745</v>
      </c>
      <c r="N355" s="1" t="s">
        <v>69</v>
      </c>
      <c r="O355" s="1" t="s">
        <v>52</v>
      </c>
      <c r="P355" s="1" t="s">
        <v>68</v>
      </c>
      <c r="Q355" s="1">
        <v>13</v>
      </c>
      <c r="R355" s="1">
        <v>0</v>
      </c>
      <c r="S355" s="1">
        <v>0</v>
      </c>
      <c r="T355" s="1">
        <v>13</v>
      </c>
      <c r="U355" s="1">
        <v>0</v>
      </c>
      <c r="V355" s="1" t="str">
        <f t="shared" si="47"/>
        <v>里程返程</v>
      </c>
      <c r="W355" s="1" t="s">
        <v>29</v>
      </c>
    </row>
    <row r="356" spans="1:23" x14ac:dyDescent="0.3">
      <c r="A356" s="1" t="str">
        <f t="shared" si="51"/>
        <v>59820</v>
      </c>
      <c r="B356" s="1" t="s">
        <v>53</v>
      </c>
      <c r="C356" s="1" t="s">
        <v>54</v>
      </c>
      <c r="D356" s="1" t="str">
        <f t="shared" si="46"/>
        <v>9801</v>
      </c>
      <c r="E356" s="1" t="s">
        <v>25</v>
      </c>
      <c r="F356" s="1" t="str">
        <f>"62591B0323880400C834002000000015"</f>
        <v>62591B0323880400C834002000000015</v>
      </c>
      <c r="G356" s="1" t="s">
        <v>26</v>
      </c>
      <c r="H356" s="1" t="str">
        <f t="shared" si="49"/>
        <v>20220906</v>
      </c>
      <c r="I356" s="1" t="str">
        <f>"085106"</f>
        <v>085106</v>
      </c>
      <c r="J356" s="1" t="s">
        <v>28</v>
      </c>
      <c r="K356" s="1" t="s">
        <v>28</v>
      </c>
      <c r="L356" s="1" t="str">
        <f t="shared" si="50"/>
        <v>20220906</v>
      </c>
      <c r="M356" s="1" t="str">
        <f>"092041"</f>
        <v>092041</v>
      </c>
      <c r="N356" s="1" t="s">
        <v>60</v>
      </c>
      <c r="O356" s="1" t="s">
        <v>52</v>
      </c>
      <c r="P356" s="1" t="s">
        <v>68</v>
      </c>
      <c r="Q356" s="1">
        <v>13</v>
      </c>
      <c r="R356" s="1">
        <v>0</v>
      </c>
      <c r="S356" s="1">
        <v>0</v>
      </c>
      <c r="T356" s="1">
        <v>13</v>
      </c>
      <c r="U356" s="1">
        <v>0</v>
      </c>
      <c r="V356" s="1" t="str">
        <f t="shared" si="47"/>
        <v>里程返程</v>
      </c>
      <c r="W356" s="1" t="s">
        <v>29</v>
      </c>
    </row>
    <row r="357" spans="1:23" x14ac:dyDescent="0.3">
      <c r="A357" s="1" t="str">
        <f t="shared" si="51"/>
        <v>59820</v>
      </c>
      <c r="B357" s="1" t="s">
        <v>53</v>
      </c>
      <c r="C357" s="1" t="s">
        <v>54</v>
      </c>
      <c r="D357" s="1" t="str">
        <f t="shared" si="46"/>
        <v>9801</v>
      </c>
      <c r="E357" s="1" t="s">
        <v>25</v>
      </c>
      <c r="F357" s="1" t="str">
        <f>"191600321"</f>
        <v>191600321</v>
      </c>
      <c r="G357" s="1" t="s">
        <v>74</v>
      </c>
      <c r="H357" s="1" t="str">
        <f t="shared" si="49"/>
        <v>20220906</v>
      </c>
      <c r="I357" s="1" t="str">
        <f>"093343"</f>
        <v>093343</v>
      </c>
      <c r="J357" s="1" t="s">
        <v>44</v>
      </c>
      <c r="K357" s="1" t="s">
        <v>45</v>
      </c>
      <c r="L357" s="1" t="str">
        <f t="shared" si="50"/>
        <v>20220906</v>
      </c>
      <c r="M357" s="1" t="str">
        <f>"095312"</f>
        <v>095312</v>
      </c>
      <c r="N357" s="1" t="s">
        <v>28</v>
      </c>
      <c r="O357" s="1" t="s">
        <v>28</v>
      </c>
      <c r="P357" s="1" t="s">
        <v>55</v>
      </c>
      <c r="Q357" s="1">
        <v>13</v>
      </c>
      <c r="R357" s="1">
        <v>13</v>
      </c>
      <c r="S357" s="1">
        <v>0</v>
      </c>
      <c r="T357" s="1">
        <v>0</v>
      </c>
      <c r="U357" s="1">
        <v>0</v>
      </c>
      <c r="V357" s="1" t="str">
        <f t="shared" si="47"/>
        <v>里程返程</v>
      </c>
      <c r="W357" s="1" t="s">
        <v>35</v>
      </c>
    </row>
    <row r="358" spans="1:23" x14ac:dyDescent="0.3">
      <c r="A358" s="1" t="str">
        <f t="shared" si="51"/>
        <v>59820</v>
      </c>
      <c r="B358" s="1" t="s">
        <v>53</v>
      </c>
      <c r="C358" s="1" t="s">
        <v>54</v>
      </c>
      <c r="D358" s="1" t="str">
        <f t="shared" si="46"/>
        <v>9801</v>
      </c>
      <c r="E358" s="1" t="s">
        <v>25</v>
      </c>
      <c r="F358" s="1" t="str">
        <f>"7511161438009850"</f>
        <v>7511161438009850</v>
      </c>
      <c r="G358" s="1" t="s">
        <v>33</v>
      </c>
      <c r="H358" s="1" t="str">
        <f t="shared" si="49"/>
        <v>20220906</v>
      </c>
      <c r="I358" s="1" t="str">
        <f>"093537"</f>
        <v>093537</v>
      </c>
      <c r="J358" s="1" t="s">
        <v>100</v>
      </c>
      <c r="K358" s="1" t="s">
        <v>45</v>
      </c>
      <c r="L358" s="1" t="str">
        <f t="shared" si="50"/>
        <v>20220906</v>
      </c>
      <c r="M358" s="1" t="str">
        <f>"095258"</f>
        <v>095258</v>
      </c>
      <c r="N358" s="1" t="s">
        <v>28</v>
      </c>
      <c r="O358" s="1" t="s">
        <v>28</v>
      </c>
      <c r="P358" s="1" t="s">
        <v>55</v>
      </c>
      <c r="Q358" s="1">
        <v>25</v>
      </c>
      <c r="R358" s="1">
        <v>25</v>
      </c>
      <c r="S358" s="1">
        <v>0</v>
      </c>
      <c r="T358" s="1">
        <v>0</v>
      </c>
      <c r="U358" s="1">
        <v>0</v>
      </c>
      <c r="V358" s="1" t="str">
        <f t="shared" si="47"/>
        <v>里程返程</v>
      </c>
      <c r="W358" s="1" t="s">
        <v>109</v>
      </c>
    </row>
    <row r="359" spans="1:23" x14ac:dyDescent="0.3">
      <c r="A359" s="1" t="str">
        <f t="shared" si="51"/>
        <v>59820</v>
      </c>
      <c r="B359" s="1" t="s">
        <v>53</v>
      </c>
      <c r="C359" s="1" t="s">
        <v>54</v>
      </c>
      <c r="D359" s="1" t="str">
        <f t="shared" si="46"/>
        <v>9801</v>
      </c>
      <c r="E359" s="1" t="s">
        <v>25</v>
      </c>
      <c r="F359" s="1" t="str">
        <f>"1050167429"</f>
        <v>1050167429</v>
      </c>
      <c r="G359" s="1" t="s">
        <v>26</v>
      </c>
      <c r="H359" s="1" t="str">
        <f t="shared" si="49"/>
        <v>20220906</v>
      </c>
      <c r="I359" s="1" t="str">
        <f>"094019"</f>
        <v>094019</v>
      </c>
      <c r="J359" s="1" t="s">
        <v>75</v>
      </c>
      <c r="K359" s="1" t="s">
        <v>45</v>
      </c>
      <c r="L359" s="1" t="str">
        <f t="shared" si="50"/>
        <v>20220906</v>
      </c>
      <c r="M359" s="1" t="str">
        <f>"095321"</f>
        <v>095321</v>
      </c>
      <c r="N359" s="1" t="s">
        <v>28</v>
      </c>
      <c r="O359" s="1" t="s">
        <v>28</v>
      </c>
      <c r="P359" s="1" t="s">
        <v>55</v>
      </c>
      <c r="Q359" s="1">
        <v>13</v>
      </c>
      <c r="R359" s="1">
        <v>13</v>
      </c>
      <c r="S359" s="1">
        <v>0</v>
      </c>
      <c r="T359" s="1">
        <v>0</v>
      </c>
      <c r="U359" s="1">
        <v>0</v>
      </c>
      <c r="V359" s="1" t="str">
        <f t="shared" si="47"/>
        <v>里程返程</v>
      </c>
      <c r="W359" s="1" t="s">
        <v>35</v>
      </c>
    </row>
    <row r="360" spans="1:23" x14ac:dyDescent="0.3">
      <c r="A360" s="1" t="str">
        <f t="shared" si="51"/>
        <v>59820</v>
      </c>
      <c r="B360" s="1" t="s">
        <v>53</v>
      </c>
      <c r="C360" s="1" t="s">
        <v>54</v>
      </c>
      <c r="D360" s="1" t="str">
        <f t="shared" si="46"/>
        <v>9801</v>
      </c>
      <c r="E360" s="1" t="s">
        <v>25</v>
      </c>
      <c r="F360" s="1" t="str">
        <f>"893872581"</f>
        <v>893872581</v>
      </c>
      <c r="G360" s="1" t="s">
        <v>26</v>
      </c>
      <c r="H360" s="1" t="str">
        <f t="shared" si="49"/>
        <v>20220906</v>
      </c>
      <c r="I360" s="1" t="str">
        <f>"094024"</f>
        <v>094024</v>
      </c>
      <c r="J360" s="1" t="s">
        <v>75</v>
      </c>
      <c r="K360" s="1" t="s">
        <v>45</v>
      </c>
      <c r="L360" s="1" t="str">
        <f t="shared" si="50"/>
        <v>20220906</v>
      </c>
      <c r="M360" s="1" t="str">
        <f>"095308"</f>
        <v>095308</v>
      </c>
      <c r="N360" s="1" t="s">
        <v>28</v>
      </c>
      <c r="O360" s="1" t="s">
        <v>28</v>
      </c>
      <c r="P360" s="1" t="s">
        <v>55</v>
      </c>
      <c r="Q360" s="1">
        <v>13</v>
      </c>
      <c r="R360" s="1">
        <v>13</v>
      </c>
      <c r="S360" s="1">
        <v>0</v>
      </c>
      <c r="T360" s="1">
        <v>0</v>
      </c>
      <c r="U360" s="1">
        <v>0</v>
      </c>
      <c r="V360" s="1" t="str">
        <f t="shared" si="47"/>
        <v>里程返程</v>
      </c>
      <c r="W360" s="1" t="s">
        <v>35</v>
      </c>
    </row>
    <row r="361" spans="1:23" x14ac:dyDescent="0.3">
      <c r="A361" s="1" t="str">
        <f t="shared" si="51"/>
        <v>59820</v>
      </c>
      <c r="B361" s="1" t="s">
        <v>53</v>
      </c>
      <c r="C361" s="1" t="s">
        <v>54</v>
      </c>
      <c r="D361" s="1" t="str">
        <f t="shared" si="46"/>
        <v>9801</v>
      </c>
      <c r="E361" s="1" t="s">
        <v>25</v>
      </c>
      <c r="F361" s="1" t="str">
        <f>"1430437152"</f>
        <v>1430437152</v>
      </c>
      <c r="G361" s="1" t="s">
        <v>26</v>
      </c>
      <c r="H361" s="1" t="str">
        <f t="shared" si="49"/>
        <v>20220906</v>
      </c>
      <c r="I361" s="1" t="str">
        <f>"094029"</f>
        <v>094029</v>
      </c>
      <c r="J361" s="1" t="s">
        <v>75</v>
      </c>
      <c r="K361" s="1" t="s">
        <v>45</v>
      </c>
      <c r="L361" s="1" t="str">
        <f t="shared" si="50"/>
        <v>20220906</v>
      </c>
      <c r="M361" s="1" t="str">
        <f>"095317"</f>
        <v>095317</v>
      </c>
      <c r="N361" s="1" t="s">
        <v>28</v>
      </c>
      <c r="O361" s="1" t="s">
        <v>28</v>
      </c>
      <c r="P361" s="1" t="s">
        <v>55</v>
      </c>
      <c r="Q361" s="1">
        <v>13</v>
      </c>
      <c r="R361" s="1">
        <v>13</v>
      </c>
      <c r="S361" s="1">
        <v>0</v>
      </c>
      <c r="T361" s="1">
        <v>0</v>
      </c>
      <c r="U361" s="1">
        <v>0</v>
      </c>
      <c r="V361" s="1" t="str">
        <f t="shared" si="47"/>
        <v>里程返程</v>
      </c>
      <c r="W361" s="1" t="s">
        <v>35</v>
      </c>
    </row>
    <row r="362" spans="1:23" x14ac:dyDescent="0.3">
      <c r="A362" s="1" t="str">
        <f t="shared" si="51"/>
        <v>59820</v>
      </c>
      <c r="B362" s="1" t="s">
        <v>53</v>
      </c>
      <c r="C362" s="1" t="s">
        <v>54</v>
      </c>
      <c r="D362" s="1" t="str">
        <f t="shared" si="46"/>
        <v>9801</v>
      </c>
      <c r="E362" s="1" t="s">
        <v>25</v>
      </c>
      <c r="F362" s="1" t="str">
        <f>"99291637"</f>
        <v>99291637</v>
      </c>
      <c r="G362" s="1" t="s">
        <v>33</v>
      </c>
      <c r="H362" s="1" t="str">
        <f t="shared" ref="H362:H387" si="52">"20220906"</f>
        <v>20220906</v>
      </c>
      <c r="I362" s="1" t="str">
        <f>"094032"</f>
        <v>094032</v>
      </c>
      <c r="J362" s="1" t="s">
        <v>75</v>
      </c>
      <c r="K362" s="1" t="s">
        <v>45</v>
      </c>
      <c r="L362" s="1" t="str">
        <f t="shared" ref="L362:L387" si="53">"20220906"</f>
        <v>20220906</v>
      </c>
      <c r="M362" s="1" t="str">
        <f>"095327"</f>
        <v>095327</v>
      </c>
      <c r="N362" s="1" t="s">
        <v>28</v>
      </c>
      <c r="O362" s="1" t="s">
        <v>28</v>
      </c>
      <c r="P362" s="1" t="s">
        <v>55</v>
      </c>
      <c r="Q362" s="1">
        <v>25</v>
      </c>
      <c r="R362" s="1">
        <v>25</v>
      </c>
      <c r="S362" s="1">
        <v>0</v>
      </c>
      <c r="T362" s="1">
        <v>0</v>
      </c>
      <c r="U362" s="1">
        <v>0</v>
      </c>
      <c r="V362" s="1" t="str">
        <f t="shared" si="47"/>
        <v>里程返程</v>
      </c>
      <c r="W362" s="1" t="s">
        <v>35</v>
      </c>
    </row>
    <row r="363" spans="1:23" x14ac:dyDescent="0.3">
      <c r="A363" s="1" t="str">
        <f t="shared" si="51"/>
        <v>59820</v>
      </c>
      <c r="B363" s="1" t="s">
        <v>53</v>
      </c>
      <c r="C363" s="1" t="s">
        <v>54</v>
      </c>
      <c r="D363" s="1" t="str">
        <f t="shared" si="46"/>
        <v>9801</v>
      </c>
      <c r="E363" s="1" t="s">
        <v>25</v>
      </c>
      <c r="F363" s="1" t="str">
        <f>"1292188833"</f>
        <v>1292188833</v>
      </c>
      <c r="G363" s="1" t="s">
        <v>33</v>
      </c>
      <c r="H363" s="1" t="str">
        <f t="shared" si="52"/>
        <v>20220906</v>
      </c>
      <c r="I363" s="1" t="str">
        <f>"094223"</f>
        <v>094223</v>
      </c>
      <c r="J363" s="1" t="s">
        <v>56</v>
      </c>
      <c r="K363" s="1" t="s">
        <v>45</v>
      </c>
      <c r="L363" s="1" t="str">
        <f t="shared" si="53"/>
        <v>20220906</v>
      </c>
      <c r="M363" s="1" t="str">
        <f>"095332"</f>
        <v>095332</v>
      </c>
      <c r="N363" s="1" t="s">
        <v>28</v>
      </c>
      <c r="O363" s="1" t="s">
        <v>28</v>
      </c>
      <c r="P363" s="1" t="s">
        <v>55</v>
      </c>
      <c r="Q363" s="1">
        <v>25</v>
      </c>
      <c r="R363" s="1">
        <v>25</v>
      </c>
      <c r="S363" s="1">
        <v>0</v>
      </c>
      <c r="T363" s="1">
        <v>0</v>
      </c>
      <c r="U363" s="1">
        <v>0</v>
      </c>
      <c r="V363" s="1" t="str">
        <f t="shared" si="47"/>
        <v>里程返程</v>
      </c>
      <c r="W363" s="1" t="s">
        <v>35</v>
      </c>
    </row>
    <row r="364" spans="1:23" x14ac:dyDescent="0.3">
      <c r="A364" s="1" t="str">
        <f t="shared" si="51"/>
        <v>59820</v>
      </c>
      <c r="B364" s="1" t="s">
        <v>53</v>
      </c>
      <c r="C364" s="1" t="s">
        <v>54</v>
      </c>
      <c r="D364" s="1" t="str">
        <f t="shared" si="46"/>
        <v>9801</v>
      </c>
      <c r="E364" s="1" t="s">
        <v>25</v>
      </c>
      <c r="F364" s="1" t="str">
        <f>"2239AB05B5880400C838002000000015"</f>
        <v>2239AB05B5880400C838002000000015</v>
      </c>
      <c r="G364" s="1" t="s">
        <v>58</v>
      </c>
      <c r="H364" s="1" t="str">
        <f t="shared" si="52"/>
        <v>20220906</v>
      </c>
      <c r="I364" s="1" t="str">
        <f>"095338"</f>
        <v>095338</v>
      </c>
      <c r="J364" s="1" t="s">
        <v>28</v>
      </c>
      <c r="K364" s="1" t="s">
        <v>28</v>
      </c>
      <c r="L364" s="1" t="str">
        <f t="shared" si="53"/>
        <v>20220906</v>
      </c>
      <c r="M364" s="1" t="str">
        <f>"102230"</f>
        <v>102230</v>
      </c>
      <c r="N364" s="1" t="s">
        <v>52</v>
      </c>
      <c r="O364" s="1" t="s">
        <v>52</v>
      </c>
      <c r="P364" s="1" t="s">
        <v>55</v>
      </c>
      <c r="Q364" s="1">
        <v>25</v>
      </c>
      <c r="R364" s="1">
        <v>25</v>
      </c>
      <c r="S364" s="1">
        <v>0</v>
      </c>
      <c r="T364" s="1">
        <v>0</v>
      </c>
      <c r="U364" s="1">
        <v>0</v>
      </c>
      <c r="V364" s="1" t="str">
        <f t="shared" si="47"/>
        <v>里程返程</v>
      </c>
      <c r="W364" s="1" t="s">
        <v>29</v>
      </c>
    </row>
    <row r="365" spans="1:23" x14ac:dyDescent="0.3">
      <c r="A365" s="1" t="str">
        <f t="shared" si="51"/>
        <v>59820</v>
      </c>
      <c r="B365" s="1" t="s">
        <v>53</v>
      </c>
      <c r="C365" s="1" t="s">
        <v>54</v>
      </c>
      <c r="D365" s="1" t="str">
        <f t="shared" si="46"/>
        <v>9801</v>
      </c>
      <c r="E365" s="1" t="s">
        <v>25</v>
      </c>
      <c r="F365" s="1" t="str">
        <f>"951739489"</f>
        <v>951739489</v>
      </c>
      <c r="G365" s="1" t="s">
        <v>33</v>
      </c>
      <c r="H365" s="1" t="str">
        <f t="shared" si="52"/>
        <v>20220906</v>
      </c>
      <c r="I365" s="1" t="str">
        <f>"095341"</f>
        <v>095341</v>
      </c>
      <c r="J365" s="1" t="s">
        <v>28</v>
      </c>
      <c r="K365" s="1" t="s">
        <v>28</v>
      </c>
      <c r="L365" s="1" t="str">
        <f t="shared" si="53"/>
        <v>20220906</v>
      </c>
      <c r="M365" s="1" t="str">
        <f>"101350"</f>
        <v>101350</v>
      </c>
      <c r="N365" s="1" t="s">
        <v>65</v>
      </c>
      <c r="O365" s="1" t="s">
        <v>52</v>
      </c>
      <c r="P365" s="1" t="s">
        <v>55</v>
      </c>
      <c r="Q365" s="1">
        <v>25</v>
      </c>
      <c r="R365" s="1">
        <v>0</v>
      </c>
      <c r="S365" s="1">
        <v>25</v>
      </c>
      <c r="T365" s="1">
        <v>0</v>
      </c>
      <c r="U365" s="1">
        <v>0</v>
      </c>
      <c r="V365" s="1" t="str">
        <f t="shared" si="47"/>
        <v>里程返程</v>
      </c>
      <c r="W365" s="1" t="s">
        <v>35</v>
      </c>
    </row>
    <row r="366" spans="1:23" x14ac:dyDescent="0.3">
      <c r="A366" s="1" t="str">
        <f t="shared" si="51"/>
        <v>59820</v>
      </c>
      <c r="B366" s="1" t="s">
        <v>53</v>
      </c>
      <c r="C366" s="1" t="s">
        <v>54</v>
      </c>
      <c r="D366" s="1" t="str">
        <f t="shared" si="46"/>
        <v>9801</v>
      </c>
      <c r="E366" s="1" t="s">
        <v>25</v>
      </c>
      <c r="F366" s="1" t="str">
        <f>"A2636116B6880400C814002000000019"</f>
        <v>A2636116B6880400C814002000000019</v>
      </c>
      <c r="G366" s="1" t="s">
        <v>64</v>
      </c>
      <c r="H366" s="1" t="str">
        <f t="shared" si="52"/>
        <v>20220906</v>
      </c>
      <c r="I366" s="1" t="str">
        <f>"095354"</f>
        <v>095354</v>
      </c>
      <c r="J366" s="1" t="s">
        <v>28</v>
      </c>
      <c r="K366" s="1" t="s">
        <v>28</v>
      </c>
      <c r="L366" s="1" t="str">
        <f t="shared" si="53"/>
        <v>20220906</v>
      </c>
      <c r="M366" s="1" t="str">
        <f>"102235"</f>
        <v>102235</v>
      </c>
      <c r="N366" s="1" t="s">
        <v>52</v>
      </c>
      <c r="O366" s="1" t="s">
        <v>52</v>
      </c>
      <c r="P366" s="1" t="s">
        <v>55</v>
      </c>
      <c r="Q366" s="1">
        <v>13</v>
      </c>
      <c r="R366" s="1">
        <v>13</v>
      </c>
      <c r="S366" s="1">
        <v>0</v>
      </c>
      <c r="T366" s="1">
        <v>0</v>
      </c>
      <c r="U366" s="1">
        <v>0</v>
      </c>
      <c r="V366" s="1" t="str">
        <f t="shared" si="47"/>
        <v>里程返程</v>
      </c>
      <c r="W366" s="1" t="s">
        <v>29</v>
      </c>
    </row>
    <row r="367" spans="1:23" x14ac:dyDescent="0.3">
      <c r="A367" s="1" t="str">
        <f t="shared" si="51"/>
        <v>59820</v>
      </c>
      <c r="B367" s="1" t="s">
        <v>53</v>
      </c>
      <c r="C367" s="1" t="s">
        <v>54</v>
      </c>
      <c r="D367" s="1" t="str">
        <f t="shared" si="46"/>
        <v>9801</v>
      </c>
      <c r="E367" s="1" t="s">
        <v>25</v>
      </c>
      <c r="F367" s="1" t="str">
        <f>"E2B8F418B6880400C821002000000019"</f>
        <v>E2B8F418B6880400C821002000000019</v>
      </c>
      <c r="G367" s="1" t="s">
        <v>64</v>
      </c>
      <c r="H367" s="1" t="str">
        <f t="shared" si="52"/>
        <v>20220906</v>
      </c>
      <c r="I367" s="1" t="str">
        <f>"095400"</f>
        <v>095400</v>
      </c>
      <c r="J367" s="1" t="s">
        <v>28</v>
      </c>
      <c r="K367" s="1" t="s">
        <v>28</v>
      </c>
      <c r="L367" s="1" t="str">
        <f t="shared" si="53"/>
        <v>20220906</v>
      </c>
      <c r="M367" s="1" t="str">
        <f>"102233"</f>
        <v>102233</v>
      </c>
      <c r="N367" s="1" t="s">
        <v>52</v>
      </c>
      <c r="O367" s="1" t="s">
        <v>52</v>
      </c>
      <c r="P367" s="1" t="s">
        <v>55</v>
      </c>
      <c r="Q367" s="1">
        <v>13</v>
      </c>
      <c r="R367" s="1">
        <v>13</v>
      </c>
      <c r="S367" s="1">
        <v>0</v>
      </c>
      <c r="T367" s="1">
        <v>0</v>
      </c>
      <c r="U367" s="1">
        <v>0</v>
      </c>
      <c r="V367" s="1" t="str">
        <f t="shared" si="47"/>
        <v>里程返程</v>
      </c>
      <c r="W367" s="1" t="s">
        <v>29</v>
      </c>
    </row>
    <row r="368" spans="1:23" x14ac:dyDescent="0.3">
      <c r="A368" s="1" t="str">
        <f t="shared" si="51"/>
        <v>59820</v>
      </c>
      <c r="B368" s="1" t="s">
        <v>53</v>
      </c>
      <c r="C368" s="1" t="s">
        <v>54</v>
      </c>
      <c r="D368" s="1" t="str">
        <f t="shared" si="46"/>
        <v>9801</v>
      </c>
      <c r="E368" s="1" t="s">
        <v>25</v>
      </c>
      <c r="F368" s="1" t="str">
        <f>"F2C64D0E77880400C806002000000018"</f>
        <v>F2C64D0E77880400C806002000000018</v>
      </c>
      <c r="G368" s="1" t="s">
        <v>58</v>
      </c>
      <c r="H368" s="1" t="str">
        <f t="shared" si="52"/>
        <v>20220906</v>
      </c>
      <c r="I368" s="1" t="str">
        <f>"095403"</f>
        <v>095403</v>
      </c>
      <c r="J368" s="1" t="s">
        <v>28</v>
      </c>
      <c r="K368" s="1" t="s">
        <v>28</v>
      </c>
      <c r="L368" s="1" t="str">
        <f t="shared" si="53"/>
        <v>20220906</v>
      </c>
      <c r="M368" s="1" t="str">
        <f>"101044"</f>
        <v>101044</v>
      </c>
      <c r="N368" s="1" t="s">
        <v>80</v>
      </c>
      <c r="O368" s="1" t="s">
        <v>52</v>
      </c>
      <c r="P368" s="1" t="s">
        <v>55</v>
      </c>
      <c r="Q368" s="1">
        <v>25</v>
      </c>
      <c r="R368" s="1">
        <v>25</v>
      </c>
      <c r="S368" s="1">
        <v>0</v>
      </c>
      <c r="T368" s="1">
        <v>0</v>
      </c>
      <c r="U368" s="1">
        <v>0</v>
      </c>
      <c r="V368" s="1" t="str">
        <f t="shared" si="47"/>
        <v>里程返程</v>
      </c>
      <c r="W368" s="1" t="s">
        <v>29</v>
      </c>
    </row>
    <row r="369" spans="1:23" x14ac:dyDescent="0.3">
      <c r="A369" s="1" t="str">
        <f t="shared" si="51"/>
        <v>59820</v>
      </c>
      <c r="B369" s="1" t="s">
        <v>53</v>
      </c>
      <c r="C369" s="1" t="s">
        <v>54</v>
      </c>
      <c r="D369" s="1" t="str">
        <f t="shared" si="46"/>
        <v>9801</v>
      </c>
      <c r="E369" s="1" t="s">
        <v>25</v>
      </c>
      <c r="F369" s="1" t="str">
        <f>"528167681"</f>
        <v>528167681</v>
      </c>
      <c r="G369" s="1" t="s">
        <v>33</v>
      </c>
      <c r="H369" s="1" t="str">
        <f t="shared" si="52"/>
        <v>20220906</v>
      </c>
      <c r="I369" s="1" t="str">
        <f>"095410"</f>
        <v>095410</v>
      </c>
      <c r="J369" s="1" t="s">
        <v>28</v>
      </c>
      <c r="K369" s="1" t="s">
        <v>28</v>
      </c>
      <c r="L369" s="1" t="str">
        <f t="shared" si="53"/>
        <v>20220906</v>
      </c>
      <c r="M369" s="1" t="str">
        <f>"101336"</f>
        <v>101336</v>
      </c>
      <c r="N369" s="1" t="s">
        <v>65</v>
      </c>
      <c r="O369" s="1" t="s">
        <v>52</v>
      </c>
      <c r="P369" s="1" t="s">
        <v>55</v>
      </c>
      <c r="Q369" s="1">
        <v>25</v>
      </c>
      <c r="R369" s="1">
        <v>25</v>
      </c>
      <c r="S369" s="1">
        <v>0</v>
      </c>
      <c r="T369" s="1">
        <v>0</v>
      </c>
      <c r="U369" s="1">
        <v>0</v>
      </c>
      <c r="V369" s="1" t="str">
        <f t="shared" si="47"/>
        <v>里程返程</v>
      </c>
      <c r="W369" s="1" t="s">
        <v>35</v>
      </c>
    </row>
    <row r="370" spans="1:23" x14ac:dyDescent="0.3">
      <c r="A370" s="1" t="str">
        <f t="shared" si="51"/>
        <v>59820</v>
      </c>
      <c r="B370" s="1" t="s">
        <v>53</v>
      </c>
      <c r="C370" s="1" t="s">
        <v>54</v>
      </c>
      <c r="D370" s="1" t="str">
        <f t="shared" si="46"/>
        <v>9801</v>
      </c>
      <c r="E370" s="1" t="s">
        <v>25</v>
      </c>
      <c r="F370" s="1" t="str">
        <f>"1423105809"</f>
        <v>1423105809</v>
      </c>
      <c r="G370" s="1" t="s">
        <v>33</v>
      </c>
      <c r="H370" s="1" t="str">
        <f t="shared" si="52"/>
        <v>20220906</v>
      </c>
      <c r="I370" s="1" t="str">
        <f>"105353"</f>
        <v>105353</v>
      </c>
      <c r="J370" s="1" t="s">
        <v>28</v>
      </c>
      <c r="K370" s="1" t="s">
        <v>28</v>
      </c>
      <c r="L370" s="1" t="str">
        <f t="shared" si="53"/>
        <v>20220906</v>
      </c>
      <c r="M370" s="1" t="str">
        <f>"112201"</f>
        <v>112201</v>
      </c>
      <c r="N370" s="1" t="s">
        <v>60</v>
      </c>
      <c r="O370" s="1" t="s">
        <v>52</v>
      </c>
      <c r="P370" s="1" t="s">
        <v>55</v>
      </c>
      <c r="Q370" s="1">
        <v>25</v>
      </c>
      <c r="R370" s="1">
        <v>0</v>
      </c>
      <c r="S370" s="1">
        <v>25</v>
      </c>
      <c r="T370" s="1">
        <v>0</v>
      </c>
      <c r="U370" s="1">
        <v>0</v>
      </c>
      <c r="V370" s="1" t="str">
        <f t="shared" si="47"/>
        <v>里程返程</v>
      </c>
      <c r="W370" s="1" t="s">
        <v>35</v>
      </c>
    </row>
    <row r="371" spans="1:23" x14ac:dyDescent="0.3">
      <c r="A371" s="1" t="str">
        <f t="shared" si="51"/>
        <v>59820</v>
      </c>
      <c r="B371" s="1" t="s">
        <v>53</v>
      </c>
      <c r="C371" s="1" t="s">
        <v>54</v>
      </c>
      <c r="D371" s="1" t="str">
        <f t="shared" si="46"/>
        <v>9801</v>
      </c>
      <c r="E371" s="1" t="s">
        <v>25</v>
      </c>
      <c r="F371" s="1" t="str">
        <f>"32780D0344880400C834002000000015"</f>
        <v>32780D0344880400C834002000000015</v>
      </c>
      <c r="G371" s="1" t="s">
        <v>26</v>
      </c>
      <c r="H371" s="1" t="str">
        <f t="shared" si="52"/>
        <v>20220906</v>
      </c>
      <c r="I371" s="1" t="str">
        <f>"113136"</f>
        <v>113136</v>
      </c>
      <c r="J371" s="1" t="s">
        <v>44</v>
      </c>
      <c r="K371" s="1" t="s">
        <v>45</v>
      </c>
      <c r="L371" s="1" t="str">
        <f t="shared" si="53"/>
        <v>20220906</v>
      </c>
      <c r="M371" s="1" t="str">
        <f>"115053"</f>
        <v>115053</v>
      </c>
      <c r="N371" s="1" t="s">
        <v>95</v>
      </c>
      <c r="O371" s="1" t="s">
        <v>28</v>
      </c>
      <c r="P371" s="1" t="s">
        <v>68</v>
      </c>
      <c r="Q371" s="1">
        <v>13</v>
      </c>
      <c r="R371" s="1">
        <v>0</v>
      </c>
      <c r="S371" s="1">
        <v>0</v>
      </c>
      <c r="T371" s="1">
        <v>13</v>
      </c>
      <c r="U371" s="1">
        <v>0</v>
      </c>
      <c r="V371" s="1" t="str">
        <f t="shared" si="47"/>
        <v>里程返程</v>
      </c>
      <c r="W371" s="1" t="s">
        <v>29</v>
      </c>
    </row>
    <row r="372" spans="1:23" x14ac:dyDescent="0.3">
      <c r="A372" s="1" t="str">
        <f t="shared" si="51"/>
        <v>59820</v>
      </c>
      <c r="B372" s="1" t="s">
        <v>53</v>
      </c>
      <c r="C372" s="1" t="s">
        <v>54</v>
      </c>
      <c r="D372" s="1" t="str">
        <f t="shared" si="46"/>
        <v>9801</v>
      </c>
      <c r="E372" s="1" t="s">
        <v>25</v>
      </c>
      <c r="F372" s="1" t="str">
        <f>"21E2C345452804001C00000000000000"</f>
        <v>21E2C345452804001C00000000000000</v>
      </c>
      <c r="G372" s="1" t="s">
        <v>58</v>
      </c>
      <c r="H372" s="1" t="str">
        <f t="shared" si="52"/>
        <v>20220906</v>
      </c>
      <c r="I372" s="1" t="str">
        <f>"113532"</f>
        <v>113532</v>
      </c>
      <c r="J372" s="1" t="s">
        <v>100</v>
      </c>
      <c r="K372" s="1" t="s">
        <v>45</v>
      </c>
      <c r="L372" s="1" t="str">
        <f t="shared" si="53"/>
        <v>20220906</v>
      </c>
      <c r="M372" s="1" t="str">
        <f>"115210"</f>
        <v>115210</v>
      </c>
      <c r="N372" s="1" t="s">
        <v>28</v>
      </c>
      <c r="O372" s="1" t="s">
        <v>28</v>
      </c>
      <c r="P372" s="1" t="s">
        <v>55</v>
      </c>
      <c r="Q372" s="1">
        <v>25</v>
      </c>
      <c r="R372" s="1">
        <v>25</v>
      </c>
      <c r="S372" s="1">
        <v>0</v>
      </c>
      <c r="T372" s="1">
        <v>0</v>
      </c>
      <c r="U372" s="1">
        <v>0</v>
      </c>
      <c r="V372" s="1" t="str">
        <f t="shared" si="47"/>
        <v>里程返程</v>
      </c>
      <c r="W372" s="1" t="s">
        <v>29</v>
      </c>
    </row>
    <row r="373" spans="1:23" x14ac:dyDescent="0.3">
      <c r="A373" s="1" t="str">
        <f t="shared" si="51"/>
        <v>59820</v>
      </c>
      <c r="B373" s="1" t="s">
        <v>53</v>
      </c>
      <c r="C373" s="1" t="s">
        <v>54</v>
      </c>
      <c r="D373" s="1" t="str">
        <f t="shared" si="46"/>
        <v>9801</v>
      </c>
      <c r="E373" s="1" t="s">
        <v>25</v>
      </c>
      <c r="F373" s="1" t="str">
        <f>"1245851505"</f>
        <v>1245851505</v>
      </c>
      <c r="G373" s="1" t="s">
        <v>33</v>
      </c>
      <c r="H373" s="1" t="str">
        <f t="shared" si="52"/>
        <v>20220906</v>
      </c>
      <c r="I373" s="1" t="str">
        <f>"113536"</f>
        <v>113536</v>
      </c>
      <c r="J373" s="1" t="s">
        <v>100</v>
      </c>
      <c r="K373" s="1" t="s">
        <v>45</v>
      </c>
      <c r="L373" s="1" t="str">
        <f t="shared" si="53"/>
        <v>20220906</v>
      </c>
      <c r="M373" s="1" t="str">
        <f>"115214"</f>
        <v>115214</v>
      </c>
      <c r="N373" s="1" t="s">
        <v>28</v>
      </c>
      <c r="O373" s="1" t="s">
        <v>28</v>
      </c>
      <c r="P373" s="1" t="s">
        <v>55</v>
      </c>
      <c r="Q373" s="1">
        <v>25</v>
      </c>
      <c r="R373" s="1">
        <v>25</v>
      </c>
      <c r="S373" s="1">
        <v>0</v>
      </c>
      <c r="T373" s="1">
        <v>0</v>
      </c>
      <c r="U373" s="1">
        <v>0</v>
      </c>
      <c r="V373" s="1" t="str">
        <f t="shared" si="47"/>
        <v>里程返程</v>
      </c>
      <c r="W373" s="1" t="s">
        <v>35</v>
      </c>
    </row>
    <row r="374" spans="1:23" x14ac:dyDescent="0.3">
      <c r="A374" s="1" t="str">
        <f t="shared" si="51"/>
        <v>59820</v>
      </c>
      <c r="B374" s="1" t="s">
        <v>53</v>
      </c>
      <c r="C374" s="1" t="s">
        <v>54</v>
      </c>
      <c r="D374" s="1" t="str">
        <f t="shared" si="46"/>
        <v>9801</v>
      </c>
      <c r="E374" s="1" t="s">
        <v>25</v>
      </c>
      <c r="F374" s="1" t="str">
        <f>"1734163957"</f>
        <v>1734163957</v>
      </c>
      <c r="G374" s="1" t="s">
        <v>33</v>
      </c>
      <c r="H374" s="1" t="str">
        <f t="shared" si="52"/>
        <v>20220906</v>
      </c>
      <c r="I374" s="1" t="str">
        <f>"114126"</f>
        <v>114126</v>
      </c>
      <c r="J374" s="1" t="s">
        <v>56</v>
      </c>
      <c r="K374" s="1" t="s">
        <v>45</v>
      </c>
      <c r="L374" s="1" t="str">
        <f t="shared" si="53"/>
        <v>20220906</v>
      </c>
      <c r="M374" s="1" t="str">
        <f>"115206"</f>
        <v>115206</v>
      </c>
      <c r="N374" s="1" t="s">
        <v>28</v>
      </c>
      <c r="O374" s="1" t="s">
        <v>28</v>
      </c>
      <c r="P374" s="1" t="s">
        <v>55</v>
      </c>
      <c r="Q374" s="1">
        <v>25</v>
      </c>
      <c r="R374" s="1">
        <v>25</v>
      </c>
      <c r="S374" s="1">
        <v>0</v>
      </c>
      <c r="T374" s="1">
        <v>0</v>
      </c>
      <c r="U374" s="1">
        <v>0</v>
      </c>
      <c r="V374" s="1" t="str">
        <f t="shared" si="47"/>
        <v>里程返程</v>
      </c>
      <c r="W374" s="1" t="s">
        <v>35</v>
      </c>
    </row>
    <row r="375" spans="1:23" x14ac:dyDescent="0.3">
      <c r="A375" s="1" t="str">
        <f t="shared" si="51"/>
        <v>59820</v>
      </c>
      <c r="B375" s="1" t="s">
        <v>53</v>
      </c>
      <c r="C375" s="1" t="s">
        <v>54</v>
      </c>
      <c r="D375" s="1" t="str">
        <f t="shared" si="46"/>
        <v>9801</v>
      </c>
      <c r="E375" s="1" t="s">
        <v>25</v>
      </c>
      <c r="F375" s="1" t="str">
        <f>"106361633"</f>
        <v>106361633</v>
      </c>
      <c r="G375" s="1" t="s">
        <v>26</v>
      </c>
      <c r="H375" s="1" t="str">
        <f t="shared" si="52"/>
        <v>20220906</v>
      </c>
      <c r="I375" s="1" t="str">
        <f>"115238"</f>
        <v>115238</v>
      </c>
      <c r="J375" s="1" t="s">
        <v>28</v>
      </c>
      <c r="K375" s="1" t="s">
        <v>28</v>
      </c>
      <c r="L375" s="1" t="str">
        <f t="shared" si="53"/>
        <v>20220906</v>
      </c>
      <c r="M375" s="1" t="str">
        <f>"120344"</f>
        <v>120344</v>
      </c>
      <c r="N375" s="1" t="s">
        <v>67</v>
      </c>
      <c r="O375" s="1" t="s">
        <v>52</v>
      </c>
      <c r="P375" s="1" t="s">
        <v>55</v>
      </c>
      <c r="Q375" s="1">
        <v>13</v>
      </c>
      <c r="R375" s="1">
        <v>13</v>
      </c>
      <c r="S375" s="1">
        <v>0</v>
      </c>
      <c r="T375" s="1">
        <v>0</v>
      </c>
      <c r="U375" s="1">
        <v>0</v>
      </c>
      <c r="V375" s="1" t="str">
        <f t="shared" si="47"/>
        <v>里程返程</v>
      </c>
      <c r="W375" s="1" t="s">
        <v>35</v>
      </c>
    </row>
    <row r="376" spans="1:23" x14ac:dyDescent="0.3">
      <c r="A376" s="1" t="str">
        <f t="shared" si="51"/>
        <v>59820</v>
      </c>
      <c r="B376" s="1" t="s">
        <v>53</v>
      </c>
      <c r="C376" s="1" t="s">
        <v>54</v>
      </c>
      <c r="D376" s="1" t="str">
        <f t="shared" si="46"/>
        <v>9801</v>
      </c>
      <c r="E376" s="1" t="s">
        <v>25</v>
      </c>
      <c r="F376" s="1" t="str">
        <f>"1754328245"</f>
        <v>1754328245</v>
      </c>
      <c r="G376" s="1" t="s">
        <v>26</v>
      </c>
      <c r="H376" s="1" t="str">
        <f t="shared" si="52"/>
        <v>20220906</v>
      </c>
      <c r="I376" s="1" t="str">
        <f>"115253"</f>
        <v>115253</v>
      </c>
      <c r="J376" s="1" t="s">
        <v>28</v>
      </c>
      <c r="K376" s="1" t="s">
        <v>28</v>
      </c>
      <c r="L376" s="1" t="str">
        <f t="shared" si="53"/>
        <v>20220906</v>
      </c>
      <c r="M376" s="1" t="str">
        <f>"120337"</f>
        <v>120337</v>
      </c>
      <c r="N376" s="1" t="s">
        <v>67</v>
      </c>
      <c r="O376" s="1" t="s">
        <v>52</v>
      </c>
      <c r="P376" s="1" t="s">
        <v>55</v>
      </c>
      <c r="Q376" s="1">
        <v>13</v>
      </c>
      <c r="R376" s="1">
        <v>13</v>
      </c>
      <c r="S376" s="1">
        <v>0</v>
      </c>
      <c r="T376" s="1">
        <v>0</v>
      </c>
      <c r="U376" s="1">
        <v>0</v>
      </c>
      <c r="V376" s="1" t="str">
        <f t="shared" si="47"/>
        <v>里程返程</v>
      </c>
      <c r="W376" s="1" t="s">
        <v>35</v>
      </c>
    </row>
    <row r="377" spans="1:23" x14ac:dyDescent="0.3">
      <c r="A377" s="1" t="str">
        <f t="shared" si="51"/>
        <v>59820</v>
      </c>
      <c r="B377" s="1" t="s">
        <v>53</v>
      </c>
      <c r="C377" s="1" t="s">
        <v>54</v>
      </c>
      <c r="D377" s="1" t="str">
        <f t="shared" si="46"/>
        <v>9801</v>
      </c>
      <c r="E377" s="1" t="s">
        <v>25</v>
      </c>
      <c r="F377" s="1" t="str">
        <f>"8201E70266880400C834002000000015"</f>
        <v>8201E70266880400C834002000000015</v>
      </c>
      <c r="G377" s="1" t="s">
        <v>74</v>
      </c>
      <c r="H377" s="1" t="str">
        <f t="shared" si="52"/>
        <v>20220906</v>
      </c>
      <c r="I377" s="1" t="str">
        <f>"115355"</f>
        <v>115355</v>
      </c>
      <c r="J377" s="1" t="s">
        <v>28</v>
      </c>
      <c r="K377" s="1" t="s">
        <v>28</v>
      </c>
      <c r="L377" s="1" t="str">
        <f t="shared" si="53"/>
        <v>20220906</v>
      </c>
      <c r="M377" s="1" t="str">
        <f>"121709"</f>
        <v>121709</v>
      </c>
      <c r="N377" s="1" t="s">
        <v>51</v>
      </c>
      <c r="O377" s="1" t="s">
        <v>52</v>
      </c>
      <c r="P377" s="1" t="s">
        <v>68</v>
      </c>
      <c r="Q377" s="1">
        <v>13</v>
      </c>
      <c r="R377" s="1">
        <v>0</v>
      </c>
      <c r="S377" s="1">
        <v>0</v>
      </c>
      <c r="T377" s="1">
        <v>13</v>
      </c>
      <c r="U377" s="1">
        <v>0</v>
      </c>
      <c r="V377" s="1" t="str">
        <f t="shared" si="47"/>
        <v>里程返程</v>
      </c>
      <c r="W377" s="1" t="s">
        <v>29</v>
      </c>
    </row>
    <row r="378" spans="1:23" x14ac:dyDescent="0.3">
      <c r="A378" s="1" t="str">
        <f t="shared" si="51"/>
        <v>59820</v>
      </c>
      <c r="B378" s="1" t="s">
        <v>53</v>
      </c>
      <c r="C378" s="1" t="s">
        <v>54</v>
      </c>
      <c r="D378" s="1" t="str">
        <f t="shared" si="46"/>
        <v>9801</v>
      </c>
      <c r="E378" s="1" t="s">
        <v>25</v>
      </c>
      <c r="F378" s="1" t="str">
        <f>"F2C64D0E77880400C806002000000018"</f>
        <v>F2C64D0E77880400C806002000000018</v>
      </c>
      <c r="G378" s="1" t="s">
        <v>58</v>
      </c>
      <c r="H378" s="1" t="str">
        <f t="shared" si="52"/>
        <v>20220906</v>
      </c>
      <c r="I378" s="1" t="str">
        <f>"120945"</f>
        <v>120945</v>
      </c>
      <c r="J378" s="1" t="s">
        <v>80</v>
      </c>
      <c r="K378" s="1" t="s">
        <v>52</v>
      </c>
      <c r="L378" s="1" t="str">
        <f t="shared" si="53"/>
        <v>20220906</v>
      </c>
      <c r="M378" s="1" t="str">
        <f>"121853"</f>
        <v>121853</v>
      </c>
      <c r="N378" s="1" t="s">
        <v>60</v>
      </c>
      <c r="O378" s="1" t="s">
        <v>52</v>
      </c>
      <c r="P378" s="1" t="s">
        <v>55</v>
      </c>
      <c r="Q378" s="1">
        <v>25</v>
      </c>
      <c r="R378" s="1">
        <v>25</v>
      </c>
      <c r="S378" s="1">
        <v>0</v>
      </c>
      <c r="T378" s="1">
        <v>0</v>
      </c>
      <c r="U378" s="1">
        <v>0</v>
      </c>
      <c r="V378" s="1" t="str">
        <f t="shared" si="47"/>
        <v>里程返程</v>
      </c>
      <c r="W378" s="1" t="s">
        <v>29</v>
      </c>
    </row>
    <row r="379" spans="1:23" x14ac:dyDescent="0.3">
      <c r="A379" s="1" t="str">
        <f t="shared" si="51"/>
        <v>59820</v>
      </c>
      <c r="B379" s="1" t="s">
        <v>53</v>
      </c>
      <c r="C379" s="1" t="s">
        <v>54</v>
      </c>
      <c r="D379" s="1" t="str">
        <f t="shared" si="46"/>
        <v>9801</v>
      </c>
      <c r="E379" s="1" t="s">
        <v>25</v>
      </c>
      <c r="F379" s="1" t="str">
        <f>"1715139285"</f>
        <v>1715139285</v>
      </c>
      <c r="G379" s="1" t="s">
        <v>33</v>
      </c>
      <c r="H379" s="1" t="str">
        <f t="shared" si="52"/>
        <v>20220906</v>
      </c>
      <c r="I379" s="1" t="str">
        <f>"193059"</f>
        <v>193059</v>
      </c>
      <c r="J379" s="1" t="s">
        <v>84</v>
      </c>
      <c r="K379" s="1" t="s">
        <v>28</v>
      </c>
      <c r="L379" s="1" t="str">
        <f t="shared" si="53"/>
        <v>20220906</v>
      </c>
      <c r="M379" s="1" t="str">
        <f>"195408"</f>
        <v>195408</v>
      </c>
      <c r="N379" s="1" t="s">
        <v>52</v>
      </c>
      <c r="O379" s="1" t="s">
        <v>52</v>
      </c>
      <c r="P379" s="1" t="s">
        <v>55</v>
      </c>
      <c r="Q379" s="1">
        <v>25</v>
      </c>
      <c r="R379" s="1">
        <v>0</v>
      </c>
      <c r="S379" s="1">
        <v>25</v>
      </c>
      <c r="T379" s="1">
        <v>0</v>
      </c>
      <c r="U379" s="1">
        <v>0</v>
      </c>
      <c r="V379" s="1" t="str">
        <f t="shared" si="47"/>
        <v>里程返程</v>
      </c>
      <c r="W379" s="1" t="s">
        <v>35</v>
      </c>
    </row>
    <row r="380" spans="1:23" x14ac:dyDescent="0.3">
      <c r="A380" s="1" t="str">
        <f t="shared" ref="A380:A387" si="54">"59822"</f>
        <v>59822</v>
      </c>
      <c r="B380" s="1" t="s">
        <v>39</v>
      </c>
      <c r="C380" s="1" t="s">
        <v>40</v>
      </c>
      <c r="D380" s="1" t="str">
        <f t="shared" si="46"/>
        <v>9801</v>
      </c>
      <c r="E380" s="1" t="s">
        <v>25</v>
      </c>
      <c r="F380" s="1" t="str">
        <f>"F2931A0378880400C834002000000015"</f>
        <v>F2931A0378880400C834002000000015</v>
      </c>
      <c r="G380" s="1" t="s">
        <v>74</v>
      </c>
      <c r="H380" s="1" t="str">
        <f t="shared" si="52"/>
        <v>20220906</v>
      </c>
      <c r="I380" s="1" t="str">
        <f>"182347"</f>
        <v>182347</v>
      </c>
      <c r="J380" s="1" t="s">
        <v>60</v>
      </c>
      <c r="K380" s="1" t="s">
        <v>52</v>
      </c>
      <c r="L380" s="1" t="str">
        <f t="shared" si="53"/>
        <v>20220906</v>
      </c>
      <c r="M380" s="1" t="str">
        <f>"182556"</f>
        <v>182556</v>
      </c>
      <c r="N380" s="1" t="s">
        <v>86</v>
      </c>
      <c r="O380" s="1" t="s">
        <v>52</v>
      </c>
      <c r="P380" s="1" t="s">
        <v>68</v>
      </c>
      <c r="Q380" s="1">
        <v>13</v>
      </c>
      <c r="R380" s="1">
        <v>0</v>
      </c>
      <c r="S380" s="1">
        <v>0</v>
      </c>
      <c r="T380" s="1">
        <v>13</v>
      </c>
      <c r="U380" s="1">
        <v>0</v>
      </c>
      <c r="V380" s="1" t="str">
        <f t="shared" si="47"/>
        <v>里程返程</v>
      </c>
      <c r="W380" s="1" t="s">
        <v>29</v>
      </c>
    </row>
    <row r="381" spans="1:23" x14ac:dyDescent="0.3">
      <c r="A381" s="1" t="str">
        <f t="shared" si="54"/>
        <v>59822</v>
      </c>
      <c r="B381" s="1" t="s">
        <v>39</v>
      </c>
      <c r="C381" s="1" t="s">
        <v>40</v>
      </c>
      <c r="D381" s="1" t="str">
        <f t="shared" si="46"/>
        <v>9801</v>
      </c>
      <c r="E381" s="1" t="s">
        <v>25</v>
      </c>
      <c r="F381" s="1" t="str">
        <f>"3758942023"</f>
        <v>3758942023</v>
      </c>
      <c r="G381" s="1" t="s">
        <v>33</v>
      </c>
      <c r="H381" s="1" t="str">
        <f t="shared" si="52"/>
        <v>20220906</v>
      </c>
      <c r="I381" s="1" t="str">
        <f>"183947"</f>
        <v>183947</v>
      </c>
      <c r="J381" s="1" t="s">
        <v>61</v>
      </c>
      <c r="K381" s="1" t="s">
        <v>45</v>
      </c>
      <c r="L381" s="1" t="str">
        <f t="shared" si="53"/>
        <v>20220906</v>
      </c>
      <c r="M381" s="1" t="str">
        <f>"185016"</f>
        <v>185016</v>
      </c>
      <c r="N381" s="1" t="s">
        <v>28</v>
      </c>
      <c r="O381" s="1" t="s">
        <v>28</v>
      </c>
      <c r="P381" s="1" t="s">
        <v>55</v>
      </c>
      <c r="Q381" s="1">
        <v>25</v>
      </c>
      <c r="R381" s="1">
        <v>25</v>
      </c>
      <c r="S381" s="1">
        <v>0</v>
      </c>
      <c r="T381" s="1">
        <v>0</v>
      </c>
      <c r="U381" s="1">
        <v>0</v>
      </c>
      <c r="V381" s="1" t="str">
        <f t="shared" si="47"/>
        <v>里程返程</v>
      </c>
      <c r="W381" s="1" t="s">
        <v>35</v>
      </c>
    </row>
    <row r="382" spans="1:23" x14ac:dyDescent="0.3">
      <c r="A382" s="1" t="str">
        <f t="shared" si="54"/>
        <v>59822</v>
      </c>
      <c r="B382" s="1" t="s">
        <v>39</v>
      </c>
      <c r="C382" s="1" t="s">
        <v>40</v>
      </c>
      <c r="D382" s="1" t="str">
        <f t="shared" si="46"/>
        <v>9801</v>
      </c>
      <c r="E382" s="1" t="s">
        <v>25</v>
      </c>
      <c r="F382" s="1" t="str">
        <f>"12827315F628040080CEDA1449814018"</f>
        <v>12827315F628040080CEDA1449814018</v>
      </c>
      <c r="G382" s="1" t="s">
        <v>58</v>
      </c>
      <c r="H382" s="1" t="str">
        <f t="shared" si="52"/>
        <v>20220906</v>
      </c>
      <c r="I382" s="1" t="str">
        <f>"185058"</f>
        <v>185058</v>
      </c>
      <c r="J382" s="1" t="s">
        <v>28</v>
      </c>
      <c r="K382" s="1" t="s">
        <v>28</v>
      </c>
      <c r="L382" s="1" t="str">
        <f t="shared" si="53"/>
        <v>20220906</v>
      </c>
      <c r="M382" s="1" t="str">
        <f>"192240"</f>
        <v>192240</v>
      </c>
      <c r="N382" s="1" t="s">
        <v>52</v>
      </c>
      <c r="O382" s="1" t="s">
        <v>52</v>
      </c>
      <c r="P382" s="1" t="s">
        <v>55</v>
      </c>
      <c r="Q382" s="1">
        <v>25</v>
      </c>
      <c r="R382" s="1">
        <v>0</v>
      </c>
      <c r="S382" s="1">
        <v>25</v>
      </c>
      <c r="T382" s="1">
        <v>0</v>
      </c>
      <c r="U382" s="1">
        <v>0</v>
      </c>
      <c r="V382" s="1" t="str">
        <f t="shared" si="47"/>
        <v>里程返程</v>
      </c>
      <c r="W382" s="1" t="s">
        <v>29</v>
      </c>
    </row>
    <row r="383" spans="1:23" x14ac:dyDescent="0.3">
      <c r="A383" s="1" t="str">
        <f t="shared" si="54"/>
        <v>59822</v>
      </c>
      <c r="B383" s="1" t="s">
        <v>39</v>
      </c>
      <c r="C383" s="1" t="s">
        <v>40</v>
      </c>
      <c r="D383" s="1" t="str">
        <f t="shared" si="46"/>
        <v>9801</v>
      </c>
      <c r="E383" s="1" t="s">
        <v>25</v>
      </c>
      <c r="F383" s="1" t="str">
        <f>"712947415E280400F700000000000000"</f>
        <v>712947415E280400F700000000000000</v>
      </c>
      <c r="G383" s="1" t="s">
        <v>58</v>
      </c>
      <c r="H383" s="1" t="str">
        <f t="shared" si="52"/>
        <v>20220906</v>
      </c>
      <c r="I383" s="1" t="str">
        <f>"185059"</f>
        <v>185059</v>
      </c>
      <c r="J383" s="1" t="s">
        <v>28</v>
      </c>
      <c r="K383" s="1" t="s">
        <v>28</v>
      </c>
      <c r="L383" s="1" t="str">
        <f t="shared" si="53"/>
        <v>20220906</v>
      </c>
      <c r="M383" s="1" t="str">
        <f>"192243"</f>
        <v>192243</v>
      </c>
      <c r="N383" s="1" t="s">
        <v>52</v>
      </c>
      <c r="O383" s="1" t="s">
        <v>52</v>
      </c>
      <c r="P383" s="1" t="s">
        <v>55</v>
      </c>
      <c r="Q383" s="1">
        <v>25</v>
      </c>
      <c r="R383" s="1">
        <v>0</v>
      </c>
      <c r="S383" s="1">
        <v>25</v>
      </c>
      <c r="T383" s="1">
        <v>0</v>
      </c>
      <c r="U383" s="1">
        <v>0</v>
      </c>
      <c r="V383" s="1" t="str">
        <f t="shared" si="47"/>
        <v>里程返程</v>
      </c>
      <c r="W383" s="1" t="s">
        <v>29</v>
      </c>
    </row>
    <row r="384" spans="1:23" x14ac:dyDescent="0.3">
      <c r="A384" s="1" t="str">
        <f t="shared" si="54"/>
        <v>59822</v>
      </c>
      <c r="B384" s="1" t="s">
        <v>39</v>
      </c>
      <c r="C384" s="1" t="s">
        <v>40</v>
      </c>
      <c r="D384" s="1" t="str">
        <f t="shared" si="46"/>
        <v>9801</v>
      </c>
      <c r="E384" s="1" t="s">
        <v>25</v>
      </c>
      <c r="F384" s="1" t="str">
        <f>"969584833"</f>
        <v>969584833</v>
      </c>
      <c r="G384" s="1" t="s">
        <v>33</v>
      </c>
      <c r="H384" s="1" t="str">
        <f t="shared" si="52"/>
        <v>20220906</v>
      </c>
      <c r="I384" s="1" t="str">
        <f>"185106"</f>
        <v>185106</v>
      </c>
      <c r="J384" s="1" t="s">
        <v>28</v>
      </c>
      <c r="K384" s="1" t="s">
        <v>28</v>
      </c>
      <c r="L384" s="1" t="str">
        <f t="shared" si="53"/>
        <v>20220906</v>
      </c>
      <c r="M384" s="1" t="str">
        <f>"191350"</f>
        <v>191350</v>
      </c>
      <c r="N384" s="1" t="s">
        <v>65</v>
      </c>
      <c r="O384" s="1" t="s">
        <v>52</v>
      </c>
      <c r="P384" s="1" t="s">
        <v>55</v>
      </c>
      <c r="Q384" s="1">
        <v>25</v>
      </c>
      <c r="R384" s="1">
        <v>25</v>
      </c>
      <c r="S384" s="1">
        <v>0</v>
      </c>
      <c r="T384" s="1">
        <v>0</v>
      </c>
      <c r="U384" s="1">
        <v>0</v>
      </c>
      <c r="V384" s="1" t="str">
        <f t="shared" si="47"/>
        <v>里程返程</v>
      </c>
      <c r="W384" s="1" t="s">
        <v>35</v>
      </c>
    </row>
    <row r="385" spans="1:23" x14ac:dyDescent="0.3">
      <c r="A385" s="1" t="str">
        <f t="shared" si="54"/>
        <v>59822</v>
      </c>
      <c r="B385" s="1" t="s">
        <v>39</v>
      </c>
      <c r="C385" s="1" t="s">
        <v>40</v>
      </c>
      <c r="D385" s="1" t="str">
        <f t="shared" si="46"/>
        <v>9801</v>
      </c>
      <c r="E385" s="1" t="s">
        <v>25</v>
      </c>
      <c r="F385" s="1" t="str">
        <f>"D2741608B8880400C847002000000015"</f>
        <v>D2741608B8880400C847002000000015</v>
      </c>
      <c r="G385" s="1" t="s">
        <v>59</v>
      </c>
      <c r="H385" s="1" t="str">
        <f t="shared" si="52"/>
        <v>20220906</v>
      </c>
      <c r="I385" s="1" t="str">
        <f>"185139"</f>
        <v>185139</v>
      </c>
      <c r="J385" s="1" t="s">
        <v>28</v>
      </c>
      <c r="K385" s="1" t="s">
        <v>28</v>
      </c>
      <c r="L385" s="1" t="str">
        <f t="shared" si="53"/>
        <v>20220906</v>
      </c>
      <c r="M385" s="1" t="str">
        <f>"192237"</f>
        <v>192237</v>
      </c>
      <c r="N385" s="1" t="s">
        <v>52</v>
      </c>
      <c r="O385" s="1" t="s">
        <v>52</v>
      </c>
      <c r="P385" s="1" t="s">
        <v>55</v>
      </c>
      <c r="Q385" s="1">
        <v>25</v>
      </c>
      <c r="R385" s="1">
        <v>0</v>
      </c>
      <c r="S385" s="1">
        <v>25</v>
      </c>
      <c r="T385" s="1">
        <v>0</v>
      </c>
      <c r="U385" s="1">
        <v>0</v>
      </c>
      <c r="V385" s="1" t="str">
        <f t="shared" si="47"/>
        <v>里程返程</v>
      </c>
      <c r="W385" s="1" t="s">
        <v>29</v>
      </c>
    </row>
    <row r="386" spans="1:23" x14ac:dyDescent="0.3">
      <c r="A386" s="1" t="str">
        <f t="shared" si="54"/>
        <v>59822</v>
      </c>
      <c r="B386" s="1" t="s">
        <v>39</v>
      </c>
      <c r="C386" s="1" t="s">
        <v>40</v>
      </c>
      <c r="D386" s="1" t="str">
        <f t="shared" ref="D386:D449" si="55">"9801"</f>
        <v>9801</v>
      </c>
      <c r="E386" s="1" t="s">
        <v>25</v>
      </c>
      <c r="F386" s="1" t="str">
        <f>"C2A67B021D880400C821002000000015"</f>
        <v>C2A67B021D880400C821002000000015</v>
      </c>
      <c r="G386" s="1" t="s">
        <v>58</v>
      </c>
      <c r="H386" s="1" t="str">
        <f t="shared" si="52"/>
        <v>20220906</v>
      </c>
      <c r="I386" s="1" t="str">
        <f>"185145"</f>
        <v>185145</v>
      </c>
      <c r="J386" s="1" t="s">
        <v>28</v>
      </c>
      <c r="K386" s="1" t="s">
        <v>28</v>
      </c>
      <c r="L386" s="1" t="str">
        <f t="shared" si="53"/>
        <v>20220906</v>
      </c>
      <c r="M386" s="1" t="str">
        <f>"192227"</f>
        <v>192227</v>
      </c>
      <c r="N386" s="1" t="s">
        <v>52</v>
      </c>
      <c r="O386" s="1" t="s">
        <v>52</v>
      </c>
      <c r="P386" s="1" t="s">
        <v>55</v>
      </c>
      <c r="Q386" s="1">
        <v>25</v>
      </c>
      <c r="R386" s="1">
        <v>25</v>
      </c>
      <c r="S386" s="1">
        <v>0</v>
      </c>
      <c r="T386" s="1">
        <v>0</v>
      </c>
      <c r="U386" s="1">
        <v>0</v>
      </c>
      <c r="V386" s="1" t="str">
        <f t="shared" ref="V386:V449" si="56">"里程返程"</f>
        <v>里程返程</v>
      </c>
      <c r="W386" s="1" t="s">
        <v>29</v>
      </c>
    </row>
    <row r="387" spans="1:23" x14ac:dyDescent="0.3">
      <c r="A387" s="1" t="str">
        <f t="shared" si="54"/>
        <v>59822</v>
      </c>
      <c r="B387" s="1" t="s">
        <v>39</v>
      </c>
      <c r="C387" s="1" t="s">
        <v>40</v>
      </c>
      <c r="D387" s="1" t="str">
        <f t="shared" si="55"/>
        <v>9801</v>
      </c>
      <c r="E387" s="1" t="s">
        <v>25</v>
      </c>
      <c r="F387" s="1" t="str">
        <f>"E130C75F492804001C00000000000000"</f>
        <v>E130C75F492804001C00000000000000</v>
      </c>
      <c r="G387" s="1" t="s">
        <v>58</v>
      </c>
      <c r="H387" s="1" t="str">
        <f t="shared" si="52"/>
        <v>20220906</v>
      </c>
      <c r="I387" s="1" t="str">
        <f>"185258"</f>
        <v>185258</v>
      </c>
      <c r="J387" s="1" t="s">
        <v>28</v>
      </c>
      <c r="K387" s="1" t="s">
        <v>28</v>
      </c>
      <c r="L387" s="1" t="str">
        <f t="shared" si="53"/>
        <v>20220906</v>
      </c>
      <c r="M387" s="1" t="str">
        <f>"191044"</f>
        <v>191044</v>
      </c>
      <c r="N387" s="1" t="s">
        <v>80</v>
      </c>
      <c r="O387" s="1" t="s">
        <v>52</v>
      </c>
      <c r="P387" s="1" t="s">
        <v>55</v>
      </c>
      <c r="Q387" s="1">
        <v>25</v>
      </c>
      <c r="R387" s="1">
        <v>0</v>
      </c>
      <c r="S387" s="1">
        <v>25</v>
      </c>
      <c r="T387" s="1">
        <v>0</v>
      </c>
      <c r="U387" s="1">
        <v>0</v>
      </c>
      <c r="V387" s="1" t="str">
        <f t="shared" si="56"/>
        <v>里程返程</v>
      </c>
      <c r="W387" s="1" t="s">
        <v>29</v>
      </c>
    </row>
    <row r="388" spans="1:23" x14ac:dyDescent="0.3">
      <c r="A388" s="1" t="str">
        <f t="shared" ref="A388:A420" si="57">"59809"</f>
        <v>59809</v>
      </c>
      <c r="B388" s="1" t="s">
        <v>42</v>
      </c>
      <c r="C388" s="1" t="s">
        <v>43</v>
      </c>
      <c r="D388" s="1" t="str">
        <f t="shared" si="55"/>
        <v>9801</v>
      </c>
      <c r="E388" s="1" t="s">
        <v>25</v>
      </c>
      <c r="F388" s="1" t="str">
        <f>"E130C75F492804001C00000000000000"</f>
        <v>E130C75F492804001C00000000000000</v>
      </c>
      <c r="G388" s="1" t="s">
        <v>58</v>
      </c>
      <c r="H388" s="1" t="str">
        <f t="shared" ref="H388:H419" si="58">"20220907"</f>
        <v>20220907</v>
      </c>
      <c r="I388" s="1" t="str">
        <f>"061253"</f>
        <v>061253</v>
      </c>
      <c r="J388" s="1" t="s">
        <v>79</v>
      </c>
      <c r="K388" s="1" t="s">
        <v>45</v>
      </c>
      <c r="L388" s="1" t="str">
        <f t="shared" ref="L388:L419" si="59">"20220907"</f>
        <v>20220907</v>
      </c>
      <c r="M388" s="1" t="str">
        <f>"062100"</f>
        <v>062100</v>
      </c>
      <c r="N388" s="1" t="s">
        <v>28</v>
      </c>
      <c r="O388" s="1" t="s">
        <v>28</v>
      </c>
      <c r="P388" s="1" t="s">
        <v>55</v>
      </c>
      <c r="Q388" s="1">
        <v>25</v>
      </c>
      <c r="R388" s="1">
        <v>25</v>
      </c>
      <c r="S388" s="1">
        <v>0</v>
      </c>
      <c r="T388" s="1">
        <v>0</v>
      </c>
      <c r="U388" s="1">
        <v>0</v>
      </c>
      <c r="V388" s="1" t="str">
        <f t="shared" si="56"/>
        <v>里程返程</v>
      </c>
      <c r="W388" s="1" t="s">
        <v>29</v>
      </c>
    </row>
    <row r="389" spans="1:23" x14ac:dyDescent="0.3">
      <c r="A389" s="1" t="str">
        <f t="shared" si="57"/>
        <v>59809</v>
      </c>
      <c r="B389" s="1" t="s">
        <v>42</v>
      </c>
      <c r="C389" s="1" t="s">
        <v>43</v>
      </c>
      <c r="D389" s="1" t="str">
        <f t="shared" si="55"/>
        <v>9801</v>
      </c>
      <c r="E389" s="1" t="s">
        <v>25</v>
      </c>
      <c r="F389" s="1" t="str">
        <f>"1752749445"</f>
        <v>1752749445</v>
      </c>
      <c r="G389" s="1" t="s">
        <v>33</v>
      </c>
      <c r="H389" s="1" t="str">
        <f t="shared" si="58"/>
        <v>20220907</v>
      </c>
      <c r="I389" s="1" t="str">
        <f>"062914"</f>
        <v>062914</v>
      </c>
      <c r="J389" s="1" t="s">
        <v>28</v>
      </c>
      <c r="K389" s="1" t="s">
        <v>28</v>
      </c>
      <c r="L389" s="1" t="str">
        <f t="shared" si="59"/>
        <v>20220907</v>
      </c>
      <c r="M389" s="1" t="str">
        <f>"065407"</f>
        <v>065407</v>
      </c>
      <c r="N389" s="1" t="s">
        <v>72</v>
      </c>
      <c r="O389" s="1" t="s">
        <v>52</v>
      </c>
      <c r="P389" s="1" t="s">
        <v>55</v>
      </c>
      <c r="Q389" s="1">
        <v>25</v>
      </c>
      <c r="R389" s="1">
        <v>0</v>
      </c>
      <c r="S389" s="1">
        <v>25</v>
      </c>
      <c r="T389" s="1">
        <v>0</v>
      </c>
      <c r="U389" s="1">
        <v>0</v>
      </c>
      <c r="V389" s="1" t="str">
        <f t="shared" si="56"/>
        <v>里程返程</v>
      </c>
      <c r="W389" s="1" t="s">
        <v>35</v>
      </c>
    </row>
    <row r="390" spans="1:23" x14ac:dyDescent="0.3">
      <c r="A390" s="1" t="str">
        <f t="shared" si="57"/>
        <v>59809</v>
      </c>
      <c r="B390" s="1" t="s">
        <v>42</v>
      </c>
      <c r="C390" s="1" t="s">
        <v>43</v>
      </c>
      <c r="D390" s="1" t="str">
        <f t="shared" si="55"/>
        <v>9801</v>
      </c>
      <c r="E390" s="1" t="s">
        <v>25</v>
      </c>
      <c r="F390" s="1" t="str">
        <f>"619F1761882804001C00000000000000"</f>
        <v>619F1761882804001C00000000000000</v>
      </c>
      <c r="G390" s="1" t="s">
        <v>58</v>
      </c>
      <c r="H390" s="1" t="str">
        <f t="shared" si="58"/>
        <v>20220907</v>
      </c>
      <c r="I390" s="1" t="str">
        <f>"062916"</f>
        <v>062916</v>
      </c>
      <c r="J390" s="1" t="s">
        <v>28</v>
      </c>
      <c r="K390" s="1" t="s">
        <v>28</v>
      </c>
      <c r="L390" s="1" t="str">
        <f t="shared" si="59"/>
        <v>20220907</v>
      </c>
      <c r="M390" s="1" t="str">
        <f>"065353"</f>
        <v>065353</v>
      </c>
      <c r="N390" s="1" t="s">
        <v>65</v>
      </c>
      <c r="O390" s="1" t="s">
        <v>52</v>
      </c>
      <c r="P390" s="1" t="s">
        <v>55</v>
      </c>
      <c r="Q390" s="1">
        <v>25</v>
      </c>
      <c r="R390" s="1">
        <v>0</v>
      </c>
      <c r="S390" s="1">
        <v>25</v>
      </c>
      <c r="T390" s="1">
        <v>0</v>
      </c>
      <c r="U390" s="1">
        <v>0</v>
      </c>
      <c r="V390" s="1" t="str">
        <f t="shared" si="56"/>
        <v>里程返程</v>
      </c>
      <c r="W390" s="1" t="s">
        <v>29</v>
      </c>
    </row>
    <row r="391" spans="1:23" x14ac:dyDescent="0.3">
      <c r="A391" s="1" t="str">
        <f t="shared" si="57"/>
        <v>59809</v>
      </c>
      <c r="B391" s="1" t="s">
        <v>42</v>
      </c>
      <c r="C391" s="1" t="s">
        <v>43</v>
      </c>
      <c r="D391" s="1" t="str">
        <f t="shared" si="55"/>
        <v>9801</v>
      </c>
      <c r="E391" s="1" t="s">
        <v>25</v>
      </c>
      <c r="F391" s="1" t="str">
        <f>"E27D1D0381880400C834002000000015"</f>
        <v>E27D1D0381880400C834002000000015</v>
      </c>
      <c r="G391" s="1" t="s">
        <v>26</v>
      </c>
      <c r="H391" s="1" t="str">
        <f t="shared" si="58"/>
        <v>20220907</v>
      </c>
      <c r="I391" s="1" t="str">
        <f>"062926"</f>
        <v>062926</v>
      </c>
      <c r="J391" s="1" t="s">
        <v>28</v>
      </c>
      <c r="K391" s="1" t="s">
        <v>28</v>
      </c>
      <c r="L391" s="1" t="str">
        <f t="shared" si="59"/>
        <v>20220907</v>
      </c>
      <c r="M391" s="1" t="str">
        <f>"065302"</f>
        <v>065302</v>
      </c>
      <c r="N391" s="1" t="s">
        <v>65</v>
      </c>
      <c r="O391" s="1" t="s">
        <v>52</v>
      </c>
      <c r="P391" s="1" t="s">
        <v>68</v>
      </c>
      <c r="Q391" s="1">
        <v>13</v>
      </c>
      <c r="R391" s="1">
        <v>0</v>
      </c>
      <c r="S391" s="1">
        <v>0</v>
      </c>
      <c r="T391" s="1">
        <v>13</v>
      </c>
      <c r="U391" s="1">
        <v>0</v>
      </c>
      <c r="V391" s="1" t="str">
        <f t="shared" si="56"/>
        <v>里程返程</v>
      </c>
      <c r="W391" s="1" t="s">
        <v>29</v>
      </c>
    </row>
    <row r="392" spans="1:23" x14ac:dyDescent="0.3">
      <c r="A392" s="1" t="str">
        <f t="shared" si="57"/>
        <v>59809</v>
      </c>
      <c r="B392" s="1" t="s">
        <v>42</v>
      </c>
      <c r="C392" s="1" t="s">
        <v>43</v>
      </c>
      <c r="D392" s="1" t="str">
        <f t="shared" si="55"/>
        <v>9801</v>
      </c>
      <c r="E392" s="1" t="s">
        <v>25</v>
      </c>
      <c r="F392" s="1" t="str">
        <f>"026A101860880400C814002000000019"</f>
        <v>026A101860880400C814002000000019</v>
      </c>
      <c r="G392" s="1" t="s">
        <v>59</v>
      </c>
      <c r="H392" s="1" t="str">
        <f t="shared" si="58"/>
        <v>20220907</v>
      </c>
      <c r="I392" s="1" t="str">
        <f>"063245"</f>
        <v>063245</v>
      </c>
      <c r="J392" s="1" t="s">
        <v>28</v>
      </c>
      <c r="K392" s="1" t="s">
        <v>28</v>
      </c>
      <c r="L392" s="1" t="str">
        <f t="shared" si="59"/>
        <v>20220907</v>
      </c>
      <c r="M392" s="1" t="str">
        <f>"065457"</f>
        <v>065457</v>
      </c>
      <c r="N392" s="1" t="s">
        <v>71</v>
      </c>
      <c r="O392" s="1" t="s">
        <v>52</v>
      </c>
      <c r="P392" s="1" t="s">
        <v>55</v>
      </c>
      <c r="Q392" s="1">
        <v>25</v>
      </c>
      <c r="R392" s="1">
        <v>0</v>
      </c>
      <c r="S392" s="1">
        <v>25</v>
      </c>
      <c r="T392" s="1">
        <v>0</v>
      </c>
      <c r="U392" s="1">
        <v>0</v>
      </c>
      <c r="V392" s="1" t="str">
        <f t="shared" si="56"/>
        <v>里程返程</v>
      </c>
      <c r="W392" s="1" t="s">
        <v>29</v>
      </c>
    </row>
    <row r="393" spans="1:23" x14ac:dyDescent="0.3">
      <c r="A393" s="1" t="str">
        <f t="shared" si="57"/>
        <v>59809</v>
      </c>
      <c r="B393" s="1" t="s">
        <v>42</v>
      </c>
      <c r="C393" s="1" t="s">
        <v>43</v>
      </c>
      <c r="D393" s="1" t="str">
        <f t="shared" si="55"/>
        <v>9801</v>
      </c>
      <c r="E393" s="1" t="s">
        <v>25</v>
      </c>
      <c r="F393" s="1" t="str">
        <f>"D2EDC500FA880400C801002000000015"</f>
        <v>D2EDC500FA880400C801002000000015</v>
      </c>
      <c r="G393" s="1" t="s">
        <v>58</v>
      </c>
      <c r="H393" s="1" t="str">
        <f t="shared" si="58"/>
        <v>20220907</v>
      </c>
      <c r="I393" s="1" t="str">
        <f>"063559"</f>
        <v>063559</v>
      </c>
      <c r="J393" s="1" t="s">
        <v>28</v>
      </c>
      <c r="K393" s="1" t="s">
        <v>28</v>
      </c>
      <c r="L393" s="1" t="str">
        <f t="shared" si="59"/>
        <v>20220907</v>
      </c>
      <c r="M393" s="1" t="str">
        <f>"070053"</f>
        <v>070053</v>
      </c>
      <c r="N393" s="1" t="s">
        <v>52</v>
      </c>
      <c r="O393" s="1" t="s">
        <v>52</v>
      </c>
      <c r="P393" s="1" t="s">
        <v>55</v>
      </c>
      <c r="Q393" s="1">
        <v>25</v>
      </c>
      <c r="R393" s="1">
        <v>25</v>
      </c>
      <c r="S393" s="1">
        <v>0</v>
      </c>
      <c r="T393" s="1">
        <v>0</v>
      </c>
      <c r="U393" s="1">
        <v>0</v>
      </c>
      <c r="V393" s="1" t="str">
        <f t="shared" si="56"/>
        <v>里程返程</v>
      </c>
      <c r="W393" s="1" t="s">
        <v>29</v>
      </c>
    </row>
    <row r="394" spans="1:23" x14ac:dyDescent="0.3">
      <c r="A394" s="1" t="str">
        <f t="shared" si="57"/>
        <v>59809</v>
      </c>
      <c r="B394" s="1" t="s">
        <v>42</v>
      </c>
      <c r="C394" s="1" t="s">
        <v>43</v>
      </c>
      <c r="D394" s="1" t="str">
        <f t="shared" si="55"/>
        <v>9801</v>
      </c>
      <c r="E394" s="1" t="s">
        <v>25</v>
      </c>
      <c r="F394" s="1" t="str">
        <f>"1620340437"</f>
        <v>1620340437</v>
      </c>
      <c r="G394" s="1" t="s">
        <v>26</v>
      </c>
      <c r="H394" s="1" t="str">
        <f t="shared" si="58"/>
        <v>20220907</v>
      </c>
      <c r="I394" s="1" t="str">
        <f>"070130"</f>
        <v>070130</v>
      </c>
      <c r="J394" s="1" t="s">
        <v>44</v>
      </c>
      <c r="K394" s="1" t="s">
        <v>45</v>
      </c>
      <c r="L394" s="1" t="str">
        <f t="shared" si="59"/>
        <v>20220907</v>
      </c>
      <c r="M394" s="1" t="str">
        <f>"072136"</f>
        <v>072136</v>
      </c>
      <c r="N394" s="1" t="s">
        <v>28</v>
      </c>
      <c r="O394" s="1" t="s">
        <v>28</v>
      </c>
      <c r="P394" s="1" t="s">
        <v>55</v>
      </c>
      <c r="Q394" s="1">
        <v>13</v>
      </c>
      <c r="R394" s="1">
        <v>13</v>
      </c>
      <c r="S394" s="1">
        <v>0</v>
      </c>
      <c r="T394" s="1">
        <v>0</v>
      </c>
      <c r="U394" s="1">
        <v>0</v>
      </c>
      <c r="V394" s="1" t="str">
        <f t="shared" si="56"/>
        <v>里程返程</v>
      </c>
      <c r="W394" s="1" t="s">
        <v>35</v>
      </c>
    </row>
    <row r="395" spans="1:23" x14ac:dyDescent="0.3">
      <c r="A395" s="1" t="str">
        <f t="shared" si="57"/>
        <v>59809</v>
      </c>
      <c r="B395" s="1" t="s">
        <v>42</v>
      </c>
      <c r="C395" s="1" t="s">
        <v>43</v>
      </c>
      <c r="D395" s="1" t="str">
        <f t="shared" si="55"/>
        <v>9801</v>
      </c>
      <c r="E395" s="1" t="s">
        <v>25</v>
      </c>
      <c r="F395" s="1" t="str">
        <f>"679685533"</f>
        <v>679685533</v>
      </c>
      <c r="G395" s="1" t="s">
        <v>26</v>
      </c>
      <c r="H395" s="1" t="str">
        <f t="shared" si="58"/>
        <v>20220907</v>
      </c>
      <c r="I395" s="1" t="str">
        <f>"070132"</f>
        <v>070132</v>
      </c>
      <c r="J395" s="1" t="s">
        <v>44</v>
      </c>
      <c r="K395" s="1" t="s">
        <v>45</v>
      </c>
      <c r="L395" s="1" t="str">
        <f t="shared" si="59"/>
        <v>20220907</v>
      </c>
      <c r="M395" s="1" t="str">
        <f>"072144"</f>
        <v>072144</v>
      </c>
      <c r="N395" s="1" t="s">
        <v>28</v>
      </c>
      <c r="O395" s="1" t="s">
        <v>28</v>
      </c>
      <c r="P395" s="1" t="s">
        <v>55</v>
      </c>
      <c r="Q395" s="1">
        <v>13</v>
      </c>
      <c r="R395" s="1">
        <v>13</v>
      </c>
      <c r="S395" s="1">
        <v>0</v>
      </c>
      <c r="T395" s="1">
        <v>0</v>
      </c>
      <c r="U395" s="1">
        <v>0</v>
      </c>
      <c r="V395" s="1" t="str">
        <f t="shared" si="56"/>
        <v>里程返程</v>
      </c>
      <c r="W395" s="1" t="s">
        <v>35</v>
      </c>
    </row>
    <row r="396" spans="1:23" x14ac:dyDescent="0.3">
      <c r="A396" s="1" t="str">
        <f t="shared" si="57"/>
        <v>59809</v>
      </c>
      <c r="B396" s="1" t="s">
        <v>42</v>
      </c>
      <c r="C396" s="1" t="s">
        <v>43</v>
      </c>
      <c r="D396" s="1" t="str">
        <f t="shared" si="55"/>
        <v>9801</v>
      </c>
      <c r="E396" s="1" t="s">
        <v>25</v>
      </c>
      <c r="F396" s="1" t="str">
        <f>"313390593"</f>
        <v>313390593</v>
      </c>
      <c r="G396" s="1" t="s">
        <v>33</v>
      </c>
      <c r="H396" s="1" t="str">
        <f t="shared" si="58"/>
        <v>20220907</v>
      </c>
      <c r="I396" s="1" t="str">
        <f>"070137"</f>
        <v>070137</v>
      </c>
      <c r="J396" s="1" t="s">
        <v>44</v>
      </c>
      <c r="K396" s="1" t="s">
        <v>45</v>
      </c>
      <c r="L396" s="1" t="str">
        <f t="shared" si="59"/>
        <v>20220907</v>
      </c>
      <c r="M396" s="1" t="str">
        <f>"072147"</f>
        <v>072147</v>
      </c>
      <c r="N396" s="1" t="s">
        <v>28</v>
      </c>
      <c r="O396" s="1" t="s">
        <v>28</v>
      </c>
      <c r="P396" s="1" t="s">
        <v>55</v>
      </c>
      <c r="Q396" s="1">
        <v>25</v>
      </c>
      <c r="R396" s="1">
        <v>25</v>
      </c>
      <c r="S396" s="1">
        <v>0</v>
      </c>
      <c r="T396" s="1">
        <v>0</v>
      </c>
      <c r="U396" s="1">
        <v>0</v>
      </c>
      <c r="V396" s="1" t="str">
        <f t="shared" si="56"/>
        <v>里程返程</v>
      </c>
      <c r="W396" s="1" t="s">
        <v>35</v>
      </c>
    </row>
    <row r="397" spans="1:23" x14ac:dyDescent="0.3">
      <c r="A397" s="1" t="str">
        <f t="shared" si="57"/>
        <v>59809</v>
      </c>
      <c r="B397" s="1" t="s">
        <v>42</v>
      </c>
      <c r="C397" s="1" t="s">
        <v>43</v>
      </c>
      <c r="D397" s="1" t="str">
        <f t="shared" si="55"/>
        <v>9801</v>
      </c>
      <c r="E397" s="1" t="s">
        <v>25</v>
      </c>
      <c r="F397" s="1" t="str">
        <f>"D257BD023A880400C834002000000015"</f>
        <v>D257BD023A880400C834002000000015</v>
      </c>
      <c r="G397" s="1" t="s">
        <v>74</v>
      </c>
      <c r="H397" s="1" t="str">
        <f t="shared" si="58"/>
        <v>20220907</v>
      </c>
      <c r="I397" s="1" t="str">
        <f>"072153"</f>
        <v>072153</v>
      </c>
      <c r="J397" s="1" t="s">
        <v>28</v>
      </c>
      <c r="K397" s="1" t="s">
        <v>28</v>
      </c>
      <c r="L397" s="1" t="str">
        <f t="shared" si="59"/>
        <v>20220907</v>
      </c>
      <c r="M397" s="1" t="str">
        <f>"073145"</f>
        <v>073145</v>
      </c>
      <c r="N397" s="1" t="s">
        <v>67</v>
      </c>
      <c r="O397" s="1" t="s">
        <v>52</v>
      </c>
      <c r="P397" s="1" t="s">
        <v>68</v>
      </c>
      <c r="Q397" s="1">
        <v>13</v>
      </c>
      <c r="R397" s="1">
        <v>0</v>
      </c>
      <c r="S397" s="1">
        <v>0</v>
      </c>
      <c r="T397" s="1">
        <v>13</v>
      </c>
      <c r="U397" s="1">
        <v>0</v>
      </c>
      <c r="V397" s="1" t="str">
        <f t="shared" si="56"/>
        <v>里程返程</v>
      </c>
      <c r="W397" s="1" t="s">
        <v>29</v>
      </c>
    </row>
    <row r="398" spans="1:23" x14ac:dyDescent="0.3">
      <c r="A398" s="1" t="str">
        <f t="shared" si="57"/>
        <v>59809</v>
      </c>
      <c r="B398" s="1" t="s">
        <v>42</v>
      </c>
      <c r="C398" s="1" t="s">
        <v>43</v>
      </c>
      <c r="D398" s="1" t="str">
        <f t="shared" si="55"/>
        <v>9801</v>
      </c>
      <c r="E398" s="1" t="s">
        <v>25</v>
      </c>
      <c r="F398" s="1" t="str">
        <f>"F282E40195880400C821002000000015"</f>
        <v>F282E40195880400C821002000000015</v>
      </c>
      <c r="G398" s="1" t="s">
        <v>58</v>
      </c>
      <c r="H398" s="1" t="str">
        <f t="shared" si="58"/>
        <v>20220907</v>
      </c>
      <c r="I398" s="1" t="str">
        <f>"072156"</f>
        <v>072156</v>
      </c>
      <c r="J398" s="1" t="s">
        <v>28</v>
      </c>
      <c r="K398" s="1" t="s">
        <v>28</v>
      </c>
      <c r="L398" s="1" t="str">
        <f t="shared" si="59"/>
        <v>20220907</v>
      </c>
      <c r="M398" s="1" t="str">
        <f>"074509"</f>
        <v>074509</v>
      </c>
      <c r="N398" s="1" t="s">
        <v>65</v>
      </c>
      <c r="O398" s="1" t="s">
        <v>52</v>
      </c>
      <c r="P398" s="1" t="s">
        <v>55</v>
      </c>
      <c r="Q398" s="1">
        <v>25</v>
      </c>
      <c r="R398" s="1">
        <v>0</v>
      </c>
      <c r="S398" s="1">
        <v>25</v>
      </c>
      <c r="T398" s="1">
        <v>0</v>
      </c>
      <c r="U398" s="1">
        <v>0</v>
      </c>
      <c r="V398" s="1" t="str">
        <f t="shared" si="56"/>
        <v>里程返程</v>
      </c>
      <c r="W398" s="1" t="s">
        <v>29</v>
      </c>
    </row>
    <row r="399" spans="1:23" x14ac:dyDescent="0.3">
      <c r="A399" s="1" t="str">
        <f t="shared" si="57"/>
        <v>59809</v>
      </c>
      <c r="B399" s="1" t="s">
        <v>42</v>
      </c>
      <c r="C399" s="1" t="s">
        <v>43</v>
      </c>
      <c r="D399" s="1" t="str">
        <f t="shared" si="55"/>
        <v>9801</v>
      </c>
      <c r="E399" s="1" t="s">
        <v>25</v>
      </c>
      <c r="F399" s="1" t="str">
        <f>"82730F18E6880400C814002000000019"</f>
        <v>82730F18E6880400C814002000000019</v>
      </c>
      <c r="G399" s="1" t="s">
        <v>59</v>
      </c>
      <c r="H399" s="1" t="str">
        <f t="shared" si="58"/>
        <v>20220907</v>
      </c>
      <c r="I399" s="1" t="str">
        <f>"072159"</f>
        <v>072159</v>
      </c>
      <c r="J399" s="1" t="s">
        <v>28</v>
      </c>
      <c r="K399" s="1" t="s">
        <v>28</v>
      </c>
      <c r="L399" s="1" t="str">
        <f t="shared" si="59"/>
        <v>20220907</v>
      </c>
      <c r="M399" s="1" t="str">
        <f>"074607"</f>
        <v>074607</v>
      </c>
      <c r="N399" s="1" t="s">
        <v>72</v>
      </c>
      <c r="O399" s="1" t="s">
        <v>52</v>
      </c>
      <c r="P399" s="1" t="s">
        <v>55</v>
      </c>
      <c r="Q399" s="1">
        <v>25</v>
      </c>
      <c r="R399" s="1">
        <v>0</v>
      </c>
      <c r="S399" s="1">
        <v>25</v>
      </c>
      <c r="T399" s="1">
        <v>0</v>
      </c>
      <c r="U399" s="1">
        <v>0</v>
      </c>
      <c r="V399" s="1" t="str">
        <f t="shared" si="56"/>
        <v>里程返程</v>
      </c>
      <c r="W399" s="1" t="s">
        <v>29</v>
      </c>
    </row>
    <row r="400" spans="1:23" x14ac:dyDescent="0.3">
      <c r="A400" s="1" t="str">
        <f t="shared" si="57"/>
        <v>59809</v>
      </c>
      <c r="B400" s="1" t="s">
        <v>42</v>
      </c>
      <c r="C400" s="1" t="s">
        <v>43</v>
      </c>
      <c r="D400" s="1" t="str">
        <f t="shared" si="55"/>
        <v>9801</v>
      </c>
      <c r="E400" s="1" t="s">
        <v>25</v>
      </c>
      <c r="F400" s="1" t="str">
        <f>"62F00B1881880400C814002000000019"</f>
        <v>62F00B1881880400C814002000000019</v>
      </c>
      <c r="G400" s="1" t="s">
        <v>59</v>
      </c>
      <c r="H400" s="1" t="str">
        <f t="shared" si="58"/>
        <v>20220907</v>
      </c>
      <c r="I400" s="1" t="str">
        <f>"072202"</f>
        <v>072202</v>
      </c>
      <c r="J400" s="1" t="s">
        <v>28</v>
      </c>
      <c r="K400" s="1" t="s">
        <v>28</v>
      </c>
      <c r="L400" s="1" t="str">
        <f t="shared" si="59"/>
        <v>20220907</v>
      </c>
      <c r="M400" s="1" t="str">
        <f>"074611"</f>
        <v>074611</v>
      </c>
      <c r="N400" s="1" t="s">
        <v>72</v>
      </c>
      <c r="O400" s="1" t="s">
        <v>52</v>
      </c>
      <c r="P400" s="1" t="s">
        <v>55</v>
      </c>
      <c r="Q400" s="1">
        <v>25</v>
      </c>
      <c r="R400" s="1">
        <v>0</v>
      </c>
      <c r="S400" s="1">
        <v>25</v>
      </c>
      <c r="T400" s="1">
        <v>0</v>
      </c>
      <c r="U400" s="1">
        <v>0</v>
      </c>
      <c r="V400" s="1" t="str">
        <f t="shared" si="56"/>
        <v>里程返程</v>
      </c>
      <c r="W400" s="1" t="s">
        <v>29</v>
      </c>
    </row>
    <row r="401" spans="1:23" x14ac:dyDescent="0.3">
      <c r="A401" s="1" t="str">
        <f t="shared" si="57"/>
        <v>59809</v>
      </c>
      <c r="B401" s="1" t="s">
        <v>42</v>
      </c>
      <c r="C401" s="1" t="s">
        <v>43</v>
      </c>
      <c r="D401" s="1" t="str">
        <f t="shared" si="55"/>
        <v>9801</v>
      </c>
      <c r="E401" s="1" t="s">
        <v>25</v>
      </c>
      <c r="F401" s="1" t="str">
        <f>"1204061808880400C814002000000019"</f>
        <v>1204061808880400C814002000000019</v>
      </c>
      <c r="G401" s="1" t="s">
        <v>59</v>
      </c>
      <c r="H401" s="1" t="str">
        <f t="shared" si="58"/>
        <v>20220907</v>
      </c>
      <c r="I401" s="1" t="str">
        <f>"072205"</f>
        <v>072205</v>
      </c>
      <c r="J401" s="1" t="s">
        <v>28</v>
      </c>
      <c r="K401" s="1" t="s">
        <v>28</v>
      </c>
      <c r="L401" s="1" t="str">
        <f t="shared" si="59"/>
        <v>20220907</v>
      </c>
      <c r="M401" s="1" t="str">
        <f>"074609"</f>
        <v>074609</v>
      </c>
      <c r="N401" s="1" t="s">
        <v>72</v>
      </c>
      <c r="O401" s="1" t="s">
        <v>52</v>
      </c>
      <c r="P401" s="1" t="s">
        <v>55</v>
      </c>
      <c r="Q401" s="1">
        <v>25</v>
      </c>
      <c r="R401" s="1">
        <v>0</v>
      </c>
      <c r="S401" s="1">
        <v>25</v>
      </c>
      <c r="T401" s="1">
        <v>0</v>
      </c>
      <c r="U401" s="1">
        <v>0</v>
      </c>
      <c r="V401" s="1" t="str">
        <f t="shared" si="56"/>
        <v>里程返程</v>
      </c>
      <c r="W401" s="1" t="s">
        <v>29</v>
      </c>
    </row>
    <row r="402" spans="1:23" x14ac:dyDescent="0.3">
      <c r="A402" s="1" t="str">
        <f t="shared" si="57"/>
        <v>59809</v>
      </c>
      <c r="B402" s="1" t="s">
        <v>42</v>
      </c>
      <c r="C402" s="1" t="s">
        <v>43</v>
      </c>
      <c r="D402" s="1" t="str">
        <f t="shared" si="55"/>
        <v>9801</v>
      </c>
      <c r="E402" s="1" t="s">
        <v>25</v>
      </c>
      <c r="F402" s="1" t="str">
        <f>"42F7E50252880400C834002000000015"</f>
        <v>42F7E50252880400C834002000000015</v>
      </c>
      <c r="G402" s="1" t="s">
        <v>26</v>
      </c>
      <c r="H402" s="1" t="str">
        <f t="shared" si="58"/>
        <v>20220907</v>
      </c>
      <c r="I402" s="1" t="str">
        <f>"072213"</f>
        <v>072213</v>
      </c>
      <c r="J402" s="1" t="s">
        <v>28</v>
      </c>
      <c r="K402" s="1" t="s">
        <v>28</v>
      </c>
      <c r="L402" s="1" t="str">
        <f t="shared" si="59"/>
        <v>20220907</v>
      </c>
      <c r="M402" s="1" t="str">
        <f>"075421"</f>
        <v>075421</v>
      </c>
      <c r="N402" s="1" t="s">
        <v>52</v>
      </c>
      <c r="O402" s="1" t="s">
        <v>52</v>
      </c>
      <c r="P402" s="1" t="s">
        <v>68</v>
      </c>
      <c r="Q402" s="1">
        <v>13</v>
      </c>
      <c r="R402" s="1">
        <v>0</v>
      </c>
      <c r="S402" s="1">
        <v>0</v>
      </c>
      <c r="T402" s="1">
        <v>13</v>
      </c>
      <c r="U402" s="1">
        <v>0</v>
      </c>
      <c r="V402" s="1" t="str">
        <f t="shared" si="56"/>
        <v>里程返程</v>
      </c>
      <c r="W402" s="1" t="s">
        <v>29</v>
      </c>
    </row>
    <row r="403" spans="1:23" x14ac:dyDescent="0.3">
      <c r="A403" s="1" t="str">
        <f t="shared" si="57"/>
        <v>59809</v>
      </c>
      <c r="B403" s="1" t="s">
        <v>42</v>
      </c>
      <c r="C403" s="1" t="s">
        <v>43</v>
      </c>
      <c r="D403" s="1" t="str">
        <f t="shared" si="55"/>
        <v>9801</v>
      </c>
      <c r="E403" s="1" t="s">
        <v>25</v>
      </c>
      <c r="F403" s="1" t="str">
        <f>"1759959808"</f>
        <v>1759959808</v>
      </c>
      <c r="G403" s="1" t="s">
        <v>33</v>
      </c>
      <c r="H403" s="1" t="str">
        <f t="shared" si="58"/>
        <v>20220907</v>
      </c>
      <c r="I403" s="1" t="str">
        <f>"074205"</f>
        <v>074205</v>
      </c>
      <c r="J403" s="1" t="s">
        <v>80</v>
      </c>
      <c r="K403" s="1" t="s">
        <v>52</v>
      </c>
      <c r="L403" s="1" t="str">
        <f t="shared" si="59"/>
        <v>20220907</v>
      </c>
      <c r="M403" s="1" t="str">
        <f>"075026"</f>
        <v>075026</v>
      </c>
      <c r="N403" s="1" t="s">
        <v>60</v>
      </c>
      <c r="O403" s="1" t="s">
        <v>52</v>
      </c>
      <c r="P403" s="1" t="s">
        <v>55</v>
      </c>
      <c r="Q403" s="1">
        <v>25</v>
      </c>
      <c r="R403" s="1">
        <v>25</v>
      </c>
      <c r="S403" s="1">
        <v>0</v>
      </c>
      <c r="T403" s="1">
        <v>0</v>
      </c>
      <c r="U403" s="1">
        <v>0</v>
      </c>
      <c r="V403" s="1" t="str">
        <f t="shared" si="56"/>
        <v>里程返程</v>
      </c>
      <c r="W403" s="1" t="s">
        <v>35</v>
      </c>
    </row>
    <row r="404" spans="1:23" x14ac:dyDescent="0.3">
      <c r="A404" s="1" t="str">
        <f t="shared" si="57"/>
        <v>59809</v>
      </c>
      <c r="B404" s="1" t="s">
        <v>42</v>
      </c>
      <c r="C404" s="1" t="s">
        <v>43</v>
      </c>
      <c r="D404" s="1" t="str">
        <f t="shared" si="55"/>
        <v>9801</v>
      </c>
      <c r="E404" s="1" t="s">
        <v>25</v>
      </c>
      <c r="F404" s="1" t="str">
        <f>"81DCC741DB280400F700000000000000"</f>
        <v>81DCC741DB280400F700000000000000</v>
      </c>
      <c r="G404" s="1" t="s">
        <v>58</v>
      </c>
      <c r="H404" s="1" t="str">
        <f t="shared" si="58"/>
        <v>20220907</v>
      </c>
      <c r="I404" s="1" t="str">
        <f>"125101"</f>
        <v>125101</v>
      </c>
      <c r="J404" s="1" t="s">
        <v>28</v>
      </c>
      <c r="K404" s="1" t="s">
        <v>28</v>
      </c>
      <c r="L404" s="1" t="str">
        <f t="shared" si="59"/>
        <v>20220907</v>
      </c>
      <c r="M404" s="1" t="str">
        <f>"132414"</f>
        <v>132414</v>
      </c>
      <c r="N404" s="1" t="s">
        <v>52</v>
      </c>
      <c r="O404" s="1" t="s">
        <v>52</v>
      </c>
      <c r="P404" s="1" t="s">
        <v>55</v>
      </c>
      <c r="Q404" s="1">
        <v>25</v>
      </c>
      <c r="R404" s="1">
        <v>25</v>
      </c>
      <c r="S404" s="1">
        <v>0</v>
      </c>
      <c r="T404" s="1">
        <v>0</v>
      </c>
      <c r="U404" s="1">
        <v>0</v>
      </c>
      <c r="V404" s="1" t="str">
        <f t="shared" si="56"/>
        <v>里程返程</v>
      </c>
      <c r="W404" s="1" t="s">
        <v>29</v>
      </c>
    </row>
    <row r="405" spans="1:23" x14ac:dyDescent="0.3">
      <c r="A405" s="1" t="str">
        <f t="shared" si="57"/>
        <v>59809</v>
      </c>
      <c r="B405" s="1" t="s">
        <v>42</v>
      </c>
      <c r="C405" s="1" t="s">
        <v>111</v>
      </c>
      <c r="D405" s="1" t="str">
        <f t="shared" si="55"/>
        <v>9801</v>
      </c>
      <c r="E405" s="1" t="s">
        <v>25</v>
      </c>
      <c r="F405" s="1" t="str">
        <f>"7511180542001346"</f>
        <v>7511180542001346</v>
      </c>
      <c r="G405" s="1" t="s">
        <v>33</v>
      </c>
      <c r="H405" s="1" t="str">
        <f t="shared" si="58"/>
        <v>20220907</v>
      </c>
      <c r="I405" s="1" t="str">
        <f>"125103"</f>
        <v>125103</v>
      </c>
      <c r="J405" s="1" t="s">
        <v>28</v>
      </c>
      <c r="K405" s="1" t="s">
        <v>28</v>
      </c>
      <c r="L405" s="1" t="str">
        <f t="shared" si="59"/>
        <v>20220907</v>
      </c>
      <c r="M405" s="1" t="str">
        <f>"132416"</f>
        <v>132416</v>
      </c>
      <c r="N405" s="1" t="s">
        <v>52</v>
      </c>
      <c r="O405" s="1" t="s">
        <v>52</v>
      </c>
      <c r="P405" s="1" t="s">
        <v>55</v>
      </c>
      <c r="Q405" s="1">
        <v>25</v>
      </c>
      <c r="R405" s="1">
        <v>25</v>
      </c>
      <c r="S405" s="1">
        <v>0</v>
      </c>
      <c r="T405" s="1">
        <v>0</v>
      </c>
      <c r="U405" s="1">
        <v>0</v>
      </c>
      <c r="V405" s="1" t="str">
        <f t="shared" si="56"/>
        <v>里程返程</v>
      </c>
      <c r="W405" s="1" t="s">
        <v>109</v>
      </c>
    </row>
    <row r="406" spans="1:23" x14ac:dyDescent="0.3">
      <c r="A406" s="1" t="str">
        <f t="shared" si="57"/>
        <v>59809</v>
      </c>
      <c r="B406" s="1" t="s">
        <v>42</v>
      </c>
      <c r="C406" s="1" t="s">
        <v>111</v>
      </c>
      <c r="D406" s="1" t="str">
        <f t="shared" si="55"/>
        <v>9801</v>
      </c>
      <c r="E406" s="1" t="s">
        <v>25</v>
      </c>
      <c r="F406" s="1" t="str">
        <f>"7111160879008991"</f>
        <v>7111160879008991</v>
      </c>
      <c r="G406" s="1" t="s">
        <v>33</v>
      </c>
      <c r="H406" s="1" t="str">
        <f t="shared" si="58"/>
        <v>20220907</v>
      </c>
      <c r="I406" s="1" t="str">
        <f>"125519"</f>
        <v>125519</v>
      </c>
      <c r="J406" s="1" t="s">
        <v>28</v>
      </c>
      <c r="K406" s="1" t="s">
        <v>28</v>
      </c>
      <c r="L406" s="1" t="str">
        <f t="shared" si="59"/>
        <v>20220907</v>
      </c>
      <c r="M406" s="1" t="str">
        <f>"131323"</f>
        <v>131323</v>
      </c>
      <c r="N406" s="1" t="s">
        <v>97</v>
      </c>
      <c r="O406" s="1" t="s">
        <v>52</v>
      </c>
      <c r="P406" s="1" t="s">
        <v>55</v>
      </c>
      <c r="Q406" s="1">
        <v>25</v>
      </c>
      <c r="R406" s="1">
        <v>0</v>
      </c>
      <c r="S406" s="1">
        <v>25</v>
      </c>
      <c r="T406" s="1">
        <v>0</v>
      </c>
      <c r="U406" s="1">
        <v>0</v>
      </c>
      <c r="V406" s="1" t="str">
        <f t="shared" si="56"/>
        <v>里程返程</v>
      </c>
      <c r="W406" s="1" t="s">
        <v>109</v>
      </c>
    </row>
    <row r="407" spans="1:23" x14ac:dyDescent="0.3">
      <c r="A407" s="1" t="str">
        <f t="shared" si="57"/>
        <v>59809</v>
      </c>
      <c r="B407" s="1" t="s">
        <v>42</v>
      </c>
      <c r="C407" s="1" t="s">
        <v>43</v>
      </c>
      <c r="D407" s="1" t="str">
        <f t="shared" si="55"/>
        <v>9801</v>
      </c>
      <c r="E407" s="1" t="s">
        <v>25</v>
      </c>
      <c r="F407" s="1" t="str">
        <f>"E220D10211880400C834002000000015"</f>
        <v>E220D10211880400C834002000000015</v>
      </c>
      <c r="G407" s="1" t="s">
        <v>74</v>
      </c>
      <c r="H407" s="1" t="str">
        <f t="shared" si="58"/>
        <v>20220907</v>
      </c>
      <c r="I407" s="1" t="str">
        <f>"131318"</f>
        <v>131318</v>
      </c>
      <c r="J407" s="1" t="s">
        <v>97</v>
      </c>
      <c r="K407" s="1" t="s">
        <v>52</v>
      </c>
      <c r="L407" s="1" t="str">
        <f t="shared" si="59"/>
        <v>20220907</v>
      </c>
      <c r="M407" s="1" t="str">
        <f>"131509"</f>
        <v>131509</v>
      </c>
      <c r="N407" s="1" t="s">
        <v>65</v>
      </c>
      <c r="O407" s="1" t="s">
        <v>52</v>
      </c>
      <c r="P407" s="1" t="s">
        <v>68</v>
      </c>
      <c r="Q407" s="1">
        <v>13</v>
      </c>
      <c r="R407" s="1">
        <v>0</v>
      </c>
      <c r="S407" s="1">
        <v>0</v>
      </c>
      <c r="T407" s="1">
        <v>13</v>
      </c>
      <c r="U407" s="1">
        <v>0</v>
      </c>
      <c r="V407" s="1" t="str">
        <f t="shared" si="56"/>
        <v>里程返程</v>
      </c>
      <c r="W407" s="1" t="s">
        <v>29</v>
      </c>
    </row>
    <row r="408" spans="1:23" x14ac:dyDescent="0.3">
      <c r="A408" s="1" t="str">
        <f t="shared" si="57"/>
        <v>59809</v>
      </c>
      <c r="B408" s="1" t="s">
        <v>42</v>
      </c>
      <c r="C408" s="1" t="s">
        <v>111</v>
      </c>
      <c r="D408" s="1" t="str">
        <f t="shared" si="55"/>
        <v>9801</v>
      </c>
      <c r="E408" s="1" t="s">
        <v>25</v>
      </c>
      <c r="F408" s="1" t="str">
        <f>"7111150687005189"</f>
        <v>7111150687005189</v>
      </c>
      <c r="G408" s="1" t="s">
        <v>33</v>
      </c>
      <c r="H408" s="1" t="str">
        <f t="shared" si="58"/>
        <v>20220907</v>
      </c>
      <c r="I408" s="1" t="str">
        <f>"142814"</f>
        <v>142814</v>
      </c>
      <c r="J408" s="1" t="s">
        <v>44</v>
      </c>
      <c r="K408" s="1" t="s">
        <v>45</v>
      </c>
      <c r="L408" s="1" t="str">
        <f t="shared" si="59"/>
        <v>20220907</v>
      </c>
      <c r="M408" s="1" t="str">
        <f>"144208"</f>
        <v>144208</v>
      </c>
      <c r="N408" s="1" t="s">
        <v>45</v>
      </c>
      <c r="O408" s="1" t="s">
        <v>45</v>
      </c>
      <c r="P408" s="1" t="s">
        <v>55</v>
      </c>
      <c r="Q408" s="1">
        <v>25</v>
      </c>
      <c r="R408" s="1">
        <v>0</v>
      </c>
      <c r="S408" s="1">
        <v>25</v>
      </c>
      <c r="T408" s="1">
        <v>0</v>
      </c>
      <c r="U408" s="1">
        <v>0</v>
      </c>
      <c r="V408" s="1" t="str">
        <f t="shared" si="56"/>
        <v>里程返程</v>
      </c>
      <c r="W408" s="1" t="s">
        <v>109</v>
      </c>
    </row>
    <row r="409" spans="1:23" x14ac:dyDescent="0.3">
      <c r="A409" s="1" t="str">
        <f t="shared" si="57"/>
        <v>59809</v>
      </c>
      <c r="B409" s="1" t="s">
        <v>42</v>
      </c>
      <c r="C409" s="1" t="s">
        <v>43</v>
      </c>
      <c r="D409" s="1" t="str">
        <f t="shared" si="55"/>
        <v>9801</v>
      </c>
      <c r="E409" s="1" t="s">
        <v>25</v>
      </c>
      <c r="F409" s="1" t="str">
        <f>"819BE502FD88040043252B4B0005050F"</f>
        <v>819BE502FD88040043252B4B0005050F</v>
      </c>
      <c r="G409" s="1" t="s">
        <v>26</v>
      </c>
      <c r="H409" s="1" t="str">
        <f t="shared" si="58"/>
        <v>20220907</v>
      </c>
      <c r="I409" s="1" t="str">
        <f>"143336"</f>
        <v>143336</v>
      </c>
      <c r="J409" s="1" t="s">
        <v>100</v>
      </c>
      <c r="K409" s="1" t="s">
        <v>45</v>
      </c>
      <c r="L409" s="1" t="str">
        <f t="shared" si="59"/>
        <v>20220907</v>
      </c>
      <c r="M409" s="1" t="str">
        <f>"144951"</f>
        <v>144951</v>
      </c>
      <c r="N409" s="1" t="s">
        <v>28</v>
      </c>
      <c r="O409" s="1" t="s">
        <v>28</v>
      </c>
      <c r="P409" s="1" t="s">
        <v>55</v>
      </c>
      <c r="Q409" s="1">
        <v>13</v>
      </c>
      <c r="R409" s="1">
        <v>13</v>
      </c>
      <c r="S409" s="1">
        <v>0</v>
      </c>
      <c r="T409" s="1">
        <v>0</v>
      </c>
      <c r="U409" s="1">
        <v>0</v>
      </c>
      <c r="V409" s="1" t="str">
        <f t="shared" si="56"/>
        <v>里程返程</v>
      </c>
      <c r="W409" s="1" t="s">
        <v>29</v>
      </c>
    </row>
    <row r="410" spans="1:23" x14ac:dyDescent="0.3">
      <c r="A410" s="1" t="str">
        <f t="shared" si="57"/>
        <v>59809</v>
      </c>
      <c r="B410" s="1" t="s">
        <v>42</v>
      </c>
      <c r="C410" s="1" t="s">
        <v>43</v>
      </c>
      <c r="D410" s="1" t="str">
        <f t="shared" si="55"/>
        <v>9801</v>
      </c>
      <c r="E410" s="1" t="s">
        <v>25</v>
      </c>
      <c r="F410" s="1" t="str">
        <f>"4125E4028288040043252B4B0004050F"</f>
        <v>4125E4028288040043252B4B0004050F</v>
      </c>
      <c r="G410" s="1" t="s">
        <v>26</v>
      </c>
      <c r="H410" s="1" t="str">
        <f t="shared" si="58"/>
        <v>20220907</v>
      </c>
      <c r="I410" s="1" t="str">
        <f>"143339"</f>
        <v>143339</v>
      </c>
      <c r="J410" s="1" t="s">
        <v>100</v>
      </c>
      <c r="K410" s="1" t="s">
        <v>45</v>
      </c>
      <c r="L410" s="1" t="str">
        <f t="shared" si="59"/>
        <v>20220907</v>
      </c>
      <c r="M410" s="1" t="str">
        <f>"144958"</f>
        <v>144958</v>
      </c>
      <c r="N410" s="1" t="s">
        <v>28</v>
      </c>
      <c r="O410" s="1" t="s">
        <v>28</v>
      </c>
      <c r="P410" s="1" t="s">
        <v>55</v>
      </c>
      <c r="Q410" s="1">
        <v>13</v>
      </c>
      <c r="R410" s="1">
        <v>13</v>
      </c>
      <c r="S410" s="1">
        <v>0</v>
      </c>
      <c r="T410" s="1">
        <v>0</v>
      </c>
      <c r="U410" s="1">
        <v>0</v>
      </c>
      <c r="V410" s="1" t="str">
        <f t="shared" si="56"/>
        <v>里程返程</v>
      </c>
      <c r="W410" s="1" t="s">
        <v>29</v>
      </c>
    </row>
    <row r="411" spans="1:23" x14ac:dyDescent="0.3">
      <c r="A411" s="1" t="str">
        <f t="shared" si="57"/>
        <v>59809</v>
      </c>
      <c r="B411" s="1" t="s">
        <v>42</v>
      </c>
      <c r="C411" s="1" t="s">
        <v>43</v>
      </c>
      <c r="D411" s="1" t="str">
        <f t="shared" si="55"/>
        <v>9801</v>
      </c>
      <c r="E411" s="1" t="s">
        <v>25</v>
      </c>
      <c r="F411" s="1" t="str">
        <f>"1763251397"</f>
        <v>1763251397</v>
      </c>
      <c r="G411" s="1" t="s">
        <v>26</v>
      </c>
      <c r="H411" s="1" t="str">
        <f t="shared" si="58"/>
        <v>20220907</v>
      </c>
      <c r="I411" s="1" t="str">
        <f>"143948"</f>
        <v>143948</v>
      </c>
      <c r="J411" s="1" t="s">
        <v>56</v>
      </c>
      <c r="K411" s="1" t="s">
        <v>45</v>
      </c>
      <c r="L411" s="1" t="str">
        <f t="shared" si="59"/>
        <v>20220907</v>
      </c>
      <c r="M411" s="1" t="str">
        <f>"144948"</f>
        <v>144948</v>
      </c>
      <c r="N411" s="1" t="s">
        <v>28</v>
      </c>
      <c r="O411" s="1" t="s">
        <v>28</v>
      </c>
      <c r="P411" s="1" t="s">
        <v>55</v>
      </c>
      <c r="Q411" s="1">
        <v>13</v>
      </c>
      <c r="R411" s="1">
        <v>0</v>
      </c>
      <c r="S411" s="1">
        <v>13</v>
      </c>
      <c r="T411" s="1">
        <v>0</v>
      </c>
      <c r="U411" s="1">
        <v>0</v>
      </c>
      <c r="V411" s="1" t="str">
        <f t="shared" si="56"/>
        <v>里程返程</v>
      </c>
      <c r="W411" s="1" t="s">
        <v>35</v>
      </c>
    </row>
    <row r="412" spans="1:23" x14ac:dyDescent="0.3">
      <c r="A412" s="1" t="str">
        <f t="shared" si="57"/>
        <v>59809</v>
      </c>
      <c r="B412" s="1" t="s">
        <v>42</v>
      </c>
      <c r="C412" s="1" t="s">
        <v>43</v>
      </c>
      <c r="D412" s="1" t="str">
        <f t="shared" si="55"/>
        <v>9801</v>
      </c>
      <c r="E412" s="1" t="s">
        <v>25</v>
      </c>
      <c r="F412" s="1" t="str">
        <f>"1240403989"</f>
        <v>1240403989</v>
      </c>
      <c r="G412" s="1" t="s">
        <v>74</v>
      </c>
      <c r="H412" s="1" t="str">
        <f t="shared" si="58"/>
        <v>20220907</v>
      </c>
      <c r="I412" s="1" t="str">
        <f>"143950"</f>
        <v>143950</v>
      </c>
      <c r="J412" s="1" t="s">
        <v>56</v>
      </c>
      <c r="K412" s="1" t="s">
        <v>45</v>
      </c>
      <c r="L412" s="1" t="str">
        <f t="shared" si="59"/>
        <v>20220907</v>
      </c>
      <c r="M412" s="1" t="str">
        <f>"144954"</f>
        <v>144954</v>
      </c>
      <c r="N412" s="1" t="s">
        <v>28</v>
      </c>
      <c r="O412" s="1" t="s">
        <v>28</v>
      </c>
      <c r="P412" s="1" t="s">
        <v>55</v>
      </c>
      <c r="Q412" s="1">
        <v>13</v>
      </c>
      <c r="R412" s="1">
        <v>0</v>
      </c>
      <c r="S412" s="1">
        <v>13</v>
      </c>
      <c r="T412" s="1">
        <v>0</v>
      </c>
      <c r="U412" s="1">
        <v>0</v>
      </c>
      <c r="V412" s="1" t="str">
        <f t="shared" si="56"/>
        <v>里程返程</v>
      </c>
      <c r="W412" s="1" t="s">
        <v>35</v>
      </c>
    </row>
    <row r="413" spans="1:23" x14ac:dyDescent="0.3">
      <c r="A413" s="1" t="str">
        <f t="shared" si="57"/>
        <v>59809</v>
      </c>
      <c r="B413" s="1" t="s">
        <v>42</v>
      </c>
      <c r="C413" s="1" t="s">
        <v>43</v>
      </c>
      <c r="D413" s="1" t="str">
        <f t="shared" si="55"/>
        <v>9801</v>
      </c>
      <c r="E413" s="1" t="s">
        <v>25</v>
      </c>
      <c r="F413" s="1" t="str">
        <f>"26838273"</f>
        <v>26838273</v>
      </c>
      <c r="G413" s="1" t="s">
        <v>33</v>
      </c>
      <c r="H413" s="1" t="str">
        <f t="shared" si="58"/>
        <v>20220907</v>
      </c>
      <c r="I413" s="1" t="str">
        <f>"152704"</f>
        <v>152704</v>
      </c>
      <c r="J413" s="1" t="s">
        <v>44</v>
      </c>
      <c r="K413" s="1" t="s">
        <v>45</v>
      </c>
      <c r="L413" s="1" t="str">
        <f t="shared" si="59"/>
        <v>20220907</v>
      </c>
      <c r="M413" s="1" t="str">
        <f>"153312"</f>
        <v>153312</v>
      </c>
      <c r="N413" s="1" t="s">
        <v>100</v>
      </c>
      <c r="O413" s="1" t="s">
        <v>45</v>
      </c>
      <c r="P413" s="1" t="s">
        <v>55</v>
      </c>
      <c r="Q413" s="1">
        <v>25</v>
      </c>
      <c r="R413" s="1">
        <v>25</v>
      </c>
      <c r="S413" s="1">
        <v>0</v>
      </c>
      <c r="T413" s="1">
        <v>0</v>
      </c>
      <c r="U413" s="1">
        <v>0</v>
      </c>
      <c r="V413" s="1" t="str">
        <f t="shared" si="56"/>
        <v>里程返程</v>
      </c>
      <c r="W413" s="1" t="s">
        <v>35</v>
      </c>
    </row>
    <row r="414" spans="1:23" x14ac:dyDescent="0.3">
      <c r="A414" s="1" t="str">
        <f t="shared" si="57"/>
        <v>59809</v>
      </c>
      <c r="B414" s="1" t="s">
        <v>42</v>
      </c>
      <c r="C414" s="1" t="s">
        <v>43</v>
      </c>
      <c r="D414" s="1" t="str">
        <f t="shared" si="55"/>
        <v>9801</v>
      </c>
      <c r="E414" s="1" t="s">
        <v>25</v>
      </c>
      <c r="F414" s="1" t="str">
        <f>"32780D0344880400C834002000000015"</f>
        <v>32780D0344880400C834002000000015</v>
      </c>
      <c r="G414" s="1" t="s">
        <v>26</v>
      </c>
      <c r="H414" s="1" t="str">
        <f t="shared" si="58"/>
        <v>20220907</v>
      </c>
      <c r="I414" s="1" t="str">
        <f>"154002"</f>
        <v>154002</v>
      </c>
      <c r="J414" s="1" t="s">
        <v>56</v>
      </c>
      <c r="K414" s="1" t="s">
        <v>45</v>
      </c>
      <c r="L414" s="1" t="str">
        <f t="shared" si="59"/>
        <v>20220907</v>
      </c>
      <c r="M414" s="1" t="str">
        <f>"154825"</f>
        <v>154825</v>
      </c>
      <c r="N414" s="1" t="s">
        <v>95</v>
      </c>
      <c r="O414" s="1" t="s">
        <v>28</v>
      </c>
      <c r="P414" s="1" t="s">
        <v>68</v>
      </c>
      <c r="Q414" s="1">
        <v>13</v>
      </c>
      <c r="R414" s="1">
        <v>0</v>
      </c>
      <c r="S414" s="1">
        <v>0</v>
      </c>
      <c r="T414" s="1">
        <v>13</v>
      </c>
      <c r="U414" s="1">
        <v>0</v>
      </c>
      <c r="V414" s="1" t="str">
        <f t="shared" si="56"/>
        <v>里程返程</v>
      </c>
      <c r="W414" s="1" t="s">
        <v>29</v>
      </c>
    </row>
    <row r="415" spans="1:23" x14ac:dyDescent="0.3">
      <c r="A415" s="1" t="str">
        <f t="shared" si="57"/>
        <v>59809</v>
      </c>
      <c r="B415" s="1" t="s">
        <v>42</v>
      </c>
      <c r="C415" s="1" t="s">
        <v>43</v>
      </c>
      <c r="D415" s="1" t="str">
        <f t="shared" si="55"/>
        <v>9801</v>
      </c>
      <c r="E415" s="1" t="s">
        <v>25</v>
      </c>
      <c r="F415" s="1" t="str">
        <f>"797776433"</f>
        <v>797776433</v>
      </c>
      <c r="G415" s="1" t="s">
        <v>33</v>
      </c>
      <c r="H415" s="1" t="str">
        <f t="shared" si="58"/>
        <v>20220907</v>
      </c>
      <c r="I415" s="1" t="str">
        <f>"155542"</f>
        <v>155542</v>
      </c>
      <c r="J415" s="1" t="s">
        <v>28</v>
      </c>
      <c r="K415" s="1" t="s">
        <v>28</v>
      </c>
      <c r="L415" s="1" t="str">
        <f t="shared" si="59"/>
        <v>20220907</v>
      </c>
      <c r="M415" s="1" t="str">
        <f>"162533"</f>
        <v>162533</v>
      </c>
      <c r="N415" s="1" t="s">
        <v>52</v>
      </c>
      <c r="O415" s="1" t="s">
        <v>52</v>
      </c>
      <c r="P415" s="1" t="s">
        <v>55</v>
      </c>
      <c r="Q415" s="1">
        <v>25</v>
      </c>
      <c r="R415" s="1">
        <v>0</v>
      </c>
      <c r="S415" s="1">
        <v>25</v>
      </c>
      <c r="T415" s="1">
        <v>0</v>
      </c>
      <c r="U415" s="1">
        <v>0</v>
      </c>
      <c r="V415" s="1" t="str">
        <f t="shared" si="56"/>
        <v>里程返程</v>
      </c>
      <c r="W415" s="1" t="s">
        <v>35</v>
      </c>
    </row>
    <row r="416" spans="1:23" x14ac:dyDescent="0.3">
      <c r="A416" s="1" t="str">
        <f t="shared" si="57"/>
        <v>59809</v>
      </c>
      <c r="B416" s="1" t="s">
        <v>42</v>
      </c>
      <c r="C416" s="1" t="s">
        <v>43</v>
      </c>
      <c r="D416" s="1" t="str">
        <f t="shared" si="55"/>
        <v>9801</v>
      </c>
      <c r="E416" s="1" t="s">
        <v>25</v>
      </c>
      <c r="F416" s="1" t="str">
        <f>"42AFE60209880400C834002000000015"</f>
        <v>42AFE60209880400C834002000000015</v>
      </c>
      <c r="G416" s="1" t="s">
        <v>74</v>
      </c>
      <c r="H416" s="1" t="str">
        <f t="shared" si="58"/>
        <v>20220907</v>
      </c>
      <c r="I416" s="1" t="str">
        <f>"161327"</f>
        <v>161327</v>
      </c>
      <c r="J416" s="1" t="s">
        <v>80</v>
      </c>
      <c r="K416" s="1" t="s">
        <v>52</v>
      </c>
      <c r="L416" s="1" t="str">
        <f t="shared" si="59"/>
        <v>20220907</v>
      </c>
      <c r="M416" s="1" t="str">
        <f>"162547"</f>
        <v>162547</v>
      </c>
      <c r="N416" s="1" t="s">
        <v>52</v>
      </c>
      <c r="O416" s="1" t="s">
        <v>52</v>
      </c>
      <c r="P416" s="1" t="s">
        <v>68</v>
      </c>
      <c r="Q416" s="1">
        <v>13</v>
      </c>
      <c r="R416" s="1">
        <v>0</v>
      </c>
      <c r="S416" s="1">
        <v>0</v>
      </c>
      <c r="T416" s="1">
        <v>13</v>
      </c>
      <c r="U416" s="1">
        <v>0</v>
      </c>
      <c r="V416" s="1" t="str">
        <f t="shared" si="56"/>
        <v>里程返程</v>
      </c>
      <c r="W416" s="1" t="s">
        <v>29</v>
      </c>
    </row>
    <row r="417" spans="1:23" x14ac:dyDescent="0.3">
      <c r="A417" s="1" t="str">
        <f t="shared" si="57"/>
        <v>59809</v>
      </c>
      <c r="B417" s="1" t="s">
        <v>42</v>
      </c>
      <c r="C417" s="1" t="s">
        <v>43</v>
      </c>
      <c r="D417" s="1" t="str">
        <f t="shared" si="55"/>
        <v>9801</v>
      </c>
      <c r="E417" s="1" t="s">
        <v>25</v>
      </c>
      <c r="F417" s="1" t="str">
        <f>"3759174119"</f>
        <v>3759174119</v>
      </c>
      <c r="G417" s="1" t="s">
        <v>33</v>
      </c>
      <c r="H417" s="1" t="str">
        <f t="shared" si="58"/>
        <v>20220907</v>
      </c>
      <c r="I417" s="1" t="str">
        <f>"162722"</f>
        <v>162722</v>
      </c>
      <c r="J417" s="1" t="s">
        <v>44</v>
      </c>
      <c r="K417" s="1" t="s">
        <v>45</v>
      </c>
      <c r="L417" s="1" t="str">
        <f t="shared" si="59"/>
        <v>20220907</v>
      </c>
      <c r="M417" s="1" t="str">
        <f>"165255"</f>
        <v>165255</v>
      </c>
      <c r="N417" s="1" t="s">
        <v>28</v>
      </c>
      <c r="O417" s="1" t="s">
        <v>28</v>
      </c>
      <c r="P417" s="1" t="s">
        <v>55</v>
      </c>
      <c r="Q417" s="1">
        <v>25</v>
      </c>
      <c r="R417" s="1">
        <v>25</v>
      </c>
      <c r="S417" s="1">
        <v>0</v>
      </c>
      <c r="T417" s="1">
        <v>0</v>
      </c>
      <c r="U417" s="1">
        <v>0</v>
      </c>
      <c r="V417" s="1" t="str">
        <f t="shared" si="56"/>
        <v>里程返程</v>
      </c>
      <c r="W417" s="1" t="s">
        <v>35</v>
      </c>
    </row>
    <row r="418" spans="1:23" x14ac:dyDescent="0.3">
      <c r="A418" s="1" t="str">
        <f t="shared" si="57"/>
        <v>59809</v>
      </c>
      <c r="B418" s="1" t="s">
        <v>42</v>
      </c>
      <c r="C418" s="1" t="s">
        <v>43</v>
      </c>
      <c r="D418" s="1" t="str">
        <f t="shared" si="55"/>
        <v>9801</v>
      </c>
      <c r="E418" s="1" t="s">
        <v>25</v>
      </c>
      <c r="F418" s="1" t="str">
        <f>"1081243809"</f>
        <v>1081243809</v>
      </c>
      <c r="G418" s="1" t="s">
        <v>33</v>
      </c>
      <c r="H418" s="1" t="str">
        <f t="shared" si="58"/>
        <v>20220907</v>
      </c>
      <c r="I418" s="1" t="str">
        <f>"165324"</f>
        <v>165324</v>
      </c>
      <c r="J418" s="1" t="s">
        <v>28</v>
      </c>
      <c r="K418" s="1" t="s">
        <v>28</v>
      </c>
      <c r="L418" s="1" t="str">
        <f t="shared" si="59"/>
        <v>20220907</v>
      </c>
      <c r="M418" s="1" t="str">
        <f>"171051"</f>
        <v>171051</v>
      </c>
      <c r="N418" s="1" t="s">
        <v>77</v>
      </c>
      <c r="O418" s="1" t="s">
        <v>52</v>
      </c>
      <c r="P418" s="1" t="s">
        <v>55</v>
      </c>
      <c r="Q418" s="1">
        <v>25</v>
      </c>
      <c r="R418" s="1">
        <v>25</v>
      </c>
      <c r="S418" s="1">
        <v>0</v>
      </c>
      <c r="T418" s="1">
        <v>0</v>
      </c>
      <c r="U418" s="1">
        <v>0</v>
      </c>
      <c r="V418" s="1" t="str">
        <f t="shared" si="56"/>
        <v>里程返程</v>
      </c>
      <c r="W418" s="1" t="s">
        <v>35</v>
      </c>
    </row>
    <row r="419" spans="1:23" x14ac:dyDescent="0.3">
      <c r="A419" s="1" t="str">
        <f t="shared" si="57"/>
        <v>59809</v>
      </c>
      <c r="B419" s="1" t="s">
        <v>42</v>
      </c>
      <c r="C419" s="1" t="s">
        <v>43</v>
      </c>
      <c r="D419" s="1" t="str">
        <f t="shared" si="55"/>
        <v>9801</v>
      </c>
      <c r="E419" s="1" t="s">
        <v>25</v>
      </c>
      <c r="F419" s="1" t="str">
        <f>"278354657"</f>
        <v>278354657</v>
      </c>
      <c r="G419" s="1" t="s">
        <v>33</v>
      </c>
      <c r="H419" s="1" t="str">
        <f t="shared" si="58"/>
        <v>20220907</v>
      </c>
      <c r="I419" s="1" t="str">
        <f>"165331"</f>
        <v>165331</v>
      </c>
      <c r="J419" s="1" t="s">
        <v>28</v>
      </c>
      <c r="K419" s="1" t="s">
        <v>28</v>
      </c>
      <c r="L419" s="1" t="str">
        <f t="shared" si="59"/>
        <v>20220907</v>
      </c>
      <c r="M419" s="1" t="str">
        <f>"172913"</f>
        <v>172913</v>
      </c>
      <c r="N419" s="1" t="s">
        <v>60</v>
      </c>
      <c r="O419" s="1" t="s">
        <v>52</v>
      </c>
      <c r="P419" s="1" t="s">
        <v>55</v>
      </c>
      <c r="Q419" s="1">
        <v>25</v>
      </c>
      <c r="R419" s="1">
        <v>0</v>
      </c>
      <c r="S419" s="1">
        <v>25</v>
      </c>
      <c r="T419" s="1">
        <v>0</v>
      </c>
      <c r="U419" s="1">
        <v>0</v>
      </c>
      <c r="V419" s="1" t="str">
        <f t="shared" si="56"/>
        <v>里程返程</v>
      </c>
      <c r="W419" s="1" t="s">
        <v>35</v>
      </c>
    </row>
    <row r="420" spans="1:23" x14ac:dyDescent="0.3">
      <c r="A420" s="1" t="str">
        <f t="shared" si="57"/>
        <v>59809</v>
      </c>
      <c r="B420" s="1" t="s">
        <v>42</v>
      </c>
      <c r="C420" s="1" t="s">
        <v>43</v>
      </c>
      <c r="D420" s="1" t="str">
        <f t="shared" si="55"/>
        <v>9801</v>
      </c>
      <c r="E420" s="1" t="s">
        <v>25</v>
      </c>
      <c r="F420" s="1" t="str">
        <f>"61CD80002C8804004324714D0013080E"</f>
        <v>61CD80002C8804004324714D0013080E</v>
      </c>
      <c r="G420" s="1" t="s">
        <v>58</v>
      </c>
      <c r="H420" s="1" t="str">
        <f t="shared" ref="H420:H451" si="60">"20220907"</f>
        <v>20220907</v>
      </c>
      <c r="I420" s="1" t="str">
        <f>"165401"</f>
        <v>165401</v>
      </c>
      <c r="J420" s="1" t="s">
        <v>28</v>
      </c>
      <c r="K420" s="1" t="s">
        <v>28</v>
      </c>
      <c r="L420" s="1" t="str">
        <f t="shared" ref="L420:L451" si="61">"20220907"</f>
        <v>20220907</v>
      </c>
      <c r="M420" s="1" t="str">
        <f>"171034"</f>
        <v>171034</v>
      </c>
      <c r="N420" s="1" t="s">
        <v>69</v>
      </c>
      <c r="O420" s="1" t="s">
        <v>52</v>
      </c>
      <c r="P420" s="1" t="s">
        <v>55</v>
      </c>
      <c r="Q420" s="1">
        <v>25</v>
      </c>
      <c r="R420" s="1">
        <v>25</v>
      </c>
      <c r="S420" s="1">
        <v>0</v>
      </c>
      <c r="T420" s="1">
        <v>0</v>
      </c>
      <c r="U420" s="1">
        <v>0</v>
      </c>
      <c r="V420" s="1" t="str">
        <f t="shared" si="56"/>
        <v>里程返程</v>
      </c>
      <c r="W420" s="1" t="s">
        <v>29</v>
      </c>
    </row>
    <row r="421" spans="1:23" x14ac:dyDescent="0.3">
      <c r="A421" s="1" t="str">
        <f t="shared" ref="A421:A447" si="62">"59820"</f>
        <v>59820</v>
      </c>
      <c r="B421" s="1" t="s">
        <v>53</v>
      </c>
      <c r="C421" s="1" t="s">
        <v>54</v>
      </c>
      <c r="D421" s="1" t="str">
        <f t="shared" si="55"/>
        <v>9801</v>
      </c>
      <c r="E421" s="1" t="s">
        <v>25</v>
      </c>
      <c r="F421" s="1" t="str">
        <f>"F29BD102BA880400C834002000000015"</f>
        <v>F29BD102BA880400C834002000000015</v>
      </c>
      <c r="G421" s="1" t="s">
        <v>26</v>
      </c>
      <c r="H421" s="1" t="str">
        <f t="shared" si="60"/>
        <v>20220907</v>
      </c>
      <c r="I421" s="1" t="str">
        <f>"083344"</f>
        <v>083344</v>
      </c>
      <c r="J421" s="1" t="s">
        <v>44</v>
      </c>
      <c r="K421" s="1" t="s">
        <v>45</v>
      </c>
      <c r="L421" s="1" t="str">
        <f t="shared" si="61"/>
        <v>20220907</v>
      </c>
      <c r="M421" s="1" t="str">
        <f>"085106"</f>
        <v>085106</v>
      </c>
      <c r="N421" s="1" t="s">
        <v>28</v>
      </c>
      <c r="O421" s="1" t="s">
        <v>28</v>
      </c>
      <c r="P421" s="1" t="s">
        <v>68</v>
      </c>
      <c r="Q421" s="1">
        <v>13</v>
      </c>
      <c r="R421" s="1">
        <v>0</v>
      </c>
      <c r="S421" s="1">
        <v>0</v>
      </c>
      <c r="T421" s="1">
        <v>13</v>
      </c>
      <c r="U421" s="1">
        <v>0</v>
      </c>
      <c r="V421" s="1" t="str">
        <f t="shared" si="56"/>
        <v>里程返程</v>
      </c>
      <c r="W421" s="1" t="s">
        <v>29</v>
      </c>
    </row>
    <row r="422" spans="1:23" x14ac:dyDescent="0.3">
      <c r="A422" s="1" t="str">
        <f t="shared" si="62"/>
        <v>59820</v>
      </c>
      <c r="B422" s="1" t="s">
        <v>53</v>
      </c>
      <c r="C422" s="1" t="s">
        <v>54</v>
      </c>
      <c r="D422" s="1" t="str">
        <f t="shared" si="55"/>
        <v>9801</v>
      </c>
      <c r="E422" s="1" t="s">
        <v>25</v>
      </c>
      <c r="F422" s="1" t="str">
        <f>"835995889"</f>
        <v>835995889</v>
      </c>
      <c r="G422" s="1" t="s">
        <v>33</v>
      </c>
      <c r="H422" s="1" t="str">
        <f t="shared" si="60"/>
        <v>20220907</v>
      </c>
      <c r="I422" s="1" t="str">
        <f>"083842"</f>
        <v>083842</v>
      </c>
      <c r="J422" s="1" t="s">
        <v>75</v>
      </c>
      <c r="K422" s="1" t="s">
        <v>45</v>
      </c>
      <c r="L422" s="1" t="str">
        <f t="shared" si="61"/>
        <v>20220907</v>
      </c>
      <c r="M422" s="1" t="str">
        <f>"085014"</f>
        <v>085014</v>
      </c>
      <c r="N422" s="1" t="s">
        <v>95</v>
      </c>
      <c r="O422" s="1" t="s">
        <v>28</v>
      </c>
      <c r="P422" s="1" t="s">
        <v>55</v>
      </c>
      <c r="Q422" s="1">
        <v>25</v>
      </c>
      <c r="R422" s="1">
        <v>25</v>
      </c>
      <c r="S422" s="1">
        <v>0</v>
      </c>
      <c r="T422" s="1">
        <v>0</v>
      </c>
      <c r="U422" s="1">
        <v>0</v>
      </c>
      <c r="V422" s="1" t="str">
        <f t="shared" si="56"/>
        <v>里程返程</v>
      </c>
      <c r="W422" s="1" t="s">
        <v>35</v>
      </c>
    </row>
    <row r="423" spans="1:23" x14ac:dyDescent="0.3">
      <c r="A423" s="1" t="str">
        <f t="shared" si="62"/>
        <v>59820</v>
      </c>
      <c r="B423" s="1" t="s">
        <v>53</v>
      </c>
      <c r="C423" s="1" t="s">
        <v>54</v>
      </c>
      <c r="D423" s="1" t="str">
        <f t="shared" si="55"/>
        <v>9801</v>
      </c>
      <c r="E423" s="1" t="s">
        <v>25</v>
      </c>
      <c r="F423" s="1" t="str">
        <f>"242931249"</f>
        <v>242931249</v>
      </c>
      <c r="G423" s="1" t="s">
        <v>33</v>
      </c>
      <c r="H423" s="1" t="str">
        <f t="shared" si="60"/>
        <v>20220907</v>
      </c>
      <c r="I423" s="1" t="str">
        <f>"083845"</f>
        <v>083845</v>
      </c>
      <c r="J423" s="1" t="s">
        <v>75</v>
      </c>
      <c r="K423" s="1" t="s">
        <v>45</v>
      </c>
      <c r="L423" s="1" t="str">
        <f t="shared" si="61"/>
        <v>20220907</v>
      </c>
      <c r="M423" s="1" t="str">
        <f>"085129"</f>
        <v>085129</v>
      </c>
      <c r="N423" s="1" t="s">
        <v>28</v>
      </c>
      <c r="O423" s="1" t="s">
        <v>28</v>
      </c>
      <c r="P423" s="1" t="s">
        <v>55</v>
      </c>
      <c r="Q423" s="1">
        <v>25</v>
      </c>
      <c r="R423" s="1">
        <v>25</v>
      </c>
      <c r="S423" s="1">
        <v>0</v>
      </c>
      <c r="T423" s="1">
        <v>0</v>
      </c>
      <c r="U423" s="1">
        <v>0</v>
      </c>
      <c r="V423" s="1" t="str">
        <f t="shared" si="56"/>
        <v>里程返程</v>
      </c>
      <c r="W423" s="1" t="s">
        <v>35</v>
      </c>
    </row>
    <row r="424" spans="1:23" x14ac:dyDescent="0.3">
      <c r="A424" s="1" t="str">
        <f t="shared" si="62"/>
        <v>59820</v>
      </c>
      <c r="B424" s="1" t="s">
        <v>53</v>
      </c>
      <c r="C424" s="1" t="s">
        <v>54</v>
      </c>
      <c r="D424" s="1" t="str">
        <f t="shared" si="55"/>
        <v>9801</v>
      </c>
      <c r="E424" s="1" t="s">
        <v>25</v>
      </c>
      <c r="F424" s="1" t="str">
        <f>"285817872"</f>
        <v>285817872</v>
      </c>
      <c r="G424" s="1" t="s">
        <v>33</v>
      </c>
      <c r="H424" s="1" t="str">
        <f t="shared" si="60"/>
        <v>20220907</v>
      </c>
      <c r="I424" s="1" t="str">
        <f>"085140"</f>
        <v>085140</v>
      </c>
      <c r="J424" s="1" t="s">
        <v>28</v>
      </c>
      <c r="K424" s="1" t="s">
        <v>28</v>
      </c>
      <c r="L424" s="1" t="str">
        <f t="shared" si="61"/>
        <v>20220907</v>
      </c>
      <c r="M424" s="1" t="str">
        <f>"091828"</f>
        <v>091828</v>
      </c>
      <c r="N424" s="1" t="s">
        <v>60</v>
      </c>
      <c r="O424" s="1" t="s">
        <v>52</v>
      </c>
      <c r="P424" s="1" t="s">
        <v>55</v>
      </c>
      <c r="Q424" s="1">
        <v>25</v>
      </c>
      <c r="R424" s="1">
        <v>25</v>
      </c>
      <c r="S424" s="1">
        <v>0</v>
      </c>
      <c r="T424" s="1">
        <v>0</v>
      </c>
      <c r="U424" s="1">
        <v>0</v>
      </c>
      <c r="V424" s="1" t="str">
        <f t="shared" si="56"/>
        <v>里程返程</v>
      </c>
      <c r="W424" s="1" t="s">
        <v>35</v>
      </c>
    </row>
    <row r="425" spans="1:23" x14ac:dyDescent="0.3">
      <c r="A425" s="1" t="str">
        <f t="shared" si="62"/>
        <v>59820</v>
      </c>
      <c r="B425" s="1" t="s">
        <v>53</v>
      </c>
      <c r="C425" s="1" t="s">
        <v>54</v>
      </c>
      <c r="D425" s="1" t="str">
        <f t="shared" si="55"/>
        <v>9801</v>
      </c>
      <c r="E425" s="1" t="s">
        <v>25</v>
      </c>
      <c r="F425" s="1" t="str">
        <f>"E20CD3063B880400C838002000000015"</f>
        <v>E20CD3063B880400C838002000000015</v>
      </c>
      <c r="G425" s="1" t="s">
        <v>26</v>
      </c>
      <c r="H425" s="1" t="str">
        <f t="shared" si="60"/>
        <v>20220907</v>
      </c>
      <c r="I425" s="1" t="str">
        <f>"085211"</f>
        <v>085211</v>
      </c>
      <c r="J425" s="1" t="s">
        <v>28</v>
      </c>
      <c r="K425" s="1" t="s">
        <v>28</v>
      </c>
      <c r="L425" s="1" t="str">
        <f t="shared" si="61"/>
        <v>20220907</v>
      </c>
      <c r="M425" s="1" t="str">
        <f>"091820"</f>
        <v>091820</v>
      </c>
      <c r="N425" s="1" t="s">
        <v>60</v>
      </c>
      <c r="O425" s="1" t="s">
        <v>52</v>
      </c>
      <c r="P425" s="1" t="s">
        <v>68</v>
      </c>
      <c r="Q425" s="1">
        <v>13</v>
      </c>
      <c r="R425" s="1">
        <v>0</v>
      </c>
      <c r="S425" s="1">
        <v>0</v>
      </c>
      <c r="T425" s="1">
        <v>13</v>
      </c>
      <c r="U425" s="1">
        <v>0</v>
      </c>
      <c r="V425" s="1" t="str">
        <f t="shared" si="56"/>
        <v>里程返程</v>
      </c>
      <c r="W425" s="1" t="s">
        <v>29</v>
      </c>
    </row>
    <row r="426" spans="1:23" x14ac:dyDescent="0.3">
      <c r="A426" s="1" t="str">
        <f t="shared" si="62"/>
        <v>59820</v>
      </c>
      <c r="B426" s="1" t="s">
        <v>53</v>
      </c>
      <c r="C426" s="1" t="s">
        <v>54</v>
      </c>
      <c r="D426" s="1" t="str">
        <f t="shared" si="55"/>
        <v>9801</v>
      </c>
      <c r="E426" s="1" t="s">
        <v>25</v>
      </c>
      <c r="F426" s="1" t="str">
        <f>"2604570543"</f>
        <v>2604570543</v>
      </c>
      <c r="G426" s="1" t="s">
        <v>33</v>
      </c>
      <c r="H426" s="1" t="str">
        <f t="shared" si="60"/>
        <v>20220907</v>
      </c>
      <c r="I426" s="1" t="str">
        <f>"095328"</f>
        <v>095328</v>
      </c>
      <c r="J426" s="1" t="s">
        <v>28</v>
      </c>
      <c r="K426" s="1" t="s">
        <v>28</v>
      </c>
      <c r="L426" s="1" t="str">
        <f t="shared" si="61"/>
        <v>20220907</v>
      </c>
      <c r="M426" s="1" t="str">
        <f>"102259"</f>
        <v>102259</v>
      </c>
      <c r="N426" s="1" t="s">
        <v>52</v>
      </c>
      <c r="O426" s="1" t="s">
        <v>52</v>
      </c>
      <c r="P426" s="1" t="s">
        <v>55</v>
      </c>
      <c r="Q426" s="1">
        <v>25</v>
      </c>
      <c r="R426" s="1">
        <v>25</v>
      </c>
      <c r="S426" s="1">
        <v>0</v>
      </c>
      <c r="T426" s="1">
        <v>0</v>
      </c>
      <c r="U426" s="1">
        <v>0</v>
      </c>
      <c r="V426" s="1" t="str">
        <f t="shared" si="56"/>
        <v>里程返程</v>
      </c>
      <c r="W426" s="1" t="s">
        <v>35</v>
      </c>
    </row>
    <row r="427" spans="1:23" x14ac:dyDescent="0.3">
      <c r="A427" s="1" t="str">
        <f t="shared" si="62"/>
        <v>59820</v>
      </c>
      <c r="B427" s="1" t="s">
        <v>53</v>
      </c>
      <c r="C427" s="1" t="s">
        <v>54</v>
      </c>
      <c r="D427" s="1" t="str">
        <f t="shared" si="55"/>
        <v>9801</v>
      </c>
      <c r="E427" s="1" t="s">
        <v>25</v>
      </c>
      <c r="F427" s="1" t="str">
        <f>"82D5FB02AE880400C834002000000015"</f>
        <v>82D5FB02AE880400C834002000000015</v>
      </c>
      <c r="G427" s="1" t="s">
        <v>26</v>
      </c>
      <c r="H427" s="1" t="str">
        <f t="shared" si="60"/>
        <v>20220907</v>
      </c>
      <c r="I427" s="1" t="str">
        <f>"101344"</f>
        <v>101344</v>
      </c>
      <c r="J427" s="1" t="s">
        <v>65</v>
      </c>
      <c r="K427" s="1" t="s">
        <v>52</v>
      </c>
      <c r="L427" s="1" t="str">
        <f t="shared" si="61"/>
        <v>20220907</v>
      </c>
      <c r="M427" s="1" t="str">
        <f>"101832"</f>
        <v>101832</v>
      </c>
      <c r="N427" s="1" t="s">
        <v>60</v>
      </c>
      <c r="O427" s="1" t="s">
        <v>52</v>
      </c>
      <c r="P427" s="1" t="s">
        <v>68</v>
      </c>
      <c r="Q427" s="1">
        <v>13</v>
      </c>
      <c r="R427" s="1">
        <v>0</v>
      </c>
      <c r="S427" s="1">
        <v>0</v>
      </c>
      <c r="T427" s="1">
        <v>13</v>
      </c>
      <c r="U427" s="1">
        <v>0</v>
      </c>
      <c r="V427" s="1" t="str">
        <f t="shared" si="56"/>
        <v>里程返程</v>
      </c>
      <c r="W427" s="1" t="s">
        <v>29</v>
      </c>
    </row>
    <row r="428" spans="1:23" x14ac:dyDescent="0.3">
      <c r="A428" s="1" t="str">
        <f t="shared" si="62"/>
        <v>59820</v>
      </c>
      <c r="B428" s="1" t="s">
        <v>53</v>
      </c>
      <c r="C428" s="1" t="s">
        <v>54</v>
      </c>
      <c r="D428" s="1" t="str">
        <f t="shared" si="55"/>
        <v>9801</v>
      </c>
      <c r="E428" s="1" t="s">
        <v>25</v>
      </c>
      <c r="F428" s="1" t="str">
        <f>"807647089"</f>
        <v>807647089</v>
      </c>
      <c r="G428" s="1" t="s">
        <v>26</v>
      </c>
      <c r="H428" s="1" t="str">
        <f t="shared" si="60"/>
        <v>20220907</v>
      </c>
      <c r="I428" s="1" t="str">
        <f>"102329"</f>
        <v>102329</v>
      </c>
      <c r="J428" s="1" t="s">
        <v>44</v>
      </c>
      <c r="K428" s="1" t="s">
        <v>45</v>
      </c>
      <c r="L428" s="1" t="str">
        <f t="shared" si="61"/>
        <v>20220907</v>
      </c>
      <c r="M428" s="1" t="str">
        <f>"104351"</f>
        <v>104351</v>
      </c>
      <c r="N428" s="1" t="s">
        <v>45</v>
      </c>
      <c r="O428" s="1" t="s">
        <v>45</v>
      </c>
      <c r="P428" s="1" t="s">
        <v>55</v>
      </c>
      <c r="Q428" s="1">
        <v>13</v>
      </c>
      <c r="R428" s="1">
        <v>0</v>
      </c>
      <c r="S428" s="1">
        <v>13</v>
      </c>
      <c r="T428" s="1">
        <v>0</v>
      </c>
      <c r="U428" s="1">
        <v>0</v>
      </c>
      <c r="V428" s="1" t="str">
        <f t="shared" si="56"/>
        <v>里程返程</v>
      </c>
      <c r="W428" s="1" t="s">
        <v>35</v>
      </c>
    </row>
    <row r="429" spans="1:23" x14ac:dyDescent="0.3">
      <c r="A429" s="1" t="str">
        <f t="shared" si="62"/>
        <v>59820</v>
      </c>
      <c r="B429" s="1" t="s">
        <v>53</v>
      </c>
      <c r="C429" s="1" t="s">
        <v>54</v>
      </c>
      <c r="D429" s="1" t="str">
        <f t="shared" si="55"/>
        <v>9801</v>
      </c>
      <c r="E429" s="1" t="s">
        <v>25</v>
      </c>
      <c r="F429" s="1" t="str">
        <f>"2604570543"</f>
        <v>2604570543</v>
      </c>
      <c r="G429" s="1" t="s">
        <v>33</v>
      </c>
      <c r="H429" s="1" t="str">
        <f t="shared" si="60"/>
        <v>20220907</v>
      </c>
      <c r="I429" s="1" t="str">
        <f>"102342"</f>
        <v>102342</v>
      </c>
      <c r="J429" s="1" t="s">
        <v>44</v>
      </c>
      <c r="K429" s="1" t="s">
        <v>45</v>
      </c>
      <c r="L429" s="1" t="str">
        <f t="shared" si="61"/>
        <v>20220907</v>
      </c>
      <c r="M429" s="1" t="str">
        <f>"105337"</f>
        <v>105337</v>
      </c>
      <c r="N429" s="1" t="s">
        <v>28</v>
      </c>
      <c r="O429" s="1" t="s">
        <v>28</v>
      </c>
      <c r="P429" s="1" t="s">
        <v>55</v>
      </c>
      <c r="Q429" s="1">
        <v>25</v>
      </c>
      <c r="R429" s="1">
        <v>25</v>
      </c>
      <c r="S429" s="1">
        <v>0</v>
      </c>
      <c r="T429" s="1">
        <v>0</v>
      </c>
      <c r="U429" s="1">
        <v>0</v>
      </c>
      <c r="V429" s="1" t="str">
        <f t="shared" si="56"/>
        <v>里程返程</v>
      </c>
      <c r="W429" s="1" t="s">
        <v>35</v>
      </c>
    </row>
    <row r="430" spans="1:23" x14ac:dyDescent="0.3">
      <c r="A430" s="1" t="str">
        <f t="shared" si="62"/>
        <v>59820</v>
      </c>
      <c r="B430" s="1" t="s">
        <v>53</v>
      </c>
      <c r="C430" s="1" t="s">
        <v>54</v>
      </c>
      <c r="D430" s="1" t="str">
        <f t="shared" si="55"/>
        <v>9801</v>
      </c>
      <c r="E430" s="1" t="s">
        <v>25</v>
      </c>
      <c r="F430" s="1" t="str">
        <f>"1407423105"</f>
        <v>1407423105</v>
      </c>
      <c r="G430" s="1" t="s">
        <v>26</v>
      </c>
      <c r="H430" s="1" t="str">
        <f t="shared" si="60"/>
        <v>20220907</v>
      </c>
      <c r="I430" s="1" t="str">
        <f>"102344"</f>
        <v>102344</v>
      </c>
      <c r="J430" s="1" t="s">
        <v>44</v>
      </c>
      <c r="K430" s="1" t="s">
        <v>45</v>
      </c>
      <c r="L430" s="1" t="str">
        <f t="shared" si="61"/>
        <v>20220907</v>
      </c>
      <c r="M430" s="1" t="str">
        <f>"104334"</f>
        <v>104334</v>
      </c>
      <c r="N430" s="1" t="s">
        <v>45</v>
      </c>
      <c r="O430" s="1" t="s">
        <v>45</v>
      </c>
      <c r="P430" s="1" t="s">
        <v>55</v>
      </c>
      <c r="Q430" s="1">
        <v>13</v>
      </c>
      <c r="R430" s="1">
        <v>0</v>
      </c>
      <c r="S430" s="1">
        <v>13</v>
      </c>
      <c r="T430" s="1">
        <v>0</v>
      </c>
      <c r="U430" s="1">
        <v>0</v>
      </c>
      <c r="V430" s="1" t="str">
        <f t="shared" si="56"/>
        <v>里程返程</v>
      </c>
      <c r="W430" s="1" t="s">
        <v>35</v>
      </c>
    </row>
    <row r="431" spans="1:23" x14ac:dyDescent="0.3">
      <c r="A431" s="1" t="str">
        <f t="shared" si="62"/>
        <v>59820</v>
      </c>
      <c r="B431" s="1" t="s">
        <v>53</v>
      </c>
      <c r="C431" s="1" t="s">
        <v>54</v>
      </c>
      <c r="D431" s="1" t="str">
        <f t="shared" si="55"/>
        <v>9801</v>
      </c>
      <c r="E431" s="1" t="s">
        <v>25</v>
      </c>
      <c r="F431" s="1" t="str">
        <f>"1407745041"</f>
        <v>1407745041</v>
      </c>
      <c r="G431" s="1" t="s">
        <v>26</v>
      </c>
      <c r="H431" s="1" t="str">
        <f t="shared" si="60"/>
        <v>20220907</v>
      </c>
      <c r="I431" s="1" t="str">
        <f>"102349"</f>
        <v>102349</v>
      </c>
      <c r="J431" s="1" t="s">
        <v>44</v>
      </c>
      <c r="K431" s="1" t="s">
        <v>45</v>
      </c>
      <c r="L431" s="1" t="str">
        <f t="shared" si="61"/>
        <v>20220907</v>
      </c>
      <c r="M431" s="1" t="str">
        <f>"104342"</f>
        <v>104342</v>
      </c>
      <c r="N431" s="1" t="s">
        <v>45</v>
      </c>
      <c r="O431" s="1" t="s">
        <v>45</v>
      </c>
      <c r="P431" s="1" t="s">
        <v>55</v>
      </c>
      <c r="Q431" s="1">
        <v>13</v>
      </c>
      <c r="R431" s="1">
        <v>0</v>
      </c>
      <c r="S431" s="1">
        <v>13</v>
      </c>
      <c r="T431" s="1">
        <v>0</v>
      </c>
      <c r="U431" s="1">
        <v>0</v>
      </c>
      <c r="V431" s="1" t="str">
        <f t="shared" si="56"/>
        <v>里程返程</v>
      </c>
      <c r="W431" s="1" t="s">
        <v>35</v>
      </c>
    </row>
    <row r="432" spans="1:23" x14ac:dyDescent="0.3">
      <c r="A432" s="1" t="str">
        <f t="shared" si="62"/>
        <v>59820</v>
      </c>
      <c r="B432" s="1" t="s">
        <v>53</v>
      </c>
      <c r="C432" s="1" t="s">
        <v>54</v>
      </c>
      <c r="D432" s="1" t="str">
        <f t="shared" si="55"/>
        <v>9801</v>
      </c>
      <c r="E432" s="1" t="s">
        <v>25</v>
      </c>
      <c r="F432" s="1" t="str">
        <f>"1462482513"</f>
        <v>1462482513</v>
      </c>
      <c r="G432" s="1" t="s">
        <v>26</v>
      </c>
      <c r="H432" s="1" t="str">
        <f t="shared" si="60"/>
        <v>20220907</v>
      </c>
      <c r="I432" s="1" t="str">
        <f>"102354"</f>
        <v>102354</v>
      </c>
      <c r="J432" s="1" t="s">
        <v>44</v>
      </c>
      <c r="K432" s="1" t="s">
        <v>45</v>
      </c>
      <c r="L432" s="1" t="str">
        <f t="shared" si="61"/>
        <v>20220907</v>
      </c>
      <c r="M432" s="1" t="str">
        <f>"104348"</f>
        <v>104348</v>
      </c>
      <c r="N432" s="1" t="s">
        <v>45</v>
      </c>
      <c r="O432" s="1" t="s">
        <v>45</v>
      </c>
      <c r="P432" s="1" t="s">
        <v>55</v>
      </c>
      <c r="Q432" s="1">
        <v>13</v>
      </c>
      <c r="R432" s="1">
        <v>0</v>
      </c>
      <c r="S432" s="1">
        <v>13</v>
      </c>
      <c r="T432" s="1">
        <v>0</v>
      </c>
      <c r="U432" s="1">
        <v>0</v>
      </c>
      <c r="V432" s="1" t="str">
        <f t="shared" si="56"/>
        <v>里程返程</v>
      </c>
      <c r="W432" s="1" t="s">
        <v>35</v>
      </c>
    </row>
    <row r="433" spans="1:23" x14ac:dyDescent="0.3">
      <c r="A433" s="1" t="str">
        <f t="shared" si="62"/>
        <v>59820</v>
      </c>
      <c r="B433" s="1" t="s">
        <v>53</v>
      </c>
      <c r="C433" s="1" t="s">
        <v>54</v>
      </c>
      <c r="D433" s="1" t="str">
        <f t="shared" si="55"/>
        <v>9801</v>
      </c>
      <c r="E433" s="1" t="s">
        <v>25</v>
      </c>
      <c r="F433" s="1" t="str">
        <f>"213519585"</f>
        <v>213519585</v>
      </c>
      <c r="G433" s="1" t="s">
        <v>33</v>
      </c>
      <c r="H433" s="1" t="str">
        <f t="shared" si="60"/>
        <v>20220907</v>
      </c>
      <c r="I433" s="1" t="str">
        <f>"102359"</f>
        <v>102359</v>
      </c>
      <c r="J433" s="1" t="s">
        <v>44</v>
      </c>
      <c r="K433" s="1" t="s">
        <v>45</v>
      </c>
      <c r="L433" s="1" t="str">
        <f t="shared" si="61"/>
        <v>20220907</v>
      </c>
      <c r="M433" s="1" t="str">
        <f>"104354"</f>
        <v>104354</v>
      </c>
      <c r="N433" s="1" t="s">
        <v>45</v>
      </c>
      <c r="O433" s="1" t="s">
        <v>45</v>
      </c>
      <c r="P433" s="1" t="s">
        <v>55</v>
      </c>
      <c r="Q433" s="1">
        <v>25</v>
      </c>
      <c r="R433" s="1">
        <v>0</v>
      </c>
      <c r="S433" s="1">
        <v>25</v>
      </c>
      <c r="T433" s="1">
        <v>0</v>
      </c>
      <c r="U433" s="1">
        <v>0</v>
      </c>
      <c r="V433" s="1" t="str">
        <f t="shared" si="56"/>
        <v>里程返程</v>
      </c>
      <c r="W433" s="1" t="s">
        <v>35</v>
      </c>
    </row>
    <row r="434" spans="1:23" x14ac:dyDescent="0.3">
      <c r="A434" s="1" t="str">
        <f t="shared" si="62"/>
        <v>59820</v>
      </c>
      <c r="B434" s="1" t="s">
        <v>53</v>
      </c>
      <c r="C434" s="1" t="s">
        <v>54</v>
      </c>
      <c r="D434" s="1" t="str">
        <f t="shared" si="55"/>
        <v>9801</v>
      </c>
      <c r="E434" s="1" t="s">
        <v>25</v>
      </c>
      <c r="F434" s="1" t="str">
        <f>"2723361871"</f>
        <v>2723361871</v>
      </c>
      <c r="G434" s="1" t="s">
        <v>26</v>
      </c>
      <c r="H434" s="1" t="str">
        <f t="shared" si="60"/>
        <v>20220907</v>
      </c>
      <c r="I434" s="1" t="str">
        <f>"102403"</f>
        <v>102403</v>
      </c>
      <c r="J434" s="1" t="s">
        <v>44</v>
      </c>
      <c r="K434" s="1" t="s">
        <v>45</v>
      </c>
      <c r="L434" s="1" t="str">
        <f t="shared" si="61"/>
        <v>20220907</v>
      </c>
      <c r="M434" s="1" t="str">
        <f>"104344"</f>
        <v>104344</v>
      </c>
      <c r="N434" s="1" t="s">
        <v>45</v>
      </c>
      <c r="O434" s="1" t="s">
        <v>45</v>
      </c>
      <c r="P434" s="1" t="s">
        <v>55</v>
      </c>
      <c r="Q434" s="1">
        <v>13</v>
      </c>
      <c r="R434" s="1">
        <v>0</v>
      </c>
      <c r="S434" s="1">
        <v>13</v>
      </c>
      <c r="T434" s="1">
        <v>0</v>
      </c>
      <c r="U434" s="1">
        <v>0</v>
      </c>
      <c r="V434" s="1" t="str">
        <f t="shared" si="56"/>
        <v>里程返程</v>
      </c>
      <c r="W434" s="1" t="s">
        <v>35</v>
      </c>
    </row>
    <row r="435" spans="1:23" x14ac:dyDescent="0.3">
      <c r="A435" s="1" t="str">
        <f t="shared" si="62"/>
        <v>59820</v>
      </c>
      <c r="B435" s="1" t="s">
        <v>53</v>
      </c>
      <c r="C435" s="1" t="s">
        <v>54</v>
      </c>
      <c r="D435" s="1" t="str">
        <f t="shared" si="55"/>
        <v>9801</v>
      </c>
      <c r="E435" s="1" t="s">
        <v>25</v>
      </c>
      <c r="F435" s="1" t="str">
        <f>"813782993"</f>
        <v>813782993</v>
      </c>
      <c r="G435" s="1" t="s">
        <v>26</v>
      </c>
      <c r="H435" s="1" t="str">
        <f t="shared" si="60"/>
        <v>20220907</v>
      </c>
      <c r="I435" s="1" t="str">
        <f>"102409"</f>
        <v>102409</v>
      </c>
      <c r="J435" s="1" t="s">
        <v>44</v>
      </c>
      <c r="K435" s="1" t="s">
        <v>45</v>
      </c>
      <c r="L435" s="1" t="str">
        <f t="shared" si="61"/>
        <v>20220907</v>
      </c>
      <c r="M435" s="1" t="str">
        <f>"104339"</f>
        <v>104339</v>
      </c>
      <c r="N435" s="1" t="s">
        <v>45</v>
      </c>
      <c r="O435" s="1" t="s">
        <v>45</v>
      </c>
      <c r="P435" s="1" t="s">
        <v>55</v>
      </c>
      <c r="Q435" s="1">
        <v>13</v>
      </c>
      <c r="R435" s="1">
        <v>0</v>
      </c>
      <c r="S435" s="1">
        <v>13</v>
      </c>
      <c r="T435" s="1">
        <v>0</v>
      </c>
      <c r="U435" s="1">
        <v>0</v>
      </c>
      <c r="V435" s="1" t="str">
        <f t="shared" si="56"/>
        <v>里程返程</v>
      </c>
      <c r="W435" s="1" t="s">
        <v>35</v>
      </c>
    </row>
    <row r="436" spans="1:23" x14ac:dyDescent="0.3">
      <c r="A436" s="1" t="str">
        <f t="shared" si="62"/>
        <v>59820</v>
      </c>
      <c r="B436" s="1" t="s">
        <v>53</v>
      </c>
      <c r="C436" s="1" t="s">
        <v>54</v>
      </c>
      <c r="D436" s="1" t="str">
        <f t="shared" si="55"/>
        <v>9801</v>
      </c>
      <c r="E436" s="1" t="s">
        <v>25</v>
      </c>
      <c r="F436" s="1" t="str">
        <f>"31EFC851472804001C00000000000000"</f>
        <v>31EFC851472804001C00000000000000</v>
      </c>
      <c r="G436" s="1" t="s">
        <v>58</v>
      </c>
      <c r="H436" s="1" t="str">
        <f t="shared" si="60"/>
        <v>20220907</v>
      </c>
      <c r="I436" s="1" t="str">
        <f>"103825"</f>
        <v>103825</v>
      </c>
      <c r="J436" s="1" t="s">
        <v>75</v>
      </c>
      <c r="K436" s="1" t="s">
        <v>45</v>
      </c>
      <c r="L436" s="1" t="str">
        <f t="shared" si="61"/>
        <v>20220907</v>
      </c>
      <c r="M436" s="1" t="str">
        <f>"105358"</f>
        <v>105358</v>
      </c>
      <c r="N436" s="1" t="s">
        <v>28</v>
      </c>
      <c r="O436" s="1" t="s">
        <v>28</v>
      </c>
      <c r="P436" s="1" t="s">
        <v>55</v>
      </c>
      <c r="Q436" s="1">
        <v>25</v>
      </c>
      <c r="R436" s="1">
        <v>25</v>
      </c>
      <c r="S436" s="1">
        <v>0</v>
      </c>
      <c r="T436" s="1">
        <v>0</v>
      </c>
      <c r="U436" s="1">
        <v>0</v>
      </c>
      <c r="V436" s="1" t="str">
        <f t="shared" si="56"/>
        <v>里程返程</v>
      </c>
      <c r="W436" s="1" t="s">
        <v>29</v>
      </c>
    </row>
    <row r="437" spans="1:23" x14ac:dyDescent="0.3">
      <c r="A437" s="1" t="str">
        <f t="shared" si="62"/>
        <v>59820</v>
      </c>
      <c r="B437" s="1" t="s">
        <v>53</v>
      </c>
      <c r="C437" s="1" t="s">
        <v>54</v>
      </c>
      <c r="D437" s="1" t="str">
        <f t="shared" si="55"/>
        <v>9801</v>
      </c>
      <c r="E437" s="1" t="s">
        <v>25</v>
      </c>
      <c r="F437" s="1" t="str">
        <f>"1837579752"</f>
        <v>1837579752</v>
      </c>
      <c r="G437" s="1" t="s">
        <v>26</v>
      </c>
      <c r="H437" s="1" t="str">
        <f t="shared" si="60"/>
        <v>20220907</v>
      </c>
      <c r="I437" s="1" t="str">
        <f>"104400"</f>
        <v>104400</v>
      </c>
      <c r="J437" s="1" t="s">
        <v>45</v>
      </c>
      <c r="K437" s="1" t="s">
        <v>45</v>
      </c>
      <c r="L437" s="1" t="str">
        <f t="shared" si="61"/>
        <v>20220907</v>
      </c>
      <c r="M437" s="1" t="str">
        <f>"105352"</f>
        <v>105352</v>
      </c>
      <c r="N437" s="1" t="s">
        <v>28</v>
      </c>
      <c r="O437" s="1" t="s">
        <v>28</v>
      </c>
      <c r="P437" s="1" t="s">
        <v>55</v>
      </c>
      <c r="Q437" s="1">
        <v>13</v>
      </c>
      <c r="R437" s="1">
        <v>13</v>
      </c>
      <c r="S437" s="1">
        <v>0</v>
      </c>
      <c r="T437" s="1">
        <v>0</v>
      </c>
      <c r="U437" s="1">
        <v>0</v>
      </c>
      <c r="V437" s="1" t="str">
        <f t="shared" si="56"/>
        <v>里程返程</v>
      </c>
      <c r="W437" s="1" t="s">
        <v>35</v>
      </c>
    </row>
    <row r="438" spans="1:23" x14ac:dyDescent="0.3">
      <c r="A438" s="1" t="str">
        <f t="shared" si="62"/>
        <v>59820</v>
      </c>
      <c r="B438" s="1" t="s">
        <v>53</v>
      </c>
      <c r="C438" s="1" t="s">
        <v>54</v>
      </c>
      <c r="D438" s="1" t="str">
        <f t="shared" si="55"/>
        <v>9801</v>
      </c>
      <c r="E438" s="1" t="s">
        <v>25</v>
      </c>
      <c r="F438" s="1" t="str">
        <f>"940641493"</f>
        <v>940641493</v>
      </c>
      <c r="G438" s="1" t="s">
        <v>26</v>
      </c>
      <c r="H438" s="1" t="str">
        <f t="shared" si="60"/>
        <v>20220907</v>
      </c>
      <c r="I438" s="1" t="str">
        <f>"104403"</f>
        <v>104403</v>
      </c>
      <c r="J438" s="1" t="s">
        <v>45</v>
      </c>
      <c r="K438" s="1" t="s">
        <v>45</v>
      </c>
      <c r="L438" s="1" t="str">
        <f t="shared" si="61"/>
        <v>20220907</v>
      </c>
      <c r="M438" s="1" t="str">
        <f>"105355"</f>
        <v>105355</v>
      </c>
      <c r="N438" s="1" t="s">
        <v>28</v>
      </c>
      <c r="O438" s="1" t="s">
        <v>28</v>
      </c>
      <c r="P438" s="1" t="s">
        <v>55</v>
      </c>
      <c r="Q438" s="1">
        <v>13</v>
      </c>
      <c r="R438" s="1">
        <v>13</v>
      </c>
      <c r="S438" s="1">
        <v>0</v>
      </c>
      <c r="T438" s="1">
        <v>0</v>
      </c>
      <c r="U438" s="1">
        <v>0</v>
      </c>
      <c r="V438" s="1" t="str">
        <f t="shared" si="56"/>
        <v>里程返程</v>
      </c>
      <c r="W438" s="1" t="s">
        <v>35</v>
      </c>
    </row>
    <row r="439" spans="1:23" x14ac:dyDescent="0.3">
      <c r="A439" s="1" t="str">
        <f t="shared" si="62"/>
        <v>59820</v>
      </c>
      <c r="B439" s="1" t="s">
        <v>53</v>
      </c>
      <c r="C439" s="1" t="s">
        <v>54</v>
      </c>
      <c r="D439" s="1" t="str">
        <f t="shared" si="55"/>
        <v>9801</v>
      </c>
      <c r="E439" s="1" t="s">
        <v>25</v>
      </c>
      <c r="F439" s="1" t="str">
        <f>"103370081"</f>
        <v>103370081</v>
      </c>
      <c r="G439" s="1" t="s">
        <v>33</v>
      </c>
      <c r="H439" s="1" t="str">
        <f t="shared" si="60"/>
        <v>20220907</v>
      </c>
      <c r="I439" s="1" t="str">
        <f>"114440"</f>
        <v>114440</v>
      </c>
      <c r="J439" s="1" t="s">
        <v>45</v>
      </c>
      <c r="K439" s="1" t="s">
        <v>45</v>
      </c>
      <c r="L439" s="1" t="str">
        <f t="shared" si="61"/>
        <v>20220907</v>
      </c>
      <c r="M439" s="1" t="str">
        <f>"115146"</f>
        <v>115146</v>
      </c>
      <c r="N439" s="1" t="s">
        <v>28</v>
      </c>
      <c r="O439" s="1" t="s">
        <v>28</v>
      </c>
      <c r="P439" s="1" t="s">
        <v>55</v>
      </c>
      <c r="Q439" s="1">
        <v>25</v>
      </c>
      <c r="R439" s="1">
        <v>0</v>
      </c>
      <c r="S439" s="1">
        <v>25</v>
      </c>
      <c r="T439" s="1">
        <v>0</v>
      </c>
      <c r="U439" s="1">
        <v>0</v>
      </c>
      <c r="V439" s="1" t="str">
        <f t="shared" si="56"/>
        <v>里程返程</v>
      </c>
      <c r="W439" s="1" t="s">
        <v>35</v>
      </c>
    </row>
    <row r="440" spans="1:23" x14ac:dyDescent="0.3">
      <c r="A440" s="1" t="str">
        <f t="shared" si="62"/>
        <v>59820</v>
      </c>
      <c r="B440" s="1" t="s">
        <v>53</v>
      </c>
      <c r="C440" s="1" t="s">
        <v>54</v>
      </c>
      <c r="D440" s="1" t="str">
        <f t="shared" si="55"/>
        <v>9801</v>
      </c>
      <c r="E440" s="1" t="s">
        <v>25</v>
      </c>
      <c r="F440" s="1" t="str">
        <f>"1388618337"</f>
        <v>1388618337</v>
      </c>
      <c r="G440" s="1" t="s">
        <v>33</v>
      </c>
      <c r="H440" s="1" t="str">
        <f t="shared" si="60"/>
        <v>20220907</v>
      </c>
      <c r="I440" s="1" t="str">
        <f>"115152"</f>
        <v>115152</v>
      </c>
      <c r="J440" s="1" t="s">
        <v>28</v>
      </c>
      <c r="K440" s="1" t="s">
        <v>28</v>
      </c>
      <c r="L440" s="1" t="str">
        <f t="shared" si="61"/>
        <v>20220907</v>
      </c>
      <c r="M440" s="1" t="str">
        <f>"120957"</f>
        <v>120957</v>
      </c>
      <c r="N440" s="1" t="s">
        <v>77</v>
      </c>
      <c r="O440" s="1" t="s">
        <v>52</v>
      </c>
      <c r="P440" s="1" t="s">
        <v>55</v>
      </c>
      <c r="Q440" s="1">
        <v>25</v>
      </c>
      <c r="R440" s="1">
        <v>25</v>
      </c>
      <c r="S440" s="1">
        <v>0</v>
      </c>
      <c r="T440" s="1">
        <v>0</v>
      </c>
      <c r="U440" s="1">
        <v>0</v>
      </c>
      <c r="V440" s="1" t="str">
        <f t="shared" si="56"/>
        <v>里程返程</v>
      </c>
      <c r="W440" s="1" t="s">
        <v>35</v>
      </c>
    </row>
    <row r="441" spans="1:23" x14ac:dyDescent="0.3">
      <c r="A441" s="1" t="str">
        <f t="shared" si="62"/>
        <v>59820</v>
      </c>
      <c r="B441" s="1" t="s">
        <v>53</v>
      </c>
      <c r="C441" s="1" t="s">
        <v>54</v>
      </c>
      <c r="D441" s="1" t="str">
        <f t="shared" si="55"/>
        <v>9801</v>
      </c>
      <c r="E441" s="1" t="s">
        <v>25</v>
      </c>
      <c r="F441" s="1" t="str">
        <f>"321EF20ED0880400C820002000000018"</f>
        <v>321EF20ED0880400C820002000000018</v>
      </c>
      <c r="G441" s="1" t="s">
        <v>59</v>
      </c>
      <c r="H441" s="1" t="str">
        <f t="shared" si="60"/>
        <v>20220907</v>
      </c>
      <c r="I441" s="1" t="str">
        <f>"115216"</f>
        <v>115216</v>
      </c>
      <c r="J441" s="1" t="s">
        <v>28</v>
      </c>
      <c r="K441" s="1" t="s">
        <v>28</v>
      </c>
      <c r="L441" s="1" t="str">
        <f t="shared" si="61"/>
        <v>20220907</v>
      </c>
      <c r="M441" s="1" t="str">
        <f>"122353"</f>
        <v>122353</v>
      </c>
      <c r="N441" s="1" t="s">
        <v>52</v>
      </c>
      <c r="O441" s="1" t="s">
        <v>52</v>
      </c>
      <c r="P441" s="1" t="s">
        <v>55</v>
      </c>
      <c r="Q441" s="1">
        <v>25</v>
      </c>
      <c r="R441" s="1">
        <v>0</v>
      </c>
      <c r="S441" s="1">
        <v>25</v>
      </c>
      <c r="T441" s="1">
        <v>0</v>
      </c>
      <c r="U441" s="1">
        <v>0</v>
      </c>
      <c r="V441" s="1" t="str">
        <f t="shared" si="56"/>
        <v>里程返程</v>
      </c>
      <c r="W441" s="1" t="s">
        <v>29</v>
      </c>
    </row>
    <row r="442" spans="1:23" x14ac:dyDescent="0.3">
      <c r="A442" s="1" t="str">
        <f t="shared" si="62"/>
        <v>59820</v>
      </c>
      <c r="B442" s="1" t="s">
        <v>53</v>
      </c>
      <c r="C442" s="1" t="s">
        <v>54</v>
      </c>
      <c r="D442" s="1" t="str">
        <f t="shared" si="55"/>
        <v>9801</v>
      </c>
      <c r="E442" s="1" t="s">
        <v>25</v>
      </c>
      <c r="F442" s="1" t="str">
        <f>"740030661"</f>
        <v>740030661</v>
      </c>
      <c r="G442" s="1" t="s">
        <v>26</v>
      </c>
      <c r="H442" s="1" t="str">
        <f t="shared" si="60"/>
        <v>20220907</v>
      </c>
      <c r="I442" s="1" t="str">
        <f>"115300"</f>
        <v>115300</v>
      </c>
      <c r="J442" s="1" t="s">
        <v>28</v>
      </c>
      <c r="K442" s="1" t="s">
        <v>28</v>
      </c>
      <c r="L442" s="1" t="str">
        <f t="shared" si="61"/>
        <v>20220907</v>
      </c>
      <c r="M442" s="1" t="str">
        <f>"120816"</f>
        <v>120816</v>
      </c>
      <c r="N442" s="1" t="s">
        <v>77</v>
      </c>
      <c r="O442" s="1" t="s">
        <v>52</v>
      </c>
      <c r="P442" s="1" t="s">
        <v>55</v>
      </c>
      <c r="Q442" s="1">
        <v>13</v>
      </c>
      <c r="R442" s="1">
        <v>0</v>
      </c>
      <c r="S442" s="1">
        <v>13</v>
      </c>
      <c r="T442" s="1">
        <v>0</v>
      </c>
      <c r="U442" s="1">
        <v>0</v>
      </c>
      <c r="V442" s="1" t="str">
        <f t="shared" si="56"/>
        <v>里程返程</v>
      </c>
      <c r="W442" s="1" t="s">
        <v>35</v>
      </c>
    </row>
    <row r="443" spans="1:23" x14ac:dyDescent="0.3">
      <c r="A443" s="1" t="str">
        <f t="shared" si="62"/>
        <v>59820</v>
      </c>
      <c r="B443" s="1" t="s">
        <v>53</v>
      </c>
      <c r="C443" s="1" t="s">
        <v>54</v>
      </c>
      <c r="D443" s="1" t="str">
        <f t="shared" si="55"/>
        <v>9801</v>
      </c>
      <c r="E443" s="1" t="s">
        <v>25</v>
      </c>
      <c r="F443" s="1" t="str">
        <f>"972710469"</f>
        <v>972710469</v>
      </c>
      <c r="G443" s="1" t="s">
        <v>26</v>
      </c>
      <c r="H443" s="1" t="str">
        <f t="shared" si="60"/>
        <v>20220907</v>
      </c>
      <c r="I443" s="1" t="str">
        <f>"115303"</f>
        <v>115303</v>
      </c>
      <c r="J443" s="1" t="s">
        <v>28</v>
      </c>
      <c r="K443" s="1" t="s">
        <v>28</v>
      </c>
      <c r="L443" s="1" t="str">
        <f t="shared" si="61"/>
        <v>20220907</v>
      </c>
      <c r="M443" s="1" t="str">
        <f>"120813"</f>
        <v>120813</v>
      </c>
      <c r="N443" s="1" t="s">
        <v>69</v>
      </c>
      <c r="O443" s="1" t="s">
        <v>52</v>
      </c>
      <c r="P443" s="1" t="s">
        <v>55</v>
      </c>
      <c r="Q443" s="1">
        <v>13</v>
      </c>
      <c r="R443" s="1">
        <v>0</v>
      </c>
      <c r="S443" s="1">
        <v>13</v>
      </c>
      <c r="T443" s="1">
        <v>0</v>
      </c>
      <c r="U443" s="1">
        <v>0</v>
      </c>
      <c r="V443" s="1" t="str">
        <f t="shared" si="56"/>
        <v>里程返程</v>
      </c>
      <c r="W443" s="1" t="s">
        <v>35</v>
      </c>
    </row>
    <row r="444" spans="1:23" x14ac:dyDescent="0.3">
      <c r="A444" s="1" t="str">
        <f t="shared" si="62"/>
        <v>59820</v>
      </c>
      <c r="B444" s="1" t="s">
        <v>53</v>
      </c>
      <c r="C444" s="1" t="s">
        <v>54</v>
      </c>
      <c r="D444" s="1" t="str">
        <f t="shared" si="55"/>
        <v>9801</v>
      </c>
      <c r="E444" s="1" t="s">
        <v>25</v>
      </c>
      <c r="F444" s="1" t="str">
        <f>"A239F5056B880400C838002000000015"</f>
        <v>A239F5056B880400C838002000000015</v>
      </c>
      <c r="G444" s="1" t="s">
        <v>26</v>
      </c>
      <c r="H444" s="1" t="str">
        <f t="shared" si="60"/>
        <v>20220907</v>
      </c>
      <c r="I444" s="1" t="str">
        <f>"120506"</f>
        <v>120506</v>
      </c>
      <c r="J444" s="1" t="s">
        <v>67</v>
      </c>
      <c r="K444" s="1" t="s">
        <v>52</v>
      </c>
      <c r="L444" s="1" t="str">
        <f t="shared" si="61"/>
        <v>20220907</v>
      </c>
      <c r="M444" s="1" t="str">
        <f>"121619"</f>
        <v>121619</v>
      </c>
      <c r="N444" s="1" t="s">
        <v>72</v>
      </c>
      <c r="O444" s="1" t="s">
        <v>52</v>
      </c>
      <c r="P444" s="1" t="s">
        <v>68</v>
      </c>
      <c r="Q444" s="1">
        <v>13</v>
      </c>
      <c r="R444" s="1">
        <v>0</v>
      </c>
      <c r="S444" s="1">
        <v>0</v>
      </c>
      <c r="T444" s="1">
        <v>13</v>
      </c>
      <c r="U444" s="1">
        <v>0</v>
      </c>
      <c r="V444" s="1" t="str">
        <f t="shared" si="56"/>
        <v>里程返程</v>
      </c>
      <c r="W444" s="1" t="s">
        <v>29</v>
      </c>
    </row>
    <row r="445" spans="1:23" x14ac:dyDescent="0.3">
      <c r="A445" s="1" t="str">
        <f t="shared" si="62"/>
        <v>59820</v>
      </c>
      <c r="B445" s="1" t="s">
        <v>53</v>
      </c>
      <c r="C445" s="1" t="s">
        <v>54</v>
      </c>
      <c r="D445" s="1" t="str">
        <f t="shared" si="55"/>
        <v>9801</v>
      </c>
      <c r="E445" s="1" t="s">
        <v>25</v>
      </c>
      <c r="F445" s="1" t="str">
        <f>"82D5FB02AE880400C834002000000015"</f>
        <v>82D5FB02AE880400C834002000000015</v>
      </c>
      <c r="G445" s="1" t="s">
        <v>26</v>
      </c>
      <c r="H445" s="1" t="str">
        <f t="shared" si="60"/>
        <v>20220907</v>
      </c>
      <c r="I445" s="1" t="str">
        <f>"121527"</f>
        <v>121527</v>
      </c>
      <c r="J445" s="1" t="s">
        <v>65</v>
      </c>
      <c r="K445" s="1" t="s">
        <v>52</v>
      </c>
      <c r="L445" s="1" t="str">
        <f t="shared" si="61"/>
        <v>20220907</v>
      </c>
      <c r="M445" s="1" t="str">
        <f>"122007"</f>
        <v>122007</v>
      </c>
      <c r="N445" s="1" t="s">
        <v>60</v>
      </c>
      <c r="O445" s="1" t="s">
        <v>52</v>
      </c>
      <c r="P445" s="1" t="s">
        <v>68</v>
      </c>
      <c r="Q445" s="1">
        <v>13</v>
      </c>
      <c r="R445" s="1">
        <v>0</v>
      </c>
      <c r="S445" s="1">
        <v>0</v>
      </c>
      <c r="T445" s="1">
        <v>13</v>
      </c>
      <c r="U445" s="1">
        <v>0</v>
      </c>
      <c r="V445" s="1" t="str">
        <f t="shared" si="56"/>
        <v>里程返程</v>
      </c>
      <c r="W445" s="1" t="s">
        <v>29</v>
      </c>
    </row>
    <row r="446" spans="1:23" x14ac:dyDescent="0.3">
      <c r="A446" s="1" t="str">
        <f t="shared" si="62"/>
        <v>59820</v>
      </c>
      <c r="B446" s="1" t="s">
        <v>53</v>
      </c>
      <c r="C446" s="1" t="s">
        <v>54</v>
      </c>
      <c r="D446" s="1" t="str">
        <f t="shared" si="55"/>
        <v>9801</v>
      </c>
      <c r="E446" s="1" t="s">
        <v>25</v>
      </c>
      <c r="F446" s="1" t="str">
        <f>"1598736753"</f>
        <v>1598736753</v>
      </c>
      <c r="G446" s="1" t="s">
        <v>33</v>
      </c>
      <c r="H446" s="1" t="str">
        <f t="shared" si="60"/>
        <v>20220907</v>
      </c>
      <c r="I446" s="1" t="str">
        <f>"185330"</f>
        <v>185330</v>
      </c>
      <c r="J446" s="1" t="s">
        <v>44</v>
      </c>
      <c r="K446" s="1" t="s">
        <v>45</v>
      </c>
      <c r="L446" s="1" t="str">
        <f t="shared" si="61"/>
        <v>20220907</v>
      </c>
      <c r="M446" s="1" t="str">
        <f>"192244"</f>
        <v>192244</v>
      </c>
      <c r="N446" s="1" t="s">
        <v>28</v>
      </c>
      <c r="O446" s="1" t="s">
        <v>28</v>
      </c>
      <c r="P446" s="1" t="s">
        <v>55</v>
      </c>
      <c r="Q446" s="1">
        <v>25</v>
      </c>
      <c r="R446" s="1">
        <v>0</v>
      </c>
      <c r="S446" s="1">
        <v>25</v>
      </c>
      <c r="T446" s="1">
        <v>0</v>
      </c>
      <c r="U446" s="1">
        <v>0</v>
      </c>
      <c r="V446" s="1" t="str">
        <f t="shared" si="56"/>
        <v>里程返程</v>
      </c>
      <c r="W446" s="1" t="s">
        <v>35</v>
      </c>
    </row>
    <row r="447" spans="1:23" x14ac:dyDescent="0.3">
      <c r="A447" s="1" t="str">
        <f t="shared" si="62"/>
        <v>59820</v>
      </c>
      <c r="B447" s="1" t="s">
        <v>53</v>
      </c>
      <c r="C447" s="1" t="s">
        <v>54</v>
      </c>
      <c r="D447" s="1" t="str">
        <f t="shared" si="55"/>
        <v>9801</v>
      </c>
      <c r="E447" s="1" t="s">
        <v>25</v>
      </c>
      <c r="F447" s="1" t="str">
        <f>"881988933"</f>
        <v>881988933</v>
      </c>
      <c r="G447" s="1" t="s">
        <v>33</v>
      </c>
      <c r="H447" s="1" t="str">
        <f t="shared" si="60"/>
        <v>20220907</v>
      </c>
      <c r="I447" s="1" t="str">
        <f>"185334"</f>
        <v>185334</v>
      </c>
      <c r="J447" s="1" t="s">
        <v>44</v>
      </c>
      <c r="K447" s="1" t="s">
        <v>45</v>
      </c>
      <c r="L447" s="1" t="str">
        <f t="shared" si="61"/>
        <v>20220907</v>
      </c>
      <c r="M447" s="1" t="str">
        <f>"192242"</f>
        <v>192242</v>
      </c>
      <c r="N447" s="1" t="s">
        <v>28</v>
      </c>
      <c r="O447" s="1" t="s">
        <v>28</v>
      </c>
      <c r="P447" s="1" t="s">
        <v>55</v>
      </c>
      <c r="Q447" s="1">
        <v>25</v>
      </c>
      <c r="R447" s="1">
        <v>0</v>
      </c>
      <c r="S447" s="1">
        <v>25</v>
      </c>
      <c r="T447" s="1">
        <v>0</v>
      </c>
      <c r="U447" s="1">
        <v>0</v>
      </c>
      <c r="V447" s="1" t="str">
        <f t="shared" si="56"/>
        <v>里程返程</v>
      </c>
      <c r="W447" s="1" t="s">
        <v>35</v>
      </c>
    </row>
    <row r="448" spans="1:23" x14ac:dyDescent="0.3">
      <c r="A448" s="1" t="str">
        <f t="shared" ref="A448:A466" si="63">"59828"</f>
        <v>59828</v>
      </c>
      <c r="B448" s="1" t="s">
        <v>23</v>
      </c>
      <c r="C448" s="1" t="s">
        <v>24</v>
      </c>
      <c r="D448" s="1" t="str">
        <f t="shared" si="55"/>
        <v>9801</v>
      </c>
      <c r="E448" s="1" t="s">
        <v>25</v>
      </c>
      <c r="F448" s="1" t="str">
        <f>"026A101860880400C814002000000019"</f>
        <v>026A101860880400C814002000000019</v>
      </c>
      <c r="G448" s="1" t="s">
        <v>59</v>
      </c>
      <c r="H448" s="1" t="str">
        <f t="shared" si="60"/>
        <v>20220907</v>
      </c>
      <c r="I448" s="1" t="str">
        <f>"172752"</f>
        <v>172752</v>
      </c>
      <c r="J448" s="1" t="s">
        <v>44</v>
      </c>
      <c r="K448" s="1" t="s">
        <v>45</v>
      </c>
      <c r="L448" s="1" t="str">
        <f t="shared" si="61"/>
        <v>20220907</v>
      </c>
      <c r="M448" s="1" t="str">
        <f>"175235"</f>
        <v>175235</v>
      </c>
      <c r="N448" s="1" t="s">
        <v>28</v>
      </c>
      <c r="O448" s="1" t="s">
        <v>28</v>
      </c>
      <c r="P448" s="1" t="s">
        <v>55</v>
      </c>
      <c r="Q448" s="1">
        <v>25</v>
      </c>
      <c r="R448" s="1">
        <v>25</v>
      </c>
      <c r="S448" s="1">
        <v>0</v>
      </c>
      <c r="T448" s="1">
        <v>0</v>
      </c>
      <c r="U448" s="1">
        <v>0</v>
      </c>
      <c r="V448" s="1" t="str">
        <f t="shared" si="56"/>
        <v>里程返程</v>
      </c>
      <c r="W448" s="1" t="s">
        <v>29</v>
      </c>
    </row>
    <row r="449" spans="1:23" x14ac:dyDescent="0.3">
      <c r="A449" s="1" t="str">
        <f t="shared" si="63"/>
        <v>59828</v>
      </c>
      <c r="B449" s="1" t="s">
        <v>23</v>
      </c>
      <c r="C449" s="1" t="s">
        <v>24</v>
      </c>
      <c r="D449" s="1" t="str">
        <f t="shared" si="55"/>
        <v>9801</v>
      </c>
      <c r="E449" s="1" t="s">
        <v>25</v>
      </c>
      <c r="F449" s="1" t="str">
        <f>"422AE7028D880400C834002000000015"</f>
        <v>422AE7028D880400C834002000000015</v>
      </c>
      <c r="G449" s="1" t="s">
        <v>74</v>
      </c>
      <c r="H449" s="1" t="str">
        <f t="shared" si="60"/>
        <v>20220907</v>
      </c>
      <c r="I449" s="1" t="str">
        <f>"172759"</f>
        <v>172759</v>
      </c>
      <c r="J449" s="1" t="s">
        <v>44</v>
      </c>
      <c r="K449" s="1" t="s">
        <v>45</v>
      </c>
      <c r="L449" s="1" t="str">
        <f t="shared" si="61"/>
        <v>20220907</v>
      </c>
      <c r="M449" s="1" t="str">
        <f>"175232"</f>
        <v>175232</v>
      </c>
      <c r="N449" s="1" t="s">
        <v>28</v>
      </c>
      <c r="O449" s="1" t="s">
        <v>28</v>
      </c>
      <c r="P449" s="1" t="s">
        <v>68</v>
      </c>
      <c r="Q449" s="1">
        <v>13</v>
      </c>
      <c r="R449" s="1">
        <v>0</v>
      </c>
      <c r="S449" s="1">
        <v>0</v>
      </c>
      <c r="T449" s="1">
        <v>13</v>
      </c>
      <c r="U449" s="1">
        <v>0</v>
      </c>
      <c r="V449" s="1" t="str">
        <f t="shared" si="56"/>
        <v>里程返程</v>
      </c>
      <c r="W449" s="1" t="s">
        <v>29</v>
      </c>
    </row>
    <row r="450" spans="1:23" x14ac:dyDescent="0.3">
      <c r="A450" s="1" t="str">
        <f t="shared" si="63"/>
        <v>59828</v>
      </c>
      <c r="B450" s="1" t="s">
        <v>23</v>
      </c>
      <c r="C450" s="1" t="s">
        <v>24</v>
      </c>
      <c r="D450" s="1" t="str">
        <f t="shared" ref="D450:D513" si="64">"9801"</f>
        <v>9801</v>
      </c>
      <c r="E450" s="1" t="s">
        <v>25</v>
      </c>
      <c r="F450" s="1" t="str">
        <f>"5206E702B1880400C834002000000015"</f>
        <v>5206E702B1880400C834002000000015</v>
      </c>
      <c r="G450" s="1" t="s">
        <v>74</v>
      </c>
      <c r="H450" s="1" t="str">
        <f t="shared" si="60"/>
        <v>20220907</v>
      </c>
      <c r="I450" s="1" t="str">
        <f>"172805"</f>
        <v>172805</v>
      </c>
      <c r="J450" s="1" t="s">
        <v>44</v>
      </c>
      <c r="K450" s="1" t="s">
        <v>45</v>
      </c>
      <c r="L450" s="1" t="str">
        <f t="shared" si="61"/>
        <v>20220907</v>
      </c>
      <c r="M450" s="1" t="str">
        <f>"175224"</f>
        <v>175224</v>
      </c>
      <c r="N450" s="1" t="s">
        <v>28</v>
      </c>
      <c r="O450" s="1" t="s">
        <v>28</v>
      </c>
      <c r="P450" s="1" t="s">
        <v>68</v>
      </c>
      <c r="Q450" s="1">
        <v>13</v>
      </c>
      <c r="R450" s="1">
        <v>0</v>
      </c>
      <c r="S450" s="1">
        <v>0</v>
      </c>
      <c r="T450" s="1">
        <v>13</v>
      </c>
      <c r="U450" s="1">
        <v>0</v>
      </c>
      <c r="V450" s="1" t="str">
        <f t="shared" ref="V450:V513" si="65">"里程返程"</f>
        <v>里程返程</v>
      </c>
      <c r="W450" s="1" t="s">
        <v>29</v>
      </c>
    </row>
    <row r="451" spans="1:23" x14ac:dyDescent="0.3">
      <c r="A451" s="1" t="str">
        <f t="shared" si="63"/>
        <v>59828</v>
      </c>
      <c r="B451" s="1" t="s">
        <v>23</v>
      </c>
      <c r="C451" s="1" t="s">
        <v>24</v>
      </c>
      <c r="D451" s="1" t="str">
        <f t="shared" si="64"/>
        <v>9801</v>
      </c>
      <c r="E451" s="1" t="s">
        <v>25</v>
      </c>
      <c r="F451" s="1" t="str">
        <f>"1752749445"</f>
        <v>1752749445</v>
      </c>
      <c r="G451" s="1" t="s">
        <v>33</v>
      </c>
      <c r="H451" s="1" t="str">
        <f t="shared" si="60"/>
        <v>20220907</v>
      </c>
      <c r="I451" s="1" t="str">
        <f>"172809"</f>
        <v>172809</v>
      </c>
      <c r="J451" s="1" t="s">
        <v>44</v>
      </c>
      <c r="K451" s="1" t="s">
        <v>45</v>
      </c>
      <c r="L451" s="1" t="str">
        <f t="shared" si="61"/>
        <v>20220907</v>
      </c>
      <c r="M451" s="1" t="str">
        <f>"175222"</f>
        <v>175222</v>
      </c>
      <c r="N451" s="1" t="s">
        <v>28</v>
      </c>
      <c r="O451" s="1" t="s">
        <v>28</v>
      </c>
      <c r="P451" s="1" t="s">
        <v>55</v>
      </c>
      <c r="Q451" s="1">
        <v>25</v>
      </c>
      <c r="R451" s="1">
        <v>25</v>
      </c>
      <c r="S451" s="1">
        <v>0</v>
      </c>
      <c r="T451" s="1">
        <v>0</v>
      </c>
      <c r="U451" s="1">
        <v>0</v>
      </c>
      <c r="V451" s="1" t="str">
        <f t="shared" si="65"/>
        <v>里程返程</v>
      </c>
      <c r="W451" s="1" t="s">
        <v>35</v>
      </c>
    </row>
    <row r="452" spans="1:23" x14ac:dyDescent="0.3">
      <c r="A452" s="1" t="str">
        <f t="shared" si="63"/>
        <v>59828</v>
      </c>
      <c r="B452" s="1" t="s">
        <v>23</v>
      </c>
      <c r="C452" s="1" t="s">
        <v>24</v>
      </c>
      <c r="D452" s="1" t="str">
        <f t="shared" si="64"/>
        <v>9801</v>
      </c>
      <c r="E452" s="1" t="s">
        <v>25</v>
      </c>
      <c r="F452" s="1" t="str">
        <f>"1103653621"</f>
        <v>1103653621</v>
      </c>
      <c r="G452" s="1" t="s">
        <v>38</v>
      </c>
      <c r="H452" s="1" t="str">
        <f t="shared" ref="H452:H466" si="66">"20220907"</f>
        <v>20220907</v>
      </c>
      <c r="I452" s="1" t="str">
        <f>"175246"</f>
        <v>175246</v>
      </c>
      <c r="J452" s="1" t="s">
        <v>28</v>
      </c>
      <c r="K452" s="1" t="s">
        <v>28</v>
      </c>
      <c r="L452" s="1" t="str">
        <f t="shared" ref="L452:L466" si="67">"20220907"</f>
        <v>20220907</v>
      </c>
      <c r="M452" s="1" t="str">
        <f>"182352"</f>
        <v>182352</v>
      </c>
      <c r="N452" s="1" t="s">
        <v>65</v>
      </c>
      <c r="O452" s="1" t="s">
        <v>52</v>
      </c>
      <c r="P452" s="1" t="s">
        <v>55</v>
      </c>
      <c r="Q452" s="1">
        <v>25</v>
      </c>
      <c r="R452" s="1">
        <v>0</v>
      </c>
      <c r="S452" s="1">
        <v>25</v>
      </c>
      <c r="T452" s="1">
        <v>0</v>
      </c>
      <c r="U452" s="1">
        <v>0</v>
      </c>
      <c r="V452" s="1" t="str">
        <f t="shared" si="65"/>
        <v>里程返程</v>
      </c>
      <c r="W452" s="1" t="s">
        <v>35</v>
      </c>
    </row>
    <row r="453" spans="1:23" x14ac:dyDescent="0.3">
      <c r="A453" s="1" t="str">
        <f t="shared" si="63"/>
        <v>59828</v>
      </c>
      <c r="B453" s="1" t="s">
        <v>23</v>
      </c>
      <c r="C453" s="1" t="s">
        <v>24</v>
      </c>
      <c r="D453" s="1" t="str">
        <f t="shared" si="64"/>
        <v>9801</v>
      </c>
      <c r="E453" s="1" t="s">
        <v>25</v>
      </c>
      <c r="F453" s="1" t="str">
        <f>"1000129109"</f>
        <v>1000129109</v>
      </c>
      <c r="G453" s="1" t="s">
        <v>38</v>
      </c>
      <c r="H453" s="1" t="str">
        <f t="shared" si="66"/>
        <v>20220907</v>
      </c>
      <c r="I453" s="1" t="str">
        <f>"175315"</f>
        <v>175315</v>
      </c>
      <c r="J453" s="1" t="s">
        <v>28</v>
      </c>
      <c r="K453" s="1" t="s">
        <v>28</v>
      </c>
      <c r="L453" s="1" t="str">
        <f t="shared" si="67"/>
        <v>20220907</v>
      </c>
      <c r="M453" s="1" t="str">
        <f>"175842"</f>
        <v>175842</v>
      </c>
      <c r="N453" s="1" t="s">
        <v>41</v>
      </c>
      <c r="O453" s="1" t="s">
        <v>28</v>
      </c>
      <c r="P453" s="1" t="s">
        <v>55</v>
      </c>
      <c r="Q453" s="1">
        <v>25</v>
      </c>
      <c r="R453" s="1">
        <v>25</v>
      </c>
      <c r="S453" s="1">
        <v>0</v>
      </c>
      <c r="T453" s="1">
        <v>0</v>
      </c>
      <c r="U453" s="1">
        <v>0</v>
      </c>
      <c r="V453" s="1" t="str">
        <f t="shared" si="65"/>
        <v>里程返程</v>
      </c>
      <c r="W453" s="1" t="s">
        <v>35</v>
      </c>
    </row>
    <row r="454" spans="1:23" x14ac:dyDescent="0.3">
      <c r="A454" s="1" t="str">
        <f t="shared" si="63"/>
        <v>59828</v>
      </c>
      <c r="B454" s="1" t="s">
        <v>23</v>
      </c>
      <c r="C454" s="1" t="s">
        <v>24</v>
      </c>
      <c r="D454" s="1" t="str">
        <f t="shared" si="64"/>
        <v>9801</v>
      </c>
      <c r="E454" s="1" t="s">
        <v>25</v>
      </c>
      <c r="F454" s="1" t="str">
        <f>"1616863089"</f>
        <v>1616863089</v>
      </c>
      <c r="G454" s="1" t="s">
        <v>33</v>
      </c>
      <c r="H454" s="1" t="str">
        <f t="shared" si="66"/>
        <v>20220907</v>
      </c>
      <c r="I454" s="1" t="str">
        <f>"175325"</f>
        <v>175325</v>
      </c>
      <c r="J454" s="1" t="s">
        <v>28</v>
      </c>
      <c r="K454" s="1" t="s">
        <v>28</v>
      </c>
      <c r="L454" s="1" t="str">
        <f t="shared" si="67"/>
        <v>20220907</v>
      </c>
      <c r="M454" s="1" t="str">
        <f>"175851"</f>
        <v>175851</v>
      </c>
      <c r="N454" s="1" t="s">
        <v>41</v>
      </c>
      <c r="O454" s="1" t="s">
        <v>28</v>
      </c>
      <c r="P454" s="1" t="s">
        <v>55</v>
      </c>
      <c r="Q454" s="1">
        <v>25</v>
      </c>
      <c r="R454" s="1">
        <v>25</v>
      </c>
      <c r="S454" s="1">
        <v>0</v>
      </c>
      <c r="T454" s="1">
        <v>0</v>
      </c>
      <c r="U454" s="1">
        <v>0</v>
      </c>
      <c r="V454" s="1" t="str">
        <f t="shared" si="65"/>
        <v>里程返程</v>
      </c>
      <c r="W454" s="1" t="s">
        <v>35</v>
      </c>
    </row>
    <row r="455" spans="1:23" x14ac:dyDescent="0.3">
      <c r="A455" s="1" t="str">
        <f t="shared" si="63"/>
        <v>59828</v>
      </c>
      <c r="B455" s="1" t="s">
        <v>23</v>
      </c>
      <c r="C455" s="1" t="s">
        <v>24</v>
      </c>
      <c r="D455" s="1" t="str">
        <f t="shared" si="64"/>
        <v>9801</v>
      </c>
      <c r="E455" s="1" t="s">
        <v>25</v>
      </c>
      <c r="F455" s="1" t="str">
        <f>"620B781809880400C819002000000019"</f>
        <v>620B781809880400C819002000000019</v>
      </c>
      <c r="G455" s="1" t="s">
        <v>26</v>
      </c>
      <c r="H455" s="1" t="str">
        <f t="shared" si="66"/>
        <v>20220907</v>
      </c>
      <c r="I455" s="1" t="str">
        <f>"175432"</f>
        <v>175432</v>
      </c>
      <c r="J455" s="1" t="s">
        <v>28</v>
      </c>
      <c r="K455" s="1" t="s">
        <v>28</v>
      </c>
      <c r="L455" s="1" t="str">
        <f t="shared" si="67"/>
        <v>20220907</v>
      </c>
      <c r="M455" s="1" t="str">
        <f>"182349"</f>
        <v>182349</v>
      </c>
      <c r="N455" s="1" t="s">
        <v>65</v>
      </c>
      <c r="O455" s="1" t="s">
        <v>52</v>
      </c>
      <c r="P455" s="1" t="s">
        <v>55</v>
      </c>
      <c r="Q455" s="1">
        <v>13</v>
      </c>
      <c r="R455" s="1">
        <v>13</v>
      </c>
      <c r="S455" s="1">
        <v>0</v>
      </c>
      <c r="T455" s="1">
        <v>0</v>
      </c>
      <c r="U455" s="1">
        <v>0</v>
      </c>
      <c r="V455" s="1" t="str">
        <f t="shared" si="65"/>
        <v>里程返程</v>
      </c>
      <c r="W455" s="1" t="s">
        <v>29</v>
      </c>
    </row>
    <row r="456" spans="1:23" x14ac:dyDescent="0.3">
      <c r="A456" s="1" t="str">
        <f t="shared" si="63"/>
        <v>59828</v>
      </c>
      <c r="B456" s="1" t="s">
        <v>23</v>
      </c>
      <c r="C456" s="1" t="s">
        <v>24</v>
      </c>
      <c r="D456" s="1" t="str">
        <f t="shared" si="64"/>
        <v>9801</v>
      </c>
      <c r="E456" s="1" t="s">
        <v>25</v>
      </c>
      <c r="F456" s="1" t="str">
        <f>"E130C75F492804001C00000000000000"</f>
        <v>E130C75F492804001C00000000000000</v>
      </c>
      <c r="G456" s="1" t="s">
        <v>58</v>
      </c>
      <c r="H456" s="1" t="str">
        <f t="shared" si="66"/>
        <v>20220907</v>
      </c>
      <c r="I456" s="1" t="str">
        <f>"185454"</f>
        <v>185454</v>
      </c>
      <c r="J456" s="1" t="s">
        <v>28</v>
      </c>
      <c r="K456" s="1" t="s">
        <v>28</v>
      </c>
      <c r="L456" s="1" t="str">
        <f t="shared" si="67"/>
        <v>20220907</v>
      </c>
      <c r="M456" s="1" t="str">
        <f>"191511"</f>
        <v>191511</v>
      </c>
      <c r="N456" s="1" t="s">
        <v>80</v>
      </c>
      <c r="O456" s="1" t="s">
        <v>52</v>
      </c>
      <c r="P456" s="1" t="s">
        <v>55</v>
      </c>
      <c r="Q456" s="1">
        <v>25</v>
      </c>
      <c r="R456" s="1">
        <v>0</v>
      </c>
      <c r="S456" s="1">
        <v>25</v>
      </c>
      <c r="T456" s="1">
        <v>0</v>
      </c>
      <c r="U456" s="1">
        <v>0</v>
      </c>
      <c r="V456" s="1" t="str">
        <f t="shared" si="65"/>
        <v>里程返程</v>
      </c>
      <c r="W456" s="1" t="s">
        <v>29</v>
      </c>
    </row>
    <row r="457" spans="1:23" x14ac:dyDescent="0.3">
      <c r="A457" s="1" t="str">
        <f t="shared" si="63"/>
        <v>59828</v>
      </c>
      <c r="B457" s="1" t="s">
        <v>23</v>
      </c>
      <c r="C457" s="1" t="s">
        <v>24</v>
      </c>
      <c r="D457" s="1" t="str">
        <f t="shared" si="64"/>
        <v>9801</v>
      </c>
      <c r="E457" s="1" t="s">
        <v>25</v>
      </c>
      <c r="F457" s="1" t="str">
        <f>"629413266"</f>
        <v>629413266</v>
      </c>
      <c r="G457" s="1" t="s">
        <v>33</v>
      </c>
      <c r="H457" s="1" t="str">
        <f t="shared" si="66"/>
        <v>20220907</v>
      </c>
      <c r="I457" s="1" t="str">
        <f>"185455"</f>
        <v>185455</v>
      </c>
      <c r="J457" s="1" t="s">
        <v>28</v>
      </c>
      <c r="K457" s="1" t="s">
        <v>28</v>
      </c>
      <c r="L457" s="1" t="str">
        <f t="shared" si="67"/>
        <v>20220907</v>
      </c>
      <c r="M457" s="1" t="str">
        <f>"190618"</f>
        <v>190618</v>
      </c>
      <c r="N457" s="1" t="s">
        <v>83</v>
      </c>
      <c r="O457" s="1" t="s">
        <v>52</v>
      </c>
      <c r="P457" s="1" t="s">
        <v>55</v>
      </c>
      <c r="Q457" s="1">
        <v>25</v>
      </c>
      <c r="R457" s="1">
        <v>25</v>
      </c>
      <c r="S457" s="1">
        <v>0</v>
      </c>
      <c r="T457" s="1">
        <v>0</v>
      </c>
      <c r="U457" s="1">
        <v>0</v>
      </c>
      <c r="V457" s="1" t="str">
        <f t="shared" si="65"/>
        <v>里程返程</v>
      </c>
      <c r="W457" s="1" t="s">
        <v>35</v>
      </c>
    </row>
    <row r="458" spans="1:23" x14ac:dyDescent="0.3">
      <c r="A458" s="1" t="str">
        <f t="shared" si="63"/>
        <v>59828</v>
      </c>
      <c r="B458" s="1" t="s">
        <v>23</v>
      </c>
      <c r="C458" s="1" t="s">
        <v>24</v>
      </c>
      <c r="D458" s="1" t="str">
        <f t="shared" si="64"/>
        <v>9801</v>
      </c>
      <c r="E458" s="1" t="s">
        <v>25</v>
      </c>
      <c r="F458" s="1" t="str">
        <f>"A15953238888040043281482000F0112"</f>
        <v>A15953238888040043281482000F0112</v>
      </c>
      <c r="G458" s="1" t="s">
        <v>64</v>
      </c>
      <c r="H458" s="1" t="str">
        <f t="shared" si="66"/>
        <v>20220907</v>
      </c>
      <c r="I458" s="1" t="str">
        <f>"185554"</f>
        <v>185554</v>
      </c>
      <c r="J458" s="1" t="s">
        <v>28</v>
      </c>
      <c r="K458" s="1" t="s">
        <v>28</v>
      </c>
      <c r="L458" s="1" t="str">
        <f t="shared" si="67"/>
        <v>20220907</v>
      </c>
      <c r="M458" s="1" t="str">
        <f>"192910"</f>
        <v>192910</v>
      </c>
      <c r="N458" s="1" t="s">
        <v>52</v>
      </c>
      <c r="O458" s="1" t="s">
        <v>52</v>
      </c>
      <c r="P458" s="1" t="s">
        <v>55</v>
      </c>
      <c r="Q458" s="1">
        <v>13</v>
      </c>
      <c r="R458" s="1">
        <v>0</v>
      </c>
      <c r="S458" s="1">
        <v>13</v>
      </c>
      <c r="T458" s="1">
        <v>0</v>
      </c>
      <c r="U458" s="1">
        <v>0</v>
      </c>
      <c r="V458" s="1" t="str">
        <f t="shared" si="65"/>
        <v>里程返程</v>
      </c>
      <c r="W458" s="1" t="s">
        <v>29</v>
      </c>
    </row>
    <row r="459" spans="1:23" x14ac:dyDescent="0.3">
      <c r="A459" s="1" t="str">
        <f t="shared" si="63"/>
        <v>59828</v>
      </c>
      <c r="B459" s="1" t="s">
        <v>23</v>
      </c>
      <c r="C459" s="1" t="s">
        <v>24</v>
      </c>
      <c r="D459" s="1" t="str">
        <f t="shared" si="64"/>
        <v>9801</v>
      </c>
      <c r="E459" s="1" t="s">
        <v>25</v>
      </c>
      <c r="F459" s="1" t="str">
        <f>"F9B6A40FE48804004326A4E600020211"</f>
        <v>F9B6A40FE48804004326A4E600020211</v>
      </c>
      <c r="G459" s="1" t="s">
        <v>64</v>
      </c>
      <c r="H459" s="1" t="str">
        <f t="shared" si="66"/>
        <v>20220907</v>
      </c>
      <c r="I459" s="1" t="str">
        <f>"185557"</f>
        <v>185557</v>
      </c>
      <c r="J459" s="1" t="s">
        <v>28</v>
      </c>
      <c r="K459" s="1" t="s">
        <v>28</v>
      </c>
      <c r="L459" s="1" t="str">
        <f t="shared" si="67"/>
        <v>20220907</v>
      </c>
      <c r="M459" s="1" t="str">
        <f>"192900"</f>
        <v>192900</v>
      </c>
      <c r="N459" s="1" t="s">
        <v>52</v>
      </c>
      <c r="O459" s="1" t="s">
        <v>52</v>
      </c>
      <c r="P459" s="1" t="s">
        <v>55</v>
      </c>
      <c r="Q459" s="1">
        <v>13</v>
      </c>
      <c r="R459" s="1">
        <v>13</v>
      </c>
      <c r="S459" s="1">
        <v>0</v>
      </c>
      <c r="T459" s="1">
        <v>0</v>
      </c>
      <c r="U459" s="1">
        <v>0</v>
      </c>
      <c r="V459" s="1" t="str">
        <f t="shared" si="65"/>
        <v>里程返程</v>
      </c>
      <c r="W459" s="1" t="s">
        <v>29</v>
      </c>
    </row>
    <row r="460" spans="1:23" x14ac:dyDescent="0.3">
      <c r="A460" s="1" t="str">
        <f t="shared" si="63"/>
        <v>59828</v>
      </c>
      <c r="B460" s="1" t="s">
        <v>23</v>
      </c>
      <c r="C460" s="1" t="s">
        <v>24</v>
      </c>
      <c r="D460" s="1" t="str">
        <f t="shared" si="64"/>
        <v>9801</v>
      </c>
      <c r="E460" s="1" t="s">
        <v>25</v>
      </c>
      <c r="F460" s="1" t="str">
        <f>"720BAD19CD880400C824002000000020"</f>
        <v>720BAD19CD880400C824002000000020</v>
      </c>
      <c r="G460" s="1" t="s">
        <v>64</v>
      </c>
      <c r="H460" s="1" t="str">
        <f t="shared" si="66"/>
        <v>20220907</v>
      </c>
      <c r="I460" s="1" t="str">
        <f>"185605"</f>
        <v>185605</v>
      </c>
      <c r="J460" s="1" t="s">
        <v>28</v>
      </c>
      <c r="K460" s="1" t="s">
        <v>28</v>
      </c>
      <c r="L460" s="1" t="str">
        <f t="shared" si="67"/>
        <v>20220907</v>
      </c>
      <c r="M460" s="1" t="str">
        <f>"192906"</f>
        <v>192906</v>
      </c>
      <c r="N460" s="1" t="s">
        <v>52</v>
      </c>
      <c r="O460" s="1" t="s">
        <v>52</v>
      </c>
      <c r="P460" s="1" t="s">
        <v>55</v>
      </c>
      <c r="Q460" s="1">
        <v>13</v>
      </c>
      <c r="R460" s="1">
        <v>13</v>
      </c>
      <c r="S460" s="1">
        <v>0</v>
      </c>
      <c r="T460" s="1">
        <v>0</v>
      </c>
      <c r="U460" s="1">
        <v>0</v>
      </c>
      <c r="V460" s="1" t="str">
        <f t="shared" si="65"/>
        <v>里程返程</v>
      </c>
      <c r="W460" s="1" t="s">
        <v>29</v>
      </c>
    </row>
    <row r="461" spans="1:23" x14ac:dyDescent="0.3">
      <c r="A461" s="1" t="str">
        <f t="shared" si="63"/>
        <v>59828</v>
      </c>
      <c r="B461" s="1" t="s">
        <v>23</v>
      </c>
      <c r="C461" s="1" t="s">
        <v>24</v>
      </c>
      <c r="D461" s="1" t="str">
        <f t="shared" si="64"/>
        <v>9801</v>
      </c>
      <c r="E461" s="1" t="s">
        <v>25</v>
      </c>
      <c r="F461" s="1" t="str">
        <f>"A13C5B00C68804004324714D000D080E"</f>
        <v>A13C5B00C68804004324714D000D080E</v>
      </c>
      <c r="G461" s="1" t="s">
        <v>26</v>
      </c>
      <c r="H461" s="1" t="str">
        <f t="shared" si="66"/>
        <v>20220907</v>
      </c>
      <c r="I461" s="1" t="str">
        <f>"185618"</f>
        <v>185618</v>
      </c>
      <c r="J461" s="1" t="s">
        <v>28</v>
      </c>
      <c r="K461" s="1" t="s">
        <v>28</v>
      </c>
      <c r="L461" s="1" t="str">
        <f t="shared" si="67"/>
        <v>20220907</v>
      </c>
      <c r="M461" s="1" t="str">
        <f>"192914"</f>
        <v>192914</v>
      </c>
      <c r="N461" s="1" t="s">
        <v>52</v>
      </c>
      <c r="O461" s="1" t="s">
        <v>52</v>
      </c>
      <c r="P461" s="1" t="s">
        <v>55</v>
      </c>
      <c r="Q461" s="1">
        <v>13</v>
      </c>
      <c r="R461" s="1">
        <v>0</v>
      </c>
      <c r="S461" s="1">
        <v>13</v>
      </c>
      <c r="T461" s="1">
        <v>0</v>
      </c>
      <c r="U461" s="1">
        <v>0</v>
      </c>
      <c r="V461" s="1" t="str">
        <f t="shared" si="65"/>
        <v>里程返程</v>
      </c>
      <c r="W461" s="1" t="s">
        <v>29</v>
      </c>
    </row>
    <row r="462" spans="1:23" x14ac:dyDescent="0.3">
      <c r="A462" s="1" t="str">
        <f t="shared" si="63"/>
        <v>59828</v>
      </c>
      <c r="B462" s="1" t="s">
        <v>23</v>
      </c>
      <c r="C462" s="1" t="s">
        <v>24</v>
      </c>
      <c r="D462" s="1" t="str">
        <f t="shared" si="64"/>
        <v>9801</v>
      </c>
      <c r="E462" s="1" t="s">
        <v>25</v>
      </c>
      <c r="F462" s="1" t="str">
        <f>"846849349"</f>
        <v>846849349</v>
      </c>
      <c r="G462" s="1" t="s">
        <v>74</v>
      </c>
      <c r="H462" s="1" t="str">
        <f t="shared" si="66"/>
        <v>20220907</v>
      </c>
      <c r="I462" s="1" t="str">
        <f>"185637"</f>
        <v>185637</v>
      </c>
      <c r="J462" s="1" t="s">
        <v>28</v>
      </c>
      <c r="K462" s="1" t="s">
        <v>28</v>
      </c>
      <c r="L462" s="1" t="str">
        <f t="shared" si="67"/>
        <v>20220907</v>
      </c>
      <c r="M462" s="1" t="str">
        <f>"192651"</f>
        <v>192651</v>
      </c>
      <c r="N462" s="1" t="s">
        <v>52</v>
      </c>
      <c r="O462" s="1" t="s">
        <v>52</v>
      </c>
      <c r="P462" s="1" t="s">
        <v>55</v>
      </c>
      <c r="Q462" s="1">
        <v>13</v>
      </c>
      <c r="R462" s="1">
        <v>13</v>
      </c>
      <c r="S462" s="1">
        <v>0</v>
      </c>
      <c r="T462" s="1">
        <v>0</v>
      </c>
      <c r="U462" s="1">
        <v>0</v>
      </c>
      <c r="V462" s="1" t="str">
        <f t="shared" si="65"/>
        <v>里程返程</v>
      </c>
      <c r="W462" s="1" t="s">
        <v>35</v>
      </c>
    </row>
    <row r="463" spans="1:23" x14ac:dyDescent="0.3">
      <c r="A463" s="1" t="str">
        <f t="shared" si="63"/>
        <v>59828</v>
      </c>
      <c r="B463" s="1" t="s">
        <v>23</v>
      </c>
      <c r="C463" s="1" t="s">
        <v>24</v>
      </c>
      <c r="D463" s="1" t="str">
        <f t="shared" si="64"/>
        <v>9801</v>
      </c>
      <c r="E463" s="1" t="s">
        <v>25</v>
      </c>
      <c r="F463" s="1" t="str">
        <f>"F2CD60134C28040080CED9985D613018"</f>
        <v>F2CD60134C28040080CED9985D613018</v>
      </c>
      <c r="G463" s="1" t="s">
        <v>59</v>
      </c>
      <c r="H463" s="1" t="str">
        <f t="shared" si="66"/>
        <v>20220907</v>
      </c>
      <c r="I463" s="1" t="str">
        <f>"185734"</f>
        <v>185734</v>
      </c>
      <c r="J463" s="1" t="s">
        <v>28</v>
      </c>
      <c r="K463" s="1" t="s">
        <v>28</v>
      </c>
      <c r="L463" s="1" t="str">
        <f t="shared" si="67"/>
        <v>20220907</v>
      </c>
      <c r="M463" s="1" t="str">
        <f>"193017"</f>
        <v>193017</v>
      </c>
      <c r="N463" s="1" t="s">
        <v>52</v>
      </c>
      <c r="O463" s="1" t="s">
        <v>52</v>
      </c>
      <c r="P463" s="1" t="s">
        <v>55</v>
      </c>
      <c r="Q463" s="1">
        <v>25</v>
      </c>
      <c r="R463" s="1">
        <v>0</v>
      </c>
      <c r="S463" s="1">
        <v>25</v>
      </c>
      <c r="T463" s="1">
        <v>0</v>
      </c>
      <c r="U463" s="1">
        <v>0</v>
      </c>
      <c r="V463" s="1" t="str">
        <f t="shared" si="65"/>
        <v>里程返程</v>
      </c>
      <c r="W463" s="1" t="s">
        <v>29</v>
      </c>
    </row>
    <row r="464" spans="1:23" x14ac:dyDescent="0.3">
      <c r="A464" s="1" t="str">
        <f t="shared" si="63"/>
        <v>59828</v>
      </c>
      <c r="B464" s="1" t="s">
        <v>23</v>
      </c>
      <c r="C464" s="1" t="s">
        <v>24</v>
      </c>
      <c r="D464" s="1" t="str">
        <f t="shared" si="64"/>
        <v>9801</v>
      </c>
      <c r="E464" s="1" t="s">
        <v>25</v>
      </c>
      <c r="F464" s="1" t="str">
        <f>"52D25E13CD28040080CED99861013018"</f>
        <v>52D25E13CD28040080CED99861013018</v>
      </c>
      <c r="G464" s="1" t="s">
        <v>59</v>
      </c>
      <c r="H464" s="1" t="str">
        <f t="shared" si="66"/>
        <v>20220907</v>
      </c>
      <c r="I464" s="1" t="str">
        <f>"185737"</f>
        <v>185737</v>
      </c>
      <c r="J464" s="1" t="s">
        <v>28</v>
      </c>
      <c r="K464" s="1" t="s">
        <v>28</v>
      </c>
      <c r="L464" s="1" t="str">
        <f t="shared" si="67"/>
        <v>20220907</v>
      </c>
      <c r="M464" s="1" t="str">
        <f>"193025"</f>
        <v>193025</v>
      </c>
      <c r="N464" s="1" t="s">
        <v>52</v>
      </c>
      <c r="O464" s="1" t="s">
        <v>52</v>
      </c>
      <c r="P464" s="1" t="s">
        <v>55</v>
      </c>
      <c r="Q464" s="1">
        <v>25</v>
      </c>
      <c r="R464" s="1">
        <v>0</v>
      </c>
      <c r="S464" s="1">
        <v>25</v>
      </c>
      <c r="T464" s="1">
        <v>0</v>
      </c>
      <c r="U464" s="1">
        <v>0</v>
      </c>
      <c r="V464" s="1" t="str">
        <f t="shared" si="65"/>
        <v>里程返程</v>
      </c>
      <c r="W464" s="1" t="s">
        <v>29</v>
      </c>
    </row>
    <row r="465" spans="1:23" x14ac:dyDescent="0.3">
      <c r="A465" s="1" t="str">
        <f t="shared" si="63"/>
        <v>59828</v>
      </c>
      <c r="B465" s="1" t="s">
        <v>23</v>
      </c>
      <c r="C465" s="1" t="s">
        <v>24</v>
      </c>
      <c r="D465" s="1" t="str">
        <f t="shared" si="64"/>
        <v>9801</v>
      </c>
      <c r="E465" s="1" t="s">
        <v>25</v>
      </c>
      <c r="F465" s="1" t="str">
        <f>"420061133028040080CED9985D613018"</f>
        <v>420061133028040080CED9985D613018</v>
      </c>
      <c r="G465" s="1" t="s">
        <v>59</v>
      </c>
      <c r="H465" s="1" t="str">
        <f t="shared" si="66"/>
        <v>20220907</v>
      </c>
      <c r="I465" s="1" t="str">
        <f>"185740"</f>
        <v>185740</v>
      </c>
      <c r="J465" s="1" t="s">
        <v>28</v>
      </c>
      <c r="K465" s="1" t="s">
        <v>28</v>
      </c>
      <c r="L465" s="1" t="str">
        <f t="shared" si="67"/>
        <v>20220907</v>
      </c>
      <c r="M465" s="1" t="str">
        <f>"193012"</f>
        <v>193012</v>
      </c>
      <c r="N465" s="1" t="s">
        <v>52</v>
      </c>
      <c r="O465" s="1" t="s">
        <v>52</v>
      </c>
      <c r="P465" s="1" t="s">
        <v>55</v>
      </c>
      <c r="Q465" s="1">
        <v>25</v>
      </c>
      <c r="R465" s="1">
        <v>0</v>
      </c>
      <c r="S465" s="1">
        <v>25</v>
      </c>
      <c r="T465" s="1">
        <v>0</v>
      </c>
      <c r="U465" s="1">
        <v>0</v>
      </c>
      <c r="V465" s="1" t="str">
        <f t="shared" si="65"/>
        <v>里程返程</v>
      </c>
      <c r="W465" s="1" t="s">
        <v>29</v>
      </c>
    </row>
    <row r="466" spans="1:23" x14ac:dyDescent="0.3">
      <c r="A466" s="1" t="str">
        <f t="shared" si="63"/>
        <v>59828</v>
      </c>
      <c r="B466" s="1" t="s">
        <v>23</v>
      </c>
      <c r="C466" s="1" t="s">
        <v>24</v>
      </c>
      <c r="D466" s="1" t="str">
        <f t="shared" si="64"/>
        <v>9801</v>
      </c>
      <c r="E466" s="1" t="s">
        <v>25</v>
      </c>
      <c r="F466" s="1" t="str">
        <f>"1076314997"</f>
        <v>1076314997</v>
      </c>
      <c r="G466" s="1" t="s">
        <v>33</v>
      </c>
      <c r="H466" s="1" t="str">
        <f t="shared" si="66"/>
        <v>20220907</v>
      </c>
      <c r="I466" s="1" t="str">
        <f>"185839"</f>
        <v>185839</v>
      </c>
      <c r="J466" s="1" t="s">
        <v>28</v>
      </c>
      <c r="K466" s="1" t="s">
        <v>28</v>
      </c>
      <c r="L466" s="1" t="str">
        <f t="shared" si="67"/>
        <v>20220907</v>
      </c>
      <c r="M466" s="1" t="str">
        <f>"192236"</f>
        <v>192236</v>
      </c>
      <c r="N466" s="1" t="s">
        <v>51</v>
      </c>
      <c r="O466" s="1" t="s">
        <v>52</v>
      </c>
      <c r="P466" s="1" t="s">
        <v>55</v>
      </c>
      <c r="Q466" s="1">
        <v>25</v>
      </c>
      <c r="R466" s="1">
        <v>25</v>
      </c>
      <c r="S466" s="1">
        <v>0</v>
      </c>
      <c r="T466" s="1">
        <v>0</v>
      </c>
      <c r="U466" s="1">
        <v>0</v>
      </c>
      <c r="V466" s="1" t="str">
        <f t="shared" si="65"/>
        <v>里程返程</v>
      </c>
      <c r="W466" s="1" t="s">
        <v>35</v>
      </c>
    </row>
    <row r="467" spans="1:23" x14ac:dyDescent="0.3">
      <c r="A467" s="1" t="str">
        <f t="shared" ref="A467:A514" si="68">"59809"</f>
        <v>59809</v>
      </c>
      <c r="B467" s="1" t="s">
        <v>42</v>
      </c>
      <c r="C467" s="1" t="s">
        <v>43</v>
      </c>
      <c r="D467" s="1" t="str">
        <f t="shared" si="64"/>
        <v>9801</v>
      </c>
      <c r="E467" s="1" t="s">
        <v>25</v>
      </c>
      <c r="F467" s="1" t="str">
        <f>"679685533"</f>
        <v>679685533</v>
      </c>
      <c r="G467" s="1" t="s">
        <v>26</v>
      </c>
      <c r="H467" s="1" t="str">
        <f t="shared" ref="H467:H498" si="69">"20220908"</f>
        <v>20220908</v>
      </c>
      <c r="I467" s="1" t="str">
        <f>"070234"</f>
        <v>070234</v>
      </c>
      <c r="J467" s="1" t="s">
        <v>44</v>
      </c>
      <c r="K467" s="1" t="s">
        <v>45</v>
      </c>
      <c r="L467" s="1" t="str">
        <f t="shared" ref="L467:L498" si="70">"20220908"</f>
        <v>20220908</v>
      </c>
      <c r="M467" s="1" t="str">
        <f>"072522"</f>
        <v>072522</v>
      </c>
      <c r="N467" s="1" t="s">
        <v>28</v>
      </c>
      <c r="O467" s="1" t="s">
        <v>28</v>
      </c>
      <c r="P467" s="1" t="s">
        <v>55</v>
      </c>
      <c r="Q467" s="1">
        <v>13</v>
      </c>
      <c r="R467" s="1">
        <v>13</v>
      </c>
      <c r="S467" s="1">
        <v>0</v>
      </c>
      <c r="T467" s="1">
        <v>0</v>
      </c>
      <c r="U467" s="1">
        <v>0</v>
      </c>
      <c r="V467" s="1" t="str">
        <f t="shared" si="65"/>
        <v>里程返程</v>
      </c>
      <c r="W467" s="1" t="s">
        <v>35</v>
      </c>
    </row>
    <row r="468" spans="1:23" x14ac:dyDescent="0.3">
      <c r="A468" s="1" t="str">
        <f t="shared" si="68"/>
        <v>59809</v>
      </c>
      <c r="B468" s="1" t="s">
        <v>42</v>
      </c>
      <c r="C468" s="1" t="s">
        <v>43</v>
      </c>
      <c r="D468" s="1" t="str">
        <f t="shared" si="64"/>
        <v>9801</v>
      </c>
      <c r="E468" s="1" t="s">
        <v>25</v>
      </c>
      <c r="F468" s="1" t="str">
        <f>"1620340437"</f>
        <v>1620340437</v>
      </c>
      <c r="G468" s="1" t="s">
        <v>26</v>
      </c>
      <c r="H468" s="1" t="str">
        <f t="shared" si="69"/>
        <v>20220908</v>
      </c>
      <c r="I468" s="1" t="str">
        <f>"070242"</f>
        <v>070242</v>
      </c>
      <c r="J468" s="1" t="s">
        <v>44</v>
      </c>
      <c r="K468" s="1" t="s">
        <v>45</v>
      </c>
      <c r="L468" s="1" t="str">
        <f t="shared" si="70"/>
        <v>20220908</v>
      </c>
      <c r="M468" s="1" t="str">
        <f>"072512"</f>
        <v>072512</v>
      </c>
      <c r="N468" s="1" t="s">
        <v>28</v>
      </c>
      <c r="O468" s="1" t="s">
        <v>28</v>
      </c>
      <c r="P468" s="1" t="s">
        <v>55</v>
      </c>
      <c r="Q468" s="1">
        <v>13</v>
      </c>
      <c r="R468" s="1">
        <v>13</v>
      </c>
      <c r="S468" s="1">
        <v>0</v>
      </c>
      <c r="T468" s="1">
        <v>0</v>
      </c>
      <c r="U468" s="1">
        <v>0</v>
      </c>
      <c r="V468" s="1" t="str">
        <f t="shared" si="65"/>
        <v>里程返程</v>
      </c>
      <c r="W468" s="1" t="s">
        <v>35</v>
      </c>
    </row>
    <row r="469" spans="1:23" x14ac:dyDescent="0.3">
      <c r="A469" s="1" t="str">
        <f t="shared" si="68"/>
        <v>59809</v>
      </c>
      <c r="B469" s="1" t="s">
        <v>42</v>
      </c>
      <c r="C469" s="1" t="s">
        <v>43</v>
      </c>
      <c r="D469" s="1" t="str">
        <f t="shared" si="64"/>
        <v>9801</v>
      </c>
      <c r="E469" s="1" t="s">
        <v>25</v>
      </c>
      <c r="F469" s="1" t="str">
        <f>"269636433"</f>
        <v>269636433</v>
      </c>
      <c r="G469" s="1" t="s">
        <v>33</v>
      </c>
      <c r="H469" s="1" t="str">
        <f t="shared" si="69"/>
        <v>20220908</v>
      </c>
      <c r="I469" s="1" t="str">
        <f>"070248"</f>
        <v>070248</v>
      </c>
      <c r="J469" s="1" t="s">
        <v>44</v>
      </c>
      <c r="K469" s="1" t="s">
        <v>45</v>
      </c>
      <c r="L469" s="1" t="str">
        <f t="shared" si="70"/>
        <v>20220908</v>
      </c>
      <c r="M469" s="1" t="str">
        <f>"071548"</f>
        <v>071548</v>
      </c>
      <c r="N469" s="1" t="s">
        <v>56</v>
      </c>
      <c r="O469" s="1" t="s">
        <v>45</v>
      </c>
      <c r="P469" s="1" t="s">
        <v>55</v>
      </c>
      <c r="Q469" s="1">
        <v>25</v>
      </c>
      <c r="R469" s="1">
        <v>25</v>
      </c>
      <c r="S469" s="1">
        <v>0</v>
      </c>
      <c r="T469" s="1">
        <v>0</v>
      </c>
      <c r="U469" s="1">
        <v>0</v>
      </c>
      <c r="V469" s="1" t="str">
        <f t="shared" si="65"/>
        <v>里程返程</v>
      </c>
      <c r="W469" s="1" t="s">
        <v>35</v>
      </c>
    </row>
    <row r="470" spans="1:23" x14ac:dyDescent="0.3">
      <c r="A470" s="1" t="str">
        <f t="shared" si="68"/>
        <v>59809</v>
      </c>
      <c r="B470" s="1" t="s">
        <v>42</v>
      </c>
      <c r="C470" s="1" t="s">
        <v>43</v>
      </c>
      <c r="D470" s="1" t="str">
        <f t="shared" si="64"/>
        <v>9801</v>
      </c>
      <c r="E470" s="1" t="s">
        <v>25</v>
      </c>
      <c r="F470" s="1" t="str">
        <f>"D257BD023A880400C834002000000015"</f>
        <v>D257BD023A880400C834002000000015</v>
      </c>
      <c r="G470" s="1" t="s">
        <v>74</v>
      </c>
      <c r="H470" s="1" t="str">
        <f t="shared" si="69"/>
        <v>20220908</v>
      </c>
      <c r="I470" s="1" t="str">
        <f>"072529"</f>
        <v>072529</v>
      </c>
      <c r="J470" s="1" t="s">
        <v>28</v>
      </c>
      <c r="K470" s="1" t="s">
        <v>28</v>
      </c>
      <c r="L470" s="1" t="str">
        <f t="shared" si="70"/>
        <v>20220908</v>
      </c>
      <c r="M470" s="1" t="str">
        <f>"073505"</f>
        <v>073505</v>
      </c>
      <c r="N470" s="1" t="s">
        <v>67</v>
      </c>
      <c r="O470" s="1" t="s">
        <v>52</v>
      </c>
      <c r="P470" s="1" t="s">
        <v>68</v>
      </c>
      <c r="Q470" s="1">
        <v>13</v>
      </c>
      <c r="R470" s="1">
        <v>0</v>
      </c>
      <c r="S470" s="1">
        <v>0</v>
      </c>
      <c r="T470" s="1">
        <v>13</v>
      </c>
      <c r="U470" s="1">
        <v>0</v>
      </c>
      <c r="V470" s="1" t="str">
        <f t="shared" si="65"/>
        <v>里程返程</v>
      </c>
      <c r="W470" s="1" t="s">
        <v>29</v>
      </c>
    </row>
    <row r="471" spans="1:23" x14ac:dyDescent="0.3">
      <c r="A471" s="1" t="str">
        <f t="shared" si="68"/>
        <v>59809</v>
      </c>
      <c r="B471" s="1" t="s">
        <v>42</v>
      </c>
      <c r="C471" s="1" t="s">
        <v>43</v>
      </c>
      <c r="D471" s="1" t="str">
        <f t="shared" si="64"/>
        <v>9801</v>
      </c>
      <c r="E471" s="1" t="s">
        <v>25</v>
      </c>
      <c r="F471" s="1" t="str">
        <f>"1654839936"</f>
        <v>1654839936</v>
      </c>
      <c r="G471" s="1" t="s">
        <v>33</v>
      </c>
      <c r="H471" s="1" t="str">
        <f t="shared" si="69"/>
        <v>20220908</v>
      </c>
      <c r="I471" s="1" t="str">
        <f>"072536"</f>
        <v>072536</v>
      </c>
      <c r="J471" s="1" t="s">
        <v>28</v>
      </c>
      <c r="K471" s="1" t="s">
        <v>28</v>
      </c>
      <c r="L471" s="1" t="str">
        <f t="shared" si="70"/>
        <v>20220908</v>
      </c>
      <c r="M471" s="1" t="str">
        <f>"074757"</f>
        <v>074757</v>
      </c>
      <c r="N471" s="1" t="s">
        <v>65</v>
      </c>
      <c r="O471" s="1" t="s">
        <v>52</v>
      </c>
      <c r="P471" s="1" t="s">
        <v>55</v>
      </c>
      <c r="Q471" s="1">
        <v>25</v>
      </c>
      <c r="R471" s="1">
        <v>0</v>
      </c>
      <c r="S471" s="1">
        <v>25</v>
      </c>
      <c r="T471" s="1">
        <v>0</v>
      </c>
      <c r="U471" s="1">
        <v>0</v>
      </c>
      <c r="V471" s="1" t="str">
        <f t="shared" si="65"/>
        <v>里程返程</v>
      </c>
      <c r="W471" s="1" t="s">
        <v>35</v>
      </c>
    </row>
    <row r="472" spans="1:23" x14ac:dyDescent="0.3">
      <c r="A472" s="1" t="str">
        <f t="shared" si="68"/>
        <v>59809</v>
      </c>
      <c r="B472" s="1" t="s">
        <v>42</v>
      </c>
      <c r="C472" s="1" t="s">
        <v>43</v>
      </c>
      <c r="D472" s="1" t="str">
        <f t="shared" si="64"/>
        <v>9801</v>
      </c>
      <c r="E472" s="1" t="s">
        <v>25</v>
      </c>
      <c r="F472" s="1" t="str">
        <f>"F282E40195880400C821002000000015"</f>
        <v>F282E40195880400C821002000000015</v>
      </c>
      <c r="G472" s="1" t="s">
        <v>58</v>
      </c>
      <c r="H472" s="1" t="str">
        <f t="shared" si="69"/>
        <v>20220908</v>
      </c>
      <c r="I472" s="1" t="str">
        <f>"072538"</f>
        <v>072538</v>
      </c>
      <c r="J472" s="1" t="s">
        <v>28</v>
      </c>
      <c r="K472" s="1" t="s">
        <v>28</v>
      </c>
      <c r="L472" s="1" t="str">
        <f t="shared" si="70"/>
        <v>20220908</v>
      </c>
      <c r="M472" s="1" t="str">
        <f>"074754"</f>
        <v>074754</v>
      </c>
      <c r="N472" s="1" t="s">
        <v>65</v>
      </c>
      <c r="O472" s="1" t="s">
        <v>52</v>
      </c>
      <c r="P472" s="1" t="s">
        <v>55</v>
      </c>
      <c r="Q472" s="1">
        <v>25</v>
      </c>
      <c r="R472" s="1">
        <v>0</v>
      </c>
      <c r="S472" s="1">
        <v>25</v>
      </c>
      <c r="T472" s="1">
        <v>0</v>
      </c>
      <c r="U472" s="1">
        <v>0</v>
      </c>
      <c r="V472" s="1" t="str">
        <f t="shared" si="65"/>
        <v>里程返程</v>
      </c>
      <c r="W472" s="1" t="s">
        <v>29</v>
      </c>
    </row>
    <row r="473" spans="1:23" x14ac:dyDescent="0.3">
      <c r="A473" s="1" t="str">
        <f t="shared" si="68"/>
        <v>59809</v>
      </c>
      <c r="B473" s="1" t="s">
        <v>42</v>
      </c>
      <c r="C473" s="1" t="s">
        <v>43</v>
      </c>
      <c r="D473" s="1" t="str">
        <f t="shared" si="64"/>
        <v>9801</v>
      </c>
      <c r="E473" s="1" t="s">
        <v>25</v>
      </c>
      <c r="F473" s="1" t="str">
        <f>"623A1B0340880400C834002000000015"</f>
        <v>623A1B0340880400C834002000000015</v>
      </c>
      <c r="G473" s="1" t="s">
        <v>26</v>
      </c>
      <c r="H473" s="1" t="str">
        <f t="shared" si="69"/>
        <v>20220908</v>
      </c>
      <c r="I473" s="1" t="str">
        <f>"072544"</f>
        <v>072544</v>
      </c>
      <c r="J473" s="1" t="s">
        <v>28</v>
      </c>
      <c r="K473" s="1" t="s">
        <v>28</v>
      </c>
      <c r="L473" s="1" t="str">
        <f t="shared" si="70"/>
        <v>20220908</v>
      </c>
      <c r="M473" s="1" t="str">
        <f>"075600"</f>
        <v>075600</v>
      </c>
      <c r="N473" s="1" t="s">
        <v>60</v>
      </c>
      <c r="O473" s="1" t="s">
        <v>52</v>
      </c>
      <c r="P473" s="1" t="s">
        <v>68</v>
      </c>
      <c r="Q473" s="1">
        <v>13</v>
      </c>
      <c r="R473" s="1">
        <v>0</v>
      </c>
      <c r="S473" s="1">
        <v>0</v>
      </c>
      <c r="T473" s="1">
        <v>13</v>
      </c>
      <c r="U473" s="1">
        <v>0</v>
      </c>
      <c r="V473" s="1" t="str">
        <f t="shared" si="65"/>
        <v>里程返程</v>
      </c>
      <c r="W473" s="1" t="s">
        <v>29</v>
      </c>
    </row>
    <row r="474" spans="1:23" x14ac:dyDescent="0.3">
      <c r="A474" s="1" t="str">
        <f t="shared" si="68"/>
        <v>59809</v>
      </c>
      <c r="B474" s="1" t="s">
        <v>42</v>
      </c>
      <c r="C474" s="1" t="s">
        <v>43</v>
      </c>
      <c r="D474" s="1" t="str">
        <f t="shared" si="64"/>
        <v>9801</v>
      </c>
      <c r="E474" s="1" t="s">
        <v>25</v>
      </c>
      <c r="F474" s="1" t="str">
        <f>"82730F18E6880400C814002000000019"</f>
        <v>82730F18E6880400C814002000000019</v>
      </c>
      <c r="G474" s="1" t="s">
        <v>59</v>
      </c>
      <c r="H474" s="1" t="str">
        <f t="shared" si="69"/>
        <v>20220908</v>
      </c>
      <c r="I474" s="1" t="str">
        <f>"072546"</f>
        <v>072546</v>
      </c>
      <c r="J474" s="1" t="s">
        <v>28</v>
      </c>
      <c r="K474" s="1" t="s">
        <v>28</v>
      </c>
      <c r="L474" s="1" t="str">
        <f t="shared" si="70"/>
        <v>20220908</v>
      </c>
      <c r="M474" s="1" t="str">
        <f>"075009"</f>
        <v>075009</v>
      </c>
      <c r="N474" s="1" t="s">
        <v>72</v>
      </c>
      <c r="O474" s="1" t="s">
        <v>52</v>
      </c>
      <c r="P474" s="1" t="s">
        <v>55</v>
      </c>
      <c r="Q474" s="1">
        <v>25</v>
      </c>
      <c r="R474" s="1">
        <v>0</v>
      </c>
      <c r="S474" s="1">
        <v>25</v>
      </c>
      <c r="T474" s="1">
        <v>0</v>
      </c>
      <c r="U474" s="1">
        <v>0</v>
      </c>
      <c r="V474" s="1" t="str">
        <f t="shared" si="65"/>
        <v>里程返程</v>
      </c>
      <c r="W474" s="1" t="s">
        <v>29</v>
      </c>
    </row>
    <row r="475" spans="1:23" x14ac:dyDescent="0.3">
      <c r="A475" s="1" t="str">
        <f t="shared" si="68"/>
        <v>59809</v>
      </c>
      <c r="B475" s="1" t="s">
        <v>42</v>
      </c>
      <c r="C475" s="1" t="s">
        <v>43</v>
      </c>
      <c r="D475" s="1" t="str">
        <f t="shared" si="64"/>
        <v>9801</v>
      </c>
      <c r="E475" s="1" t="s">
        <v>25</v>
      </c>
      <c r="F475" s="1" t="str">
        <f>"62F00B1881880400C814002000000019"</f>
        <v>62F00B1881880400C814002000000019</v>
      </c>
      <c r="G475" s="1" t="s">
        <v>59</v>
      </c>
      <c r="H475" s="1" t="str">
        <f t="shared" si="69"/>
        <v>20220908</v>
      </c>
      <c r="I475" s="1" t="str">
        <f>"072549"</f>
        <v>072549</v>
      </c>
      <c r="J475" s="1" t="s">
        <v>28</v>
      </c>
      <c r="K475" s="1" t="s">
        <v>28</v>
      </c>
      <c r="L475" s="1" t="str">
        <f t="shared" si="70"/>
        <v>20220908</v>
      </c>
      <c r="M475" s="1" t="str">
        <f>"075010"</f>
        <v>075010</v>
      </c>
      <c r="N475" s="1" t="s">
        <v>72</v>
      </c>
      <c r="O475" s="1" t="s">
        <v>52</v>
      </c>
      <c r="P475" s="1" t="s">
        <v>55</v>
      </c>
      <c r="Q475" s="1">
        <v>25</v>
      </c>
      <c r="R475" s="1">
        <v>0</v>
      </c>
      <c r="S475" s="1">
        <v>25</v>
      </c>
      <c r="T475" s="1">
        <v>0</v>
      </c>
      <c r="U475" s="1">
        <v>0</v>
      </c>
      <c r="V475" s="1" t="str">
        <f t="shared" si="65"/>
        <v>里程返程</v>
      </c>
      <c r="W475" s="1" t="s">
        <v>29</v>
      </c>
    </row>
    <row r="476" spans="1:23" x14ac:dyDescent="0.3">
      <c r="A476" s="1" t="str">
        <f t="shared" si="68"/>
        <v>59809</v>
      </c>
      <c r="B476" s="1" t="s">
        <v>42</v>
      </c>
      <c r="C476" s="1" t="s">
        <v>43</v>
      </c>
      <c r="D476" s="1" t="str">
        <f t="shared" si="64"/>
        <v>9801</v>
      </c>
      <c r="E476" s="1" t="s">
        <v>25</v>
      </c>
      <c r="F476" s="1" t="str">
        <f>"894153189"</f>
        <v>894153189</v>
      </c>
      <c r="G476" s="1" t="s">
        <v>33</v>
      </c>
      <c r="H476" s="1" t="str">
        <f t="shared" si="69"/>
        <v>20220908</v>
      </c>
      <c r="I476" s="1" t="str">
        <f>"072556"</f>
        <v>072556</v>
      </c>
      <c r="J476" s="1" t="s">
        <v>28</v>
      </c>
      <c r="K476" s="1" t="s">
        <v>28</v>
      </c>
      <c r="L476" s="1" t="str">
        <f t="shared" si="70"/>
        <v>20220908</v>
      </c>
      <c r="M476" s="1" t="str">
        <f>"075012"</f>
        <v>075012</v>
      </c>
      <c r="N476" s="1" t="s">
        <v>72</v>
      </c>
      <c r="O476" s="1" t="s">
        <v>52</v>
      </c>
      <c r="P476" s="1" t="s">
        <v>55</v>
      </c>
      <c r="Q476" s="1">
        <v>25</v>
      </c>
      <c r="R476" s="1">
        <v>0</v>
      </c>
      <c r="S476" s="1">
        <v>25</v>
      </c>
      <c r="T476" s="1">
        <v>0</v>
      </c>
      <c r="U476" s="1">
        <v>0</v>
      </c>
      <c r="V476" s="1" t="str">
        <f t="shared" si="65"/>
        <v>里程返程</v>
      </c>
      <c r="W476" s="1" t="s">
        <v>35</v>
      </c>
    </row>
    <row r="477" spans="1:23" x14ac:dyDescent="0.3">
      <c r="A477" s="1" t="str">
        <f t="shared" si="68"/>
        <v>59809</v>
      </c>
      <c r="B477" s="1" t="s">
        <v>42</v>
      </c>
      <c r="C477" s="1" t="s">
        <v>43</v>
      </c>
      <c r="D477" s="1" t="str">
        <f t="shared" si="64"/>
        <v>9801</v>
      </c>
      <c r="E477" s="1" t="s">
        <v>25</v>
      </c>
      <c r="F477" s="1" t="str">
        <f>"F2F7D002D7880400C834002000000015"</f>
        <v>F2F7D002D7880400C834002000000015</v>
      </c>
      <c r="G477" s="1" t="s">
        <v>74</v>
      </c>
      <c r="H477" s="1" t="str">
        <f t="shared" si="69"/>
        <v>20220908</v>
      </c>
      <c r="I477" s="1" t="str">
        <f>"073613"</f>
        <v>073613</v>
      </c>
      <c r="J477" s="1" t="s">
        <v>67</v>
      </c>
      <c r="K477" s="1" t="s">
        <v>52</v>
      </c>
      <c r="L477" s="1" t="str">
        <f t="shared" si="70"/>
        <v>20220908</v>
      </c>
      <c r="M477" s="1" t="str">
        <f>"075800"</f>
        <v>075800</v>
      </c>
      <c r="N477" s="1" t="s">
        <v>52</v>
      </c>
      <c r="O477" s="1" t="s">
        <v>52</v>
      </c>
      <c r="P477" s="1" t="s">
        <v>68</v>
      </c>
      <c r="Q477" s="1">
        <v>13</v>
      </c>
      <c r="R477" s="1">
        <v>0</v>
      </c>
      <c r="S477" s="1">
        <v>0</v>
      </c>
      <c r="T477" s="1">
        <v>13</v>
      </c>
      <c r="U477" s="1">
        <v>0</v>
      </c>
      <c r="V477" s="1" t="str">
        <f t="shared" si="65"/>
        <v>里程返程</v>
      </c>
      <c r="W477" s="1" t="s">
        <v>29</v>
      </c>
    </row>
    <row r="478" spans="1:23" x14ac:dyDescent="0.3">
      <c r="A478" s="1" t="str">
        <f t="shared" si="68"/>
        <v>59809</v>
      </c>
      <c r="B478" s="1" t="s">
        <v>42</v>
      </c>
      <c r="C478" s="1" t="s">
        <v>43</v>
      </c>
      <c r="D478" s="1" t="str">
        <f t="shared" si="64"/>
        <v>9801</v>
      </c>
      <c r="E478" s="1" t="s">
        <v>25</v>
      </c>
      <c r="F478" s="1" t="str">
        <f>"1725435766"</f>
        <v>1725435766</v>
      </c>
      <c r="G478" s="1" t="s">
        <v>26</v>
      </c>
      <c r="H478" s="1" t="str">
        <f t="shared" si="69"/>
        <v>20220908</v>
      </c>
      <c r="I478" s="1" t="str">
        <f>"073921"</f>
        <v>073921</v>
      </c>
      <c r="J478" s="1" t="s">
        <v>69</v>
      </c>
      <c r="K478" s="1" t="s">
        <v>52</v>
      </c>
      <c r="L478" s="1" t="str">
        <f t="shared" si="70"/>
        <v>20220908</v>
      </c>
      <c r="M478" s="1" t="str">
        <f>"075247"</f>
        <v>075247</v>
      </c>
      <c r="N478" s="1" t="s">
        <v>51</v>
      </c>
      <c r="O478" s="1" t="s">
        <v>52</v>
      </c>
      <c r="P478" s="1" t="s">
        <v>55</v>
      </c>
      <c r="Q478" s="1">
        <v>13</v>
      </c>
      <c r="R478" s="1">
        <v>13</v>
      </c>
      <c r="S478" s="1">
        <v>0</v>
      </c>
      <c r="T478" s="1">
        <v>0</v>
      </c>
      <c r="U478" s="1">
        <v>0</v>
      </c>
      <c r="V478" s="1" t="str">
        <f t="shared" si="65"/>
        <v>里程返程</v>
      </c>
      <c r="W478" s="1" t="s">
        <v>35</v>
      </c>
    </row>
    <row r="479" spans="1:23" x14ac:dyDescent="0.3">
      <c r="A479" s="1" t="str">
        <f t="shared" si="68"/>
        <v>59809</v>
      </c>
      <c r="B479" s="1" t="s">
        <v>42</v>
      </c>
      <c r="C479" s="1" t="s">
        <v>43</v>
      </c>
      <c r="D479" s="1" t="str">
        <f t="shared" si="64"/>
        <v>9801</v>
      </c>
      <c r="E479" s="1" t="s">
        <v>25</v>
      </c>
      <c r="F479" s="1" t="str">
        <f>"1261360A4F880400C810002000000016"</f>
        <v>1261360A4F880400C810002000000016</v>
      </c>
      <c r="G479" s="1" t="s">
        <v>59</v>
      </c>
      <c r="H479" s="1" t="str">
        <f t="shared" si="69"/>
        <v>20220908</v>
      </c>
      <c r="I479" s="1" t="str">
        <f>"074227"</f>
        <v>074227</v>
      </c>
      <c r="J479" s="1" t="s">
        <v>69</v>
      </c>
      <c r="K479" s="1" t="s">
        <v>52</v>
      </c>
      <c r="L479" s="1" t="str">
        <f t="shared" si="70"/>
        <v>20220908</v>
      </c>
      <c r="M479" s="1" t="str">
        <f>"074745"</f>
        <v>074745</v>
      </c>
      <c r="N479" s="1" t="s">
        <v>65</v>
      </c>
      <c r="O479" s="1" t="s">
        <v>52</v>
      </c>
      <c r="P479" s="1" t="s">
        <v>55</v>
      </c>
      <c r="Q479" s="1">
        <v>25</v>
      </c>
      <c r="R479" s="1">
        <v>25</v>
      </c>
      <c r="S479" s="1">
        <v>0</v>
      </c>
      <c r="T479" s="1">
        <v>0</v>
      </c>
      <c r="U479" s="1">
        <v>0</v>
      </c>
      <c r="V479" s="1" t="str">
        <f t="shared" si="65"/>
        <v>里程返程</v>
      </c>
      <c r="W479" s="1" t="s">
        <v>29</v>
      </c>
    </row>
    <row r="480" spans="1:23" x14ac:dyDescent="0.3">
      <c r="A480" s="1" t="str">
        <f t="shared" si="68"/>
        <v>59809</v>
      </c>
      <c r="B480" s="1" t="s">
        <v>42</v>
      </c>
      <c r="C480" s="1" t="s">
        <v>43</v>
      </c>
      <c r="D480" s="1" t="str">
        <f t="shared" si="64"/>
        <v>9801</v>
      </c>
      <c r="E480" s="1" t="s">
        <v>25</v>
      </c>
      <c r="F480" s="1" t="str">
        <f>"1759959808"</f>
        <v>1759959808</v>
      </c>
      <c r="G480" s="1" t="s">
        <v>33</v>
      </c>
      <c r="H480" s="1" t="str">
        <f t="shared" si="69"/>
        <v>20220908</v>
      </c>
      <c r="I480" s="1" t="str">
        <f>"074506"</f>
        <v>074506</v>
      </c>
      <c r="J480" s="1" t="s">
        <v>80</v>
      </c>
      <c r="K480" s="1" t="s">
        <v>52</v>
      </c>
      <c r="L480" s="1" t="str">
        <f t="shared" si="70"/>
        <v>20220908</v>
      </c>
      <c r="M480" s="1" t="str">
        <f>"075604"</f>
        <v>075604</v>
      </c>
      <c r="N480" s="1" t="s">
        <v>60</v>
      </c>
      <c r="O480" s="1" t="s">
        <v>52</v>
      </c>
      <c r="P480" s="1" t="s">
        <v>55</v>
      </c>
      <c r="Q480" s="1">
        <v>25</v>
      </c>
      <c r="R480" s="1">
        <v>25</v>
      </c>
      <c r="S480" s="1">
        <v>0</v>
      </c>
      <c r="T480" s="1">
        <v>0</v>
      </c>
      <c r="U480" s="1">
        <v>0</v>
      </c>
      <c r="V480" s="1" t="str">
        <f t="shared" si="65"/>
        <v>里程返程</v>
      </c>
      <c r="W480" s="1" t="s">
        <v>35</v>
      </c>
    </row>
    <row r="481" spans="1:23" x14ac:dyDescent="0.3">
      <c r="A481" s="1" t="str">
        <f t="shared" si="68"/>
        <v>59809</v>
      </c>
      <c r="B481" s="1" t="s">
        <v>42</v>
      </c>
      <c r="C481" s="1" t="s">
        <v>43</v>
      </c>
      <c r="D481" s="1" t="str">
        <f t="shared" si="64"/>
        <v>9801</v>
      </c>
      <c r="E481" s="1" t="s">
        <v>25</v>
      </c>
      <c r="F481" s="1" t="str">
        <f>"82D5FB02AE880400C834002000000015"</f>
        <v>82D5FB02AE880400C834002000000015</v>
      </c>
      <c r="G481" s="1" t="s">
        <v>26</v>
      </c>
      <c r="H481" s="1" t="str">
        <f t="shared" si="69"/>
        <v>20220908</v>
      </c>
      <c r="I481" s="1" t="str">
        <f>"122615"</f>
        <v>122615</v>
      </c>
      <c r="J481" s="1" t="s">
        <v>44</v>
      </c>
      <c r="K481" s="1" t="s">
        <v>45</v>
      </c>
      <c r="L481" s="1" t="str">
        <f t="shared" si="70"/>
        <v>20220908</v>
      </c>
      <c r="M481" s="1" t="str">
        <f>"123210"</f>
        <v>123210</v>
      </c>
      <c r="N481" s="1" t="s">
        <v>44</v>
      </c>
      <c r="O481" s="1" t="s">
        <v>45</v>
      </c>
      <c r="P481" s="1" t="s">
        <v>68</v>
      </c>
      <c r="Q481" s="1">
        <v>13</v>
      </c>
      <c r="R481" s="1">
        <v>0</v>
      </c>
      <c r="S481" s="1">
        <v>0</v>
      </c>
      <c r="T481" s="1">
        <v>13</v>
      </c>
      <c r="U481" s="1">
        <v>0</v>
      </c>
      <c r="V481" s="1" t="str">
        <f t="shared" si="65"/>
        <v>里程返程</v>
      </c>
      <c r="W481" s="1" t="s">
        <v>29</v>
      </c>
    </row>
    <row r="482" spans="1:23" x14ac:dyDescent="0.3">
      <c r="A482" s="1" t="str">
        <f t="shared" si="68"/>
        <v>59809</v>
      </c>
      <c r="B482" s="1" t="s">
        <v>42</v>
      </c>
      <c r="C482" s="1" t="s">
        <v>43</v>
      </c>
      <c r="D482" s="1" t="str">
        <f t="shared" si="64"/>
        <v>9801</v>
      </c>
      <c r="E482" s="1" t="s">
        <v>25</v>
      </c>
      <c r="F482" s="1" t="str">
        <f>"1618801701"</f>
        <v>1618801701</v>
      </c>
      <c r="G482" s="1" t="s">
        <v>26</v>
      </c>
      <c r="H482" s="1" t="str">
        <f t="shared" si="69"/>
        <v>20220908</v>
      </c>
      <c r="I482" s="1" t="str">
        <f>"125243"</f>
        <v>125243</v>
      </c>
      <c r="J482" s="1" t="s">
        <v>28</v>
      </c>
      <c r="K482" s="1" t="s">
        <v>28</v>
      </c>
      <c r="L482" s="1" t="str">
        <f t="shared" si="70"/>
        <v>20220908</v>
      </c>
      <c r="M482" s="1" t="str">
        <f>"131928"</f>
        <v>131928</v>
      </c>
      <c r="N482" s="1" t="s">
        <v>60</v>
      </c>
      <c r="O482" s="1" t="s">
        <v>52</v>
      </c>
      <c r="P482" s="1" t="s">
        <v>55</v>
      </c>
      <c r="Q482" s="1">
        <v>13</v>
      </c>
      <c r="R482" s="1">
        <v>0</v>
      </c>
      <c r="S482" s="1">
        <v>13</v>
      </c>
      <c r="T482" s="1">
        <v>0</v>
      </c>
      <c r="U482" s="1">
        <v>0</v>
      </c>
      <c r="V482" s="1" t="str">
        <f t="shared" si="65"/>
        <v>里程返程</v>
      </c>
      <c r="W482" s="1" t="s">
        <v>35</v>
      </c>
    </row>
    <row r="483" spans="1:23" x14ac:dyDescent="0.3">
      <c r="A483" s="1" t="str">
        <f t="shared" si="68"/>
        <v>59809</v>
      </c>
      <c r="B483" s="1" t="s">
        <v>42</v>
      </c>
      <c r="C483" s="1" t="s">
        <v>43</v>
      </c>
      <c r="D483" s="1" t="str">
        <f t="shared" si="64"/>
        <v>9801</v>
      </c>
      <c r="E483" s="1" t="s">
        <v>25</v>
      </c>
      <c r="F483" s="1" t="str">
        <f>"3758288823"</f>
        <v>3758288823</v>
      </c>
      <c r="G483" s="1" t="s">
        <v>33</v>
      </c>
      <c r="H483" s="1" t="str">
        <f t="shared" si="69"/>
        <v>20220908</v>
      </c>
      <c r="I483" s="1" t="str">
        <f>"125254"</f>
        <v>125254</v>
      </c>
      <c r="J483" s="1" t="s">
        <v>28</v>
      </c>
      <c r="K483" s="1" t="s">
        <v>28</v>
      </c>
      <c r="L483" s="1" t="str">
        <f t="shared" si="70"/>
        <v>20220908</v>
      </c>
      <c r="M483" s="1" t="str">
        <f>"132027"</f>
        <v>132027</v>
      </c>
      <c r="N483" s="1" t="s">
        <v>86</v>
      </c>
      <c r="O483" s="1" t="s">
        <v>52</v>
      </c>
      <c r="P483" s="1" t="s">
        <v>55</v>
      </c>
      <c r="Q483" s="1">
        <v>25</v>
      </c>
      <c r="R483" s="1">
        <v>25</v>
      </c>
      <c r="S483" s="1">
        <v>0</v>
      </c>
      <c r="T483" s="1">
        <v>0</v>
      </c>
      <c r="U483" s="1">
        <v>0</v>
      </c>
      <c r="V483" s="1" t="str">
        <f t="shared" si="65"/>
        <v>里程返程</v>
      </c>
      <c r="W483" s="1" t="s">
        <v>35</v>
      </c>
    </row>
    <row r="484" spans="1:23" x14ac:dyDescent="0.3">
      <c r="A484" s="1" t="str">
        <f t="shared" si="68"/>
        <v>59809</v>
      </c>
      <c r="B484" s="1" t="s">
        <v>42</v>
      </c>
      <c r="C484" s="1" t="s">
        <v>43</v>
      </c>
      <c r="D484" s="1" t="str">
        <f t="shared" si="64"/>
        <v>9801</v>
      </c>
      <c r="E484" s="1" t="s">
        <v>25</v>
      </c>
      <c r="F484" s="1" t="str">
        <f>"1199359025"</f>
        <v>1199359025</v>
      </c>
      <c r="G484" s="1" t="s">
        <v>33</v>
      </c>
      <c r="H484" s="1" t="str">
        <f t="shared" si="69"/>
        <v>20220908</v>
      </c>
      <c r="I484" s="1" t="str">
        <f>"125259"</f>
        <v>125259</v>
      </c>
      <c r="J484" s="1" t="s">
        <v>28</v>
      </c>
      <c r="K484" s="1" t="s">
        <v>28</v>
      </c>
      <c r="L484" s="1" t="str">
        <f t="shared" si="70"/>
        <v>20220908</v>
      </c>
      <c r="M484" s="1" t="str">
        <f>"130941"</f>
        <v>130941</v>
      </c>
      <c r="N484" s="1" t="s">
        <v>77</v>
      </c>
      <c r="O484" s="1" t="s">
        <v>52</v>
      </c>
      <c r="P484" s="1" t="s">
        <v>55</v>
      </c>
      <c r="Q484" s="1">
        <v>25</v>
      </c>
      <c r="R484" s="1">
        <v>25</v>
      </c>
      <c r="S484" s="1">
        <v>0</v>
      </c>
      <c r="T484" s="1">
        <v>0</v>
      </c>
      <c r="U484" s="1">
        <v>0</v>
      </c>
      <c r="V484" s="1" t="str">
        <f t="shared" si="65"/>
        <v>里程返程</v>
      </c>
      <c r="W484" s="1" t="s">
        <v>35</v>
      </c>
    </row>
    <row r="485" spans="1:23" x14ac:dyDescent="0.3">
      <c r="A485" s="1" t="str">
        <f t="shared" si="68"/>
        <v>59809</v>
      </c>
      <c r="B485" s="1" t="s">
        <v>42</v>
      </c>
      <c r="C485" s="1" t="s">
        <v>43</v>
      </c>
      <c r="D485" s="1" t="str">
        <f t="shared" si="64"/>
        <v>9801</v>
      </c>
      <c r="E485" s="1" t="s">
        <v>25</v>
      </c>
      <c r="F485" s="1" t="str">
        <f>"5264B50281880400C834002000000015"</f>
        <v>5264B50281880400C834002000000015</v>
      </c>
      <c r="G485" s="1" t="s">
        <v>59</v>
      </c>
      <c r="H485" s="1" t="str">
        <f t="shared" si="69"/>
        <v>20220908</v>
      </c>
      <c r="I485" s="1" t="str">
        <f>"125305"</f>
        <v>125305</v>
      </c>
      <c r="J485" s="1" t="s">
        <v>28</v>
      </c>
      <c r="K485" s="1" t="s">
        <v>28</v>
      </c>
      <c r="L485" s="1" t="str">
        <f t="shared" si="70"/>
        <v>20220908</v>
      </c>
      <c r="M485" s="1" t="str">
        <f>"131436"</f>
        <v>131436</v>
      </c>
      <c r="N485" s="1" t="s">
        <v>65</v>
      </c>
      <c r="O485" s="1" t="s">
        <v>52</v>
      </c>
      <c r="P485" s="1" t="s">
        <v>55</v>
      </c>
      <c r="Q485" s="1">
        <v>25</v>
      </c>
      <c r="R485" s="1">
        <v>25</v>
      </c>
      <c r="S485" s="1">
        <v>0</v>
      </c>
      <c r="T485" s="1">
        <v>0</v>
      </c>
      <c r="U485" s="1">
        <v>0</v>
      </c>
      <c r="V485" s="1" t="str">
        <f t="shared" si="65"/>
        <v>里程返程</v>
      </c>
      <c r="W485" s="1" t="s">
        <v>29</v>
      </c>
    </row>
    <row r="486" spans="1:23" x14ac:dyDescent="0.3">
      <c r="A486" s="1" t="str">
        <f t="shared" si="68"/>
        <v>59809</v>
      </c>
      <c r="B486" s="1" t="s">
        <v>42</v>
      </c>
      <c r="C486" s="1" t="s">
        <v>43</v>
      </c>
      <c r="D486" s="1" t="str">
        <f t="shared" si="64"/>
        <v>9801</v>
      </c>
      <c r="E486" s="1" t="s">
        <v>25</v>
      </c>
      <c r="F486" s="1" t="str">
        <f>"C268F5055A880400C838002000000015"</f>
        <v>C268F5055A880400C838002000000015</v>
      </c>
      <c r="G486" s="1" t="s">
        <v>26</v>
      </c>
      <c r="H486" s="1" t="str">
        <f t="shared" si="69"/>
        <v>20220908</v>
      </c>
      <c r="I486" s="1" t="str">
        <f>"125309"</f>
        <v>125309</v>
      </c>
      <c r="J486" s="1" t="s">
        <v>28</v>
      </c>
      <c r="K486" s="1" t="s">
        <v>28</v>
      </c>
      <c r="L486" s="1" t="str">
        <f t="shared" si="70"/>
        <v>20220908</v>
      </c>
      <c r="M486" s="1" t="str">
        <f>"131434"</f>
        <v>131434</v>
      </c>
      <c r="N486" s="1" t="s">
        <v>65</v>
      </c>
      <c r="O486" s="1" t="s">
        <v>52</v>
      </c>
      <c r="P486" s="1" t="s">
        <v>68</v>
      </c>
      <c r="Q486" s="1">
        <v>13</v>
      </c>
      <c r="R486" s="1">
        <v>0</v>
      </c>
      <c r="S486" s="1">
        <v>0</v>
      </c>
      <c r="T486" s="1">
        <v>13</v>
      </c>
      <c r="U486" s="1">
        <v>0</v>
      </c>
      <c r="V486" s="1" t="str">
        <f t="shared" si="65"/>
        <v>里程返程</v>
      </c>
      <c r="W486" s="1" t="s">
        <v>29</v>
      </c>
    </row>
    <row r="487" spans="1:23" x14ac:dyDescent="0.3">
      <c r="A487" s="1" t="str">
        <f t="shared" si="68"/>
        <v>59809</v>
      </c>
      <c r="B487" s="1" t="s">
        <v>42</v>
      </c>
      <c r="C487" s="1" t="s">
        <v>43</v>
      </c>
      <c r="D487" s="1" t="str">
        <f t="shared" si="64"/>
        <v>9801</v>
      </c>
      <c r="E487" s="1" t="s">
        <v>25</v>
      </c>
      <c r="F487" s="1" t="str">
        <f>"719292309"</f>
        <v>719292309</v>
      </c>
      <c r="G487" s="1" t="s">
        <v>33</v>
      </c>
      <c r="H487" s="1" t="str">
        <f t="shared" si="69"/>
        <v>20220908</v>
      </c>
      <c r="I487" s="1" t="str">
        <f>"125312"</f>
        <v>125312</v>
      </c>
      <c r="J487" s="1" t="s">
        <v>28</v>
      </c>
      <c r="K487" s="1" t="s">
        <v>28</v>
      </c>
      <c r="L487" s="1" t="str">
        <f t="shared" si="70"/>
        <v>20220908</v>
      </c>
      <c r="M487" s="1" t="str">
        <f>"131441"</f>
        <v>131441</v>
      </c>
      <c r="N487" s="1" t="s">
        <v>65</v>
      </c>
      <c r="O487" s="1" t="s">
        <v>52</v>
      </c>
      <c r="P487" s="1" t="s">
        <v>55</v>
      </c>
      <c r="Q487" s="1">
        <v>25</v>
      </c>
      <c r="R487" s="1">
        <v>0</v>
      </c>
      <c r="S487" s="1">
        <v>25</v>
      </c>
      <c r="T487" s="1">
        <v>0</v>
      </c>
      <c r="U487" s="1">
        <v>0</v>
      </c>
      <c r="V487" s="1" t="str">
        <f t="shared" si="65"/>
        <v>里程返程</v>
      </c>
      <c r="W487" s="1" t="s">
        <v>35</v>
      </c>
    </row>
    <row r="488" spans="1:23" x14ac:dyDescent="0.3">
      <c r="A488" s="1" t="str">
        <f t="shared" si="68"/>
        <v>59809</v>
      </c>
      <c r="B488" s="1" t="s">
        <v>42</v>
      </c>
      <c r="C488" s="1" t="s">
        <v>43</v>
      </c>
      <c r="D488" s="1" t="str">
        <f t="shared" si="64"/>
        <v>9801</v>
      </c>
      <c r="E488" s="1" t="s">
        <v>25</v>
      </c>
      <c r="F488" s="1" t="str">
        <f>"1051179569"</f>
        <v>1051179569</v>
      </c>
      <c r="G488" s="1" t="s">
        <v>33</v>
      </c>
      <c r="H488" s="1" t="str">
        <f t="shared" si="69"/>
        <v>20220908</v>
      </c>
      <c r="I488" s="1" t="str">
        <f>"125314"</f>
        <v>125314</v>
      </c>
      <c r="J488" s="1" t="s">
        <v>28</v>
      </c>
      <c r="K488" s="1" t="s">
        <v>28</v>
      </c>
      <c r="L488" s="1" t="str">
        <f t="shared" si="70"/>
        <v>20220908</v>
      </c>
      <c r="M488" s="1" t="str">
        <f>"131439"</f>
        <v>131439</v>
      </c>
      <c r="N488" s="1" t="s">
        <v>65</v>
      </c>
      <c r="O488" s="1" t="s">
        <v>52</v>
      </c>
      <c r="P488" s="1" t="s">
        <v>55</v>
      </c>
      <c r="Q488" s="1">
        <v>25</v>
      </c>
      <c r="R488" s="1">
        <v>25</v>
      </c>
      <c r="S488" s="1">
        <v>0</v>
      </c>
      <c r="T488" s="1">
        <v>0</v>
      </c>
      <c r="U488" s="1">
        <v>0</v>
      </c>
      <c r="V488" s="1" t="str">
        <f t="shared" si="65"/>
        <v>里程返程</v>
      </c>
      <c r="W488" s="1" t="s">
        <v>35</v>
      </c>
    </row>
    <row r="489" spans="1:23" x14ac:dyDescent="0.3">
      <c r="A489" s="1" t="str">
        <f t="shared" si="68"/>
        <v>59809</v>
      </c>
      <c r="B489" s="1" t="s">
        <v>42</v>
      </c>
      <c r="C489" s="1" t="s">
        <v>43</v>
      </c>
      <c r="D489" s="1" t="str">
        <f t="shared" si="64"/>
        <v>9801</v>
      </c>
      <c r="E489" s="1" t="s">
        <v>25</v>
      </c>
      <c r="F489" s="1" t="str">
        <f>"FA9D016305880400C18514D041904512"</f>
        <v>FA9D016305880400C18514D041904512</v>
      </c>
      <c r="G489" s="1" t="s">
        <v>64</v>
      </c>
      <c r="H489" s="1" t="str">
        <f t="shared" si="69"/>
        <v>20220908</v>
      </c>
      <c r="I489" s="1" t="str">
        <f>"125426"</f>
        <v>125426</v>
      </c>
      <c r="J489" s="1" t="s">
        <v>28</v>
      </c>
      <c r="K489" s="1" t="s">
        <v>28</v>
      </c>
      <c r="L489" s="1" t="str">
        <f t="shared" si="70"/>
        <v>20220908</v>
      </c>
      <c r="M489" s="1" t="str">
        <f>"132419"</f>
        <v>132419</v>
      </c>
      <c r="N489" s="1" t="s">
        <v>52</v>
      </c>
      <c r="O489" s="1" t="s">
        <v>52</v>
      </c>
      <c r="P489" s="1" t="s">
        <v>55</v>
      </c>
      <c r="Q489" s="1">
        <v>13</v>
      </c>
      <c r="R489" s="1">
        <v>13</v>
      </c>
      <c r="S489" s="1">
        <v>0</v>
      </c>
      <c r="T489" s="1">
        <v>0</v>
      </c>
      <c r="U489" s="1">
        <v>0</v>
      </c>
      <c r="V489" s="1" t="str">
        <f t="shared" si="65"/>
        <v>里程返程</v>
      </c>
      <c r="W489" s="1" t="s">
        <v>29</v>
      </c>
    </row>
    <row r="490" spans="1:23" x14ac:dyDescent="0.3">
      <c r="A490" s="1" t="str">
        <f t="shared" si="68"/>
        <v>59809</v>
      </c>
      <c r="B490" s="1" t="s">
        <v>42</v>
      </c>
      <c r="C490" s="1" t="s">
        <v>43</v>
      </c>
      <c r="D490" s="1" t="str">
        <f t="shared" si="64"/>
        <v>9801</v>
      </c>
      <c r="E490" s="1" t="s">
        <v>25</v>
      </c>
      <c r="F490" s="1" t="str">
        <f>"32BD1E1889880400C819002000000019"</f>
        <v>32BD1E1889880400C819002000000019</v>
      </c>
      <c r="G490" s="1" t="s">
        <v>64</v>
      </c>
      <c r="H490" s="1" t="str">
        <f t="shared" si="69"/>
        <v>20220908</v>
      </c>
      <c r="I490" s="1" t="str">
        <f>"125429"</f>
        <v>125429</v>
      </c>
      <c r="J490" s="1" t="s">
        <v>28</v>
      </c>
      <c r="K490" s="1" t="s">
        <v>28</v>
      </c>
      <c r="L490" s="1" t="str">
        <f t="shared" si="70"/>
        <v>20220908</v>
      </c>
      <c r="M490" s="1" t="str">
        <f>"132415"</f>
        <v>132415</v>
      </c>
      <c r="N490" s="1" t="s">
        <v>52</v>
      </c>
      <c r="O490" s="1" t="s">
        <v>52</v>
      </c>
      <c r="P490" s="1" t="s">
        <v>55</v>
      </c>
      <c r="Q490" s="1">
        <v>13</v>
      </c>
      <c r="R490" s="1">
        <v>13</v>
      </c>
      <c r="S490" s="1">
        <v>0</v>
      </c>
      <c r="T490" s="1">
        <v>0</v>
      </c>
      <c r="U490" s="1">
        <v>0</v>
      </c>
      <c r="V490" s="1" t="str">
        <f t="shared" si="65"/>
        <v>里程返程</v>
      </c>
      <c r="W490" s="1" t="s">
        <v>29</v>
      </c>
    </row>
    <row r="491" spans="1:23" x14ac:dyDescent="0.3">
      <c r="A491" s="1" t="str">
        <f t="shared" si="68"/>
        <v>59809</v>
      </c>
      <c r="B491" s="1" t="s">
        <v>42</v>
      </c>
      <c r="C491" s="1" t="s">
        <v>43</v>
      </c>
      <c r="D491" s="1" t="str">
        <f t="shared" si="64"/>
        <v>9801</v>
      </c>
      <c r="E491" s="1" t="s">
        <v>25</v>
      </c>
      <c r="F491" s="1" t="str">
        <f>"0222A4199D880400C824002000000020"</f>
        <v>0222A4199D880400C824002000000020</v>
      </c>
      <c r="G491" s="1" t="s">
        <v>64</v>
      </c>
      <c r="H491" s="1" t="str">
        <f t="shared" si="69"/>
        <v>20220908</v>
      </c>
      <c r="I491" s="1" t="str">
        <f>"125559"</f>
        <v>125559</v>
      </c>
      <c r="J491" s="1" t="s">
        <v>28</v>
      </c>
      <c r="K491" s="1" t="s">
        <v>28</v>
      </c>
      <c r="L491" s="1" t="str">
        <f t="shared" si="70"/>
        <v>20220908</v>
      </c>
      <c r="M491" s="1" t="str">
        <f>"131432"</f>
        <v>131432</v>
      </c>
      <c r="N491" s="1" t="s">
        <v>65</v>
      </c>
      <c r="O491" s="1" t="s">
        <v>52</v>
      </c>
      <c r="P491" s="1" t="s">
        <v>55</v>
      </c>
      <c r="Q491" s="1">
        <v>13</v>
      </c>
      <c r="R491" s="1">
        <v>13</v>
      </c>
      <c r="S491" s="1">
        <v>0</v>
      </c>
      <c r="T491" s="1">
        <v>0</v>
      </c>
      <c r="U491" s="1">
        <v>0</v>
      </c>
      <c r="V491" s="1" t="str">
        <f t="shared" si="65"/>
        <v>里程返程</v>
      </c>
      <c r="W491" s="1" t="s">
        <v>29</v>
      </c>
    </row>
    <row r="492" spans="1:23" x14ac:dyDescent="0.3">
      <c r="A492" s="1" t="str">
        <f t="shared" si="68"/>
        <v>59809</v>
      </c>
      <c r="B492" s="1" t="s">
        <v>42</v>
      </c>
      <c r="C492" s="1" t="s">
        <v>43</v>
      </c>
      <c r="D492" s="1" t="str">
        <f t="shared" si="64"/>
        <v>9801</v>
      </c>
      <c r="E492" s="1" t="s">
        <v>25</v>
      </c>
      <c r="F492" s="1" t="str">
        <f>"E220D10211880400C834002000000015"</f>
        <v>E220D10211880400C834002000000015</v>
      </c>
      <c r="G492" s="1" t="s">
        <v>74</v>
      </c>
      <c r="H492" s="1" t="str">
        <f t="shared" si="69"/>
        <v>20220908</v>
      </c>
      <c r="I492" s="1" t="str">
        <f>"131142"</f>
        <v>131142</v>
      </c>
      <c r="J492" s="1" t="s">
        <v>97</v>
      </c>
      <c r="K492" s="1" t="s">
        <v>52</v>
      </c>
      <c r="L492" s="1" t="str">
        <f t="shared" si="70"/>
        <v>20220908</v>
      </c>
      <c r="M492" s="1" t="str">
        <f>"131400"</f>
        <v>131400</v>
      </c>
      <c r="N492" s="1" t="s">
        <v>65</v>
      </c>
      <c r="O492" s="1" t="s">
        <v>52</v>
      </c>
      <c r="P492" s="1" t="s">
        <v>68</v>
      </c>
      <c r="Q492" s="1">
        <v>13</v>
      </c>
      <c r="R492" s="1">
        <v>0</v>
      </c>
      <c r="S492" s="1">
        <v>0</v>
      </c>
      <c r="T492" s="1">
        <v>13</v>
      </c>
      <c r="U492" s="1">
        <v>0</v>
      </c>
      <c r="V492" s="1" t="str">
        <f t="shared" si="65"/>
        <v>里程返程</v>
      </c>
      <c r="W492" s="1" t="s">
        <v>29</v>
      </c>
    </row>
    <row r="493" spans="1:23" x14ac:dyDescent="0.3">
      <c r="A493" s="1" t="str">
        <f t="shared" si="68"/>
        <v>59809</v>
      </c>
      <c r="B493" s="1" t="s">
        <v>42</v>
      </c>
      <c r="C493" s="1" t="s">
        <v>43</v>
      </c>
      <c r="D493" s="1" t="str">
        <f t="shared" si="64"/>
        <v>9801</v>
      </c>
      <c r="E493" s="1" t="s">
        <v>25</v>
      </c>
      <c r="F493" s="1" t="str">
        <f>"43470897"</f>
        <v>43470897</v>
      </c>
      <c r="G493" s="1" t="s">
        <v>33</v>
      </c>
      <c r="H493" s="1" t="str">
        <f t="shared" si="69"/>
        <v>20220908</v>
      </c>
      <c r="I493" s="1" t="str">
        <f>"142739"</f>
        <v>142739</v>
      </c>
      <c r="J493" s="1" t="s">
        <v>44</v>
      </c>
      <c r="K493" s="1" t="s">
        <v>45</v>
      </c>
      <c r="L493" s="1" t="str">
        <f t="shared" si="70"/>
        <v>20220908</v>
      </c>
      <c r="M493" s="1" t="str">
        <f>"143523"</f>
        <v>143523</v>
      </c>
      <c r="N493" s="1" t="s">
        <v>91</v>
      </c>
      <c r="O493" s="1" t="s">
        <v>45</v>
      </c>
      <c r="P493" s="1" t="s">
        <v>55</v>
      </c>
      <c r="Q493" s="1">
        <v>25</v>
      </c>
      <c r="R493" s="1">
        <v>25</v>
      </c>
      <c r="S493" s="1">
        <v>0</v>
      </c>
      <c r="T493" s="1">
        <v>0</v>
      </c>
      <c r="U493" s="1">
        <v>0</v>
      </c>
      <c r="V493" s="1" t="str">
        <f t="shared" si="65"/>
        <v>里程返程</v>
      </c>
      <c r="W493" s="1" t="s">
        <v>35</v>
      </c>
    </row>
    <row r="494" spans="1:23" x14ac:dyDescent="0.3">
      <c r="A494" s="1" t="str">
        <f t="shared" si="68"/>
        <v>59809</v>
      </c>
      <c r="B494" s="1" t="s">
        <v>42</v>
      </c>
      <c r="C494" s="1" t="s">
        <v>43</v>
      </c>
      <c r="D494" s="1" t="str">
        <f t="shared" si="64"/>
        <v>9801</v>
      </c>
      <c r="E494" s="1" t="s">
        <v>25</v>
      </c>
      <c r="F494" s="1" t="str">
        <f>"F2D14C147B28040080CED9D049713218"</f>
        <v>F2D14C147B28040080CED9D049713218</v>
      </c>
      <c r="G494" s="1" t="s">
        <v>59</v>
      </c>
      <c r="H494" s="1" t="str">
        <f t="shared" si="69"/>
        <v>20220908</v>
      </c>
      <c r="I494" s="1" t="str">
        <f>"143707"</f>
        <v>143707</v>
      </c>
      <c r="J494" s="1" t="s">
        <v>75</v>
      </c>
      <c r="K494" s="1" t="s">
        <v>45</v>
      </c>
      <c r="L494" s="1" t="str">
        <f t="shared" si="70"/>
        <v>20220908</v>
      </c>
      <c r="M494" s="1" t="str">
        <f>"145126"</f>
        <v>145126</v>
      </c>
      <c r="N494" s="1" t="s">
        <v>28</v>
      </c>
      <c r="O494" s="1" t="s">
        <v>28</v>
      </c>
      <c r="P494" s="1" t="s">
        <v>55</v>
      </c>
      <c r="Q494" s="1">
        <v>25</v>
      </c>
      <c r="R494" s="1">
        <v>25</v>
      </c>
      <c r="S494" s="1">
        <v>0</v>
      </c>
      <c r="T494" s="1">
        <v>0</v>
      </c>
      <c r="U494" s="1">
        <v>0</v>
      </c>
      <c r="V494" s="1" t="str">
        <f t="shared" si="65"/>
        <v>里程返程</v>
      </c>
      <c r="W494" s="1" t="s">
        <v>29</v>
      </c>
    </row>
    <row r="495" spans="1:23" x14ac:dyDescent="0.3">
      <c r="A495" s="1" t="str">
        <f t="shared" si="68"/>
        <v>59809</v>
      </c>
      <c r="B495" s="1" t="s">
        <v>42</v>
      </c>
      <c r="C495" s="1" t="s">
        <v>43</v>
      </c>
      <c r="D495" s="1" t="str">
        <f t="shared" si="64"/>
        <v>9801</v>
      </c>
      <c r="E495" s="1" t="s">
        <v>25</v>
      </c>
      <c r="F495" s="1" t="str">
        <f>"1042647013"</f>
        <v>1042647013</v>
      </c>
      <c r="G495" s="1" t="s">
        <v>33</v>
      </c>
      <c r="H495" s="1" t="str">
        <f t="shared" si="69"/>
        <v>20220908</v>
      </c>
      <c r="I495" s="1" t="str">
        <f>"144213"</f>
        <v>144213</v>
      </c>
      <c r="J495" s="1" t="s">
        <v>45</v>
      </c>
      <c r="K495" s="1" t="s">
        <v>45</v>
      </c>
      <c r="L495" s="1" t="str">
        <f t="shared" si="70"/>
        <v>20220908</v>
      </c>
      <c r="M495" s="1" t="str">
        <f>"145130"</f>
        <v>145130</v>
      </c>
      <c r="N495" s="1" t="s">
        <v>28</v>
      </c>
      <c r="O495" s="1" t="s">
        <v>28</v>
      </c>
      <c r="P495" s="1" t="s">
        <v>55</v>
      </c>
      <c r="Q495" s="1">
        <v>25</v>
      </c>
      <c r="R495" s="1">
        <v>0</v>
      </c>
      <c r="S495" s="1">
        <v>25</v>
      </c>
      <c r="T495" s="1">
        <v>0</v>
      </c>
      <c r="U495" s="1">
        <v>0</v>
      </c>
      <c r="V495" s="1" t="str">
        <f t="shared" si="65"/>
        <v>里程返程</v>
      </c>
      <c r="W495" s="1" t="s">
        <v>35</v>
      </c>
    </row>
    <row r="496" spans="1:23" x14ac:dyDescent="0.3">
      <c r="A496" s="1" t="str">
        <f t="shared" si="68"/>
        <v>59809</v>
      </c>
      <c r="B496" s="1" t="s">
        <v>42</v>
      </c>
      <c r="C496" s="1" t="s">
        <v>43</v>
      </c>
      <c r="D496" s="1" t="str">
        <f t="shared" si="64"/>
        <v>9801</v>
      </c>
      <c r="E496" s="1" t="s">
        <v>25</v>
      </c>
      <c r="F496" s="1" t="str">
        <f>"B2EF0D0151880400C806002000000015"</f>
        <v>B2EF0D0151880400C806002000000015</v>
      </c>
      <c r="G496" s="1" t="s">
        <v>82</v>
      </c>
      <c r="H496" s="1" t="str">
        <f t="shared" si="69"/>
        <v>20220908</v>
      </c>
      <c r="I496" s="1" t="str">
        <f>"144215"</f>
        <v>144215</v>
      </c>
      <c r="J496" s="1" t="s">
        <v>45</v>
      </c>
      <c r="K496" s="1" t="s">
        <v>45</v>
      </c>
      <c r="L496" s="1" t="str">
        <f t="shared" si="70"/>
        <v>20220908</v>
      </c>
      <c r="M496" s="1" t="str">
        <f>"145120"</f>
        <v>145120</v>
      </c>
      <c r="N496" s="1" t="s">
        <v>28</v>
      </c>
      <c r="O496" s="1" t="s">
        <v>28</v>
      </c>
      <c r="P496" s="1" t="s">
        <v>55</v>
      </c>
      <c r="Q496" s="1">
        <v>13</v>
      </c>
      <c r="R496" s="1">
        <v>0</v>
      </c>
      <c r="S496" s="1">
        <v>13</v>
      </c>
      <c r="T496" s="1">
        <v>0</v>
      </c>
      <c r="U496" s="1">
        <v>0</v>
      </c>
      <c r="V496" s="1" t="str">
        <f t="shared" si="65"/>
        <v>里程返程</v>
      </c>
      <c r="W496" s="1" t="s">
        <v>29</v>
      </c>
    </row>
    <row r="497" spans="1:23" x14ac:dyDescent="0.3">
      <c r="A497" s="1" t="str">
        <f t="shared" si="68"/>
        <v>59809</v>
      </c>
      <c r="B497" s="1" t="s">
        <v>42</v>
      </c>
      <c r="C497" s="1" t="s">
        <v>43</v>
      </c>
      <c r="D497" s="1" t="str">
        <f t="shared" si="64"/>
        <v>9801</v>
      </c>
      <c r="E497" s="1" t="s">
        <v>25</v>
      </c>
      <c r="F497" s="1" t="str">
        <f>"1295491569"</f>
        <v>1295491569</v>
      </c>
      <c r="G497" s="1" t="s">
        <v>33</v>
      </c>
      <c r="H497" s="1" t="str">
        <f t="shared" si="69"/>
        <v>20220908</v>
      </c>
      <c r="I497" s="1" t="str">
        <f>"145216"</f>
        <v>145216</v>
      </c>
      <c r="J497" s="1" t="s">
        <v>28</v>
      </c>
      <c r="K497" s="1" t="s">
        <v>28</v>
      </c>
      <c r="L497" s="1" t="str">
        <f t="shared" si="70"/>
        <v>20220908</v>
      </c>
      <c r="M497" s="1" t="str">
        <f>"152134"</f>
        <v>152134</v>
      </c>
      <c r="N497" s="1" t="s">
        <v>52</v>
      </c>
      <c r="O497" s="1" t="s">
        <v>52</v>
      </c>
      <c r="P497" s="1" t="s">
        <v>55</v>
      </c>
      <c r="Q497" s="1">
        <v>25</v>
      </c>
      <c r="R497" s="1">
        <v>25</v>
      </c>
      <c r="S497" s="1">
        <v>0</v>
      </c>
      <c r="T497" s="1">
        <v>0</v>
      </c>
      <c r="U497" s="1">
        <v>0</v>
      </c>
      <c r="V497" s="1" t="str">
        <f t="shared" si="65"/>
        <v>里程返程</v>
      </c>
      <c r="W497" s="1" t="s">
        <v>35</v>
      </c>
    </row>
    <row r="498" spans="1:23" x14ac:dyDescent="0.3">
      <c r="A498" s="1" t="str">
        <f t="shared" si="68"/>
        <v>59809</v>
      </c>
      <c r="B498" s="1" t="s">
        <v>42</v>
      </c>
      <c r="C498" s="1" t="s">
        <v>43</v>
      </c>
      <c r="D498" s="1" t="str">
        <f t="shared" si="64"/>
        <v>9801</v>
      </c>
      <c r="E498" s="1" t="s">
        <v>25</v>
      </c>
      <c r="F498" s="1" t="str">
        <f>"514908465"</f>
        <v>514908465</v>
      </c>
      <c r="G498" s="1" t="s">
        <v>96</v>
      </c>
      <c r="H498" s="1" t="str">
        <f t="shared" si="69"/>
        <v>20220908</v>
      </c>
      <c r="I498" s="1" t="str">
        <f>"145220"</f>
        <v>145220</v>
      </c>
      <c r="J498" s="1" t="s">
        <v>28</v>
      </c>
      <c r="K498" s="1" t="s">
        <v>28</v>
      </c>
      <c r="L498" s="1" t="str">
        <f t="shared" si="70"/>
        <v>20220908</v>
      </c>
      <c r="M498" s="1" t="str">
        <f>"152132"</f>
        <v>152132</v>
      </c>
      <c r="N498" s="1" t="s">
        <v>52</v>
      </c>
      <c r="O498" s="1" t="s">
        <v>52</v>
      </c>
      <c r="P498" s="1" t="s">
        <v>55</v>
      </c>
      <c r="Q498" s="1">
        <v>13</v>
      </c>
      <c r="R498" s="1">
        <v>13</v>
      </c>
      <c r="S498" s="1">
        <v>0</v>
      </c>
      <c r="T498" s="1">
        <v>0</v>
      </c>
      <c r="U498" s="1">
        <v>0</v>
      </c>
      <c r="V498" s="1" t="str">
        <f t="shared" si="65"/>
        <v>里程返程</v>
      </c>
      <c r="W498" s="1" t="s">
        <v>35</v>
      </c>
    </row>
    <row r="499" spans="1:23" x14ac:dyDescent="0.3">
      <c r="A499" s="1" t="str">
        <f t="shared" si="68"/>
        <v>59809</v>
      </c>
      <c r="B499" s="1" t="s">
        <v>42</v>
      </c>
      <c r="C499" s="1" t="s">
        <v>43</v>
      </c>
      <c r="D499" s="1" t="str">
        <f t="shared" si="64"/>
        <v>9801</v>
      </c>
      <c r="E499" s="1" t="s">
        <v>25</v>
      </c>
      <c r="F499" s="1" t="str">
        <f>"451284209"</f>
        <v>451284209</v>
      </c>
      <c r="G499" s="1" t="s">
        <v>33</v>
      </c>
      <c r="H499" s="1" t="str">
        <f t="shared" ref="H499:H530" si="71">"20220908"</f>
        <v>20220908</v>
      </c>
      <c r="I499" s="1" t="str">
        <f>"145222"</f>
        <v>145222</v>
      </c>
      <c r="J499" s="1" t="s">
        <v>28</v>
      </c>
      <c r="K499" s="1" t="s">
        <v>28</v>
      </c>
      <c r="L499" s="1" t="str">
        <f t="shared" ref="L499:L530" si="72">"20220908"</f>
        <v>20220908</v>
      </c>
      <c r="M499" s="1" t="str">
        <f>"152125"</f>
        <v>152125</v>
      </c>
      <c r="N499" s="1" t="s">
        <v>52</v>
      </c>
      <c r="O499" s="1" t="s">
        <v>52</v>
      </c>
      <c r="P499" s="1" t="s">
        <v>55</v>
      </c>
      <c r="Q499" s="1">
        <v>25</v>
      </c>
      <c r="R499" s="1">
        <v>25</v>
      </c>
      <c r="S499" s="1">
        <v>0</v>
      </c>
      <c r="T499" s="1">
        <v>0</v>
      </c>
      <c r="U499" s="1">
        <v>0</v>
      </c>
      <c r="V499" s="1" t="str">
        <f t="shared" si="65"/>
        <v>里程返程</v>
      </c>
      <c r="W499" s="1" t="s">
        <v>35</v>
      </c>
    </row>
    <row r="500" spans="1:23" x14ac:dyDescent="0.3">
      <c r="A500" s="1" t="str">
        <f t="shared" si="68"/>
        <v>59809</v>
      </c>
      <c r="B500" s="1" t="s">
        <v>42</v>
      </c>
      <c r="C500" s="1" t="s">
        <v>43</v>
      </c>
      <c r="D500" s="1" t="str">
        <f t="shared" si="64"/>
        <v>9801</v>
      </c>
      <c r="E500" s="1" t="s">
        <v>25</v>
      </c>
      <c r="F500" s="1" t="str">
        <f>"72C56518CA880400C819002000000019"</f>
        <v>72C56518CA880400C819002000000019</v>
      </c>
      <c r="G500" s="1" t="s">
        <v>64</v>
      </c>
      <c r="H500" s="1" t="str">
        <f t="shared" si="71"/>
        <v>20220908</v>
      </c>
      <c r="I500" s="1" t="str">
        <f>"153219"</f>
        <v>153219</v>
      </c>
      <c r="J500" s="1" t="s">
        <v>44</v>
      </c>
      <c r="K500" s="1" t="s">
        <v>45</v>
      </c>
      <c r="L500" s="1" t="str">
        <f t="shared" si="72"/>
        <v>20220908</v>
      </c>
      <c r="M500" s="1" t="str">
        <f>"154949"</f>
        <v>154949</v>
      </c>
      <c r="N500" s="1" t="s">
        <v>28</v>
      </c>
      <c r="O500" s="1" t="s">
        <v>28</v>
      </c>
      <c r="P500" s="1" t="s">
        <v>55</v>
      </c>
      <c r="Q500" s="1">
        <v>13</v>
      </c>
      <c r="R500" s="1">
        <v>13</v>
      </c>
      <c r="S500" s="1">
        <v>0</v>
      </c>
      <c r="T500" s="1">
        <v>0</v>
      </c>
      <c r="U500" s="1">
        <v>0</v>
      </c>
      <c r="V500" s="1" t="str">
        <f t="shared" si="65"/>
        <v>里程返程</v>
      </c>
      <c r="W500" s="1" t="s">
        <v>29</v>
      </c>
    </row>
    <row r="501" spans="1:23" x14ac:dyDescent="0.3">
      <c r="A501" s="1" t="str">
        <f t="shared" si="68"/>
        <v>59809</v>
      </c>
      <c r="B501" s="1" t="s">
        <v>42</v>
      </c>
      <c r="C501" s="1" t="s">
        <v>43</v>
      </c>
      <c r="D501" s="1" t="str">
        <f t="shared" si="64"/>
        <v>9801</v>
      </c>
      <c r="E501" s="1" t="s">
        <v>25</v>
      </c>
      <c r="F501" s="1" t="str">
        <f>"915D49038688040043252B4B0015050F"</f>
        <v>915D49038688040043252B4B0015050F</v>
      </c>
      <c r="G501" s="1" t="s">
        <v>64</v>
      </c>
      <c r="H501" s="1" t="str">
        <f t="shared" si="71"/>
        <v>20220908</v>
      </c>
      <c r="I501" s="1" t="str">
        <f>"153221"</f>
        <v>153221</v>
      </c>
      <c r="J501" s="1" t="s">
        <v>44</v>
      </c>
      <c r="K501" s="1" t="s">
        <v>45</v>
      </c>
      <c r="L501" s="1" t="str">
        <f t="shared" si="72"/>
        <v>20220908</v>
      </c>
      <c r="M501" s="1" t="str">
        <f>"154941"</f>
        <v>154941</v>
      </c>
      <c r="N501" s="1" t="s">
        <v>28</v>
      </c>
      <c r="O501" s="1" t="s">
        <v>28</v>
      </c>
      <c r="P501" s="1" t="s">
        <v>55</v>
      </c>
      <c r="Q501" s="1">
        <v>13</v>
      </c>
      <c r="R501" s="1">
        <v>13</v>
      </c>
      <c r="S501" s="1">
        <v>0</v>
      </c>
      <c r="T501" s="1">
        <v>0</v>
      </c>
      <c r="U501" s="1">
        <v>0</v>
      </c>
      <c r="V501" s="1" t="str">
        <f t="shared" si="65"/>
        <v>里程返程</v>
      </c>
      <c r="W501" s="1" t="s">
        <v>29</v>
      </c>
    </row>
    <row r="502" spans="1:23" x14ac:dyDescent="0.3">
      <c r="A502" s="1" t="str">
        <f t="shared" si="68"/>
        <v>59809</v>
      </c>
      <c r="B502" s="1" t="s">
        <v>42</v>
      </c>
      <c r="C502" s="1" t="s">
        <v>43</v>
      </c>
      <c r="D502" s="1" t="str">
        <f t="shared" si="64"/>
        <v>9801</v>
      </c>
      <c r="E502" s="1" t="s">
        <v>25</v>
      </c>
      <c r="F502" s="1" t="str">
        <f>"141890191"</f>
        <v>141890191</v>
      </c>
      <c r="G502" s="1" t="s">
        <v>33</v>
      </c>
      <c r="H502" s="1" t="str">
        <f t="shared" si="71"/>
        <v>20220908</v>
      </c>
      <c r="I502" s="1" t="str">
        <f>"153403"</f>
        <v>153403</v>
      </c>
      <c r="J502" s="1" t="s">
        <v>100</v>
      </c>
      <c r="K502" s="1" t="s">
        <v>45</v>
      </c>
      <c r="L502" s="1" t="str">
        <f t="shared" si="72"/>
        <v>20220908</v>
      </c>
      <c r="M502" s="1" t="str">
        <f>"154945"</f>
        <v>154945</v>
      </c>
      <c r="N502" s="1" t="s">
        <v>28</v>
      </c>
      <c r="O502" s="1" t="s">
        <v>28</v>
      </c>
      <c r="P502" s="1" t="s">
        <v>55</v>
      </c>
      <c r="Q502" s="1">
        <v>25</v>
      </c>
      <c r="R502" s="1">
        <v>25</v>
      </c>
      <c r="S502" s="1">
        <v>0</v>
      </c>
      <c r="T502" s="1">
        <v>0</v>
      </c>
      <c r="U502" s="1">
        <v>0</v>
      </c>
      <c r="V502" s="1" t="str">
        <f t="shared" si="65"/>
        <v>里程返程</v>
      </c>
      <c r="W502" s="1" t="s">
        <v>35</v>
      </c>
    </row>
    <row r="503" spans="1:23" x14ac:dyDescent="0.3">
      <c r="A503" s="1" t="str">
        <f t="shared" si="68"/>
        <v>59809</v>
      </c>
      <c r="B503" s="1" t="s">
        <v>42</v>
      </c>
      <c r="C503" s="1" t="s">
        <v>43</v>
      </c>
      <c r="D503" s="1" t="str">
        <f t="shared" si="64"/>
        <v>9801</v>
      </c>
      <c r="E503" s="1" t="s">
        <v>25</v>
      </c>
      <c r="F503" s="1" t="str">
        <f>"620B781809880400C819002000000019"</f>
        <v>620B781809880400C819002000000019</v>
      </c>
      <c r="G503" s="1" t="s">
        <v>26</v>
      </c>
      <c r="H503" s="1" t="str">
        <f t="shared" si="71"/>
        <v>20220908</v>
      </c>
      <c r="I503" s="1" t="str">
        <f>"153833"</f>
        <v>153833</v>
      </c>
      <c r="J503" s="1" t="s">
        <v>75</v>
      </c>
      <c r="K503" s="1" t="s">
        <v>45</v>
      </c>
      <c r="L503" s="1" t="str">
        <f t="shared" si="72"/>
        <v>20220908</v>
      </c>
      <c r="M503" s="1" t="str">
        <f>"154955"</f>
        <v>154955</v>
      </c>
      <c r="N503" s="1" t="s">
        <v>28</v>
      </c>
      <c r="O503" s="1" t="s">
        <v>28</v>
      </c>
      <c r="P503" s="1" t="s">
        <v>55</v>
      </c>
      <c r="Q503" s="1">
        <v>13</v>
      </c>
      <c r="R503" s="1">
        <v>13</v>
      </c>
      <c r="S503" s="1">
        <v>0</v>
      </c>
      <c r="T503" s="1">
        <v>0</v>
      </c>
      <c r="U503" s="1">
        <v>0</v>
      </c>
      <c r="V503" s="1" t="str">
        <f t="shared" si="65"/>
        <v>里程返程</v>
      </c>
      <c r="W503" s="1" t="s">
        <v>29</v>
      </c>
    </row>
    <row r="504" spans="1:23" x14ac:dyDescent="0.3">
      <c r="A504" s="1" t="str">
        <f t="shared" si="68"/>
        <v>59809</v>
      </c>
      <c r="B504" s="1" t="s">
        <v>42</v>
      </c>
      <c r="C504" s="1" t="s">
        <v>43</v>
      </c>
      <c r="D504" s="1" t="str">
        <f t="shared" si="64"/>
        <v>9801</v>
      </c>
      <c r="E504" s="1" t="s">
        <v>25</v>
      </c>
      <c r="F504" s="1" t="str">
        <f>"7227E702B0880400C834002000000015"</f>
        <v>7227E702B0880400C834002000000015</v>
      </c>
      <c r="G504" s="1" t="s">
        <v>74</v>
      </c>
      <c r="H504" s="1" t="str">
        <f t="shared" si="71"/>
        <v>20220908</v>
      </c>
      <c r="I504" s="1" t="str">
        <f>"161035"</f>
        <v>161035</v>
      </c>
      <c r="J504" s="1" t="s">
        <v>80</v>
      </c>
      <c r="K504" s="1" t="s">
        <v>52</v>
      </c>
      <c r="L504" s="1" t="str">
        <f t="shared" si="72"/>
        <v>20220908</v>
      </c>
      <c r="M504" s="1" t="str">
        <f>"162520"</f>
        <v>162520</v>
      </c>
      <c r="N504" s="1" t="s">
        <v>52</v>
      </c>
      <c r="O504" s="1" t="s">
        <v>52</v>
      </c>
      <c r="P504" s="1" t="s">
        <v>68</v>
      </c>
      <c r="Q504" s="1">
        <v>13</v>
      </c>
      <c r="R504" s="1">
        <v>0</v>
      </c>
      <c r="S504" s="1">
        <v>0</v>
      </c>
      <c r="T504" s="1">
        <v>13</v>
      </c>
      <c r="U504" s="1">
        <v>0</v>
      </c>
      <c r="V504" s="1" t="str">
        <f t="shared" si="65"/>
        <v>里程返程</v>
      </c>
      <c r="W504" s="1" t="s">
        <v>29</v>
      </c>
    </row>
    <row r="505" spans="1:23" x14ac:dyDescent="0.3">
      <c r="A505" s="1" t="str">
        <f t="shared" si="68"/>
        <v>59809</v>
      </c>
      <c r="B505" s="1" t="s">
        <v>42</v>
      </c>
      <c r="C505" s="1" t="s">
        <v>43</v>
      </c>
      <c r="D505" s="1" t="str">
        <f t="shared" si="64"/>
        <v>9801</v>
      </c>
      <c r="E505" s="1" t="s">
        <v>25</v>
      </c>
      <c r="F505" s="1" t="str">
        <f>"82D5FB02AE880400C834002000000015"</f>
        <v>82D5FB02AE880400C834002000000015</v>
      </c>
      <c r="G505" s="1" t="s">
        <v>26</v>
      </c>
      <c r="H505" s="1" t="str">
        <f t="shared" si="71"/>
        <v>20220908</v>
      </c>
      <c r="I505" s="1" t="str">
        <f>"161455"</f>
        <v>161455</v>
      </c>
      <c r="J505" s="1" t="s">
        <v>72</v>
      </c>
      <c r="K505" s="1" t="s">
        <v>52</v>
      </c>
      <c r="L505" s="1" t="str">
        <f t="shared" si="72"/>
        <v>20220908</v>
      </c>
      <c r="M505" s="1" t="str">
        <f>"161851"</f>
        <v>161851</v>
      </c>
      <c r="N505" s="1" t="s">
        <v>51</v>
      </c>
      <c r="O505" s="1" t="s">
        <v>52</v>
      </c>
      <c r="P505" s="1" t="s">
        <v>68</v>
      </c>
      <c r="Q505" s="1">
        <v>13</v>
      </c>
      <c r="R505" s="1">
        <v>0</v>
      </c>
      <c r="S505" s="1">
        <v>0</v>
      </c>
      <c r="T505" s="1">
        <v>13</v>
      </c>
      <c r="U505" s="1">
        <v>0</v>
      </c>
      <c r="V505" s="1" t="str">
        <f t="shared" si="65"/>
        <v>里程返程</v>
      </c>
      <c r="W505" s="1" t="s">
        <v>29</v>
      </c>
    </row>
    <row r="506" spans="1:23" x14ac:dyDescent="0.3">
      <c r="A506" s="1" t="str">
        <f t="shared" si="68"/>
        <v>59809</v>
      </c>
      <c r="B506" s="1" t="s">
        <v>42</v>
      </c>
      <c r="C506" s="1" t="s">
        <v>43</v>
      </c>
      <c r="D506" s="1" t="str">
        <f t="shared" si="64"/>
        <v>9801</v>
      </c>
      <c r="E506" s="1" t="s">
        <v>25</v>
      </c>
      <c r="F506" s="1" t="str">
        <f>"30261F5C55880400468F74D84D102411"</f>
        <v>30261F5C55880400468F74D84D102411</v>
      </c>
      <c r="G506" s="1" t="s">
        <v>59</v>
      </c>
      <c r="H506" s="1" t="str">
        <f t="shared" si="71"/>
        <v>20220908</v>
      </c>
      <c r="I506" s="1" t="str">
        <f>"162604"</f>
        <v>162604</v>
      </c>
      <c r="J506" s="1" t="s">
        <v>44</v>
      </c>
      <c r="K506" s="1" t="s">
        <v>45</v>
      </c>
      <c r="L506" s="1" t="str">
        <f t="shared" si="72"/>
        <v>20220908</v>
      </c>
      <c r="M506" s="1" t="str">
        <f>"165150"</f>
        <v>165150</v>
      </c>
      <c r="N506" s="1" t="s">
        <v>84</v>
      </c>
      <c r="O506" s="1" t="s">
        <v>28</v>
      </c>
      <c r="P506" s="1" t="s">
        <v>55</v>
      </c>
      <c r="Q506" s="1">
        <v>25</v>
      </c>
      <c r="R506" s="1">
        <v>0</v>
      </c>
      <c r="S506" s="1">
        <v>25</v>
      </c>
      <c r="T506" s="1">
        <v>0</v>
      </c>
      <c r="U506" s="1">
        <v>0</v>
      </c>
      <c r="V506" s="1" t="str">
        <f t="shared" si="65"/>
        <v>里程返程</v>
      </c>
      <c r="W506" s="1" t="s">
        <v>29</v>
      </c>
    </row>
    <row r="507" spans="1:23" x14ac:dyDescent="0.3">
      <c r="A507" s="1" t="str">
        <f t="shared" si="68"/>
        <v>59809</v>
      </c>
      <c r="B507" s="1" t="s">
        <v>42</v>
      </c>
      <c r="C507" s="1" t="s">
        <v>43</v>
      </c>
      <c r="D507" s="1" t="str">
        <f t="shared" si="64"/>
        <v>9801</v>
      </c>
      <c r="E507" s="1" t="s">
        <v>25</v>
      </c>
      <c r="F507" s="1" t="str">
        <f>"1106211637"</f>
        <v>1106211637</v>
      </c>
      <c r="G507" s="1" t="s">
        <v>33</v>
      </c>
      <c r="H507" s="1" t="str">
        <f t="shared" si="71"/>
        <v>20220908</v>
      </c>
      <c r="I507" s="1" t="str">
        <f>"162615"</f>
        <v>162615</v>
      </c>
      <c r="J507" s="1" t="s">
        <v>44</v>
      </c>
      <c r="K507" s="1" t="s">
        <v>45</v>
      </c>
      <c r="L507" s="1" t="str">
        <f t="shared" si="72"/>
        <v>20220908</v>
      </c>
      <c r="M507" s="1" t="str">
        <f>"163616"</f>
        <v>163616</v>
      </c>
      <c r="N507" s="1" t="s">
        <v>91</v>
      </c>
      <c r="O507" s="1" t="s">
        <v>45</v>
      </c>
      <c r="P507" s="1" t="s">
        <v>55</v>
      </c>
      <c r="Q507" s="1">
        <v>25</v>
      </c>
      <c r="R507" s="1">
        <v>25</v>
      </c>
      <c r="S507" s="1">
        <v>0</v>
      </c>
      <c r="T507" s="1">
        <v>0</v>
      </c>
      <c r="U507" s="1">
        <v>0</v>
      </c>
      <c r="V507" s="1" t="str">
        <f t="shared" si="65"/>
        <v>里程返程</v>
      </c>
      <c r="W507" s="1" t="s">
        <v>35</v>
      </c>
    </row>
    <row r="508" spans="1:23" x14ac:dyDescent="0.3">
      <c r="A508" s="1" t="str">
        <f t="shared" si="68"/>
        <v>59809</v>
      </c>
      <c r="B508" s="1" t="s">
        <v>42</v>
      </c>
      <c r="C508" s="1" t="s">
        <v>43</v>
      </c>
      <c r="D508" s="1" t="str">
        <f t="shared" si="64"/>
        <v>9801</v>
      </c>
      <c r="E508" s="1" t="s">
        <v>25</v>
      </c>
      <c r="F508" s="1" t="str">
        <f>"215348806"</f>
        <v>215348806</v>
      </c>
      <c r="G508" s="1" t="s">
        <v>33</v>
      </c>
      <c r="H508" s="1" t="str">
        <f t="shared" si="71"/>
        <v>20220908</v>
      </c>
      <c r="I508" s="1" t="str">
        <f>"162618"</f>
        <v>162618</v>
      </c>
      <c r="J508" s="1" t="s">
        <v>44</v>
      </c>
      <c r="K508" s="1" t="s">
        <v>45</v>
      </c>
      <c r="L508" s="1" t="str">
        <f t="shared" si="72"/>
        <v>20220908</v>
      </c>
      <c r="M508" s="1" t="str">
        <f>"163614"</f>
        <v>163614</v>
      </c>
      <c r="N508" s="1" t="s">
        <v>91</v>
      </c>
      <c r="O508" s="1" t="s">
        <v>45</v>
      </c>
      <c r="P508" s="1" t="s">
        <v>55</v>
      </c>
      <c r="Q508" s="1">
        <v>25</v>
      </c>
      <c r="R508" s="1">
        <v>25</v>
      </c>
      <c r="S508" s="1">
        <v>0</v>
      </c>
      <c r="T508" s="1">
        <v>0</v>
      </c>
      <c r="U508" s="1">
        <v>0</v>
      </c>
      <c r="V508" s="1" t="str">
        <f t="shared" si="65"/>
        <v>里程返程</v>
      </c>
      <c r="W508" s="1" t="s">
        <v>35</v>
      </c>
    </row>
    <row r="509" spans="1:23" x14ac:dyDescent="0.3">
      <c r="A509" s="1" t="str">
        <f t="shared" si="68"/>
        <v>59809</v>
      </c>
      <c r="B509" s="1" t="s">
        <v>42</v>
      </c>
      <c r="C509" s="1" t="s">
        <v>43</v>
      </c>
      <c r="D509" s="1" t="str">
        <f t="shared" si="64"/>
        <v>9801</v>
      </c>
      <c r="E509" s="1" t="s">
        <v>25</v>
      </c>
      <c r="F509" s="1" t="str">
        <f>"951251349"</f>
        <v>951251349</v>
      </c>
      <c r="G509" s="1" t="s">
        <v>74</v>
      </c>
      <c r="H509" s="1" t="str">
        <f t="shared" si="71"/>
        <v>20220908</v>
      </c>
      <c r="I509" s="1" t="str">
        <f>"162621"</f>
        <v>162621</v>
      </c>
      <c r="J509" s="1" t="s">
        <v>44</v>
      </c>
      <c r="K509" s="1" t="s">
        <v>45</v>
      </c>
      <c r="L509" s="1" t="str">
        <f t="shared" si="72"/>
        <v>20220908</v>
      </c>
      <c r="M509" s="1" t="str">
        <f>"163603"</f>
        <v>163603</v>
      </c>
      <c r="N509" s="1" t="s">
        <v>91</v>
      </c>
      <c r="O509" s="1" t="s">
        <v>45</v>
      </c>
      <c r="P509" s="1" t="s">
        <v>55</v>
      </c>
      <c r="Q509" s="1">
        <v>13</v>
      </c>
      <c r="R509" s="1">
        <v>0</v>
      </c>
      <c r="S509" s="1">
        <v>13</v>
      </c>
      <c r="T509" s="1">
        <v>0</v>
      </c>
      <c r="U509" s="1">
        <v>0</v>
      </c>
      <c r="V509" s="1" t="str">
        <f t="shared" si="65"/>
        <v>里程返程</v>
      </c>
      <c r="W509" s="1" t="s">
        <v>35</v>
      </c>
    </row>
    <row r="510" spans="1:23" x14ac:dyDescent="0.3">
      <c r="A510" s="1" t="str">
        <f t="shared" si="68"/>
        <v>59809</v>
      </c>
      <c r="B510" s="1" t="s">
        <v>42</v>
      </c>
      <c r="C510" s="1" t="s">
        <v>43</v>
      </c>
      <c r="D510" s="1" t="str">
        <f t="shared" si="64"/>
        <v>9801</v>
      </c>
      <c r="E510" s="1" t="s">
        <v>25</v>
      </c>
      <c r="F510" s="1" t="str">
        <f>"1741442421"</f>
        <v>1741442421</v>
      </c>
      <c r="G510" s="1" t="s">
        <v>102</v>
      </c>
      <c r="H510" s="1" t="str">
        <f t="shared" si="71"/>
        <v>20220908</v>
      </c>
      <c r="I510" s="1" t="str">
        <f>"162623"</f>
        <v>162623</v>
      </c>
      <c r="J510" s="1" t="s">
        <v>44</v>
      </c>
      <c r="K510" s="1" t="s">
        <v>45</v>
      </c>
      <c r="L510" s="1" t="str">
        <f t="shared" si="72"/>
        <v>20220908</v>
      </c>
      <c r="M510" s="1" t="str">
        <f>"163606"</f>
        <v>163606</v>
      </c>
      <c r="N510" s="1" t="s">
        <v>91</v>
      </c>
      <c r="O510" s="1" t="s">
        <v>45</v>
      </c>
      <c r="P510" s="1" t="s">
        <v>55</v>
      </c>
      <c r="Q510" s="1">
        <v>13</v>
      </c>
      <c r="R510" s="1">
        <v>13</v>
      </c>
      <c r="S510" s="1">
        <v>0</v>
      </c>
      <c r="T510" s="1">
        <v>0</v>
      </c>
      <c r="U510" s="1">
        <v>0</v>
      </c>
      <c r="V510" s="1" t="str">
        <f t="shared" si="65"/>
        <v>里程返程</v>
      </c>
      <c r="W510" s="1" t="s">
        <v>35</v>
      </c>
    </row>
    <row r="511" spans="1:23" x14ac:dyDescent="0.3">
      <c r="A511" s="1" t="str">
        <f t="shared" si="68"/>
        <v>59809</v>
      </c>
      <c r="B511" s="1" t="s">
        <v>42</v>
      </c>
      <c r="C511" s="1" t="s">
        <v>43</v>
      </c>
      <c r="D511" s="1" t="str">
        <f t="shared" si="64"/>
        <v>9801</v>
      </c>
      <c r="E511" s="1" t="s">
        <v>25</v>
      </c>
      <c r="F511" s="1" t="str">
        <f>"3022637810"</f>
        <v>3022637810</v>
      </c>
      <c r="G511" s="1" t="s">
        <v>33</v>
      </c>
      <c r="H511" s="1" t="str">
        <f t="shared" si="71"/>
        <v>20220908</v>
      </c>
      <c r="I511" s="1" t="str">
        <f>"163441"</f>
        <v>163441</v>
      </c>
      <c r="J511" s="1" t="s">
        <v>100</v>
      </c>
      <c r="K511" s="1" t="s">
        <v>45</v>
      </c>
      <c r="L511" s="1" t="str">
        <f t="shared" si="72"/>
        <v>20220908</v>
      </c>
      <c r="M511" s="1" t="str">
        <f>"165147"</f>
        <v>165147</v>
      </c>
      <c r="N511" s="1" t="s">
        <v>84</v>
      </c>
      <c r="O511" s="1" t="s">
        <v>28</v>
      </c>
      <c r="P511" s="1" t="s">
        <v>55</v>
      </c>
      <c r="Q511" s="1">
        <v>25</v>
      </c>
      <c r="R511" s="1">
        <v>25</v>
      </c>
      <c r="S511" s="1">
        <v>0</v>
      </c>
      <c r="T511" s="1">
        <v>0</v>
      </c>
      <c r="U511" s="1">
        <v>0</v>
      </c>
      <c r="V511" s="1" t="str">
        <f t="shared" si="65"/>
        <v>里程返程</v>
      </c>
      <c r="W511" s="1" t="s">
        <v>35</v>
      </c>
    </row>
    <row r="512" spans="1:23" x14ac:dyDescent="0.3">
      <c r="A512" s="1" t="str">
        <f t="shared" si="68"/>
        <v>59809</v>
      </c>
      <c r="B512" s="1" t="s">
        <v>42</v>
      </c>
      <c r="C512" s="1" t="s">
        <v>43</v>
      </c>
      <c r="D512" s="1" t="str">
        <f t="shared" si="64"/>
        <v>9801</v>
      </c>
      <c r="E512" s="1" t="s">
        <v>25</v>
      </c>
      <c r="F512" s="1" t="str">
        <f>"81291869D92804001C00000000000000"</f>
        <v>81291869D92804001C00000000000000</v>
      </c>
      <c r="G512" s="1" t="s">
        <v>58</v>
      </c>
      <c r="H512" s="1" t="str">
        <f t="shared" si="71"/>
        <v>20220908</v>
      </c>
      <c r="I512" s="1" t="str">
        <f>"164018"</f>
        <v>164018</v>
      </c>
      <c r="J512" s="1" t="s">
        <v>56</v>
      </c>
      <c r="K512" s="1" t="s">
        <v>45</v>
      </c>
      <c r="L512" s="1" t="str">
        <f t="shared" si="72"/>
        <v>20220908</v>
      </c>
      <c r="M512" s="1" t="str">
        <f>"165155"</f>
        <v>165155</v>
      </c>
      <c r="N512" s="1" t="s">
        <v>84</v>
      </c>
      <c r="O512" s="1" t="s">
        <v>28</v>
      </c>
      <c r="P512" s="1" t="s">
        <v>55</v>
      </c>
      <c r="Q512" s="1">
        <v>25</v>
      </c>
      <c r="R512" s="1">
        <v>25</v>
      </c>
      <c r="S512" s="1">
        <v>0</v>
      </c>
      <c r="T512" s="1">
        <v>0</v>
      </c>
      <c r="U512" s="1">
        <v>0</v>
      </c>
      <c r="V512" s="1" t="str">
        <f t="shared" si="65"/>
        <v>里程返程</v>
      </c>
      <c r="W512" s="1" t="s">
        <v>29</v>
      </c>
    </row>
    <row r="513" spans="1:23" x14ac:dyDescent="0.3">
      <c r="A513" s="1" t="str">
        <f t="shared" si="68"/>
        <v>59809</v>
      </c>
      <c r="B513" s="1" t="s">
        <v>42</v>
      </c>
      <c r="C513" s="1" t="s">
        <v>43</v>
      </c>
      <c r="D513" s="1" t="str">
        <f t="shared" si="64"/>
        <v>9801</v>
      </c>
      <c r="E513" s="1" t="s">
        <v>25</v>
      </c>
      <c r="F513" s="1" t="str">
        <f>"814099985"</f>
        <v>814099985</v>
      </c>
      <c r="G513" s="1" t="s">
        <v>26</v>
      </c>
      <c r="H513" s="1" t="str">
        <f t="shared" si="71"/>
        <v>20220908</v>
      </c>
      <c r="I513" s="1" t="str">
        <f>"165227"</f>
        <v>165227</v>
      </c>
      <c r="J513" s="1" t="s">
        <v>85</v>
      </c>
      <c r="K513" s="1" t="s">
        <v>28</v>
      </c>
      <c r="L513" s="1" t="str">
        <f t="shared" si="72"/>
        <v>20220908</v>
      </c>
      <c r="M513" s="1" t="str">
        <f>"170639"</f>
        <v>170639</v>
      </c>
      <c r="N513" s="1" t="s">
        <v>69</v>
      </c>
      <c r="O513" s="1" t="s">
        <v>52</v>
      </c>
      <c r="P513" s="1" t="s">
        <v>55</v>
      </c>
      <c r="Q513" s="1">
        <v>13</v>
      </c>
      <c r="R513" s="1">
        <v>0</v>
      </c>
      <c r="S513" s="1">
        <v>13</v>
      </c>
      <c r="T513" s="1">
        <v>0</v>
      </c>
      <c r="U513" s="1">
        <v>0</v>
      </c>
      <c r="V513" s="1" t="str">
        <f t="shared" si="65"/>
        <v>里程返程</v>
      </c>
      <c r="W513" s="1" t="s">
        <v>35</v>
      </c>
    </row>
    <row r="514" spans="1:23" x14ac:dyDescent="0.3">
      <c r="A514" s="1" t="str">
        <f t="shared" si="68"/>
        <v>59809</v>
      </c>
      <c r="B514" s="1" t="s">
        <v>42</v>
      </c>
      <c r="C514" s="1" t="s">
        <v>43</v>
      </c>
      <c r="D514" s="1" t="str">
        <f t="shared" ref="D514:D577" si="73">"9801"</f>
        <v>9801</v>
      </c>
      <c r="E514" s="1" t="s">
        <v>25</v>
      </c>
      <c r="F514" s="1" t="str">
        <f>"252079535"</f>
        <v>252079535</v>
      </c>
      <c r="G514" s="1" t="s">
        <v>26</v>
      </c>
      <c r="H514" s="1" t="str">
        <f t="shared" si="71"/>
        <v>20220908</v>
      </c>
      <c r="I514" s="1" t="str">
        <f>"165230"</f>
        <v>165230</v>
      </c>
      <c r="J514" s="1" t="s">
        <v>85</v>
      </c>
      <c r="K514" s="1" t="s">
        <v>28</v>
      </c>
      <c r="L514" s="1" t="str">
        <f t="shared" si="72"/>
        <v>20220908</v>
      </c>
      <c r="M514" s="1" t="str">
        <f>"170636"</f>
        <v>170636</v>
      </c>
      <c r="N514" s="1" t="s">
        <v>69</v>
      </c>
      <c r="O514" s="1" t="s">
        <v>52</v>
      </c>
      <c r="P514" s="1" t="s">
        <v>55</v>
      </c>
      <c r="Q514" s="1">
        <v>13</v>
      </c>
      <c r="R514" s="1">
        <v>0</v>
      </c>
      <c r="S514" s="1">
        <v>13</v>
      </c>
      <c r="T514" s="1">
        <v>0</v>
      </c>
      <c r="U514" s="1">
        <v>0</v>
      </c>
      <c r="V514" s="1" t="str">
        <f t="shared" ref="V514:V577" si="74">"里程返程"</f>
        <v>里程返程</v>
      </c>
      <c r="W514" s="1" t="s">
        <v>35</v>
      </c>
    </row>
    <row r="515" spans="1:23" x14ac:dyDescent="0.3">
      <c r="A515" s="1" t="str">
        <f t="shared" ref="A515:A543" si="75">"59822"</f>
        <v>59822</v>
      </c>
      <c r="B515" s="1" t="s">
        <v>39</v>
      </c>
      <c r="C515" s="1" t="s">
        <v>40</v>
      </c>
      <c r="D515" s="1" t="str">
        <f t="shared" si="73"/>
        <v>9801</v>
      </c>
      <c r="E515" s="1" t="s">
        <v>25</v>
      </c>
      <c r="F515" s="1" t="str">
        <f>"F29BD102BA880400C834002000000015"</f>
        <v>F29BD102BA880400C834002000000015</v>
      </c>
      <c r="G515" s="1" t="s">
        <v>26</v>
      </c>
      <c r="H515" s="1" t="str">
        <f t="shared" si="71"/>
        <v>20220908</v>
      </c>
      <c r="I515" s="1" t="str">
        <f>"083206"</f>
        <v>083206</v>
      </c>
      <c r="J515" s="1" t="s">
        <v>44</v>
      </c>
      <c r="K515" s="1" t="s">
        <v>45</v>
      </c>
      <c r="L515" s="1" t="str">
        <f t="shared" si="72"/>
        <v>20220908</v>
      </c>
      <c r="M515" s="1" t="str">
        <f>"085040"</f>
        <v>085040</v>
      </c>
      <c r="N515" s="1" t="s">
        <v>28</v>
      </c>
      <c r="O515" s="1" t="s">
        <v>28</v>
      </c>
      <c r="P515" s="1" t="s">
        <v>68</v>
      </c>
      <c r="Q515" s="1">
        <v>13</v>
      </c>
      <c r="R515" s="1">
        <v>0</v>
      </c>
      <c r="S515" s="1">
        <v>0</v>
      </c>
      <c r="T515" s="1">
        <v>13</v>
      </c>
      <c r="U515" s="1">
        <v>0</v>
      </c>
      <c r="V515" s="1" t="str">
        <f t="shared" si="74"/>
        <v>里程返程</v>
      </c>
      <c r="W515" s="1" t="s">
        <v>29</v>
      </c>
    </row>
    <row r="516" spans="1:23" x14ac:dyDescent="0.3">
      <c r="A516" s="1" t="str">
        <f t="shared" si="75"/>
        <v>59822</v>
      </c>
      <c r="B516" s="1" t="s">
        <v>39</v>
      </c>
      <c r="C516" s="1" t="s">
        <v>40</v>
      </c>
      <c r="D516" s="1" t="str">
        <f t="shared" si="73"/>
        <v>9801</v>
      </c>
      <c r="E516" s="1" t="s">
        <v>25</v>
      </c>
      <c r="F516" s="1" t="str">
        <f>"1843561681"</f>
        <v>1843561681</v>
      </c>
      <c r="G516" s="1" t="s">
        <v>33</v>
      </c>
      <c r="H516" s="1" t="str">
        <f t="shared" si="71"/>
        <v>20220908</v>
      </c>
      <c r="I516" s="1" t="str">
        <f>"084148"</f>
        <v>084148</v>
      </c>
      <c r="J516" s="1" t="s">
        <v>61</v>
      </c>
      <c r="K516" s="1" t="s">
        <v>45</v>
      </c>
      <c r="L516" s="1" t="str">
        <f t="shared" si="72"/>
        <v>20220908</v>
      </c>
      <c r="M516" s="1" t="str">
        <f>"085057"</f>
        <v>085057</v>
      </c>
      <c r="N516" s="1" t="s">
        <v>28</v>
      </c>
      <c r="O516" s="1" t="s">
        <v>28</v>
      </c>
      <c r="P516" s="1" t="s">
        <v>55</v>
      </c>
      <c r="Q516" s="1">
        <v>25</v>
      </c>
      <c r="R516" s="1">
        <v>25</v>
      </c>
      <c r="S516" s="1">
        <v>0</v>
      </c>
      <c r="T516" s="1">
        <v>0</v>
      </c>
      <c r="U516" s="1">
        <v>0</v>
      </c>
      <c r="V516" s="1" t="str">
        <f t="shared" si="74"/>
        <v>里程返程</v>
      </c>
      <c r="W516" s="1" t="s">
        <v>35</v>
      </c>
    </row>
    <row r="517" spans="1:23" x14ac:dyDescent="0.3">
      <c r="A517" s="1" t="str">
        <f t="shared" si="75"/>
        <v>59822</v>
      </c>
      <c r="B517" s="1" t="s">
        <v>39</v>
      </c>
      <c r="C517" s="1" t="s">
        <v>40</v>
      </c>
      <c r="D517" s="1" t="str">
        <f t="shared" si="73"/>
        <v>9801</v>
      </c>
      <c r="E517" s="1" t="s">
        <v>25</v>
      </c>
      <c r="F517" s="1" t="str">
        <f>"285817872"</f>
        <v>285817872</v>
      </c>
      <c r="G517" s="1" t="s">
        <v>33</v>
      </c>
      <c r="H517" s="1" t="str">
        <f t="shared" si="71"/>
        <v>20220908</v>
      </c>
      <c r="I517" s="1" t="str">
        <f>"095314"</f>
        <v>095314</v>
      </c>
      <c r="J517" s="1" t="s">
        <v>28</v>
      </c>
      <c r="K517" s="1" t="s">
        <v>28</v>
      </c>
      <c r="L517" s="1" t="str">
        <f t="shared" si="72"/>
        <v>20220908</v>
      </c>
      <c r="M517" s="1" t="str">
        <f>"101723"</f>
        <v>101723</v>
      </c>
      <c r="N517" s="1" t="s">
        <v>60</v>
      </c>
      <c r="O517" s="1" t="s">
        <v>52</v>
      </c>
      <c r="P517" s="1" t="s">
        <v>55</v>
      </c>
      <c r="Q517" s="1">
        <v>25</v>
      </c>
      <c r="R517" s="1">
        <v>0</v>
      </c>
      <c r="S517" s="1">
        <v>25</v>
      </c>
      <c r="T517" s="1">
        <v>0</v>
      </c>
      <c r="U517" s="1">
        <v>0</v>
      </c>
      <c r="V517" s="1" t="str">
        <f t="shared" si="74"/>
        <v>里程返程</v>
      </c>
      <c r="W517" s="1" t="s">
        <v>35</v>
      </c>
    </row>
    <row r="518" spans="1:23" x14ac:dyDescent="0.3">
      <c r="A518" s="1" t="str">
        <f t="shared" si="75"/>
        <v>59822</v>
      </c>
      <c r="B518" s="1" t="s">
        <v>39</v>
      </c>
      <c r="C518" s="1" t="s">
        <v>40</v>
      </c>
      <c r="D518" s="1" t="str">
        <f t="shared" si="73"/>
        <v>9801</v>
      </c>
      <c r="E518" s="1" t="s">
        <v>25</v>
      </c>
      <c r="F518" s="1" t="str">
        <f>"637592050"</f>
        <v>637592050</v>
      </c>
      <c r="G518" s="1" t="s">
        <v>33</v>
      </c>
      <c r="H518" s="1" t="str">
        <f t="shared" si="71"/>
        <v>20220908</v>
      </c>
      <c r="I518" s="1" t="str">
        <f>"095318"</f>
        <v>095318</v>
      </c>
      <c r="J518" s="1" t="s">
        <v>28</v>
      </c>
      <c r="K518" s="1" t="s">
        <v>28</v>
      </c>
      <c r="L518" s="1" t="str">
        <f t="shared" si="72"/>
        <v>20220908</v>
      </c>
      <c r="M518" s="1" t="str">
        <f>"102056"</f>
        <v>102056</v>
      </c>
      <c r="N518" s="1" t="s">
        <v>52</v>
      </c>
      <c r="O518" s="1" t="s">
        <v>52</v>
      </c>
      <c r="P518" s="1" t="s">
        <v>55</v>
      </c>
      <c r="Q518" s="1">
        <v>25</v>
      </c>
      <c r="R518" s="1">
        <v>25</v>
      </c>
      <c r="S518" s="1">
        <v>0</v>
      </c>
      <c r="T518" s="1">
        <v>0</v>
      </c>
      <c r="U518" s="1">
        <v>0</v>
      </c>
      <c r="V518" s="1" t="str">
        <f t="shared" si="74"/>
        <v>里程返程</v>
      </c>
      <c r="W518" s="1" t="s">
        <v>35</v>
      </c>
    </row>
    <row r="519" spans="1:23" x14ac:dyDescent="0.3">
      <c r="A519" s="1" t="str">
        <f t="shared" si="75"/>
        <v>59822</v>
      </c>
      <c r="B519" s="1" t="s">
        <v>39</v>
      </c>
      <c r="C519" s="1" t="s">
        <v>40</v>
      </c>
      <c r="D519" s="1" t="str">
        <f t="shared" si="73"/>
        <v>9801</v>
      </c>
      <c r="E519" s="1" t="s">
        <v>25</v>
      </c>
      <c r="F519" s="1" t="str">
        <f>"211863265"</f>
        <v>211863265</v>
      </c>
      <c r="G519" s="1" t="s">
        <v>33</v>
      </c>
      <c r="H519" s="1" t="str">
        <f t="shared" si="71"/>
        <v>20220908</v>
      </c>
      <c r="I519" s="1" t="str">
        <f>"095321"</f>
        <v>095321</v>
      </c>
      <c r="J519" s="1" t="s">
        <v>28</v>
      </c>
      <c r="K519" s="1" t="s">
        <v>28</v>
      </c>
      <c r="L519" s="1" t="str">
        <f t="shared" si="72"/>
        <v>20220908</v>
      </c>
      <c r="M519" s="1" t="str">
        <f>"100200"</f>
        <v>100200</v>
      </c>
      <c r="N519" s="1" t="s">
        <v>83</v>
      </c>
      <c r="O519" s="1" t="s">
        <v>52</v>
      </c>
      <c r="P519" s="1" t="s">
        <v>55</v>
      </c>
      <c r="Q519" s="1">
        <v>25</v>
      </c>
      <c r="R519" s="1">
        <v>25</v>
      </c>
      <c r="S519" s="1">
        <v>0</v>
      </c>
      <c r="T519" s="1">
        <v>0</v>
      </c>
      <c r="U519" s="1">
        <v>0</v>
      </c>
      <c r="V519" s="1" t="str">
        <f t="shared" si="74"/>
        <v>里程返程</v>
      </c>
      <c r="W519" s="1" t="s">
        <v>35</v>
      </c>
    </row>
    <row r="520" spans="1:23" x14ac:dyDescent="0.3">
      <c r="A520" s="1" t="str">
        <f t="shared" si="75"/>
        <v>59822</v>
      </c>
      <c r="B520" s="1" t="s">
        <v>39</v>
      </c>
      <c r="C520" s="1" t="s">
        <v>40</v>
      </c>
      <c r="D520" s="1" t="str">
        <f t="shared" si="73"/>
        <v>9801</v>
      </c>
      <c r="E520" s="1" t="s">
        <v>25</v>
      </c>
      <c r="F520" s="1" t="str">
        <f>"3603658323"</f>
        <v>3603658323</v>
      </c>
      <c r="G520" s="1" t="s">
        <v>33</v>
      </c>
      <c r="H520" s="1" t="str">
        <f t="shared" si="71"/>
        <v>20220908</v>
      </c>
      <c r="I520" s="1" t="str">
        <f>"095325"</f>
        <v>095325</v>
      </c>
      <c r="J520" s="1" t="s">
        <v>28</v>
      </c>
      <c r="K520" s="1" t="s">
        <v>28</v>
      </c>
      <c r="L520" s="1" t="str">
        <f t="shared" si="72"/>
        <v>20220908</v>
      </c>
      <c r="M520" s="1" t="str">
        <f>"102102"</f>
        <v>102102</v>
      </c>
      <c r="N520" s="1" t="s">
        <v>52</v>
      </c>
      <c r="O520" s="1" t="s">
        <v>52</v>
      </c>
      <c r="P520" s="1" t="s">
        <v>55</v>
      </c>
      <c r="Q520" s="1">
        <v>25</v>
      </c>
      <c r="R520" s="1">
        <v>25</v>
      </c>
      <c r="S520" s="1">
        <v>0</v>
      </c>
      <c r="T520" s="1">
        <v>0</v>
      </c>
      <c r="U520" s="1">
        <v>0</v>
      </c>
      <c r="V520" s="1" t="str">
        <f t="shared" si="74"/>
        <v>里程返程</v>
      </c>
      <c r="W520" s="1" t="s">
        <v>35</v>
      </c>
    </row>
    <row r="521" spans="1:23" x14ac:dyDescent="0.3">
      <c r="A521" s="1" t="str">
        <f t="shared" si="75"/>
        <v>59822</v>
      </c>
      <c r="B521" s="1" t="s">
        <v>39</v>
      </c>
      <c r="C521" s="1" t="s">
        <v>40</v>
      </c>
      <c r="D521" s="1" t="str">
        <f t="shared" si="73"/>
        <v>9801</v>
      </c>
      <c r="E521" s="1" t="s">
        <v>25</v>
      </c>
      <c r="F521" s="1" t="str">
        <f>"723C61042B880400C838002000000015"</f>
        <v>723C61042B880400C838002000000015</v>
      </c>
      <c r="G521" s="1" t="s">
        <v>58</v>
      </c>
      <c r="H521" s="1" t="str">
        <f t="shared" si="71"/>
        <v>20220908</v>
      </c>
      <c r="I521" s="1" t="str">
        <f>"095331"</f>
        <v>095331</v>
      </c>
      <c r="J521" s="1" t="s">
        <v>28</v>
      </c>
      <c r="K521" s="1" t="s">
        <v>28</v>
      </c>
      <c r="L521" s="1" t="str">
        <f t="shared" si="72"/>
        <v>20220908</v>
      </c>
      <c r="M521" s="1" t="str">
        <f>"101230"</f>
        <v>101230</v>
      </c>
      <c r="N521" s="1" t="s">
        <v>65</v>
      </c>
      <c r="O521" s="1" t="s">
        <v>52</v>
      </c>
      <c r="P521" s="1" t="s">
        <v>55</v>
      </c>
      <c r="Q521" s="1">
        <v>25</v>
      </c>
      <c r="R521" s="1">
        <v>25</v>
      </c>
      <c r="S521" s="1">
        <v>0</v>
      </c>
      <c r="T521" s="1">
        <v>0</v>
      </c>
      <c r="U521" s="1">
        <v>0</v>
      </c>
      <c r="V521" s="1" t="str">
        <f t="shared" si="74"/>
        <v>里程返程</v>
      </c>
      <c r="W521" s="1" t="s">
        <v>29</v>
      </c>
    </row>
    <row r="522" spans="1:23" x14ac:dyDescent="0.3">
      <c r="A522" s="1" t="str">
        <f t="shared" si="75"/>
        <v>59822</v>
      </c>
      <c r="B522" s="1" t="s">
        <v>39</v>
      </c>
      <c r="C522" s="1" t="s">
        <v>40</v>
      </c>
      <c r="D522" s="1" t="str">
        <f t="shared" si="73"/>
        <v>9801</v>
      </c>
      <c r="E522" s="1" t="s">
        <v>25</v>
      </c>
      <c r="F522" s="1" t="str">
        <f>"85F9C75FE4880400C821002000000014"</f>
        <v>85F9C75FE4880400C821002000000014</v>
      </c>
      <c r="G522" s="1" t="s">
        <v>64</v>
      </c>
      <c r="H522" s="1" t="str">
        <f t="shared" si="71"/>
        <v>20220908</v>
      </c>
      <c r="I522" s="1" t="str">
        <f>"095341"</f>
        <v>095341</v>
      </c>
      <c r="J522" s="1" t="s">
        <v>28</v>
      </c>
      <c r="K522" s="1" t="s">
        <v>28</v>
      </c>
      <c r="L522" s="1" t="str">
        <f t="shared" si="72"/>
        <v>20220908</v>
      </c>
      <c r="M522" s="1" t="str">
        <f>"102105"</f>
        <v>102105</v>
      </c>
      <c r="N522" s="1" t="s">
        <v>52</v>
      </c>
      <c r="O522" s="1" t="s">
        <v>52</v>
      </c>
      <c r="P522" s="1" t="s">
        <v>55</v>
      </c>
      <c r="Q522" s="1">
        <v>13</v>
      </c>
      <c r="R522" s="1">
        <v>13</v>
      </c>
      <c r="S522" s="1">
        <v>0</v>
      </c>
      <c r="T522" s="1">
        <v>0</v>
      </c>
      <c r="U522" s="1">
        <v>0</v>
      </c>
      <c r="V522" s="1" t="str">
        <f t="shared" si="74"/>
        <v>里程返程</v>
      </c>
      <c r="W522" s="1" t="s">
        <v>29</v>
      </c>
    </row>
    <row r="523" spans="1:23" x14ac:dyDescent="0.3">
      <c r="A523" s="1" t="str">
        <f t="shared" si="75"/>
        <v>59822</v>
      </c>
      <c r="B523" s="1" t="s">
        <v>39</v>
      </c>
      <c r="C523" s="1" t="s">
        <v>40</v>
      </c>
      <c r="D523" s="1" t="str">
        <f t="shared" si="73"/>
        <v>9801</v>
      </c>
      <c r="E523" s="1" t="s">
        <v>25</v>
      </c>
      <c r="F523" s="1" t="str">
        <f>"987447221"</f>
        <v>987447221</v>
      </c>
      <c r="G523" s="1" t="s">
        <v>33</v>
      </c>
      <c r="H523" s="1" t="str">
        <f t="shared" si="71"/>
        <v>20220908</v>
      </c>
      <c r="I523" s="1" t="str">
        <f>"103942"</f>
        <v>103942</v>
      </c>
      <c r="J523" s="1" t="s">
        <v>75</v>
      </c>
      <c r="K523" s="1" t="s">
        <v>45</v>
      </c>
      <c r="L523" s="1" t="str">
        <f t="shared" si="72"/>
        <v>20220908</v>
      </c>
      <c r="M523" s="1" t="str">
        <f>"105110"</f>
        <v>105110</v>
      </c>
      <c r="N523" s="1" t="s">
        <v>28</v>
      </c>
      <c r="O523" s="1" t="s">
        <v>28</v>
      </c>
      <c r="P523" s="1" t="s">
        <v>55</v>
      </c>
      <c r="Q523" s="1">
        <v>25</v>
      </c>
      <c r="R523" s="1">
        <v>25</v>
      </c>
      <c r="S523" s="1">
        <v>0</v>
      </c>
      <c r="T523" s="1">
        <v>0</v>
      </c>
      <c r="U523" s="1">
        <v>0</v>
      </c>
      <c r="V523" s="1" t="str">
        <f t="shared" si="74"/>
        <v>里程返程</v>
      </c>
      <c r="W523" s="1" t="s">
        <v>35</v>
      </c>
    </row>
    <row r="524" spans="1:23" x14ac:dyDescent="0.3">
      <c r="A524" s="1" t="str">
        <f t="shared" si="75"/>
        <v>59822</v>
      </c>
      <c r="B524" s="1" t="s">
        <v>39</v>
      </c>
      <c r="C524" s="1" t="s">
        <v>40</v>
      </c>
      <c r="D524" s="1" t="str">
        <f t="shared" si="73"/>
        <v>9801</v>
      </c>
      <c r="E524" s="1" t="s">
        <v>25</v>
      </c>
      <c r="F524" s="1" t="str">
        <f>"796100817"</f>
        <v>796100817</v>
      </c>
      <c r="G524" s="1" t="s">
        <v>33</v>
      </c>
      <c r="H524" s="1" t="str">
        <f t="shared" si="71"/>
        <v>20220908</v>
      </c>
      <c r="I524" s="1" t="str">
        <f>"103944"</f>
        <v>103944</v>
      </c>
      <c r="J524" s="1" t="s">
        <v>75</v>
      </c>
      <c r="K524" s="1" t="s">
        <v>45</v>
      </c>
      <c r="L524" s="1" t="str">
        <f t="shared" si="72"/>
        <v>20220908</v>
      </c>
      <c r="M524" s="1" t="str">
        <f>"104428"</f>
        <v>104428</v>
      </c>
      <c r="N524" s="1" t="s">
        <v>79</v>
      </c>
      <c r="O524" s="1" t="s">
        <v>45</v>
      </c>
      <c r="P524" s="1" t="s">
        <v>55</v>
      </c>
      <c r="Q524" s="1">
        <v>25</v>
      </c>
      <c r="R524" s="1">
        <v>25</v>
      </c>
      <c r="S524" s="1">
        <v>0</v>
      </c>
      <c r="T524" s="1">
        <v>0</v>
      </c>
      <c r="U524" s="1">
        <v>0</v>
      </c>
      <c r="V524" s="1" t="str">
        <f t="shared" si="74"/>
        <v>里程返程</v>
      </c>
      <c r="W524" s="1" t="s">
        <v>35</v>
      </c>
    </row>
    <row r="525" spans="1:23" x14ac:dyDescent="0.3">
      <c r="A525" s="1" t="str">
        <f t="shared" si="75"/>
        <v>59822</v>
      </c>
      <c r="B525" s="1" t="s">
        <v>39</v>
      </c>
      <c r="C525" s="1" t="s">
        <v>40</v>
      </c>
      <c r="D525" s="1" t="str">
        <f t="shared" si="73"/>
        <v>9801</v>
      </c>
      <c r="E525" s="1" t="s">
        <v>25</v>
      </c>
      <c r="F525" s="1" t="str">
        <f>"B126CE6A332804001C00000000000000"</f>
        <v>B126CE6A332804001C00000000000000</v>
      </c>
      <c r="G525" s="1" t="s">
        <v>58</v>
      </c>
      <c r="H525" s="1" t="str">
        <f t="shared" si="71"/>
        <v>20220908</v>
      </c>
      <c r="I525" s="1" t="str">
        <f>"105124"</f>
        <v>105124</v>
      </c>
      <c r="J525" s="1" t="s">
        <v>28</v>
      </c>
      <c r="K525" s="1" t="s">
        <v>28</v>
      </c>
      <c r="L525" s="1" t="str">
        <f t="shared" si="72"/>
        <v>20220908</v>
      </c>
      <c r="M525" s="1" t="str">
        <f>"110234"</f>
        <v>110234</v>
      </c>
      <c r="N525" s="1" t="s">
        <v>84</v>
      </c>
      <c r="O525" s="1" t="s">
        <v>28</v>
      </c>
      <c r="P525" s="1" t="s">
        <v>55</v>
      </c>
      <c r="Q525" s="1">
        <v>25</v>
      </c>
      <c r="R525" s="1">
        <v>0</v>
      </c>
      <c r="S525" s="1">
        <v>25</v>
      </c>
      <c r="T525" s="1">
        <v>0</v>
      </c>
      <c r="U525" s="1">
        <v>0</v>
      </c>
      <c r="V525" s="1" t="str">
        <f t="shared" si="74"/>
        <v>里程返程</v>
      </c>
      <c r="W525" s="1" t="s">
        <v>29</v>
      </c>
    </row>
    <row r="526" spans="1:23" x14ac:dyDescent="0.3">
      <c r="A526" s="1" t="str">
        <f t="shared" si="75"/>
        <v>59822</v>
      </c>
      <c r="B526" s="1" t="s">
        <v>39</v>
      </c>
      <c r="C526" s="1" t="s">
        <v>40</v>
      </c>
      <c r="D526" s="1" t="str">
        <f t="shared" si="73"/>
        <v>9801</v>
      </c>
      <c r="E526" s="1" t="s">
        <v>25</v>
      </c>
      <c r="F526" s="1" t="str">
        <f>"82D53B167A880400C814002000000019"</f>
        <v>82D53B167A880400C814002000000019</v>
      </c>
      <c r="G526" s="1" t="s">
        <v>59</v>
      </c>
      <c r="H526" s="1" t="str">
        <f t="shared" si="71"/>
        <v>20220908</v>
      </c>
      <c r="I526" s="1" t="str">
        <f>"105140"</f>
        <v>105140</v>
      </c>
      <c r="J526" s="1" t="s">
        <v>28</v>
      </c>
      <c r="K526" s="1" t="s">
        <v>28</v>
      </c>
      <c r="L526" s="1" t="str">
        <f t="shared" si="72"/>
        <v>20220908</v>
      </c>
      <c r="M526" s="1" t="str">
        <f>"112658"</f>
        <v>112658</v>
      </c>
      <c r="N526" s="1" t="s">
        <v>52</v>
      </c>
      <c r="O526" s="1" t="s">
        <v>52</v>
      </c>
      <c r="P526" s="1" t="s">
        <v>55</v>
      </c>
      <c r="Q526" s="1">
        <v>25</v>
      </c>
      <c r="R526" s="1">
        <v>25</v>
      </c>
      <c r="S526" s="1">
        <v>0</v>
      </c>
      <c r="T526" s="1">
        <v>0</v>
      </c>
      <c r="U526" s="1">
        <v>0</v>
      </c>
      <c r="V526" s="1" t="str">
        <f t="shared" si="74"/>
        <v>里程返程</v>
      </c>
      <c r="W526" s="1" t="s">
        <v>29</v>
      </c>
    </row>
    <row r="527" spans="1:23" x14ac:dyDescent="0.3">
      <c r="A527" s="1" t="str">
        <f t="shared" si="75"/>
        <v>59822</v>
      </c>
      <c r="B527" s="1" t="s">
        <v>39</v>
      </c>
      <c r="C527" s="1" t="s">
        <v>40</v>
      </c>
      <c r="D527" s="1" t="str">
        <f t="shared" si="73"/>
        <v>9801</v>
      </c>
      <c r="E527" s="1" t="s">
        <v>25</v>
      </c>
      <c r="F527" s="1" t="str">
        <f>"255254385"</f>
        <v>255254385</v>
      </c>
      <c r="G527" s="1" t="s">
        <v>33</v>
      </c>
      <c r="H527" s="1" t="str">
        <f t="shared" si="71"/>
        <v>20220908</v>
      </c>
      <c r="I527" s="1" t="str">
        <f>"105150"</f>
        <v>105150</v>
      </c>
      <c r="J527" s="1" t="s">
        <v>28</v>
      </c>
      <c r="K527" s="1" t="s">
        <v>28</v>
      </c>
      <c r="L527" s="1" t="str">
        <f t="shared" si="72"/>
        <v>20220908</v>
      </c>
      <c r="M527" s="1" t="str">
        <f>"111749"</f>
        <v>111749</v>
      </c>
      <c r="N527" s="1" t="s">
        <v>65</v>
      </c>
      <c r="O527" s="1" t="s">
        <v>52</v>
      </c>
      <c r="P527" s="1" t="s">
        <v>55</v>
      </c>
      <c r="Q527" s="1">
        <v>25</v>
      </c>
      <c r="R527" s="1">
        <v>0</v>
      </c>
      <c r="S527" s="1">
        <v>25</v>
      </c>
      <c r="T527" s="1">
        <v>0</v>
      </c>
      <c r="U527" s="1">
        <v>0</v>
      </c>
      <c r="V527" s="1" t="str">
        <f t="shared" si="74"/>
        <v>里程返程</v>
      </c>
      <c r="W527" s="1" t="s">
        <v>35</v>
      </c>
    </row>
    <row r="528" spans="1:23" x14ac:dyDescent="0.3">
      <c r="A528" s="1" t="str">
        <f t="shared" si="75"/>
        <v>59822</v>
      </c>
      <c r="B528" s="1" t="s">
        <v>39</v>
      </c>
      <c r="C528" s="1" t="s">
        <v>40</v>
      </c>
      <c r="D528" s="1" t="str">
        <f t="shared" si="73"/>
        <v>9801</v>
      </c>
      <c r="E528" s="1" t="s">
        <v>25</v>
      </c>
      <c r="F528" s="1" t="str">
        <f>"1218018517"</f>
        <v>1218018517</v>
      </c>
      <c r="G528" s="1" t="s">
        <v>38</v>
      </c>
      <c r="H528" s="1" t="str">
        <f t="shared" si="71"/>
        <v>20220908</v>
      </c>
      <c r="I528" s="1" t="str">
        <f>"105157"</f>
        <v>105157</v>
      </c>
      <c r="J528" s="1" t="s">
        <v>28</v>
      </c>
      <c r="K528" s="1" t="s">
        <v>28</v>
      </c>
      <c r="L528" s="1" t="str">
        <f t="shared" si="72"/>
        <v>20220908</v>
      </c>
      <c r="M528" s="1" t="str">
        <f>"112640"</f>
        <v>112640</v>
      </c>
      <c r="N528" s="1" t="s">
        <v>52</v>
      </c>
      <c r="O528" s="1" t="s">
        <v>52</v>
      </c>
      <c r="P528" s="1" t="s">
        <v>55</v>
      </c>
      <c r="Q528" s="1">
        <v>25</v>
      </c>
      <c r="R528" s="1">
        <v>0</v>
      </c>
      <c r="S528" s="1">
        <v>25</v>
      </c>
      <c r="T528" s="1">
        <v>0</v>
      </c>
      <c r="U528" s="1">
        <v>0</v>
      </c>
      <c r="V528" s="1" t="str">
        <f t="shared" si="74"/>
        <v>里程返程</v>
      </c>
      <c r="W528" s="1" t="s">
        <v>35</v>
      </c>
    </row>
    <row r="529" spans="1:23" x14ac:dyDescent="0.3">
      <c r="A529" s="1" t="str">
        <f t="shared" si="75"/>
        <v>59822</v>
      </c>
      <c r="B529" s="1" t="s">
        <v>39</v>
      </c>
      <c r="C529" s="1" t="s">
        <v>40</v>
      </c>
      <c r="D529" s="1" t="str">
        <f t="shared" si="73"/>
        <v>9801</v>
      </c>
      <c r="E529" s="1" t="s">
        <v>25</v>
      </c>
      <c r="F529" s="1" t="str">
        <f>"893959765"</f>
        <v>893959765</v>
      </c>
      <c r="G529" s="1" t="s">
        <v>26</v>
      </c>
      <c r="H529" s="1" t="str">
        <f t="shared" si="71"/>
        <v>20220908</v>
      </c>
      <c r="I529" s="1" t="str">
        <f>"105630"</f>
        <v>105630</v>
      </c>
      <c r="J529" s="1" t="s">
        <v>28</v>
      </c>
      <c r="K529" s="1" t="s">
        <v>28</v>
      </c>
      <c r="L529" s="1" t="str">
        <f t="shared" si="72"/>
        <v>20220908</v>
      </c>
      <c r="M529" s="1" t="str">
        <f>"110307"</f>
        <v>110307</v>
      </c>
      <c r="N529" s="1" t="s">
        <v>84</v>
      </c>
      <c r="O529" s="1" t="s">
        <v>28</v>
      </c>
      <c r="P529" s="1" t="s">
        <v>55</v>
      </c>
      <c r="Q529" s="1">
        <v>13</v>
      </c>
      <c r="R529" s="1">
        <v>0</v>
      </c>
      <c r="S529" s="1">
        <v>13</v>
      </c>
      <c r="T529" s="1">
        <v>0</v>
      </c>
      <c r="U529" s="1">
        <v>0</v>
      </c>
      <c r="V529" s="1" t="str">
        <f t="shared" si="74"/>
        <v>里程返程</v>
      </c>
      <c r="W529" s="1" t="s">
        <v>35</v>
      </c>
    </row>
    <row r="530" spans="1:23" x14ac:dyDescent="0.3">
      <c r="A530" s="1" t="str">
        <f t="shared" si="75"/>
        <v>59822</v>
      </c>
      <c r="B530" s="1" t="s">
        <v>39</v>
      </c>
      <c r="C530" s="1" t="s">
        <v>40</v>
      </c>
      <c r="D530" s="1" t="str">
        <f t="shared" si="73"/>
        <v>9801</v>
      </c>
      <c r="E530" s="1" t="s">
        <v>25</v>
      </c>
      <c r="F530" s="1" t="str">
        <f>"186664769"</f>
        <v>186664769</v>
      </c>
      <c r="G530" s="1" t="s">
        <v>33</v>
      </c>
      <c r="H530" s="1" t="str">
        <f t="shared" si="71"/>
        <v>20220908</v>
      </c>
      <c r="I530" s="1" t="str">
        <f>"105657"</f>
        <v>105657</v>
      </c>
      <c r="J530" s="1" t="s">
        <v>28</v>
      </c>
      <c r="K530" s="1" t="s">
        <v>28</v>
      </c>
      <c r="L530" s="1" t="str">
        <f t="shared" si="72"/>
        <v>20220908</v>
      </c>
      <c r="M530" s="1" t="str">
        <f>"110454"</f>
        <v>110454</v>
      </c>
      <c r="N530" s="1" t="s">
        <v>83</v>
      </c>
      <c r="O530" s="1" t="s">
        <v>52</v>
      </c>
      <c r="P530" s="1" t="s">
        <v>55</v>
      </c>
      <c r="Q530" s="1">
        <v>25</v>
      </c>
      <c r="R530" s="1">
        <v>25</v>
      </c>
      <c r="S530" s="1">
        <v>0</v>
      </c>
      <c r="T530" s="1">
        <v>0</v>
      </c>
      <c r="U530" s="1">
        <v>0</v>
      </c>
      <c r="V530" s="1" t="str">
        <f t="shared" si="74"/>
        <v>里程返程</v>
      </c>
      <c r="W530" s="1" t="s">
        <v>35</v>
      </c>
    </row>
    <row r="531" spans="1:23" x14ac:dyDescent="0.3">
      <c r="A531" s="1" t="str">
        <f t="shared" si="75"/>
        <v>59822</v>
      </c>
      <c r="B531" s="1" t="s">
        <v>39</v>
      </c>
      <c r="C531" s="1" t="s">
        <v>40</v>
      </c>
      <c r="D531" s="1" t="str">
        <f t="shared" si="73"/>
        <v>9801</v>
      </c>
      <c r="E531" s="1" t="s">
        <v>25</v>
      </c>
      <c r="F531" s="1" t="str">
        <f>"1396348336"</f>
        <v>1396348336</v>
      </c>
      <c r="G531" s="1" t="s">
        <v>33</v>
      </c>
      <c r="H531" s="1" t="str">
        <f t="shared" ref="H531:H555" si="76">"20220908"</f>
        <v>20220908</v>
      </c>
      <c r="I531" s="1" t="str">
        <f>"105837"</f>
        <v>105837</v>
      </c>
      <c r="J531" s="1" t="s">
        <v>41</v>
      </c>
      <c r="K531" s="1" t="s">
        <v>28</v>
      </c>
      <c r="L531" s="1" t="str">
        <f t="shared" ref="L531:L555" si="77">"20220908"</f>
        <v>20220908</v>
      </c>
      <c r="M531" s="1" t="str">
        <f>"112655"</f>
        <v>112655</v>
      </c>
      <c r="N531" s="1" t="s">
        <v>52</v>
      </c>
      <c r="O531" s="1" t="s">
        <v>52</v>
      </c>
      <c r="P531" s="1" t="s">
        <v>55</v>
      </c>
      <c r="Q531" s="1">
        <v>25</v>
      </c>
      <c r="R531" s="1">
        <v>25</v>
      </c>
      <c r="S531" s="1">
        <v>0</v>
      </c>
      <c r="T531" s="1">
        <v>0</v>
      </c>
      <c r="U531" s="1">
        <v>0</v>
      </c>
      <c r="V531" s="1" t="str">
        <f t="shared" si="74"/>
        <v>里程返程</v>
      </c>
      <c r="W531" s="1" t="s">
        <v>35</v>
      </c>
    </row>
    <row r="532" spans="1:23" x14ac:dyDescent="0.3">
      <c r="A532" s="1" t="str">
        <f t="shared" si="75"/>
        <v>59822</v>
      </c>
      <c r="B532" s="1" t="s">
        <v>39</v>
      </c>
      <c r="C532" s="1" t="s">
        <v>40</v>
      </c>
      <c r="D532" s="1" t="str">
        <f t="shared" si="73"/>
        <v>9801</v>
      </c>
      <c r="E532" s="1" t="s">
        <v>25</v>
      </c>
      <c r="F532" s="1" t="str">
        <f>"211863265"</f>
        <v>211863265</v>
      </c>
      <c r="G532" s="1" t="s">
        <v>33</v>
      </c>
      <c r="H532" s="1" t="str">
        <f t="shared" si="76"/>
        <v>20220908</v>
      </c>
      <c r="I532" s="1" t="str">
        <f>"110502"</f>
        <v>110502</v>
      </c>
      <c r="J532" s="1" t="s">
        <v>83</v>
      </c>
      <c r="K532" s="1" t="s">
        <v>52</v>
      </c>
      <c r="L532" s="1" t="str">
        <f t="shared" si="77"/>
        <v>20220908</v>
      </c>
      <c r="M532" s="1" t="str">
        <f>"111358"</f>
        <v>111358</v>
      </c>
      <c r="N532" s="1" t="s">
        <v>80</v>
      </c>
      <c r="O532" s="1" t="s">
        <v>52</v>
      </c>
      <c r="P532" s="1" t="s">
        <v>55</v>
      </c>
      <c r="Q532" s="1">
        <v>25</v>
      </c>
      <c r="R532" s="1">
        <v>25</v>
      </c>
      <c r="S532" s="1">
        <v>0</v>
      </c>
      <c r="T532" s="1">
        <v>0</v>
      </c>
      <c r="U532" s="1">
        <v>0</v>
      </c>
      <c r="V532" s="1" t="str">
        <f t="shared" si="74"/>
        <v>里程返程</v>
      </c>
      <c r="W532" s="1" t="s">
        <v>35</v>
      </c>
    </row>
    <row r="533" spans="1:23" x14ac:dyDescent="0.3">
      <c r="A533" s="1" t="str">
        <f t="shared" si="75"/>
        <v>59822</v>
      </c>
      <c r="B533" s="1" t="s">
        <v>39</v>
      </c>
      <c r="C533" s="1" t="s">
        <v>40</v>
      </c>
      <c r="D533" s="1" t="str">
        <f t="shared" si="73"/>
        <v>9801</v>
      </c>
      <c r="E533" s="1" t="s">
        <v>25</v>
      </c>
      <c r="F533" s="1" t="str">
        <f>"1000129109"</f>
        <v>1000129109</v>
      </c>
      <c r="G533" s="1" t="s">
        <v>38</v>
      </c>
      <c r="H533" s="1" t="str">
        <f t="shared" si="76"/>
        <v>20220908</v>
      </c>
      <c r="I533" s="1" t="str">
        <f>"114244"</f>
        <v>114244</v>
      </c>
      <c r="J533" s="1" t="s">
        <v>75</v>
      </c>
      <c r="K533" s="1" t="s">
        <v>45</v>
      </c>
      <c r="L533" s="1" t="str">
        <f t="shared" si="77"/>
        <v>20220908</v>
      </c>
      <c r="M533" s="1" t="str">
        <f>"115607"</f>
        <v>115607</v>
      </c>
      <c r="N533" s="1" t="s">
        <v>28</v>
      </c>
      <c r="O533" s="1" t="s">
        <v>28</v>
      </c>
      <c r="P533" s="1" t="s">
        <v>55</v>
      </c>
      <c r="Q533" s="1">
        <v>25</v>
      </c>
      <c r="R533" s="1">
        <v>25</v>
      </c>
      <c r="S533" s="1">
        <v>0</v>
      </c>
      <c r="T533" s="1">
        <v>0</v>
      </c>
      <c r="U533" s="1">
        <v>0</v>
      </c>
      <c r="V533" s="1" t="str">
        <f t="shared" si="74"/>
        <v>里程返程</v>
      </c>
      <c r="W533" s="1" t="s">
        <v>35</v>
      </c>
    </row>
    <row r="534" spans="1:23" x14ac:dyDescent="0.3">
      <c r="A534" s="1" t="str">
        <f t="shared" si="75"/>
        <v>59822</v>
      </c>
      <c r="B534" s="1" t="s">
        <v>39</v>
      </c>
      <c r="C534" s="1" t="s">
        <v>40</v>
      </c>
      <c r="D534" s="1" t="str">
        <f t="shared" si="73"/>
        <v>9801</v>
      </c>
      <c r="E534" s="1" t="s">
        <v>25</v>
      </c>
      <c r="F534" s="1" t="str">
        <f>"1616863089"</f>
        <v>1616863089</v>
      </c>
      <c r="G534" s="1" t="s">
        <v>33</v>
      </c>
      <c r="H534" s="1" t="str">
        <f t="shared" si="76"/>
        <v>20220908</v>
      </c>
      <c r="I534" s="1" t="str">
        <f>"114246"</f>
        <v>114246</v>
      </c>
      <c r="J534" s="1" t="s">
        <v>75</v>
      </c>
      <c r="K534" s="1" t="s">
        <v>45</v>
      </c>
      <c r="L534" s="1" t="str">
        <f t="shared" si="77"/>
        <v>20220908</v>
      </c>
      <c r="M534" s="1" t="str">
        <f>"115605"</f>
        <v>115605</v>
      </c>
      <c r="N534" s="1" t="s">
        <v>28</v>
      </c>
      <c r="O534" s="1" t="s">
        <v>28</v>
      </c>
      <c r="P534" s="1" t="s">
        <v>55</v>
      </c>
      <c r="Q534" s="1">
        <v>25</v>
      </c>
      <c r="R534" s="1">
        <v>25</v>
      </c>
      <c r="S534" s="1">
        <v>0</v>
      </c>
      <c r="T534" s="1">
        <v>0</v>
      </c>
      <c r="U534" s="1">
        <v>0</v>
      </c>
      <c r="V534" s="1" t="str">
        <f t="shared" si="74"/>
        <v>里程返程</v>
      </c>
      <c r="W534" s="1" t="s">
        <v>35</v>
      </c>
    </row>
    <row r="535" spans="1:23" x14ac:dyDescent="0.3">
      <c r="A535" s="1" t="str">
        <f t="shared" si="75"/>
        <v>59822</v>
      </c>
      <c r="B535" s="1" t="s">
        <v>39</v>
      </c>
      <c r="C535" s="1" t="s">
        <v>40</v>
      </c>
      <c r="D535" s="1" t="str">
        <f t="shared" si="73"/>
        <v>9801</v>
      </c>
      <c r="E535" s="1" t="s">
        <v>25</v>
      </c>
      <c r="F535" s="1" t="str">
        <f>"12F4D00234880400C834002000000015"</f>
        <v>12F4D00234880400C834002000000015</v>
      </c>
      <c r="G535" s="1" t="s">
        <v>74</v>
      </c>
      <c r="H535" s="1" t="str">
        <f t="shared" si="76"/>
        <v>20220908</v>
      </c>
      <c r="I535" s="1" t="str">
        <f>"115720"</f>
        <v>115720</v>
      </c>
      <c r="J535" s="1" t="s">
        <v>28</v>
      </c>
      <c r="K535" s="1" t="s">
        <v>28</v>
      </c>
      <c r="L535" s="1" t="str">
        <f t="shared" si="77"/>
        <v>20220908</v>
      </c>
      <c r="M535" s="1" t="str">
        <f>"121303"</f>
        <v>121303</v>
      </c>
      <c r="N535" s="1" t="s">
        <v>97</v>
      </c>
      <c r="O535" s="1" t="s">
        <v>52</v>
      </c>
      <c r="P535" s="1" t="s">
        <v>68</v>
      </c>
      <c r="Q535" s="1">
        <v>13</v>
      </c>
      <c r="R535" s="1">
        <v>0</v>
      </c>
      <c r="S535" s="1">
        <v>0</v>
      </c>
      <c r="T535" s="1">
        <v>13</v>
      </c>
      <c r="U535" s="1">
        <v>0</v>
      </c>
      <c r="V535" s="1" t="str">
        <f t="shared" si="74"/>
        <v>里程返程</v>
      </c>
      <c r="W535" s="1" t="s">
        <v>29</v>
      </c>
    </row>
    <row r="536" spans="1:23" x14ac:dyDescent="0.3">
      <c r="A536" s="1" t="str">
        <f t="shared" si="75"/>
        <v>59822</v>
      </c>
      <c r="B536" s="1" t="s">
        <v>39</v>
      </c>
      <c r="C536" s="1" t="s">
        <v>40</v>
      </c>
      <c r="D536" s="1" t="str">
        <f t="shared" si="73"/>
        <v>9801</v>
      </c>
      <c r="E536" s="1" t="s">
        <v>25</v>
      </c>
      <c r="F536" s="1" t="str">
        <f>"82D5FB02AE880400C834002000000015"</f>
        <v>82D5FB02AE880400C834002000000015</v>
      </c>
      <c r="G536" s="1" t="s">
        <v>26</v>
      </c>
      <c r="H536" s="1" t="str">
        <f t="shared" si="76"/>
        <v>20220908</v>
      </c>
      <c r="I536" s="1" t="str">
        <f>"121904"</f>
        <v>121904</v>
      </c>
      <c r="J536" s="1" t="s">
        <v>51</v>
      </c>
      <c r="K536" s="1" t="s">
        <v>52</v>
      </c>
      <c r="L536" s="1" t="str">
        <f t="shared" si="77"/>
        <v>20220908</v>
      </c>
      <c r="M536" s="1" t="str">
        <f>"122403"</f>
        <v>122403</v>
      </c>
      <c r="N536" s="1" t="s">
        <v>52</v>
      </c>
      <c r="O536" s="1" t="s">
        <v>52</v>
      </c>
      <c r="P536" s="1" t="s">
        <v>68</v>
      </c>
      <c r="Q536" s="1">
        <v>13</v>
      </c>
      <c r="R536" s="1">
        <v>0</v>
      </c>
      <c r="S536" s="1">
        <v>0</v>
      </c>
      <c r="T536" s="1">
        <v>13</v>
      </c>
      <c r="U536" s="1">
        <v>0</v>
      </c>
      <c r="V536" s="1" t="str">
        <f t="shared" si="74"/>
        <v>里程返程</v>
      </c>
      <c r="W536" s="1" t="s">
        <v>29</v>
      </c>
    </row>
    <row r="537" spans="1:23" x14ac:dyDescent="0.3">
      <c r="A537" s="1" t="str">
        <f t="shared" si="75"/>
        <v>59822</v>
      </c>
      <c r="B537" s="1" t="s">
        <v>39</v>
      </c>
      <c r="C537" s="1" t="s">
        <v>40</v>
      </c>
      <c r="D537" s="1" t="str">
        <f t="shared" si="73"/>
        <v>9801</v>
      </c>
      <c r="E537" s="1" t="s">
        <v>25</v>
      </c>
      <c r="F537" s="1" t="str">
        <f>"927305013"</f>
        <v>927305013</v>
      </c>
      <c r="G537" s="1" t="s">
        <v>38</v>
      </c>
      <c r="H537" s="1" t="str">
        <f t="shared" si="76"/>
        <v>20220908</v>
      </c>
      <c r="I537" s="1" t="str">
        <f>"185824"</f>
        <v>185824</v>
      </c>
      <c r="J537" s="1" t="s">
        <v>44</v>
      </c>
      <c r="K537" s="1" t="s">
        <v>45</v>
      </c>
      <c r="L537" s="1" t="str">
        <f t="shared" si="77"/>
        <v>20220908</v>
      </c>
      <c r="M537" s="1" t="str">
        <f>"192142"</f>
        <v>192142</v>
      </c>
      <c r="N537" s="1" t="s">
        <v>28</v>
      </c>
      <c r="O537" s="1" t="s">
        <v>28</v>
      </c>
      <c r="P537" s="1" t="s">
        <v>55</v>
      </c>
      <c r="Q537" s="1">
        <v>25</v>
      </c>
      <c r="R537" s="1">
        <v>0</v>
      </c>
      <c r="S537" s="1">
        <v>25</v>
      </c>
      <c r="T537" s="1">
        <v>0</v>
      </c>
      <c r="U537" s="1">
        <v>0</v>
      </c>
      <c r="V537" s="1" t="str">
        <f t="shared" si="74"/>
        <v>里程返程</v>
      </c>
      <c r="W537" s="1" t="s">
        <v>35</v>
      </c>
    </row>
    <row r="538" spans="1:23" x14ac:dyDescent="0.3">
      <c r="A538" s="1" t="str">
        <f t="shared" si="75"/>
        <v>59822</v>
      </c>
      <c r="B538" s="1" t="s">
        <v>39</v>
      </c>
      <c r="C538" s="1" t="s">
        <v>40</v>
      </c>
      <c r="D538" s="1" t="str">
        <f t="shared" si="73"/>
        <v>9801</v>
      </c>
      <c r="E538" s="1" t="s">
        <v>25</v>
      </c>
      <c r="F538" s="1" t="str">
        <f>"712543297"</f>
        <v>712543297</v>
      </c>
      <c r="G538" s="1" t="s">
        <v>33</v>
      </c>
      <c r="H538" s="1" t="str">
        <f t="shared" si="76"/>
        <v>20220908</v>
      </c>
      <c r="I538" s="1" t="str">
        <f>"190414"</f>
        <v>190414</v>
      </c>
      <c r="J538" s="1" t="s">
        <v>100</v>
      </c>
      <c r="K538" s="1" t="s">
        <v>45</v>
      </c>
      <c r="L538" s="1" t="str">
        <f t="shared" si="77"/>
        <v>20220908</v>
      </c>
      <c r="M538" s="1" t="str">
        <f>"192150"</f>
        <v>192150</v>
      </c>
      <c r="N538" s="1" t="s">
        <v>28</v>
      </c>
      <c r="O538" s="1" t="s">
        <v>28</v>
      </c>
      <c r="P538" s="1" t="s">
        <v>55</v>
      </c>
      <c r="Q538" s="1">
        <v>25</v>
      </c>
      <c r="R538" s="1">
        <v>25</v>
      </c>
      <c r="S538" s="1">
        <v>0</v>
      </c>
      <c r="T538" s="1">
        <v>0</v>
      </c>
      <c r="U538" s="1">
        <v>0</v>
      </c>
      <c r="V538" s="1" t="str">
        <f t="shared" si="74"/>
        <v>里程返程</v>
      </c>
      <c r="W538" s="1" t="s">
        <v>35</v>
      </c>
    </row>
    <row r="539" spans="1:23" x14ac:dyDescent="0.3">
      <c r="A539" s="1" t="str">
        <f t="shared" si="75"/>
        <v>59822</v>
      </c>
      <c r="B539" s="1" t="s">
        <v>39</v>
      </c>
      <c r="C539" s="1" t="s">
        <v>40</v>
      </c>
      <c r="D539" s="1" t="str">
        <f t="shared" si="73"/>
        <v>9801</v>
      </c>
      <c r="E539" s="1" t="s">
        <v>25</v>
      </c>
      <c r="F539" s="1" t="str">
        <f>"F1E90C3B2F280400F700000000000000"</f>
        <v>F1E90C3B2F280400F700000000000000</v>
      </c>
      <c r="G539" s="1" t="s">
        <v>58</v>
      </c>
      <c r="H539" s="1" t="str">
        <f t="shared" si="76"/>
        <v>20220908</v>
      </c>
      <c r="I539" s="1" t="str">
        <f>"190952"</f>
        <v>190952</v>
      </c>
      <c r="J539" s="1" t="s">
        <v>56</v>
      </c>
      <c r="K539" s="1" t="s">
        <v>45</v>
      </c>
      <c r="L539" s="1" t="str">
        <f t="shared" si="77"/>
        <v>20220908</v>
      </c>
      <c r="M539" s="1" t="str">
        <f>"192147"</f>
        <v>192147</v>
      </c>
      <c r="N539" s="1" t="s">
        <v>28</v>
      </c>
      <c r="O539" s="1" t="s">
        <v>28</v>
      </c>
      <c r="P539" s="1" t="s">
        <v>55</v>
      </c>
      <c r="Q539" s="1">
        <v>25</v>
      </c>
      <c r="R539" s="1">
        <v>25</v>
      </c>
      <c r="S539" s="1">
        <v>0</v>
      </c>
      <c r="T539" s="1">
        <v>0</v>
      </c>
      <c r="U539" s="1">
        <v>0</v>
      </c>
      <c r="V539" s="1" t="str">
        <f t="shared" si="74"/>
        <v>里程返程</v>
      </c>
      <c r="W539" s="1" t="s">
        <v>29</v>
      </c>
    </row>
    <row r="540" spans="1:23" x14ac:dyDescent="0.3">
      <c r="A540" s="1" t="str">
        <f t="shared" si="75"/>
        <v>59822</v>
      </c>
      <c r="B540" s="1" t="s">
        <v>39</v>
      </c>
      <c r="C540" s="1" t="s">
        <v>40</v>
      </c>
      <c r="D540" s="1" t="str">
        <f t="shared" si="73"/>
        <v>9801</v>
      </c>
      <c r="E540" s="1" t="s">
        <v>25</v>
      </c>
      <c r="F540" s="1" t="str">
        <f>"1092211217"</f>
        <v>1092211217</v>
      </c>
      <c r="G540" s="1" t="s">
        <v>33</v>
      </c>
      <c r="H540" s="1" t="str">
        <f t="shared" si="76"/>
        <v>20220908</v>
      </c>
      <c r="I540" s="1" t="str">
        <f>"192156"</f>
        <v>192156</v>
      </c>
      <c r="J540" s="1" t="s">
        <v>28</v>
      </c>
      <c r="K540" s="1" t="s">
        <v>28</v>
      </c>
      <c r="L540" s="1" t="str">
        <f t="shared" si="77"/>
        <v>20220908</v>
      </c>
      <c r="M540" s="1" t="str">
        <f>"193856"</f>
        <v>193856</v>
      </c>
      <c r="N540" s="1" t="s">
        <v>77</v>
      </c>
      <c r="O540" s="1" t="s">
        <v>52</v>
      </c>
      <c r="P540" s="1" t="s">
        <v>55</v>
      </c>
      <c r="Q540" s="1">
        <v>25</v>
      </c>
      <c r="R540" s="1">
        <v>25</v>
      </c>
      <c r="S540" s="1">
        <v>0</v>
      </c>
      <c r="T540" s="1">
        <v>0</v>
      </c>
      <c r="U540" s="1">
        <v>0</v>
      </c>
      <c r="V540" s="1" t="str">
        <f t="shared" si="74"/>
        <v>里程返程</v>
      </c>
      <c r="W540" s="1" t="s">
        <v>35</v>
      </c>
    </row>
    <row r="541" spans="1:23" x14ac:dyDescent="0.3">
      <c r="A541" s="1" t="str">
        <f t="shared" si="75"/>
        <v>59822</v>
      </c>
      <c r="B541" s="1" t="s">
        <v>39</v>
      </c>
      <c r="C541" s="1" t="s">
        <v>40</v>
      </c>
      <c r="D541" s="1" t="str">
        <f t="shared" si="73"/>
        <v>9801</v>
      </c>
      <c r="E541" s="1" t="s">
        <v>25</v>
      </c>
      <c r="F541" s="1" t="str">
        <f>"A2BC920A86880400C810002000000016"</f>
        <v>A2BC920A86880400C810002000000016</v>
      </c>
      <c r="G541" s="1" t="s">
        <v>59</v>
      </c>
      <c r="H541" s="1" t="str">
        <f t="shared" si="76"/>
        <v>20220908</v>
      </c>
      <c r="I541" s="1" t="str">
        <f>"192200"</f>
        <v>192200</v>
      </c>
      <c r="J541" s="1" t="s">
        <v>28</v>
      </c>
      <c r="K541" s="1" t="s">
        <v>28</v>
      </c>
      <c r="L541" s="1" t="str">
        <f t="shared" si="77"/>
        <v>20220908</v>
      </c>
      <c r="M541" s="1" t="str">
        <f>"194758"</f>
        <v>194758</v>
      </c>
      <c r="N541" s="1" t="s">
        <v>72</v>
      </c>
      <c r="O541" s="1" t="s">
        <v>52</v>
      </c>
      <c r="P541" s="1" t="s">
        <v>55</v>
      </c>
      <c r="Q541" s="1">
        <v>25</v>
      </c>
      <c r="R541" s="1">
        <v>25</v>
      </c>
      <c r="S541" s="1">
        <v>0</v>
      </c>
      <c r="T541" s="1">
        <v>0</v>
      </c>
      <c r="U541" s="1">
        <v>0</v>
      </c>
      <c r="V541" s="1" t="str">
        <f t="shared" si="74"/>
        <v>里程返程</v>
      </c>
      <c r="W541" s="1" t="s">
        <v>29</v>
      </c>
    </row>
    <row r="542" spans="1:23" x14ac:dyDescent="0.3">
      <c r="A542" s="1" t="str">
        <f t="shared" si="75"/>
        <v>59822</v>
      </c>
      <c r="B542" s="1" t="s">
        <v>39</v>
      </c>
      <c r="C542" s="1" t="s">
        <v>40</v>
      </c>
      <c r="D542" s="1" t="str">
        <f t="shared" si="73"/>
        <v>9801</v>
      </c>
      <c r="E542" s="1" t="s">
        <v>25</v>
      </c>
      <c r="F542" s="1" t="str">
        <f>"3549984228"</f>
        <v>3549984228</v>
      </c>
      <c r="G542" s="1" t="s">
        <v>33</v>
      </c>
      <c r="H542" s="1" t="str">
        <f t="shared" si="76"/>
        <v>20220908</v>
      </c>
      <c r="I542" s="1" t="str">
        <f>"192248"</f>
        <v>192248</v>
      </c>
      <c r="J542" s="1" t="s">
        <v>28</v>
      </c>
      <c r="K542" s="1" t="s">
        <v>28</v>
      </c>
      <c r="L542" s="1" t="str">
        <f t="shared" si="77"/>
        <v>20220908</v>
      </c>
      <c r="M542" s="1" t="str">
        <f>"194601"</f>
        <v>194601</v>
      </c>
      <c r="N542" s="1" t="s">
        <v>65</v>
      </c>
      <c r="O542" s="1" t="s">
        <v>52</v>
      </c>
      <c r="P542" s="1" t="s">
        <v>55</v>
      </c>
      <c r="Q542" s="1">
        <v>25</v>
      </c>
      <c r="R542" s="1">
        <v>25</v>
      </c>
      <c r="S542" s="1">
        <v>0</v>
      </c>
      <c r="T542" s="1">
        <v>0</v>
      </c>
      <c r="U542" s="1">
        <v>0</v>
      </c>
      <c r="V542" s="1" t="str">
        <f t="shared" si="74"/>
        <v>里程返程</v>
      </c>
      <c r="W542" s="1" t="s">
        <v>35</v>
      </c>
    </row>
    <row r="543" spans="1:23" x14ac:dyDescent="0.3">
      <c r="A543" s="1" t="str">
        <f t="shared" si="75"/>
        <v>59822</v>
      </c>
      <c r="B543" s="1" t="s">
        <v>39</v>
      </c>
      <c r="C543" s="1" t="s">
        <v>40</v>
      </c>
      <c r="D543" s="1" t="str">
        <f t="shared" si="73"/>
        <v>9801</v>
      </c>
      <c r="E543" s="1" t="s">
        <v>25</v>
      </c>
      <c r="F543" s="1" t="str">
        <f>"F2931A0378880400C834002000000015"</f>
        <v>F2931A0378880400C834002000000015</v>
      </c>
      <c r="G543" s="1" t="s">
        <v>74</v>
      </c>
      <c r="H543" s="1" t="str">
        <f t="shared" si="76"/>
        <v>20220908</v>
      </c>
      <c r="I543" s="1" t="str">
        <f>"194235"</f>
        <v>194235</v>
      </c>
      <c r="J543" s="1" t="s">
        <v>80</v>
      </c>
      <c r="K543" s="1" t="s">
        <v>52</v>
      </c>
      <c r="L543" s="1" t="str">
        <f t="shared" si="77"/>
        <v>20220908</v>
      </c>
      <c r="M543" s="1" t="str">
        <f>"194549"</f>
        <v>194549</v>
      </c>
      <c r="N543" s="1" t="s">
        <v>65</v>
      </c>
      <c r="O543" s="1" t="s">
        <v>52</v>
      </c>
      <c r="P543" s="1" t="s">
        <v>68</v>
      </c>
      <c r="Q543" s="1">
        <v>13</v>
      </c>
      <c r="R543" s="1">
        <v>0</v>
      </c>
      <c r="S543" s="1">
        <v>0</v>
      </c>
      <c r="T543" s="1">
        <v>13</v>
      </c>
      <c r="U543" s="1">
        <v>0</v>
      </c>
      <c r="V543" s="1" t="str">
        <f t="shared" si="74"/>
        <v>里程返程</v>
      </c>
      <c r="W543" s="1" t="s">
        <v>29</v>
      </c>
    </row>
    <row r="544" spans="1:23" x14ac:dyDescent="0.3">
      <c r="A544" s="1" t="str">
        <f t="shared" ref="A544:A555" si="78">"59828"</f>
        <v>59828</v>
      </c>
      <c r="B544" s="1" t="s">
        <v>23</v>
      </c>
      <c r="C544" s="1" t="s">
        <v>24</v>
      </c>
      <c r="D544" s="1" t="str">
        <f t="shared" si="73"/>
        <v>9801</v>
      </c>
      <c r="E544" s="1" t="s">
        <v>25</v>
      </c>
      <c r="F544" s="1" t="str">
        <f>"1073273029"</f>
        <v>1073273029</v>
      </c>
      <c r="G544" s="1" t="s">
        <v>33</v>
      </c>
      <c r="H544" s="1" t="str">
        <f t="shared" si="76"/>
        <v>20220908</v>
      </c>
      <c r="I544" s="1" t="str">
        <f>"172801"</f>
        <v>172801</v>
      </c>
      <c r="J544" s="1" t="s">
        <v>44</v>
      </c>
      <c r="K544" s="1" t="s">
        <v>45</v>
      </c>
      <c r="L544" s="1" t="str">
        <f t="shared" si="77"/>
        <v>20220908</v>
      </c>
      <c r="M544" s="1" t="str">
        <f>"175507"</f>
        <v>175507</v>
      </c>
      <c r="N544" s="1" t="s">
        <v>28</v>
      </c>
      <c r="O544" s="1" t="s">
        <v>28</v>
      </c>
      <c r="P544" s="1" t="s">
        <v>55</v>
      </c>
      <c r="Q544" s="1">
        <v>25</v>
      </c>
      <c r="R544" s="1">
        <v>25</v>
      </c>
      <c r="S544" s="1">
        <v>0</v>
      </c>
      <c r="T544" s="1">
        <v>0</v>
      </c>
      <c r="U544" s="1">
        <v>0</v>
      </c>
      <c r="V544" s="1" t="str">
        <f t="shared" si="74"/>
        <v>里程返程</v>
      </c>
      <c r="W544" s="1" t="s">
        <v>35</v>
      </c>
    </row>
    <row r="545" spans="1:23" x14ac:dyDescent="0.3">
      <c r="A545" s="1" t="str">
        <f t="shared" si="78"/>
        <v>59828</v>
      </c>
      <c r="B545" s="1" t="s">
        <v>23</v>
      </c>
      <c r="C545" s="1" t="s">
        <v>24</v>
      </c>
      <c r="D545" s="1" t="str">
        <f t="shared" si="73"/>
        <v>9801</v>
      </c>
      <c r="E545" s="1" t="s">
        <v>25</v>
      </c>
      <c r="F545" s="1" t="str">
        <f>"514908465"</f>
        <v>514908465</v>
      </c>
      <c r="G545" s="1" t="s">
        <v>96</v>
      </c>
      <c r="H545" s="1" t="str">
        <f t="shared" si="76"/>
        <v>20220908</v>
      </c>
      <c r="I545" s="1" t="str">
        <f>"172806"</f>
        <v>172806</v>
      </c>
      <c r="J545" s="1" t="s">
        <v>44</v>
      </c>
      <c r="K545" s="1" t="s">
        <v>45</v>
      </c>
      <c r="L545" s="1" t="str">
        <f t="shared" si="77"/>
        <v>20220908</v>
      </c>
      <c r="M545" s="1" t="str">
        <f>"175522"</f>
        <v>175522</v>
      </c>
      <c r="N545" s="1" t="s">
        <v>28</v>
      </c>
      <c r="O545" s="1" t="s">
        <v>28</v>
      </c>
      <c r="P545" s="1" t="s">
        <v>55</v>
      </c>
      <c r="Q545" s="1">
        <v>13</v>
      </c>
      <c r="R545" s="1">
        <v>13</v>
      </c>
      <c r="S545" s="1">
        <v>0</v>
      </c>
      <c r="T545" s="1">
        <v>0</v>
      </c>
      <c r="U545" s="1">
        <v>0</v>
      </c>
      <c r="V545" s="1" t="str">
        <f t="shared" si="74"/>
        <v>里程返程</v>
      </c>
      <c r="W545" s="1" t="s">
        <v>35</v>
      </c>
    </row>
    <row r="546" spans="1:23" x14ac:dyDescent="0.3">
      <c r="A546" s="1" t="str">
        <f t="shared" si="78"/>
        <v>59828</v>
      </c>
      <c r="B546" s="1" t="s">
        <v>23</v>
      </c>
      <c r="C546" s="1" t="s">
        <v>24</v>
      </c>
      <c r="D546" s="1" t="str">
        <f t="shared" si="73"/>
        <v>9801</v>
      </c>
      <c r="E546" s="1" t="s">
        <v>25</v>
      </c>
      <c r="F546" s="1" t="str">
        <f>"1295491569"</f>
        <v>1295491569</v>
      </c>
      <c r="G546" s="1" t="s">
        <v>33</v>
      </c>
      <c r="H546" s="1" t="str">
        <f t="shared" si="76"/>
        <v>20220908</v>
      </c>
      <c r="I546" s="1" t="str">
        <f>"172808"</f>
        <v>172808</v>
      </c>
      <c r="J546" s="1" t="s">
        <v>44</v>
      </c>
      <c r="K546" s="1" t="s">
        <v>45</v>
      </c>
      <c r="L546" s="1" t="str">
        <f t="shared" si="77"/>
        <v>20220908</v>
      </c>
      <c r="M546" s="1" t="str">
        <f>"175518"</f>
        <v>175518</v>
      </c>
      <c r="N546" s="1" t="s">
        <v>28</v>
      </c>
      <c r="O546" s="1" t="s">
        <v>28</v>
      </c>
      <c r="P546" s="1" t="s">
        <v>55</v>
      </c>
      <c r="Q546" s="1">
        <v>25</v>
      </c>
      <c r="R546" s="1">
        <v>25</v>
      </c>
      <c r="S546" s="1">
        <v>0</v>
      </c>
      <c r="T546" s="1">
        <v>0</v>
      </c>
      <c r="U546" s="1">
        <v>0</v>
      </c>
      <c r="V546" s="1" t="str">
        <f t="shared" si="74"/>
        <v>里程返程</v>
      </c>
      <c r="W546" s="1" t="s">
        <v>35</v>
      </c>
    </row>
    <row r="547" spans="1:23" x14ac:dyDescent="0.3">
      <c r="A547" s="1" t="str">
        <f t="shared" si="78"/>
        <v>59828</v>
      </c>
      <c r="B547" s="1" t="s">
        <v>23</v>
      </c>
      <c r="C547" s="1" t="s">
        <v>24</v>
      </c>
      <c r="D547" s="1" t="str">
        <f t="shared" si="73"/>
        <v>9801</v>
      </c>
      <c r="E547" s="1" t="s">
        <v>25</v>
      </c>
      <c r="F547" s="1" t="str">
        <f>"451284209"</f>
        <v>451284209</v>
      </c>
      <c r="G547" s="1" t="s">
        <v>33</v>
      </c>
      <c r="H547" s="1" t="str">
        <f t="shared" si="76"/>
        <v>20220908</v>
      </c>
      <c r="I547" s="1" t="str">
        <f>"172816"</f>
        <v>172816</v>
      </c>
      <c r="J547" s="1" t="s">
        <v>44</v>
      </c>
      <c r="K547" s="1" t="s">
        <v>45</v>
      </c>
      <c r="L547" s="1" t="str">
        <f t="shared" si="77"/>
        <v>20220908</v>
      </c>
      <c r="M547" s="1" t="str">
        <f>"175524"</f>
        <v>175524</v>
      </c>
      <c r="N547" s="1" t="s">
        <v>28</v>
      </c>
      <c r="O547" s="1" t="s">
        <v>28</v>
      </c>
      <c r="P547" s="1" t="s">
        <v>55</v>
      </c>
      <c r="Q547" s="1">
        <v>25</v>
      </c>
      <c r="R547" s="1">
        <v>25</v>
      </c>
      <c r="S547" s="1">
        <v>0</v>
      </c>
      <c r="T547" s="1">
        <v>0</v>
      </c>
      <c r="U547" s="1">
        <v>0</v>
      </c>
      <c r="V547" s="1" t="str">
        <f t="shared" si="74"/>
        <v>里程返程</v>
      </c>
      <c r="W547" s="1" t="s">
        <v>35</v>
      </c>
    </row>
    <row r="548" spans="1:23" x14ac:dyDescent="0.3">
      <c r="A548" s="1" t="str">
        <f t="shared" si="78"/>
        <v>59828</v>
      </c>
      <c r="B548" s="1" t="s">
        <v>23</v>
      </c>
      <c r="C548" s="1" t="s">
        <v>24</v>
      </c>
      <c r="D548" s="1" t="str">
        <f t="shared" si="73"/>
        <v>9801</v>
      </c>
      <c r="E548" s="1" t="s">
        <v>25</v>
      </c>
      <c r="F548" s="1" t="str">
        <f>"422AE7028D880400C834002000000015"</f>
        <v>422AE7028D880400C834002000000015</v>
      </c>
      <c r="G548" s="1" t="s">
        <v>74</v>
      </c>
      <c r="H548" s="1" t="str">
        <f t="shared" si="76"/>
        <v>20220908</v>
      </c>
      <c r="I548" s="1" t="str">
        <f>"172825"</f>
        <v>172825</v>
      </c>
      <c r="J548" s="1" t="s">
        <v>44</v>
      </c>
      <c r="K548" s="1" t="s">
        <v>45</v>
      </c>
      <c r="L548" s="1" t="str">
        <f t="shared" si="77"/>
        <v>20220908</v>
      </c>
      <c r="M548" s="1" t="str">
        <f>"175513"</f>
        <v>175513</v>
      </c>
      <c r="N548" s="1" t="s">
        <v>28</v>
      </c>
      <c r="O548" s="1" t="s">
        <v>28</v>
      </c>
      <c r="P548" s="1" t="s">
        <v>68</v>
      </c>
      <c r="Q548" s="1">
        <v>13</v>
      </c>
      <c r="R548" s="1">
        <v>0</v>
      </c>
      <c r="S548" s="1">
        <v>0</v>
      </c>
      <c r="T548" s="1">
        <v>13</v>
      </c>
      <c r="U548" s="1">
        <v>0</v>
      </c>
      <c r="V548" s="1" t="str">
        <f t="shared" si="74"/>
        <v>里程返程</v>
      </c>
      <c r="W548" s="1" t="s">
        <v>29</v>
      </c>
    </row>
    <row r="549" spans="1:23" x14ac:dyDescent="0.3">
      <c r="A549" s="1" t="str">
        <f t="shared" si="78"/>
        <v>59828</v>
      </c>
      <c r="B549" s="1" t="s">
        <v>23</v>
      </c>
      <c r="C549" s="1" t="s">
        <v>24</v>
      </c>
      <c r="D549" s="1" t="str">
        <f t="shared" si="73"/>
        <v>9801</v>
      </c>
      <c r="E549" s="1" t="s">
        <v>25</v>
      </c>
      <c r="F549" s="1" t="str">
        <f>"B211381B80880400C817002000000021"</f>
        <v>B211381B80880400C817002000000021</v>
      </c>
      <c r="G549" s="1" t="s">
        <v>59</v>
      </c>
      <c r="H549" s="1" t="str">
        <f t="shared" si="76"/>
        <v>20220908</v>
      </c>
      <c r="I549" s="1" t="str">
        <f>"172832"</f>
        <v>172832</v>
      </c>
      <c r="J549" s="1" t="s">
        <v>44</v>
      </c>
      <c r="K549" s="1" t="s">
        <v>45</v>
      </c>
      <c r="L549" s="1" t="str">
        <f t="shared" si="77"/>
        <v>20220908</v>
      </c>
      <c r="M549" s="1" t="str">
        <f>"175505"</f>
        <v>175505</v>
      </c>
      <c r="N549" s="1" t="s">
        <v>28</v>
      </c>
      <c r="O549" s="1" t="s">
        <v>28</v>
      </c>
      <c r="P549" s="1" t="s">
        <v>55</v>
      </c>
      <c r="Q549" s="1">
        <v>25</v>
      </c>
      <c r="R549" s="1">
        <v>25</v>
      </c>
      <c r="S549" s="1">
        <v>0</v>
      </c>
      <c r="T549" s="1">
        <v>0</v>
      </c>
      <c r="U549" s="1">
        <v>0</v>
      </c>
      <c r="V549" s="1" t="str">
        <f t="shared" si="74"/>
        <v>里程返程</v>
      </c>
      <c r="W549" s="1" t="s">
        <v>29</v>
      </c>
    </row>
    <row r="550" spans="1:23" x14ac:dyDescent="0.3">
      <c r="A550" s="1" t="str">
        <f t="shared" si="78"/>
        <v>59828</v>
      </c>
      <c r="B550" s="1" t="s">
        <v>23</v>
      </c>
      <c r="C550" s="1" t="s">
        <v>24</v>
      </c>
      <c r="D550" s="1" t="str">
        <f t="shared" si="73"/>
        <v>9801</v>
      </c>
      <c r="E550" s="1" t="s">
        <v>25</v>
      </c>
      <c r="F550" s="1" t="str">
        <f>"A412015AED280400D200000100000000"</f>
        <v>A412015AED280400D200000100000000</v>
      </c>
      <c r="G550" s="1" t="s">
        <v>58</v>
      </c>
      <c r="H550" s="1" t="str">
        <f t="shared" si="76"/>
        <v>20220908</v>
      </c>
      <c r="I550" s="1" t="str">
        <f>"175546"</f>
        <v>175546</v>
      </c>
      <c r="J550" s="1" t="s">
        <v>28</v>
      </c>
      <c r="K550" s="1" t="s">
        <v>28</v>
      </c>
      <c r="L550" s="1" t="str">
        <f t="shared" si="77"/>
        <v>20220908</v>
      </c>
      <c r="M550" s="1" t="str">
        <f>"183111"</f>
        <v>183111</v>
      </c>
      <c r="N550" s="1" t="s">
        <v>52</v>
      </c>
      <c r="O550" s="1" t="s">
        <v>52</v>
      </c>
      <c r="P550" s="1" t="s">
        <v>55</v>
      </c>
      <c r="Q550" s="1">
        <v>25</v>
      </c>
      <c r="R550" s="1">
        <v>25</v>
      </c>
      <c r="S550" s="1">
        <v>0</v>
      </c>
      <c r="T550" s="1">
        <v>0</v>
      </c>
      <c r="U550" s="1">
        <v>0</v>
      </c>
      <c r="V550" s="1" t="str">
        <f t="shared" si="74"/>
        <v>里程返程</v>
      </c>
      <c r="W550" s="1" t="s">
        <v>29</v>
      </c>
    </row>
    <row r="551" spans="1:23" x14ac:dyDescent="0.3">
      <c r="A551" s="1" t="str">
        <f t="shared" si="78"/>
        <v>59828</v>
      </c>
      <c r="B551" s="1" t="s">
        <v>23</v>
      </c>
      <c r="C551" s="1" t="s">
        <v>24</v>
      </c>
      <c r="D551" s="1" t="str">
        <f t="shared" si="73"/>
        <v>9801</v>
      </c>
      <c r="E551" s="1" t="s">
        <v>25</v>
      </c>
      <c r="F551" s="1" t="str">
        <f>"1045288053"</f>
        <v>1045288053</v>
      </c>
      <c r="G551" s="1" t="s">
        <v>33</v>
      </c>
      <c r="H551" s="1" t="str">
        <f t="shared" si="76"/>
        <v>20220908</v>
      </c>
      <c r="I551" s="1" t="str">
        <f>"175548"</f>
        <v>175548</v>
      </c>
      <c r="J551" s="1" t="s">
        <v>28</v>
      </c>
      <c r="K551" s="1" t="s">
        <v>28</v>
      </c>
      <c r="L551" s="1" t="str">
        <f t="shared" si="77"/>
        <v>20220908</v>
      </c>
      <c r="M551" s="1" t="str">
        <f>"182803"</f>
        <v>182803</v>
      </c>
      <c r="N551" s="1" t="s">
        <v>86</v>
      </c>
      <c r="O551" s="1" t="s">
        <v>52</v>
      </c>
      <c r="P551" s="1" t="s">
        <v>55</v>
      </c>
      <c r="Q551" s="1">
        <v>25</v>
      </c>
      <c r="R551" s="1">
        <v>25</v>
      </c>
      <c r="S551" s="1">
        <v>0</v>
      </c>
      <c r="T551" s="1">
        <v>0</v>
      </c>
      <c r="U551" s="1">
        <v>0</v>
      </c>
      <c r="V551" s="1" t="str">
        <f t="shared" si="74"/>
        <v>里程返程</v>
      </c>
      <c r="W551" s="1" t="s">
        <v>35</v>
      </c>
    </row>
    <row r="552" spans="1:23" x14ac:dyDescent="0.3">
      <c r="A552" s="1" t="str">
        <f t="shared" si="78"/>
        <v>59828</v>
      </c>
      <c r="B552" s="1" t="s">
        <v>23</v>
      </c>
      <c r="C552" s="1" t="s">
        <v>24</v>
      </c>
      <c r="D552" s="1" t="str">
        <f t="shared" si="73"/>
        <v>9801</v>
      </c>
      <c r="E552" s="1" t="s">
        <v>25</v>
      </c>
      <c r="F552" s="1" t="str">
        <f>"480882305"</f>
        <v>480882305</v>
      </c>
      <c r="G552" s="1" t="s">
        <v>33</v>
      </c>
      <c r="H552" s="1" t="str">
        <f t="shared" si="76"/>
        <v>20220908</v>
      </c>
      <c r="I552" s="1" t="str">
        <f>"185444"</f>
        <v>185444</v>
      </c>
      <c r="J552" s="1" t="s">
        <v>28</v>
      </c>
      <c r="K552" s="1" t="s">
        <v>28</v>
      </c>
      <c r="L552" s="1" t="str">
        <f t="shared" si="77"/>
        <v>20220908</v>
      </c>
      <c r="M552" s="1" t="str">
        <f>"192246"</f>
        <v>192246</v>
      </c>
      <c r="N552" s="1" t="s">
        <v>52</v>
      </c>
      <c r="O552" s="1" t="s">
        <v>52</v>
      </c>
      <c r="P552" s="1" t="s">
        <v>55</v>
      </c>
      <c r="Q552" s="1">
        <v>25</v>
      </c>
      <c r="R552" s="1">
        <v>25</v>
      </c>
      <c r="S552" s="1">
        <v>0</v>
      </c>
      <c r="T552" s="1">
        <v>0</v>
      </c>
      <c r="U552" s="1">
        <v>0</v>
      </c>
      <c r="V552" s="1" t="str">
        <f t="shared" si="74"/>
        <v>里程返程</v>
      </c>
      <c r="W552" s="1" t="s">
        <v>35</v>
      </c>
    </row>
    <row r="553" spans="1:23" x14ac:dyDescent="0.3">
      <c r="A553" s="1" t="str">
        <f t="shared" si="78"/>
        <v>59828</v>
      </c>
      <c r="B553" s="1" t="s">
        <v>23</v>
      </c>
      <c r="C553" s="1" t="s">
        <v>24</v>
      </c>
      <c r="D553" s="1" t="str">
        <f t="shared" si="73"/>
        <v>9801</v>
      </c>
      <c r="E553" s="1" t="s">
        <v>25</v>
      </c>
      <c r="F553" s="1" t="str">
        <f>"167398225"</f>
        <v>167398225</v>
      </c>
      <c r="G553" s="1" t="s">
        <v>33</v>
      </c>
      <c r="H553" s="1" t="str">
        <f t="shared" si="76"/>
        <v>20220908</v>
      </c>
      <c r="I553" s="1" t="str">
        <f>"185450"</f>
        <v>185450</v>
      </c>
      <c r="J553" s="1" t="s">
        <v>28</v>
      </c>
      <c r="K553" s="1" t="s">
        <v>28</v>
      </c>
      <c r="L553" s="1" t="str">
        <f t="shared" si="77"/>
        <v>20220908</v>
      </c>
      <c r="M553" s="1" t="str">
        <f>"192241"</f>
        <v>192241</v>
      </c>
      <c r="N553" s="1" t="s">
        <v>52</v>
      </c>
      <c r="O553" s="1" t="s">
        <v>52</v>
      </c>
      <c r="P553" s="1" t="s">
        <v>55</v>
      </c>
      <c r="Q553" s="1">
        <v>25</v>
      </c>
      <c r="R553" s="1">
        <v>25</v>
      </c>
      <c r="S553" s="1">
        <v>0</v>
      </c>
      <c r="T553" s="1">
        <v>0</v>
      </c>
      <c r="U553" s="1">
        <v>0</v>
      </c>
      <c r="V553" s="1" t="str">
        <f t="shared" si="74"/>
        <v>里程返程</v>
      </c>
      <c r="W553" s="1" t="s">
        <v>35</v>
      </c>
    </row>
    <row r="554" spans="1:23" x14ac:dyDescent="0.3">
      <c r="A554" s="1" t="str">
        <f t="shared" si="78"/>
        <v>59828</v>
      </c>
      <c r="B554" s="1" t="s">
        <v>23</v>
      </c>
      <c r="C554" s="1" t="s">
        <v>24</v>
      </c>
      <c r="D554" s="1" t="str">
        <f t="shared" si="73"/>
        <v>9801</v>
      </c>
      <c r="E554" s="1" t="s">
        <v>25</v>
      </c>
      <c r="F554" s="1" t="str">
        <f>"943998773"</f>
        <v>943998773</v>
      </c>
      <c r="G554" s="1" t="s">
        <v>38</v>
      </c>
      <c r="H554" s="1" t="str">
        <f t="shared" si="76"/>
        <v>20220908</v>
      </c>
      <c r="I554" s="1" t="str">
        <f>"185453"</f>
        <v>185453</v>
      </c>
      <c r="J554" s="1" t="s">
        <v>28</v>
      </c>
      <c r="K554" s="1" t="s">
        <v>28</v>
      </c>
      <c r="L554" s="1" t="str">
        <f t="shared" si="77"/>
        <v>20220908</v>
      </c>
      <c r="M554" s="1" t="str">
        <f>"191047"</f>
        <v>191047</v>
      </c>
      <c r="N554" s="1" t="s">
        <v>80</v>
      </c>
      <c r="O554" s="1" t="s">
        <v>52</v>
      </c>
      <c r="P554" s="1" t="s">
        <v>55</v>
      </c>
      <c r="Q554" s="1">
        <v>25</v>
      </c>
      <c r="R554" s="1">
        <v>0</v>
      </c>
      <c r="S554" s="1">
        <v>25</v>
      </c>
      <c r="T554" s="1">
        <v>0</v>
      </c>
      <c r="U554" s="1">
        <v>0</v>
      </c>
      <c r="V554" s="1" t="str">
        <f t="shared" si="74"/>
        <v>里程返程</v>
      </c>
      <c r="W554" s="1" t="s">
        <v>35</v>
      </c>
    </row>
    <row r="555" spans="1:23" x14ac:dyDescent="0.3">
      <c r="A555" s="1" t="str">
        <f t="shared" si="78"/>
        <v>59828</v>
      </c>
      <c r="B555" s="1" t="s">
        <v>23</v>
      </c>
      <c r="C555" s="1" t="s">
        <v>24</v>
      </c>
      <c r="D555" s="1" t="str">
        <f t="shared" si="73"/>
        <v>9801</v>
      </c>
      <c r="E555" s="1" t="s">
        <v>25</v>
      </c>
      <c r="F555" s="1" t="str">
        <f>"941819429"</f>
        <v>941819429</v>
      </c>
      <c r="G555" s="1" t="s">
        <v>33</v>
      </c>
      <c r="H555" s="1" t="str">
        <f t="shared" si="76"/>
        <v>20220908</v>
      </c>
      <c r="I555" s="1" t="str">
        <f>"185455"</f>
        <v>185455</v>
      </c>
      <c r="J555" s="1" t="s">
        <v>28</v>
      </c>
      <c r="K555" s="1" t="s">
        <v>28</v>
      </c>
      <c r="L555" s="1" t="str">
        <f t="shared" si="77"/>
        <v>20220908</v>
      </c>
      <c r="M555" s="1" t="str">
        <f>"191208"</f>
        <v>191208</v>
      </c>
      <c r="N555" s="1" t="s">
        <v>97</v>
      </c>
      <c r="O555" s="1" t="s">
        <v>52</v>
      </c>
      <c r="P555" s="1" t="s">
        <v>55</v>
      </c>
      <c r="Q555" s="1">
        <v>25</v>
      </c>
      <c r="R555" s="1">
        <v>25</v>
      </c>
      <c r="S555" s="1">
        <v>0</v>
      </c>
      <c r="T555" s="1">
        <v>0</v>
      </c>
      <c r="U555" s="1">
        <v>0</v>
      </c>
      <c r="V555" s="1" t="str">
        <f t="shared" si="74"/>
        <v>里程返程</v>
      </c>
      <c r="W555" s="1" t="s">
        <v>35</v>
      </c>
    </row>
    <row r="556" spans="1:23" x14ac:dyDescent="0.3">
      <c r="A556" s="1" t="str">
        <f t="shared" ref="A556:A583" si="79">"59809"</f>
        <v>59809</v>
      </c>
      <c r="B556" s="1" t="s">
        <v>42</v>
      </c>
      <c r="C556" s="1" t="s">
        <v>43</v>
      </c>
      <c r="D556" s="1" t="str">
        <f t="shared" si="73"/>
        <v>9801</v>
      </c>
      <c r="E556" s="1" t="s">
        <v>25</v>
      </c>
      <c r="F556" s="1" t="str">
        <f>"C29FF517BF880400C814002000000019"</f>
        <v>C29FF517BF880400C814002000000019</v>
      </c>
      <c r="G556" s="1" t="s">
        <v>59</v>
      </c>
      <c r="H556" s="1" t="str">
        <f t="shared" ref="H556:H587" si="80">"20220909"</f>
        <v>20220909</v>
      </c>
      <c r="I556" s="1" t="str">
        <f>"060629"</f>
        <v>060629</v>
      </c>
      <c r="J556" s="1" t="s">
        <v>56</v>
      </c>
      <c r="K556" s="1" t="s">
        <v>45</v>
      </c>
      <c r="L556" s="1" t="str">
        <f t="shared" ref="L556:L587" si="81">"20220909"</f>
        <v>20220909</v>
      </c>
      <c r="M556" s="1" t="str">
        <f>"061826"</f>
        <v>061826</v>
      </c>
      <c r="N556" s="1" t="s">
        <v>28</v>
      </c>
      <c r="O556" s="1" t="s">
        <v>28</v>
      </c>
      <c r="P556" s="1" t="s">
        <v>55</v>
      </c>
      <c r="Q556" s="1">
        <v>25</v>
      </c>
      <c r="R556" s="1">
        <v>25</v>
      </c>
      <c r="S556" s="1">
        <v>0</v>
      </c>
      <c r="T556" s="1">
        <v>0</v>
      </c>
      <c r="U556" s="1">
        <v>0</v>
      </c>
      <c r="V556" s="1" t="str">
        <f t="shared" si="74"/>
        <v>里程返程</v>
      </c>
      <c r="W556" s="1" t="s">
        <v>29</v>
      </c>
    </row>
    <row r="557" spans="1:23" x14ac:dyDescent="0.3">
      <c r="A557" s="1" t="str">
        <f t="shared" si="79"/>
        <v>59809</v>
      </c>
      <c r="B557" s="1" t="s">
        <v>42</v>
      </c>
      <c r="C557" s="1" t="s">
        <v>43</v>
      </c>
      <c r="D557" s="1" t="str">
        <f t="shared" si="73"/>
        <v>9801</v>
      </c>
      <c r="E557" s="1" t="s">
        <v>25</v>
      </c>
      <c r="F557" s="1" t="str">
        <f>"0107F800FE880400432494C6000E080E"</f>
        <v>0107F800FE880400432494C6000E080E</v>
      </c>
      <c r="G557" s="1" t="s">
        <v>59</v>
      </c>
      <c r="H557" s="1" t="str">
        <f t="shared" si="80"/>
        <v>20220909</v>
      </c>
      <c r="I557" s="1" t="str">
        <f>"060637"</f>
        <v>060637</v>
      </c>
      <c r="J557" s="1" t="s">
        <v>56</v>
      </c>
      <c r="K557" s="1" t="s">
        <v>45</v>
      </c>
      <c r="L557" s="1" t="str">
        <f t="shared" si="81"/>
        <v>20220909</v>
      </c>
      <c r="M557" s="1" t="str">
        <f>"061831"</f>
        <v>061831</v>
      </c>
      <c r="N557" s="1" t="s">
        <v>28</v>
      </c>
      <c r="O557" s="1" t="s">
        <v>28</v>
      </c>
      <c r="P557" s="1" t="s">
        <v>55</v>
      </c>
      <c r="Q557" s="1">
        <v>25</v>
      </c>
      <c r="R557" s="1">
        <v>25</v>
      </c>
      <c r="S557" s="1">
        <v>0</v>
      </c>
      <c r="T557" s="1">
        <v>0</v>
      </c>
      <c r="U557" s="1">
        <v>0</v>
      </c>
      <c r="V557" s="1" t="str">
        <f t="shared" si="74"/>
        <v>里程返程</v>
      </c>
      <c r="W557" s="1" t="s">
        <v>29</v>
      </c>
    </row>
    <row r="558" spans="1:23" x14ac:dyDescent="0.3">
      <c r="A558" s="1" t="str">
        <f t="shared" si="79"/>
        <v>59809</v>
      </c>
      <c r="B558" s="1" t="s">
        <v>42</v>
      </c>
      <c r="C558" s="1" t="s">
        <v>43</v>
      </c>
      <c r="D558" s="1" t="str">
        <f t="shared" si="73"/>
        <v>9801</v>
      </c>
      <c r="E558" s="1" t="s">
        <v>25</v>
      </c>
      <c r="F558" s="1" t="str">
        <f>"129929093"</f>
        <v>129929093</v>
      </c>
      <c r="G558" s="1" t="s">
        <v>33</v>
      </c>
      <c r="H558" s="1" t="str">
        <f t="shared" si="80"/>
        <v>20220909</v>
      </c>
      <c r="I558" s="1" t="str">
        <f>"061837"</f>
        <v>061837</v>
      </c>
      <c r="J558" s="1" t="s">
        <v>28</v>
      </c>
      <c r="K558" s="1" t="s">
        <v>28</v>
      </c>
      <c r="L558" s="1" t="str">
        <f t="shared" si="81"/>
        <v>20220909</v>
      </c>
      <c r="M558" s="1" t="str">
        <f>"065856"</f>
        <v>065856</v>
      </c>
      <c r="N558" s="1" t="s">
        <v>52</v>
      </c>
      <c r="O558" s="1" t="s">
        <v>52</v>
      </c>
      <c r="P558" s="1" t="s">
        <v>55</v>
      </c>
      <c r="Q558" s="1">
        <v>25</v>
      </c>
      <c r="R558" s="1">
        <v>25</v>
      </c>
      <c r="S558" s="1">
        <v>0</v>
      </c>
      <c r="T558" s="1">
        <v>0</v>
      </c>
      <c r="U558" s="1">
        <v>0</v>
      </c>
      <c r="V558" s="1" t="str">
        <f t="shared" si="74"/>
        <v>里程返程</v>
      </c>
      <c r="W558" s="1" t="s">
        <v>35</v>
      </c>
    </row>
    <row r="559" spans="1:23" x14ac:dyDescent="0.3">
      <c r="A559" s="1" t="str">
        <f t="shared" si="79"/>
        <v>59809</v>
      </c>
      <c r="B559" s="1" t="s">
        <v>42</v>
      </c>
      <c r="C559" s="1" t="s">
        <v>43</v>
      </c>
      <c r="D559" s="1" t="str">
        <f t="shared" si="73"/>
        <v>9801</v>
      </c>
      <c r="E559" s="1" t="s">
        <v>25</v>
      </c>
      <c r="F559" s="1" t="str">
        <f>"319D4E29CB280400F700000000000000"</f>
        <v>319D4E29CB280400F700000000000000</v>
      </c>
      <c r="G559" s="1" t="s">
        <v>58</v>
      </c>
      <c r="H559" s="1" t="str">
        <f t="shared" si="80"/>
        <v>20220909</v>
      </c>
      <c r="I559" s="1" t="str">
        <f>"061839"</f>
        <v>061839</v>
      </c>
      <c r="J559" s="1" t="s">
        <v>28</v>
      </c>
      <c r="K559" s="1" t="s">
        <v>28</v>
      </c>
      <c r="L559" s="1" t="str">
        <f t="shared" si="81"/>
        <v>20220909</v>
      </c>
      <c r="M559" s="1" t="str">
        <f>"065902"</f>
        <v>065902</v>
      </c>
      <c r="N559" s="1" t="s">
        <v>52</v>
      </c>
      <c r="O559" s="1" t="s">
        <v>52</v>
      </c>
      <c r="P559" s="1" t="s">
        <v>55</v>
      </c>
      <c r="Q559" s="1">
        <v>25</v>
      </c>
      <c r="R559" s="1">
        <v>25</v>
      </c>
      <c r="S559" s="1">
        <v>0</v>
      </c>
      <c r="T559" s="1">
        <v>0</v>
      </c>
      <c r="U559" s="1">
        <v>0</v>
      </c>
      <c r="V559" s="1" t="str">
        <f t="shared" si="74"/>
        <v>里程返程</v>
      </c>
      <c r="W559" s="1" t="s">
        <v>29</v>
      </c>
    </row>
    <row r="560" spans="1:23" x14ac:dyDescent="0.3">
      <c r="A560" s="1" t="str">
        <f t="shared" si="79"/>
        <v>59809</v>
      </c>
      <c r="B560" s="1" t="s">
        <v>42</v>
      </c>
      <c r="C560" s="1" t="s">
        <v>43</v>
      </c>
      <c r="D560" s="1" t="str">
        <f t="shared" si="73"/>
        <v>9801</v>
      </c>
      <c r="E560" s="1" t="s">
        <v>25</v>
      </c>
      <c r="F560" s="1" t="str">
        <f>"716478293"</f>
        <v>716478293</v>
      </c>
      <c r="G560" s="1" t="s">
        <v>33</v>
      </c>
      <c r="H560" s="1" t="str">
        <f t="shared" si="80"/>
        <v>20220909</v>
      </c>
      <c r="I560" s="1" t="str">
        <f>"061851"</f>
        <v>061851</v>
      </c>
      <c r="J560" s="1" t="s">
        <v>28</v>
      </c>
      <c r="K560" s="1" t="s">
        <v>28</v>
      </c>
      <c r="L560" s="1" t="str">
        <f t="shared" si="81"/>
        <v>20220909</v>
      </c>
      <c r="M560" s="1" t="str">
        <f>"064301"</f>
        <v>064301</v>
      </c>
      <c r="N560" s="1" t="s">
        <v>69</v>
      </c>
      <c r="O560" s="1" t="s">
        <v>52</v>
      </c>
      <c r="P560" s="1" t="s">
        <v>55</v>
      </c>
      <c r="Q560" s="1">
        <v>25</v>
      </c>
      <c r="R560" s="1">
        <v>25</v>
      </c>
      <c r="S560" s="1">
        <v>0</v>
      </c>
      <c r="T560" s="1">
        <v>0</v>
      </c>
      <c r="U560" s="1">
        <v>0</v>
      </c>
      <c r="V560" s="1" t="str">
        <f t="shared" si="74"/>
        <v>里程返程</v>
      </c>
      <c r="W560" s="1" t="s">
        <v>35</v>
      </c>
    </row>
    <row r="561" spans="1:23" x14ac:dyDescent="0.3">
      <c r="A561" s="1" t="str">
        <f t="shared" si="79"/>
        <v>59809</v>
      </c>
      <c r="B561" s="1" t="s">
        <v>42</v>
      </c>
      <c r="C561" s="1" t="s">
        <v>43</v>
      </c>
      <c r="D561" s="1" t="str">
        <f t="shared" si="73"/>
        <v>9801</v>
      </c>
      <c r="E561" s="1" t="s">
        <v>25</v>
      </c>
      <c r="F561" s="1" t="str">
        <f>"2489403922"</f>
        <v>2489403922</v>
      </c>
      <c r="G561" s="1" t="s">
        <v>33</v>
      </c>
      <c r="H561" s="1" t="str">
        <f t="shared" si="80"/>
        <v>20220909</v>
      </c>
      <c r="I561" s="1" t="str">
        <f>"061859"</f>
        <v>061859</v>
      </c>
      <c r="J561" s="1" t="s">
        <v>28</v>
      </c>
      <c r="K561" s="1" t="s">
        <v>28</v>
      </c>
      <c r="L561" s="1" t="str">
        <f t="shared" si="81"/>
        <v>20220909</v>
      </c>
      <c r="M561" s="1" t="str">
        <f>"065242"</f>
        <v>065242</v>
      </c>
      <c r="N561" s="1" t="s">
        <v>65</v>
      </c>
      <c r="O561" s="1" t="s">
        <v>52</v>
      </c>
      <c r="P561" s="1" t="s">
        <v>55</v>
      </c>
      <c r="Q561" s="1">
        <v>25</v>
      </c>
      <c r="R561" s="1">
        <v>25</v>
      </c>
      <c r="S561" s="1">
        <v>0</v>
      </c>
      <c r="T561" s="1">
        <v>0</v>
      </c>
      <c r="U561" s="1">
        <v>0</v>
      </c>
      <c r="V561" s="1" t="str">
        <f t="shared" si="74"/>
        <v>里程返程</v>
      </c>
      <c r="W561" s="1" t="s">
        <v>35</v>
      </c>
    </row>
    <row r="562" spans="1:23" x14ac:dyDescent="0.3">
      <c r="A562" s="1" t="str">
        <f t="shared" si="79"/>
        <v>59809</v>
      </c>
      <c r="B562" s="1" t="s">
        <v>42</v>
      </c>
      <c r="C562" s="1" t="s">
        <v>43</v>
      </c>
      <c r="D562" s="1" t="str">
        <f t="shared" si="73"/>
        <v>9801</v>
      </c>
      <c r="E562" s="1" t="s">
        <v>25</v>
      </c>
      <c r="F562" s="1" t="str">
        <f>"57A4A36C3C88040043250FDF000F0C0E"</f>
        <v>57A4A36C3C88040043250FDF000F0C0E</v>
      </c>
      <c r="G562" s="1" t="s">
        <v>58</v>
      </c>
      <c r="H562" s="1" t="str">
        <f t="shared" si="80"/>
        <v>20220909</v>
      </c>
      <c r="I562" s="1" t="str">
        <f>"071744"</f>
        <v>071744</v>
      </c>
      <c r="J562" s="1" t="s">
        <v>79</v>
      </c>
      <c r="K562" s="1" t="s">
        <v>45</v>
      </c>
      <c r="L562" s="1" t="str">
        <f t="shared" si="81"/>
        <v>20220909</v>
      </c>
      <c r="M562" s="1" t="str">
        <f>"072311"</f>
        <v>072311</v>
      </c>
      <c r="N562" s="1" t="s">
        <v>28</v>
      </c>
      <c r="O562" s="1" t="s">
        <v>28</v>
      </c>
      <c r="P562" s="1" t="s">
        <v>55</v>
      </c>
      <c r="Q562" s="1">
        <v>25</v>
      </c>
      <c r="R562" s="1">
        <v>25</v>
      </c>
      <c r="S562" s="1">
        <v>0</v>
      </c>
      <c r="T562" s="1">
        <v>0</v>
      </c>
      <c r="U562" s="1">
        <v>0</v>
      </c>
      <c r="V562" s="1" t="str">
        <f t="shared" si="74"/>
        <v>里程返程</v>
      </c>
      <c r="W562" s="1" t="s">
        <v>29</v>
      </c>
    </row>
    <row r="563" spans="1:23" x14ac:dyDescent="0.3">
      <c r="A563" s="1" t="str">
        <f t="shared" si="79"/>
        <v>59809</v>
      </c>
      <c r="B563" s="1" t="s">
        <v>42</v>
      </c>
      <c r="C563" s="1" t="s">
        <v>43</v>
      </c>
      <c r="D563" s="1" t="str">
        <f t="shared" si="73"/>
        <v>9801</v>
      </c>
      <c r="E563" s="1" t="s">
        <v>25</v>
      </c>
      <c r="F563" s="1" t="str">
        <f>"F282E40195880400C821002000000015"</f>
        <v>F282E40195880400C821002000000015</v>
      </c>
      <c r="G563" s="1" t="s">
        <v>58</v>
      </c>
      <c r="H563" s="1" t="str">
        <f t="shared" si="80"/>
        <v>20220909</v>
      </c>
      <c r="I563" s="1" t="str">
        <f>"072318"</f>
        <v>072318</v>
      </c>
      <c r="J563" s="1" t="s">
        <v>28</v>
      </c>
      <c r="K563" s="1" t="s">
        <v>28</v>
      </c>
      <c r="L563" s="1" t="str">
        <f t="shared" si="81"/>
        <v>20220909</v>
      </c>
      <c r="M563" s="1" t="str">
        <f>"074347"</f>
        <v>074347</v>
      </c>
      <c r="N563" s="1" t="s">
        <v>65</v>
      </c>
      <c r="O563" s="1" t="s">
        <v>52</v>
      </c>
      <c r="P563" s="1" t="s">
        <v>55</v>
      </c>
      <c r="Q563" s="1">
        <v>25</v>
      </c>
      <c r="R563" s="1">
        <v>0</v>
      </c>
      <c r="S563" s="1">
        <v>25</v>
      </c>
      <c r="T563" s="1">
        <v>0</v>
      </c>
      <c r="U563" s="1">
        <v>0</v>
      </c>
      <c r="V563" s="1" t="str">
        <f t="shared" si="74"/>
        <v>里程返程</v>
      </c>
      <c r="W563" s="1" t="s">
        <v>29</v>
      </c>
    </row>
    <row r="564" spans="1:23" x14ac:dyDescent="0.3">
      <c r="A564" s="1" t="str">
        <f t="shared" si="79"/>
        <v>59809</v>
      </c>
      <c r="B564" s="1" t="s">
        <v>42</v>
      </c>
      <c r="C564" s="1" t="s">
        <v>43</v>
      </c>
      <c r="D564" s="1" t="str">
        <f t="shared" si="73"/>
        <v>9801</v>
      </c>
      <c r="E564" s="1" t="s">
        <v>25</v>
      </c>
      <c r="F564" s="1" t="str">
        <f>"894153189"</f>
        <v>894153189</v>
      </c>
      <c r="G564" s="1" t="s">
        <v>33</v>
      </c>
      <c r="H564" s="1" t="str">
        <f t="shared" si="80"/>
        <v>20220909</v>
      </c>
      <c r="I564" s="1" t="str">
        <f>"072321"</f>
        <v>072321</v>
      </c>
      <c r="J564" s="1" t="s">
        <v>28</v>
      </c>
      <c r="K564" s="1" t="s">
        <v>28</v>
      </c>
      <c r="L564" s="1" t="str">
        <f t="shared" si="81"/>
        <v>20220909</v>
      </c>
      <c r="M564" s="1" t="str">
        <f>"074451"</f>
        <v>074451</v>
      </c>
      <c r="N564" s="1" t="s">
        <v>72</v>
      </c>
      <c r="O564" s="1" t="s">
        <v>52</v>
      </c>
      <c r="P564" s="1" t="s">
        <v>55</v>
      </c>
      <c r="Q564" s="1">
        <v>25</v>
      </c>
      <c r="R564" s="1">
        <v>0</v>
      </c>
      <c r="S564" s="1">
        <v>25</v>
      </c>
      <c r="T564" s="1">
        <v>0</v>
      </c>
      <c r="U564" s="1">
        <v>0</v>
      </c>
      <c r="V564" s="1" t="str">
        <f t="shared" si="74"/>
        <v>里程返程</v>
      </c>
      <c r="W564" s="1" t="s">
        <v>35</v>
      </c>
    </row>
    <row r="565" spans="1:23" x14ac:dyDescent="0.3">
      <c r="A565" s="1" t="str">
        <f t="shared" si="79"/>
        <v>59809</v>
      </c>
      <c r="B565" s="1" t="s">
        <v>42</v>
      </c>
      <c r="C565" s="1" t="s">
        <v>43</v>
      </c>
      <c r="D565" s="1" t="str">
        <f t="shared" si="73"/>
        <v>9801</v>
      </c>
      <c r="E565" s="1" t="s">
        <v>25</v>
      </c>
      <c r="F565" s="1" t="str">
        <f>"951739489"</f>
        <v>951739489</v>
      </c>
      <c r="G565" s="1" t="s">
        <v>33</v>
      </c>
      <c r="H565" s="1" t="str">
        <f t="shared" si="80"/>
        <v>20220909</v>
      </c>
      <c r="I565" s="1" t="str">
        <f>"072323"</f>
        <v>072323</v>
      </c>
      <c r="J565" s="1" t="s">
        <v>28</v>
      </c>
      <c r="K565" s="1" t="s">
        <v>28</v>
      </c>
      <c r="L565" s="1" t="str">
        <f t="shared" si="81"/>
        <v>20220909</v>
      </c>
      <c r="M565" s="1" t="str">
        <f>"074341"</f>
        <v>074341</v>
      </c>
      <c r="N565" s="1" t="s">
        <v>65</v>
      </c>
      <c r="O565" s="1" t="s">
        <v>52</v>
      </c>
      <c r="P565" s="1" t="s">
        <v>55</v>
      </c>
      <c r="Q565" s="1">
        <v>25</v>
      </c>
      <c r="R565" s="1">
        <v>0</v>
      </c>
      <c r="S565" s="1">
        <v>25</v>
      </c>
      <c r="T565" s="1">
        <v>0</v>
      </c>
      <c r="U565" s="1">
        <v>0</v>
      </c>
      <c r="V565" s="1" t="str">
        <f t="shared" si="74"/>
        <v>里程返程</v>
      </c>
      <c r="W565" s="1" t="s">
        <v>35</v>
      </c>
    </row>
    <row r="566" spans="1:23" x14ac:dyDescent="0.3">
      <c r="A566" s="1" t="str">
        <f t="shared" si="79"/>
        <v>59809</v>
      </c>
      <c r="B566" s="1" t="s">
        <v>42</v>
      </c>
      <c r="C566" s="1" t="s">
        <v>43</v>
      </c>
      <c r="D566" s="1" t="str">
        <f t="shared" si="73"/>
        <v>9801</v>
      </c>
      <c r="E566" s="1" t="s">
        <v>25</v>
      </c>
      <c r="F566" s="1" t="str">
        <f>"3567581555"</f>
        <v>3567581555</v>
      </c>
      <c r="G566" s="1" t="s">
        <v>33</v>
      </c>
      <c r="H566" s="1" t="str">
        <f t="shared" si="80"/>
        <v>20220909</v>
      </c>
      <c r="I566" s="1" t="str">
        <f>"072328"</f>
        <v>072328</v>
      </c>
      <c r="J566" s="1" t="s">
        <v>28</v>
      </c>
      <c r="K566" s="1" t="s">
        <v>28</v>
      </c>
      <c r="L566" s="1" t="str">
        <f t="shared" si="81"/>
        <v>20220909</v>
      </c>
      <c r="M566" s="1" t="str">
        <f>"075233"</f>
        <v>075233</v>
      </c>
      <c r="N566" s="1" t="s">
        <v>52</v>
      </c>
      <c r="O566" s="1" t="s">
        <v>52</v>
      </c>
      <c r="P566" s="1" t="s">
        <v>55</v>
      </c>
      <c r="Q566" s="1">
        <v>25</v>
      </c>
      <c r="R566" s="1">
        <v>25</v>
      </c>
      <c r="S566" s="1">
        <v>0</v>
      </c>
      <c r="T566" s="1">
        <v>0</v>
      </c>
      <c r="U566" s="1">
        <v>0</v>
      </c>
      <c r="V566" s="1" t="str">
        <f t="shared" si="74"/>
        <v>里程返程</v>
      </c>
      <c r="W566" s="1" t="s">
        <v>35</v>
      </c>
    </row>
    <row r="567" spans="1:23" x14ac:dyDescent="0.3">
      <c r="A567" s="1" t="str">
        <f t="shared" si="79"/>
        <v>59809</v>
      </c>
      <c r="B567" s="1" t="s">
        <v>42</v>
      </c>
      <c r="C567" s="1" t="s">
        <v>43</v>
      </c>
      <c r="D567" s="1" t="str">
        <f t="shared" si="73"/>
        <v>9801</v>
      </c>
      <c r="E567" s="1" t="s">
        <v>25</v>
      </c>
      <c r="F567" s="1" t="str">
        <f>"1759959808"</f>
        <v>1759959808</v>
      </c>
      <c r="G567" s="1" t="s">
        <v>33</v>
      </c>
      <c r="H567" s="1" t="str">
        <f t="shared" si="80"/>
        <v>20220909</v>
      </c>
      <c r="I567" s="1" t="str">
        <f>"074026"</f>
        <v>074026</v>
      </c>
      <c r="J567" s="1" t="s">
        <v>80</v>
      </c>
      <c r="K567" s="1" t="s">
        <v>52</v>
      </c>
      <c r="L567" s="1" t="str">
        <f t="shared" si="81"/>
        <v>20220909</v>
      </c>
      <c r="M567" s="1" t="str">
        <f>"074808"</f>
        <v>074808</v>
      </c>
      <c r="N567" s="1" t="s">
        <v>60</v>
      </c>
      <c r="O567" s="1" t="s">
        <v>52</v>
      </c>
      <c r="P567" s="1" t="s">
        <v>55</v>
      </c>
      <c r="Q567" s="1">
        <v>25</v>
      </c>
      <c r="R567" s="1">
        <v>25</v>
      </c>
      <c r="S567" s="1">
        <v>0</v>
      </c>
      <c r="T567" s="1">
        <v>0</v>
      </c>
      <c r="U567" s="1">
        <v>0</v>
      </c>
      <c r="V567" s="1" t="str">
        <f t="shared" si="74"/>
        <v>里程返程</v>
      </c>
      <c r="W567" s="1" t="s">
        <v>35</v>
      </c>
    </row>
    <row r="568" spans="1:23" x14ac:dyDescent="0.3">
      <c r="A568" s="1" t="str">
        <f t="shared" si="79"/>
        <v>59809</v>
      </c>
      <c r="B568" s="1" t="s">
        <v>42</v>
      </c>
      <c r="C568" s="1" t="s">
        <v>43</v>
      </c>
      <c r="D568" s="1" t="str">
        <f t="shared" si="73"/>
        <v>9801</v>
      </c>
      <c r="E568" s="1" t="s">
        <v>25</v>
      </c>
      <c r="F568" s="1" t="str">
        <f>"32780D0344880400C834002000000015"</f>
        <v>32780D0344880400C834002000000015</v>
      </c>
      <c r="G568" s="1" t="s">
        <v>26</v>
      </c>
      <c r="H568" s="1" t="str">
        <f t="shared" si="80"/>
        <v>20220909</v>
      </c>
      <c r="I568" s="1" t="str">
        <f>"122212"</f>
        <v>122212</v>
      </c>
      <c r="J568" s="1" t="s">
        <v>44</v>
      </c>
      <c r="K568" s="1" t="s">
        <v>45</v>
      </c>
      <c r="L568" s="1" t="str">
        <f t="shared" si="81"/>
        <v>20220909</v>
      </c>
      <c r="M568" s="1" t="str">
        <f>"125307"</f>
        <v>125307</v>
      </c>
      <c r="N568" s="1" t="s">
        <v>95</v>
      </c>
      <c r="O568" s="1" t="s">
        <v>28</v>
      </c>
      <c r="P568" s="1" t="s">
        <v>68</v>
      </c>
      <c r="Q568" s="1">
        <v>13</v>
      </c>
      <c r="R568" s="1">
        <v>0</v>
      </c>
      <c r="S568" s="1">
        <v>0</v>
      </c>
      <c r="T568" s="1">
        <v>13</v>
      </c>
      <c r="U568" s="1">
        <v>0</v>
      </c>
      <c r="V568" s="1" t="str">
        <f t="shared" si="74"/>
        <v>里程返程</v>
      </c>
      <c r="W568" s="1" t="s">
        <v>29</v>
      </c>
    </row>
    <row r="569" spans="1:23" x14ac:dyDescent="0.3">
      <c r="A569" s="1" t="str">
        <f t="shared" si="79"/>
        <v>59809</v>
      </c>
      <c r="B569" s="1" t="s">
        <v>42</v>
      </c>
      <c r="C569" s="1" t="s">
        <v>43</v>
      </c>
      <c r="D569" s="1" t="str">
        <f t="shared" si="73"/>
        <v>9801</v>
      </c>
      <c r="E569" s="1" t="s">
        <v>25</v>
      </c>
      <c r="F569" s="1" t="str">
        <f>"F2F7D002D7880400C834002000000015"</f>
        <v>F2F7D002D7880400C834002000000015</v>
      </c>
      <c r="G569" s="1" t="s">
        <v>74</v>
      </c>
      <c r="H569" s="1" t="str">
        <f t="shared" si="80"/>
        <v>20220909</v>
      </c>
      <c r="I569" s="1" t="str">
        <f>"122736"</f>
        <v>122736</v>
      </c>
      <c r="J569" s="1" t="s">
        <v>44</v>
      </c>
      <c r="K569" s="1" t="s">
        <v>45</v>
      </c>
      <c r="L569" s="1" t="str">
        <f t="shared" si="81"/>
        <v>20220909</v>
      </c>
      <c r="M569" s="1" t="str">
        <f>"131118"</f>
        <v>131118</v>
      </c>
      <c r="N569" s="1" t="s">
        <v>80</v>
      </c>
      <c r="O569" s="1" t="s">
        <v>52</v>
      </c>
      <c r="P569" s="1" t="s">
        <v>68</v>
      </c>
      <c r="Q569" s="1">
        <v>25</v>
      </c>
      <c r="R569" s="1">
        <v>0</v>
      </c>
      <c r="S569" s="1">
        <v>0</v>
      </c>
      <c r="T569" s="1">
        <v>25</v>
      </c>
      <c r="U569" s="1">
        <v>0</v>
      </c>
      <c r="V569" s="1" t="str">
        <f t="shared" si="74"/>
        <v>里程返程</v>
      </c>
      <c r="W569" s="1" t="s">
        <v>29</v>
      </c>
    </row>
    <row r="570" spans="1:23" x14ac:dyDescent="0.3">
      <c r="A570" s="1" t="str">
        <f t="shared" si="79"/>
        <v>59809</v>
      </c>
      <c r="B570" s="1" t="s">
        <v>42</v>
      </c>
      <c r="C570" s="1" t="s">
        <v>43</v>
      </c>
      <c r="D570" s="1" t="str">
        <f t="shared" si="73"/>
        <v>9801</v>
      </c>
      <c r="E570" s="1" t="s">
        <v>25</v>
      </c>
      <c r="F570" s="1" t="str">
        <f>"828667157"</f>
        <v>828667157</v>
      </c>
      <c r="G570" s="1" t="s">
        <v>33</v>
      </c>
      <c r="H570" s="1" t="str">
        <f t="shared" si="80"/>
        <v>20220909</v>
      </c>
      <c r="I570" s="1" t="str">
        <f>"124041"</f>
        <v>124041</v>
      </c>
      <c r="J570" s="1" t="s">
        <v>75</v>
      </c>
      <c r="K570" s="1" t="s">
        <v>45</v>
      </c>
      <c r="L570" s="1" t="str">
        <f t="shared" si="81"/>
        <v>20220909</v>
      </c>
      <c r="M570" s="1" t="str">
        <f>"125427"</f>
        <v>125427</v>
      </c>
      <c r="N570" s="1" t="s">
        <v>28</v>
      </c>
      <c r="O570" s="1" t="s">
        <v>28</v>
      </c>
      <c r="P570" s="1" t="s">
        <v>55</v>
      </c>
      <c r="Q570" s="1">
        <v>25</v>
      </c>
      <c r="R570" s="1">
        <v>25</v>
      </c>
      <c r="S570" s="1">
        <v>0</v>
      </c>
      <c r="T570" s="1">
        <v>0</v>
      </c>
      <c r="U570" s="1">
        <v>0</v>
      </c>
      <c r="V570" s="1" t="str">
        <f t="shared" si="74"/>
        <v>里程返程</v>
      </c>
      <c r="W570" s="1" t="s">
        <v>35</v>
      </c>
    </row>
    <row r="571" spans="1:23" x14ac:dyDescent="0.3">
      <c r="A571" s="1" t="str">
        <f t="shared" si="79"/>
        <v>59809</v>
      </c>
      <c r="B571" s="1" t="s">
        <v>42</v>
      </c>
      <c r="C571" s="1" t="s">
        <v>43</v>
      </c>
      <c r="D571" s="1" t="str">
        <f t="shared" si="73"/>
        <v>9801</v>
      </c>
      <c r="E571" s="1" t="s">
        <v>25</v>
      </c>
      <c r="F571" s="1" t="str">
        <f>"2188754346"</f>
        <v>2188754346</v>
      </c>
      <c r="G571" s="1" t="s">
        <v>96</v>
      </c>
      <c r="H571" s="1" t="str">
        <f t="shared" si="80"/>
        <v>20220909</v>
      </c>
      <c r="I571" s="1" t="str">
        <f>"125600"</f>
        <v>125600</v>
      </c>
      <c r="J571" s="1" t="s">
        <v>28</v>
      </c>
      <c r="K571" s="1" t="s">
        <v>28</v>
      </c>
      <c r="L571" s="1" t="str">
        <f t="shared" si="81"/>
        <v>20220909</v>
      </c>
      <c r="M571" s="1" t="str">
        <f>"132046"</f>
        <v>132046</v>
      </c>
      <c r="N571" s="1" t="s">
        <v>86</v>
      </c>
      <c r="O571" s="1" t="s">
        <v>52</v>
      </c>
      <c r="P571" s="1" t="s">
        <v>55</v>
      </c>
      <c r="Q571" s="1">
        <v>13</v>
      </c>
      <c r="R571" s="1">
        <v>13</v>
      </c>
      <c r="S571" s="1">
        <v>0</v>
      </c>
      <c r="T571" s="1">
        <v>0</v>
      </c>
      <c r="U571" s="1">
        <v>0</v>
      </c>
      <c r="V571" s="1" t="str">
        <f t="shared" si="74"/>
        <v>里程返程</v>
      </c>
      <c r="W571" s="1" t="s">
        <v>35</v>
      </c>
    </row>
    <row r="572" spans="1:23" x14ac:dyDescent="0.3">
      <c r="A572" s="1" t="str">
        <f t="shared" si="79"/>
        <v>59809</v>
      </c>
      <c r="B572" s="1" t="s">
        <v>42</v>
      </c>
      <c r="C572" s="1" t="s">
        <v>43</v>
      </c>
      <c r="D572" s="1" t="str">
        <f t="shared" si="73"/>
        <v>9801</v>
      </c>
      <c r="E572" s="1" t="s">
        <v>25</v>
      </c>
      <c r="F572" s="1" t="str">
        <f>"1005785253"</f>
        <v>1005785253</v>
      </c>
      <c r="G572" s="1" t="s">
        <v>38</v>
      </c>
      <c r="H572" s="1" t="str">
        <f t="shared" si="80"/>
        <v>20220909</v>
      </c>
      <c r="I572" s="1" t="str">
        <f>"125604"</f>
        <v>125604</v>
      </c>
      <c r="J572" s="1" t="s">
        <v>28</v>
      </c>
      <c r="K572" s="1" t="s">
        <v>28</v>
      </c>
      <c r="L572" s="1" t="str">
        <f t="shared" si="81"/>
        <v>20220909</v>
      </c>
      <c r="M572" s="1" t="str">
        <f>"132052"</f>
        <v>132052</v>
      </c>
      <c r="N572" s="1" t="s">
        <v>86</v>
      </c>
      <c r="O572" s="1" t="s">
        <v>52</v>
      </c>
      <c r="P572" s="1" t="s">
        <v>55</v>
      </c>
      <c r="Q572" s="1">
        <v>25</v>
      </c>
      <c r="R572" s="1">
        <v>25</v>
      </c>
      <c r="S572" s="1">
        <v>0</v>
      </c>
      <c r="T572" s="1">
        <v>0</v>
      </c>
      <c r="U572" s="1">
        <v>0</v>
      </c>
      <c r="V572" s="1" t="str">
        <f t="shared" si="74"/>
        <v>里程返程</v>
      </c>
      <c r="W572" s="1" t="s">
        <v>35</v>
      </c>
    </row>
    <row r="573" spans="1:23" x14ac:dyDescent="0.3">
      <c r="A573" s="1" t="str">
        <f t="shared" si="79"/>
        <v>59809</v>
      </c>
      <c r="B573" s="1" t="s">
        <v>42</v>
      </c>
      <c r="C573" s="1" t="s">
        <v>43</v>
      </c>
      <c r="D573" s="1" t="str">
        <f t="shared" si="73"/>
        <v>9801</v>
      </c>
      <c r="E573" s="1" t="s">
        <v>25</v>
      </c>
      <c r="F573" s="1" t="str">
        <f>"1219055285"</f>
        <v>1219055285</v>
      </c>
      <c r="G573" s="1" t="s">
        <v>26</v>
      </c>
      <c r="H573" s="1" t="str">
        <f t="shared" si="80"/>
        <v>20220909</v>
      </c>
      <c r="I573" s="1" t="str">
        <f>"145008"</f>
        <v>145008</v>
      </c>
      <c r="J573" s="1" t="s">
        <v>28</v>
      </c>
      <c r="K573" s="1" t="s">
        <v>28</v>
      </c>
      <c r="L573" s="1" t="str">
        <f t="shared" si="81"/>
        <v>20220909</v>
      </c>
      <c r="M573" s="1" t="str">
        <f>"151719"</f>
        <v>151719</v>
      </c>
      <c r="N573" s="1" t="s">
        <v>60</v>
      </c>
      <c r="O573" s="1" t="s">
        <v>52</v>
      </c>
      <c r="P573" s="1" t="s">
        <v>55</v>
      </c>
      <c r="Q573" s="1">
        <v>13</v>
      </c>
      <c r="R573" s="1">
        <v>13</v>
      </c>
      <c r="S573" s="1">
        <v>0</v>
      </c>
      <c r="T573" s="1">
        <v>0</v>
      </c>
      <c r="U573" s="1">
        <v>0</v>
      </c>
      <c r="V573" s="1" t="str">
        <f t="shared" si="74"/>
        <v>里程返程</v>
      </c>
      <c r="W573" s="1" t="s">
        <v>35</v>
      </c>
    </row>
    <row r="574" spans="1:23" x14ac:dyDescent="0.3">
      <c r="A574" s="1" t="str">
        <f t="shared" si="79"/>
        <v>59809</v>
      </c>
      <c r="B574" s="1" t="s">
        <v>42</v>
      </c>
      <c r="C574" s="1" t="s">
        <v>43</v>
      </c>
      <c r="D574" s="1" t="str">
        <f t="shared" si="73"/>
        <v>9801</v>
      </c>
      <c r="E574" s="1" t="s">
        <v>25</v>
      </c>
      <c r="F574" s="1" t="str">
        <f>"623A1B0340880400C834002000000015"</f>
        <v>623A1B0340880400C834002000000015</v>
      </c>
      <c r="G574" s="1" t="s">
        <v>26</v>
      </c>
      <c r="H574" s="1" t="str">
        <f t="shared" si="80"/>
        <v>20220909</v>
      </c>
      <c r="I574" s="1" t="str">
        <f>"145018"</f>
        <v>145018</v>
      </c>
      <c r="J574" s="1" t="s">
        <v>28</v>
      </c>
      <c r="K574" s="1" t="s">
        <v>28</v>
      </c>
      <c r="L574" s="1" t="str">
        <f t="shared" si="81"/>
        <v>20220909</v>
      </c>
      <c r="M574" s="1" t="str">
        <f>"151142"</f>
        <v>151142</v>
      </c>
      <c r="N574" s="1" t="s">
        <v>65</v>
      </c>
      <c r="O574" s="1" t="s">
        <v>52</v>
      </c>
      <c r="P574" s="1" t="s">
        <v>68</v>
      </c>
      <c r="Q574" s="1">
        <v>13</v>
      </c>
      <c r="R574" s="1">
        <v>0</v>
      </c>
      <c r="S574" s="1">
        <v>0</v>
      </c>
      <c r="T574" s="1">
        <v>13</v>
      </c>
      <c r="U574" s="1">
        <v>0</v>
      </c>
      <c r="V574" s="1" t="str">
        <f t="shared" si="74"/>
        <v>里程返程</v>
      </c>
      <c r="W574" s="1" t="s">
        <v>29</v>
      </c>
    </row>
    <row r="575" spans="1:23" x14ac:dyDescent="0.3">
      <c r="A575" s="1" t="str">
        <f t="shared" si="79"/>
        <v>59809</v>
      </c>
      <c r="B575" s="1" t="s">
        <v>42</v>
      </c>
      <c r="C575" s="1" t="s">
        <v>43</v>
      </c>
      <c r="D575" s="1" t="str">
        <f t="shared" si="73"/>
        <v>9801</v>
      </c>
      <c r="E575" s="1" t="s">
        <v>25</v>
      </c>
      <c r="F575" s="1" t="str">
        <f>"F2F7D002D7880400C834002000000015"</f>
        <v>F2F7D002D7880400C834002000000015</v>
      </c>
      <c r="G575" s="1" t="s">
        <v>74</v>
      </c>
      <c r="H575" s="1" t="str">
        <f t="shared" si="80"/>
        <v>20220909</v>
      </c>
      <c r="I575" s="1" t="str">
        <f>"150828"</f>
        <v>150828</v>
      </c>
      <c r="J575" s="1" t="s">
        <v>80</v>
      </c>
      <c r="K575" s="1" t="s">
        <v>52</v>
      </c>
      <c r="L575" s="1" t="str">
        <f t="shared" si="81"/>
        <v>20220909</v>
      </c>
      <c r="M575" s="1" t="str">
        <f>"151928"</f>
        <v>151928</v>
      </c>
      <c r="N575" s="1" t="s">
        <v>86</v>
      </c>
      <c r="O575" s="1" t="s">
        <v>52</v>
      </c>
      <c r="P575" s="1" t="s">
        <v>68</v>
      </c>
      <c r="Q575" s="1">
        <v>13</v>
      </c>
      <c r="R575" s="1">
        <v>0</v>
      </c>
      <c r="S575" s="1">
        <v>0</v>
      </c>
      <c r="T575" s="1">
        <v>13</v>
      </c>
      <c r="U575" s="1">
        <v>0</v>
      </c>
      <c r="V575" s="1" t="str">
        <f t="shared" si="74"/>
        <v>里程返程</v>
      </c>
      <c r="W575" s="1" t="s">
        <v>29</v>
      </c>
    </row>
    <row r="576" spans="1:23" x14ac:dyDescent="0.3">
      <c r="A576" s="1" t="str">
        <f t="shared" si="79"/>
        <v>59809</v>
      </c>
      <c r="B576" s="1" t="s">
        <v>42</v>
      </c>
      <c r="C576" s="1" t="s">
        <v>43</v>
      </c>
      <c r="D576" s="1" t="str">
        <f t="shared" si="73"/>
        <v>9801</v>
      </c>
      <c r="E576" s="1" t="s">
        <v>25</v>
      </c>
      <c r="F576" s="1" t="str">
        <f>"7227E702B0880400C834002000000015"</f>
        <v>7227E702B0880400C834002000000015</v>
      </c>
      <c r="G576" s="1" t="s">
        <v>74</v>
      </c>
      <c r="H576" s="1" t="str">
        <f t="shared" si="80"/>
        <v>20220909</v>
      </c>
      <c r="I576" s="1" t="str">
        <f>"150831"</f>
        <v>150831</v>
      </c>
      <c r="J576" s="1" t="s">
        <v>80</v>
      </c>
      <c r="K576" s="1" t="s">
        <v>52</v>
      </c>
      <c r="L576" s="1" t="str">
        <f t="shared" si="81"/>
        <v>20220909</v>
      </c>
      <c r="M576" s="1" t="str">
        <f>"152102"</f>
        <v>152102</v>
      </c>
      <c r="N576" s="1" t="s">
        <v>52</v>
      </c>
      <c r="O576" s="1" t="s">
        <v>52</v>
      </c>
      <c r="P576" s="1" t="s">
        <v>68</v>
      </c>
      <c r="Q576" s="1">
        <v>13</v>
      </c>
      <c r="R576" s="1">
        <v>0</v>
      </c>
      <c r="S576" s="1">
        <v>0</v>
      </c>
      <c r="T576" s="1">
        <v>13</v>
      </c>
      <c r="U576" s="1">
        <v>0</v>
      </c>
      <c r="V576" s="1" t="str">
        <f t="shared" si="74"/>
        <v>里程返程</v>
      </c>
      <c r="W576" s="1" t="s">
        <v>29</v>
      </c>
    </row>
    <row r="577" spans="1:23" x14ac:dyDescent="0.3">
      <c r="A577" s="1" t="str">
        <f t="shared" si="79"/>
        <v>59809</v>
      </c>
      <c r="B577" s="1" t="s">
        <v>42</v>
      </c>
      <c r="C577" s="1" t="s">
        <v>43</v>
      </c>
      <c r="D577" s="1" t="str">
        <f t="shared" si="73"/>
        <v>9801</v>
      </c>
      <c r="E577" s="1" t="s">
        <v>25</v>
      </c>
      <c r="F577" s="1" t="str">
        <f>"138789841"</f>
        <v>138789841</v>
      </c>
      <c r="G577" s="1" t="s">
        <v>33</v>
      </c>
      <c r="H577" s="1" t="str">
        <f t="shared" si="80"/>
        <v>20220909</v>
      </c>
      <c r="I577" s="1" t="str">
        <f>"152140"</f>
        <v>152140</v>
      </c>
      <c r="J577" s="1" t="s">
        <v>44</v>
      </c>
      <c r="K577" s="1" t="s">
        <v>45</v>
      </c>
      <c r="L577" s="1" t="str">
        <f t="shared" si="81"/>
        <v>20220909</v>
      </c>
      <c r="M577" s="1" t="str">
        <f>"154311"</f>
        <v>154311</v>
      </c>
      <c r="N577" s="1" t="s">
        <v>79</v>
      </c>
      <c r="O577" s="1" t="s">
        <v>45</v>
      </c>
      <c r="P577" s="1" t="s">
        <v>55</v>
      </c>
      <c r="Q577" s="1">
        <v>25</v>
      </c>
      <c r="R577" s="1">
        <v>25</v>
      </c>
      <c r="S577" s="1">
        <v>0</v>
      </c>
      <c r="T577" s="1">
        <v>0</v>
      </c>
      <c r="U577" s="1">
        <v>0</v>
      </c>
      <c r="V577" s="1" t="str">
        <f t="shared" si="74"/>
        <v>里程返程</v>
      </c>
      <c r="W577" s="1" t="s">
        <v>35</v>
      </c>
    </row>
    <row r="578" spans="1:23" x14ac:dyDescent="0.3">
      <c r="A578" s="1" t="str">
        <f t="shared" si="79"/>
        <v>59809</v>
      </c>
      <c r="B578" s="1" t="s">
        <v>42</v>
      </c>
      <c r="C578" s="1" t="s">
        <v>43</v>
      </c>
      <c r="D578" s="1" t="str">
        <f t="shared" ref="D578:D641" si="82">"9801"</f>
        <v>9801</v>
      </c>
      <c r="E578" s="1" t="s">
        <v>25</v>
      </c>
      <c r="F578" s="1" t="str">
        <f>"42AFE60209880400C834002000000015"</f>
        <v>42AFE60209880400C834002000000015</v>
      </c>
      <c r="G578" s="1" t="s">
        <v>74</v>
      </c>
      <c r="H578" s="1" t="str">
        <f t="shared" si="80"/>
        <v>20220909</v>
      </c>
      <c r="I578" s="1" t="str">
        <f>"161149"</f>
        <v>161149</v>
      </c>
      <c r="J578" s="1" t="s">
        <v>80</v>
      </c>
      <c r="K578" s="1" t="s">
        <v>52</v>
      </c>
      <c r="L578" s="1" t="str">
        <f t="shared" si="81"/>
        <v>20220909</v>
      </c>
      <c r="M578" s="1" t="str">
        <f>"162417"</f>
        <v>162417</v>
      </c>
      <c r="N578" s="1" t="s">
        <v>52</v>
      </c>
      <c r="O578" s="1" t="s">
        <v>52</v>
      </c>
      <c r="P578" s="1" t="s">
        <v>68</v>
      </c>
      <c r="Q578" s="1">
        <v>13</v>
      </c>
      <c r="R578" s="1">
        <v>0</v>
      </c>
      <c r="S578" s="1">
        <v>0</v>
      </c>
      <c r="T578" s="1">
        <v>13</v>
      </c>
      <c r="U578" s="1">
        <v>0</v>
      </c>
      <c r="V578" s="1" t="str">
        <f t="shared" ref="V578:V641" si="83">"里程返程"</f>
        <v>里程返程</v>
      </c>
      <c r="W578" s="1" t="s">
        <v>29</v>
      </c>
    </row>
    <row r="579" spans="1:23" x14ac:dyDescent="0.3">
      <c r="A579" s="1" t="str">
        <f t="shared" si="79"/>
        <v>59809</v>
      </c>
      <c r="B579" s="1" t="s">
        <v>42</v>
      </c>
      <c r="C579" s="1" t="s">
        <v>43</v>
      </c>
      <c r="D579" s="1" t="str">
        <f t="shared" si="82"/>
        <v>9801</v>
      </c>
      <c r="E579" s="1" t="s">
        <v>25</v>
      </c>
      <c r="F579" s="1" t="str">
        <f>"6280E61A1E880400C817002000000021"</f>
        <v>6280E61A1E880400C817002000000021</v>
      </c>
      <c r="G579" s="1" t="s">
        <v>58</v>
      </c>
      <c r="H579" s="1" t="str">
        <f t="shared" si="80"/>
        <v>20220909</v>
      </c>
      <c r="I579" s="1" t="str">
        <f>"162450"</f>
        <v>162450</v>
      </c>
      <c r="J579" s="1" t="s">
        <v>44</v>
      </c>
      <c r="K579" s="1" t="s">
        <v>45</v>
      </c>
      <c r="L579" s="1" t="str">
        <f t="shared" si="81"/>
        <v>20220909</v>
      </c>
      <c r="M579" s="1" t="str">
        <f>"165247"</f>
        <v>165247</v>
      </c>
      <c r="N579" s="1" t="s">
        <v>28</v>
      </c>
      <c r="O579" s="1" t="s">
        <v>28</v>
      </c>
      <c r="P579" s="1" t="s">
        <v>55</v>
      </c>
      <c r="Q579" s="1">
        <v>25</v>
      </c>
      <c r="R579" s="1">
        <v>25</v>
      </c>
      <c r="S579" s="1">
        <v>0</v>
      </c>
      <c r="T579" s="1">
        <v>0</v>
      </c>
      <c r="U579" s="1">
        <v>0</v>
      </c>
      <c r="V579" s="1" t="str">
        <f t="shared" si="83"/>
        <v>里程返程</v>
      </c>
      <c r="W579" s="1" t="s">
        <v>29</v>
      </c>
    </row>
    <row r="580" spans="1:23" x14ac:dyDescent="0.3">
      <c r="A580" s="1" t="str">
        <f t="shared" si="79"/>
        <v>59809</v>
      </c>
      <c r="B580" s="1" t="s">
        <v>42</v>
      </c>
      <c r="C580" s="1" t="s">
        <v>43</v>
      </c>
      <c r="D580" s="1" t="str">
        <f t="shared" si="82"/>
        <v>9801</v>
      </c>
      <c r="E580" s="1" t="s">
        <v>25</v>
      </c>
      <c r="F580" s="1" t="str">
        <f>"1382699153"</f>
        <v>1382699153</v>
      </c>
      <c r="G580" s="1" t="s">
        <v>33</v>
      </c>
      <c r="H580" s="1" t="str">
        <f t="shared" si="80"/>
        <v>20220909</v>
      </c>
      <c r="I580" s="1" t="str">
        <f>"162548"</f>
        <v>162548</v>
      </c>
      <c r="J580" s="1" t="s">
        <v>44</v>
      </c>
      <c r="K580" s="1" t="s">
        <v>45</v>
      </c>
      <c r="L580" s="1" t="str">
        <f t="shared" si="81"/>
        <v>20220909</v>
      </c>
      <c r="M580" s="1" t="str">
        <f>"165257"</f>
        <v>165257</v>
      </c>
      <c r="N580" s="1" t="s">
        <v>28</v>
      </c>
      <c r="O580" s="1" t="s">
        <v>28</v>
      </c>
      <c r="P580" s="1" t="s">
        <v>55</v>
      </c>
      <c r="Q580" s="1">
        <v>25</v>
      </c>
      <c r="R580" s="1">
        <v>25</v>
      </c>
      <c r="S580" s="1">
        <v>0</v>
      </c>
      <c r="T580" s="1">
        <v>0</v>
      </c>
      <c r="U580" s="1">
        <v>0</v>
      </c>
      <c r="V580" s="1" t="str">
        <f t="shared" si="83"/>
        <v>里程返程</v>
      </c>
      <c r="W580" s="1" t="s">
        <v>35</v>
      </c>
    </row>
    <row r="581" spans="1:23" x14ac:dyDescent="0.3">
      <c r="A581" s="1" t="str">
        <f t="shared" si="79"/>
        <v>59809</v>
      </c>
      <c r="B581" s="1" t="s">
        <v>42</v>
      </c>
      <c r="C581" s="1" t="s">
        <v>43</v>
      </c>
      <c r="D581" s="1" t="str">
        <f t="shared" si="82"/>
        <v>9801</v>
      </c>
      <c r="E581" s="1" t="s">
        <v>25</v>
      </c>
      <c r="F581" s="1" t="str">
        <f>"1695105317"</f>
        <v>1695105317</v>
      </c>
      <c r="G581" s="1" t="s">
        <v>33</v>
      </c>
      <c r="H581" s="1" t="str">
        <f t="shared" si="80"/>
        <v>20220909</v>
      </c>
      <c r="I581" s="1" t="str">
        <f>"162551"</f>
        <v>162551</v>
      </c>
      <c r="J581" s="1" t="s">
        <v>44</v>
      </c>
      <c r="K581" s="1" t="s">
        <v>45</v>
      </c>
      <c r="L581" s="1" t="str">
        <f t="shared" si="81"/>
        <v>20220909</v>
      </c>
      <c r="M581" s="1" t="str">
        <f>"165249"</f>
        <v>165249</v>
      </c>
      <c r="N581" s="1" t="s">
        <v>28</v>
      </c>
      <c r="O581" s="1" t="s">
        <v>28</v>
      </c>
      <c r="P581" s="1" t="s">
        <v>55</v>
      </c>
      <c r="Q581" s="1">
        <v>25</v>
      </c>
      <c r="R581" s="1">
        <v>25</v>
      </c>
      <c r="S581" s="1">
        <v>0</v>
      </c>
      <c r="T581" s="1">
        <v>0</v>
      </c>
      <c r="U581" s="1">
        <v>0</v>
      </c>
      <c r="V581" s="1" t="str">
        <f t="shared" si="83"/>
        <v>里程返程</v>
      </c>
      <c r="W581" s="1" t="s">
        <v>35</v>
      </c>
    </row>
    <row r="582" spans="1:23" x14ac:dyDescent="0.3">
      <c r="A582" s="1" t="str">
        <f t="shared" si="79"/>
        <v>59809</v>
      </c>
      <c r="B582" s="1" t="s">
        <v>42</v>
      </c>
      <c r="C582" s="1" t="s">
        <v>43</v>
      </c>
      <c r="D582" s="1" t="str">
        <f t="shared" si="82"/>
        <v>9801</v>
      </c>
      <c r="E582" s="1" t="s">
        <v>25</v>
      </c>
      <c r="F582" s="1" t="str">
        <f>"1076855893"</f>
        <v>1076855893</v>
      </c>
      <c r="G582" s="1" t="s">
        <v>33</v>
      </c>
      <c r="H582" s="1" t="str">
        <f t="shared" si="80"/>
        <v>20220909</v>
      </c>
      <c r="I582" s="1" t="str">
        <f>"163613"</f>
        <v>163613</v>
      </c>
      <c r="J582" s="1" t="s">
        <v>91</v>
      </c>
      <c r="K582" s="1" t="s">
        <v>45</v>
      </c>
      <c r="L582" s="1" t="str">
        <f t="shared" si="81"/>
        <v>20220909</v>
      </c>
      <c r="M582" s="1" t="str">
        <f>"164439"</f>
        <v>164439</v>
      </c>
      <c r="N582" s="1" t="s">
        <v>45</v>
      </c>
      <c r="O582" s="1" t="s">
        <v>45</v>
      </c>
      <c r="P582" s="1" t="s">
        <v>55</v>
      </c>
      <c r="Q582" s="1">
        <v>25</v>
      </c>
      <c r="R582" s="1">
        <v>25</v>
      </c>
      <c r="S582" s="1">
        <v>0</v>
      </c>
      <c r="T582" s="1">
        <v>0</v>
      </c>
      <c r="U582" s="1">
        <v>0</v>
      </c>
      <c r="V582" s="1" t="str">
        <f t="shared" si="83"/>
        <v>里程返程</v>
      </c>
      <c r="W582" s="1" t="s">
        <v>35</v>
      </c>
    </row>
    <row r="583" spans="1:23" x14ac:dyDescent="0.3">
      <c r="A583" s="1" t="str">
        <f t="shared" si="79"/>
        <v>59809</v>
      </c>
      <c r="B583" s="1" t="s">
        <v>42</v>
      </c>
      <c r="C583" s="1" t="s">
        <v>43</v>
      </c>
      <c r="D583" s="1" t="str">
        <f t="shared" si="82"/>
        <v>9801</v>
      </c>
      <c r="E583" s="1" t="s">
        <v>25</v>
      </c>
      <c r="F583" s="1" t="str">
        <f>"1069836597"</f>
        <v>1069836597</v>
      </c>
      <c r="G583" s="1" t="s">
        <v>33</v>
      </c>
      <c r="H583" s="1" t="str">
        <f t="shared" si="80"/>
        <v>20220909</v>
      </c>
      <c r="I583" s="1" t="str">
        <f>"163636"</f>
        <v>163636</v>
      </c>
      <c r="J583" s="1" t="s">
        <v>91</v>
      </c>
      <c r="K583" s="1" t="s">
        <v>45</v>
      </c>
      <c r="L583" s="1" t="str">
        <f t="shared" si="81"/>
        <v>20220909</v>
      </c>
      <c r="M583" s="1" t="str">
        <f>"164500"</f>
        <v>164500</v>
      </c>
      <c r="N583" s="1" t="s">
        <v>45</v>
      </c>
      <c r="O583" s="1" t="s">
        <v>45</v>
      </c>
      <c r="P583" s="1" t="s">
        <v>55</v>
      </c>
      <c r="Q583" s="1">
        <v>25</v>
      </c>
      <c r="R583" s="1">
        <v>25</v>
      </c>
      <c r="S583" s="1">
        <v>0</v>
      </c>
      <c r="T583" s="1">
        <v>0</v>
      </c>
      <c r="U583" s="1">
        <v>0</v>
      </c>
      <c r="V583" s="1" t="str">
        <f t="shared" si="83"/>
        <v>里程返程</v>
      </c>
      <c r="W583" s="1" t="s">
        <v>35</v>
      </c>
    </row>
    <row r="584" spans="1:23" x14ac:dyDescent="0.3">
      <c r="A584" s="1" t="str">
        <f t="shared" ref="A584:A605" si="84">"59822"</f>
        <v>59822</v>
      </c>
      <c r="B584" s="1" t="s">
        <v>39</v>
      </c>
      <c r="C584" s="1" t="s">
        <v>40</v>
      </c>
      <c r="D584" s="1" t="str">
        <f t="shared" si="82"/>
        <v>9801</v>
      </c>
      <c r="E584" s="1" t="s">
        <v>25</v>
      </c>
      <c r="F584" s="1" t="str">
        <f>"C2E1D306F6880400C838002000000015"</f>
        <v>C2E1D306F6880400C838002000000015</v>
      </c>
      <c r="G584" s="1" t="s">
        <v>26</v>
      </c>
      <c r="H584" s="1" t="str">
        <f t="shared" si="80"/>
        <v>20220909</v>
      </c>
      <c r="I584" s="1" t="str">
        <f>"085243"</f>
        <v>085243</v>
      </c>
      <c r="J584" s="1" t="s">
        <v>28</v>
      </c>
      <c r="K584" s="1" t="s">
        <v>28</v>
      </c>
      <c r="L584" s="1" t="str">
        <f t="shared" si="81"/>
        <v>20220909</v>
      </c>
      <c r="M584" s="1" t="str">
        <f>"092040"</f>
        <v>092040</v>
      </c>
      <c r="N584" s="1" t="s">
        <v>60</v>
      </c>
      <c r="O584" s="1" t="s">
        <v>52</v>
      </c>
      <c r="P584" s="1" t="s">
        <v>68</v>
      </c>
      <c r="Q584" s="1">
        <v>13</v>
      </c>
      <c r="R584" s="1">
        <v>0</v>
      </c>
      <c r="S584" s="1">
        <v>0</v>
      </c>
      <c r="T584" s="1">
        <v>13</v>
      </c>
      <c r="U584" s="1">
        <v>0</v>
      </c>
      <c r="V584" s="1" t="str">
        <f t="shared" si="83"/>
        <v>里程返程</v>
      </c>
      <c r="W584" s="1" t="s">
        <v>29</v>
      </c>
    </row>
    <row r="585" spans="1:23" x14ac:dyDescent="0.3">
      <c r="A585" s="1" t="str">
        <f t="shared" si="84"/>
        <v>59822</v>
      </c>
      <c r="B585" s="1" t="s">
        <v>39</v>
      </c>
      <c r="C585" s="1" t="s">
        <v>40</v>
      </c>
      <c r="D585" s="1" t="str">
        <f t="shared" si="82"/>
        <v>9801</v>
      </c>
      <c r="E585" s="1" t="s">
        <v>25</v>
      </c>
      <c r="F585" s="1" t="str">
        <f>"1075573717"</f>
        <v>1075573717</v>
      </c>
      <c r="G585" s="1" t="s">
        <v>38</v>
      </c>
      <c r="H585" s="1" t="str">
        <f t="shared" si="80"/>
        <v>20220909</v>
      </c>
      <c r="I585" s="1" t="str">
        <f>"085305"</f>
        <v>085305</v>
      </c>
      <c r="J585" s="1" t="s">
        <v>28</v>
      </c>
      <c r="K585" s="1" t="s">
        <v>28</v>
      </c>
      <c r="L585" s="1" t="str">
        <f t="shared" si="81"/>
        <v>20220909</v>
      </c>
      <c r="M585" s="1" t="str">
        <f>"090940"</f>
        <v>090940</v>
      </c>
      <c r="N585" s="1" t="s">
        <v>77</v>
      </c>
      <c r="O585" s="1" t="s">
        <v>52</v>
      </c>
      <c r="P585" s="1" t="s">
        <v>55</v>
      </c>
      <c r="Q585" s="1">
        <v>25</v>
      </c>
      <c r="R585" s="1">
        <v>0</v>
      </c>
      <c r="S585" s="1">
        <v>25</v>
      </c>
      <c r="T585" s="1">
        <v>0</v>
      </c>
      <c r="U585" s="1">
        <v>0</v>
      </c>
      <c r="V585" s="1" t="str">
        <f t="shared" si="83"/>
        <v>里程返程</v>
      </c>
      <c r="W585" s="1" t="s">
        <v>35</v>
      </c>
    </row>
    <row r="586" spans="1:23" x14ac:dyDescent="0.3">
      <c r="A586" s="1" t="str">
        <f t="shared" si="84"/>
        <v>59822</v>
      </c>
      <c r="B586" s="1" t="s">
        <v>39</v>
      </c>
      <c r="C586" s="1" t="s">
        <v>40</v>
      </c>
      <c r="D586" s="1" t="str">
        <f t="shared" si="82"/>
        <v>9801</v>
      </c>
      <c r="E586" s="1" t="s">
        <v>25</v>
      </c>
      <c r="F586" s="1" t="str">
        <f>"980329205"</f>
        <v>980329205</v>
      </c>
      <c r="G586" s="1" t="s">
        <v>33</v>
      </c>
      <c r="H586" s="1" t="str">
        <f t="shared" si="80"/>
        <v>20220909</v>
      </c>
      <c r="I586" s="1" t="str">
        <f>"094018"</f>
        <v>094018</v>
      </c>
      <c r="J586" s="1" t="s">
        <v>75</v>
      </c>
      <c r="K586" s="1" t="s">
        <v>45</v>
      </c>
      <c r="L586" s="1" t="str">
        <f t="shared" si="81"/>
        <v>20220909</v>
      </c>
      <c r="M586" s="1" t="str">
        <f>"095312"</f>
        <v>095312</v>
      </c>
      <c r="N586" s="1" t="s">
        <v>28</v>
      </c>
      <c r="O586" s="1" t="s">
        <v>28</v>
      </c>
      <c r="P586" s="1" t="s">
        <v>55</v>
      </c>
      <c r="Q586" s="1">
        <v>25</v>
      </c>
      <c r="R586" s="1">
        <v>25</v>
      </c>
      <c r="S586" s="1">
        <v>0</v>
      </c>
      <c r="T586" s="1">
        <v>0</v>
      </c>
      <c r="U586" s="1">
        <v>0</v>
      </c>
      <c r="V586" s="1" t="str">
        <f t="shared" si="83"/>
        <v>里程返程</v>
      </c>
      <c r="W586" s="1" t="s">
        <v>35</v>
      </c>
    </row>
    <row r="587" spans="1:23" x14ac:dyDescent="0.3">
      <c r="A587" s="1" t="str">
        <f t="shared" si="84"/>
        <v>59822</v>
      </c>
      <c r="B587" s="1" t="s">
        <v>39</v>
      </c>
      <c r="C587" s="1" t="s">
        <v>40</v>
      </c>
      <c r="D587" s="1" t="str">
        <f t="shared" si="82"/>
        <v>9801</v>
      </c>
      <c r="E587" s="1" t="s">
        <v>25</v>
      </c>
      <c r="F587" s="1" t="str">
        <f>"285817872"</f>
        <v>285817872</v>
      </c>
      <c r="G587" s="1" t="s">
        <v>33</v>
      </c>
      <c r="H587" s="1" t="str">
        <f t="shared" si="80"/>
        <v>20220909</v>
      </c>
      <c r="I587" s="1" t="str">
        <f>"095321"</f>
        <v>095321</v>
      </c>
      <c r="J587" s="1" t="s">
        <v>28</v>
      </c>
      <c r="K587" s="1" t="s">
        <v>28</v>
      </c>
      <c r="L587" s="1" t="str">
        <f t="shared" si="81"/>
        <v>20220909</v>
      </c>
      <c r="M587" s="1" t="str">
        <f>"102149"</f>
        <v>102149</v>
      </c>
      <c r="N587" s="1" t="s">
        <v>60</v>
      </c>
      <c r="O587" s="1" t="s">
        <v>52</v>
      </c>
      <c r="P587" s="1" t="s">
        <v>55</v>
      </c>
      <c r="Q587" s="1">
        <v>25</v>
      </c>
      <c r="R587" s="1">
        <v>0</v>
      </c>
      <c r="S587" s="1">
        <v>25</v>
      </c>
      <c r="T587" s="1">
        <v>0</v>
      </c>
      <c r="U587" s="1">
        <v>0</v>
      </c>
      <c r="V587" s="1" t="str">
        <f t="shared" si="83"/>
        <v>里程返程</v>
      </c>
      <c r="W587" s="1" t="s">
        <v>35</v>
      </c>
    </row>
    <row r="588" spans="1:23" x14ac:dyDescent="0.3">
      <c r="A588" s="1" t="str">
        <f t="shared" si="84"/>
        <v>59822</v>
      </c>
      <c r="B588" s="1" t="s">
        <v>39</v>
      </c>
      <c r="C588" s="1" t="s">
        <v>40</v>
      </c>
      <c r="D588" s="1" t="str">
        <f t="shared" si="82"/>
        <v>9801</v>
      </c>
      <c r="E588" s="1" t="s">
        <v>25</v>
      </c>
      <c r="F588" s="1" t="str">
        <f>"01A7052F8C88040043288DA200010912"</f>
        <v>01A7052F8C88040043288DA200010912</v>
      </c>
      <c r="G588" s="1" t="s">
        <v>64</v>
      </c>
      <c r="H588" s="1" t="str">
        <f t="shared" ref="H588:H613" si="85">"20220909"</f>
        <v>20220909</v>
      </c>
      <c r="I588" s="1" t="str">
        <f>"095326"</f>
        <v>095326</v>
      </c>
      <c r="J588" s="1" t="s">
        <v>28</v>
      </c>
      <c r="K588" s="1" t="s">
        <v>28</v>
      </c>
      <c r="L588" s="1" t="str">
        <f t="shared" ref="L588:L613" si="86">"20220909"</f>
        <v>20220909</v>
      </c>
      <c r="M588" s="1" t="str">
        <f>"101703"</f>
        <v>101703</v>
      </c>
      <c r="N588" s="1" t="s">
        <v>65</v>
      </c>
      <c r="O588" s="1" t="s">
        <v>52</v>
      </c>
      <c r="P588" s="1" t="s">
        <v>55</v>
      </c>
      <c r="Q588" s="1">
        <v>13</v>
      </c>
      <c r="R588" s="1">
        <v>13</v>
      </c>
      <c r="S588" s="1">
        <v>0</v>
      </c>
      <c r="T588" s="1">
        <v>0</v>
      </c>
      <c r="U588" s="1">
        <v>0</v>
      </c>
      <c r="V588" s="1" t="str">
        <f t="shared" si="83"/>
        <v>里程返程</v>
      </c>
      <c r="W588" s="1" t="s">
        <v>29</v>
      </c>
    </row>
    <row r="589" spans="1:23" x14ac:dyDescent="0.3">
      <c r="A589" s="1" t="str">
        <f t="shared" si="84"/>
        <v>59822</v>
      </c>
      <c r="B589" s="1" t="s">
        <v>39</v>
      </c>
      <c r="C589" s="1" t="s">
        <v>40</v>
      </c>
      <c r="D589" s="1" t="str">
        <f t="shared" si="82"/>
        <v>9801</v>
      </c>
      <c r="E589" s="1" t="s">
        <v>25</v>
      </c>
      <c r="F589" s="1" t="str">
        <f>"E1DDAE0092880400432494C60002080E"</f>
        <v>E1DDAE0092880400432494C60002080E</v>
      </c>
      <c r="G589" s="1" t="s">
        <v>58</v>
      </c>
      <c r="H589" s="1" t="str">
        <f t="shared" si="85"/>
        <v>20220909</v>
      </c>
      <c r="I589" s="1" t="str">
        <f>"095329"</f>
        <v>095329</v>
      </c>
      <c r="J589" s="1" t="s">
        <v>28</v>
      </c>
      <c r="K589" s="1" t="s">
        <v>28</v>
      </c>
      <c r="L589" s="1" t="str">
        <f t="shared" si="86"/>
        <v>20220909</v>
      </c>
      <c r="M589" s="1" t="str">
        <f>"102526"</f>
        <v>102526</v>
      </c>
      <c r="N589" s="1" t="s">
        <v>52</v>
      </c>
      <c r="O589" s="1" t="s">
        <v>52</v>
      </c>
      <c r="P589" s="1" t="s">
        <v>55</v>
      </c>
      <c r="Q589" s="1">
        <v>25</v>
      </c>
      <c r="R589" s="1">
        <v>25</v>
      </c>
      <c r="S589" s="1">
        <v>0</v>
      </c>
      <c r="T589" s="1">
        <v>0</v>
      </c>
      <c r="U589" s="1">
        <v>0</v>
      </c>
      <c r="V589" s="1" t="str">
        <f t="shared" si="83"/>
        <v>里程返程</v>
      </c>
      <c r="W589" s="1" t="s">
        <v>29</v>
      </c>
    </row>
    <row r="590" spans="1:23" x14ac:dyDescent="0.3">
      <c r="A590" s="1" t="str">
        <f t="shared" si="84"/>
        <v>59822</v>
      </c>
      <c r="B590" s="1" t="s">
        <v>39</v>
      </c>
      <c r="C590" s="1" t="s">
        <v>40</v>
      </c>
      <c r="D590" s="1" t="str">
        <f t="shared" si="82"/>
        <v>9801</v>
      </c>
      <c r="E590" s="1" t="s">
        <v>25</v>
      </c>
      <c r="F590" s="1" t="str">
        <f>"1602752149"</f>
        <v>1602752149</v>
      </c>
      <c r="G590" s="1" t="s">
        <v>33</v>
      </c>
      <c r="H590" s="1" t="str">
        <f t="shared" si="85"/>
        <v>20220909</v>
      </c>
      <c r="I590" s="1" t="str">
        <f>"095332"</f>
        <v>095332</v>
      </c>
      <c r="J590" s="1" t="s">
        <v>28</v>
      </c>
      <c r="K590" s="1" t="s">
        <v>28</v>
      </c>
      <c r="L590" s="1" t="str">
        <f t="shared" si="86"/>
        <v>20220909</v>
      </c>
      <c r="M590" s="1" t="str">
        <f>"102536"</f>
        <v>102536</v>
      </c>
      <c r="N590" s="1" t="s">
        <v>52</v>
      </c>
      <c r="O590" s="1" t="s">
        <v>52</v>
      </c>
      <c r="P590" s="1" t="s">
        <v>55</v>
      </c>
      <c r="Q590" s="1">
        <v>25</v>
      </c>
      <c r="R590" s="1">
        <v>25</v>
      </c>
      <c r="S590" s="1">
        <v>0</v>
      </c>
      <c r="T590" s="1">
        <v>0</v>
      </c>
      <c r="U590" s="1">
        <v>0</v>
      </c>
      <c r="V590" s="1" t="str">
        <f t="shared" si="83"/>
        <v>里程返程</v>
      </c>
      <c r="W590" s="1" t="s">
        <v>35</v>
      </c>
    </row>
    <row r="591" spans="1:23" x14ac:dyDescent="0.3">
      <c r="A591" s="1" t="str">
        <f t="shared" si="84"/>
        <v>59822</v>
      </c>
      <c r="B591" s="1" t="s">
        <v>39</v>
      </c>
      <c r="C591" s="1" t="s">
        <v>40</v>
      </c>
      <c r="D591" s="1" t="str">
        <f t="shared" si="82"/>
        <v>9801</v>
      </c>
      <c r="E591" s="1" t="s">
        <v>25</v>
      </c>
      <c r="F591" s="1" t="str">
        <f>"E14C3F30A2280400F700000000000000"</f>
        <v>E14C3F30A2280400F700000000000000</v>
      </c>
      <c r="G591" s="1" t="s">
        <v>58</v>
      </c>
      <c r="H591" s="1" t="str">
        <f t="shared" si="85"/>
        <v>20220909</v>
      </c>
      <c r="I591" s="1" t="str">
        <f>"095340"</f>
        <v>095340</v>
      </c>
      <c r="J591" s="1" t="s">
        <v>28</v>
      </c>
      <c r="K591" s="1" t="s">
        <v>28</v>
      </c>
      <c r="L591" s="1" t="str">
        <f t="shared" si="86"/>
        <v>20220909</v>
      </c>
      <c r="M591" s="1" t="str">
        <f>"102154"</f>
        <v>102154</v>
      </c>
      <c r="N591" s="1" t="s">
        <v>60</v>
      </c>
      <c r="O591" s="1" t="s">
        <v>52</v>
      </c>
      <c r="P591" s="1" t="s">
        <v>55</v>
      </c>
      <c r="Q591" s="1">
        <v>25</v>
      </c>
      <c r="R591" s="1">
        <v>25</v>
      </c>
      <c r="S591" s="1">
        <v>0</v>
      </c>
      <c r="T591" s="1">
        <v>0</v>
      </c>
      <c r="U591" s="1">
        <v>0</v>
      </c>
      <c r="V591" s="1" t="str">
        <f t="shared" si="83"/>
        <v>里程返程</v>
      </c>
      <c r="W591" s="1" t="s">
        <v>29</v>
      </c>
    </row>
    <row r="592" spans="1:23" x14ac:dyDescent="0.3">
      <c r="A592" s="1" t="str">
        <f t="shared" si="84"/>
        <v>59822</v>
      </c>
      <c r="B592" s="1" t="s">
        <v>39</v>
      </c>
      <c r="C592" s="1" t="s">
        <v>40</v>
      </c>
      <c r="D592" s="1" t="str">
        <f t="shared" si="82"/>
        <v>9801</v>
      </c>
      <c r="E592" s="1" t="s">
        <v>25</v>
      </c>
      <c r="F592" s="1" t="str">
        <f>"7511191027001853"</f>
        <v>7511191027001853</v>
      </c>
      <c r="G592" s="1" t="s">
        <v>33</v>
      </c>
      <c r="H592" s="1" t="str">
        <f t="shared" si="85"/>
        <v>20220909</v>
      </c>
      <c r="I592" s="1" t="str">
        <f>"095351"</f>
        <v>095351</v>
      </c>
      <c r="J592" s="1" t="s">
        <v>28</v>
      </c>
      <c r="K592" s="1" t="s">
        <v>28</v>
      </c>
      <c r="L592" s="1" t="str">
        <f t="shared" si="86"/>
        <v>20220909</v>
      </c>
      <c r="M592" s="1" t="str">
        <f>"102157"</f>
        <v>102157</v>
      </c>
      <c r="N592" s="1" t="s">
        <v>60</v>
      </c>
      <c r="O592" s="1" t="s">
        <v>52</v>
      </c>
      <c r="P592" s="1" t="s">
        <v>55</v>
      </c>
      <c r="Q592" s="1">
        <v>25</v>
      </c>
      <c r="R592" s="1">
        <v>0</v>
      </c>
      <c r="S592" s="1">
        <v>25</v>
      </c>
      <c r="T592" s="1">
        <v>0</v>
      </c>
      <c r="U592" s="1">
        <v>0</v>
      </c>
      <c r="V592" s="1" t="str">
        <f t="shared" si="83"/>
        <v>里程返程</v>
      </c>
      <c r="W592" s="1" t="s">
        <v>109</v>
      </c>
    </row>
    <row r="593" spans="1:23" x14ac:dyDescent="0.3">
      <c r="A593" s="1" t="str">
        <f t="shared" si="84"/>
        <v>59822</v>
      </c>
      <c r="B593" s="1" t="s">
        <v>39</v>
      </c>
      <c r="C593" s="1" t="s">
        <v>40</v>
      </c>
      <c r="D593" s="1" t="str">
        <f t="shared" si="82"/>
        <v>9801</v>
      </c>
      <c r="E593" s="1" t="s">
        <v>25</v>
      </c>
      <c r="F593" s="1" t="str">
        <f>"1614433126"</f>
        <v>1614433126</v>
      </c>
      <c r="G593" s="1" t="s">
        <v>33</v>
      </c>
      <c r="H593" s="1" t="str">
        <f t="shared" si="85"/>
        <v>20220909</v>
      </c>
      <c r="I593" s="1" t="str">
        <f>"095655"</f>
        <v>095655</v>
      </c>
      <c r="J593" s="1" t="s">
        <v>41</v>
      </c>
      <c r="K593" s="1" t="s">
        <v>28</v>
      </c>
      <c r="L593" s="1" t="str">
        <f t="shared" si="86"/>
        <v>20220909</v>
      </c>
      <c r="M593" s="1" t="str">
        <f>"101524"</f>
        <v>101524</v>
      </c>
      <c r="N593" s="1" t="s">
        <v>97</v>
      </c>
      <c r="O593" s="1" t="s">
        <v>52</v>
      </c>
      <c r="P593" s="1" t="s">
        <v>55</v>
      </c>
      <c r="Q593" s="1">
        <v>25</v>
      </c>
      <c r="R593" s="1">
        <v>25</v>
      </c>
      <c r="S593" s="1">
        <v>0</v>
      </c>
      <c r="T593" s="1">
        <v>0</v>
      </c>
      <c r="U593" s="1">
        <v>0</v>
      </c>
      <c r="V593" s="1" t="str">
        <f t="shared" si="83"/>
        <v>里程返程</v>
      </c>
      <c r="W593" s="1" t="s">
        <v>35</v>
      </c>
    </row>
    <row r="594" spans="1:23" x14ac:dyDescent="0.3">
      <c r="A594" s="1" t="str">
        <f t="shared" si="84"/>
        <v>59822</v>
      </c>
      <c r="B594" s="1" t="s">
        <v>39</v>
      </c>
      <c r="C594" s="1" t="s">
        <v>40</v>
      </c>
      <c r="D594" s="1" t="str">
        <f t="shared" si="82"/>
        <v>9801</v>
      </c>
      <c r="E594" s="1" t="s">
        <v>25</v>
      </c>
      <c r="F594" s="1" t="str">
        <f>"289421249"</f>
        <v>289421249</v>
      </c>
      <c r="G594" s="1" t="s">
        <v>33</v>
      </c>
      <c r="H594" s="1" t="str">
        <f t="shared" si="85"/>
        <v>20220909</v>
      </c>
      <c r="I594" s="1" t="str">
        <f>"100630"</f>
        <v>100630</v>
      </c>
      <c r="J594" s="1" t="s">
        <v>67</v>
      </c>
      <c r="K594" s="1" t="s">
        <v>52</v>
      </c>
      <c r="L594" s="1" t="str">
        <f t="shared" si="86"/>
        <v>20220909</v>
      </c>
      <c r="M594" s="1" t="str">
        <f>"100919"</f>
        <v>100919</v>
      </c>
      <c r="N594" s="1" t="s">
        <v>69</v>
      </c>
      <c r="O594" s="1" t="s">
        <v>52</v>
      </c>
      <c r="P594" s="1" t="s">
        <v>55</v>
      </c>
      <c r="Q594" s="1">
        <v>25</v>
      </c>
      <c r="R594" s="1">
        <v>25</v>
      </c>
      <c r="S594" s="1">
        <v>0</v>
      </c>
      <c r="T594" s="1">
        <v>0</v>
      </c>
      <c r="U594" s="1">
        <v>0</v>
      </c>
      <c r="V594" s="1" t="str">
        <f t="shared" si="83"/>
        <v>里程返程</v>
      </c>
      <c r="W594" s="1" t="s">
        <v>35</v>
      </c>
    </row>
    <row r="595" spans="1:23" x14ac:dyDescent="0.3">
      <c r="A595" s="1" t="str">
        <f t="shared" si="84"/>
        <v>59822</v>
      </c>
      <c r="B595" s="1" t="s">
        <v>39</v>
      </c>
      <c r="C595" s="1" t="s">
        <v>40</v>
      </c>
      <c r="D595" s="1" t="str">
        <f t="shared" si="82"/>
        <v>9801</v>
      </c>
      <c r="E595" s="1" t="s">
        <v>25</v>
      </c>
      <c r="F595" s="1" t="str">
        <f>"117406257"</f>
        <v>117406257</v>
      </c>
      <c r="G595" s="1" t="s">
        <v>33</v>
      </c>
      <c r="H595" s="1" t="str">
        <f t="shared" si="85"/>
        <v>20220909</v>
      </c>
      <c r="I595" s="1" t="str">
        <f>"103522"</f>
        <v>103522</v>
      </c>
      <c r="J595" s="1" t="s">
        <v>100</v>
      </c>
      <c r="K595" s="1" t="s">
        <v>45</v>
      </c>
      <c r="L595" s="1" t="str">
        <f t="shared" si="86"/>
        <v>20220909</v>
      </c>
      <c r="M595" s="1" t="str">
        <f>"105106"</f>
        <v>105106</v>
      </c>
      <c r="N595" s="1" t="s">
        <v>28</v>
      </c>
      <c r="O595" s="1" t="s">
        <v>28</v>
      </c>
      <c r="P595" s="1" t="s">
        <v>55</v>
      </c>
      <c r="Q595" s="1">
        <v>25</v>
      </c>
      <c r="R595" s="1">
        <v>25</v>
      </c>
      <c r="S595" s="1">
        <v>0</v>
      </c>
      <c r="T595" s="1">
        <v>0</v>
      </c>
      <c r="U595" s="1">
        <v>0</v>
      </c>
      <c r="V595" s="1" t="str">
        <f t="shared" si="83"/>
        <v>里程返程</v>
      </c>
      <c r="W595" s="1" t="s">
        <v>35</v>
      </c>
    </row>
    <row r="596" spans="1:23" x14ac:dyDescent="0.3">
      <c r="A596" s="1" t="str">
        <f t="shared" si="84"/>
        <v>59822</v>
      </c>
      <c r="B596" s="1" t="s">
        <v>39</v>
      </c>
      <c r="C596" s="1" t="s">
        <v>40</v>
      </c>
      <c r="D596" s="1" t="str">
        <f t="shared" si="82"/>
        <v>9801</v>
      </c>
      <c r="E596" s="1" t="s">
        <v>25</v>
      </c>
      <c r="F596" s="1" t="str">
        <f>"1326888401"</f>
        <v>1326888401</v>
      </c>
      <c r="G596" s="1" t="s">
        <v>33</v>
      </c>
      <c r="H596" s="1" t="str">
        <f t="shared" si="85"/>
        <v>20220909</v>
      </c>
      <c r="I596" s="1" t="str">
        <f>"103527"</f>
        <v>103527</v>
      </c>
      <c r="J596" s="1" t="s">
        <v>100</v>
      </c>
      <c r="K596" s="1" t="s">
        <v>45</v>
      </c>
      <c r="L596" s="1" t="str">
        <f t="shared" si="86"/>
        <v>20220909</v>
      </c>
      <c r="M596" s="1" t="str">
        <f>"105111"</f>
        <v>105111</v>
      </c>
      <c r="N596" s="1" t="s">
        <v>28</v>
      </c>
      <c r="O596" s="1" t="s">
        <v>28</v>
      </c>
      <c r="P596" s="1" t="s">
        <v>55</v>
      </c>
      <c r="Q596" s="1">
        <v>25</v>
      </c>
      <c r="R596" s="1">
        <v>25</v>
      </c>
      <c r="S596" s="1">
        <v>0</v>
      </c>
      <c r="T596" s="1">
        <v>0</v>
      </c>
      <c r="U596" s="1">
        <v>0</v>
      </c>
      <c r="V596" s="1" t="str">
        <f t="shared" si="83"/>
        <v>里程返程</v>
      </c>
      <c r="W596" s="1" t="s">
        <v>35</v>
      </c>
    </row>
    <row r="597" spans="1:23" x14ac:dyDescent="0.3">
      <c r="A597" s="1" t="str">
        <f t="shared" si="84"/>
        <v>59822</v>
      </c>
      <c r="B597" s="1" t="s">
        <v>39</v>
      </c>
      <c r="C597" s="1" t="s">
        <v>40</v>
      </c>
      <c r="D597" s="1" t="str">
        <f t="shared" si="82"/>
        <v>9801</v>
      </c>
      <c r="E597" s="1" t="s">
        <v>25</v>
      </c>
      <c r="F597" s="1" t="str">
        <f>"1695105317"</f>
        <v>1695105317</v>
      </c>
      <c r="G597" s="1" t="s">
        <v>33</v>
      </c>
      <c r="H597" s="1" t="str">
        <f t="shared" si="85"/>
        <v>20220909</v>
      </c>
      <c r="I597" s="1" t="str">
        <f>"105118"</f>
        <v>105118</v>
      </c>
      <c r="J597" s="1" t="s">
        <v>28</v>
      </c>
      <c r="K597" s="1" t="s">
        <v>28</v>
      </c>
      <c r="L597" s="1" t="str">
        <f t="shared" si="86"/>
        <v>20220909</v>
      </c>
      <c r="M597" s="1" t="str">
        <f>"112550"</f>
        <v>112550</v>
      </c>
      <c r="N597" s="1" t="s">
        <v>52</v>
      </c>
      <c r="O597" s="1" t="s">
        <v>52</v>
      </c>
      <c r="P597" s="1" t="s">
        <v>55</v>
      </c>
      <c r="Q597" s="1">
        <v>25</v>
      </c>
      <c r="R597" s="1">
        <v>0</v>
      </c>
      <c r="S597" s="1">
        <v>25</v>
      </c>
      <c r="T597" s="1">
        <v>0</v>
      </c>
      <c r="U597" s="1">
        <v>0</v>
      </c>
      <c r="V597" s="1" t="str">
        <f t="shared" si="83"/>
        <v>里程返程</v>
      </c>
      <c r="W597" s="1" t="s">
        <v>35</v>
      </c>
    </row>
    <row r="598" spans="1:23" x14ac:dyDescent="0.3">
      <c r="A598" s="1" t="str">
        <f t="shared" si="84"/>
        <v>59822</v>
      </c>
      <c r="B598" s="1" t="s">
        <v>39</v>
      </c>
      <c r="C598" s="1" t="s">
        <v>40</v>
      </c>
      <c r="D598" s="1" t="str">
        <f t="shared" si="82"/>
        <v>9801</v>
      </c>
      <c r="E598" s="1" t="s">
        <v>25</v>
      </c>
      <c r="F598" s="1" t="str">
        <f>"1601789349"</f>
        <v>1601789349</v>
      </c>
      <c r="G598" s="1" t="s">
        <v>33</v>
      </c>
      <c r="H598" s="1" t="str">
        <f t="shared" si="85"/>
        <v>20220909</v>
      </c>
      <c r="I598" s="1" t="str">
        <f>"105434"</f>
        <v>105434</v>
      </c>
      <c r="J598" s="1" t="s">
        <v>28</v>
      </c>
      <c r="K598" s="1" t="s">
        <v>28</v>
      </c>
      <c r="L598" s="1" t="str">
        <f t="shared" si="86"/>
        <v>20220909</v>
      </c>
      <c r="M598" s="1" t="str">
        <f>"111725"</f>
        <v>111725</v>
      </c>
      <c r="N598" s="1" t="s">
        <v>72</v>
      </c>
      <c r="O598" s="1" t="s">
        <v>52</v>
      </c>
      <c r="P598" s="1" t="s">
        <v>55</v>
      </c>
      <c r="Q598" s="1">
        <v>25</v>
      </c>
      <c r="R598" s="1">
        <v>0</v>
      </c>
      <c r="S598" s="1">
        <v>25</v>
      </c>
      <c r="T598" s="1">
        <v>0</v>
      </c>
      <c r="U598" s="1">
        <v>0</v>
      </c>
      <c r="V598" s="1" t="str">
        <f t="shared" si="83"/>
        <v>里程返程</v>
      </c>
      <c r="W598" s="1" t="s">
        <v>35</v>
      </c>
    </row>
    <row r="599" spans="1:23" x14ac:dyDescent="0.3">
      <c r="A599" s="1" t="str">
        <f t="shared" si="84"/>
        <v>59822</v>
      </c>
      <c r="B599" s="1" t="s">
        <v>39</v>
      </c>
      <c r="C599" s="1" t="s">
        <v>40</v>
      </c>
      <c r="D599" s="1" t="str">
        <f t="shared" si="82"/>
        <v>9801</v>
      </c>
      <c r="E599" s="1" t="s">
        <v>25</v>
      </c>
      <c r="F599" s="1" t="str">
        <f>"1252891861"</f>
        <v>1252891861</v>
      </c>
      <c r="G599" s="1" t="s">
        <v>33</v>
      </c>
      <c r="H599" s="1" t="str">
        <f t="shared" si="85"/>
        <v>20220909</v>
      </c>
      <c r="I599" s="1" t="str">
        <f>"105437"</f>
        <v>105437</v>
      </c>
      <c r="J599" s="1" t="s">
        <v>28</v>
      </c>
      <c r="K599" s="1" t="s">
        <v>28</v>
      </c>
      <c r="L599" s="1" t="str">
        <f t="shared" si="86"/>
        <v>20220909</v>
      </c>
      <c r="M599" s="1" t="str">
        <f>"112548"</f>
        <v>112548</v>
      </c>
      <c r="N599" s="1" t="s">
        <v>52</v>
      </c>
      <c r="O599" s="1" t="s">
        <v>52</v>
      </c>
      <c r="P599" s="1" t="s">
        <v>55</v>
      </c>
      <c r="Q599" s="1">
        <v>25</v>
      </c>
      <c r="R599" s="1">
        <v>0</v>
      </c>
      <c r="S599" s="1">
        <v>25</v>
      </c>
      <c r="T599" s="1">
        <v>0</v>
      </c>
      <c r="U599" s="1">
        <v>0</v>
      </c>
      <c r="V599" s="1" t="str">
        <f t="shared" si="83"/>
        <v>里程返程</v>
      </c>
      <c r="W599" s="1" t="s">
        <v>35</v>
      </c>
    </row>
    <row r="600" spans="1:23" x14ac:dyDescent="0.3">
      <c r="A600" s="1" t="str">
        <f t="shared" si="84"/>
        <v>59822</v>
      </c>
      <c r="B600" s="1" t="s">
        <v>39</v>
      </c>
      <c r="C600" s="1" t="s">
        <v>40</v>
      </c>
      <c r="D600" s="1" t="str">
        <f t="shared" si="82"/>
        <v>9801</v>
      </c>
      <c r="E600" s="1" t="s">
        <v>25</v>
      </c>
      <c r="F600" s="1" t="str">
        <f>"A1C0DF49F7280400F700000000000000"</f>
        <v>A1C0DF49F7280400F700000000000000</v>
      </c>
      <c r="G600" s="1" t="s">
        <v>58</v>
      </c>
      <c r="H600" s="1" t="str">
        <f t="shared" si="85"/>
        <v>20220909</v>
      </c>
      <c r="I600" s="1" t="str">
        <f>"115356"</f>
        <v>115356</v>
      </c>
      <c r="J600" s="1" t="s">
        <v>28</v>
      </c>
      <c r="K600" s="1" t="s">
        <v>28</v>
      </c>
      <c r="L600" s="1" t="str">
        <f t="shared" si="86"/>
        <v>20220909</v>
      </c>
      <c r="M600" s="1" t="str">
        <f>"120518"</f>
        <v>120518</v>
      </c>
      <c r="N600" s="1" t="s">
        <v>67</v>
      </c>
      <c r="O600" s="1" t="s">
        <v>52</v>
      </c>
      <c r="P600" s="1" t="s">
        <v>55</v>
      </c>
      <c r="Q600" s="1">
        <v>25</v>
      </c>
      <c r="R600" s="1">
        <v>25</v>
      </c>
      <c r="S600" s="1">
        <v>0</v>
      </c>
      <c r="T600" s="1">
        <v>0</v>
      </c>
      <c r="U600" s="1">
        <v>0</v>
      </c>
      <c r="V600" s="1" t="str">
        <f t="shared" si="83"/>
        <v>里程返程</v>
      </c>
      <c r="W600" s="1" t="s">
        <v>29</v>
      </c>
    </row>
    <row r="601" spans="1:23" x14ac:dyDescent="0.3">
      <c r="A601" s="1" t="str">
        <f t="shared" si="84"/>
        <v>59822</v>
      </c>
      <c r="B601" s="1" t="s">
        <v>39</v>
      </c>
      <c r="C601" s="1" t="s">
        <v>40</v>
      </c>
      <c r="D601" s="1" t="str">
        <f t="shared" si="82"/>
        <v>9801</v>
      </c>
      <c r="E601" s="1" t="s">
        <v>25</v>
      </c>
      <c r="F601" s="1" t="str">
        <f>"3608740355"</f>
        <v>3608740355</v>
      </c>
      <c r="G601" s="1" t="s">
        <v>33</v>
      </c>
      <c r="H601" s="1" t="str">
        <f t="shared" si="85"/>
        <v>20220909</v>
      </c>
      <c r="I601" s="1" t="str">
        <f>"115359"</f>
        <v>115359</v>
      </c>
      <c r="J601" s="1" t="s">
        <v>28</v>
      </c>
      <c r="K601" s="1" t="s">
        <v>28</v>
      </c>
      <c r="L601" s="1" t="str">
        <f t="shared" si="86"/>
        <v>20220909</v>
      </c>
      <c r="M601" s="1" t="str">
        <f>"120907"</f>
        <v>120907</v>
      </c>
      <c r="N601" s="1" t="s">
        <v>69</v>
      </c>
      <c r="O601" s="1" t="s">
        <v>52</v>
      </c>
      <c r="P601" s="1" t="s">
        <v>55</v>
      </c>
      <c r="Q601" s="1">
        <v>25</v>
      </c>
      <c r="R601" s="1">
        <v>25</v>
      </c>
      <c r="S601" s="1">
        <v>0</v>
      </c>
      <c r="T601" s="1">
        <v>0</v>
      </c>
      <c r="U601" s="1">
        <v>0</v>
      </c>
      <c r="V601" s="1" t="str">
        <f t="shared" si="83"/>
        <v>里程返程</v>
      </c>
      <c r="W601" s="1" t="s">
        <v>35</v>
      </c>
    </row>
    <row r="602" spans="1:23" x14ac:dyDescent="0.3">
      <c r="A602" s="1" t="str">
        <f t="shared" si="84"/>
        <v>59822</v>
      </c>
      <c r="B602" s="1" t="s">
        <v>39</v>
      </c>
      <c r="C602" s="1" t="s">
        <v>40</v>
      </c>
      <c r="D602" s="1" t="str">
        <f t="shared" si="82"/>
        <v>9801</v>
      </c>
      <c r="E602" s="1" t="s">
        <v>25</v>
      </c>
      <c r="F602" s="1" t="str">
        <f>"792333905"</f>
        <v>792333905</v>
      </c>
      <c r="G602" s="1" t="s">
        <v>38</v>
      </c>
      <c r="H602" s="1" t="str">
        <f t="shared" si="85"/>
        <v>20220909</v>
      </c>
      <c r="I602" s="1" t="str">
        <f>"115416"</f>
        <v>115416</v>
      </c>
      <c r="J602" s="1" t="s">
        <v>28</v>
      </c>
      <c r="K602" s="1" t="s">
        <v>28</v>
      </c>
      <c r="L602" s="1" t="str">
        <f t="shared" si="86"/>
        <v>20220909</v>
      </c>
      <c r="M602" s="1" t="str">
        <f>"115909"</f>
        <v>115909</v>
      </c>
      <c r="N602" s="1" t="s">
        <v>84</v>
      </c>
      <c r="O602" s="1" t="s">
        <v>28</v>
      </c>
      <c r="P602" s="1" t="s">
        <v>55</v>
      </c>
      <c r="Q602" s="1">
        <v>25</v>
      </c>
      <c r="R602" s="1">
        <v>25</v>
      </c>
      <c r="S602" s="1">
        <v>0</v>
      </c>
      <c r="T602" s="1">
        <v>0</v>
      </c>
      <c r="U602" s="1">
        <v>0</v>
      </c>
      <c r="V602" s="1" t="str">
        <f t="shared" si="83"/>
        <v>里程返程</v>
      </c>
      <c r="W602" s="1" t="s">
        <v>35</v>
      </c>
    </row>
    <row r="603" spans="1:23" x14ac:dyDescent="0.3">
      <c r="A603" s="1" t="str">
        <f t="shared" si="84"/>
        <v>59822</v>
      </c>
      <c r="B603" s="1" t="s">
        <v>39</v>
      </c>
      <c r="C603" s="1" t="s">
        <v>40</v>
      </c>
      <c r="D603" s="1" t="str">
        <f t="shared" si="82"/>
        <v>9801</v>
      </c>
      <c r="E603" s="1" t="s">
        <v>25</v>
      </c>
      <c r="F603" s="1" t="str">
        <f>"692346149"</f>
        <v>692346149</v>
      </c>
      <c r="G603" s="1" t="s">
        <v>33</v>
      </c>
      <c r="H603" s="1" t="str">
        <f t="shared" si="85"/>
        <v>20220909</v>
      </c>
      <c r="I603" s="1" t="str">
        <f>"115425"</f>
        <v>115425</v>
      </c>
      <c r="J603" s="1" t="s">
        <v>28</v>
      </c>
      <c r="K603" s="1" t="s">
        <v>28</v>
      </c>
      <c r="L603" s="1" t="str">
        <f t="shared" si="86"/>
        <v>20220909</v>
      </c>
      <c r="M603" s="1" t="str">
        <f>"115906"</f>
        <v>115906</v>
      </c>
      <c r="N603" s="1" t="s">
        <v>84</v>
      </c>
      <c r="O603" s="1" t="s">
        <v>28</v>
      </c>
      <c r="P603" s="1" t="s">
        <v>55</v>
      </c>
      <c r="Q603" s="1">
        <v>25</v>
      </c>
      <c r="R603" s="1">
        <v>25</v>
      </c>
      <c r="S603" s="1">
        <v>0</v>
      </c>
      <c r="T603" s="1">
        <v>0</v>
      </c>
      <c r="U603" s="1">
        <v>0</v>
      </c>
      <c r="V603" s="1" t="str">
        <f t="shared" si="83"/>
        <v>里程返程</v>
      </c>
      <c r="W603" s="1" t="s">
        <v>35</v>
      </c>
    </row>
    <row r="604" spans="1:23" x14ac:dyDescent="0.3">
      <c r="A604" s="1" t="str">
        <f t="shared" si="84"/>
        <v>59822</v>
      </c>
      <c r="B604" s="1" t="s">
        <v>39</v>
      </c>
      <c r="C604" s="1" t="s">
        <v>40</v>
      </c>
      <c r="D604" s="1" t="str">
        <f t="shared" si="82"/>
        <v>9801</v>
      </c>
      <c r="E604" s="1" t="s">
        <v>25</v>
      </c>
      <c r="F604" s="1" t="str">
        <f>"F27CE6026A880400C834002000000015"</f>
        <v>F27CE6026A880400C834002000000015</v>
      </c>
      <c r="G604" s="1" t="s">
        <v>74</v>
      </c>
      <c r="H604" s="1" t="str">
        <f t="shared" si="85"/>
        <v>20220909</v>
      </c>
      <c r="I604" s="1" t="str">
        <f>"122158"</f>
        <v>122158</v>
      </c>
      <c r="J604" s="1" t="s">
        <v>60</v>
      </c>
      <c r="K604" s="1" t="s">
        <v>52</v>
      </c>
      <c r="L604" s="1" t="str">
        <f t="shared" si="86"/>
        <v>20220909</v>
      </c>
      <c r="M604" s="1" t="str">
        <f>"122513"</f>
        <v>122513</v>
      </c>
      <c r="N604" s="1" t="s">
        <v>52</v>
      </c>
      <c r="O604" s="1" t="s">
        <v>52</v>
      </c>
      <c r="P604" s="1" t="s">
        <v>68</v>
      </c>
      <c r="Q604" s="1">
        <v>13</v>
      </c>
      <c r="R604" s="1">
        <v>0</v>
      </c>
      <c r="S604" s="1">
        <v>0</v>
      </c>
      <c r="T604" s="1">
        <v>13</v>
      </c>
      <c r="U604" s="1">
        <v>0</v>
      </c>
      <c r="V604" s="1" t="str">
        <f t="shared" si="83"/>
        <v>里程返程</v>
      </c>
      <c r="W604" s="1" t="s">
        <v>29</v>
      </c>
    </row>
    <row r="605" spans="1:23" x14ac:dyDescent="0.3">
      <c r="A605" s="1" t="str">
        <f t="shared" si="84"/>
        <v>59822</v>
      </c>
      <c r="B605" s="1" t="s">
        <v>39</v>
      </c>
      <c r="C605" s="1" t="s">
        <v>40</v>
      </c>
      <c r="D605" s="1" t="str">
        <f t="shared" si="82"/>
        <v>9801</v>
      </c>
      <c r="E605" s="1" t="s">
        <v>25</v>
      </c>
      <c r="F605" s="1" t="str">
        <f>"1764946837"</f>
        <v>1764946837</v>
      </c>
      <c r="G605" s="1" t="s">
        <v>33</v>
      </c>
      <c r="H605" s="1" t="str">
        <f t="shared" si="85"/>
        <v>20220909</v>
      </c>
      <c r="I605" s="1" t="str">
        <f>"192444"</f>
        <v>192444</v>
      </c>
      <c r="J605" s="1" t="s">
        <v>28</v>
      </c>
      <c r="K605" s="1" t="s">
        <v>28</v>
      </c>
      <c r="L605" s="1" t="str">
        <f t="shared" si="86"/>
        <v>20220909</v>
      </c>
      <c r="M605" s="1" t="str">
        <f>"195910"</f>
        <v>195910</v>
      </c>
      <c r="N605" s="1" t="s">
        <v>52</v>
      </c>
      <c r="O605" s="1" t="s">
        <v>52</v>
      </c>
      <c r="P605" s="1" t="s">
        <v>55</v>
      </c>
      <c r="Q605" s="1">
        <v>25</v>
      </c>
      <c r="R605" s="1">
        <v>25</v>
      </c>
      <c r="S605" s="1">
        <v>0</v>
      </c>
      <c r="T605" s="1">
        <v>0</v>
      </c>
      <c r="U605" s="1">
        <v>0</v>
      </c>
      <c r="V605" s="1" t="str">
        <f t="shared" si="83"/>
        <v>里程返程</v>
      </c>
      <c r="W605" s="1" t="s">
        <v>35</v>
      </c>
    </row>
    <row r="606" spans="1:23" x14ac:dyDescent="0.3">
      <c r="A606" s="1" t="str">
        <f t="shared" ref="A606:A613" si="87">"59829"</f>
        <v>59829</v>
      </c>
      <c r="B606" s="1" t="s">
        <v>47</v>
      </c>
      <c r="C606" s="1" t="s">
        <v>48</v>
      </c>
      <c r="D606" s="1" t="str">
        <f t="shared" si="82"/>
        <v>9801</v>
      </c>
      <c r="E606" s="1" t="s">
        <v>25</v>
      </c>
      <c r="F606" s="1" t="str">
        <f>"1601789349"</f>
        <v>1601789349</v>
      </c>
      <c r="G606" s="1" t="s">
        <v>33</v>
      </c>
      <c r="H606" s="1" t="str">
        <f t="shared" si="85"/>
        <v>20220909</v>
      </c>
      <c r="I606" s="1" t="str">
        <f>"172649"</f>
        <v>172649</v>
      </c>
      <c r="J606" s="1" t="s">
        <v>44</v>
      </c>
      <c r="K606" s="1" t="s">
        <v>45</v>
      </c>
      <c r="L606" s="1" t="str">
        <f t="shared" si="86"/>
        <v>20220909</v>
      </c>
      <c r="M606" s="1" t="str">
        <f>"175217"</f>
        <v>175217</v>
      </c>
      <c r="N606" s="1" t="s">
        <v>28</v>
      </c>
      <c r="O606" s="1" t="s">
        <v>28</v>
      </c>
      <c r="P606" s="1" t="s">
        <v>55</v>
      </c>
      <c r="Q606" s="1">
        <v>25</v>
      </c>
      <c r="R606" s="1">
        <v>25</v>
      </c>
      <c r="S606" s="1">
        <v>0</v>
      </c>
      <c r="T606" s="1">
        <v>0</v>
      </c>
      <c r="U606" s="1">
        <v>0</v>
      </c>
      <c r="V606" s="1" t="str">
        <f t="shared" si="83"/>
        <v>里程返程</v>
      </c>
      <c r="W606" s="1" t="s">
        <v>35</v>
      </c>
    </row>
    <row r="607" spans="1:23" x14ac:dyDescent="0.3">
      <c r="A607" s="1" t="str">
        <f t="shared" si="87"/>
        <v>59829</v>
      </c>
      <c r="B607" s="1" t="s">
        <v>47</v>
      </c>
      <c r="C607" s="1" t="s">
        <v>48</v>
      </c>
      <c r="D607" s="1" t="str">
        <f t="shared" si="82"/>
        <v>9801</v>
      </c>
      <c r="E607" s="1" t="s">
        <v>25</v>
      </c>
      <c r="F607" s="1" t="str">
        <f>"3230638492"</f>
        <v>3230638492</v>
      </c>
      <c r="G607" s="1" t="s">
        <v>33</v>
      </c>
      <c r="H607" s="1" t="str">
        <f t="shared" si="85"/>
        <v>20220909</v>
      </c>
      <c r="I607" s="1" t="str">
        <f>"175238"</f>
        <v>175238</v>
      </c>
      <c r="J607" s="1" t="s">
        <v>28</v>
      </c>
      <c r="K607" s="1" t="s">
        <v>28</v>
      </c>
      <c r="L607" s="1" t="str">
        <f t="shared" si="86"/>
        <v>20220909</v>
      </c>
      <c r="M607" s="1" t="str">
        <f>"182741"</f>
        <v>182741</v>
      </c>
      <c r="N607" s="1" t="s">
        <v>52</v>
      </c>
      <c r="O607" s="1" t="s">
        <v>52</v>
      </c>
      <c r="P607" s="1" t="s">
        <v>55</v>
      </c>
      <c r="Q607" s="1">
        <v>25</v>
      </c>
      <c r="R607" s="1">
        <v>25</v>
      </c>
      <c r="S607" s="1">
        <v>0</v>
      </c>
      <c r="T607" s="1">
        <v>0</v>
      </c>
      <c r="U607" s="1">
        <v>0</v>
      </c>
      <c r="V607" s="1" t="str">
        <f t="shared" si="83"/>
        <v>里程返程</v>
      </c>
      <c r="W607" s="1" t="s">
        <v>35</v>
      </c>
    </row>
    <row r="608" spans="1:23" x14ac:dyDescent="0.3">
      <c r="A608" s="1" t="str">
        <f t="shared" si="87"/>
        <v>59829</v>
      </c>
      <c r="B608" s="1" t="s">
        <v>47</v>
      </c>
      <c r="C608" s="1" t="s">
        <v>48</v>
      </c>
      <c r="D608" s="1" t="str">
        <f t="shared" si="82"/>
        <v>9801</v>
      </c>
      <c r="E608" s="1" t="s">
        <v>25</v>
      </c>
      <c r="F608" s="1" t="str">
        <f>"1259507621"</f>
        <v>1259507621</v>
      </c>
      <c r="G608" s="1" t="s">
        <v>33</v>
      </c>
      <c r="H608" s="1" t="str">
        <f t="shared" si="85"/>
        <v>20220909</v>
      </c>
      <c r="I608" s="1" t="str">
        <f>"182935"</f>
        <v>182935</v>
      </c>
      <c r="J608" s="1" t="s">
        <v>44</v>
      </c>
      <c r="K608" s="1" t="s">
        <v>45</v>
      </c>
      <c r="L608" s="1" t="str">
        <f t="shared" si="86"/>
        <v>20220909</v>
      </c>
      <c r="M608" s="1" t="str">
        <f>"183519"</f>
        <v>183519</v>
      </c>
      <c r="N608" s="1" t="s">
        <v>100</v>
      </c>
      <c r="O608" s="1" t="s">
        <v>45</v>
      </c>
      <c r="P608" s="1" t="s">
        <v>55</v>
      </c>
      <c r="Q608" s="1">
        <v>25</v>
      </c>
      <c r="R608" s="1">
        <v>0</v>
      </c>
      <c r="S608" s="1">
        <v>25</v>
      </c>
      <c r="T608" s="1">
        <v>0</v>
      </c>
      <c r="U608" s="1">
        <v>0</v>
      </c>
      <c r="V608" s="1" t="str">
        <f t="shared" si="83"/>
        <v>里程返程</v>
      </c>
      <c r="W608" s="1" t="s">
        <v>35</v>
      </c>
    </row>
    <row r="609" spans="1:23" x14ac:dyDescent="0.3">
      <c r="A609" s="1" t="str">
        <f t="shared" si="87"/>
        <v>59829</v>
      </c>
      <c r="B609" s="1" t="s">
        <v>47</v>
      </c>
      <c r="C609" s="1" t="s">
        <v>48</v>
      </c>
      <c r="D609" s="1" t="str">
        <f t="shared" si="82"/>
        <v>9801</v>
      </c>
      <c r="E609" s="1" t="s">
        <v>25</v>
      </c>
      <c r="F609" s="1" t="str">
        <f>"3762696503"</f>
        <v>3762696503</v>
      </c>
      <c r="G609" s="1" t="s">
        <v>33</v>
      </c>
      <c r="H609" s="1" t="str">
        <f t="shared" si="85"/>
        <v>20220909</v>
      </c>
      <c r="I609" s="1" t="str">
        <f>"185601"</f>
        <v>185601</v>
      </c>
      <c r="J609" s="1" t="s">
        <v>28</v>
      </c>
      <c r="K609" s="1" t="s">
        <v>28</v>
      </c>
      <c r="L609" s="1" t="str">
        <f t="shared" si="86"/>
        <v>20220909</v>
      </c>
      <c r="M609" s="1" t="str">
        <f>"192531"</f>
        <v>192531</v>
      </c>
      <c r="N609" s="1" t="s">
        <v>52</v>
      </c>
      <c r="O609" s="1" t="s">
        <v>52</v>
      </c>
      <c r="P609" s="1" t="s">
        <v>55</v>
      </c>
      <c r="Q609" s="1">
        <v>25</v>
      </c>
      <c r="R609" s="1">
        <v>25</v>
      </c>
      <c r="S609" s="1">
        <v>0</v>
      </c>
      <c r="T609" s="1">
        <v>0</v>
      </c>
      <c r="U609" s="1">
        <v>0</v>
      </c>
      <c r="V609" s="1" t="str">
        <f t="shared" si="83"/>
        <v>里程返程</v>
      </c>
      <c r="W609" s="1" t="s">
        <v>35</v>
      </c>
    </row>
    <row r="610" spans="1:23" x14ac:dyDescent="0.3">
      <c r="A610" s="1" t="str">
        <f t="shared" si="87"/>
        <v>59829</v>
      </c>
      <c r="B610" s="1" t="s">
        <v>47</v>
      </c>
      <c r="C610" s="1" t="s">
        <v>48</v>
      </c>
      <c r="D610" s="1" t="str">
        <f t="shared" si="82"/>
        <v>9801</v>
      </c>
      <c r="E610" s="1" t="s">
        <v>25</v>
      </c>
      <c r="F610" s="1" t="str">
        <f>"943727973"</f>
        <v>943727973</v>
      </c>
      <c r="G610" s="1" t="s">
        <v>26</v>
      </c>
      <c r="H610" s="1" t="str">
        <f t="shared" si="85"/>
        <v>20220909</v>
      </c>
      <c r="I610" s="1" t="str">
        <f>"185604"</f>
        <v>185604</v>
      </c>
      <c r="J610" s="1" t="s">
        <v>28</v>
      </c>
      <c r="K610" s="1" t="s">
        <v>28</v>
      </c>
      <c r="L610" s="1" t="str">
        <f t="shared" si="86"/>
        <v>20220909</v>
      </c>
      <c r="M610" s="1" t="str">
        <f>"192528"</f>
        <v>192528</v>
      </c>
      <c r="N610" s="1" t="s">
        <v>52</v>
      </c>
      <c r="O610" s="1" t="s">
        <v>52</v>
      </c>
      <c r="P610" s="1" t="s">
        <v>55</v>
      </c>
      <c r="Q610" s="1">
        <v>13</v>
      </c>
      <c r="R610" s="1">
        <v>13</v>
      </c>
      <c r="S610" s="1">
        <v>0</v>
      </c>
      <c r="T610" s="1">
        <v>0</v>
      </c>
      <c r="U610" s="1">
        <v>0</v>
      </c>
      <c r="V610" s="1" t="str">
        <f t="shared" si="83"/>
        <v>里程返程</v>
      </c>
      <c r="W610" s="1" t="s">
        <v>35</v>
      </c>
    </row>
    <row r="611" spans="1:23" x14ac:dyDescent="0.3">
      <c r="A611" s="1" t="str">
        <f t="shared" si="87"/>
        <v>59829</v>
      </c>
      <c r="B611" s="1" t="s">
        <v>47</v>
      </c>
      <c r="C611" s="1" t="s">
        <v>48</v>
      </c>
      <c r="D611" s="1" t="str">
        <f t="shared" si="82"/>
        <v>9801</v>
      </c>
      <c r="E611" s="1" t="s">
        <v>25</v>
      </c>
      <c r="F611" s="1" t="str">
        <f>"847269973"</f>
        <v>847269973</v>
      </c>
      <c r="G611" s="1" t="s">
        <v>74</v>
      </c>
      <c r="H611" s="1" t="str">
        <f t="shared" si="85"/>
        <v>20220909</v>
      </c>
      <c r="I611" s="1" t="str">
        <f>"185618"</f>
        <v>185618</v>
      </c>
      <c r="J611" s="1" t="s">
        <v>28</v>
      </c>
      <c r="K611" s="1" t="s">
        <v>28</v>
      </c>
      <c r="L611" s="1" t="str">
        <f t="shared" si="86"/>
        <v>20220909</v>
      </c>
      <c r="M611" s="1" t="str">
        <f>"192524"</f>
        <v>192524</v>
      </c>
      <c r="N611" s="1" t="s">
        <v>52</v>
      </c>
      <c r="O611" s="1" t="s">
        <v>52</v>
      </c>
      <c r="P611" s="1" t="s">
        <v>55</v>
      </c>
      <c r="Q611" s="1">
        <v>13</v>
      </c>
      <c r="R611" s="1">
        <v>13</v>
      </c>
      <c r="S611" s="1">
        <v>0</v>
      </c>
      <c r="T611" s="1">
        <v>0</v>
      </c>
      <c r="U611" s="1">
        <v>0</v>
      </c>
      <c r="V611" s="1" t="str">
        <f t="shared" si="83"/>
        <v>里程返程</v>
      </c>
      <c r="W611" s="1" t="s">
        <v>35</v>
      </c>
    </row>
    <row r="612" spans="1:23" x14ac:dyDescent="0.3">
      <c r="A612" s="1" t="str">
        <f t="shared" si="87"/>
        <v>59829</v>
      </c>
      <c r="B612" s="1" t="s">
        <v>47</v>
      </c>
      <c r="C612" s="1" t="s">
        <v>48</v>
      </c>
      <c r="D612" s="1" t="str">
        <f t="shared" si="82"/>
        <v>9801</v>
      </c>
      <c r="E612" s="1" t="s">
        <v>25</v>
      </c>
      <c r="F612" s="1" t="str">
        <f>"1658721489"</f>
        <v>1658721489</v>
      </c>
      <c r="G612" s="1" t="s">
        <v>33</v>
      </c>
      <c r="H612" s="1" t="str">
        <f t="shared" si="85"/>
        <v>20220909</v>
      </c>
      <c r="I612" s="1" t="str">
        <f>"185625"</f>
        <v>185625</v>
      </c>
      <c r="J612" s="1" t="s">
        <v>28</v>
      </c>
      <c r="K612" s="1" t="s">
        <v>28</v>
      </c>
      <c r="L612" s="1" t="str">
        <f t="shared" si="86"/>
        <v>20220909</v>
      </c>
      <c r="M612" s="1" t="str">
        <f>"191501"</f>
        <v>191501</v>
      </c>
      <c r="N612" s="1" t="s">
        <v>72</v>
      </c>
      <c r="O612" s="1" t="s">
        <v>52</v>
      </c>
      <c r="P612" s="1" t="s">
        <v>55</v>
      </c>
      <c r="Q612" s="1">
        <v>25</v>
      </c>
      <c r="R612" s="1">
        <v>25</v>
      </c>
      <c r="S612" s="1">
        <v>0</v>
      </c>
      <c r="T612" s="1">
        <v>0</v>
      </c>
      <c r="U612" s="1">
        <v>0</v>
      </c>
      <c r="V612" s="1" t="str">
        <f t="shared" si="83"/>
        <v>里程返程</v>
      </c>
      <c r="W612" s="1" t="s">
        <v>35</v>
      </c>
    </row>
    <row r="613" spans="1:23" x14ac:dyDescent="0.3">
      <c r="A613" s="1" t="str">
        <f t="shared" si="87"/>
        <v>59829</v>
      </c>
      <c r="B613" s="1" t="s">
        <v>47</v>
      </c>
      <c r="C613" s="1" t="s">
        <v>48</v>
      </c>
      <c r="D613" s="1" t="str">
        <f t="shared" si="82"/>
        <v>9801</v>
      </c>
      <c r="E613" s="1" t="s">
        <v>25</v>
      </c>
      <c r="F613" s="1" t="str">
        <f>"2265553691"</f>
        <v>2265553691</v>
      </c>
      <c r="G613" s="1" t="s">
        <v>33</v>
      </c>
      <c r="H613" s="1" t="str">
        <f t="shared" si="85"/>
        <v>20220909</v>
      </c>
      <c r="I613" s="1" t="str">
        <f>"185628"</f>
        <v>185628</v>
      </c>
      <c r="J613" s="1" t="s">
        <v>28</v>
      </c>
      <c r="K613" s="1" t="s">
        <v>28</v>
      </c>
      <c r="L613" s="1" t="str">
        <f t="shared" si="86"/>
        <v>20220909</v>
      </c>
      <c r="M613" s="1" t="str">
        <f>"191458"</f>
        <v>191458</v>
      </c>
      <c r="N613" s="1" t="s">
        <v>72</v>
      </c>
      <c r="O613" s="1" t="s">
        <v>52</v>
      </c>
      <c r="P613" s="1" t="s">
        <v>55</v>
      </c>
      <c r="Q613" s="1">
        <v>25</v>
      </c>
      <c r="R613" s="1">
        <v>25</v>
      </c>
      <c r="S613" s="1">
        <v>0</v>
      </c>
      <c r="T613" s="1">
        <v>0</v>
      </c>
      <c r="U613" s="1">
        <v>0</v>
      </c>
      <c r="V613" s="1" t="str">
        <f t="shared" si="83"/>
        <v>里程返程</v>
      </c>
      <c r="W613" s="1" t="s">
        <v>35</v>
      </c>
    </row>
    <row r="614" spans="1:23" x14ac:dyDescent="0.3">
      <c r="A614" s="1" t="str">
        <f t="shared" ref="A614:A637" si="88">"59822"</f>
        <v>59822</v>
      </c>
      <c r="B614" s="1" t="s">
        <v>39</v>
      </c>
      <c r="C614" s="1" t="s">
        <v>40</v>
      </c>
      <c r="D614" s="1" t="str">
        <f t="shared" si="82"/>
        <v>9801</v>
      </c>
      <c r="E614" s="1" t="s">
        <v>25</v>
      </c>
      <c r="F614" s="1" t="str">
        <f>"1199359025"</f>
        <v>1199359025</v>
      </c>
      <c r="G614" s="1" t="s">
        <v>33</v>
      </c>
      <c r="H614" s="1" t="str">
        <f t="shared" ref="H614:H645" si="89">"20220910"</f>
        <v>20220910</v>
      </c>
      <c r="I614" s="1" t="str">
        <f>"083336"</f>
        <v>083336</v>
      </c>
      <c r="J614" s="1" t="s">
        <v>100</v>
      </c>
      <c r="K614" s="1" t="s">
        <v>45</v>
      </c>
      <c r="L614" s="1" t="str">
        <f t="shared" ref="L614:L645" si="90">"20220910"</f>
        <v>20220910</v>
      </c>
      <c r="M614" s="1" t="str">
        <f>"085217"</f>
        <v>085217</v>
      </c>
      <c r="N614" s="1" t="s">
        <v>28</v>
      </c>
      <c r="O614" s="1" t="s">
        <v>28</v>
      </c>
      <c r="P614" s="1" t="s">
        <v>55</v>
      </c>
      <c r="Q614" s="1">
        <v>25</v>
      </c>
      <c r="R614" s="1">
        <v>25</v>
      </c>
      <c r="S614" s="1">
        <v>0</v>
      </c>
      <c r="T614" s="1">
        <v>0</v>
      </c>
      <c r="U614" s="1">
        <v>0</v>
      </c>
      <c r="V614" s="1" t="str">
        <f t="shared" si="83"/>
        <v>里程返程</v>
      </c>
      <c r="W614" s="1" t="s">
        <v>35</v>
      </c>
    </row>
    <row r="615" spans="1:23" x14ac:dyDescent="0.3">
      <c r="A615" s="1" t="str">
        <f t="shared" si="88"/>
        <v>59822</v>
      </c>
      <c r="B615" s="1" t="s">
        <v>39</v>
      </c>
      <c r="C615" s="1" t="s">
        <v>40</v>
      </c>
      <c r="D615" s="1" t="str">
        <f t="shared" si="82"/>
        <v>9801</v>
      </c>
      <c r="E615" s="1" t="s">
        <v>25</v>
      </c>
      <c r="F615" s="1" t="str">
        <f>"03A6A9454988040048B994D749703809"</f>
        <v>03A6A9454988040048B994D749703809</v>
      </c>
      <c r="G615" s="1" t="s">
        <v>64</v>
      </c>
      <c r="H615" s="1" t="str">
        <f t="shared" si="89"/>
        <v>20220910</v>
      </c>
      <c r="I615" s="1" t="str">
        <f>"085244"</f>
        <v>085244</v>
      </c>
      <c r="J615" s="1" t="s">
        <v>28</v>
      </c>
      <c r="K615" s="1" t="s">
        <v>28</v>
      </c>
      <c r="L615" s="1" t="str">
        <f t="shared" si="90"/>
        <v>20220910</v>
      </c>
      <c r="M615" s="1" t="str">
        <f>"090500"</f>
        <v>090500</v>
      </c>
      <c r="N615" s="1" t="s">
        <v>67</v>
      </c>
      <c r="O615" s="1" t="s">
        <v>52</v>
      </c>
      <c r="P615" s="1" t="s">
        <v>55</v>
      </c>
      <c r="Q615" s="1">
        <v>13</v>
      </c>
      <c r="R615" s="1">
        <v>13</v>
      </c>
      <c r="S615" s="1">
        <v>0</v>
      </c>
      <c r="T615" s="1">
        <v>0</v>
      </c>
      <c r="U615" s="1">
        <v>0</v>
      </c>
      <c r="V615" s="1" t="str">
        <f t="shared" si="83"/>
        <v>里程返程</v>
      </c>
      <c r="W615" s="1" t="s">
        <v>29</v>
      </c>
    </row>
    <row r="616" spans="1:23" x14ac:dyDescent="0.3">
      <c r="A616" s="1" t="str">
        <f t="shared" si="88"/>
        <v>59822</v>
      </c>
      <c r="B616" s="1" t="s">
        <v>39</v>
      </c>
      <c r="C616" s="1" t="s">
        <v>40</v>
      </c>
      <c r="D616" s="1" t="str">
        <f t="shared" si="82"/>
        <v>9801</v>
      </c>
      <c r="E616" s="1" t="s">
        <v>25</v>
      </c>
      <c r="F616" s="1" t="str">
        <f>"1336732257"</f>
        <v>1336732257</v>
      </c>
      <c r="G616" s="1" t="s">
        <v>33</v>
      </c>
      <c r="H616" s="1" t="str">
        <f t="shared" si="89"/>
        <v>20220910</v>
      </c>
      <c r="I616" s="1" t="str">
        <f>"091611"</f>
        <v>091611</v>
      </c>
      <c r="J616" s="1" t="s">
        <v>71</v>
      </c>
      <c r="K616" s="1" t="s">
        <v>52</v>
      </c>
      <c r="L616" s="1" t="str">
        <f t="shared" si="90"/>
        <v>20220910</v>
      </c>
      <c r="M616" s="1" t="str">
        <f>"092233"</f>
        <v>092233</v>
      </c>
      <c r="N616" s="1" t="s">
        <v>52</v>
      </c>
      <c r="O616" s="1" t="s">
        <v>52</v>
      </c>
      <c r="P616" s="1" t="s">
        <v>55</v>
      </c>
      <c r="Q616" s="1">
        <v>25</v>
      </c>
      <c r="R616" s="1">
        <v>0</v>
      </c>
      <c r="S616" s="1">
        <v>25</v>
      </c>
      <c r="T616" s="1">
        <v>0</v>
      </c>
      <c r="U616" s="1">
        <v>0</v>
      </c>
      <c r="V616" s="1" t="str">
        <f t="shared" si="83"/>
        <v>里程返程</v>
      </c>
      <c r="W616" s="1" t="s">
        <v>35</v>
      </c>
    </row>
    <row r="617" spans="1:23" x14ac:dyDescent="0.3">
      <c r="A617" s="1" t="str">
        <f t="shared" si="88"/>
        <v>59822</v>
      </c>
      <c r="B617" s="1" t="s">
        <v>39</v>
      </c>
      <c r="C617" s="1" t="s">
        <v>40</v>
      </c>
      <c r="D617" s="1" t="str">
        <f t="shared" si="82"/>
        <v>9801</v>
      </c>
      <c r="E617" s="1" t="s">
        <v>25</v>
      </c>
      <c r="F617" s="1" t="str">
        <f>"1336732257"</f>
        <v>1336732257</v>
      </c>
      <c r="G617" s="1" t="s">
        <v>33</v>
      </c>
      <c r="H617" s="1" t="str">
        <f t="shared" si="89"/>
        <v>20220910</v>
      </c>
      <c r="I617" s="1" t="str">
        <f>"092303"</f>
        <v>092303</v>
      </c>
      <c r="J617" s="1" t="s">
        <v>44</v>
      </c>
      <c r="K617" s="1" t="s">
        <v>45</v>
      </c>
      <c r="L617" s="1" t="str">
        <f t="shared" si="90"/>
        <v>20220910</v>
      </c>
      <c r="M617" s="1" t="str">
        <f>"094926"</f>
        <v>094926</v>
      </c>
      <c r="N617" s="1" t="s">
        <v>28</v>
      </c>
      <c r="O617" s="1" t="s">
        <v>28</v>
      </c>
      <c r="P617" s="1" t="s">
        <v>55</v>
      </c>
      <c r="Q617" s="1">
        <v>25</v>
      </c>
      <c r="R617" s="1">
        <v>25</v>
      </c>
      <c r="S617" s="1">
        <v>0</v>
      </c>
      <c r="T617" s="1">
        <v>0</v>
      </c>
      <c r="U617" s="1">
        <v>0</v>
      </c>
      <c r="V617" s="1" t="str">
        <f t="shared" si="83"/>
        <v>里程返程</v>
      </c>
      <c r="W617" s="1" t="s">
        <v>35</v>
      </c>
    </row>
    <row r="618" spans="1:23" x14ac:dyDescent="0.3">
      <c r="A618" s="1" t="str">
        <f t="shared" si="88"/>
        <v>59822</v>
      </c>
      <c r="B618" s="1" t="s">
        <v>39</v>
      </c>
      <c r="C618" s="1" t="s">
        <v>40</v>
      </c>
      <c r="D618" s="1" t="str">
        <f t="shared" si="82"/>
        <v>9801</v>
      </c>
      <c r="E618" s="1" t="s">
        <v>25</v>
      </c>
      <c r="F618" s="1" t="str">
        <f>"52F01A03BB880400C834002000000015"</f>
        <v>52F01A03BB880400C834002000000015</v>
      </c>
      <c r="G618" s="1" t="s">
        <v>26</v>
      </c>
      <c r="H618" s="1" t="str">
        <f t="shared" si="89"/>
        <v>20220910</v>
      </c>
      <c r="I618" s="1" t="str">
        <f>"093949"</f>
        <v>093949</v>
      </c>
      <c r="J618" s="1" t="s">
        <v>56</v>
      </c>
      <c r="K618" s="1" t="s">
        <v>45</v>
      </c>
      <c r="L618" s="1" t="str">
        <f t="shared" si="90"/>
        <v>20220910</v>
      </c>
      <c r="M618" s="1" t="str">
        <f>"094922"</f>
        <v>094922</v>
      </c>
      <c r="N618" s="1" t="s">
        <v>28</v>
      </c>
      <c r="O618" s="1" t="s">
        <v>28</v>
      </c>
      <c r="P618" s="1" t="s">
        <v>68</v>
      </c>
      <c r="Q618" s="1">
        <v>13</v>
      </c>
      <c r="R618" s="1">
        <v>0</v>
      </c>
      <c r="S618" s="1">
        <v>0</v>
      </c>
      <c r="T618" s="1">
        <v>13</v>
      </c>
      <c r="U618" s="1">
        <v>0</v>
      </c>
      <c r="V618" s="1" t="str">
        <f t="shared" si="83"/>
        <v>里程返程</v>
      </c>
      <c r="W618" s="1" t="s">
        <v>29</v>
      </c>
    </row>
    <row r="619" spans="1:23" x14ac:dyDescent="0.3">
      <c r="A619" s="1" t="str">
        <f t="shared" si="88"/>
        <v>59822</v>
      </c>
      <c r="B619" s="1" t="s">
        <v>39</v>
      </c>
      <c r="C619" s="1" t="s">
        <v>40</v>
      </c>
      <c r="D619" s="1" t="str">
        <f t="shared" si="82"/>
        <v>9801</v>
      </c>
      <c r="E619" s="1" t="s">
        <v>25</v>
      </c>
      <c r="F619" s="1" t="str">
        <f>"6117182019051201"</f>
        <v>6117182019051201</v>
      </c>
      <c r="G619" s="1" t="s">
        <v>33</v>
      </c>
      <c r="H619" s="1" t="str">
        <f t="shared" si="89"/>
        <v>20220910</v>
      </c>
      <c r="I619" s="1" t="str">
        <f>"094935"</f>
        <v>094935</v>
      </c>
      <c r="J619" s="1" t="s">
        <v>28</v>
      </c>
      <c r="K619" s="1" t="s">
        <v>28</v>
      </c>
      <c r="L619" s="1" t="str">
        <f t="shared" si="90"/>
        <v>20220910</v>
      </c>
      <c r="M619" s="1" t="str">
        <f>"101527"</f>
        <v>101527</v>
      </c>
      <c r="N619" s="1" t="s">
        <v>72</v>
      </c>
      <c r="O619" s="1" t="s">
        <v>52</v>
      </c>
      <c r="P619" s="1" t="s">
        <v>55</v>
      </c>
      <c r="Q619" s="1">
        <v>25</v>
      </c>
      <c r="R619" s="1">
        <v>25</v>
      </c>
      <c r="S619" s="1">
        <v>0</v>
      </c>
      <c r="T619" s="1">
        <v>0</v>
      </c>
      <c r="U619" s="1">
        <v>0</v>
      </c>
      <c r="V619" s="1" t="str">
        <f t="shared" si="83"/>
        <v>里程返程</v>
      </c>
      <c r="W619" s="1" t="s">
        <v>109</v>
      </c>
    </row>
    <row r="620" spans="1:23" x14ac:dyDescent="0.3">
      <c r="A620" s="1" t="str">
        <f t="shared" si="88"/>
        <v>59822</v>
      </c>
      <c r="B620" s="1" t="s">
        <v>39</v>
      </c>
      <c r="C620" s="1" t="s">
        <v>40</v>
      </c>
      <c r="D620" s="1" t="str">
        <f t="shared" si="82"/>
        <v>9801</v>
      </c>
      <c r="E620" s="1" t="s">
        <v>25</v>
      </c>
      <c r="F620" s="1" t="str">
        <f>"1040913125"</f>
        <v>1040913125</v>
      </c>
      <c r="G620" s="1" t="s">
        <v>33</v>
      </c>
      <c r="H620" s="1" t="str">
        <f t="shared" si="89"/>
        <v>20220910</v>
      </c>
      <c r="I620" s="1" t="str">
        <f>"094940"</f>
        <v>094940</v>
      </c>
      <c r="J620" s="1" t="s">
        <v>28</v>
      </c>
      <c r="K620" s="1" t="s">
        <v>28</v>
      </c>
      <c r="L620" s="1" t="str">
        <f t="shared" si="90"/>
        <v>20220910</v>
      </c>
      <c r="M620" s="1" t="str">
        <f>"101426"</f>
        <v>101426</v>
      </c>
      <c r="N620" s="1" t="s">
        <v>65</v>
      </c>
      <c r="O620" s="1" t="s">
        <v>52</v>
      </c>
      <c r="P620" s="1" t="s">
        <v>55</v>
      </c>
      <c r="Q620" s="1">
        <v>25</v>
      </c>
      <c r="R620" s="1">
        <v>25</v>
      </c>
      <c r="S620" s="1">
        <v>0</v>
      </c>
      <c r="T620" s="1">
        <v>0</v>
      </c>
      <c r="U620" s="1">
        <v>0</v>
      </c>
      <c r="V620" s="1" t="str">
        <f t="shared" si="83"/>
        <v>里程返程</v>
      </c>
      <c r="W620" s="1" t="s">
        <v>35</v>
      </c>
    </row>
    <row r="621" spans="1:23" x14ac:dyDescent="0.3">
      <c r="A621" s="1" t="str">
        <f t="shared" si="88"/>
        <v>59822</v>
      </c>
      <c r="B621" s="1" t="s">
        <v>39</v>
      </c>
      <c r="C621" s="1" t="s">
        <v>40</v>
      </c>
      <c r="D621" s="1" t="str">
        <f t="shared" si="82"/>
        <v>9801</v>
      </c>
      <c r="E621" s="1" t="s">
        <v>25</v>
      </c>
      <c r="F621" s="1" t="str">
        <f>"1635078757"</f>
        <v>1635078757</v>
      </c>
      <c r="G621" s="1" t="s">
        <v>33</v>
      </c>
      <c r="H621" s="1" t="str">
        <f t="shared" si="89"/>
        <v>20220910</v>
      </c>
      <c r="I621" s="1" t="str">
        <f>"094947"</f>
        <v>094947</v>
      </c>
      <c r="J621" s="1" t="s">
        <v>28</v>
      </c>
      <c r="K621" s="1" t="s">
        <v>28</v>
      </c>
      <c r="L621" s="1" t="str">
        <f t="shared" si="90"/>
        <v>20220910</v>
      </c>
      <c r="M621" s="1" t="str">
        <f>"100329"</f>
        <v>100329</v>
      </c>
      <c r="N621" s="1" t="s">
        <v>67</v>
      </c>
      <c r="O621" s="1" t="s">
        <v>52</v>
      </c>
      <c r="P621" s="1" t="s">
        <v>55</v>
      </c>
      <c r="Q621" s="1">
        <v>25</v>
      </c>
      <c r="R621" s="1">
        <v>0</v>
      </c>
      <c r="S621" s="1">
        <v>25</v>
      </c>
      <c r="T621" s="1">
        <v>0</v>
      </c>
      <c r="U621" s="1">
        <v>0</v>
      </c>
      <c r="V621" s="1" t="str">
        <f t="shared" si="83"/>
        <v>里程返程</v>
      </c>
      <c r="W621" s="1" t="s">
        <v>35</v>
      </c>
    </row>
    <row r="622" spans="1:23" x14ac:dyDescent="0.3">
      <c r="A622" s="1" t="str">
        <f t="shared" si="88"/>
        <v>59822</v>
      </c>
      <c r="B622" s="1" t="s">
        <v>39</v>
      </c>
      <c r="C622" s="1" t="s">
        <v>40</v>
      </c>
      <c r="D622" s="1" t="str">
        <f t="shared" si="82"/>
        <v>9801</v>
      </c>
      <c r="E622" s="1" t="s">
        <v>25</v>
      </c>
      <c r="F622" s="1" t="str">
        <f>"1109041365"</f>
        <v>1109041365</v>
      </c>
      <c r="G622" s="1" t="s">
        <v>33</v>
      </c>
      <c r="H622" s="1" t="str">
        <f t="shared" si="89"/>
        <v>20220910</v>
      </c>
      <c r="I622" s="1" t="str">
        <f>"095208"</f>
        <v>095208</v>
      </c>
      <c r="J622" s="1" t="s">
        <v>28</v>
      </c>
      <c r="K622" s="1" t="s">
        <v>28</v>
      </c>
      <c r="L622" s="1" t="str">
        <f t="shared" si="90"/>
        <v>20220910</v>
      </c>
      <c r="M622" s="1" t="str">
        <f>"102239"</f>
        <v>102239</v>
      </c>
      <c r="N622" s="1" t="s">
        <v>52</v>
      </c>
      <c r="O622" s="1" t="s">
        <v>52</v>
      </c>
      <c r="P622" s="1" t="s">
        <v>55</v>
      </c>
      <c r="Q622" s="1">
        <v>25</v>
      </c>
      <c r="R622" s="1">
        <v>25</v>
      </c>
      <c r="S622" s="1">
        <v>0</v>
      </c>
      <c r="T622" s="1">
        <v>0</v>
      </c>
      <c r="U622" s="1">
        <v>0</v>
      </c>
      <c r="V622" s="1" t="str">
        <f t="shared" si="83"/>
        <v>里程返程</v>
      </c>
      <c r="W622" s="1" t="s">
        <v>35</v>
      </c>
    </row>
    <row r="623" spans="1:23" x14ac:dyDescent="0.3">
      <c r="A623" s="1" t="str">
        <f t="shared" si="88"/>
        <v>59822</v>
      </c>
      <c r="B623" s="1" t="s">
        <v>39</v>
      </c>
      <c r="C623" s="1" t="s">
        <v>40</v>
      </c>
      <c r="D623" s="1" t="str">
        <f t="shared" si="82"/>
        <v>9801</v>
      </c>
      <c r="E623" s="1" t="s">
        <v>25</v>
      </c>
      <c r="F623" s="1" t="str">
        <f>"1207813445"</f>
        <v>1207813445</v>
      </c>
      <c r="G623" s="1" t="s">
        <v>33</v>
      </c>
      <c r="H623" s="1" t="str">
        <f t="shared" si="89"/>
        <v>20220910</v>
      </c>
      <c r="I623" s="1" t="str">
        <f>"095224"</f>
        <v>095224</v>
      </c>
      <c r="J623" s="1" t="s">
        <v>28</v>
      </c>
      <c r="K623" s="1" t="s">
        <v>28</v>
      </c>
      <c r="L623" s="1" t="str">
        <f t="shared" si="90"/>
        <v>20220910</v>
      </c>
      <c r="M623" s="1" t="str">
        <f>"102242"</f>
        <v>102242</v>
      </c>
      <c r="N623" s="1" t="s">
        <v>52</v>
      </c>
      <c r="O623" s="1" t="s">
        <v>52</v>
      </c>
      <c r="P623" s="1" t="s">
        <v>55</v>
      </c>
      <c r="Q623" s="1">
        <v>25</v>
      </c>
      <c r="R623" s="1">
        <v>0</v>
      </c>
      <c r="S623" s="1">
        <v>25</v>
      </c>
      <c r="T623" s="1">
        <v>0</v>
      </c>
      <c r="U623" s="1">
        <v>0</v>
      </c>
      <c r="V623" s="1" t="str">
        <f t="shared" si="83"/>
        <v>里程返程</v>
      </c>
      <c r="W623" s="1" t="s">
        <v>35</v>
      </c>
    </row>
    <row r="624" spans="1:23" x14ac:dyDescent="0.3">
      <c r="A624" s="1" t="str">
        <f t="shared" si="88"/>
        <v>59822</v>
      </c>
      <c r="B624" s="1" t="s">
        <v>39</v>
      </c>
      <c r="C624" s="1" t="s">
        <v>40</v>
      </c>
      <c r="D624" s="1" t="str">
        <f t="shared" si="82"/>
        <v>9801</v>
      </c>
      <c r="E624" s="1" t="s">
        <v>25</v>
      </c>
      <c r="F624" s="1" t="str">
        <f>"1840134417"</f>
        <v>1840134417</v>
      </c>
      <c r="G624" s="1" t="s">
        <v>33</v>
      </c>
      <c r="H624" s="1" t="str">
        <f t="shared" si="89"/>
        <v>20220910</v>
      </c>
      <c r="I624" s="1" t="str">
        <f>"103357"</f>
        <v>103357</v>
      </c>
      <c r="J624" s="1" t="s">
        <v>100</v>
      </c>
      <c r="K624" s="1" t="s">
        <v>45</v>
      </c>
      <c r="L624" s="1" t="str">
        <f t="shared" si="90"/>
        <v>20220910</v>
      </c>
      <c r="M624" s="1" t="str">
        <f>"105130"</f>
        <v>105130</v>
      </c>
      <c r="N624" s="1" t="s">
        <v>28</v>
      </c>
      <c r="O624" s="1" t="s">
        <v>28</v>
      </c>
      <c r="P624" s="1" t="s">
        <v>55</v>
      </c>
      <c r="Q624" s="1">
        <v>25</v>
      </c>
      <c r="R624" s="1">
        <v>25</v>
      </c>
      <c r="S624" s="1">
        <v>0</v>
      </c>
      <c r="T624" s="1">
        <v>0</v>
      </c>
      <c r="U624" s="1">
        <v>0</v>
      </c>
      <c r="V624" s="1" t="str">
        <f t="shared" si="83"/>
        <v>里程返程</v>
      </c>
      <c r="W624" s="1" t="s">
        <v>35</v>
      </c>
    </row>
    <row r="625" spans="1:23" x14ac:dyDescent="0.3">
      <c r="A625" s="1" t="str">
        <f t="shared" si="88"/>
        <v>59822</v>
      </c>
      <c r="B625" s="1" t="s">
        <v>39</v>
      </c>
      <c r="C625" s="1" t="s">
        <v>40</v>
      </c>
      <c r="D625" s="1" t="str">
        <f t="shared" si="82"/>
        <v>9801</v>
      </c>
      <c r="E625" s="1" t="s">
        <v>25</v>
      </c>
      <c r="F625" s="1" t="str">
        <f>"222FE702E8880400C834002000000015"</f>
        <v>222FE702E8880400C834002000000015</v>
      </c>
      <c r="G625" s="1" t="s">
        <v>74</v>
      </c>
      <c r="H625" s="1" t="str">
        <f t="shared" si="89"/>
        <v>20220910</v>
      </c>
      <c r="I625" s="1" t="str">
        <f>"105143"</f>
        <v>105143</v>
      </c>
      <c r="J625" s="1" t="s">
        <v>28</v>
      </c>
      <c r="K625" s="1" t="s">
        <v>28</v>
      </c>
      <c r="L625" s="1" t="str">
        <f t="shared" si="90"/>
        <v>20220910</v>
      </c>
      <c r="M625" s="1" t="str">
        <f>"111941"</f>
        <v>111941</v>
      </c>
      <c r="N625" s="1" t="s">
        <v>60</v>
      </c>
      <c r="O625" s="1" t="s">
        <v>52</v>
      </c>
      <c r="P625" s="1" t="s">
        <v>68</v>
      </c>
      <c r="Q625" s="1">
        <v>13</v>
      </c>
      <c r="R625" s="1">
        <v>0</v>
      </c>
      <c r="S625" s="1">
        <v>0</v>
      </c>
      <c r="T625" s="1">
        <v>13</v>
      </c>
      <c r="U625" s="1">
        <v>0</v>
      </c>
      <c r="V625" s="1" t="str">
        <f t="shared" si="83"/>
        <v>里程返程</v>
      </c>
      <c r="W625" s="1" t="s">
        <v>29</v>
      </c>
    </row>
    <row r="626" spans="1:23" x14ac:dyDescent="0.3">
      <c r="A626" s="1" t="str">
        <f t="shared" si="88"/>
        <v>59822</v>
      </c>
      <c r="B626" s="1" t="s">
        <v>39</v>
      </c>
      <c r="C626" s="1" t="s">
        <v>40</v>
      </c>
      <c r="D626" s="1" t="str">
        <f t="shared" si="82"/>
        <v>9801</v>
      </c>
      <c r="E626" s="1" t="s">
        <v>25</v>
      </c>
      <c r="F626" s="1" t="str">
        <f>"1251685461"</f>
        <v>1251685461</v>
      </c>
      <c r="G626" s="1" t="s">
        <v>38</v>
      </c>
      <c r="H626" s="1" t="str">
        <f t="shared" si="89"/>
        <v>20220910</v>
      </c>
      <c r="I626" s="1" t="str">
        <f>"105151"</f>
        <v>105151</v>
      </c>
      <c r="J626" s="1" t="s">
        <v>28</v>
      </c>
      <c r="K626" s="1" t="s">
        <v>28</v>
      </c>
      <c r="L626" s="1" t="str">
        <f t="shared" si="90"/>
        <v>20220910</v>
      </c>
      <c r="M626" s="1" t="str">
        <f>"110646"</f>
        <v>110646</v>
      </c>
      <c r="N626" s="1" t="s">
        <v>77</v>
      </c>
      <c r="O626" s="1" t="s">
        <v>52</v>
      </c>
      <c r="P626" s="1" t="s">
        <v>55</v>
      </c>
      <c r="Q626" s="1">
        <v>25</v>
      </c>
      <c r="R626" s="1">
        <v>25</v>
      </c>
      <c r="S626" s="1">
        <v>0</v>
      </c>
      <c r="T626" s="1">
        <v>0</v>
      </c>
      <c r="U626" s="1">
        <v>0</v>
      </c>
      <c r="V626" s="1" t="str">
        <f t="shared" si="83"/>
        <v>里程返程</v>
      </c>
      <c r="W626" s="1" t="s">
        <v>35</v>
      </c>
    </row>
    <row r="627" spans="1:23" x14ac:dyDescent="0.3">
      <c r="A627" s="1" t="str">
        <f t="shared" si="88"/>
        <v>59822</v>
      </c>
      <c r="B627" s="1" t="s">
        <v>39</v>
      </c>
      <c r="C627" s="1" t="s">
        <v>40</v>
      </c>
      <c r="D627" s="1" t="str">
        <f t="shared" si="82"/>
        <v>9801</v>
      </c>
      <c r="E627" s="1" t="s">
        <v>25</v>
      </c>
      <c r="F627" s="1" t="str">
        <f>"1456848897"</f>
        <v>1456848897</v>
      </c>
      <c r="G627" s="1" t="s">
        <v>33</v>
      </c>
      <c r="H627" s="1" t="str">
        <f t="shared" si="89"/>
        <v>20220910</v>
      </c>
      <c r="I627" s="1" t="str">
        <f>"105158"</f>
        <v>105158</v>
      </c>
      <c r="J627" s="1" t="s">
        <v>28</v>
      </c>
      <c r="K627" s="1" t="s">
        <v>28</v>
      </c>
      <c r="L627" s="1" t="str">
        <f t="shared" si="90"/>
        <v>20220910</v>
      </c>
      <c r="M627" s="1" t="str">
        <f>"111136"</f>
        <v>111136</v>
      </c>
      <c r="N627" s="1" t="s">
        <v>97</v>
      </c>
      <c r="O627" s="1" t="s">
        <v>52</v>
      </c>
      <c r="P627" s="1" t="s">
        <v>55</v>
      </c>
      <c r="Q627" s="1">
        <v>25</v>
      </c>
      <c r="R627" s="1">
        <v>0</v>
      </c>
      <c r="S627" s="1">
        <v>25</v>
      </c>
      <c r="T627" s="1">
        <v>0</v>
      </c>
      <c r="U627" s="1">
        <v>0</v>
      </c>
      <c r="V627" s="1" t="str">
        <f t="shared" si="83"/>
        <v>里程返程</v>
      </c>
      <c r="W627" s="1" t="s">
        <v>35</v>
      </c>
    </row>
    <row r="628" spans="1:23" x14ac:dyDescent="0.3">
      <c r="A628" s="1" t="str">
        <f t="shared" si="88"/>
        <v>59822</v>
      </c>
      <c r="B628" s="1" t="s">
        <v>39</v>
      </c>
      <c r="C628" s="1" t="s">
        <v>40</v>
      </c>
      <c r="D628" s="1" t="str">
        <f t="shared" si="82"/>
        <v>9801</v>
      </c>
      <c r="E628" s="1" t="s">
        <v>25</v>
      </c>
      <c r="F628" s="1" t="str">
        <f>"5294A50063880400C801002000000015"</f>
        <v>5294A50063880400C801002000000015</v>
      </c>
      <c r="G628" s="1" t="s">
        <v>58</v>
      </c>
      <c r="H628" s="1" t="str">
        <f t="shared" si="89"/>
        <v>20220910</v>
      </c>
      <c r="I628" s="1" t="str">
        <f>"105201"</f>
        <v>105201</v>
      </c>
      <c r="J628" s="1" t="s">
        <v>28</v>
      </c>
      <c r="K628" s="1" t="s">
        <v>28</v>
      </c>
      <c r="L628" s="1" t="str">
        <f t="shared" si="90"/>
        <v>20220910</v>
      </c>
      <c r="M628" s="1" t="str">
        <f>"111945"</f>
        <v>111945</v>
      </c>
      <c r="N628" s="1" t="s">
        <v>60</v>
      </c>
      <c r="O628" s="1" t="s">
        <v>52</v>
      </c>
      <c r="P628" s="1" t="s">
        <v>55</v>
      </c>
      <c r="Q628" s="1">
        <v>25</v>
      </c>
      <c r="R628" s="1">
        <v>0</v>
      </c>
      <c r="S628" s="1">
        <v>25</v>
      </c>
      <c r="T628" s="1">
        <v>0</v>
      </c>
      <c r="U628" s="1">
        <v>0</v>
      </c>
      <c r="V628" s="1" t="str">
        <f t="shared" si="83"/>
        <v>里程返程</v>
      </c>
      <c r="W628" s="1" t="s">
        <v>29</v>
      </c>
    </row>
    <row r="629" spans="1:23" x14ac:dyDescent="0.3">
      <c r="A629" s="1" t="str">
        <f t="shared" si="88"/>
        <v>59822</v>
      </c>
      <c r="B629" s="1" t="s">
        <v>39</v>
      </c>
      <c r="C629" s="1" t="s">
        <v>40</v>
      </c>
      <c r="D629" s="1" t="str">
        <f t="shared" si="82"/>
        <v>9801</v>
      </c>
      <c r="E629" s="1" t="s">
        <v>25</v>
      </c>
      <c r="F629" s="1" t="str">
        <f>"E10B9169122804001C00000000000000"</f>
        <v>E10B9169122804001C00000000000000</v>
      </c>
      <c r="G629" s="1" t="s">
        <v>58</v>
      </c>
      <c r="H629" s="1" t="str">
        <f t="shared" si="89"/>
        <v>20220910</v>
      </c>
      <c r="I629" s="1" t="str">
        <f>"112423"</f>
        <v>112423</v>
      </c>
      <c r="J629" s="1" t="s">
        <v>44</v>
      </c>
      <c r="K629" s="1" t="s">
        <v>45</v>
      </c>
      <c r="L629" s="1" t="str">
        <f t="shared" si="90"/>
        <v>20220910</v>
      </c>
      <c r="M629" s="1" t="str">
        <f>"114440"</f>
        <v>114440</v>
      </c>
      <c r="N629" s="1" t="s">
        <v>45</v>
      </c>
      <c r="O629" s="1" t="s">
        <v>45</v>
      </c>
      <c r="P629" s="1" t="s">
        <v>55</v>
      </c>
      <c r="Q629" s="1">
        <v>25</v>
      </c>
      <c r="R629" s="1">
        <v>25</v>
      </c>
      <c r="S629" s="1">
        <v>0</v>
      </c>
      <c r="T629" s="1">
        <v>0</v>
      </c>
      <c r="U629" s="1">
        <v>0</v>
      </c>
      <c r="V629" s="1" t="str">
        <f t="shared" si="83"/>
        <v>里程返程</v>
      </c>
      <c r="W629" s="1" t="s">
        <v>29</v>
      </c>
    </row>
    <row r="630" spans="1:23" x14ac:dyDescent="0.3">
      <c r="A630" s="1" t="str">
        <f t="shared" si="88"/>
        <v>59822</v>
      </c>
      <c r="B630" s="1" t="s">
        <v>39</v>
      </c>
      <c r="C630" s="1" t="s">
        <v>40</v>
      </c>
      <c r="D630" s="1" t="str">
        <f t="shared" si="82"/>
        <v>9801</v>
      </c>
      <c r="E630" s="1" t="s">
        <v>25</v>
      </c>
      <c r="F630" s="1" t="str">
        <f>"82D5FB02AE880400C834002000000015"</f>
        <v>82D5FB02AE880400C834002000000015</v>
      </c>
      <c r="G630" s="1" t="s">
        <v>26</v>
      </c>
      <c r="H630" s="1" t="str">
        <f t="shared" si="89"/>
        <v>20220910</v>
      </c>
      <c r="I630" s="1" t="str">
        <f>"113535"</f>
        <v>113535</v>
      </c>
      <c r="J630" s="1" t="s">
        <v>100</v>
      </c>
      <c r="K630" s="1" t="s">
        <v>45</v>
      </c>
      <c r="L630" s="1" t="str">
        <f t="shared" si="90"/>
        <v>20220910</v>
      </c>
      <c r="M630" s="1" t="str">
        <f>"121635"</f>
        <v>121635</v>
      </c>
      <c r="N630" s="1" t="s">
        <v>51</v>
      </c>
      <c r="O630" s="1" t="s">
        <v>52</v>
      </c>
      <c r="P630" s="1" t="s">
        <v>68</v>
      </c>
      <c r="Q630" s="1">
        <v>25</v>
      </c>
      <c r="R630" s="1">
        <v>0</v>
      </c>
      <c r="S630" s="1">
        <v>0</v>
      </c>
      <c r="T630" s="1">
        <v>25</v>
      </c>
      <c r="U630" s="1">
        <v>0</v>
      </c>
      <c r="V630" s="1" t="str">
        <f t="shared" si="83"/>
        <v>里程返程</v>
      </c>
      <c r="W630" s="1" t="s">
        <v>29</v>
      </c>
    </row>
    <row r="631" spans="1:23" x14ac:dyDescent="0.3">
      <c r="A631" s="1" t="str">
        <f t="shared" si="88"/>
        <v>59822</v>
      </c>
      <c r="B631" s="1" t="s">
        <v>39</v>
      </c>
      <c r="C631" s="1" t="s">
        <v>40</v>
      </c>
      <c r="D631" s="1" t="str">
        <f t="shared" si="82"/>
        <v>9801</v>
      </c>
      <c r="E631" s="1" t="s">
        <v>25</v>
      </c>
      <c r="F631" s="1" t="str">
        <f>"234067845"</f>
        <v>234067845</v>
      </c>
      <c r="G631" s="1" t="s">
        <v>33</v>
      </c>
      <c r="H631" s="1" t="str">
        <f t="shared" si="89"/>
        <v>20220910</v>
      </c>
      <c r="I631" s="1" t="str">
        <f>"115355"</f>
        <v>115355</v>
      </c>
      <c r="J631" s="1" t="s">
        <v>28</v>
      </c>
      <c r="K631" s="1" t="s">
        <v>28</v>
      </c>
      <c r="L631" s="1" t="str">
        <f t="shared" si="90"/>
        <v>20220910</v>
      </c>
      <c r="M631" s="1" t="str">
        <f>"122050"</f>
        <v>122050</v>
      </c>
      <c r="N631" s="1" t="s">
        <v>52</v>
      </c>
      <c r="O631" s="1" t="s">
        <v>52</v>
      </c>
      <c r="P631" s="1" t="s">
        <v>55</v>
      </c>
      <c r="Q631" s="1">
        <v>25</v>
      </c>
      <c r="R631" s="1">
        <v>25</v>
      </c>
      <c r="S631" s="1">
        <v>0</v>
      </c>
      <c r="T631" s="1">
        <v>0</v>
      </c>
      <c r="U631" s="1">
        <v>0</v>
      </c>
      <c r="V631" s="1" t="str">
        <f t="shared" si="83"/>
        <v>里程返程</v>
      </c>
      <c r="W631" s="1" t="s">
        <v>35</v>
      </c>
    </row>
    <row r="632" spans="1:23" x14ac:dyDescent="0.3">
      <c r="A632" s="1" t="str">
        <f t="shared" si="88"/>
        <v>59822</v>
      </c>
      <c r="B632" s="1" t="s">
        <v>39</v>
      </c>
      <c r="C632" s="1" t="s">
        <v>40</v>
      </c>
      <c r="D632" s="1" t="str">
        <f t="shared" si="82"/>
        <v>9801</v>
      </c>
      <c r="E632" s="1" t="s">
        <v>25</v>
      </c>
      <c r="F632" s="1" t="str">
        <f>"832508977"</f>
        <v>832508977</v>
      </c>
      <c r="G632" s="1" t="s">
        <v>33</v>
      </c>
      <c r="H632" s="1" t="str">
        <f t="shared" si="89"/>
        <v>20220910</v>
      </c>
      <c r="I632" s="1" t="str">
        <f>"115358"</f>
        <v>115358</v>
      </c>
      <c r="J632" s="1" t="s">
        <v>28</v>
      </c>
      <c r="K632" s="1" t="s">
        <v>28</v>
      </c>
      <c r="L632" s="1" t="str">
        <f t="shared" si="90"/>
        <v>20220910</v>
      </c>
      <c r="M632" s="1" t="str">
        <f>"122053"</f>
        <v>122053</v>
      </c>
      <c r="N632" s="1" t="s">
        <v>52</v>
      </c>
      <c r="O632" s="1" t="s">
        <v>52</v>
      </c>
      <c r="P632" s="1" t="s">
        <v>55</v>
      </c>
      <c r="Q632" s="1">
        <v>25</v>
      </c>
      <c r="R632" s="1">
        <v>25</v>
      </c>
      <c r="S632" s="1">
        <v>0</v>
      </c>
      <c r="T632" s="1">
        <v>0</v>
      </c>
      <c r="U632" s="1">
        <v>0</v>
      </c>
      <c r="V632" s="1" t="str">
        <f t="shared" si="83"/>
        <v>里程返程</v>
      </c>
      <c r="W632" s="1" t="s">
        <v>35</v>
      </c>
    </row>
    <row r="633" spans="1:23" x14ac:dyDescent="0.3">
      <c r="A633" s="1" t="str">
        <f t="shared" si="88"/>
        <v>59822</v>
      </c>
      <c r="B633" s="1" t="s">
        <v>39</v>
      </c>
      <c r="C633" s="1" t="s">
        <v>40</v>
      </c>
      <c r="D633" s="1" t="str">
        <f t="shared" si="82"/>
        <v>9801</v>
      </c>
      <c r="E633" s="1" t="s">
        <v>25</v>
      </c>
      <c r="F633" s="1" t="str">
        <f>"3610900947"</f>
        <v>3610900947</v>
      </c>
      <c r="G633" s="1" t="s">
        <v>33</v>
      </c>
      <c r="H633" s="1" t="str">
        <f t="shared" si="89"/>
        <v>20220910</v>
      </c>
      <c r="I633" s="1" t="str">
        <f>"115400"</f>
        <v>115400</v>
      </c>
      <c r="J633" s="1" t="s">
        <v>28</v>
      </c>
      <c r="K633" s="1" t="s">
        <v>28</v>
      </c>
      <c r="L633" s="1" t="str">
        <f t="shared" si="90"/>
        <v>20220910</v>
      </c>
      <c r="M633" s="1" t="str">
        <f>"122056"</f>
        <v>122056</v>
      </c>
      <c r="N633" s="1" t="s">
        <v>52</v>
      </c>
      <c r="O633" s="1" t="s">
        <v>52</v>
      </c>
      <c r="P633" s="1" t="s">
        <v>55</v>
      </c>
      <c r="Q633" s="1">
        <v>25</v>
      </c>
      <c r="R633" s="1">
        <v>25</v>
      </c>
      <c r="S633" s="1">
        <v>0</v>
      </c>
      <c r="T633" s="1">
        <v>0</v>
      </c>
      <c r="U633" s="1">
        <v>0</v>
      </c>
      <c r="V633" s="1" t="str">
        <f t="shared" si="83"/>
        <v>里程返程</v>
      </c>
      <c r="W633" s="1" t="s">
        <v>35</v>
      </c>
    </row>
    <row r="634" spans="1:23" x14ac:dyDescent="0.3">
      <c r="A634" s="1" t="str">
        <f t="shared" si="88"/>
        <v>59822</v>
      </c>
      <c r="B634" s="1" t="s">
        <v>39</v>
      </c>
      <c r="C634" s="1" t="s">
        <v>40</v>
      </c>
      <c r="D634" s="1" t="str">
        <f t="shared" si="82"/>
        <v>9801</v>
      </c>
      <c r="E634" s="1" t="s">
        <v>25</v>
      </c>
      <c r="F634" s="1" t="str">
        <f>"1375088721"</f>
        <v>1375088721</v>
      </c>
      <c r="G634" s="1" t="s">
        <v>33</v>
      </c>
      <c r="H634" s="1" t="str">
        <f t="shared" si="89"/>
        <v>20220910</v>
      </c>
      <c r="I634" s="1" t="str">
        <f>"190001"</f>
        <v>190001</v>
      </c>
      <c r="J634" s="1" t="s">
        <v>44</v>
      </c>
      <c r="K634" s="1" t="s">
        <v>45</v>
      </c>
      <c r="L634" s="1" t="str">
        <f t="shared" si="90"/>
        <v>20220910</v>
      </c>
      <c r="M634" s="1" t="str">
        <f>"192150"</f>
        <v>192150</v>
      </c>
      <c r="N634" s="1" t="s">
        <v>85</v>
      </c>
      <c r="O634" s="1" t="s">
        <v>28</v>
      </c>
      <c r="P634" s="1" t="s">
        <v>55</v>
      </c>
      <c r="Q634" s="1">
        <v>25</v>
      </c>
      <c r="R634" s="1">
        <v>0</v>
      </c>
      <c r="S634" s="1">
        <v>25</v>
      </c>
      <c r="T634" s="1">
        <v>0</v>
      </c>
      <c r="U634" s="1">
        <v>0</v>
      </c>
      <c r="V634" s="1" t="str">
        <f t="shared" si="83"/>
        <v>里程返程</v>
      </c>
      <c r="W634" s="1" t="s">
        <v>35</v>
      </c>
    </row>
    <row r="635" spans="1:23" x14ac:dyDescent="0.3">
      <c r="A635" s="1" t="str">
        <f t="shared" si="88"/>
        <v>59822</v>
      </c>
      <c r="B635" s="1" t="s">
        <v>39</v>
      </c>
      <c r="C635" s="1" t="s">
        <v>40</v>
      </c>
      <c r="D635" s="1" t="str">
        <f t="shared" si="82"/>
        <v>9801</v>
      </c>
      <c r="E635" s="1" t="s">
        <v>25</v>
      </c>
      <c r="F635" s="1" t="str">
        <f>"B2B044185E880400C819002000000019"</f>
        <v>B2B044185E880400C819002000000019</v>
      </c>
      <c r="G635" s="1" t="s">
        <v>64</v>
      </c>
      <c r="H635" s="1" t="str">
        <f t="shared" si="89"/>
        <v>20220910</v>
      </c>
      <c r="I635" s="1" t="str">
        <f>"190003"</f>
        <v>190003</v>
      </c>
      <c r="J635" s="1" t="s">
        <v>44</v>
      </c>
      <c r="K635" s="1" t="s">
        <v>45</v>
      </c>
      <c r="L635" s="1" t="str">
        <f t="shared" si="90"/>
        <v>20220910</v>
      </c>
      <c r="M635" s="1" t="str">
        <f>"192146"</f>
        <v>192146</v>
      </c>
      <c r="N635" s="1" t="s">
        <v>85</v>
      </c>
      <c r="O635" s="1" t="s">
        <v>28</v>
      </c>
      <c r="P635" s="1" t="s">
        <v>55</v>
      </c>
      <c r="Q635" s="1">
        <v>13</v>
      </c>
      <c r="R635" s="1">
        <v>0</v>
      </c>
      <c r="S635" s="1">
        <v>13</v>
      </c>
      <c r="T635" s="1">
        <v>0</v>
      </c>
      <c r="U635" s="1">
        <v>0</v>
      </c>
      <c r="V635" s="1" t="str">
        <f t="shared" si="83"/>
        <v>里程返程</v>
      </c>
      <c r="W635" s="1" t="s">
        <v>29</v>
      </c>
    </row>
    <row r="636" spans="1:23" x14ac:dyDescent="0.3">
      <c r="A636" s="1" t="str">
        <f t="shared" si="88"/>
        <v>59822</v>
      </c>
      <c r="B636" s="1" t="s">
        <v>39</v>
      </c>
      <c r="C636" s="1" t="s">
        <v>40</v>
      </c>
      <c r="D636" s="1" t="str">
        <f t="shared" si="82"/>
        <v>9801</v>
      </c>
      <c r="E636" s="1" t="s">
        <v>25</v>
      </c>
      <c r="F636" s="1" t="str">
        <f>"1030952037"</f>
        <v>1030952037</v>
      </c>
      <c r="G636" s="1" t="s">
        <v>33</v>
      </c>
      <c r="H636" s="1" t="str">
        <f t="shared" si="89"/>
        <v>20220910</v>
      </c>
      <c r="I636" s="1" t="str">
        <f>"190705"</f>
        <v>190705</v>
      </c>
      <c r="J636" s="1" t="s">
        <v>91</v>
      </c>
      <c r="K636" s="1" t="s">
        <v>45</v>
      </c>
      <c r="L636" s="1" t="str">
        <f t="shared" si="90"/>
        <v>20220910</v>
      </c>
      <c r="M636" s="1" t="str">
        <f>"191107"</f>
        <v>191107</v>
      </c>
      <c r="N636" s="1" t="s">
        <v>56</v>
      </c>
      <c r="O636" s="1" t="s">
        <v>45</v>
      </c>
      <c r="P636" s="1" t="s">
        <v>55</v>
      </c>
      <c r="Q636" s="1">
        <v>25</v>
      </c>
      <c r="R636" s="1">
        <v>0</v>
      </c>
      <c r="S636" s="1">
        <v>25</v>
      </c>
      <c r="T636" s="1">
        <v>0</v>
      </c>
      <c r="U636" s="1">
        <v>0</v>
      </c>
      <c r="V636" s="1" t="str">
        <f t="shared" si="83"/>
        <v>里程返程</v>
      </c>
      <c r="W636" s="1" t="s">
        <v>35</v>
      </c>
    </row>
    <row r="637" spans="1:23" x14ac:dyDescent="0.3">
      <c r="A637" s="1" t="str">
        <f t="shared" si="88"/>
        <v>59822</v>
      </c>
      <c r="B637" s="1" t="s">
        <v>39</v>
      </c>
      <c r="C637" s="1" t="s">
        <v>40</v>
      </c>
      <c r="D637" s="1" t="str">
        <f t="shared" si="82"/>
        <v>9801</v>
      </c>
      <c r="E637" s="1" t="s">
        <v>25</v>
      </c>
      <c r="F637" s="1" t="str">
        <f>"2698035450"</f>
        <v>2698035450</v>
      </c>
      <c r="G637" s="1" t="s">
        <v>33</v>
      </c>
      <c r="H637" s="1" t="str">
        <f t="shared" si="89"/>
        <v>20220910</v>
      </c>
      <c r="I637" s="1" t="str">
        <f>"192412"</f>
        <v>192412</v>
      </c>
      <c r="J637" s="1" t="s">
        <v>85</v>
      </c>
      <c r="K637" s="1" t="s">
        <v>28</v>
      </c>
      <c r="L637" s="1" t="str">
        <f t="shared" si="90"/>
        <v>20220910</v>
      </c>
      <c r="M637" s="1" t="str">
        <f>"194212"</f>
        <v>194212</v>
      </c>
      <c r="N637" s="1" t="s">
        <v>80</v>
      </c>
      <c r="O637" s="1" t="s">
        <v>52</v>
      </c>
      <c r="P637" s="1" t="s">
        <v>55</v>
      </c>
      <c r="Q637" s="1">
        <v>25</v>
      </c>
      <c r="R637" s="1">
        <v>25</v>
      </c>
      <c r="S637" s="1">
        <v>0</v>
      </c>
      <c r="T637" s="1">
        <v>0</v>
      </c>
      <c r="U637" s="1">
        <v>0</v>
      </c>
      <c r="V637" s="1" t="str">
        <f t="shared" si="83"/>
        <v>里程返程</v>
      </c>
      <c r="W637" s="1" t="s">
        <v>35</v>
      </c>
    </row>
    <row r="638" spans="1:23" x14ac:dyDescent="0.3">
      <c r="A638" s="1" t="str">
        <f t="shared" ref="A638:A671" si="91">"59828"</f>
        <v>59828</v>
      </c>
      <c r="B638" s="1" t="s">
        <v>23</v>
      </c>
      <c r="C638" s="1" t="s">
        <v>24</v>
      </c>
      <c r="D638" s="1" t="str">
        <f t="shared" si="82"/>
        <v>9801</v>
      </c>
      <c r="E638" s="1" t="s">
        <v>25</v>
      </c>
      <c r="F638" s="1" t="str">
        <f>"3638840938"</f>
        <v>3638840938</v>
      </c>
      <c r="G638" s="1" t="s">
        <v>33</v>
      </c>
      <c r="H638" s="1" t="str">
        <f t="shared" si="89"/>
        <v>20220910</v>
      </c>
      <c r="I638" s="1" t="str">
        <f>"060507"</f>
        <v>060507</v>
      </c>
      <c r="J638" s="1" t="s">
        <v>91</v>
      </c>
      <c r="K638" s="1" t="s">
        <v>45</v>
      </c>
      <c r="L638" s="1" t="str">
        <f t="shared" si="90"/>
        <v>20220910</v>
      </c>
      <c r="M638" s="1" t="str">
        <f>"061822"</f>
        <v>061822</v>
      </c>
      <c r="N638" s="1" t="s">
        <v>28</v>
      </c>
      <c r="O638" s="1" t="s">
        <v>28</v>
      </c>
      <c r="P638" s="1" t="s">
        <v>55</v>
      </c>
      <c r="Q638" s="1">
        <v>25</v>
      </c>
      <c r="R638" s="1">
        <v>25</v>
      </c>
      <c r="S638" s="1">
        <v>0</v>
      </c>
      <c r="T638" s="1">
        <v>0</v>
      </c>
      <c r="U638" s="1">
        <v>0</v>
      </c>
      <c r="V638" s="1" t="str">
        <f t="shared" si="83"/>
        <v>里程返程</v>
      </c>
      <c r="W638" s="1" t="s">
        <v>35</v>
      </c>
    </row>
    <row r="639" spans="1:23" x14ac:dyDescent="0.3">
      <c r="A639" s="1" t="str">
        <f t="shared" si="91"/>
        <v>59828</v>
      </c>
      <c r="B639" s="1" t="s">
        <v>23</v>
      </c>
      <c r="C639" s="1" t="s">
        <v>24</v>
      </c>
      <c r="D639" s="1" t="str">
        <f t="shared" si="82"/>
        <v>9801</v>
      </c>
      <c r="E639" s="1" t="s">
        <v>25</v>
      </c>
      <c r="F639" s="1" t="str">
        <f>"F282E40195880400C821002000000015"</f>
        <v>F282E40195880400C821002000000015</v>
      </c>
      <c r="G639" s="1" t="s">
        <v>58</v>
      </c>
      <c r="H639" s="1" t="str">
        <f t="shared" si="89"/>
        <v>20220910</v>
      </c>
      <c r="I639" s="1" t="str">
        <f>"063213"</f>
        <v>063213</v>
      </c>
      <c r="J639" s="1" t="s">
        <v>28</v>
      </c>
      <c r="K639" s="1" t="s">
        <v>28</v>
      </c>
      <c r="L639" s="1" t="str">
        <f t="shared" si="90"/>
        <v>20220910</v>
      </c>
      <c r="M639" s="1" t="str">
        <f>"065308"</f>
        <v>065308</v>
      </c>
      <c r="N639" s="1" t="s">
        <v>65</v>
      </c>
      <c r="O639" s="1" t="s">
        <v>52</v>
      </c>
      <c r="P639" s="1" t="s">
        <v>55</v>
      </c>
      <c r="Q639" s="1">
        <v>25</v>
      </c>
      <c r="R639" s="1">
        <v>0</v>
      </c>
      <c r="S639" s="1">
        <v>25</v>
      </c>
      <c r="T639" s="1">
        <v>0</v>
      </c>
      <c r="U639" s="1">
        <v>0</v>
      </c>
      <c r="V639" s="1" t="str">
        <f t="shared" si="83"/>
        <v>里程返程</v>
      </c>
      <c r="W639" s="1" t="s">
        <v>29</v>
      </c>
    </row>
    <row r="640" spans="1:23" x14ac:dyDescent="0.3">
      <c r="A640" s="1" t="str">
        <f t="shared" si="91"/>
        <v>59828</v>
      </c>
      <c r="B640" s="1" t="s">
        <v>23</v>
      </c>
      <c r="C640" s="1" t="s">
        <v>24</v>
      </c>
      <c r="D640" s="1" t="str">
        <f t="shared" si="82"/>
        <v>9801</v>
      </c>
      <c r="E640" s="1" t="s">
        <v>25</v>
      </c>
      <c r="F640" s="1" t="str">
        <f>"814104785"</f>
        <v>814104785</v>
      </c>
      <c r="G640" s="1" t="s">
        <v>74</v>
      </c>
      <c r="H640" s="1" t="str">
        <f t="shared" si="89"/>
        <v>20220910</v>
      </c>
      <c r="I640" s="1" t="str">
        <f>"063220"</f>
        <v>063220</v>
      </c>
      <c r="J640" s="1" t="s">
        <v>28</v>
      </c>
      <c r="K640" s="1" t="s">
        <v>28</v>
      </c>
      <c r="L640" s="1" t="str">
        <f t="shared" si="90"/>
        <v>20220910</v>
      </c>
      <c r="M640" s="1" t="str">
        <f>"070151"</f>
        <v>070151</v>
      </c>
      <c r="N640" s="1" t="s">
        <v>52</v>
      </c>
      <c r="O640" s="1" t="s">
        <v>52</v>
      </c>
      <c r="P640" s="1" t="s">
        <v>55</v>
      </c>
      <c r="Q640" s="1">
        <v>13</v>
      </c>
      <c r="R640" s="1">
        <v>13</v>
      </c>
      <c r="S640" s="1">
        <v>0</v>
      </c>
      <c r="T640" s="1">
        <v>0</v>
      </c>
      <c r="U640" s="1">
        <v>0</v>
      </c>
      <c r="V640" s="1" t="str">
        <f t="shared" si="83"/>
        <v>里程返程</v>
      </c>
      <c r="W640" s="1" t="s">
        <v>35</v>
      </c>
    </row>
    <row r="641" spans="1:23" x14ac:dyDescent="0.3">
      <c r="A641" s="1" t="str">
        <f t="shared" si="91"/>
        <v>59828</v>
      </c>
      <c r="B641" s="1" t="s">
        <v>23</v>
      </c>
      <c r="C641" s="1" t="s">
        <v>24</v>
      </c>
      <c r="D641" s="1" t="str">
        <f t="shared" si="82"/>
        <v>9801</v>
      </c>
      <c r="E641" s="1" t="s">
        <v>25</v>
      </c>
      <c r="F641" s="1" t="str">
        <f>"E27D1D0381880400C834002000000015"</f>
        <v>E27D1D0381880400C834002000000015</v>
      </c>
      <c r="G641" s="1" t="s">
        <v>26</v>
      </c>
      <c r="H641" s="1" t="str">
        <f t="shared" si="89"/>
        <v>20220910</v>
      </c>
      <c r="I641" s="1" t="str">
        <f>"063227"</f>
        <v>063227</v>
      </c>
      <c r="J641" s="1" t="s">
        <v>28</v>
      </c>
      <c r="K641" s="1" t="s">
        <v>28</v>
      </c>
      <c r="L641" s="1" t="str">
        <f t="shared" si="90"/>
        <v>20220910</v>
      </c>
      <c r="M641" s="1" t="str">
        <f>"065312"</f>
        <v>065312</v>
      </c>
      <c r="N641" s="1" t="s">
        <v>65</v>
      </c>
      <c r="O641" s="1" t="s">
        <v>52</v>
      </c>
      <c r="P641" s="1" t="s">
        <v>68</v>
      </c>
      <c r="Q641" s="1">
        <v>13</v>
      </c>
      <c r="R641" s="1">
        <v>0</v>
      </c>
      <c r="S641" s="1">
        <v>0</v>
      </c>
      <c r="T641" s="1">
        <v>13</v>
      </c>
      <c r="U641" s="1">
        <v>0</v>
      </c>
      <c r="V641" s="1" t="str">
        <f t="shared" si="83"/>
        <v>里程返程</v>
      </c>
      <c r="W641" s="1" t="s">
        <v>29</v>
      </c>
    </row>
    <row r="642" spans="1:23" x14ac:dyDescent="0.3">
      <c r="A642" s="1" t="str">
        <f t="shared" si="91"/>
        <v>59828</v>
      </c>
      <c r="B642" s="1" t="s">
        <v>23</v>
      </c>
      <c r="C642" s="1" t="s">
        <v>24</v>
      </c>
      <c r="D642" s="1" t="str">
        <f t="shared" ref="D642:D705" si="92">"9801"</f>
        <v>9801</v>
      </c>
      <c r="E642" s="1" t="s">
        <v>25</v>
      </c>
      <c r="F642" s="1" t="str">
        <f>"71FA3654E92804001C00000000000000"</f>
        <v>71FA3654E92804001C00000000000000</v>
      </c>
      <c r="G642" s="1" t="s">
        <v>58</v>
      </c>
      <c r="H642" s="1" t="str">
        <f t="shared" si="89"/>
        <v>20220910</v>
      </c>
      <c r="I642" s="1" t="str">
        <f>"063236"</f>
        <v>063236</v>
      </c>
      <c r="J642" s="1" t="s">
        <v>28</v>
      </c>
      <c r="K642" s="1" t="s">
        <v>28</v>
      </c>
      <c r="L642" s="1" t="str">
        <f t="shared" si="90"/>
        <v>20220910</v>
      </c>
      <c r="M642" s="1" t="str">
        <f>"070154"</f>
        <v>070154</v>
      </c>
      <c r="N642" s="1" t="s">
        <v>52</v>
      </c>
      <c r="O642" s="1" t="s">
        <v>52</v>
      </c>
      <c r="P642" s="1" t="s">
        <v>55</v>
      </c>
      <c r="Q642" s="1">
        <v>25</v>
      </c>
      <c r="R642" s="1">
        <v>0</v>
      </c>
      <c r="S642" s="1">
        <v>25</v>
      </c>
      <c r="T642" s="1">
        <v>0</v>
      </c>
      <c r="U642" s="1">
        <v>0</v>
      </c>
      <c r="V642" s="1" t="str">
        <f t="shared" ref="V642:V705" si="93">"里程返程"</f>
        <v>里程返程</v>
      </c>
      <c r="W642" s="1" t="s">
        <v>29</v>
      </c>
    </row>
    <row r="643" spans="1:23" x14ac:dyDescent="0.3">
      <c r="A643" s="1" t="str">
        <f t="shared" si="91"/>
        <v>59828</v>
      </c>
      <c r="B643" s="1" t="s">
        <v>23</v>
      </c>
      <c r="C643" s="1" t="s">
        <v>24</v>
      </c>
      <c r="D643" s="1" t="str">
        <f t="shared" si="92"/>
        <v>9801</v>
      </c>
      <c r="E643" s="1" t="s">
        <v>25</v>
      </c>
      <c r="F643" s="1" t="str">
        <f>"1056059141"</f>
        <v>1056059141</v>
      </c>
      <c r="G643" s="1" t="s">
        <v>33</v>
      </c>
      <c r="H643" s="1" t="str">
        <f t="shared" si="89"/>
        <v>20220910</v>
      </c>
      <c r="I643" s="1" t="str">
        <f>"072510"</f>
        <v>072510</v>
      </c>
      <c r="J643" s="1" t="s">
        <v>28</v>
      </c>
      <c r="K643" s="1" t="s">
        <v>28</v>
      </c>
      <c r="L643" s="1" t="str">
        <f t="shared" si="90"/>
        <v>20220910</v>
      </c>
      <c r="M643" s="1" t="str">
        <f>"075243"</f>
        <v>075243</v>
      </c>
      <c r="N643" s="1" t="s">
        <v>52</v>
      </c>
      <c r="O643" s="1" t="s">
        <v>52</v>
      </c>
      <c r="P643" s="1" t="s">
        <v>55</v>
      </c>
      <c r="Q643" s="1">
        <v>25</v>
      </c>
      <c r="R643" s="1">
        <v>25</v>
      </c>
      <c r="S643" s="1">
        <v>0</v>
      </c>
      <c r="T643" s="1">
        <v>0</v>
      </c>
      <c r="U643" s="1">
        <v>0</v>
      </c>
      <c r="V643" s="1" t="str">
        <f t="shared" si="93"/>
        <v>里程返程</v>
      </c>
      <c r="W643" s="1" t="s">
        <v>35</v>
      </c>
    </row>
    <row r="644" spans="1:23" x14ac:dyDescent="0.3">
      <c r="A644" s="1" t="str">
        <f t="shared" si="91"/>
        <v>59828</v>
      </c>
      <c r="B644" s="1" t="s">
        <v>23</v>
      </c>
      <c r="C644" s="1" t="s">
        <v>24</v>
      </c>
      <c r="D644" s="1" t="str">
        <f t="shared" si="92"/>
        <v>9801</v>
      </c>
      <c r="E644" s="1" t="s">
        <v>25</v>
      </c>
      <c r="F644" s="1" t="str">
        <f>"1048887317"</f>
        <v>1048887317</v>
      </c>
      <c r="G644" s="1" t="s">
        <v>26</v>
      </c>
      <c r="H644" s="1" t="str">
        <f t="shared" si="89"/>
        <v>20220910</v>
      </c>
      <c r="I644" s="1" t="str">
        <f>"072522"</f>
        <v>072522</v>
      </c>
      <c r="J644" s="1" t="s">
        <v>28</v>
      </c>
      <c r="K644" s="1" t="s">
        <v>28</v>
      </c>
      <c r="L644" s="1" t="str">
        <f t="shared" si="90"/>
        <v>20220910</v>
      </c>
      <c r="M644" s="1" t="str">
        <f>"075247"</f>
        <v>075247</v>
      </c>
      <c r="N644" s="1" t="s">
        <v>52</v>
      </c>
      <c r="O644" s="1" t="s">
        <v>52</v>
      </c>
      <c r="P644" s="1" t="s">
        <v>55</v>
      </c>
      <c r="Q644" s="1">
        <v>13</v>
      </c>
      <c r="R644" s="1">
        <v>13</v>
      </c>
      <c r="S644" s="1">
        <v>0</v>
      </c>
      <c r="T644" s="1">
        <v>0</v>
      </c>
      <c r="U644" s="1">
        <v>0</v>
      </c>
      <c r="V644" s="1" t="str">
        <f t="shared" si="93"/>
        <v>里程返程</v>
      </c>
      <c r="W644" s="1" t="s">
        <v>35</v>
      </c>
    </row>
    <row r="645" spans="1:23" x14ac:dyDescent="0.3">
      <c r="A645" s="1" t="str">
        <f t="shared" si="91"/>
        <v>59828</v>
      </c>
      <c r="B645" s="1" t="s">
        <v>23</v>
      </c>
      <c r="C645" s="1" t="s">
        <v>24</v>
      </c>
      <c r="D645" s="1" t="str">
        <f t="shared" si="92"/>
        <v>9801</v>
      </c>
      <c r="E645" s="1" t="s">
        <v>25</v>
      </c>
      <c r="F645" s="1" t="str">
        <f>"1789433292"</f>
        <v>1789433292</v>
      </c>
      <c r="G645" s="1" t="s">
        <v>33</v>
      </c>
      <c r="H645" s="1" t="str">
        <f t="shared" si="89"/>
        <v>20220910</v>
      </c>
      <c r="I645" s="1" t="str">
        <f>"125301"</f>
        <v>125301</v>
      </c>
      <c r="J645" s="1" t="s">
        <v>28</v>
      </c>
      <c r="K645" s="1" t="s">
        <v>28</v>
      </c>
      <c r="L645" s="1" t="str">
        <f t="shared" si="90"/>
        <v>20220910</v>
      </c>
      <c r="M645" s="1" t="str">
        <f>"131225"</f>
        <v>131225</v>
      </c>
      <c r="N645" s="1" t="s">
        <v>65</v>
      </c>
      <c r="O645" s="1" t="s">
        <v>52</v>
      </c>
      <c r="P645" s="1" t="s">
        <v>55</v>
      </c>
      <c r="Q645" s="1">
        <v>25</v>
      </c>
      <c r="R645" s="1">
        <v>25</v>
      </c>
      <c r="S645" s="1">
        <v>0</v>
      </c>
      <c r="T645" s="1">
        <v>0</v>
      </c>
      <c r="U645" s="1">
        <v>0</v>
      </c>
      <c r="V645" s="1" t="str">
        <f t="shared" si="93"/>
        <v>里程返程</v>
      </c>
      <c r="W645" s="1" t="s">
        <v>35</v>
      </c>
    </row>
    <row r="646" spans="1:23" x14ac:dyDescent="0.3">
      <c r="A646" s="1" t="str">
        <f t="shared" si="91"/>
        <v>59828</v>
      </c>
      <c r="B646" s="1" t="s">
        <v>23</v>
      </c>
      <c r="C646" s="1" t="s">
        <v>24</v>
      </c>
      <c r="D646" s="1" t="str">
        <f t="shared" si="92"/>
        <v>9801</v>
      </c>
      <c r="E646" s="1" t="s">
        <v>25</v>
      </c>
      <c r="F646" s="1" t="str">
        <f>"931601381"</f>
        <v>931601381</v>
      </c>
      <c r="G646" s="1" t="s">
        <v>33</v>
      </c>
      <c r="H646" s="1" t="str">
        <f t="shared" ref="H646:H675" si="94">"20220910"</f>
        <v>20220910</v>
      </c>
      <c r="I646" s="1" t="str">
        <f>"125302"</f>
        <v>125302</v>
      </c>
      <c r="J646" s="1" t="s">
        <v>28</v>
      </c>
      <c r="K646" s="1" t="s">
        <v>28</v>
      </c>
      <c r="L646" s="1" t="str">
        <f t="shared" ref="L646:L675" si="95">"20220910"</f>
        <v>20220910</v>
      </c>
      <c r="M646" s="1" t="str">
        <f>"131234"</f>
        <v>131234</v>
      </c>
      <c r="N646" s="1" t="s">
        <v>65</v>
      </c>
      <c r="O646" s="1" t="s">
        <v>52</v>
      </c>
      <c r="P646" s="1" t="s">
        <v>55</v>
      </c>
      <c r="Q646" s="1">
        <v>25</v>
      </c>
      <c r="R646" s="1">
        <v>25</v>
      </c>
      <c r="S646" s="1">
        <v>0</v>
      </c>
      <c r="T646" s="1">
        <v>0</v>
      </c>
      <c r="U646" s="1">
        <v>0</v>
      </c>
      <c r="V646" s="1" t="str">
        <f t="shared" si="93"/>
        <v>里程返程</v>
      </c>
      <c r="W646" s="1" t="s">
        <v>35</v>
      </c>
    </row>
    <row r="647" spans="1:23" x14ac:dyDescent="0.3">
      <c r="A647" s="1" t="str">
        <f t="shared" si="91"/>
        <v>59828</v>
      </c>
      <c r="B647" s="1" t="s">
        <v>23</v>
      </c>
      <c r="C647" s="1" t="s">
        <v>24</v>
      </c>
      <c r="D647" s="1" t="str">
        <f t="shared" si="92"/>
        <v>9801</v>
      </c>
      <c r="E647" s="1" t="s">
        <v>25</v>
      </c>
      <c r="F647" s="1" t="str">
        <f>"1ABEA75B58880400C18514D041604512"</f>
        <v>1ABEA75B58880400C18514D041604512</v>
      </c>
      <c r="G647" s="1" t="s">
        <v>58</v>
      </c>
      <c r="H647" s="1" t="str">
        <f t="shared" si="94"/>
        <v>20220910</v>
      </c>
      <c r="I647" s="1" t="str">
        <f>"125305"</f>
        <v>125305</v>
      </c>
      <c r="J647" s="1" t="s">
        <v>28</v>
      </c>
      <c r="K647" s="1" t="s">
        <v>28</v>
      </c>
      <c r="L647" s="1" t="str">
        <f t="shared" si="95"/>
        <v>20220910</v>
      </c>
      <c r="M647" s="1" t="str">
        <f>"131331"</f>
        <v>131331</v>
      </c>
      <c r="N647" s="1" t="s">
        <v>72</v>
      </c>
      <c r="O647" s="1" t="s">
        <v>52</v>
      </c>
      <c r="P647" s="1" t="s">
        <v>55</v>
      </c>
      <c r="Q647" s="1">
        <v>25</v>
      </c>
      <c r="R647" s="1">
        <v>25</v>
      </c>
      <c r="S647" s="1">
        <v>0</v>
      </c>
      <c r="T647" s="1">
        <v>0</v>
      </c>
      <c r="U647" s="1">
        <v>0</v>
      </c>
      <c r="V647" s="1" t="str">
        <f t="shared" si="93"/>
        <v>里程返程</v>
      </c>
      <c r="W647" s="1" t="s">
        <v>29</v>
      </c>
    </row>
    <row r="648" spans="1:23" x14ac:dyDescent="0.3">
      <c r="A648" s="1" t="str">
        <f t="shared" si="91"/>
        <v>59828</v>
      </c>
      <c r="B648" s="1" t="s">
        <v>23</v>
      </c>
      <c r="C648" s="1" t="s">
        <v>24</v>
      </c>
      <c r="D648" s="1" t="str">
        <f t="shared" si="92"/>
        <v>9801</v>
      </c>
      <c r="E648" s="1" t="s">
        <v>25</v>
      </c>
      <c r="F648" s="1" t="str">
        <f>"1222216849"</f>
        <v>1222216849</v>
      </c>
      <c r="G648" s="1" t="s">
        <v>33</v>
      </c>
      <c r="H648" s="1" t="str">
        <f t="shared" si="94"/>
        <v>20220910</v>
      </c>
      <c r="I648" s="1" t="str">
        <f>"125311"</f>
        <v>125311</v>
      </c>
      <c r="J648" s="1" t="s">
        <v>28</v>
      </c>
      <c r="K648" s="1" t="s">
        <v>28</v>
      </c>
      <c r="L648" s="1" t="str">
        <f t="shared" si="95"/>
        <v>20220910</v>
      </c>
      <c r="M648" s="1" t="str">
        <f>"131324"</f>
        <v>131324</v>
      </c>
      <c r="N648" s="1" t="s">
        <v>72</v>
      </c>
      <c r="O648" s="1" t="s">
        <v>52</v>
      </c>
      <c r="P648" s="1" t="s">
        <v>55</v>
      </c>
      <c r="Q648" s="1">
        <v>25</v>
      </c>
      <c r="R648" s="1">
        <v>25</v>
      </c>
      <c r="S648" s="1">
        <v>0</v>
      </c>
      <c r="T648" s="1">
        <v>0</v>
      </c>
      <c r="U648" s="1">
        <v>0</v>
      </c>
      <c r="V648" s="1" t="str">
        <f t="shared" si="93"/>
        <v>里程返程</v>
      </c>
      <c r="W648" s="1" t="s">
        <v>35</v>
      </c>
    </row>
    <row r="649" spans="1:23" x14ac:dyDescent="0.3">
      <c r="A649" s="1" t="str">
        <f t="shared" si="91"/>
        <v>59828</v>
      </c>
      <c r="B649" s="1" t="s">
        <v>23</v>
      </c>
      <c r="C649" s="1" t="s">
        <v>24</v>
      </c>
      <c r="D649" s="1" t="str">
        <f t="shared" si="92"/>
        <v>9801</v>
      </c>
      <c r="E649" s="1" t="s">
        <v>25</v>
      </c>
      <c r="F649" s="1" t="str">
        <f>"F249B60C01880400C827002000000017"</f>
        <v>F249B60C01880400C827002000000017</v>
      </c>
      <c r="G649" s="1" t="s">
        <v>58</v>
      </c>
      <c r="H649" s="1" t="str">
        <f t="shared" si="94"/>
        <v>20220910</v>
      </c>
      <c r="I649" s="1" t="str">
        <f>"125316"</f>
        <v>125316</v>
      </c>
      <c r="J649" s="1" t="s">
        <v>28</v>
      </c>
      <c r="K649" s="1" t="s">
        <v>28</v>
      </c>
      <c r="L649" s="1" t="str">
        <f t="shared" si="95"/>
        <v>20220910</v>
      </c>
      <c r="M649" s="1" t="str">
        <f>"132053"</f>
        <v>132053</v>
      </c>
      <c r="N649" s="1" t="s">
        <v>52</v>
      </c>
      <c r="O649" s="1" t="s">
        <v>52</v>
      </c>
      <c r="P649" s="1" t="s">
        <v>55</v>
      </c>
      <c r="Q649" s="1">
        <v>25</v>
      </c>
      <c r="R649" s="1">
        <v>25</v>
      </c>
      <c r="S649" s="1">
        <v>0</v>
      </c>
      <c r="T649" s="1">
        <v>0</v>
      </c>
      <c r="U649" s="1">
        <v>0</v>
      </c>
      <c r="V649" s="1" t="str">
        <f t="shared" si="93"/>
        <v>里程返程</v>
      </c>
      <c r="W649" s="1" t="s">
        <v>29</v>
      </c>
    </row>
    <row r="650" spans="1:23" x14ac:dyDescent="0.3">
      <c r="A650" s="1" t="str">
        <f t="shared" si="91"/>
        <v>59828</v>
      </c>
      <c r="B650" s="1" t="s">
        <v>23</v>
      </c>
      <c r="C650" s="1" t="s">
        <v>24</v>
      </c>
      <c r="D650" s="1" t="str">
        <f t="shared" si="92"/>
        <v>9801</v>
      </c>
      <c r="E650" s="1" t="s">
        <v>25</v>
      </c>
      <c r="F650" s="1" t="str">
        <f>"685721701"</f>
        <v>685721701</v>
      </c>
      <c r="G650" s="1" t="s">
        <v>33</v>
      </c>
      <c r="H650" s="1" t="str">
        <f t="shared" si="94"/>
        <v>20220910</v>
      </c>
      <c r="I650" s="1" t="str">
        <f>"125322"</f>
        <v>125322</v>
      </c>
      <c r="J650" s="1" t="s">
        <v>28</v>
      </c>
      <c r="K650" s="1" t="s">
        <v>28</v>
      </c>
      <c r="L650" s="1" t="str">
        <f t="shared" si="95"/>
        <v>20220910</v>
      </c>
      <c r="M650" s="1" t="str">
        <f>"132051"</f>
        <v>132051</v>
      </c>
      <c r="N650" s="1" t="s">
        <v>52</v>
      </c>
      <c r="O650" s="1" t="s">
        <v>52</v>
      </c>
      <c r="P650" s="1" t="s">
        <v>55</v>
      </c>
      <c r="Q650" s="1">
        <v>25</v>
      </c>
      <c r="R650" s="1">
        <v>25</v>
      </c>
      <c r="S650" s="1">
        <v>0</v>
      </c>
      <c r="T650" s="1">
        <v>0</v>
      </c>
      <c r="U650" s="1">
        <v>0</v>
      </c>
      <c r="V650" s="1" t="str">
        <f t="shared" si="93"/>
        <v>里程返程</v>
      </c>
      <c r="W650" s="1" t="s">
        <v>35</v>
      </c>
    </row>
    <row r="651" spans="1:23" x14ac:dyDescent="0.3">
      <c r="A651" s="1" t="str">
        <f t="shared" si="91"/>
        <v>59828</v>
      </c>
      <c r="B651" s="1" t="s">
        <v>23</v>
      </c>
      <c r="C651" s="1" t="s">
        <v>24</v>
      </c>
      <c r="D651" s="1" t="str">
        <f t="shared" si="92"/>
        <v>9801</v>
      </c>
      <c r="E651" s="1" t="s">
        <v>25</v>
      </c>
      <c r="F651" s="1" t="str">
        <f>"1100656565"</f>
        <v>1100656565</v>
      </c>
      <c r="G651" s="1" t="s">
        <v>33</v>
      </c>
      <c r="H651" s="1" t="str">
        <f t="shared" si="94"/>
        <v>20220910</v>
      </c>
      <c r="I651" s="1" t="str">
        <f>"125452"</f>
        <v>125452</v>
      </c>
      <c r="J651" s="1" t="s">
        <v>28</v>
      </c>
      <c r="K651" s="1" t="s">
        <v>28</v>
      </c>
      <c r="L651" s="1" t="str">
        <f t="shared" si="95"/>
        <v>20220910</v>
      </c>
      <c r="M651" s="1" t="str">
        <f>"132056"</f>
        <v>132056</v>
      </c>
      <c r="N651" s="1" t="s">
        <v>52</v>
      </c>
      <c r="O651" s="1" t="s">
        <v>52</v>
      </c>
      <c r="P651" s="1" t="s">
        <v>55</v>
      </c>
      <c r="Q651" s="1">
        <v>25</v>
      </c>
      <c r="R651" s="1">
        <v>25</v>
      </c>
      <c r="S651" s="1">
        <v>0</v>
      </c>
      <c r="T651" s="1">
        <v>0</v>
      </c>
      <c r="U651" s="1">
        <v>0</v>
      </c>
      <c r="V651" s="1" t="str">
        <f t="shared" si="93"/>
        <v>里程返程</v>
      </c>
      <c r="W651" s="1" t="s">
        <v>35</v>
      </c>
    </row>
    <row r="652" spans="1:23" x14ac:dyDescent="0.3">
      <c r="A652" s="1" t="str">
        <f t="shared" si="91"/>
        <v>59828</v>
      </c>
      <c r="B652" s="1" t="s">
        <v>23</v>
      </c>
      <c r="C652" s="1" t="s">
        <v>24</v>
      </c>
      <c r="D652" s="1" t="str">
        <f t="shared" si="92"/>
        <v>9801</v>
      </c>
      <c r="E652" s="1" t="s">
        <v>25</v>
      </c>
      <c r="F652" s="1" t="str">
        <f>"1144447797"</f>
        <v>1144447797</v>
      </c>
      <c r="G652" s="1" t="s">
        <v>33</v>
      </c>
      <c r="H652" s="1" t="str">
        <f t="shared" si="94"/>
        <v>20220910</v>
      </c>
      <c r="I652" s="1" t="str">
        <f>"142919"</f>
        <v>142919</v>
      </c>
      <c r="J652" s="1" t="s">
        <v>44</v>
      </c>
      <c r="K652" s="1" t="s">
        <v>45</v>
      </c>
      <c r="L652" s="1" t="str">
        <f t="shared" si="95"/>
        <v>20220910</v>
      </c>
      <c r="M652" s="1" t="str">
        <f>"143659"</f>
        <v>143659</v>
      </c>
      <c r="N652" s="1" t="s">
        <v>91</v>
      </c>
      <c r="O652" s="1" t="s">
        <v>45</v>
      </c>
      <c r="P652" s="1" t="s">
        <v>55</v>
      </c>
      <c r="Q652" s="1">
        <v>25</v>
      </c>
      <c r="R652" s="1">
        <v>0</v>
      </c>
      <c r="S652" s="1">
        <v>25</v>
      </c>
      <c r="T652" s="1">
        <v>0</v>
      </c>
      <c r="U652" s="1">
        <v>0</v>
      </c>
      <c r="V652" s="1" t="str">
        <f t="shared" si="93"/>
        <v>里程返程</v>
      </c>
      <c r="W652" s="1" t="s">
        <v>35</v>
      </c>
    </row>
    <row r="653" spans="1:23" x14ac:dyDescent="0.3">
      <c r="A653" s="1" t="str">
        <f t="shared" si="91"/>
        <v>59828</v>
      </c>
      <c r="B653" s="1" t="s">
        <v>23</v>
      </c>
      <c r="C653" s="1" t="s">
        <v>24</v>
      </c>
      <c r="D653" s="1" t="str">
        <f t="shared" si="92"/>
        <v>9801</v>
      </c>
      <c r="E653" s="1" t="s">
        <v>25</v>
      </c>
      <c r="F653" s="1" t="str">
        <f>"1147247877"</f>
        <v>1147247877</v>
      </c>
      <c r="G653" s="1" t="s">
        <v>38</v>
      </c>
      <c r="H653" s="1" t="str">
        <f t="shared" si="94"/>
        <v>20220910</v>
      </c>
      <c r="I653" s="1" t="str">
        <f>"142922"</f>
        <v>142922</v>
      </c>
      <c r="J653" s="1" t="s">
        <v>44</v>
      </c>
      <c r="K653" s="1" t="s">
        <v>45</v>
      </c>
      <c r="L653" s="1" t="str">
        <f t="shared" si="95"/>
        <v>20220910</v>
      </c>
      <c r="M653" s="1" t="str">
        <f>"143702"</f>
        <v>143702</v>
      </c>
      <c r="N653" s="1" t="s">
        <v>91</v>
      </c>
      <c r="O653" s="1" t="s">
        <v>45</v>
      </c>
      <c r="P653" s="1" t="s">
        <v>55</v>
      </c>
      <c r="Q653" s="1">
        <v>25</v>
      </c>
      <c r="R653" s="1">
        <v>0</v>
      </c>
      <c r="S653" s="1">
        <v>25</v>
      </c>
      <c r="T653" s="1">
        <v>0</v>
      </c>
      <c r="U653" s="1">
        <v>0</v>
      </c>
      <c r="V653" s="1" t="str">
        <f t="shared" si="93"/>
        <v>里程返程</v>
      </c>
      <c r="W653" s="1" t="s">
        <v>35</v>
      </c>
    </row>
    <row r="654" spans="1:23" x14ac:dyDescent="0.3">
      <c r="A654" s="1" t="str">
        <f t="shared" si="91"/>
        <v>59828</v>
      </c>
      <c r="B654" s="1" t="s">
        <v>23</v>
      </c>
      <c r="C654" s="1" t="s">
        <v>24</v>
      </c>
      <c r="D654" s="1" t="str">
        <f t="shared" si="92"/>
        <v>9801</v>
      </c>
      <c r="E654" s="1" t="s">
        <v>25</v>
      </c>
      <c r="F654" s="1" t="str">
        <f>"1695105317"</f>
        <v>1695105317</v>
      </c>
      <c r="G654" s="1" t="s">
        <v>33</v>
      </c>
      <c r="H654" s="1" t="str">
        <f t="shared" si="94"/>
        <v>20220910</v>
      </c>
      <c r="I654" s="1" t="str">
        <f>"142927"</f>
        <v>142927</v>
      </c>
      <c r="J654" s="1" t="s">
        <v>44</v>
      </c>
      <c r="K654" s="1" t="s">
        <v>45</v>
      </c>
      <c r="L654" s="1" t="str">
        <f t="shared" si="95"/>
        <v>20220910</v>
      </c>
      <c r="M654" s="1" t="str">
        <f>"145111"</f>
        <v>145111</v>
      </c>
      <c r="N654" s="1" t="s">
        <v>28</v>
      </c>
      <c r="O654" s="1" t="s">
        <v>28</v>
      </c>
      <c r="P654" s="1" t="s">
        <v>55</v>
      </c>
      <c r="Q654" s="1">
        <v>25</v>
      </c>
      <c r="R654" s="1">
        <v>25</v>
      </c>
      <c r="S654" s="1">
        <v>0</v>
      </c>
      <c r="T654" s="1">
        <v>0</v>
      </c>
      <c r="U654" s="1">
        <v>0</v>
      </c>
      <c r="V654" s="1" t="str">
        <f t="shared" si="93"/>
        <v>里程返程</v>
      </c>
      <c r="W654" s="1" t="s">
        <v>35</v>
      </c>
    </row>
    <row r="655" spans="1:23" x14ac:dyDescent="0.3">
      <c r="A655" s="1" t="str">
        <f t="shared" si="91"/>
        <v>59828</v>
      </c>
      <c r="B655" s="1" t="s">
        <v>23</v>
      </c>
      <c r="C655" s="1" t="s">
        <v>24</v>
      </c>
      <c r="D655" s="1" t="str">
        <f t="shared" si="92"/>
        <v>9801</v>
      </c>
      <c r="E655" s="1" t="s">
        <v>25</v>
      </c>
      <c r="F655" s="1" t="str">
        <f>"4D7115C1E88804004885145841004110"</f>
        <v>4D7115C1E88804004885145841004110</v>
      </c>
      <c r="G655" s="1" t="s">
        <v>59</v>
      </c>
      <c r="H655" s="1" t="str">
        <f t="shared" si="94"/>
        <v>20220910</v>
      </c>
      <c r="I655" s="1" t="str">
        <f>"144041"</f>
        <v>144041</v>
      </c>
      <c r="J655" s="1" t="s">
        <v>56</v>
      </c>
      <c r="K655" s="1" t="s">
        <v>45</v>
      </c>
      <c r="L655" s="1" t="str">
        <f t="shared" si="95"/>
        <v>20220910</v>
      </c>
      <c r="M655" s="1" t="str">
        <f>"145117"</f>
        <v>145117</v>
      </c>
      <c r="N655" s="1" t="s">
        <v>28</v>
      </c>
      <c r="O655" s="1" t="s">
        <v>28</v>
      </c>
      <c r="P655" s="1" t="s">
        <v>55</v>
      </c>
      <c r="Q655" s="1">
        <v>25</v>
      </c>
      <c r="R655" s="1">
        <v>25</v>
      </c>
      <c r="S655" s="1">
        <v>0</v>
      </c>
      <c r="T655" s="1">
        <v>0</v>
      </c>
      <c r="U655" s="1">
        <v>0</v>
      </c>
      <c r="V655" s="1" t="str">
        <f t="shared" si="93"/>
        <v>里程返程</v>
      </c>
      <c r="W655" s="1" t="s">
        <v>29</v>
      </c>
    </row>
    <row r="656" spans="1:23" x14ac:dyDescent="0.3">
      <c r="A656" s="1" t="str">
        <f t="shared" si="91"/>
        <v>59828</v>
      </c>
      <c r="B656" s="1" t="s">
        <v>23</v>
      </c>
      <c r="C656" s="1" t="s">
        <v>24</v>
      </c>
      <c r="D656" s="1" t="str">
        <f t="shared" si="92"/>
        <v>9801</v>
      </c>
      <c r="E656" s="1" t="s">
        <v>25</v>
      </c>
      <c r="F656" s="1" t="str">
        <f>"247449573"</f>
        <v>247449573</v>
      </c>
      <c r="G656" s="1" t="s">
        <v>33</v>
      </c>
      <c r="H656" s="1" t="str">
        <f t="shared" si="94"/>
        <v>20220910</v>
      </c>
      <c r="I656" s="1" t="str">
        <f>"144045"</f>
        <v>144045</v>
      </c>
      <c r="J656" s="1" t="s">
        <v>56</v>
      </c>
      <c r="K656" s="1" t="s">
        <v>45</v>
      </c>
      <c r="L656" s="1" t="str">
        <f t="shared" si="95"/>
        <v>20220910</v>
      </c>
      <c r="M656" s="1" t="str">
        <f>"145116"</f>
        <v>145116</v>
      </c>
      <c r="N656" s="1" t="s">
        <v>28</v>
      </c>
      <c r="O656" s="1" t="s">
        <v>28</v>
      </c>
      <c r="P656" s="1" t="s">
        <v>55</v>
      </c>
      <c r="Q656" s="1">
        <v>25</v>
      </c>
      <c r="R656" s="1">
        <v>25</v>
      </c>
      <c r="S656" s="1">
        <v>0</v>
      </c>
      <c r="T656" s="1">
        <v>0</v>
      </c>
      <c r="U656" s="1">
        <v>0</v>
      </c>
      <c r="V656" s="1" t="str">
        <f t="shared" si="93"/>
        <v>里程返程</v>
      </c>
      <c r="W656" s="1" t="s">
        <v>35</v>
      </c>
    </row>
    <row r="657" spans="1:23" x14ac:dyDescent="0.3">
      <c r="A657" s="1" t="str">
        <f t="shared" si="91"/>
        <v>59828</v>
      </c>
      <c r="B657" s="1" t="s">
        <v>23</v>
      </c>
      <c r="C657" s="1" t="s">
        <v>24</v>
      </c>
      <c r="D657" s="1" t="str">
        <f t="shared" si="92"/>
        <v>9801</v>
      </c>
      <c r="E657" s="1" t="s">
        <v>25</v>
      </c>
      <c r="F657" s="1" t="str">
        <f>"62790D0315880400C834002000000015"</f>
        <v>62790D0315880400C834002000000015</v>
      </c>
      <c r="G657" s="1" t="s">
        <v>26</v>
      </c>
      <c r="H657" s="1" t="str">
        <f t="shared" si="94"/>
        <v>20220910</v>
      </c>
      <c r="I657" s="1" t="str">
        <f>"145237"</f>
        <v>145237</v>
      </c>
      <c r="J657" s="1" t="s">
        <v>28</v>
      </c>
      <c r="K657" s="1" t="s">
        <v>28</v>
      </c>
      <c r="L657" s="1" t="str">
        <f t="shared" si="95"/>
        <v>20220910</v>
      </c>
      <c r="M657" s="1" t="str">
        <f>"150203"</f>
        <v>150203</v>
      </c>
      <c r="N657" s="1" t="s">
        <v>67</v>
      </c>
      <c r="O657" s="1" t="s">
        <v>52</v>
      </c>
      <c r="P657" s="1" t="s">
        <v>68</v>
      </c>
      <c r="Q657" s="1">
        <v>13</v>
      </c>
      <c r="R657" s="1">
        <v>0</v>
      </c>
      <c r="S657" s="1">
        <v>0</v>
      </c>
      <c r="T657" s="1">
        <v>13</v>
      </c>
      <c r="U657" s="1">
        <v>0</v>
      </c>
      <c r="V657" s="1" t="str">
        <f t="shared" si="93"/>
        <v>里程返程</v>
      </c>
      <c r="W657" s="1" t="s">
        <v>29</v>
      </c>
    </row>
    <row r="658" spans="1:23" x14ac:dyDescent="0.3">
      <c r="A658" s="1" t="str">
        <f t="shared" si="91"/>
        <v>59828</v>
      </c>
      <c r="B658" s="1" t="s">
        <v>23</v>
      </c>
      <c r="C658" s="1" t="s">
        <v>24</v>
      </c>
      <c r="D658" s="1" t="str">
        <f t="shared" si="92"/>
        <v>9801</v>
      </c>
      <c r="E658" s="1" t="s">
        <v>25</v>
      </c>
      <c r="F658" s="1" t="str">
        <f>"C2359E167F880400C814002000000019"</f>
        <v>C2359E167F880400C814002000000019</v>
      </c>
      <c r="G658" s="1" t="s">
        <v>82</v>
      </c>
      <c r="H658" s="1" t="str">
        <f t="shared" si="94"/>
        <v>20220910</v>
      </c>
      <c r="I658" s="1" t="str">
        <f>"152657"</f>
        <v>152657</v>
      </c>
      <c r="J658" s="1" t="s">
        <v>44</v>
      </c>
      <c r="K658" s="1" t="s">
        <v>45</v>
      </c>
      <c r="L658" s="1" t="str">
        <f t="shared" si="95"/>
        <v>20220910</v>
      </c>
      <c r="M658" s="1" t="str">
        <f>"153631"</f>
        <v>153631</v>
      </c>
      <c r="N658" s="1" t="s">
        <v>91</v>
      </c>
      <c r="O658" s="1" t="s">
        <v>45</v>
      </c>
      <c r="P658" s="1" t="s">
        <v>55</v>
      </c>
      <c r="Q658" s="1">
        <v>13</v>
      </c>
      <c r="R658" s="1">
        <v>0</v>
      </c>
      <c r="S658" s="1">
        <v>13</v>
      </c>
      <c r="T658" s="1">
        <v>0</v>
      </c>
      <c r="U658" s="1">
        <v>0</v>
      </c>
      <c r="V658" s="1" t="str">
        <f t="shared" si="93"/>
        <v>里程返程</v>
      </c>
      <c r="W658" s="1" t="s">
        <v>29</v>
      </c>
    </row>
    <row r="659" spans="1:23" x14ac:dyDescent="0.3">
      <c r="A659" s="1" t="str">
        <f t="shared" si="91"/>
        <v>59828</v>
      </c>
      <c r="B659" s="1" t="s">
        <v>23</v>
      </c>
      <c r="C659" s="1" t="s">
        <v>24</v>
      </c>
      <c r="D659" s="1" t="str">
        <f t="shared" si="92"/>
        <v>9801</v>
      </c>
      <c r="E659" s="1" t="s">
        <v>25</v>
      </c>
      <c r="F659" s="1" t="str">
        <f>"801654885"</f>
        <v>801654885</v>
      </c>
      <c r="G659" s="1" t="s">
        <v>26</v>
      </c>
      <c r="H659" s="1" t="str">
        <f t="shared" si="94"/>
        <v>20220910</v>
      </c>
      <c r="I659" s="1" t="str">
        <f>"152704"</f>
        <v>152704</v>
      </c>
      <c r="J659" s="1" t="s">
        <v>44</v>
      </c>
      <c r="K659" s="1" t="s">
        <v>45</v>
      </c>
      <c r="L659" s="1" t="str">
        <f t="shared" si="95"/>
        <v>20220910</v>
      </c>
      <c r="M659" s="1" t="str">
        <f>"153629"</f>
        <v>153629</v>
      </c>
      <c r="N659" s="1" t="s">
        <v>91</v>
      </c>
      <c r="O659" s="1" t="s">
        <v>45</v>
      </c>
      <c r="P659" s="1" t="s">
        <v>55</v>
      </c>
      <c r="Q659" s="1">
        <v>13</v>
      </c>
      <c r="R659" s="1">
        <v>0</v>
      </c>
      <c r="S659" s="1">
        <v>13</v>
      </c>
      <c r="T659" s="1">
        <v>0</v>
      </c>
      <c r="U659" s="1">
        <v>0</v>
      </c>
      <c r="V659" s="1" t="str">
        <f t="shared" si="93"/>
        <v>里程返程</v>
      </c>
      <c r="W659" s="1" t="s">
        <v>35</v>
      </c>
    </row>
    <row r="660" spans="1:23" x14ac:dyDescent="0.3">
      <c r="A660" s="1" t="str">
        <f t="shared" si="91"/>
        <v>59828</v>
      </c>
      <c r="B660" s="1" t="s">
        <v>23</v>
      </c>
      <c r="C660" s="1" t="s">
        <v>24</v>
      </c>
      <c r="D660" s="1" t="str">
        <f t="shared" si="92"/>
        <v>9801</v>
      </c>
      <c r="E660" s="1" t="s">
        <v>25</v>
      </c>
      <c r="F660" s="1" t="str">
        <f>"1147247877"</f>
        <v>1147247877</v>
      </c>
      <c r="G660" s="1" t="s">
        <v>38</v>
      </c>
      <c r="H660" s="1" t="str">
        <f t="shared" si="94"/>
        <v>20220910</v>
      </c>
      <c r="I660" s="1" t="str">
        <f>"153642"</f>
        <v>153642</v>
      </c>
      <c r="J660" s="1" t="s">
        <v>91</v>
      </c>
      <c r="K660" s="1" t="s">
        <v>45</v>
      </c>
      <c r="L660" s="1" t="str">
        <f t="shared" si="95"/>
        <v>20220910</v>
      </c>
      <c r="M660" s="1" t="str">
        <f>"155211"</f>
        <v>155211</v>
      </c>
      <c r="N660" s="1" t="s">
        <v>28</v>
      </c>
      <c r="O660" s="1" t="s">
        <v>28</v>
      </c>
      <c r="P660" s="1" t="s">
        <v>55</v>
      </c>
      <c r="Q660" s="1">
        <v>25</v>
      </c>
      <c r="R660" s="1">
        <v>25</v>
      </c>
      <c r="S660" s="1">
        <v>0</v>
      </c>
      <c r="T660" s="1">
        <v>0</v>
      </c>
      <c r="U660" s="1">
        <v>0</v>
      </c>
      <c r="V660" s="1" t="str">
        <f t="shared" si="93"/>
        <v>里程返程</v>
      </c>
      <c r="W660" s="1" t="s">
        <v>35</v>
      </c>
    </row>
    <row r="661" spans="1:23" x14ac:dyDescent="0.3">
      <c r="A661" s="1" t="str">
        <f t="shared" si="91"/>
        <v>59828</v>
      </c>
      <c r="B661" s="1" t="s">
        <v>23</v>
      </c>
      <c r="C661" s="1" t="s">
        <v>24</v>
      </c>
      <c r="D661" s="1" t="str">
        <f t="shared" si="92"/>
        <v>9801</v>
      </c>
      <c r="E661" s="1" t="s">
        <v>25</v>
      </c>
      <c r="F661" s="1" t="str">
        <f>"1144447797"</f>
        <v>1144447797</v>
      </c>
      <c r="G661" s="1" t="s">
        <v>33</v>
      </c>
      <c r="H661" s="1" t="str">
        <f t="shared" si="94"/>
        <v>20220910</v>
      </c>
      <c r="I661" s="1" t="str">
        <f>"153644"</f>
        <v>153644</v>
      </c>
      <c r="J661" s="1" t="s">
        <v>91</v>
      </c>
      <c r="K661" s="1" t="s">
        <v>45</v>
      </c>
      <c r="L661" s="1" t="str">
        <f t="shared" si="95"/>
        <v>20220910</v>
      </c>
      <c r="M661" s="1" t="str">
        <f>"155208"</f>
        <v>155208</v>
      </c>
      <c r="N661" s="1" t="s">
        <v>28</v>
      </c>
      <c r="O661" s="1" t="s">
        <v>28</v>
      </c>
      <c r="P661" s="1" t="s">
        <v>55</v>
      </c>
      <c r="Q661" s="1">
        <v>25</v>
      </c>
      <c r="R661" s="1">
        <v>25</v>
      </c>
      <c r="S661" s="1">
        <v>0</v>
      </c>
      <c r="T661" s="1">
        <v>0</v>
      </c>
      <c r="U661" s="1">
        <v>0</v>
      </c>
      <c r="V661" s="1" t="str">
        <f t="shared" si="93"/>
        <v>里程返程</v>
      </c>
      <c r="W661" s="1" t="s">
        <v>35</v>
      </c>
    </row>
    <row r="662" spans="1:23" x14ac:dyDescent="0.3">
      <c r="A662" s="1" t="str">
        <f t="shared" si="91"/>
        <v>59828</v>
      </c>
      <c r="B662" s="1" t="s">
        <v>23</v>
      </c>
      <c r="C662" s="1" t="s">
        <v>24</v>
      </c>
      <c r="D662" s="1" t="str">
        <f t="shared" si="92"/>
        <v>9801</v>
      </c>
      <c r="E662" s="1" t="s">
        <v>25</v>
      </c>
      <c r="F662" s="1" t="str">
        <f>"12F38E1877880400C819002000000019"</f>
        <v>12F38E1877880400C819002000000019</v>
      </c>
      <c r="G662" s="1" t="s">
        <v>58</v>
      </c>
      <c r="H662" s="1" t="str">
        <f t="shared" si="94"/>
        <v>20220910</v>
      </c>
      <c r="I662" s="1" t="str">
        <f>"153651"</f>
        <v>153651</v>
      </c>
      <c r="J662" s="1" t="s">
        <v>91</v>
      </c>
      <c r="K662" s="1" t="s">
        <v>45</v>
      </c>
      <c r="L662" s="1" t="str">
        <f t="shared" si="95"/>
        <v>20220910</v>
      </c>
      <c r="M662" s="1" t="str">
        <f>"155205"</f>
        <v>155205</v>
      </c>
      <c r="N662" s="1" t="s">
        <v>28</v>
      </c>
      <c r="O662" s="1" t="s">
        <v>28</v>
      </c>
      <c r="P662" s="1" t="s">
        <v>55</v>
      </c>
      <c r="Q662" s="1">
        <v>25</v>
      </c>
      <c r="R662" s="1">
        <v>0</v>
      </c>
      <c r="S662" s="1">
        <v>25</v>
      </c>
      <c r="T662" s="1">
        <v>0</v>
      </c>
      <c r="U662" s="1">
        <v>0</v>
      </c>
      <c r="V662" s="1" t="str">
        <f t="shared" si="93"/>
        <v>里程返程</v>
      </c>
      <c r="W662" s="1" t="s">
        <v>29</v>
      </c>
    </row>
    <row r="663" spans="1:23" x14ac:dyDescent="0.3">
      <c r="A663" s="1" t="str">
        <f t="shared" si="91"/>
        <v>59828</v>
      </c>
      <c r="B663" s="1" t="s">
        <v>23</v>
      </c>
      <c r="C663" s="1" t="s">
        <v>24</v>
      </c>
      <c r="D663" s="1" t="str">
        <f t="shared" si="92"/>
        <v>9801</v>
      </c>
      <c r="E663" s="1" t="s">
        <v>25</v>
      </c>
      <c r="F663" s="1" t="str">
        <f>"72AB1C16D3880400C810002000000019"</f>
        <v>72AB1C16D3880400C810002000000019</v>
      </c>
      <c r="G663" s="1" t="s">
        <v>26</v>
      </c>
      <c r="H663" s="1" t="str">
        <f t="shared" si="94"/>
        <v>20220910</v>
      </c>
      <c r="I663" s="1" t="str">
        <f>"155235"</f>
        <v>155235</v>
      </c>
      <c r="J663" s="1" t="s">
        <v>28</v>
      </c>
      <c r="K663" s="1" t="s">
        <v>28</v>
      </c>
      <c r="L663" s="1" t="str">
        <f t="shared" si="95"/>
        <v>20220910</v>
      </c>
      <c r="M663" s="1" t="str">
        <f>"160220"</f>
        <v>160220</v>
      </c>
      <c r="N663" s="1" t="s">
        <v>83</v>
      </c>
      <c r="O663" s="1" t="s">
        <v>52</v>
      </c>
      <c r="P663" s="1" t="s">
        <v>55</v>
      </c>
      <c r="Q663" s="1">
        <v>13</v>
      </c>
      <c r="R663" s="1">
        <v>0</v>
      </c>
      <c r="S663" s="1">
        <v>13</v>
      </c>
      <c r="T663" s="1">
        <v>0</v>
      </c>
      <c r="U663" s="1">
        <v>0</v>
      </c>
      <c r="V663" s="1" t="str">
        <f t="shared" si="93"/>
        <v>里程返程</v>
      </c>
      <c r="W663" s="1" t="s">
        <v>29</v>
      </c>
    </row>
    <row r="664" spans="1:23" x14ac:dyDescent="0.3">
      <c r="A664" s="1" t="str">
        <f t="shared" si="91"/>
        <v>59828</v>
      </c>
      <c r="B664" s="1" t="s">
        <v>23</v>
      </c>
      <c r="C664" s="1" t="s">
        <v>24</v>
      </c>
      <c r="D664" s="1" t="str">
        <f t="shared" si="92"/>
        <v>9801</v>
      </c>
      <c r="E664" s="1" t="s">
        <v>25</v>
      </c>
      <c r="F664" s="1" t="str">
        <f>"4E987FE148880400C823002000000015"</f>
        <v>4E987FE148880400C823002000000015</v>
      </c>
      <c r="G664" s="1" t="s">
        <v>58</v>
      </c>
      <c r="H664" s="1" t="str">
        <f t="shared" si="94"/>
        <v>20220910</v>
      </c>
      <c r="I664" s="1" t="str">
        <f>"155248"</f>
        <v>155248</v>
      </c>
      <c r="J664" s="1" t="s">
        <v>28</v>
      </c>
      <c r="K664" s="1" t="s">
        <v>28</v>
      </c>
      <c r="L664" s="1" t="str">
        <f t="shared" si="95"/>
        <v>20220910</v>
      </c>
      <c r="M664" s="1" t="str">
        <f>"160217"</f>
        <v>160217</v>
      </c>
      <c r="N664" s="1" t="s">
        <v>83</v>
      </c>
      <c r="O664" s="1" t="s">
        <v>52</v>
      </c>
      <c r="P664" s="1" t="s">
        <v>55</v>
      </c>
      <c r="Q664" s="1">
        <v>25</v>
      </c>
      <c r="R664" s="1">
        <v>25</v>
      </c>
      <c r="S664" s="1">
        <v>0</v>
      </c>
      <c r="T664" s="1">
        <v>0</v>
      </c>
      <c r="U664" s="1">
        <v>0</v>
      </c>
      <c r="V664" s="1" t="str">
        <f t="shared" si="93"/>
        <v>里程返程</v>
      </c>
      <c r="W664" s="1" t="s">
        <v>29</v>
      </c>
    </row>
    <row r="665" spans="1:23" x14ac:dyDescent="0.3">
      <c r="A665" s="1" t="str">
        <f t="shared" si="91"/>
        <v>59828</v>
      </c>
      <c r="B665" s="1" t="s">
        <v>23</v>
      </c>
      <c r="C665" s="1" t="s">
        <v>24</v>
      </c>
      <c r="D665" s="1" t="str">
        <f t="shared" si="92"/>
        <v>9801</v>
      </c>
      <c r="E665" s="1" t="s">
        <v>25</v>
      </c>
      <c r="F665" s="1" t="str">
        <f>"9517172009463583"</f>
        <v>9517172009463583</v>
      </c>
      <c r="G665" s="1" t="s">
        <v>33</v>
      </c>
      <c r="H665" s="1" t="str">
        <f t="shared" si="94"/>
        <v>20220910</v>
      </c>
      <c r="I665" s="1" t="str">
        <f>"155318"</f>
        <v>155318</v>
      </c>
      <c r="J665" s="1" t="s">
        <v>28</v>
      </c>
      <c r="K665" s="1" t="s">
        <v>28</v>
      </c>
      <c r="L665" s="1" t="str">
        <f t="shared" si="95"/>
        <v>20220910</v>
      </c>
      <c r="M665" s="1" t="str">
        <f>"162044"</f>
        <v>162044</v>
      </c>
      <c r="N665" s="1" t="s">
        <v>86</v>
      </c>
      <c r="O665" s="1" t="s">
        <v>52</v>
      </c>
      <c r="P665" s="1" t="s">
        <v>55</v>
      </c>
      <c r="Q665" s="1">
        <v>25</v>
      </c>
      <c r="R665" s="1">
        <v>25</v>
      </c>
      <c r="S665" s="1">
        <v>0</v>
      </c>
      <c r="T665" s="1">
        <v>0</v>
      </c>
      <c r="U665" s="1">
        <v>0</v>
      </c>
      <c r="V665" s="1" t="str">
        <f t="shared" si="93"/>
        <v>里程返程</v>
      </c>
      <c r="W665" s="1" t="s">
        <v>109</v>
      </c>
    </row>
    <row r="666" spans="1:23" x14ac:dyDescent="0.3">
      <c r="A666" s="1" t="str">
        <f t="shared" si="91"/>
        <v>59828</v>
      </c>
      <c r="B666" s="1" t="s">
        <v>23</v>
      </c>
      <c r="C666" s="1" t="s">
        <v>24</v>
      </c>
      <c r="D666" s="1" t="str">
        <f t="shared" si="92"/>
        <v>9801</v>
      </c>
      <c r="E666" s="1" t="s">
        <v>25</v>
      </c>
      <c r="F666" s="1" t="str">
        <f>"1464085585"</f>
        <v>1464085585</v>
      </c>
      <c r="G666" s="1" t="s">
        <v>33</v>
      </c>
      <c r="H666" s="1" t="str">
        <f t="shared" si="94"/>
        <v>20220910</v>
      </c>
      <c r="I666" s="1" t="str">
        <f>"155321"</f>
        <v>155321</v>
      </c>
      <c r="J666" s="1" t="s">
        <v>28</v>
      </c>
      <c r="K666" s="1" t="s">
        <v>28</v>
      </c>
      <c r="L666" s="1" t="str">
        <f t="shared" si="95"/>
        <v>20220910</v>
      </c>
      <c r="M666" s="1" t="str">
        <f>"162047"</f>
        <v>162047</v>
      </c>
      <c r="N666" s="1" t="s">
        <v>86</v>
      </c>
      <c r="O666" s="1" t="s">
        <v>52</v>
      </c>
      <c r="P666" s="1" t="s">
        <v>55</v>
      </c>
      <c r="Q666" s="1">
        <v>25</v>
      </c>
      <c r="R666" s="1">
        <v>25</v>
      </c>
      <c r="S666" s="1">
        <v>0</v>
      </c>
      <c r="T666" s="1">
        <v>0</v>
      </c>
      <c r="U666" s="1">
        <v>0</v>
      </c>
      <c r="V666" s="1" t="str">
        <f t="shared" si="93"/>
        <v>里程返程</v>
      </c>
      <c r="W666" s="1" t="s">
        <v>35</v>
      </c>
    </row>
    <row r="667" spans="1:23" x14ac:dyDescent="0.3">
      <c r="A667" s="1" t="str">
        <f t="shared" si="91"/>
        <v>59828</v>
      </c>
      <c r="B667" s="1" t="s">
        <v>23</v>
      </c>
      <c r="C667" s="1" t="s">
        <v>24</v>
      </c>
      <c r="D667" s="1" t="str">
        <f t="shared" si="92"/>
        <v>9801</v>
      </c>
      <c r="E667" s="1" t="s">
        <v>25</v>
      </c>
      <c r="F667" s="1" t="str">
        <f>"D150B35A682804001C00000000000000"</f>
        <v>D150B35A682804001C00000000000000</v>
      </c>
      <c r="G667" s="1" t="s">
        <v>58</v>
      </c>
      <c r="H667" s="1" t="str">
        <f t="shared" si="94"/>
        <v>20220910</v>
      </c>
      <c r="I667" s="1" t="str">
        <f>"155324"</f>
        <v>155324</v>
      </c>
      <c r="J667" s="1" t="s">
        <v>28</v>
      </c>
      <c r="K667" s="1" t="s">
        <v>28</v>
      </c>
      <c r="L667" s="1" t="str">
        <f t="shared" si="95"/>
        <v>20220910</v>
      </c>
      <c r="M667" s="1" t="str">
        <f>"162041"</f>
        <v>162041</v>
      </c>
      <c r="N667" s="1" t="s">
        <v>86</v>
      </c>
      <c r="O667" s="1" t="s">
        <v>52</v>
      </c>
      <c r="P667" s="1" t="s">
        <v>55</v>
      </c>
      <c r="Q667" s="1">
        <v>25</v>
      </c>
      <c r="R667" s="1">
        <v>25</v>
      </c>
      <c r="S667" s="1">
        <v>0</v>
      </c>
      <c r="T667" s="1">
        <v>0</v>
      </c>
      <c r="U667" s="1">
        <v>0</v>
      </c>
      <c r="V667" s="1" t="str">
        <f t="shared" si="93"/>
        <v>里程返程</v>
      </c>
      <c r="W667" s="1" t="s">
        <v>29</v>
      </c>
    </row>
    <row r="668" spans="1:23" x14ac:dyDescent="0.3">
      <c r="A668" s="1" t="str">
        <f t="shared" si="91"/>
        <v>59828</v>
      </c>
      <c r="B668" s="1" t="s">
        <v>23</v>
      </c>
      <c r="C668" s="1" t="s">
        <v>24</v>
      </c>
      <c r="D668" s="1" t="str">
        <f t="shared" si="92"/>
        <v>9801</v>
      </c>
      <c r="E668" s="1" t="s">
        <v>25</v>
      </c>
      <c r="F668" s="1" t="str">
        <f>"A145DF152E280400F700000000000000"</f>
        <v>A145DF152E280400F700000000000000</v>
      </c>
      <c r="G668" s="1" t="s">
        <v>58</v>
      </c>
      <c r="H668" s="1" t="str">
        <f t="shared" si="94"/>
        <v>20220910</v>
      </c>
      <c r="I668" s="1" t="str">
        <f>"162312"</f>
        <v>162312</v>
      </c>
      <c r="J668" s="1" t="s">
        <v>44</v>
      </c>
      <c r="K668" s="1" t="s">
        <v>45</v>
      </c>
      <c r="L668" s="1" t="str">
        <f t="shared" si="95"/>
        <v>20220910</v>
      </c>
      <c r="M668" s="1" t="str">
        <f>"165016"</f>
        <v>165016</v>
      </c>
      <c r="N668" s="1" t="s">
        <v>28</v>
      </c>
      <c r="O668" s="1" t="s">
        <v>28</v>
      </c>
      <c r="P668" s="1" t="s">
        <v>55</v>
      </c>
      <c r="Q668" s="1">
        <v>25</v>
      </c>
      <c r="R668" s="1">
        <v>25</v>
      </c>
      <c r="S668" s="1">
        <v>0</v>
      </c>
      <c r="T668" s="1">
        <v>0</v>
      </c>
      <c r="U668" s="1">
        <v>0</v>
      </c>
      <c r="V668" s="1" t="str">
        <f t="shared" si="93"/>
        <v>里程返程</v>
      </c>
      <c r="W668" s="1" t="s">
        <v>29</v>
      </c>
    </row>
    <row r="669" spans="1:23" x14ac:dyDescent="0.3">
      <c r="A669" s="1" t="str">
        <f t="shared" si="91"/>
        <v>59828</v>
      </c>
      <c r="B669" s="1" t="s">
        <v>23</v>
      </c>
      <c r="C669" s="1" t="s">
        <v>24</v>
      </c>
      <c r="D669" s="1" t="str">
        <f t="shared" si="92"/>
        <v>9801</v>
      </c>
      <c r="E669" s="1" t="s">
        <v>25</v>
      </c>
      <c r="F669" s="1" t="str">
        <f>"269465857"</f>
        <v>269465857</v>
      </c>
      <c r="G669" s="1" t="s">
        <v>33</v>
      </c>
      <c r="H669" s="1" t="str">
        <f t="shared" si="94"/>
        <v>20220910</v>
      </c>
      <c r="I669" s="1" t="str">
        <f>"163557"</f>
        <v>163557</v>
      </c>
      <c r="J669" s="1" t="s">
        <v>91</v>
      </c>
      <c r="K669" s="1" t="s">
        <v>45</v>
      </c>
      <c r="L669" s="1" t="str">
        <f t="shared" si="95"/>
        <v>20220910</v>
      </c>
      <c r="M669" s="1" t="str">
        <f>"165010"</f>
        <v>165010</v>
      </c>
      <c r="N669" s="1" t="s">
        <v>28</v>
      </c>
      <c r="O669" s="1" t="s">
        <v>28</v>
      </c>
      <c r="P669" s="1" t="s">
        <v>55</v>
      </c>
      <c r="Q669" s="1">
        <v>25</v>
      </c>
      <c r="R669" s="1">
        <v>0</v>
      </c>
      <c r="S669" s="1">
        <v>25</v>
      </c>
      <c r="T669" s="1">
        <v>0</v>
      </c>
      <c r="U669" s="1">
        <v>0</v>
      </c>
      <c r="V669" s="1" t="str">
        <f t="shared" si="93"/>
        <v>里程返程</v>
      </c>
      <c r="W669" s="1" t="s">
        <v>35</v>
      </c>
    </row>
    <row r="670" spans="1:23" x14ac:dyDescent="0.3">
      <c r="A670" s="1" t="str">
        <f t="shared" si="91"/>
        <v>59828</v>
      </c>
      <c r="B670" s="1" t="s">
        <v>23</v>
      </c>
      <c r="C670" s="1" t="s">
        <v>24</v>
      </c>
      <c r="D670" s="1" t="str">
        <f t="shared" si="92"/>
        <v>9801</v>
      </c>
      <c r="E670" s="1" t="s">
        <v>25</v>
      </c>
      <c r="F670" s="1" t="str">
        <f>"931601381"</f>
        <v>931601381</v>
      </c>
      <c r="G670" s="1" t="s">
        <v>33</v>
      </c>
      <c r="H670" s="1" t="str">
        <f t="shared" si="94"/>
        <v>20220910</v>
      </c>
      <c r="I670" s="1" t="str">
        <f>"163803"</f>
        <v>163803</v>
      </c>
      <c r="J670" s="1" t="s">
        <v>75</v>
      </c>
      <c r="K670" s="1" t="s">
        <v>45</v>
      </c>
      <c r="L670" s="1" t="str">
        <f t="shared" si="95"/>
        <v>20220910</v>
      </c>
      <c r="M670" s="1" t="str">
        <f>"165022"</f>
        <v>165022</v>
      </c>
      <c r="N670" s="1" t="s">
        <v>28</v>
      </c>
      <c r="O670" s="1" t="s">
        <v>28</v>
      </c>
      <c r="P670" s="1" t="s">
        <v>55</v>
      </c>
      <c r="Q670" s="1">
        <v>25</v>
      </c>
      <c r="R670" s="1">
        <v>25</v>
      </c>
      <c r="S670" s="1">
        <v>0</v>
      </c>
      <c r="T670" s="1">
        <v>0</v>
      </c>
      <c r="U670" s="1">
        <v>0</v>
      </c>
      <c r="V670" s="1" t="str">
        <f t="shared" si="93"/>
        <v>里程返程</v>
      </c>
      <c r="W670" s="1" t="s">
        <v>35</v>
      </c>
    </row>
    <row r="671" spans="1:23" x14ac:dyDescent="0.3">
      <c r="A671" s="1" t="str">
        <f t="shared" si="91"/>
        <v>59828</v>
      </c>
      <c r="B671" s="1" t="s">
        <v>23</v>
      </c>
      <c r="C671" s="1" t="s">
        <v>24</v>
      </c>
      <c r="D671" s="1" t="str">
        <f t="shared" si="92"/>
        <v>9801</v>
      </c>
      <c r="E671" s="1" t="s">
        <v>25</v>
      </c>
      <c r="F671" s="1" t="str">
        <f>"1789433292"</f>
        <v>1789433292</v>
      </c>
      <c r="G671" s="1" t="s">
        <v>33</v>
      </c>
      <c r="H671" s="1" t="str">
        <f t="shared" si="94"/>
        <v>20220910</v>
      </c>
      <c r="I671" s="1" t="str">
        <f>"163806"</f>
        <v>163806</v>
      </c>
      <c r="J671" s="1" t="s">
        <v>75</v>
      </c>
      <c r="K671" s="1" t="s">
        <v>45</v>
      </c>
      <c r="L671" s="1" t="str">
        <f t="shared" si="95"/>
        <v>20220910</v>
      </c>
      <c r="M671" s="1" t="str">
        <f>"165020"</f>
        <v>165020</v>
      </c>
      <c r="N671" s="1" t="s">
        <v>28</v>
      </c>
      <c r="O671" s="1" t="s">
        <v>28</v>
      </c>
      <c r="P671" s="1" t="s">
        <v>55</v>
      </c>
      <c r="Q671" s="1">
        <v>25</v>
      </c>
      <c r="R671" s="1">
        <v>25</v>
      </c>
      <c r="S671" s="1">
        <v>0</v>
      </c>
      <c r="T671" s="1">
        <v>0</v>
      </c>
      <c r="U671" s="1">
        <v>0</v>
      </c>
      <c r="V671" s="1" t="str">
        <f t="shared" si="93"/>
        <v>里程返程</v>
      </c>
      <c r="W671" s="1" t="s">
        <v>35</v>
      </c>
    </row>
    <row r="672" spans="1:23" x14ac:dyDescent="0.3">
      <c r="A672" s="1" t="str">
        <f>"59829"</f>
        <v>59829</v>
      </c>
      <c r="B672" s="1" t="s">
        <v>47</v>
      </c>
      <c r="C672" s="1" t="s">
        <v>48</v>
      </c>
      <c r="D672" s="1" t="str">
        <f t="shared" si="92"/>
        <v>9801</v>
      </c>
      <c r="E672" s="1" t="s">
        <v>25</v>
      </c>
      <c r="F672" s="1" t="str">
        <f>"1737283381"</f>
        <v>1737283381</v>
      </c>
      <c r="G672" s="1" t="s">
        <v>33</v>
      </c>
      <c r="H672" s="1" t="str">
        <f t="shared" si="94"/>
        <v>20220910</v>
      </c>
      <c r="I672" s="1" t="str">
        <f>"172522"</f>
        <v>172522</v>
      </c>
      <c r="J672" s="1" t="s">
        <v>44</v>
      </c>
      <c r="K672" s="1" t="s">
        <v>45</v>
      </c>
      <c r="L672" s="1" t="str">
        <f t="shared" si="95"/>
        <v>20220910</v>
      </c>
      <c r="M672" s="1" t="str">
        <f>"175209"</f>
        <v>175209</v>
      </c>
      <c r="N672" s="1" t="s">
        <v>28</v>
      </c>
      <c r="O672" s="1" t="s">
        <v>28</v>
      </c>
      <c r="P672" s="1" t="s">
        <v>55</v>
      </c>
      <c r="Q672" s="1">
        <v>25</v>
      </c>
      <c r="R672" s="1">
        <v>25</v>
      </c>
      <c r="S672" s="1">
        <v>0</v>
      </c>
      <c r="T672" s="1">
        <v>0</v>
      </c>
      <c r="U672" s="1">
        <v>0</v>
      </c>
      <c r="V672" s="1" t="str">
        <f t="shared" si="93"/>
        <v>里程返程</v>
      </c>
      <c r="W672" s="1" t="s">
        <v>35</v>
      </c>
    </row>
    <row r="673" spans="1:23" x14ac:dyDescent="0.3">
      <c r="A673" s="1" t="str">
        <f>"59829"</f>
        <v>59829</v>
      </c>
      <c r="B673" s="1" t="s">
        <v>47</v>
      </c>
      <c r="C673" s="1" t="s">
        <v>48</v>
      </c>
      <c r="D673" s="1" t="str">
        <f t="shared" si="92"/>
        <v>9801</v>
      </c>
      <c r="E673" s="1" t="s">
        <v>25</v>
      </c>
      <c r="F673" s="1" t="str">
        <f>"943695589"</f>
        <v>943695589</v>
      </c>
      <c r="G673" s="1" t="s">
        <v>33</v>
      </c>
      <c r="H673" s="1" t="str">
        <f t="shared" si="94"/>
        <v>20220910</v>
      </c>
      <c r="I673" s="1" t="str">
        <f>"182822"</f>
        <v>182822</v>
      </c>
      <c r="J673" s="1" t="s">
        <v>44</v>
      </c>
      <c r="K673" s="1" t="s">
        <v>45</v>
      </c>
      <c r="L673" s="1" t="str">
        <f t="shared" si="95"/>
        <v>20220910</v>
      </c>
      <c r="M673" s="1" t="str">
        <f>"185316"</f>
        <v>185316</v>
      </c>
      <c r="N673" s="1" t="s">
        <v>28</v>
      </c>
      <c r="O673" s="1" t="s">
        <v>28</v>
      </c>
      <c r="P673" s="1" t="s">
        <v>55</v>
      </c>
      <c r="Q673" s="1">
        <v>25</v>
      </c>
      <c r="R673" s="1">
        <v>25</v>
      </c>
      <c r="S673" s="1">
        <v>0</v>
      </c>
      <c r="T673" s="1">
        <v>0</v>
      </c>
      <c r="U673" s="1">
        <v>0</v>
      </c>
      <c r="V673" s="1" t="str">
        <f t="shared" si="93"/>
        <v>里程返程</v>
      </c>
      <c r="W673" s="1" t="s">
        <v>35</v>
      </c>
    </row>
    <row r="674" spans="1:23" x14ac:dyDescent="0.3">
      <c r="A674" s="1" t="str">
        <f>"59829"</f>
        <v>59829</v>
      </c>
      <c r="B674" s="1" t="s">
        <v>47</v>
      </c>
      <c r="C674" s="1" t="s">
        <v>48</v>
      </c>
      <c r="D674" s="1" t="str">
        <f t="shared" si="92"/>
        <v>9801</v>
      </c>
      <c r="E674" s="1" t="s">
        <v>25</v>
      </c>
      <c r="F674" s="1" t="str">
        <f>"985824849"</f>
        <v>985824849</v>
      </c>
      <c r="G674" s="1" t="s">
        <v>33</v>
      </c>
      <c r="H674" s="1" t="str">
        <f t="shared" si="94"/>
        <v>20220910</v>
      </c>
      <c r="I674" s="1" t="str">
        <f>"183641"</f>
        <v>183641</v>
      </c>
      <c r="J674" s="1" t="s">
        <v>91</v>
      </c>
      <c r="K674" s="1" t="s">
        <v>45</v>
      </c>
      <c r="L674" s="1" t="str">
        <f t="shared" si="95"/>
        <v>20220910</v>
      </c>
      <c r="M674" s="1" t="str">
        <f>"191142"</f>
        <v>191142</v>
      </c>
      <c r="N674" s="1" t="s">
        <v>65</v>
      </c>
      <c r="O674" s="1" t="s">
        <v>52</v>
      </c>
      <c r="P674" s="1" t="s">
        <v>55</v>
      </c>
      <c r="Q674" s="1">
        <v>50</v>
      </c>
      <c r="R674" s="1">
        <v>50</v>
      </c>
      <c r="S674" s="1">
        <v>0</v>
      </c>
      <c r="T674" s="1">
        <v>0</v>
      </c>
      <c r="U674" s="1">
        <v>0</v>
      </c>
      <c r="V674" s="1" t="str">
        <f t="shared" si="93"/>
        <v>里程返程</v>
      </c>
      <c r="W674" s="1" t="s">
        <v>35</v>
      </c>
    </row>
    <row r="675" spans="1:23" x14ac:dyDescent="0.3">
      <c r="A675" s="1" t="str">
        <f>"59829"</f>
        <v>59829</v>
      </c>
      <c r="B675" s="1" t="s">
        <v>47</v>
      </c>
      <c r="C675" s="1" t="s">
        <v>48</v>
      </c>
      <c r="D675" s="1" t="str">
        <f t="shared" si="92"/>
        <v>9801</v>
      </c>
      <c r="E675" s="1" t="s">
        <v>25</v>
      </c>
      <c r="F675" s="1" t="str">
        <f>"107026497"</f>
        <v>107026497</v>
      </c>
      <c r="G675" s="1" t="s">
        <v>74</v>
      </c>
      <c r="H675" s="1" t="str">
        <f t="shared" si="94"/>
        <v>20220910</v>
      </c>
      <c r="I675" s="1" t="str">
        <f>"183643"</f>
        <v>183643</v>
      </c>
      <c r="J675" s="1" t="s">
        <v>91</v>
      </c>
      <c r="K675" s="1" t="s">
        <v>45</v>
      </c>
      <c r="L675" s="1" t="str">
        <f t="shared" si="95"/>
        <v>20220910</v>
      </c>
      <c r="M675" s="1" t="str">
        <f>"191150"</f>
        <v>191150</v>
      </c>
      <c r="N675" s="1" t="s">
        <v>65</v>
      </c>
      <c r="O675" s="1" t="s">
        <v>52</v>
      </c>
      <c r="P675" s="1" t="s">
        <v>55</v>
      </c>
      <c r="Q675" s="1">
        <v>25</v>
      </c>
      <c r="R675" s="1">
        <v>25</v>
      </c>
      <c r="S675" s="1">
        <v>0</v>
      </c>
      <c r="T675" s="1">
        <v>0</v>
      </c>
      <c r="U675" s="1">
        <v>0</v>
      </c>
      <c r="V675" s="1" t="str">
        <f t="shared" si="93"/>
        <v>里程返程</v>
      </c>
      <c r="W675" s="1" t="s">
        <v>35</v>
      </c>
    </row>
    <row r="676" spans="1:23" x14ac:dyDescent="0.3">
      <c r="A676" s="1" t="str">
        <f t="shared" ref="A676:A691" si="96">"59809"</f>
        <v>59809</v>
      </c>
      <c r="B676" s="1" t="s">
        <v>42</v>
      </c>
      <c r="C676" s="1" t="s">
        <v>43</v>
      </c>
      <c r="D676" s="1" t="str">
        <f t="shared" si="92"/>
        <v>9801</v>
      </c>
      <c r="E676" s="1" t="s">
        <v>25</v>
      </c>
      <c r="F676" s="1" t="str">
        <f>"259091601"</f>
        <v>259091601</v>
      </c>
      <c r="G676" s="1" t="s">
        <v>33</v>
      </c>
      <c r="H676" s="1" t="str">
        <f t="shared" ref="H676:H707" si="97">"20220911"</f>
        <v>20220911</v>
      </c>
      <c r="I676" s="1" t="str">
        <f>"173214"</f>
        <v>173214</v>
      </c>
      <c r="J676" s="1" t="s">
        <v>44</v>
      </c>
      <c r="K676" s="1" t="s">
        <v>45</v>
      </c>
      <c r="L676" s="1" t="str">
        <f t="shared" ref="L676:L707" si="98">"20220911"</f>
        <v>20220911</v>
      </c>
      <c r="M676" s="1" t="str">
        <f>"174921"</f>
        <v>174921</v>
      </c>
      <c r="N676" s="1" t="s">
        <v>28</v>
      </c>
      <c r="O676" s="1" t="s">
        <v>28</v>
      </c>
      <c r="P676" s="1" t="s">
        <v>55</v>
      </c>
      <c r="Q676" s="1">
        <v>25</v>
      </c>
      <c r="R676" s="1">
        <v>0</v>
      </c>
      <c r="S676" s="1">
        <v>25</v>
      </c>
      <c r="T676" s="1">
        <v>0</v>
      </c>
      <c r="U676" s="1">
        <v>0</v>
      </c>
      <c r="V676" s="1" t="str">
        <f t="shared" si="93"/>
        <v>里程返程</v>
      </c>
      <c r="W676" s="1" t="s">
        <v>35</v>
      </c>
    </row>
    <row r="677" spans="1:23" x14ac:dyDescent="0.3">
      <c r="A677" s="1" t="str">
        <f t="shared" si="96"/>
        <v>59809</v>
      </c>
      <c r="B677" s="1" t="s">
        <v>42</v>
      </c>
      <c r="C677" s="1" t="s">
        <v>43</v>
      </c>
      <c r="D677" s="1" t="str">
        <f t="shared" si="92"/>
        <v>9801</v>
      </c>
      <c r="E677" s="1" t="s">
        <v>25</v>
      </c>
      <c r="F677" s="1" t="str">
        <f>"92E18116E4880400C814002000000019"</f>
        <v>92E18116E4880400C814002000000019</v>
      </c>
      <c r="G677" s="1" t="s">
        <v>64</v>
      </c>
      <c r="H677" s="1" t="str">
        <f t="shared" si="97"/>
        <v>20220911</v>
      </c>
      <c r="I677" s="1" t="str">
        <f>"173216"</f>
        <v>173216</v>
      </c>
      <c r="J677" s="1" t="s">
        <v>44</v>
      </c>
      <c r="K677" s="1" t="s">
        <v>45</v>
      </c>
      <c r="L677" s="1" t="str">
        <f t="shared" si="98"/>
        <v>20220911</v>
      </c>
      <c r="M677" s="1" t="str">
        <f>"174920"</f>
        <v>174920</v>
      </c>
      <c r="N677" s="1" t="s">
        <v>28</v>
      </c>
      <c r="O677" s="1" t="s">
        <v>28</v>
      </c>
      <c r="P677" s="1" t="s">
        <v>55</v>
      </c>
      <c r="Q677" s="1">
        <v>13</v>
      </c>
      <c r="R677" s="1">
        <v>0</v>
      </c>
      <c r="S677" s="1">
        <v>13</v>
      </c>
      <c r="T677" s="1">
        <v>0</v>
      </c>
      <c r="U677" s="1">
        <v>0</v>
      </c>
      <c r="V677" s="1" t="str">
        <f t="shared" si="93"/>
        <v>里程返程</v>
      </c>
      <c r="W677" s="1" t="s">
        <v>29</v>
      </c>
    </row>
    <row r="678" spans="1:23" x14ac:dyDescent="0.3">
      <c r="A678" s="1" t="str">
        <f t="shared" si="96"/>
        <v>59809</v>
      </c>
      <c r="B678" s="1" t="s">
        <v>42</v>
      </c>
      <c r="C678" s="1" t="s">
        <v>43</v>
      </c>
      <c r="D678" s="1" t="str">
        <f t="shared" si="92"/>
        <v>9801</v>
      </c>
      <c r="E678" s="1" t="s">
        <v>25</v>
      </c>
      <c r="F678" s="1" t="str">
        <f>"1626022917"</f>
        <v>1626022917</v>
      </c>
      <c r="G678" s="1" t="s">
        <v>26</v>
      </c>
      <c r="H678" s="1" t="str">
        <f t="shared" si="97"/>
        <v>20220911</v>
      </c>
      <c r="I678" s="1" t="str">
        <f>"173218"</f>
        <v>173218</v>
      </c>
      <c r="J678" s="1" t="s">
        <v>44</v>
      </c>
      <c r="K678" s="1" t="s">
        <v>45</v>
      </c>
      <c r="L678" s="1" t="str">
        <f t="shared" si="98"/>
        <v>20220911</v>
      </c>
      <c r="M678" s="1" t="str">
        <f>"174916"</f>
        <v>174916</v>
      </c>
      <c r="N678" s="1" t="s">
        <v>28</v>
      </c>
      <c r="O678" s="1" t="s">
        <v>28</v>
      </c>
      <c r="P678" s="1" t="s">
        <v>55</v>
      </c>
      <c r="Q678" s="1">
        <v>13</v>
      </c>
      <c r="R678" s="1">
        <v>0</v>
      </c>
      <c r="S678" s="1">
        <v>13</v>
      </c>
      <c r="T678" s="1">
        <v>0</v>
      </c>
      <c r="U678" s="1">
        <v>0</v>
      </c>
      <c r="V678" s="1" t="str">
        <f t="shared" si="93"/>
        <v>里程返程</v>
      </c>
      <c r="W678" s="1" t="s">
        <v>35</v>
      </c>
    </row>
    <row r="679" spans="1:23" x14ac:dyDescent="0.3">
      <c r="A679" s="1" t="str">
        <f t="shared" si="96"/>
        <v>59809</v>
      </c>
      <c r="B679" s="1" t="s">
        <v>42</v>
      </c>
      <c r="C679" s="1" t="s">
        <v>43</v>
      </c>
      <c r="D679" s="1" t="str">
        <f t="shared" si="92"/>
        <v>9801</v>
      </c>
      <c r="E679" s="1" t="s">
        <v>25</v>
      </c>
      <c r="F679" s="1" t="str">
        <f>"967412997"</f>
        <v>967412997</v>
      </c>
      <c r="G679" s="1" t="s">
        <v>33</v>
      </c>
      <c r="H679" s="1" t="str">
        <f t="shared" si="97"/>
        <v>20220911</v>
      </c>
      <c r="I679" s="1" t="str">
        <f>"174950"</f>
        <v>174950</v>
      </c>
      <c r="J679" s="1" t="s">
        <v>28</v>
      </c>
      <c r="K679" s="1" t="s">
        <v>28</v>
      </c>
      <c r="L679" s="1" t="str">
        <f t="shared" si="98"/>
        <v>20220911</v>
      </c>
      <c r="M679" s="1" t="str">
        <f>"181435"</f>
        <v>181435</v>
      </c>
      <c r="N679" s="1" t="s">
        <v>65</v>
      </c>
      <c r="O679" s="1" t="s">
        <v>52</v>
      </c>
      <c r="P679" s="1" t="s">
        <v>55</v>
      </c>
      <c r="Q679" s="1">
        <v>25</v>
      </c>
      <c r="R679" s="1">
        <v>0</v>
      </c>
      <c r="S679" s="1">
        <v>25</v>
      </c>
      <c r="T679" s="1">
        <v>0</v>
      </c>
      <c r="U679" s="1">
        <v>0</v>
      </c>
      <c r="V679" s="1" t="str">
        <f t="shared" si="93"/>
        <v>里程返程</v>
      </c>
      <c r="W679" s="1" t="s">
        <v>35</v>
      </c>
    </row>
    <row r="680" spans="1:23" x14ac:dyDescent="0.3">
      <c r="A680" s="1" t="str">
        <f t="shared" si="96"/>
        <v>59809</v>
      </c>
      <c r="B680" s="1" t="s">
        <v>42</v>
      </c>
      <c r="C680" s="1" t="s">
        <v>43</v>
      </c>
      <c r="D680" s="1" t="str">
        <f t="shared" si="92"/>
        <v>9801</v>
      </c>
      <c r="E680" s="1" t="s">
        <v>25</v>
      </c>
      <c r="F680" s="1" t="str">
        <f>"A295321B1E880400C817002000000021"</f>
        <v>A295321B1E880400C817002000000021</v>
      </c>
      <c r="G680" s="1" t="s">
        <v>59</v>
      </c>
      <c r="H680" s="1" t="str">
        <f t="shared" si="97"/>
        <v>20220911</v>
      </c>
      <c r="I680" s="1" t="str">
        <f>"175105"</f>
        <v>175105</v>
      </c>
      <c r="J680" s="1" t="s">
        <v>28</v>
      </c>
      <c r="K680" s="1" t="s">
        <v>28</v>
      </c>
      <c r="L680" s="1" t="str">
        <f t="shared" si="98"/>
        <v>20220911</v>
      </c>
      <c r="M680" s="1" t="str">
        <f>"182251"</f>
        <v>182251</v>
      </c>
      <c r="N680" s="1" t="s">
        <v>52</v>
      </c>
      <c r="O680" s="1" t="s">
        <v>52</v>
      </c>
      <c r="P680" s="1" t="s">
        <v>55</v>
      </c>
      <c r="Q680" s="1">
        <v>25</v>
      </c>
      <c r="R680" s="1">
        <v>25</v>
      </c>
      <c r="S680" s="1">
        <v>0</v>
      </c>
      <c r="T680" s="1">
        <v>0</v>
      </c>
      <c r="U680" s="1">
        <v>0</v>
      </c>
      <c r="V680" s="1" t="str">
        <f t="shared" si="93"/>
        <v>里程返程</v>
      </c>
      <c r="W680" s="1" t="s">
        <v>29</v>
      </c>
    </row>
    <row r="681" spans="1:23" x14ac:dyDescent="0.3">
      <c r="A681" s="1" t="str">
        <f t="shared" si="96"/>
        <v>59809</v>
      </c>
      <c r="B681" s="1" t="s">
        <v>42</v>
      </c>
      <c r="C681" s="1" t="s">
        <v>43</v>
      </c>
      <c r="D681" s="1" t="str">
        <f t="shared" si="92"/>
        <v>9801</v>
      </c>
      <c r="E681" s="1" t="s">
        <v>25</v>
      </c>
      <c r="F681" s="1" t="str">
        <f>"980329205"</f>
        <v>980329205</v>
      </c>
      <c r="G681" s="1" t="s">
        <v>33</v>
      </c>
      <c r="H681" s="1" t="str">
        <f t="shared" si="97"/>
        <v>20220911</v>
      </c>
      <c r="I681" s="1" t="str">
        <f>"175120"</f>
        <v>175120</v>
      </c>
      <c r="J681" s="1" t="s">
        <v>28</v>
      </c>
      <c r="K681" s="1" t="s">
        <v>28</v>
      </c>
      <c r="L681" s="1" t="str">
        <f t="shared" si="98"/>
        <v>20220911</v>
      </c>
      <c r="M681" s="1" t="str">
        <f>"182301"</f>
        <v>182301</v>
      </c>
      <c r="N681" s="1" t="s">
        <v>52</v>
      </c>
      <c r="O681" s="1" t="s">
        <v>52</v>
      </c>
      <c r="P681" s="1" t="s">
        <v>55</v>
      </c>
      <c r="Q681" s="1">
        <v>25</v>
      </c>
      <c r="R681" s="1">
        <v>25</v>
      </c>
      <c r="S681" s="1">
        <v>0</v>
      </c>
      <c r="T681" s="1">
        <v>0</v>
      </c>
      <c r="U681" s="1">
        <v>0</v>
      </c>
      <c r="V681" s="1" t="str">
        <f t="shared" si="93"/>
        <v>里程返程</v>
      </c>
      <c r="W681" s="1" t="s">
        <v>35</v>
      </c>
    </row>
    <row r="682" spans="1:23" x14ac:dyDescent="0.3">
      <c r="A682" s="1" t="str">
        <f t="shared" si="96"/>
        <v>59809</v>
      </c>
      <c r="B682" s="1" t="s">
        <v>42</v>
      </c>
      <c r="C682" s="1" t="s">
        <v>43</v>
      </c>
      <c r="D682" s="1" t="str">
        <f t="shared" si="92"/>
        <v>9801</v>
      </c>
      <c r="E682" s="1" t="s">
        <v>25</v>
      </c>
      <c r="F682" s="1" t="str">
        <f>"159462593"</f>
        <v>159462593</v>
      </c>
      <c r="G682" s="1" t="s">
        <v>33</v>
      </c>
      <c r="H682" s="1" t="str">
        <f t="shared" si="97"/>
        <v>20220911</v>
      </c>
      <c r="I682" s="1" t="str">
        <f>"175207"</f>
        <v>175207</v>
      </c>
      <c r="J682" s="1" t="s">
        <v>28</v>
      </c>
      <c r="K682" s="1" t="s">
        <v>28</v>
      </c>
      <c r="L682" s="1" t="str">
        <f t="shared" si="98"/>
        <v>20220911</v>
      </c>
      <c r="M682" s="1" t="str">
        <f>"181812"</f>
        <v>181812</v>
      </c>
      <c r="N682" s="1" t="s">
        <v>51</v>
      </c>
      <c r="O682" s="1" t="s">
        <v>52</v>
      </c>
      <c r="P682" s="1" t="s">
        <v>55</v>
      </c>
      <c r="Q682" s="1">
        <v>25</v>
      </c>
      <c r="R682" s="1">
        <v>25</v>
      </c>
      <c r="S682" s="1">
        <v>0</v>
      </c>
      <c r="T682" s="1">
        <v>0</v>
      </c>
      <c r="U682" s="1">
        <v>0</v>
      </c>
      <c r="V682" s="1" t="str">
        <f t="shared" si="93"/>
        <v>里程返程</v>
      </c>
      <c r="W682" s="1" t="s">
        <v>35</v>
      </c>
    </row>
    <row r="683" spans="1:23" x14ac:dyDescent="0.3">
      <c r="A683" s="1" t="str">
        <f t="shared" si="96"/>
        <v>59809</v>
      </c>
      <c r="B683" s="1" t="s">
        <v>42</v>
      </c>
      <c r="C683" s="1" t="s">
        <v>43</v>
      </c>
      <c r="D683" s="1" t="str">
        <f t="shared" si="92"/>
        <v>9801</v>
      </c>
      <c r="E683" s="1" t="s">
        <v>25</v>
      </c>
      <c r="F683" s="1" t="str">
        <f>"F2F7F100F4880400C801002000000015"</f>
        <v>F2F7F100F4880400C801002000000015</v>
      </c>
      <c r="G683" s="1" t="s">
        <v>58</v>
      </c>
      <c r="H683" s="1" t="str">
        <f t="shared" si="97"/>
        <v>20220911</v>
      </c>
      <c r="I683" s="1" t="str">
        <f>"175219"</f>
        <v>175219</v>
      </c>
      <c r="J683" s="1" t="s">
        <v>28</v>
      </c>
      <c r="K683" s="1" t="s">
        <v>28</v>
      </c>
      <c r="L683" s="1" t="str">
        <f t="shared" si="98"/>
        <v>20220911</v>
      </c>
      <c r="M683" s="1" t="str">
        <f>"182239"</f>
        <v>182239</v>
      </c>
      <c r="N683" s="1" t="s">
        <v>52</v>
      </c>
      <c r="O683" s="1" t="s">
        <v>52</v>
      </c>
      <c r="P683" s="1" t="s">
        <v>55</v>
      </c>
      <c r="Q683" s="1">
        <v>25</v>
      </c>
      <c r="R683" s="1">
        <v>25</v>
      </c>
      <c r="S683" s="1">
        <v>0</v>
      </c>
      <c r="T683" s="1">
        <v>0</v>
      </c>
      <c r="U683" s="1">
        <v>0</v>
      </c>
      <c r="V683" s="1" t="str">
        <f t="shared" si="93"/>
        <v>里程返程</v>
      </c>
      <c r="W683" s="1" t="s">
        <v>29</v>
      </c>
    </row>
    <row r="684" spans="1:23" x14ac:dyDescent="0.3">
      <c r="A684" s="1" t="str">
        <f t="shared" si="96"/>
        <v>59809</v>
      </c>
      <c r="B684" s="1" t="s">
        <v>42</v>
      </c>
      <c r="C684" s="1" t="s">
        <v>43</v>
      </c>
      <c r="D684" s="1" t="str">
        <f t="shared" si="92"/>
        <v>9801</v>
      </c>
      <c r="E684" s="1" t="s">
        <v>25</v>
      </c>
      <c r="F684" s="1" t="str">
        <f>"A2394502DC880400C821002000000015"</f>
        <v>A2394502DC880400C821002000000015</v>
      </c>
      <c r="G684" s="1" t="s">
        <v>26</v>
      </c>
      <c r="H684" s="1" t="str">
        <f t="shared" si="97"/>
        <v>20220911</v>
      </c>
      <c r="I684" s="1" t="str">
        <f>"175224"</f>
        <v>175224</v>
      </c>
      <c r="J684" s="1" t="s">
        <v>28</v>
      </c>
      <c r="K684" s="1" t="s">
        <v>28</v>
      </c>
      <c r="L684" s="1" t="str">
        <f t="shared" si="98"/>
        <v>20220911</v>
      </c>
      <c r="M684" s="1" t="str">
        <f>"181830"</f>
        <v>181830</v>
      </c>
      <c r="N684" s="1" t="s">
        <v>51</v>
      </c>
      <c r="O684" s="1" t="s">
        <v>52</v>
      </c>
      <c r="P684" s="1" t="s">
        <v>68</v>
      </c>
      <c r="Q684" s="1">
        <v>13</v>
      </c>
      <c r="R684" s="1">
        <v>0</v>
      </c>
      <c r="S684" s="1">
        <v>0</v>
      </c>
      <c r="T684" s="1">
        <v>13</v>
      </c>
      <c r="U684" s="1">
        <v>0</v>
      </c>
      <c r="V684" s="1" t="str">
        <f t="shared" si="93"/>
        <v>里程返程</v>
      </c>
      <c r="W684" s="1" t="s">
        <v>29</v>
      </c>
    </row>
    <row r="685" spans="1:23" x14ac:dyDescent="0.3">
      <c r="A685" s="1" t="str">
        <f t="shared" si="96"/>
        <v>59809</v>
      </c>
      <c r="B685" s="1" t="s">
        <v>42</v>
      </c>
      <c r="C685" s="1" t="s">
        <v>43</v>
      </c>
      <c r="D685" s="1" t="str">
        <f t="shared" si="92"/>
        <v>9801</v>
      </c>
      <c r="E685" s="1" t="s">
        <v>25</v>
      </c>
      <c r="F685" s="1" t="str">
        <f>"1024701937"</f>
        <v>1024701937</v>
      </c>
      <c r="G685" s="1" t="s">
        <v>33</v>
      </c>
      <c r="H685" s="1" t="str">
        <f t="shared" si="97"/>
        <v>20220911</v>
      </c>
      <c r="I685" s="1" t="str">
        <f>"175343"</f>
        <v>175343</v>
      </c>
      <c r="J685" s="1" t="s">
        <v>28</v>
      </c>
      <c r="K685" s="1" t="s">
        <v>28</v>
      </c>
      <c r="L685" s="1" t="str">
        <f t="shared" si="98"/>
        <v>20220911</v>
      </c>
      <c r="M685" s="1" t="str">
        <f>"182257"</f>
        <v>182257</v>
      </c>
      <c r="N685" s="1" t="s">
        <v>52</v>
      </c>
      <c r="O685" s="1" t="s">
        <v>52</v>
      </c>
      <c r="P685" s="1" t="s">
        <v>55</v>
      </c>
      <c r="Q685" s="1">
        <v>25</v>
      </c>
      <c r="R685" s="1">
        <v>25</v>
      </c>
      <c r="S685" s="1">
        <v>0</v>
      </c>
      <c r="T685" s="1">
        <v>0</v>
      </c>
      <c r="U685" s="1">
        <v>0</v>
      </c>
      <c r="V685" s="1" t="str">
        <f t="shared" si="93"/>
        <v>里程返程</v>
      </c>
      <c r="W685" s="1" t="s">
        <v>35</v>
      </c>
    </row>
    <row r="686" spans="1:23" x14ac:dyDescent="0.3">
      <c r="A686" s="1" t="str">
        <f t="shared" si="96"/>
        <v>59809</v>
      </c>
      <c r="B686" s="1" t="s">
        <v>42</v>
      </c>
      <c r="C686" s="1" t="s">
        <v>43</v>
      </c>
      <c r="D686" s="1" t="str">
        <f t="shared" si="92"/>
        <v>9801</v>
      </c>
      <c r="E686" s="1" t="s">
        <v>25</v>
      </c>
      <c r="F686" s="1" t="str">
        <f>"752197777"</f>
        <v>752197777</v>
      </c>
      <c r="G686" s="1" t="s">
        <v>33</v>
      </c>
      <c r="H686" s="1" t="str">
        <f t="shared" si="97"/>
        <v>20220911</v>
      </c>
      <c r="I686" s="1" t="str">
        <f>"185319"</f>
        <v>185319</v>
      </c>
      <c r="J686" s="1" t="s">
        <v>28</v>
      </c>
      <c r="K686" s="1" t="s">
        <v>28</v>
      </c>
      <c r="L686" s="1" t="str">
        <f t="shared" si="98"/>
        <v>20220911</v>
      </c>
      <c r="M686" s="1" t="str">
        <f>"190854"</f>
        <v>190854</v>
      </c>
      <c r="N686" s="1" t="s">
        <v>77</v>
      </c>
      <c r="O686" s="1" t="s">
        <v>52</v>
      </c>
      <c r="P686" s="1" t="s">
        <v>55</v>
      </c>
      <c r="Q686" s="1">
        <v>25</v>
      </c>
      <c r="R686" s="1">
        <v>25</v>
      </c>
      <c r="S686" s="1">
        <v>0</v>
      </c>
      <c r="T686" s="1">
        <v>0</v>
      </c>
      <c r="U686" s="1">
        <v>0</v>
      </c>
      <c r="V686" s="1" t="str">
        <f t="shared" si="93"/>
        <v>里程返程</v>
      </c>
      <c r="W686" s="1" t="s">
        <v>35</v>
      </c>
    </row>
    <row r="687" spans="1:23" x14ac:dyDescent="0.3">
      <c r="A687" s="1" t="str">
        <f t="shared" si="96"/>
        <v>59809</v>
      </c>
      <c r="B687" s="1" t="s">
        <v>42</v>
      </c>
      <c r="C687" s="1" t="s">
        <v>43</v>
      </c>
      <c r="D687" s="1" t="str">
        <f t="shared" si="92"/>
        <v>9801</v>
      </c>
      <c r="E687" s="1" t="s">
        <v>25</v>
      </c>
      <c r="F687" s="1" t="str">
        <f>"281610544"</f>
        <v>281610544</v>
      </c>
      <c r="G687" s="1" t="s">
        <v>33</v>
      </c>
      <c r="H687" s="1" t="str">
        <f t="shared" si="97"/>
        <v>20220911</v>
      </c>
      <c r="I687" s="1" t="str">
        <f>"185322"</f>
        <v>185322</v>
      </c>
      <c r="J687" s="1" t="s">
        <v>28</v>
      </c>
      <c r="K687" s="1" t="s">
        <v>28</v>
      </c>
      <c r="L687" s="1" t="str">
        <f t="shared" si="98"/>
        <v>20220911</v>
      </c>
      <c r="M687" s="1" t="str">
        <f>"191357"</f>
        <v>191357</v>
      </c>
      <c r="N687" s="1" t="s">
        <v>72</v>
      </c>
      <c r="O687" s="1" t="s">
        <v>52</v>
      </c>
      <c r="P687" s="1" t="s">
        <v>55</v>
      </c>
      <c r="Q687" s="1">
        <v>25</v>
      </c>
      <c r="R687" s="1">
        <v>0</v>
      </c>
      <c r="S687" s="1">
        <v>25</v>
      </c>
      <c r="T687" s="1">
        <v>0</v>
      </c>
      <c r="U687" s="1">
        <v>0</v>
      </c>
      <c r="V687" s="1" t="str">
        <f t="shared" si="93"/>
        <v>里程返程</v>
      </c>
      <c r="W687" s="1" t="s">
        <v>35</v>
      </c>
    </row>
    <row r="688" spans="1:23" x14ac:dyDescent="0.3">
      <c r="A688" s="1" t="str">
        <f t="shared" si="96"/>
        <v>59809</v>
      </c>
      <c r="B688" s="1" t="s">
        <v>42</v>
      </c>
      <c r="C688" s="1" t="s">
        <v>43</v>
      </c>
      <c r="D688" s="1" t="str">
        <f t="shared" si="92"/>
        <v>9801</v>
      </c>
      <c r="E688" s="1" t="s">
        <v>25</v>
      </c>
      <c r="F688" s="1" t="str">
        <f>"6203D912AA28040080CEBCD765212818"</f>
        <v>6203D912AA28040080CEBCD765212818</v>
      </c>
      <c r="G688" s="1" t="s">
        <v>58</v>
      </c>
      <c r="H688" s="1" t="str">
        <f t="shared" si="97"/>
        <v>20220911</v>
      </c>
      <c r="I688" s="1" t="str">
        <f>"185337"</f>
        <v>185337</v>
      </c>
      <c r="J688" s="1" t="s">
        <v>28</v>
      </c>
      <c r="K688" s="1" t="s">
        <v>28</v>
      </c>
      <c r="L688" s="1" t="str">
        <f t="shared" si="98"/>
        <v>20220911</v>
      </c>
      <c r="M688" s="1" t="str">
        <f>"190339"</f>
        <v>190339</v>
      </c>
      <c r="N688" s="1" t="s">
        <v>67</v>
      </c>
      <c r="O688" s="1" t="s">
        <v>52</v>
      </c>
      <c r="P688" s="1" t="s">
        <v>55</v>
      </c>
      <c r="Q688" s="1">
        <v>25</v>
      </c>
      <c r="R688" s="1">
        <v>25</v>
      </c>
      <c r="S688" s="1">
        <v>0</v>
      </c>
      <c r="T688" s="1">
        <v>0</v>
      </c>
      <c r="U688" s="1">
        <v>0</v>
      </c>
      <c r="V688" s="1" t="str">
        <f t="shared" si="93"/>
        <v>里程返程</v>
      </c>
      <c r="W688" s="1" t="s">
        <v>29</v>
      </c>
    </row>
    <row r="689" spans="1:23" x14ac:dyDescent="0.3">
      <c r="A689" s="1" t="str">
        <f t="shared" si="96"/>
        <v>59809</v>
      </c>
      <c r="B689" s="1" t="s">
        <v>42</v>
      </c>
      <c r="C689" s="1" t="s">
        <v>43</v>
      </c>
      <c r="D689" s="1" t="str">
        <f t="shared" si="92"/>
        <v>9801</v>
      </c>
      <c r="E689" s="1" t="s">
        <v>25</v>
      </c>
      <c r="F689" s="1" t="str">
        <f>"4243C413D6880400C831002000000018"</f>
        <v>4243C413D6880400C831002000000018</v>
      </c>
      <c r="G689" s="1" t="s">
        <v>58</v>
      </c>
      <c r="H689" s="1" t="str">
        <f t="shared" si="97"/>
        <v>20220911</v>
      </c>
      <c r="I689" s="1" t="str">
        <f>"185341"</f>
        <v>185341</v>
      </c>
      <c r="J689" s="1" t="s">
        <v>28</v>
      </c>
      <c r="K689" s="1" t="s">
        <v>28</v>
      </c>
      <c r="L689" s="1" t="str">
        <f t="shared" si="98"/>
        <v>20220911</v>
      </c>
      <c r="M689" s="1" t="str">
        <f>"190333"</f>
        <v>190333</v>
      </c>
      <c r="N689" s="1" t="s">
        <v>67</v>
      </c>
      <c r="O689" s="1" t="s">
        <v>52</v>
      </c>
      <c r="P689" s="1" t="s">
        <v>55</v>
      </c>
      <c r="Q689" s="1">
        <v>25</v>
      </c>
      <c r="R689" s="1">
        <v>25</v>
      </c>
      <c r="S689" s="1">
        <v>0</v>
      </c>
      <c r="T689" s="1">
        <v>0</v>
      </c>
      <c r="U689" s="1">
        <v>0</v>
      </c>
      <c r="V689" s="1" t="str">
        <f t="shared" si="93"/>
        <v>里程返程</v>
      </c>
      <c r="W689" s="1" t="s">
        <v>29</v>
      </c>
    </row>
    <row r="690" spans="1:23" x14ac:dyDescent="0.3">
      <c r="A690" s="1" t="str">
        <f t="shared" si="96"/>
        <v>59809</v>
      </c>
      <c r="B690" s="1" t="s">
        <v>42</v>
      </c>
      <c r="C690" s="1" t="s">
        <v>43</v>
      </c>
      <c r="D690" s="1" t="str">
        <f t="shared" si="92"/>
        <v>9801</v>
      </c>
      <c r="E690" s="1" t="s">
        <v>25</v>
      </c>
      <c r="F690" s="1" t="str">
        <f>"265403360"</f>
        <v>265403360</v>
      </c>
      <c r="G690" s="1" t="s">
        <v>33</v>
      </c>
      <c r="H690" s="1" t="str">
        <f t="shared" si="97"/>
        <v>20220911</v>
      </c>
      <c r="I690" s="1" t="str">
        <f>"185353"</f>
        <v>185353</v>
      </c>
      <c r="J690" s="1" t="s">
        <v>28</v>
      </c>
      <c r="K690" s="1" t="s">
        <v>28</v>
      </c>
      <c r="L690" s="1" t="str">
        <f t="shared" si="98"/>
        <v>20220911</v>
      </c>
      <c r="M690" s="1" t="str">
        <f>"192107"</f>
        <v>192107</v>
      </c>
      <c r="N690" s="1" t="s">
        <v>52</v>
      </c>
      <c r="O690" s="1" t="s">
        <v>52</v>
      </c>
      <c r="P690" s="1" t="s">
        <v>55</v>
      </c>
      <c r="Q690" s="1">
        <v>25</v>
      </c>
      <c r="R690" s="1">
        <v>25</v>
      </c>
      <c r="S690" s="1">
        <v>0</v>
      </c>
      <c r="T690" s="1">
        <v>0</v>
      </c>
      <c r="U690" s="1">
        <v>0</v>
      </c>
      <c r="V690" s="1" t="str">
        <f t="shared" si="93"/>
        <v>里程返程</v>
      </c>
      <c r="W690" s="1" t="s">
        <v>35</v>
      </c>
    </row>
    <row r="691" spans="1:23" x14ac:dyDescent="0.3">
      <c r="A691" s="1" t="str">
        <f t="shared" si="96"/>
        <v>59809</v>
      </c>
      <c r="B691" s="1" t="s">
        <v>42</v>
      </c>
      <c r="C691" s="1" t="s">
        <v>43</v>
      </c>
      <c r="D691" s="1" t="str">
        <f t="shared" si="92"/>
        <v>9801</v>
      </c>
      <c r="E691" s="1" t="s">
        <v>25</v>
      </c>
      <c r="F691" s="1" t="str">
        <f>"930875253"</f>
        <v>930875253</v>
      </c>
      <c r="G691" s="1" t="s">
        <v>38</v>
      </c>
      <c r="H691" s="1" t="str">
        <f t="shared" si="97"/>
        <v>20220911</v>
      </c>
      <c r="I691" s="1" t="str">
        <f>"185417"</f>
        <v>185417</v>
      </c>
      <c r="J691" s="1" t="s">
        <v>28</v>
      </c>
      <c r="K691" s="1" t="s">
        <v>28</v>
      </c>
      <c r="L691" s="1" t="str">
        <f t="shared" si="98"/>
        <v>20220911</v>
      </c>
      <c r="M691" s="1" t="str">
        <f>"192114"</f>
        <v>192114</v>
      </c>
      <c r="N691" s="1" t="s">
        <v>52</v>
      </c>
      <c r="O691" s="1" t="s">
        <v>52</v>
      </c>
      <c r="P691" s="1" t="s">
        <v>55</v>
      </c>
      <c r="Q691" s="1">
        <v>25</v>
      </c>
      <c r="R691" s="1">
        <v>25</v>
      </c>
      <c r="S691" s="1">
        <v>0</v>
      </c>
      <c r="T691" s="1">
        <v>0</v>
      </c>
      <c r="U691" s="1">
        <v>0</v>
      </c>
      <c r="V691" s="1" t="str">
        <f t="shared" si="93"/>
        <v>里程返程</v>
      </c>
      <c r="W691" s="1" t="s">
        <v>35</v>
      </c>
    </row>
    <row r="692" spans="1:23" x14ac:dyDescent="0.3">
      <c r="A692" s="1" t="str">
        <f t="shared" ref="A692:A723" si="99">"59822"</f>
        <v>59822</v>
      </c>
      <c r="B692" s="1" t="s">
        <v>39</v>
      </c>
      <c r="C692" s="1" t="s">
        <v>40</v>
      </c>
      <c r="D692" s="1" t="str">
        <f t="shared" si="92"/>
        <v>9801</v>
      </c>
      <c r="E692" s="1" t="s">
        <v>25</v>
      </c>
      <c r="F692" s="1" t="str">
        <f>"96692865"</f>
        <v>96692865</v>
      </c>
      <c r="G692" s="1" t="s">
        <v>33</v>
      </c>
      <c r="H692" s="1" t="str">
        <f t="shared" si="97"/>
        <v>20220911</v>
      </c>
      <c r="I692" s="1" t="str">
        <f>"083511"</f>
        <v>083511</v>
      </c>
      <c r="J692" s="1" t="s">
        <v>100</v>
      </c>
      <c r="K692" s="1" t="s">
        <v>45</v>
      </c>
      <c r="L692" s="1" t="str">
        <f t="shared" si="98"/>
        <v>20220911</v>
      </c>
      <c r="M692" s="1" t="str">
        <f>"085049"</f>
        <v>085049</v>
      </c>
      <c r="N692" s="1" t="s">
        <v>28</v>
      </c>
      <c r="O692" s="1" t="s">
        <v>28</v>
      </c>
      <c r="P692" s="1" t="s">
        <v>55</v>
      </c>
      <c r="Q692" s="1">
        <v>25</v>
      </c>
      <c r="R692" s="1">
        <v>25</v>
      </c>
      <c r="S692" s="1">
        <v>0</v>
      </c>
      <c r="T692" s="1">
        <v>0</v>
      </c>
      <c r="U692" s="1">
        <v>0</v>
      </c>
      <c r="V692" s="1" t="str">
        <f t="shared" si="93"/>
        <v>里程返程</v>
      </c>
      <c r="W692" s="1" t="s">
        <v>35</v>
      </c>
    </row>
    <row r="693" spans="1:23" x14ac:dyDescent="0.3">
      <c r="A693" s="1" t="str">
        <f t="shared" si="99"/>
        <v>59822</v>
      </c>
      <c r="B693" s="1" t="s">
        <v>39</v>
      </c>
      <c r="C693" s="1" t="s">
        <v>40</v>
      </c>
      <c r="D693" s="1" t="str">
        <f t="shared" si="92"/>
        <v>9801</v>
      </c>
      <c r="E693" s="1" t="s">
        <v>25</v>
      </c>
      <c r="F693" s="1" t="str">
        <f>"D11C194591280400F700000000000000"</f>
        <v>D11C194591280400F700000000000000</v>
      </c>
      <c r="G693" s="1" t="s">
        <v>58</v>
      </c>
      <c r="H693" s="1" t="str">
        <f t="shared" si="97"/>
        <v>20220911</v>
      </c>
      <c r="I693" s="1" t="str">
        <f>"093342"</f>
        <v>093342</v>
      </c>
      <c r="J693" s="1" t="s">
        <v>44</v>
      </c>
      <c r="K693" s="1" t="s">
        <v>45</v>
      </c>
      <c r="L693" s="1" t="str">
        <f t="shared" si="98"/>
        <v>20220911</v>
      </c>
      <c r="M693" s="1" t="str">
        <f>"095304"</f>
        <v>095304</v>
      </c>
      <c r="N693" s="1" t="s">
        <v>28</v>
      </c>
      <c r="O693" s="1" t="s">
        <v>28</v>
      </c>
      <c r="P693" s="1" t="s">
        <v>55</v>
      </c>
      <c r="Q693" s="1">
        <v>25</v>
      </c>
      <c r="R693" s="1">
        <v>25</v>
      </c>
      <c r="S693" s="1">
        <v>0</v>
      </c>
      <c r="T693" s="1">
        <v>0</v>
      </c>
      <c r="U693" s="1">
        <v>0</v>
      </c>
      <c r="V693" s="1" t="str">
        <f t="shared" si="93"/>
        <v>里程返程</v>
      </c>
      <c r="W693" s="1" t="s">
        <v>29</v>
      </c>
    </row>
    <row r="694" spans="1:23" x14ac:dyDescent="0.3">
      <c r="A694" s="1" t="str">
        <f t="shared" si="99"/>
        <v>59822</v>
      </c>
      <c r="B694" s="1" t="s">
        <v>39</v>
      </c>
      <c r="C694" s="1" t="s">
        <v>40</v>
      </c>
      <c r="D694" s="1" t="str">
        <f t="shared" si="92"/>
        <v>9801</v>
      </c>
      <c r="E694" s="1" t="s">
        <v>25</v>
      </c>
      <c r="F694" s="1" t="str">
        <f>"115435621"</f>
        <v>115435621</v>
      </c>
      <c r="G694" s="1" t="s">
        <v>33</v>
      </c>
      <c r="H694" s="1" t="str">
        <f t="shared" si="97"/>
        <v>20220911</v>
      </c>
      <c r="I694" s="1" t="str">
        <f>"093348"</f>
        <v>093348</v>
      </c>
      <c r="J694" s="1" t="s">
        <v>44</v>
      </c>
      <c r="K694" s="1" t="s">
        <v>45</v>
      </c>
      <c r="L694" s="1" t="str">
        <f t="shared" si="98"/>
        <v>20220911</v>
      </c>
      <c r="M694" s="1" t="str">
        <f>"095301"</f>
        <v>095301</v>
      </c>
      <c r="N694" s="1" t="s">
        <v>28</v>
      </c>
      <c r="O694" s="1" t="s">
        <v>28</v>
      </c>
      <c r="P694" s="1" t="s">
        <v>55</v>
      </c>
      <c r="Q694" s="1">
        <v>25</v>
      </c>
      <c r="R694" s="1">
        <v>25</v>
      </c>
      <c r="S694" s="1">
        <v>0</v>
      </c>
      <c r="T694" s="1">
        <v>0</v>
      </c>
      <c r="U694" s="1">
        <v>0</v>
      </c>
      <c r="V694" s="1" t="str">
        <f t="shared" si="93"/>
        <v>里程返程</v>
      </c>
      <c r="W694" s="1" t="s">
        <v>35</v>
      </c>
    </row>
    <row r="695" spans="1:23" x14ac:dyDescent="0.3">
      <c r="A695" s="1" t="str">
        <f t="shared" si="99"/>
        <v>59822</v>
      </c>
      <c r="B695" s="1" t="s">
        <v>39</v>
      </c>
      <c r="C695" s="1" t="s">
        <v>40</v>
      </c>
      <c r="D695" s="1" t="str">
        <f t="shared" si="92"/>
        <v>9801</v>
      </c>
      <c r="E695" s="1" t="s">
        <v>25</v>
      </c>
      <c r="F695" s="1" t="str">
        <f>"12F38E1877880400C819002000000019"</f>
        <v>12F38E1877880400C819002000000019</v>
      </c>
      <c r="G695" s="1" t="s">
        <v>58</v>
      </c>
      <c r="H695" s="1" t="str">
        <f t="shared" si="97"/>
        <v>20220911</v>
      </c>
      <c r="I695" s="1" t="str">
        <f>"093754"</f>
        <v>093754</v>
      </c>
      <c r="J695" s="1" t="s">
        <v>91</v>
      </c>
      <c r="K695" s="1" t="s">
        <v>45</v>
      </c>
      <c r="L695" s="1" t="str">
        <f t="shared" si="98"/>
        <v>20220911</v>
      </c>
      <c r="M695" s="1" t="str">
        <f>"095245"</f>
        <v>095245</v>
      </c>
      <c r="N695" s="1" t="s">
        <v>28</v>
      </c>
      <c r="O695" s="1" t="s">
        <v>28</v>
      </c>
      <c r="P695" s="1" t="s">
        <v>55</v>
      </c>
      <c r="Q695" s="1">
        <v>25</v>
      </c>
      <c r="R695" s="1">
        <v>25</v>
      </c>
      <c r="S695" s="1">
        <v>0</v>
      </c>
      <c r="T695" s="1">
        <v>0</v>
      </c>
      <c r="U695" s="1">
        <v>0</v>
      </c>
      <c r="V695" s="1" t="str">
        <f t="shared" si="93"/>
        <v>里程返程</v>
      </c>
      <c r="W695" s="1" t="s">
        <v>29</v>
      </c>
    </row>
    <row r="696" spans="1:23" x14ac:dyDescent="0.3">
      <c r="A696" s="1" t="str">
        <f t="shared" si="99"/>
        <v>59822</v>
      </c>
      <c r="B696" s="1" t="s">
        <v>39</v>
      </c>
      <c r="C696" s="1" t="s">
        <v>40</v>
      </c>
      <c r="D696" s="1" t="str">
        <f t="shared" si="92"/>
        <v>9801</v>
      </c>
      <c r="E696" s="1" t="s">
        <v>25</v>
      </c>
      <c r="F696" s="1" t="str">
        <f>"E2F948154628040080CED9D64D214018"</f>
        <v>E2F948154628040080CED9D64D214018</v>
      </c>
      <c r="G696" s="1" t="s">
        <v>59</v>
      </c>
      <c r="H696" s="1" t="str">
        <f t="shared" si="97"/>
        <v>20220911</v>
      </c>
      <c r="I696" s="1" t="str">
        <f>"094014"</f>
        <v>094014</v>
      </c>
      <c r="J696" s="1" t="s">
        <v>75</v>
      </c>
      <c r="K696" s="1" t="s">
        <v>45</v>
      </c>
      <c r="L696" s="1" t="str">
        <f t="shared" si="98"/>
        <v>20220911</v>
      </c>
      <c r="M696" s="1" t="str">
        <f>"095307"</f>
        <v>095307</v>
      </c>
      <c r="N696" s="1" t="s">
        <v>28</v>
      </c>
      <c r="O696" s="1" t="s">
        <v>28</v>
      </c>
      <c r="P696" s="1" t="s">
        <v>55</v>
      </c>
      <c r="Q696" s="1">
        <v>25</v>
      </c>
      <c r="R696" s="1">
        <v>25</v>
      </c>
      <c r="S696" s="1">
        <v>0</v>
      </c>
      <c r="T696" s="1">
        <v>0</v>
      </c>
      <c r="U696" s="1">
        <v>0</v>
      </c>
      <c r="V696" s="1" t="str">
        <f t="shared" si="93"/>
        <v>里程返程</v>
      </c>
      <c r="W696" s="1" t="s">
        <v>29</v>
      </c>
    </row>
    <row r="697" spans="1:23" x14ac:dyDescent="0.3">
      <c r="A697" s="1" t="str">
        <f t="shared" si="99"/>
        <v>59822</v>
      </c>
      <c r="B697" s="1" t="s">
        <v>39</v>
      </c>
      <c r="C697" s="1" t="s">
        <v>40</v>
      </c>
      <c r="D697" s="1" t="str">
        <f t="shared" si="92"/>
        <v>9801</v>
      </c>
      <c r="E697" s="1" t="s">
        <v>25</v>
      </c>
      <c r="F697" s="1" t="str">
        <f>"909632257"</f>
        <v>909632257</v>
      </c>
      <c r="G697" s="1" t="s">
        <v>33</v>
      </c>
      <c r="H697" s="1" t="str">
        <f t="shared" si="97"/>
        <v>20220911</v>
      </c>
      <c r="I697" s="1" t="str">
        <f>"095318"</f>
        <v>095318</v>
      </c>
      <c r="J697" s="1" t="s">
        <v>28</v>
      </c>
      <c r="K697" s="1" t="s">
        <v>28</v>
      </c>
      <c r="L697" s="1" t="str">
        <f t="shared" si="98"/>
        <v>20220911</v>
      </c>
      <c r="M697" s="1" t="str">
        <f>"100611"</f>
        <v>100611</v>
      </c>
      <c r="N697" s="1" t="s">
        <v>69</v>
      </c>
      <c r="O697" s="1" t="s">
        <v>52</v>
      </c>
      <c r="P697" s="1" t="s">
        <v>55</v>
      </c>
      <c r="Q697" s="1">
        <v>25</v>
      </c>
      <c r="R697" s="1">
        <v>25</v>
      </c>
      <c r="S697" s="1">
        <v>0</v>
      </c>
      <c r="T697" s="1">
        <v>0</v>
      </c>
      <c r="U697" s="1">
        <v>0</v>
      </c>
      <c r="V697" s="1" t="str">
        <f t="shared" si="93"/>
        <v>里程返程</v>
      </c>
      <c r="W697" s="1" t="s">
        <v>35</v>
      </c>
    </row>
    <row r="698" spans="1:23" x14ac:dyDescent="0.3">
      <c r="A698" s="1" t="str">
        <f t="shared" si="99"/>
        <v>59822</v>
      </c>
      <c r="B698" s="1" t="s">
        <v>39</v>
      </c>
      <c r="C698" s="1" t="s">
        <v>40</v>
      </c>
      <c r="D698" s="1" t="str">
        <f t="shared" si="92"/>
        <v>9801</v>
      </c>
      <c r="E698" s="1" t="s">
        <v>25</v>
      </c>
      <c r="F698" s="1" t="str">
        <f>"1207813445"</f>
        <v>1207813445</v>
      </c>
      <c r="G698" s="1" t="s">
        <v>33</v>
      </c>
      <c r="H698" s="1" t="str">
        <f t="shared" si="97"/>
        <v>20220911</v>
      </c>
      <c r="I698" s="1" t="str">
        <f>"095332"</f>
        <v>095332</v>
      </c>
      <c r="J698" s="1" t="s">
        <v>28</v>
      </c>
      <c r="K698" s="1" t="s">
        <v>28</v>
      </c>
      <c r="L698" s="1" t="str">
        <f t="shared" si="98"/>
        <v>20220911</v>
      </c>
      <c r="M698" s="1" t="str">
        <f>"102238"</f>
        <v>102238</v>
      </c>
      <c r="N698" s="1" t="s">
        <v>52</v>
      </c>
      <c r="O698" s="1" t="s">
        <v>52</v>
      </c>
      <c r="P698" s="1" t="s">
        <v>55</v>
      </c>
      <c r="Q698" s="1">
        <v>25</v>
      </c>
      <c r="R698" s="1">
        <v>0</v>
      </c>
      <c r="S698" s="1">
        <v>25</v>
      </c>
      <c r="T698" s="1">
        <v>0</v>
      </c>
      <c r="U698" s="1">
        <v>0</v>
      </c>
      <c r="V698" s="1" t="str">
        <f t="shared" si="93"/>
        <v>里程返程</v>
      </c>
      <c r="W698" s="1" t="s">
        <v>35</v>
      </c>
    </row>
    <row r="699" spans="1:23" x14ac:dyDescent="0.3">
      <c r="A699" s="1" t="str">
        <f t="shared" si="99"/>
        <v>59822</v>
      </c>
      <c r="B699" s="1" t="s">
        <v>39</v>
      </c>
      <c r="C699" s="1" t="s">
        <v>40</v>
      </c>
      <c r="D699" s="1" t="str">
        <f t="shared" si="92"/>
        <v>9801</v>
      </c>
      <c r="E699" s="1" t="s">
        <v>25</v>
      </c>
      <c r="F699" s="1" t="str">
        <f>"1861629928"</f>
        <v>1861629928</v>
      </c>
      <c r="G699" s="1" t="s">
        <v>26</v>
      </c>
      <c r="H699" s="1" t="str">
        <f t="shared" si="97"/>
        <v>20220911</v>
      </c>
      <c r="I699" s="1" t="str">
        <f>"095546"</f>
        <v>095546</v>
      </c>
      <c r="J699" s="1" t="s">
        <v>28</v>
      </c>
      <c r="K699" s="1" t="s">
        <v>28</v>
      </c>
      <c r="L699" s="1" t="str">
        <f t="shared" si="98"/>
        <v>20220911</v>
      </c>
      <c r="M699" s="1" t="str">
        <f>"101037"</f>
        <v>101037</v>
      </c>
      <c r="N699" s="1" t="s">
        <v>80</v>
      </c>
      <c r="O699" s="1" t="s">
        <v>52</v>
      </c>
      <c r="P699" s="1" t="s">
        <v>55</v>
      </c>
      <c r="Q699" s="1">
        <v>13</v>
      </c>
      <c r="R699" s="1">
        <v>13</v>
      </c>
      <c r="S699" s="1">
        <v>0</v>
      </c>
      <c r="T699" s="1">
        <v>0</v>
      </c>
      <c r="U699" s="1">
        <v>0</v>
      </c>
      <c r="V699" s="1" t="str">
        <f t="shared" si="93"/>
        <v>里程返程</v>
      </c>
      <c r="W699" s="1" t="s">
        <v>35</v>
      </c>
    </row>
    <row r="700" spans="1:23" x14ac:dyDescent="0.3">
      <c r="A700" s="1" t="str">
        <f t="shared" si="99"/>
        <v>59822</v>
      </c>
      <c r="B700" s="1" t="s">
        <v>39</v>
      </c>
      <c r="C700" s="1" t="s">
        <v>40</v>
      </c>
      <c r="D700" s="1" t="str">
        <f t="shared" si="92"/>
        <v>9801</v>
      </c>
      <c r="E700" s="1" t="s">
        <v>25</v>
      </c>
      <c r="F700" s="1" t="str">
        <f>"1198A61837280400F700000000000000"</f>
        <v>1198A61837280400F700000000000000</v>
      </c>
      <c r="G700" s="1" t="s">
        <v>58</v>
      </c>
      <c r="H700" s="1" t="str">
        <f t="shared" si="97"/>
        <v>20220911</v>
      </c>
      <c r="I700" s="1" t="str">
        <f>"095702"</f>
        <v>095702</v>
      </c>
      <c r="J700" s="1" t="s">
        <v>41</v>
      </c>
      <c r="K700" s="1" t="s">
        <v>28</v>
      </c>
      <c r="L700" s="1" t="str">
        <f t="shared" si="98"/>
        <v>20220911</v>
      </c>
      <c r="M700" s="1" t="str">
        <f>"102039"</f>
        <v>102039</v>
      </c>
      <c r="N700" s="1" t="s">
        <v>86</v>
      </c>
      <c r="O700" s="1" t="s">
        <v>52</v>
      </c>
      <c r="P700" s="1" t="s">
        <v>55</v>
      </c>
      <c r="Q700" s="1">
        <v>25</v>
      </c>
      <c r="R700" s="1">
        <v>25</v>
      </c>
      <c r="S700" s="1">
        <v>0</v>
      </c>
      <c r="T700" s="1">
        <v>0</v>
      </c>
      <c r="U700" s="1">
        <v>0</v>
      </c>
      <c r="V700" s="1" t="str">
        <f t="shared" si="93"/>
        <v>里程返程</v>
      </c>
      <c r="W700" s="1" t="s">
        <v>29</v>
      </c>
    </row>
    <row r="701" spans="1:23" x14ac:dyDescent="0.3">
      <c r="A701" s="1" t="str">
        <f t="shared" si="99"/>
        <v>59822</v>
      </c>
      <c r="B701" s="1" t="s">
        <v>39</v>
      </c>
      <c r="C701" s="1" t="s">
        <v>40</v>
      </c>
      <c r="D701" s="1" t="str">
        <f t="shared" si="92"/>
        <v>9801</v>
      </c>
      <c r="E701" s="1" t="s">
        <v>25</v>
      </c>
      <c r="F701" s="1" t="str">
        <f>"1370709329"</f>
        <v>1370709329</v>
      </c>
      <c r="G701" s="1" t="s">
        <v>33</v>
      </c>
      <c r="H701" s="1" t="str">
        <f t="shared" si="97"/>
        <v>20220911</v>
      </c>
      <c r="I701" s="1" t="str">
        <f>"095711"</f>
        <v>095711</v>
      </c>
      <c r="J701" s="1" t="s">
        <v>41</v>
      </c>
      <c r="K701" s="1" t="s">
        <v>28</v>
      </c>
      <c r="L701" s="1" t="str">
        <f t="shared" si="98"/>
        <v>20220911</v>
      </c>
      <c r="M701" s="1" t="str">
        <f>"102002"</f>
        <v>102002</v>
      </c>
      <c r="N701" s="1" t="s">
        <v>86</v>
      </c>
      <c r="O701" s="1" t="s">
        <v>52</v>
      </c>
      <c r="P701" s="1" t="s">
        <v>55</v>
      </c>
      <c r="Q701" s="1">
        <v>25</v>
      </c>
      <c r="R701" s="1">
        <v>25</v>
      </c>
      <c r="S701" s="1">
        <v>0</v>
      </c>
      <c r="T701" s="1">
        <v>0</v>
      </c>
      <c r="U701" s="1">
        <v>0</v>
      </c>
      <c r="V701" s="1" t="str">
        <f t="shared" si="93"/>
        <v>里程返程</v>
      </c>
      <c r="W701" s="1" t="s">
        <v>35</v>
      </c>
    </row>
    <row r="702" spans="1:23" x14ac:dyDescent="0.3">
      <c r="A702" s="1" t="str">
        <f t="shared" si="99"/>
        <v>59822</v>
      </c>
      <c r="B702" s="1" t="s">
        <v>39</v>
      </c>
      <c r="C702" s="1" t="s">
        <v>40</v>
      </c>
      <c r="D702" s="1" t="str">
        <f t="shared" si="92"/>
        <v>9801</v>
      </c>
      <c r="E702" s="1" t="s">
        <v>25</v>
      </c>
      <c r="F702" s="1" t="str">
        <f>"947692737"</f>
        <v>947692737</v>
      </c>
      <c r="G702" s="1" t="s">
        <v>96</v>
      </c>
      <c r="H702" s="1" t="str">
        <f t="shared" si="97"/>
        <v>20220911</v>
      </c>
      <c r="I702" s="1" t="str">
        <f>"095730"</f>
        <v>095730</v>
      </c>
      <c r="J702" s="1" t="s">
        <v>41</v>
      </c>
      <c r="K702" s="1" t="s">
        <v>28</v>
      </c>
      <c r="L702" s="1" t="str">
        <f t="shared" si="98"/>
        <v>20220911</v>
      </c>
      <c r="M702" s="1" t="str">
        <f>"102004"</f>
        <v>102004</v>
      </c>
      <c r="N702" s="1" t="s">
        <v>86</v>
      </c>
      <c r="O702" s="1" t="s">
        <v>52</v>
      </c>
      <c r="P702" s="1" t="s">
        <v>55</v>
      </c>
      <c r="Q702" s="1">
        <v>13</v>
      </c>
      <c r="R702" s="1">
        <v>13</v>
      </c>
      <c r="S702" s="1">
        <v>0</v>
      </c>
      <c r="T702" s="1">
        <v>0</v>
      </c>
      <c r="U702" s="1">
        <v>0</v>
      </c>
      <c r="V702" s="1" t="str">
        <f t="shared" si="93"/>
        <v>里程返程</v>
      </c>
      <c r="W702" s="1" t="s">
        <v>35</v>
      </c>
    </row>
    <row r="703" spans="1:23" x14ac:dyDescent="0.3">
      <c r="A703" s="1" t="str">
        <f t="shared" si="99"/>
        <v>59822</v>
      </c>
      <c r="B703" s="1" t="s">
        <v>39</v>
      </c>
      <c r="C703" s="1" t="s">
        <v>40</v>
      </c>
      <c r="D703" s="1" t="str">
        <f t="shared" si="92"/>
        <v>9801</v>
      </c>
      <c r="E703" s="1" t="s">
        <v>25</v>
      </c>
      <c r="F703" s="1" t="str">
        <f>"225692353"</f>
        <v>225692353</v>
      </c>
      <c r="G703" s="1" t="s">
        <v>33</v>
      </c>
      <c r="H703" s="1" t="str">
        <f t="shared" si="97"/>
        <v>20220911</v>
      </c>
      <c r="I703" s="1" t="str">
        <f>"095735"</f>
        <v>095735</v>
      </c>
      <c r="J703" s="1" t="s">
        <v>41</v>
      </c>
      <c r="K703" s="1" t="s">
        <v>28</v>
      </c>
      <c r="L703" s="1" t="str">
        <f t="shared" si="98"/>
        <v>20220911</v>
      </c>
      <c r="M703" s="1" t="str">
        <f>"102038"</f>
        <v>102038</v>
      </c>
      <c r="N703" s="1" t="s">
        <v>86</v>
      </c>
      <c r="O703" s="1" t="s">
        <v>52</v>
      </c>
      <c r="P703" s="1" t="s">
        <v>55</v>
      </c>
      <c r="Q703" s="1">
        <v>25</v>
      </c>
      <c r="R703" s="1">
        <v>25</v>
      </c>
      <c r="S703" s="1">
        <v>0</v>
      </c>
      <c r="T703" s="1">
        <v>0</v>
      </c>
      <c r="U703" s="1">
        <v>0</v>
      </c>
      <c r="V703" s="1" t="str">
        <f t="shared" si="93"/>
        <v>里程返程</v>
      </c>
      <c r="W703" s="1" t="s">
        <v>35</v>
      </c>
    </row>
    <row r="704" spans="1:23" x14ac:dyDescent="0.3">
      <c r="A704" s="1" t="str">
        <f t="shared" si="99"/>
        <v>59822</v>
      </c>
      <c r="B704" s="1" t="s">
        <v>39</v>
      </c>
      <c r="C704" s="1" t="s">
        <v>40</v>
      </c>
      <c r="D704" s="1" t="str">
        <f t="shared" si="92"/>
        <v>9801</v>
      </c>
      <c r="E704" s="1" t="s">
        <v>25</v>
      </c>
      <c r="F704" s="1" t="str">
        <f>"1109041365"</f>
        <v>1109041365</v>
      </c>
      <c r="G704" s="1" t="s">
        <v>33</v>
      </c>
      <c r="H704" s="1" t="str">
        <f t="shared" si="97"/>
        <v>20220911</v>
      </c>
      <c r="I704" s="1" t="str">
        <f>"102705"</f>
        <v>102705</v>
      </c>
      <c r="J704" s="1" t="s">
        <v>44</v>
      </c>
      <c r="K704" s="1" t="s">
        <v>45</v>
      </c>
      <c r="L704" s="1" t="str">
        <f t="shared" si="98"/>
        <v>20220911</v>
      </c>
      <c r="M704" s="1" t="str">
        <f>"105359"</f>
        <v>105359</v>
      </c>
      <c r="N704" s="1" t="s">
        <v>28</v>
      </c>
      <c r="O704" s="1" t="s">
        <v>28</v>
      </c>
      <c r="P704" s="1" t="s">
        <v>55</v>
      </c>
      <c r="Q704" s="1">
        <v>25</v>
      </c>
      <c r="R704" s="1">
        <v>25</v>
      </c>
      <c r="S704" s="1">
        <v>0</v>
      </c>
      <c r="T704" s="1">
        <v>0</v>
      </c>
      <c r="U704" s="1">
        <v>0</v>
      </c>
      <c r="V704" s="1" t="str">
        <f t="shared" si="93"/>
        <v>里程返程</v>
      </c>
      <c r="W704" s="1" t="s">
        <v>35</v>
      </c>
    </row>
    <row r="705" spans="1:23" x14ac:dyDescent="0.3">
      <c r="A705" s="1" t="str">
        <f t="shared" si="99"/>
        <v>59822</v>
      </c>
      <c r="B705" s="1" t="s">
        <v>39</v>
      </c>
      <c r="C705" s="1" t="s">
        <v>40</v>
      </c>
      <c r="D705" s="1" t="str">
        <f t="shared" si="92"/>
        <v>9801</v>
      </c>
      <c r="E705" s="1" t="s">
        <v>25</v>
      </c>
      <c r="F705" s="1" t="str">
        <f>"278846081"</f>
        <v>278846081</v>
      </c>
      <c r="G705" s="1" t="s">
        <v>33</v>
      </c>
      <c r="H705" s="1" t="str">
        <f t="shared" si="97"/>
        <v>20220911</v>
      </c>
      <c r="I705" s="1" t="str">
        <f>"104037"</f>
        <v>104037</v>
      </c>
      <c r="J705" s="1" t="s">
        <v>61</v>
      </c>
      <c r="K705" s="1" t="s">
        <v>45</v>
      </c>
      <c r="L705" s="1" t="str">
        <f t="shared" si="98"/>
        <v>20220911</v>
      </c>
      <c r="M705" s="1" t="str">
        <f>"105414"</f>
        <v>105414</v>
      </c>
      <c r="N705" s="1" t="s">
        <v>28</v>
      </c>
      <c r="O705" s="1" t="s">
        <v>28</v>
      </c>
      <c r="P705" s="1" t="s">
        <v>55</v>
      </c>
      <c r="Q705" s="1">
        <v>25</v>
      </c>
      <c r="R705" s="1">
        <v>25</v>
      </c>
      <c r="S705" s="1">
        <v>0</v>
      </c>
      <c r="T705" s="1">
        <v>0</v>
      </c>
      <c r="U705" s="1">
        <v>0</v>
      </c>
      <c r="V705" s="1" t="str">
        <f t="shared" si="93"/>
        <v>里程返程</v>
      </c>
      <c r="W705" s="1" t="s">
        <v>35</v>
      </c>
    </row>
    <row r="706" spans="1:23" x14ac:dyDescent="0.3">
      <c r="A706" s="1" t="str">
        <f t="shared" si="99"/>
        <v>59822</v>
      </c>
      <c r="B706" s="1" t="s">
        <v>39</v>
      </c>
      <c r="C706" s="1" t="s">
        <v>40</v>
      </c>
      <c r="D706" s="1" t="str">
        <f t="shared" ref="D706:D769" si="100">"9801"</f>
        <v>9801</v>
      </c>
      <c r="E706" s="1" t="s">
        <v>25</v>
      </c>
      <c r="F706" s="1" t="str">
        <f>"FAAE4CDAC2880400474D949451101208"</f>
        <v>FAAE4CDAC2880400474D949451101208</v>
      </c>
      <c r="G706" s="1" t="s">
        <v>58</v>
      </c>
      <c r="H706" s="1" t="str">
        <f t="shared" si="97"/>
        <v>20220911</v>
      </c>
      <c r="I706" s="1" t="str">
        <f>"104040"</f>
        <v>104040</v>
      </c>
      <c r="J706" s="1" t="s">
        <v>61</v>
      </c>
      <c r="K706" s="1" t="s">
        <v>45</v>
      </c>
      <c r="L706" s="1" t="str">
        <f t="shared" si="98"/>
        <v>20220911</v>
      </c>
      <c r="M706" s="1" t="str">
        <f>"105403"</f>
        <v>105403</v>
      </c>
      <c r="N706" s="1" t="s">
        <v>28</v>
      </c>
      <c r="O706" s="1" t="s">
        <v>28</v>
      </c>
      <c r="P706" s="1" t="s">
        <v>55</v>
      </c>
      <c r="Q706" s="1">
        <v>25</v>
      </c>
      <c r="R706" s="1">
        <v>0</v>
      </c>
      <c r="S706" s="1">
        <v>25</v>
      </c>
      <c r="T706" s="1">
        <v>0</v>
      </c>
      <c r="U706" s="1">
        <v>0</v>
      </c>
      <c r="V706" s="1" t="str">
        <f t="shared" ref="V706:V769" si="101">"里程返程"</f>
        <v>里程返程</v>
      </c>
      <c r="W706" s="1" t="s">
        <v>29</v>
      </c>
    </row>
    <row r="707" spans="1:23" x14ac:dyDescent="0.3">
      <c r="A707" s="1" t="str">
        <f t="shared" si="99"/>
        <v>59822</v>
      </c>
      <c r="B707" s="1" t="s">
        <v>39</v>
      </c>
      <c r="C707" s="1" t="s">
        <v>40</v>
      </c>
      <c r="D707" s="1" t="str">
        <f t="shared" si="100"/>
        <v>9801</v>
      </c>
      <c r="E707" s="1" t="s">
        <v>25</v>
      </c>
      <c r="F707" s="1" t="str">
        <f>"E370F1DBB988040046BA14184D900910"</f>
        <v>E370F1DBB988040046BA14184D900910</v>
      </c>
      <c r="G707" s="1" t="s">
        <v>59</v>
      </c>
      <c r="H707" s="1" t="str">
        <f t="shared" si="97"/>
        <v>20220911</v>
      </c>
      <c r="I707" s="1" t="str">
        <f>"104045"</f>
        <v>104045</v>
      </c>
      <c r="J707" s="1" t="s">
        <v>61</v>
      </c>
      <c r="K707" s="1" t="s">
        <v>45</v>
      </c>
      <c r="L707" s="1" t="str">
        <f t="shared" si="98"/>
        <v>20220911</v>
      </c>
      <c r="M707" s="1" t="str">
        <f>"105417"</f>
        <v>105417</v>
      </c>
      <c r="N707" s="1" t="s">
        <v>28</v>
      </c>
      <c r="O707" s="1" t="s">
        <v>28</v>
      </c>
      <c r="P707" s="1" t="s">
        <v>55</v>
      </c>
      <c r="Q707" s="1">
        <v>25</v>
      </c>
      <c r="R707" s="1">
        <v>0</v>
      </c>
      <c r="S707" s="1">
        <v>25</v>
      </c>
      <c r="T707" s="1">
        <v>0</v>
      </c>
      <c r="U707" s="1">
        <v>0</v>
      </c>
      <c r="V707" s="1" t="str">
        <f t="shared" si="101"/>
        <v>里程返程</v>
      </c>
      <c r="W707" s="1" t="s">
        <v>29</v>
      </c>
    </row>
    <row r="708" spans="1:23" x14ac:dyDescent="0.3">
      <c r="A708" s="1" t="str">
        <f t="shared" si="99"/>
        <v>59822</v>
      </c>
      <c r="B708" s="1" t="s">
        <v>39</v>
      </c>
      <c r="C708" s="1" t="s">
        <v>40</v>
      </c>
      <c r="D708" s="1" t="str">
        <f t="shared" si="100"/>
        <v>9801</v>
      </c>
      <c r="E708" s="1" t="s">
        <v>25</v>
      </c>
      <c r="F708" s="1" t="str">
        <f>"D1FE0B0125880400432494C60011080E"</f>
        <v>D1FE0B0125880400432494C60011080E</v>
      </c>
      <c r="G708" s="1" t="s">
        <v>59</v>
      </c>
      <c r="H708" s="1" t="str">
        <f t="shared" ref="H708:H739" si="102">"20220911"</f>
        <v>20220911</v>
      </c>
      <c r="I708" s="1" t="str">
        <f>"104441"</f>
        <v>104441</v>
      </c>
      <c r="J708" s="1" t="s">
        <v>79</v>
      </c>
      <c r="K708" s="1" t="s">
        <v>45</v>
      </c>
      <c r="L708" s="1" t="str">
        <f t="shared" ref="L708:L739" si="103">"20220911"</f>
        <v>20220911</v>
      </c>
      <c r="M708" s="1" t="str">
        <f>"105356"</f>
        <v>105356</v>
      </c>
      <c r="N708" s="1" t="s">
        <v>28</v>
      </c>
      <c r="O708" s="1" t="s">
        <v>28</v>
      </c>
      <c r="P708" s="1" t="s">
        <v>55</v>
      </c>
      <c r="Q708" s="1">
        <v>25</v>
      </c>
      <c r="R708" s="1">
        <v>25</v>
      </c>
      <c r="S708" s="1">
        <v>0</v>
      </c>
      <c r="T708" s="1">
        <v>0</v>
      </c>
      <c r="U708" s="1">
        <v>0</v>
      </c>
      <c r="V708" s="1" t="str">
        <f t="shared" si="101"/>
        <v>里程返程</v>
      </c>
      <c r="W708" s="1" t="s">
        <v>29</v>
      </c>
    </row>
    <row r="709" spans="1:23" x14ac:dyDescent="0.3">
      <c r="A709" s="1" t="str">
        <f t="shared" si="99"/>
        <v>59822</v>
      </c>
      <c r="B709" s="1" t="s">
        <v>39</v>
      </c>
      <c r="C709" s="1" t="s">
        <v>40</v>
      </c>
      <c r="D709" s="1" t="str">
        <f t="shared" si="100"/>
        <v>9801</v>
      </c>
      <c r="E709" s="1" t="s">
        <v>25</v>
      </c>
      <c r="F709" s="1" t="str">
        <f>"1687283072"</f>
        <v>1687283072</v>
      </c>
      <c r="G709" s="1" t="s">
        <v>33</v>
      </c>
      <c r="H709" s="1" t="str">
        <f t="shared" si="102"/>
        <v>20220911</v>
      </c>
      <c r="I709" s="1" t="str">
        <f>"104445"</f>
        <v>104445</v>
      </c>
      <c r="J709" s="1" t="s">
        <v>79</v>
      </c>
      <c r="K709" s="1" t="s">
        <v>45</v>
      </c>
      <c r="L709" s="1" t="str">
        <f t="shared" si="103"/>
        <v>20220911</v>
      </c>
      <c r="M709" s="1" t="str">
        <f>"105339"</f>
        <v>105339</v>
      </c>
      <c r="N709" s="1" t="s">
        <v>28</v>
      </c>
      <c r="O709" s="1" t="s">
        <v>28</v>
      </c>
      <c r="P709" s="1" t="s">
        <v>55</v>
      </c>
      <c r="Q709" s="1">
        <v>25</v>
      </c>
      <c r="R709" s="1">
        <v>25</v>
      </c>
      <c r="S709" s="1">
        <v>0</v>
      </c>
      <c r="T709" s="1">
        <v>0</v>
      </c>
      <c r="U709" s="1">
        <v>0</v>
      </c>
      <c r="V709" s="1" t="str">
        <f t="shared" si="101"/>
        <v>里程返程</v>
      </c>
      <c r="W709" s="1" t="s">
        <v>35</v>
      </c>
    </row>
    <row r="710" spans="1:23" x14ac:dyDescent="0.3">
      <c r="A710" s="1" t="str">
        <f t="shared" si="99"/>
        <v>59822</v>
      </c>
      <c r="B710" s="1" t="s">
        <v>39</v>
      </c>
      <c r="C710" s="1" t="s">
        <v>40</v>
      </c>
      <c r="D710" s="1" t="str">
        <f t="shared" si="100"/>
        <v>9801</v>
      </c>
      <c r="E710" s="1" t="s">
        <v>25</v>
      </c>
      <c r="F710" s="1" t="str">
        <f>"846955237"</f>
        <v>846955237</v>
      </c>
      <c r="G710" s="1" t="s">
        <v>33</v>
      </c>
      <c r="H710" s="1" t="str">
        <f t="shared" si="102"/>
        <v>20220911</v>
      </c>
      <c r="I710" s="1" t="str">
        <f>"105500"</f>
        <v>105500</v>
      </c>
      <c r="J710" s="1" t="s">
        <v>28</v>
      </c>
      <c r="K710" s="1" t="s">
        <v>28</v>
      </c>
      <c r="L710" s="1" t="str">
        <f t="shared" si="103"/>
        <v>20220911</v>
      </c>
      <c r="M710" s="1" t="str">
        <f>"112615"</f>
        <v>112615</v>
      </c>
      <c r="N710" s="1" t="s">
        <v>52</v>
      </c>
      <c r="O710" s="1" t="s">
        <v>52</v>
      </c>
      <c r="P710" s="1" t="s">
        <v>55</v>
      </c>
      <c r="Q710" s="1">
        <v>25</v>
      </c>
      <c r="R710" s="1">
        <v>0</v>
      </c>
      <c r="S710" s="1">
        <v>25</v>
      </c>
      <c r="T710" s="1">
        <v>0</v>
      </c>
      <c r="U710" s="1">
        <v>0</v>
      </c>
      <c r="V710" s="1" t="str">
        <f t="shared" si="101"/>
        <v>里程返程</v>
      </c>
      <c r="W710" s="1" t="s">
        <v>35</v>
      </c>
    </row>
    <row r="711" spans="1:23" x14ac:dyDescent="0.3">
      <c r="A711" s="1" t="str">
        <f t="shared" si="99"/>
        <v>59822</v>
      </c>
      <c r="B711" s="1" t="s">
        <v>39</v>
      </c>
      <c r="C711" s="1" t="s">
        <v>40</v>
      </c>
      <c r="D711" s="1" t="str">
        <f t="shared" si="100"/>
        <v>9801</v>
      </c>
      <c r="E711" s="1" t="s">
        <v>25</v>
      </c>
      <c r="F711" s="1" t="str">
        <f>"3586172003"</f>
        <v>3586172003</v>
      </c>
      <c r="G711" s="1" t="s">
        <v>33</v>
      </c>
      <c r="H711" s="1" t="str">
        <f t="shared" si="102"/>
        <v>20220911</v>
      </c>
      <c r="I711" s="1" t="str">
        <f>"105505"</f>
        <v>105505</v>
      </c>
      <c r="J711" s="1" t="s">
        <v>28</v>
      </c>
      <c r="K711" s="1" t="s">
        <v>28</v>
      </c>
      <c r="L711" s="1" t="str">
        <f t="shared" si="103"/>
        <v>20220911</v>
      </c>
      <c r="M711" s="1" t="str">
        <f>"112618"</f>
        <v>112618</v>
      </c>
      <c r="N711" s="1" t="s">
        <v>52</v>
      </c>
      <c r="O711" s="1" t="s">
        <v>52</v>
      </c>
      <c r="P711" s="1" t="s">
        <v>55</v>
      </c>
      <c r="Q711" s="1">
        <v>25</v>
      </c>
      <c r="R711" s="1">
        <v>0</v>
      </c>
      <c r="S711" s="1">
        <v>25</v>
      </c>
      <c r="T711" s="1">
        <v>0</v>
      </c>
      <c r="U711" s="1">
        <v>0</v>
      </c>
      <c r="V711" s="1" t="str">
        <f t="shared" si="101"/>
        <v>里程返程</v>
      </c>
      <c r="W711" s="1" t="s">
        <v>35</v>
      </c>
    </row>
    <row r="712" spans="1:23" x14ac:dyDescent="0.3">
      <c r="A712" s="1" t="str">
        <f t="shared" si="99"/>
        <v>59822</v>
      </c>
      <c r="B712" s="1" t="s">
        <v>39</v>
      </c>
      <c r="C712" s="1" t="s">
        <v>40</v>
      </c>
      <c r="D712" s="1" t="str">
        <f t="shared" si="100"/>
        <v>9801</v>
      </c>
      <c r="E712" s="1" t="s">
        <v>25</v>
      </c>
      <c r="F712" s="1" t="str">
        <f>"1271633973"</f>
        <v>1271633973</v>
      </c>
      <c r="G712" s="1" t="s">
        <v>33</v>
      </c>
      <c r="H712" s="1" t="str">
        <f t="shared" si="102"/>
        <v>20220911</v>
      </c>
      <c r="I712" s="1" t="str">
        <f>"105510"</f>
        <v>105510</v>
      </c>
      <c r="J712" s="1" t="s">
        <v>28</v>
      </c>
      <c r="K712" s="1" t="s">
        <v>28</v>
      </c>
      <c r="L712" s="1" t="str">
        <f t="shared" si="103"/>
        <v>20220911</v>
      </c>
      <c r="M712" s="1" t="str">
        <f>"112620"</f>
        <v>112620</v>
      </c>
      <c r="N712" s="1" t="s">
        <v>52</v>
      </c>
      <c r="O712" s="1" t="s">
        <v>52</v>
      </c>
      <c r="P712" s="1" t="s">
        <v>55</v>
      </c>
      <c r="Q712" s="1">
        <v>25</v>
      </c>
      <c r="R712" s="1">
        <v>0</v>
      </c>
      <c r="S712" s="1">
        <v>25</v>
      </c>
      <c r="T712" s="1">
        <v>0</v>
      </c>
      <c r="U712" s="1">
        <v>0</v>
      </c>
      <c r="V712" s="1" t="str">
        <f t="shared" si="101"/>
        <v>里程返程</v>
      </c>
      <c r="W712" s="1" t="s">
        <v>35</v>
      </c>
    </row>
    <row r="713" spans="1:23" x14ac:dyDescent="0.3">
      <c r="A713" s="1" t="str">
        <f t="shared" si="99"/>
        <v>59822</v>
      </c>
      <c r="B713" s="1" t="s">
        <v>39</v>
      </c>
      <c r="C713" s="1" t="s">
        <v>40</v>
      </c>
      <c r="D713" s="1" t="str">
        <f t="shared" si="100"/>
        <v>9801</v>
      </c>
      <c r="E713" s="1" t="s">
        <v>25</v>
      </c>
      <c r="F713" s="1" t="str">
        <f>"E293E60295880400C834002000000015"</f>
        <v>E293E60295880400C834002000000015</v>
      </c>
      <c r="G713" s="1" t="s">
        <v>74</v>
      </c>
      <c r="H713" s="1" t="str">
        <f t="shared" si="102"/>
        <v>20220911</v>
      </c>
      <c r="I713" s="1" t="str">
        <f>"111243"</f>
        <v>111243</v>
      </c>
      <c r="J713" s="1" t="s">
        <v>80</v>
      </c>
      <c r="K713" s="1" t="s">
        <v>52</v>
      </c>
      <c r="L713" s="1" t="str">
        <f t="shared" si="103"/>
        <v>20220911</v>
      </c>
      <c r="M713" s="1" t="str">
        <f>"111618"</f>
        <v>111618</v>
      </c>
      <c r="N713" s="1" t="s">
        <v>65</v>
      </c>
      <c r="O713" s="1" t="s">
        <v>52</v>
      </c>
      <c r="P713" s="1" t="s">
        <v>68</v>
      </c>
      <c r="Q713" s="1">
        <v>13</v>
      </c>
      <c r="R713" s="1">
        <v>0</v>
      </c>
      <c r="S713" s="1">
        <v>0</v>
      </c>
      <c r="T713" s="1">
        <v>13</v>
      </c>
      <c r="U713" s="1">
        <v>0</v>
      </c>
      <c r="V713" s="1" t="str">
        <f t="shared" si="101"/>
        <v>里程返程</v>
      </c>
      <c r="W713" s="1" t="s">
        <v>29</v>
      </c>
    </row>
    <row r="714" spans="1:23" x14ac:dyDescent="0.3">
      <c r="A714" s="1" t="str">
        <f t="shared" si="99"/>
        <v>59822</v>
      </c>
      <c r="B714" s="1" t="s">
        <v>39</v>
      </c>
      <c r="C714" s="1" t="s">
        <v>40</v>
      </c>
      <c r="D714" s="1" t="str">
        <f t="shared" si="100"/>
        <v>9801</v>
      </c>
      <c r="E714" s="1" t="s">
        <v>25</v>
      </c>
      <c r="F714" s="1" t="str">
        <f>"C2C219031A880400C834002000000015"</f>
        <v>C2C219031A880400C834002000000015</v>
      </c>
      <c r="G714" s="1" t="s">
        <v>74</v>
      </c>
      <c r="H714" s="1" t="str">
        <f t="shared" si="102"/>
        <v>20220911</v>
      </c>
      <c r="I714" s="1" t="str">
        <f>"111247"</f>
        <v>111247</v>
      </c>
      <c r="J714" s="1" t="s">
        <v>80</v>
      </c>
      <c r="K714" s="1" t="s">
        <v>52</v>
      </c>
      <c r="L714" s="1" t="str">
        <f t="shared" si="103"/>
        <v>20220911</v>
      </c>
      <c r="M714" s="1" t="str">
        <f>"111613"</f>
        <v>111613</v>
      </c>
      <c r="N714" s="1" t="s">
        <v>65</v>
      </c>
      <c r="O714" s="1" t="s">
        <v>52</v>
      </c>
      <c r="P714" s="1" t="s">
        <v>68</v>
      </c>
      <c r="Q714" s="1">
        <v>13</v>
      </c>
      <c r="R714" s="1">
        <v>0</v>
      </c>
      <c r="S714" s="1">
        <v>0</v>
      </c>
      <c r="T714" s="1">
        <v>13</v>
      </c>
      <c r="U714" s="1">
        <v>0</v>
      </c>
      <c r="V714" s="1" t="str">
        <f t="shared" si="101"/>
        <v>里程返程</v>
      </c>
      <c r="W714" s="1" t="s">
        <v>29</v>
      </c>
    </row>
    <row r="715" spans="1:23" x14ac:dyDescent="0.3">
      <c r="A715" s="1" t="str">
        <f t="shared" si="99"/>
        <v>59822</v>
      </c>
      <c r="B715" s="1" t="s">
        <v>39</v>
      </c>
      <c r="C715" s="1" t="s">
        <v>40</v>
      </c>
      <c r="D715" s="1" t="str">
        <f t="shared" si="100"/>
        <v>9801</v>
      </c>
      <c r="E715" s="1" t="s">
        <v>25</v>
      </c>
      <c r="F715" s="1" t="str">
        <f>"1198A61837280400F700000000000000"</f>
        <v>1198A61837280400F700000000000000</v>
      </c>
      <c r="G715" s="1" t="s">
        <v>58</v>
      </c>
      <c r="H715" s="1" t="str">
        <f t="shared" si="102"/>
        <v>20220911</v>
      </c>
      <c r="I715" s="1" t="str">
        <f>"112646"</f>
        <v>112646</v>
      </c>
      <c r="J715" s="1" t="s">
        <v>44</v>
      </c>
      <c r="K715" s="1" t="s">
        <v>45</v>
      </c>
      <c r="L715" s="1" t="str">
        <f t="shared" si="103"/>
        <v>20220911</v>
      </c>
      <c r="M715" s="1" t="str">
        <f>"115137"</f>
        <v>115137</v>
      </c>
      <c r="N715" s="1" t="s">
        <v>28</v>
      </c>
      <c r="O715" s="1" t="s">
        <v>28</v>
      </c>
      <c r="P715" s="1" t="s">
        <v>55</v>
      </c>
      <c r="Q715" s="1">
        <v>25</v>
      </c>
      <c r="R715" s="1">
        <v>25</v>
      </c>
      <c r="S715" s="1">
        <v>0</v>
      </c>
      <c r="T715" s="1">
        <v>0</v>
      </c>
      <c r="U715" s="1">
        <v>0</v>
      </c>
      <c r="V715" s="1" t="str">
        <f t="shared" si="101"/>
        <v>里程返程</v>
      </c>
      <c r="W715" s="1" t="s">
        <v>29</v>
      </c>
    </row>
    <row r="716" spans="1:23" x14ac:dyDescent="0.3">
      <c r="A716" s="1" t="str">
        <f t="shared" si="99"/>
        <v>59822</v>
      </c>
      <c r="B716" s="1" t="s">
        <v>39</v>
      </c>
      <c r="C716" s="1" t="s">
        <v>40</v>
      </c>
      <c r="D716" s="1" t="str">
        <f t="shared" si="100"/>
        <v>9801</v>
      </c>
      <c r="E716" s="1" t="s">
        <v>25</v>
      </c>
      <c r="F716" s="1" t="str">
        <f>"1370709329"</f>
        <v>1370709329</v>
      </c>
      <c r="G716" s="1" t="s">
        <v>33</v>
      </c>
      <c r="H716" s="1" t="str">
        <f t="shared" si="102"/>
        <v>20220911</v>
      </c>
      <c r="I716" s="1" t="str">
        <f>"112648"</f>
        <v>112648</v>
      </c>
      <c r="J716" s="1" t="s">
        <v>44</v>
      </c>
      <c r="K716" s="1" t="s">
        <v>45</v>
      </c>
      <c r="L716" s="1" t="str">
        <f t="shared" si="103"/>
        <v>20220911</v>
      </c>
      <c r="M716" s="1" t="str">
        <f>"115140"</f>
        <v>115140</v>
      </c>
      <c r="N716" s="1" t="s">
        <v>28</v>
      </c>
      <c r="O716" s="1" t="s">
        <v>28</v>
      </c>
      <c r="P716" s="1" t="s">
        <v>55</v>
      </c>
      <c r="Q716" s="1">
        <v>25</v>
      </c>
      <c r="R716" s="1">
        <v>25</v>
      </c>
      <c r="S716" s="1">
        <v>0</v>
      </c>
      <c r="T716" s="1">
        <v>0</v>
      </c>
      <c r="U716" s="1">
        <v>0</v>
      </c>
      <c r="V716" s="1" t="str">
        <f t="shared" si="101"/>
        <v>里程返程</v>
      </c>
      <c r="W716" s="1" t="s">
        <v>35</v>
      </c>
    </row>
    <row r="717" spans="1:23" x14ac:dyDescent="0.3">
      <c r="A717" s="1" t="str">
        <f t="shared" si="99"/>
        <v>59822</v>
      </c>
      <c r="B717" s="1" t="s">
        <v>39</v>
      </c>
      <c r="C717" s="1" t="s">
        <v>40</v>
      </c>
      <c r="D717" s="1" t="str">
        <f t="shared" si="100"/>
        <v>9801</v>
      </c>
      <c r="E717" s="1" t="s">
        <v>25</v>
      </c>
      <c r="F717" s="1" t="str">
        <f>"947692737"</f>
        <v>947692737</v>
      </c>
      <c r="G717" s="1" t="s">
        <v>96</v>
      </c>
      <c r="H717" s="1" t="str">
        <f t="shared" si="102"/>
        <v>20220911</v>
      </c>
      <c r="I717" s="1" t="str">
        <f>"112650"</f>
        <v>112650</v>
      </c>
      <c r="J717" s="1" t="s">
        <v>44</v>
      </c>
      <c r="K717" s="1" t="s">
        <v>45</v>
      </c>
      <c r="L717" s="1" t="str">
        <f t="shared" si="103"/>
        <v>20220911</v>
      </c>
      <c r="M717" s="1" t="str">
        <f>"115143"</f>
        <v>115143</v>
      </c>
      <c r="N717" s="1" t="s">
        <v>28</v>
      </c>
      <c r="O717" s="1" t="s">
        <v>28</v>
      </c>
      <c r="P717" s="1" t="s">
        <v>55</v>
      </c>
      <c r="Q717" s="1">
        <v>13</v>
      </c>
      <c r="R717" s="1">
        <v>13</v>
      </c>
      <c r="S717" s="1">
        <v>0</v>
      </c>
      <c r="T717" s="1">
        <v>0</v>
      </c>
      <c r="U717" s="1">
        <v>0</v>
      </c>
      <c r="V717" s="1" t="str">
        <f t="shared" si="101"/>
        <v>里程返程</v>
      </c>
      <c r="W717" s="1" t="s">
        <v>35</v>
      </c>
    </row>
    <row r="718" spans="1:23" x14ac:dyDescent="0.3">
      <c r="A718" s="1" t="str">
        <f t="shared" si="99"/>
        <v>59822</v>
      </c>
      <c r="B718" s="1" t="s">
        <v>39</v>
      </c>
      <c r="C718" s="1" t="s">
        <v>40</v>
      </c>
      <c r="D718" s="1" t="str">
        <f t="shared" si="100"/>
        <v>9801</v>
      </c>
      <c r="E718" s="1" t="s">
        <v>25</v>
      </c>
      <c r="F718" s="1" t="str">
        <f>"225692353"</f>
        <v>225692353</v>
      </c>
      <c r="G718" s="1" t="s">
        <v>33</v>
      </c>
      <c r="H718" s="1" t="str">
        <f t="shared" si="102"/>
        <v>20220911</v>
      </c>
      <c r="I718" s="1" t="str">
        <f>"112652"</f>
        <v>112652</v>
      </c>
      <c r="J718" s="1" t="s">
        <v>44</v>
      </c>
      <c r="K718" s="1" t="s">
        <v>45</v>
      </c>
      <c r="L718" s="1" t="str">
        <f t="shared" si="103"/>
        <v>20220911</v>
      </c>
      <c r="M718" s="1" t="str">
        <f>"115130"</f>
        <v>115130</v>
      </c>
      <c r="N718" s="1" t="s">
        <v>28</v>
      </c>
      <c r="O718" s="1" t="s">
        <v>28</v>
      </c>
      <c r="P718" s="1" t="s">
        <v>55</v>
      </c>
      <c r="Q718" s="1">
        <v>25</v>
      </c>
      <c r="R718" s="1">
        <v>25</v>
      </c>
      <c r="S718" s="1">
        <v>0</v>
      </c>
      <c r="T718" s="1">
        <v>0</v>
      </c>
      <c r="U718" s="1">
        <v>0</v>
      </c>
      <c r="V718" s="1" t="str">
        <f t="shared" si="101"/>
        <v>里程返程</v>
      </c>
      <c r="W718" s="1" t="s">
        <v>35</v>
      </c>
    </row>
    <row r="719" spans="1:23" x14ac:dyDescent="0.3">
      <c r="A719" s="1" t="str">
        <f t="shared" si="99"/>
        <v>59822</v>
      </c>
      <c r="B719" s="1" t="s">
        <v>39</v>
      </c>
      <c r="C719" s="1" t="s">
        <v>40</v>
      </c>
      <c r="D719" s="1" t="str">
        <f t="shared" si="100"/>
        <v>9801</v>
      </c>
      <c r="E719" s="1" t="s">
        <v>25</v>
      </c>
      <c r="F719" s="1" t="str">
        <f>"980561093"</f>
        <v>980561093</v>
      </c>
      <c r="G719" s="1" t="s">
        <v>33</v>
      </c>
      <c r="H719" s="1" t="str">
        <f t="shared" si="102"/>
        <v>20220911</v>
      </c>
      <c r="I719" s="1" t="str">
        <f>"112657"</f>
        <v>112657</v>
      </c>
      <c r="J719" s="1" t="s">
        <v>44</v>
      </c>
      <c r="K719" s="1" t="s">
        <v>45</v>
      </c>
      <c r="L719" s="1" t="str">
        <f t="shared" si="103"/>
        <v>20220911</v>
      </c>
      <c r="M719" s="1" t="str">
        <f>"113449"</f>
        <v>113449</v>
      </c>
      <c r="N719" s="1" t="s">
        <v>91</v>
      </c>
      <c r="O719" s="1" t="s">
        <v>45</v>
      </c>
      <c r="P719" s="1" t="s">
        <v>55</v>
      </c>
      <c r="Q719" s="1">
        <v>25</v>
      </c>
      <c r="R719" s="1">
        <v>0</v>
      </c>
      <c r="S719" s="1">
        <v>25</v>
      </c>
      <c r="T719" s="1">
        <v>0</v>
      </c>
      <c r="U719" s="1">
        <v>0</v>
      </c>
      <c r="V719" s="1" t="str">
        <f t="shared" si="101"/>
        <v>里程返程</v>
      </c>
      <c r="W719" s="1" t="s">
        <v>35</v>
      </c>
    </row>
    <row r="720" spans="1:23" x14ac:dyDescent="0.3">
      <c r="A720" s="1" t="str">
        <f t="shared" si="99"/>
        <v>59822</v>
      </c>
      <c r="B720" s="1" t="s">
        <v>39</v>
      </c>
      <c r="C720" s="1" t="s">
        <v>40</v>
      </c>
      <c r="D720" s="1" t="str">
        <f t="shared" si="100"/>
        <v>9801</v>
      </c>
      <c r="E720" s="1" t="s">
        <v>25</v>
      </c>
      <c r="F720" s="1" t="str">
        <f>"906742819"</f>
        <v>906742819</v>
      </c>
      <c r="G720" s="1" t="s">
        <v>33</v>
      </c>
      <c r="H720" s="1" t="str">
        <f t="shared" si="102"/>
        <v>20220911</v>
      </c>
      <c r="I720" s="1" t="str">
        <f>"114212"</f>
        <v>114212</v>
      </c>
      <c r="J720" s="1" t="s">
        <v>45</v>
      </c>
      <c r="K720" s="1" t="s">
        <v>45</v>
      </c>
      <c r="L720" s="1" t="str">
        <f t="shared" si="103"/>
        <v>20220911</v>
      </c>
      <c r="M720" s="1" t="str">
        <f>"115151"</f>
        <v>115151</v>
      </c>
      <c r="N720" s="1" t="s">
        <v>28</v>
      </c>
      <c r="O720" s="1" t="s">
        <v>28</v>
      </c>
      <c r="P720" s="1" t="s">
        <v>55</v>
      </c>
      <c r="Q720" s="1">
        <v>25</v>
      </c>
      <c r="R720" s="1">
        <v>25</v>
      </c>
      <c r="S720" s="1">
        <v>0</v>
      </c>
      <c r="T720" s="1">
        <v>0</v>
      </c>
      <c r="U720" s="1">
        <v>0</v>
      </c>
      <c r="V720" s="1" t="str">
        <f t="shared" si="101"/>
        <v>里程返程</v>
      </c>
      <c r="W720" s="1" t="s">
        <v>35</v>
      </c>
    </row>
    <row r="721" spans="1:23" x14ac:dyDescent="0.3">
      <c r="A721" s="1" t="str">
        <f t="shared" si="99"/>
        <v>59822</v>
      </c>
      <c r="B721" s="1" t="s">
        <v>39</v>
      </c>
      <c r="C721" s="1" t="s">
        <v>40</v>
      </c>
      <c r="D721" s="1" t="str">
        <f t="shared" si="100"/>
        <v>9801</v>
      </c>
      <c r="E721" s="1" t="s">
        <v>25</v>
      </c>
      <c r="F721" s="1" t="str">
        <f>"589713537"</f>
        <v>589713537</v>
      </c>
      <c r="G721" s="1" t="s">
        <v>33</v>
      </c>
      <c r="H721" s="1" t="str">
        <f t="shared" si="102"/>
        <v>20220911</v>
      </c>
      <c r="I721" s="1" t="str">
        <f>"114218"</f>
        <v>114218</v>
      </c>
      <c r="J721" s="1" t="s">
        <v>45</v>
      </c>
      <c r="K721" s="1" t="s">
        <v>45</v>
      </c>
      <c r="L721" s="1" t="str">
        <f t="shared" si="103"/>
        <v>20220911</v>
      </c>
      <c r="M721" s="1" t="str">
        <f>"115158"</f>
        <v>115158</v>
      </c>
      <c r="N721" s="1" t="s">
        <v>28</v>
      </c>
      <c r="O721" s="1" t="s">
        <v>28</v>
      </c>
      <c r="P721" s="1" t="s">
        <v>55</v>
      </c>
      <c r="Q721" s="1">
        <v>25</v>
      </c>
      <c r="R721" s="1">
        <v>25</v>
      </c>
      <c r="S721" s="1">
        <v>0</v>
      </c>
      <c r="T721" s="1">
        <v>0</v>
      </c>
      <c r="U721" s="1">
        <v>0</v>
      </c>
      <c r="V721" s="1" t="str">
        <f t="shared" si="101"/>
        <v>里程返程</v>
      </c>
      <c r="W721" s="1" t="s">
        <v>35</v>
      </c>
    </row>
    <row r="722" spans="1:23" x14ac:dyDescent="0.3">
      <c r="A722" s="1" t="str">
        <f t="shared" si="99"/>
        <v>59822</v>
      </c>
      <c r="B722" s="1" t="s">
        <v>39</v>
      </c>
      <c r="C722" s="1" t="s">
        <v>40</v>
      </c>
      <c r="D722" s="1" t="str">
        <f t="shared" si="100"/>
        <v>9801</v>
      </c>
      <c r="E722" s="1" t="s">
        <v>25</v>
      </c>
      <c r="F722" s="1" t="str">
        <f>"F238EE1531880400C810002000000019"</f>
        <v>F238EE1531880400C810002000000019</v>
      </c>
      <c r="G722" s="1" t="s">
        <v>38</v>
      </c>
      <c r="H722" s="1" t="str">
        <f t="shared" si="102"/>
        <v>20220911</v>
      </c>
      <c r="I722" s="1" t="str">
        <f>"115219"</f>
        <v>115219</v>
      </c>
      <c r="J722" s="1" t="s">
        <v>28</v>
      </c>
      <c r="K722" s="1" t="s">
        <v>28</v>
      </c>
      <c r="L722" s="1" t="str">
        <f t="shared" si="103"/>
        <v>20220911</v>
      </c>
      <c r="M722" s="1" t="str">
        <f>"122502"</f>
        <v>122502</v>
      </c>
      <c r="N722" s="1" t="s">
        <v>52</v>
      </c>
      <c r="O722" s="1" t="s">
        <v>52</v>
      </c>
      <c r="P722" s="1" t="s">
        <v>55</v>
      </c>
      <c r="Q722" s="1">
        <v>25</v>
      </c>
      <c r="R722" s="1">
        <v>0</v>
      </c>
      <c r="S722" s="1">
        <v>25</v>
      </c>
      <c r="T722" s="1">
        <v>0</v>
      </c>
      <c r="U722" s="1">
        <v>0</v>
      </c>
      <c r="V722" s="1" t="str">
        <f t="shared" si="101"/>
        <v>里程返程</v>
      </c>
      <c r="W722" s="1" t="s">
        <v>29</v>
      </c>
    </row>
    <row r="723" spans="1:23" x14ac:dyDescent="0.3">
      <c r="A723" s="1" t="str">
        <f t="shared" si="99"/>
        <v>59822</v>
      </c>
      <c r="B723" s="1" t="s">
        <v>39</v>
      </c>
      <c r="C723" s="1" t="s">
        <v>40</v>
      </c>
      <c r="D723" s="1" t="str">
        <f t="shared" si="100"/>
        <v>9801</v>
      </c>
      <c r="E723" s="1" t="s">
        <v>25</v>
      </c>
      <c r="F723" s="1" t="str">
        <f>"30261F5C55880400468F74D84D102411"</f>
        <v>30261F5C55880400468F74D84D102411</v>
      </c>
      <c r="G723" s="1" t="s">
        <v>59</v>
      </c>
      <c r="H723" s="1" t="str">
        <f t="shared" si="102"/>
        <v>20220911</v>
      </c>
      <c r="I723" s="1" t="str">
        <f>"115225"</f>
        <v>115225</v>
      </c>
      <c r="J723" s="1" t="s">
        <v>28</v>
      </c>
      <c r="K723" s="1" t="s">
        <v>28</v>
      </c>
      <c r="L723" s="1" t="str">
        <f t="shared" si="103"/>
        <v>20220911</v>
      </c>
      <c r="M723" s="1" t="str">
        <f>"120218"</f>
        <v>120218</v>
      </c>
      <c r="N723" s="1" t="s">
        <v>83</v>
      </c>
      <c r="O723" s="1" t="s">
        <v>52</v>
      </c>
      <c r="P723" s="1" t="s">
        <v>55</v>
      </c>
      <c r="Q723" s="1">
        <v>25</v>
      </c>
      <c r="R723" s="1">
        <v>0</v>
      </c>
      <c r="S723" s="1">
        <v>25</v>
      </c>
      <c r="T723" s="1">
        <v>0</v>
      </c>
      <c r="U723" s="1">
        <v>0</v>
      </c>
      <c r="V723" s="1" t="str">
        <f t="shared" si="101"/>
        <v>里程返程</v>
      </c>
      <c r="W723" s="1" t="s">
        <v>29</v>
      </c>
    </row>
    <row r="724" spans="1:23" x14ac:dyDescent="0.3">
      <c r="A724" s="1" t="str">
        <f t="shared" ref="A724:A745" si="104">"59822"</f>
        <v>59822</v>
      </c>
      <c r="B724" s="1" t="s">
        <v>39</v>
      </c>
      <c r="C724" s="1" t="s">
        <v>40</v>
      </c>
      <c r="D724" s="1" t="str">
        <f t="shared" si="100"/>
        <v>9801</v>
      </c>
      <c r="E724" s="1" t="s">
        <v>25</v>
      </c>
      <c r="F724" s="1" t="str">
        <f>"654037317"</f>
        <v>654037317</v>
      </c>
      <c r="G724" s="1" t="s">
        <v>33</v>
      </c>
      <c r="H724" s="1" t="str">
        <f t="shared" si="102"/>
        <v>20220911</v>
      </c>
      <c r="I724" s="1" t="str">
        <f>"115231"</f>
        <v>115231</v>
      </c>
      <c r="J724" s="1" t="s">
        <v>28</v>
      </c>
      <c r="K724" s="1" t="s">
        <v>28</v>
      </c>
      <c r="L724" s="1" t="str">
        <f t="shared" si="103"/>
        <v>20220911</v>
      </c>
      <c r="M724" s="1" t="str">
        <f>"122457"</f>
        <v>122457</v>
      </c>
      <c r="N724" s="1" t="s">
        <v>52</v>
      </c>
      <c r="O724" s="1" t="s">
        <v>52</v>
      </c>
      <c r="P724" s="1" t="s">
        <v>55</v>
      </c>
      <c r="Q724" s="1">
        <v>25</v>
      </c>
      <c r="R724" s="1">
        <v>25</v>
      </c>
      <c r="S724" s="1">
        <v>0</v>
      </c>
      <c r="T724" s="1">
        <v>0</v>
      </c>
      <c r="U724" s="1">
        <v>0</v>
      </c>
      <c r="V724" s="1" t="str">
        <f t="shared" si="101"/>
        <v>里程返程</v>
      </c>
      <c r="W724" s="1" t="s">
        <v>35</v>
      </c>
    </row>
    <row r="725" spans="1:23" x14ac:dyDescent="0.3">
      <c r="A725" s="1" t="str">
        <f t="shared" si="104"/>
        <v>59822</v>
      </c>
      <c r="B725" s="1" t="s">
        <v>39</v>
      </c>
      <c r="C725" s="1" t="s">
        <v>40</v>
      </c>
      <c r="D725" s="1" t="str">
        <f t="shared" si="100"/>
        <v>9801</v>
      </c>
      <c r="E725" s="1" t="s">
        <v>25</v>
      </c>
      <c r="F725" s="1" t="str">
        <f>"F542440CFF180200D200000C22400417"</f>
        <v>F542440CFF180200D200000C22400417</v>
      </c>
      <c r="G725" s="1" t="s">
        <v>58</v>
      </c>
      <c r="H725" s="1" t="str">
        <f t="shared" si="102"/>
        <v>20220911</v>
      </c>
      <c r="I725" s="1" t="str">
        <f>"115240"</f>
        <v>115240</v>
      </c>
      <c r="J725" s="1" t="s">
        <v>28</v>
      </c>
      <c r="K725" s="1" t="s">
        <v>28</v>
      </c>
      <c r="L725" s="1" t="str">
        <f t="shared" si="103"/>
        <v>20220911</v>
      </c>
      <c r="M725" s="1" t="str">
        <f>"121852"</f>
        <v>121852</v>
      </c>
      <c r="N725" s="1" t="s">
        <v>51</v>
      </c>
      <c r="O725" s="1" t="s">
        <v>52</v>
      </c>
      <c r="P725" s="1" t="s">
        <v>55</v>
      </c>
      <c r="Q725" s="1">
        <v>25</v>
      </c>
      <c r="R725" s="1">
        <v>0</v>
      </c>
      <c r="S725" s="1">
        <v>25</v>
      </c>
      <c r="T725" s="1">
        <v>0</v>
      </c>
      <c r="U725" s="1">
        <v>0</v>
      </c>
      <c r="V725" s="1" t="str">
        <f t="shared" si="101"/>
        <v>里程返程</v>
      </c>
      <c r="W725" s="1" t="s">
        <v>29</v>
      </c>
    </row>
    <row r="726" spans="1:23" x14ac:dyDescent="0.3">
      <c r="A726" s="1" t="str">
        <f t="shared" si="104"/>
        <v>59822</v>
      </c>
      <c r="B726" s="1" t="s">
        <v>39</v>
      </c>
      <c r="C726" s="1" t="s">
        <v>40</v>
      </c>
      <c r="D726" s="1" t="str">
        <f t="shared" si="100"/>
        <v>9801</v>
      </c>
      <c r="E726" s="1" t="s">
        <v>25</v>
      </c>
      <c r="F726" s="1" t="str">
        <f>"2027144424"</f>
        <v>2027144424</v>
      </c>
      <c r="G726" s="1" t="s">
        <v>33</v>
      </c>
      <c r="H726" s="1" t="str">
        <f t="shared" si="102"/>
        <v>20220911</v>
      </c>
      <c r="I726" s="1" t="str">
        <f>"115247"</f>
        <v>115247</v>
      </c>
      <c r="J726" s="1" t="s">
        <v>28</v>
      </c>
      <c r="K726" s="1" t="s">
        <v>28</v>
      </c>
      <c r="L726" s="1" t="str">
        <f t="shared" si="103"/>
        <v>20220911</v>
      </c>
      <c r="M726" s="1" t="str">
        <f>"121846"</f>
        <v>121846</v>
      </c>
      <c r="N726" s="1" t="s">
        <v>51</v>
      </c>
      <c r="O726" s="1" t="s">
        <v>52</v>
      </c>
      <c r="P726" s="1" t="s">
        <v>55</v>
      </c>
      <c r="Q726" s="1">
        <v>25</v>
      </c>
      <c r="R726" s="1">
        <v>0</v>
      </c>
      <c r="S726" s="1">
        <v>25</v>
      </c>
      <c r="T726" s="1">
        <v>0</v>
      </c>
      <c r="U726" s="1">
        <v>0</v>
      </c>
      <c r="V726" s="1" t="str">
        <f t="shared" si="101"/>
        <v>里程返程</v>
      </c>
      <c r="W726" s="1" t="s">
        <v>35</v>
      </c>
    </row>
    <row r="727" spans="1:23" x14ac:dyDescent="0.3">
      <c r="A727" s="1" t="str">
        <f t="shared" si="104"/>
        <v>59822</v>
      </c>
      <c r="B727" s="1" t="s">
        <v>39</v>
      </c>
      <c r="C727" s="1" t="s">
        <v>40</v>
      </c>
      <c r="D727" s="1" t="str">
        <f t="shared" si="100"/>
        <v>9801</v>
      </c>
      <c r="E727" s="1" t="s">
        <v>25</v>
      </c>
      <c r="F727" s="1" t="str">
        <f>"595460177"</f>
        <v>595460177</v>
      </c>
      <c r="G727" s="1" t="s">
        <v>33</v>
      </c>
      <c r="H727" s="1" t="str">
        <f t="shared" si="102"/>
        <v>20220911</v>
      </c>
      <c r="I727" s="1" t="str">
        <f>"115252"</f>
        <v>115252</v>
      </c>
      <c r="J727" s="1" t="s">
        <v>28</v>
      </c>
      <c r="K727" s="1" t="s">
        <v>28</v>
      </c>
      <c r="L727" s="1" t="str">
        <f t="shared" si="103"/>
        <v>20220911</v>
      </c>
      <c r="M727" s="1" t="str">
        <f>"122141"</f>
        <v>122141</v>
      </c>
      <c r="N727" s="1" t="s">
        <v>60</v>
      </c>
      <c r="O727" s="1" t="s">
        <v>52</v>
      </c>
      <c r="P727" s="1" t="s">
        <v>55</v>
      </c>
      <c r="Q727" s="1">
        <v>25</v>
      </c>
      <c r="R727" s="1">
        <v>25</v>
      </c>
      <c r="S727" s="1">
        <v>0</v>
      </c>
      <c r="T727" s="1">
        <v>0</v>
      </c>
      <c r="U727" s="1">
        <v>0</v>
      </c>
      <c r="V727" s="1" t="str">
        <f t="shared" si="101"/>
        <v>里程返程</v>
      </c>
      <c r="W727" s="1" t="s">
        <v>35</v>
      </c>
    </row>
    <row r="728" spans="1:23" x14ac:dyDescent="0.3">
      <c r="A728" s="1" t="str">
        <f t="shared" si="104"/>
        <v>59822</v>
      </c>
      <c r="B728" s="1" t="s">
        <v>39</v>
      </c>
      <c r="C728" s="1" t="s">
        <v>40</v>
      </c>
      <c r="D728" s="1" t="str">
        <f t="shared" si="100"/>
        <v>9801</v>
      </c>
      <c r="E728" s="1" t="s">
        <v>25</v>
      </c>
      <c r="F728" s="1" t="str">
        <f>"1016806245"</f>
        <v>1016806245</v>
      </c>
      <c r="G728" s="1" t="s">
        <v>33</v>
      </c>
      <c r="H728" s="1" t="str">
        <f t="shared" si="102"/>
        <v>20220911</v>
      </c>
      <c r="I728" s="1" t="str">
        <f>"185846"</f>
        <v>185846</v>
      </c>
      <c r="J728" s="1" t="s">
        <v>44</v>
      </c>
      <c r="K728" s="1" t="s">
        <v>45</v>
      </c>
      <c r="L728" s="1" t="str">
        <f t="shared" si="103"/>
        <v>20220911</v>
      </c>
      <c r="M728" s="1" t="str">
        <f>"192247"</f>
        <v>192247</v>
      </c>
      <c r="N728" s="1" t="s">
        <v>28</v>
      </c>
      <c r="O728" s="1" t="s">
        <v>28</v>
      </c>
      <c r="P728" s="1" t="s">
        <v>55</v>
      </c>
      <c r="Q728" s="1">
        <v>25</v>
      </c>
      <c r="R728" s="1">
        <v>25</v>
      </c>
      <c r="S728" s="1">
        <v>0</v>
      </c>
      <c r="T728" s="1">
        <v>0</v>
      </c>
      <c r="U728" s="1">
        <v>0</v>
      </c>
      <c r="V728" s="1" t="str">
        <f t="shared" si="101"/>
        <v>里程返程</v>
      </c>
      <c r="W728" s="1" t="s">
        <v>35</v>
      </c>
    </row>
    <row r="729" spans="1:23" x14ac:dyDescent="0.3">
      <c r="A729" s="1" t="str">
        <f t="shared" si="104"/>
        <v>59822</v>
      </c>
      <c r="B729" s="1" t="s">
        <v>39</v>
      </c>
      <c r="C729" s="1" t="s">
        <v>40</v>
      </c>
      <c r="D729" s="1" t="str">
        <f t="shared" si="100"/>
        <v>9801</v>
      </c>
      <c r="E729" s="1" t="s">
        <v>25</v>
      </c>
      <c r="F729" s="1" t="str">
        <f>"765433605"</f>
        <v>765433605</v>
      </c>
      <c r="G729" s="1" t="s">
        <v>33</v>
      </c>
      <c r="H729" s="1" t="str">
        <f t="shared" si="102"/>
        <v>20220911</v>
      </c>
      <c r="I729" s="1" t="str">
        <f>"185852"</f>
        <v>185852</v>
      </c>
      <c r="J729" s="1" t="s">
        <v>44</v>
      </c>
      <c r="K729" s="1" t="s">
        <v>45</v>
      </c>
      <c r="L729" s="1" t="str">
        <f t="shared" si="103"/>
        <v>20220911</v>
      </c>
      <c r="M729" s="1" t="str">
        <f>"192258"</f>
        <v>192258</v>
      </c>
      <c r="N729" s="1" t="s">
        <v>28</v>
      </c>
      <c r="O729" s="1" t="s">
        <v>28</v>
      </c>
      <c r="P729" s="1" t="s">
        <v>55</v>
      </c>
      <c r="Q729" s="1">
        <v>25</v>
      </c>
      <c r="R729" s="1">
        <v>25</v>
      </c>
      <c r="S729" s="1">
        <v>0</v>
      </c>
      <c r="T729" s="1">
        <v>0</v>
      </c>
      <c r="U729" s="1">
        <v>0</v>
      </c>
      <c r="V729" s="1" t="str">
        <f t="shared" si="101"/>
        <v>里程返程</v>
      </c>
      <c r="W729" s="1" t="s">
        <v>35</v>
      </c>
    </row>
    <row r="730" spans="1:23" x14ac:dyDescent="0.3">
      <c r="A730" s="1" t="str">
        <f t="shared" si="104"/>
        <v>59822</v>
      </c>
      <c r="B730" s="1" t="s">
        <v>39</v>
      </c>
      <c r="C730" s="1" t="s">
        <v>40</v>
      </c>
      <c r="D730" s="1" t="str">
        <f t="shared" si="100"/>
        <v>9801</v>
      </c>
      <c r="E730" s="1" t="s">
        <v>25</v>
      </c>
      <c r="F730" s="1" t="str">
        <f>"1197905793"</f>
        <v>1197905793</v>
      </c>
      <c r="G730" s="1" t="s">
        <v>33</v>
      </c>
      <c r="H730" s="1" t="str">
        <f t="shared" si="102"/>
        <v>20220911</v>
      </c>
      <c r="I730" s="1" t="str">
        <f>"185855"</f>
        <v>185855</v>
      </c>
      <c r="J730" s="1" t="s">
        <v>44</v>
      </c>
      <c r="K730" s="1" t="s">
        <v>45</v>
      </c>
      <c r="L730" s="1" t="str">
        <f t="shared" si="103"/>
        <v>20220911</v>
      </c>
      <c r="M730" s="1" t="str">
        <f>"192255"</f>
        <v>192255</v>
      </c>
      <c r="N730" s="1" t="s">
        <v>28</v>
      </c>
      <c r="O730" s="1" t="s">
        <v>28</v>
      </c>
      <c r="P730" s="1" t="s">
        <v>55</v>
      </c>
      <c r="Q730" s="1">
        <v>25</v>
      </c>
      <c r="R730" s="1">
        <v>25</v>
      </c>
      <c r="S730" s="1">
        <v>0</v>
      </c>
      <c r="T730" s="1">
        <v>0</v>
      </c>
      <c r="U730" s="1">
        <v>0</v>
      </c>
      <c r="V730" s="1" t="str">
        <f t="shared" si="101"/>
        <v>里程返程</v>
      </c>
      <c r="W730" s="1" t="s">
        <v>35</v>
      </c>
    </row>
    <row r="731" spans="1:23" x14ac:dyDescent="0.3">
      <c r="A731" s="1" t="str">
        <f t="shared" si="104"/>
        <v>59822</v>
      </c>
      <c r="B731" s="1" t="s">
        <v>39</v>
      </c>
      <c r="C731" s="1" t="s">
        <v>40</v>
      </c>
      <c r="D731" s="1" t="str">
        <f t="shared" si="100"/>
        <v>9801</v>
      </c>
      <c r="E731" s="1" t="s">
        <v>25</v>
      </c>
      <c r="F731" s="1" t="str">
        <f>"1082355781"</f>
        <v>1082355781</v>
      </c>
      <c r="G731" s="1" t="s">
        <v>33</v>
      </c>
      <c r="H731" s="1" t="str">
        <f t="shared" si="102"/>
        <v>20220911</v>
      </c>
      <c r="I731" s="1" t="str">
        <f>"191109"</f>
        <v>191109</v>
      </c>
      <c r="J731" s="1" t="s">
        <v>56</v>
      </c>
      <c r="K731" s="1" t="s">
        <v>45</v>
      </c>
      <c r="L731" s="1" t="str">
        <f t="shared" si="103"/>
        <v>20220911</v>
      </c>
      <c r="M731" s="1" t="str">
        <f>"192115"</f>
        <v>192115</v>
      </c>
      <c r="N731" s="1" t="s">
        <v>95</v>
      </c>
      <c r="O731" s="1" t="s">
        <v>28</v>
      </c>
      <c r="P731" s="1" t="s">
        <v>55</v>
      </c>
      <c r="Q731" s="1">
        <v>25</v>
      </c>
      <c r="R731" s="1">
        <v>0</v>
      </c>
      <c r="S731" s="1">
        <v>25</v>
      </c>
      <c r="T731" s="1">
        <v>0</v>
      </c>
      <c r="U731" s="1">
        <v>0</v>
      </c>
      <c r="V731" s="1" t="str">
        <f t="shared" si="101"/>
        <v>里程返程</v>
      </c>
      <c r="W731" s="1" t="s">
        <v>35</v>
      </c>
    </row>
    <row r="732" spans="1:23" x14ac:dyDescent="0.3">
      <c r="A732" s="1" t="str">
        <f t="shared" si="104"/>
        <v>59822</v>
      </c>
      <c r="B732" s="1" t="s">
        <v>39</v>
      </c>
      <c r="C732" s="1" t="s">
        <v>40</v>
      </c>
      <c r="D732" s="1" t="str">
        <f t="shared" si="100"/>
        <v>9801</v>
      </c>
      <c r="E732" s="1" t="s">
        <v>25</v>
      </c>
      <c r="F732" s="1" t="str">
        <f>"1082324373"</f>
        <v>1082324373</v>
      </c>
      <c r="G732" s="1" t="s">
        <v>33</v>
      </c>
      <c r="H732" s="1" t="str">
        <f t="shared" si="102"/>
        <v>20220911</v>
      </c>
      <c r="I732" s="1" t="str">
        <f>"191115"</f>
        <v>191115</v>
      </c>
      <c r="J732" s="1" t="s">
        <v>56</v>
      </c>
      <c r="K732" s="1" t="s">
        <v>45</v>
      </c>
      <c r="L732" s="1" t="str">
        <f t="shared" si="103"/>
        <v>20220911</v>
      </c>
      <c r="M732" s="1" t="str">
        <f>"192107"</f>
        <v>192107</v>
      </c>
      <c r="N732" s="1" t="s">
        <v>95</v>
      </c>
      <c r="O732" s="1" t="s">
        <v>28</v>
      </c>
      <c r="P732" s="1" t="s">
        <v>55</v>
      </c>
      <c r="Q732" s="1">
        <v>25</v>
      </c>
      <c r="R732" s="1">
        <v>0</v>
      </c>
      <c r="S732" s="1">
        <v>25</v>
      </c>
      <c r="T732" s="1">
        <v>0</v>
      </c>
      <c r="U732" s="1">
        <v>0</v>
      </c>
      <c r="V732" s="1" t="str">
        <f t="shared" si="101"/>
        <v>里程返程</v>
      </c>
      <c r="W732" s="1" t="s">
        <v>35</v>
      </c>
    </row>
    <row r="733" spans="1:23" x14ac:dyDescent="0.3">
      <c r="A733" s="1" t="str">
        <f t="shared" si="104"/>
        <v>59822</v>
      </c>
      <c r="B733" s="1" t="s">
        <v>39</v>
      </c>
      <c r="C733" s="1" t="s">
        <v>40</v>
      </c>
      <c r="D733" s="1" t="str">
        <f t="shared" si="100"/>
        <v>9801</v>
      </c>
      <c r="E733" s="1" t="s">
        <v>25</v>
      </c>
      <c r="F733" s="1" t="str">
        <f>"933060901"</f>
        <v>933060901</v>
      </c>
      <c r="G733" s="1" t="s">
        <v>33</v>
      </c>
      <c r="H733" s="1" t="str">
        <f t="shared" si="102"/>
        <v>20220911</v>
      </c>
      <c r="I733" s="1" t="str">
        <f>"191123"</f>
        <v>191123</v>
      </c>
      <c r="J733" s="1" t="s">
        <v>56</v>
      </c>
      <c r="K733" s="1" t="s">
        <v>45</v>
      </c>
      <c r="L733" s="1" t="str">
        <f t="shared" si="103"/>
        <v>20220911</v>
      </c>
      <c r="M733" s="1" t="str">
        <f>"192100"</f>
        <v>192100</v>
      </c>
      <c r="N733" s="1" t="s">
        <v>95</v>
      </c>
      <c r="O733" s="1" t="s">
        <v>28</v>
      </c>
      <c r="P733" s="1" t="s">
        <v>55</v>
      </c>
      <c r="Q733" s="1">
        <v>25</v>
      </c>
      <c r="R733" s="1">
        <v>0</v>
      </c>
      <c r="S733" s="1">
        <v>25</v>
      </c>
      <c r="T733" s="1">
        <v>0</v>
      </c>
      <c r="U733" s="1">
        <v>0</v>
      </c>
      <c r="V733" s="1" t="str">
        <f t="shared" si="101"/>
        <v>里程返程</v>
      </c>
      <c r="W733" s="1" t="s">
        <v>35</v>
      </c>
    </row>
    <row r="734" spans="1:23" x14ac:dyDescent="0.3">
      <c r="A734" s="1" t="str">
        <f t="shared" si="104"/>
        <v>59822</v>
      </c>
      <c r="B734" s="1" t="s">
        <v>39</v>
      </c>
      <c r="C734" s="1" t="s">
        <v>40</v>
      </c>
      <c r="D734" s="1" t="str">
        <f t="shared" si="100"/>
        <v>9801</v>
      </c>
      <c r="E734" s="1" t="s">
        <v>25</v>
      </c>
      <c r="F734" s="1" t="str">
        <f>"1139503861"</f>
        <v>1139503861</v>
      </c>
      <c r="G734" s="1" t="s">
        <v>33</v>
      </c>
      <c r="H734" s="1" t="str">
        <f t="shared" si="102"/>
        <v>20220911</v>
      </c>
      <c r="I734" s="1" t="str">
        <f>"191125"</f>
        <v>191125</v>
      </c>
      <c r="J734" s="1" t="s">
        <v>56</v>
      </c>
      <c r="K734" s="1" t="s">
        <v>45</v>
      </c>
      <c r="L734" s="1" t="str">
        <f t="shared" si="103"/>
        <v>20220911</v>
      </c>
      <c r="M734" s="1" t="str">
        <f>"192112"</f>
        <v>192112</v>
      </c>
      <c r="N734" s="1" t="s">
        <v>95</v>
      </c>
      <c r="O734" s="1" t="s">
        <v>28</v>
      </c>
      <c r="P734" s="1" t="s">
        <v>55</v>
      </c>
      <c r="Q734" s="1">
        <v>25</v>
      </c>
      <c r="R734" s="1">
        <v>0</v>
      </c>
      <c r="S734" s="1">
        <v>25</v>
      </c>
      <c r="T734" s="1">
        <v>0</v>
      </c>
      <c r="U734" s="1">
        <v>0</v>
      </c>
      <c r="V734" s="1" t="str">
        <f t="shared" si="101"/>
        <v>里程返程</v>
      </c>
      <c r="W734" s="1" t="s">
        <v>35</v>
      </c>
    </row>
    <row r="735" spans="1:23" x14ac:dyDescent="0.3">
      <c r="A735" s="1" t="str">
        <f t="shared" si="104"/>
        <v>59822</v>
      </c>
      <c r="B735" s="1" t="s">
        <v>39</v>
      </c>
      <c r="C735" s="1" t="s">
        <v>40</v>
      </c>
      <c r="D735" s="1" t="str">
        <f t="shared" si="100"/>
        <v>9801</v>
      </c>
      <c r="E735" s="1" t="s">
        <v>25</v>
      </c>
      <c r="F735" s="1" t="str">
        <f>"1616954485"</f>
        <v>1616954485</v>
      </c>
      <c r="G735" s="1" t="s">
        <v>33</v>
      </c>
      <c r="H735" s="1" t="str">
        <f t="shared" si="102"/>
        <v>20220911</v>
      </c>
      <c r="I735" s="1" t="str">
        <f>"191136"</f>
        <v>191136</v>
      </c>
      <c r="J735" s="1" t="s">
        <v>56</v>
      </c>
      <c r="K735" s="1" t="s">
        <v>45</v>
      </c>
      <c r="L735" s="1" t="str">
        <f t="shared" si="103"/>
        <v>20220911</v>
      </c>
      <c r="M735" s="1" t="str">
        <f>"192239"</f>
        <v>192239</v>
      </c>
      <c r="N735" s="1" t="s">
        <v>28</v>
      </c>
      <c r="O735" s="1" t="s">
        <v>28</v>
      </c>
      <c r="P735" s="1" t="s">
        <v>55</v>
      </c>
      <c r="Q735" s="1">
        <v>25</v>
      </c>
      <c r="R735" s="1">
        <v>25</v>
      </c>
      <c r="S735" s="1">
        <v>0</v>
      </c>
      <c r="T735" s="1">
        <v>0</v>
      </c>
      <c r="U735" s="1">
        <v>0</v>
      </c>
      <c r="V735" s="1" t="str">
        <f t="shared" si="101"/>
        <v>里程返程</v>
      </c>
      <c r="W735" s="1" t="s">
        <v>35</v>
      </c>
    </row>
    <row r="736" spans="1:23" x14ac:dyDescent="0.3">
      <c r="A736" s="1" t="str">
        <f t="shared" si="104"/>
        <v>59822</v>
      </c>
      <c r="B736" s="1" t="s">
        <v>39</v>
      </c>
      <c r="C736" s="1" t="s">
        <v>40</v>
      </c>
      <c r="D736" s="1" t="str">
        <f t="shared" si="100"/>
        <v>9801</v>
      </c>
      <c r="E736" s="1" t="s">
        <v>25</v>
      </c>
      <c r="F736" s="1" t="str">
        <f>"1900534448"</f>
        <v>1900534448</v>
      </c>
      <c r="G736" s="1" t="s">
        <v>33</v>
      </c>
      <c r="H736" s="1" t="str">
        <f t="shared" si="102"/>
        <v>20220911</v>
      </c>
      <c r="I736" s="1" t="str">
        <f>"192315"</f>
        <v>192315</v>
      </c>
      <c r="J736" s="1" t="s">
        <v>28</v>
      </c>
      <c r="K736" s="1" t="s">
        <v>28</v>
      </c>
      <c r="L736" s="1" t="str">
        <f t="shared" si="103"/>
        <v>20220911</v>
      </c>
      <c r="M736" s="1" t="str">
        <f>"194107"</f>
        <v>194107</v>
      </c>
      <c r="N736" s="1" t="s">
        <v>77</v>
      </c>
      <c r="O736" s="1" t="s">
        <v>52</v>
      </c>
      <c r="P736" s="1" t="s">
        <v>55</v>
      </c>
      <c r="Q736" s="1">
        <v>25</v>
      </c>
      <c r="R736" s="1">
        <v>25</v>
      </c>
      <c r="S736" s="1">
        <v>0</v>
      </c>
      <c r="T736" s="1">
        <v>0</v>
      </c>
      <c r="U736" s="1">
        <v>0</v>
      </c>
      <c r="V736" s="1" t="str">
        <f t="shared" si="101"/>
        <v>里程返程</v>
      </c>
      <c r="W736" s="1" t="s">
        <v>35</v>
      </c>
    </row>
    <row r="737" spans="1:23" x14ac:dyDescent="0.3">
      <c r="A737" s="1" t="str">
        <f t="shared" si="104"/>
        <v>59822</v>
      </c>
      <c r="B737" s="1" t="s">
        <v>39</v>
      </c>
      <c r="C737" s="1" t="s">
        <v>40</v>
      </c>
      <c r="D737" s="1" t="str">
        <f t="shared" si="100"/>
        <v>9801</v>
      </c>
      <c r="E737" s="1" t="s">
        <v>25</v>
      </c>
      <c r="F737" s="1" t="str">
        <f>"540148081"</f>
        <v>540148081</v>
      </c>
      <c r="G737" s="1" t="s">
        <v>74</v>
      </c>
      <c r="H737" s="1" t="str">
        <f t="shared" si="102"/>
        <v>20220911</v>
      </c>
      <c r="I737" s="1" t="str">
        <f>"192319"</f>
        <v>192319</v>
      </c>
      <c r="J737" s="1" t="s">
        <v>28</v>
      </c>
      <c r="K737" s="1" t="s">
        <v>28</v>
      </c>
      <c r="L737" s="1" t="str">
        <f t="shared" si="103"/>
        <v>20220911</v>
      </c>
      <c r="M737" s="1" t="str">
        <f>"194309"</f>
        <v>194309</v>
      </c>
      <c r="N737" s="1" t="s">
        <v>97</v>
      </c>
      <c r="O737" s="1" t="s">
        <v>52</v>
      </c>
      <c r="P737" s="1" t="s">
        <v>55</v>
      </c>
      <c r="Q737" s="1">
        <v>13</v>
      </c>
      <c r="R737" s="1">
        <v>0</v>
      </c>
      <c r="S737" s="1">
        <v>13</v>
      </c>
      <c r="T737" s="1">
        <v>0</v>
      </c>
      <c r="U737" s="1">
        <v>0</v>
      </c>
      <c r="V737" s="1" t="str">
        <f t="shared" si="101"/>
        <v>里程返程</v>
      </c>
      <c r="W737" s="1" t="s">
        <v>35</v>
      </c>
    </row>
    <row r="738" spans="1:23" x14ac:dyDescent="0.3">
      <c r="A738" s="1" t="str">
        <f t="shared" si="104"/>
        <v>59822</v>
      </c>
      <c r="B738" s="1" t="s">
        <v>39</v>
      </c>
      <c r="C738" s="1" t="s">
        <v>40</v>
      </c>
      <c r="D738" s="1" t="str">
        <f t="shared" si="100"/>
        <v>9801</v>
      </c>
      <c r="E738" s="1" t="s">
        <v>25</v>
      </c>
      <c r="F738" s="1" t="str">
        <f>"429239009"</f>
        <v>429239009</v>
      </c>
      <c r="G738" s="1" t="s">
        <v>33</v>
      </c>
      <c r="H738" s="1" t="str">
        <f t="shared" si="102"/>
        <v>20220911</v>
      </c>
      <c r="I738" s="1" t="str">
        <f>"192324"</f>
        <v>192324</v>
      </c>
      <c r="J738" s="1" t="s">
        <v>28</v>
      </c>
      <c r="K738" s="1" t="s">
        <v>28</v>
      </c>
      <c r="L738" s="1" t="str">
        <f t="shared" si="103"/>
        <v>20220911</v>
      </c>
      <c r="M738" s="1" t="str">
        <f>"194655"</f>
        <v>194655</v>
      </c>
      <c r="N738" s="1" t="s">
        <v>71</v>
      </c>
      <c r="O738" s="1" t="s">
        <v>52</v>
      </c>
      <c r="P738" s="1" t="s">
        <v>55</v>
      </c>
      <c r="Q738" s="1">
        <v>25</v>
      </c>
      <c r="R738" s="1">
        <v>25</v>
      </c>
      <c r="S738" s="1">
        <v>0</v>
      </c>
      <c r="T738" s="1">
        <v>0</v>
      </c>
      <c r="U738" s="1">
        <v>0</v>
      </c>
      <c r="V738" s="1" t="str">
        <f t="shared" si="101"/>
        <v>里程返程</v>
      </c>
      <c r="W738" s="1" t="s">
        <v>35</v>
      </c>
    </row>
    <row r="739" spans="1:23" x14ac:dyDescent="0.3">
      <c r="A739" s="1" t="str">
        <f t="shared" si="104"/>
        <v>59822</v>
      </c>
      <c r="B739" s="1" t="s">
        <v>39</v>
      </c>
      <c r="C739" s="1" t="s">
        <v>40</v>
      </c>
      <c r="D739" s="1" t="str">
        <f t="shared" si="100"/>
        <v>9801</v>
      </c>
      <c r="E739" s="1" t="s">
        <v>25</v>
      </c>
      <c r="F739" s="1" t="str">
        <f>"6717161019372658"</f>
        <v>6717161019372658</v>
      </c>
      <c r="G739" s="1" t="s">
        <v>33</v>
      </c>
      <c r="H739" s="1" t="str">
        <f t="shared" si="102"/>
        <v>20220911</v>
      </c>
      <c r="I739" s="1" t="str">
        <f>"192327"</f>
        <v>192327</v>
      </c>
      <c r="J739" s="1" t="s">
        <v>28</v>
      </c>
      <c r="K739" s="1" t="s">
        <v>28</v>
      </c>
      <c r="L739" s="1" t="str">
        <f t="shared" si="103"/>
        <v>20220911</v>
      </c>
      <c r="M739" s="1" t="str">
        <f>"194514"</f>
        <v>194514</v>
      </c>
      <c r="N739" s="1" t="s">
        <v>65</v>
      </c>
      <c r="O739" s="1" t="s">
        <v>52</v>
      </c>
      <c r="P739" s="1" t="s">
        <v>55</v>
      </c>
      <c r="Q739" s="1">
        <v>25</v>
      </c>
      <c r="R739" s="1">
        <v>25</v>
      </c>
      <c r="S739" s="1">
        <v>0</v>
      </c>
      <c r="T739" s="1">
        <v>0</v>
      </c>
      <c r="U739" s="1">
        <v>0</v>
      </c>
      <c r="V739" s="1" t="str">
        <f t="shared" si="101"/>
        <v>里程返程</v>
      </c>
      <c r="W739" s="1" t="s">
        <v>109</v>
      </c>
    </row>
    <row r="740" spans="1:23" x14ac:dyDescent="0.3">
      <c r="A740" s="1" t="str">
        <f t="shared" si="104"/>
        <v>59822</v>
      </c>
      <c r="B740" s="1" t="s">
        <v>39</v>
      </c>
      <c r="C740" s="1" t="s">
        <v>40</v>
      </c>
      <c r="D740" s="1" t="str">
        <f t="shared" si="100"/>
        <v>9801</v>
      </c>
      <c r="E740" s="1" t="s">
        <v>25</v>
      </c>
      <c r="F740" s="1" t="str">
        <f>"923E4D16F7880400C814002000000019"</f>
        <v>923E4D16F7880400C814002000000019</v>
      </c>
      <c r="G740" s="1" t="s">
        <v>58</v>
      </c>
      <c r="H740" s="1" t="str">
        <f t="shared" ref="H740:H771" si="105">"20220911"</f>
        <v>20220911</v>
      </c>
      <c r="I740" s="1" t="str">
        <f>"192330"</f>
        <v>192330</v>
      </c>
      <c r="J740" s="1" t="s">
        <v>28</v>
      </c>
      <c r="K740" s="1" t="s">
        <v>28</v>
      </c>
      <c r="L740" s="1" t="str">
        <f t="shared" ref="L740:L771" si="106">"20220911"</f>
        <v>20220911</v>
      </c>
      <c r="M740" s="1" t="str">
        <f>"194659"</f>
        <v>194659</v>
      </c>
      <c r="N740" s="1" t="s">
        <v>71</v>
      </c>
      <c r="O740" s="1" t="s">
        <v>52</v>
      </c>
      <c r="P740" s="1" t="s">
        <v>55</v>
      </c>
      <c r="Q740" s="1">
        <v>25</v>
      </c>
      <c r="R740" s="1">
        <v>25</v>
      </c>
      <c r="S740" s="1">
        <v>0</v>
      </c>
      <c r="T740" s="1">
        <v>0</v>
      </c>
      <c r="U740" s="1">
        <v>0</v>
      </c>
      <c r="V740" s="1" t="str">
        <f t="shared" si="101"/>
        <v>里程返程</v>
      </c>
      <c r="W740" s="1" t="s">
        <v>29</v>
      </c>
    </row>
    <row r="741" spans="1:23" x14ac:dyDescent="0.3">
      <c r="A741" s="1" t="str">
        <f t="shared" si="104"/>
        <v>59822</v>
      </c>
      <c r="B741" s="1" t="s">
        <v>39</v>
      </c>
      <c r="C741" s="1" t="s">
        <v>40</v>
      </c>
      <c r="D741" s="1" t="str">
        <f t="shared" si="100"/>
        <v>9801</v>
      </c>
      <c r="E741" s="1" t="s">
        <v>25</v>
      </c>
      <c r="F741" s="1" t="str">
        <f>"123A35160B880400C814002000000019"</f>
        <v>123A35160B880400C814002000000019</v>
      </c>
      <c r="G741" s="1" t="s">
        <v>59</v>
      </c>
      <c r="H741" s="1" t="str">
        <f t="shared" si="105"/>
        <v>20220911</v>
      </c>
      <c r="I741" s="1" t="str">
        <f>"192333"</f>
        <v>192333</v>
      </c>
      <c r="J741" s="1" t="s">
        <v>28</v>
      </c>
      <c r="K741" s="1" t="s">
        <v>28</v>
      </c>
      <c r="L741" s="1" t="str">
        <f t="shared" si="106"/>
        <v>20220911</v>
      </c>
      <c r="M741" s="1" t="str">
        <f>"195244"</f>
        <v>195244</v>
      </c>
      <c r="N741" s="1" t="s">
        <v>52</v>
      </c>
      <c r="O741" s="1" t="s">
        <v>52</v>
      </c>
      <c r="P741" s="1" t="s">
        <v>55</v>
      </c>
      <c r="Q741" s="1">
        <v>25</v>
      </c>
      <c r="R741" s="1">
        <v>0</v>
      </c>
      <c r="S741" s="1">
        <v>25</v>
      </c>
      <c r="T741" s="1">
        <v>0</v>
      </c>
      <c r="U741" s="1">
        <v>0</v>
      </c>
      <c r="V741" s="1" t="str">
        <f t="shared" si="101"/>
        <v>里程返程</v>
      </c>
      <c r="W741" s="1" t="s">
        <v>29</v>
      </c>
    </row>
    <row r="742" spans="1:23" x14ac:dyDescent="0.3">
      <c r="A742" s="1" t="str">
        <f t="shared" si="104"/>
        <v>59822</v>
      </c>
      <c r="B742" s="1" t="s">
        <v>39</v>
      </c>
      <c r="C742" s="1" t="s">
        <v>40</v>
      </c>
      <c r="D742" s="1" t="str">
        <f t="shared" si="100"/>
        <v>9801</v>
      </c>
      <c r="E742" s="1" t="s">
        <v>25</v>
      </c>
      <c r="F742" s="1" t="str">
        <f>"750552017"</f>
        <v>750552017</v>
      </c>
      <c r="G742" s="1" t="s">
        <v>33</v>
      </c>
      <c r="H742" s="1" t="str">
        <f t="shared" si="105"/>
        <v>20220911</v>
      </c>
      <c r="I742" s="1" t="str">
        <f>"192400"</f>
        <v>192400</v>
      </c>
      <c r="J742" s="1" t="s">
        <v>28</v>
      </c>
      <c r="K742" s="1" t="s">
        <v>28</v>
      </c>
      <c r="L742" s="1" t="str">
        <f t="shared" si="106"/>
        <v>20220911</v>
      </c>
      <c r="M742" s="1" t="str">
        <f>"194241"</f>
        <v>194241</v>
      </c>
      <c r="N742" s="1" t="s">
        <v>80</v>
      </c>
      <c r="O742" s="1" t="s">
        <v>52</v>
      </c>
      <c r="P742" s="1" t="s">
        <v>55</v>
      </c>
      <c r="Q742" s="1">
        <v>25</v>
      </c>
      <c r="R742" s="1">
        <v>25</v>
      </c>
      <c r="S742" s="1">
        <v>0</v>
      </c>
      <c r="T742" s="1">
        <v>0</v>
      </c>
      <c r="U742" s="1">
        <v>0</v>
      </c>
      <c r="V742" s="1" t="str">
        <f t="shared" si="101"/>
        <v>里程返程</v>
      </c>
      <c r="W742" s="1" t="s">
        <v>35</v>
      </c>
    </row>
    <row r="743" spans="1:23" x14ac:dyDescent="0.3">
      <c r="A743" s="1" t="str">
        <f t="shared" si="104"/>
        <v>59822</v>
      </c>
      <c r="B743" s="1" t="s">
        <v>39</v>
      </c>
      <c r="C743" s="1" t="s">
        <v>40</v>
      </c>
      <c r="D743" s="1" t="str">
        <f t="shared" si="100"/>
        <v>9801</v>
      </c>
      <c r="E743" s="1" t="s">
        <v>25</v>
      </c>
      <c r="F743" s="1" t="str">
        <f>"1450075649"</f>
        <v>1450075649</v>
      </c>
      <c r="G743" s="1" t="s">
        <v>33</v>
      </c>
      <c r="H743" s="1" t="str">
        <f t="shared" si="105"/>
        <v>20220911</v>
      </c>
      <c r="I743" s="1" t="str">
        <f>"192437"</f>
        <v>192437</v>
      </c>
      <c r="J743" s="1" t="s">
        <v>28</v>
      </c>
      <c r="K743" s="1" t="s">
        <v>28</v>
      </c>
      <c r="L743" s="1" t="str">
        <f t="shared" si="106"/>
        <v>20220911</v>
      </c>
      <c r="M743" s="1" t="str">
        <f>"195256"</f>
        <v>195256</v>
      </c>
      <c r="N743" s="1" t="s">
        <v>52</v>
      </c>
      <c r="O743" s="1" t="s">
        <v>52</v>
      </c>
      <c r="P743" s="1" t="s">
        <v>55</v>
      </c>
      <c r="Q743" s="1">
        <v>25</v>
      </c>
      <c r="R743" s="1">
        <v>25</v>
      </c>
      <c r="S743" s="1">
        <v>0</v>
      </c>
      <c r="T743" s="1">
        <v>0</v>
      </c>
      <c r="U743" s="1">
        <v>0</v>
      </c>
      <c r="V743" s="1" t="str">
        <f t="shared" si="101"/>
        <v>里程返程</v>
      </c>
      <c r="W743" s="1" t="s">
        <v>35</v>
      </c>
    </row>
    <row r="744" spans="1:23" x14ac:dyDescent="0.3">
      <c r="A744" s="1" t="str">
        <f t="shared" si="104"/>
        <v>59822</v>
      </c>
      <c r="B744" s="1" t="s">
        <v>39</v>
      </c>
      <c r="C744" s="1" t="s">
        <v>40</v>
      </c>
      <c r="D744" s="1" t="str">
        <f t="shared" si="100"/>
        <v>9801</v>
      </c>
      <c r="E744" s="1" t="s">
        <v>25</v>
      </c>
      <c r="F744" s="1" t="str">
        <f>"1647675345"</f>
        <v>1647675345</v>
      </c>
      <c r="G744" s="1" t="s">
        <v>33</v>
      </c>
      <c r="H744" s="1" t="str">
        <f t="shared" si="105"/>
        <v>20220911</v>
      </c>
      <c r="I744" s="1" t="str">
        <f>"192505"</f>
        <v>192505</v>
      </c>
      <c r="J744" s="1" t="s">
        <v>28</v>
      </c>
      <c r="K744" s="1" t="s">
        <v>28</v>
      </c>
      <c r="L744" s="1" t="str">
        <f t="shared" si="106"/>
        <v>20220911</v>
      </c>
      <c r="M744" s="1" t="str">
        <f>"195250"</f>
        <v>195250</v>
      </c>
      <c r="N744" s="1" t="s">
        <v>52</v>
      </c>
      <c r="O744" s="1" t="s">
        <v>52</v>
      </c>
      <c r="P744" s="1" t="s">
        <v>55</v>
      </c>
      <c r="Q744" s="1">
        <v>25</v>
      </c>
      <c r="R744" s="1">
        <v>25</v>
      </c>
      <c r="S744" s="1">
        <v>0</v>
      </c>
      <c r="T744" s="1">
        <v>0</v>
      </c>
      <c r="U744" s="1">
        <v>0</v>
      </c>
      <c r="V744" s="1" t="str">
        <f t="shared" si="101"/>
        <v>里程返程</v>
      </c>
      <c r="W744" s="1" t="s">
        <v>35</v>
      </c>
    </row>
    <row r="745" spans="1:23" x14ac:dyDescent="0.3">
      <c r="A745" s="1" t="str">
        <f t="shared" si="104"/>
        <v>59822</v>
      </c>
      <c r="B745" s="1" t="s">
        <v>39</v>
      </c>
      <c r="C745" s="1" t="s">
        <v>40</v>
      </c>
      <c r="D745" s="1" t="str">
        <f t="shared" si="100"/>
        <v>9801</v>
      </c>
      <c r="E745" s="1" t="s">
        <v>25</v>
      </c>
      <c r="F745" s="1" t="str">
        <f>"796883057"</f>
        <v>796883057</v>
      </c>
      <c r="G745" s="1" t="s">
        <v>33</v>
      </c>
      <c r="H745" s="1" t="str">
        <f t="shared" si="105"/>
        <v>20220911</v>
      </c>
      <c r="I745" s="1" t="str">
        <f>"192528"</f>
        <v>192528</v>
      </c>
      <c r="J745" s="1" t="s">
        <v>28</v>
      </c>
      <c r="K745" s="1" t="s">
        <v>28</v>
      </c>
      <c r="L745" s="1" t="str">
        <f t="shared" si="106"/>
        <v>20220911</v>
      </c>
      <c r="M745" s="1" t="str">
        <f>"193619"</f>
        <v>193619</v>
      </c>
      <c r="N745" s="1" t="s">
        <v>67</v>
      </c>
      <c r="O745" s="1" t="s">
        <v>52</v>
      </c>
      <c r="P745" s="1" t="s">
        <v>55</v>
      </c>
      <c r="Q745" s="1">
        <v>25</v>
      </c>
      <c r="R745" s="1">
        <v>25</v>
      </c>
      <c r="S745" s="1">
        <v>0</v>
      </c>
      <c r="T745" s="1">
        <v>0</v>
      </c>
      <c r="U745" s="1">
        <v>0</v>
      </c>
      <c r="V745" s="1" t="str">
        <f t="shared" si="101"/>
        <v>里程返程</v>
      </c>
      <c r="W745" s="1" t="s">
        <v>35</v>
      </c>
    </row>
    <row r="746" spans="1:23" x14ac:dyDescent="0.3">
      <c r="A746" s="1" t="str">
        <f t="shared" ref="A746:A781" si="107">"59828"</f>
        <v>59828</v>
      </c>
      <c r="B746" s="1" t="s">
        <v>23</v>
      </c>
      <c r="C746" s="1" t="s">
        <v>24</v>
      </c>
      <c r="D746" s="1" t="str">
        <f t="shared" si="100"/>
        <v>9801</v>
      </c>
      <c r="E746" s="1" t="s">
        <v>25</v>
      </c>
      <c r="F746" s="1" t="str">
        <f>"985824849"</f>
        <v>985824849</v>
      </c>
      <c r="G746" s="1" t="s">
        <v>33</v>
      </c>
      <c r="H746" s="1" t="str">
        <f t="shared" si="105"/>
        <v>20220911</v>
      </c>
      <c r="I746" s="1" t="str">
        <f>"070154"</f>
        <v>070154</v>
      </c>
      <c r="J746" s="1" t="s">
        <v>44</v>
      </c>
      <c r="K746" s="1" t="s">
        <v>45</v>
      </c>
      <c r="L746" s="1" t="str">
        <f t="shared" si="106"/>
        <v>20220911</v>
      </c>
      <c r="M746" s="1" t="str">
        <f>"072157"</f>
        <v>072157</v>
      </c>
      <c r="N746" s="1" t="s">
        <v>28</v>
      </c>
      <c r="O746" s="1" t="s">
        <v>28</v>
      </c>
      <c r="P746" s="1" t="s">
        <v>55</v>
      </c>
      <c r="Q746" s="1">
        <v>25</v>
      </c>
      <c r="R746" s="1">
        <v>25</v>
      </c>
      <c r="S746" s="1">
        <v>0</v>
      </c>
      <c r="T746" s="1">
        <v>0</v>
      </c>
      <c r="U746" s="1">
        <v>0</v>
      </c>
      <c r="V746" s="1" t="str">
        <f t="shared" si="101"/>
        <v>里程返程</v>
      </c>
      <c r="W746" s="1" t="s">
        <v>35</v>
      </c>
    </row>
    <row r="747" spans="1:23" x14ac:dyDescent="0.3">
      <c r="A747" s="1" t="str">
        <f t="shared" si="107"/>
        <v>59828</v>
      </c>
      <c r="B747" s="1" t="s">
        <v>23</v>
      </c>
      <c r="C747" s="1" t="s">
        <v>24</v>
      </c>
      <c r="D747" s="1" t="str">
        <f t="shared" si="100"/>
        <v>9801</v>
      </c>
      <c r="E747" s="1" t="s">
        <v>25</v>
      </c>
      <c r="F747" s="1" t="str">
        <f>"107026497"</f>
        <v>107026497</v>
      </c>
      <c r="G747" s="1" t="s">
        <v>74</v>
      </c>
      <c r="H747" s="1" t="str">
        <f t="shared" si="105"/>
        <v>20220911</v>
      </c>
      <c r="I747" s="1" t="str">
        <f>"070157"</f>
        <v>070157</v>
      </c>
      <c r="J747" s="1" t="s">
        <v>44</v>
      </c>
      <c r="K747" s="1" t="s">
        <v>45</v>
      </c>
      <c r="L747" s="1" t="str">
        <f t="shared" si="106"/>
        <v>20220911</v>
      </c>
      <c r="M747" s="1" t="str">
        <f>"072144"</f>
        <v>072144</v>
      </c>
      <c r="N747" s="1" t="s">
        <v>28</v>
      </c>
      <c r="O747" s="1" t="s">
        <v>28</v>
      </c>
      <c r="P747" s="1" t="s">
        <v>55</v>
      </c>
      <c r="Q747" s="1">
        <v>13</v>
      </c>
      <c r="R747" s="1">
        <v>13</v>
      </c>
      <c r="S747" s="1">
        <v>0</v>
      </c>
      <c r="T747" s="1">
        <v>0</v>
      </c>
      <c r="U747" s="1">
        <v>0</v>
      </c>
      <c r="V747" s="1" t="str">
        <f t="shared" si="101"/>
        <v>里程返程</v>
      </c>
      <c r="W747" s="1" t="s">
        <v>35</v>
      </c>
    </row>
    <row r="748" spans="1:23" x14ac:dyDescent="0.3">
      <c r="A748" s="1" t="str">
        <f t="shared" si="107"/>
        <v>59828</v>
      </c>
      <c r="B748" s="1" t="s">
        <v>23</v>
      </c>
      <c r="C748" s="1" t="s">
        <v>24</v>
      </c>
      <c r="D748" s="1" t="str">
        <f t="shared" si="100"/>
        <v>9801</v>
      </c>
      <c r="E748" s="1" t="s">
        <v>25</v>
      </c>
      <c r="F748" s="1" t="str">
        <f>"2710043119"</f>
        <v>2710043119</v>
      </c>
      <c r="G748" s="1" t="s">
        <v>33</v>
      </c>
      <c r="H748" s="1" t="str">
        <f t="shared" si="105"/>
        <v>20220911</v>
      </c>
      <c r="I748" s="1" t="str">
        <f>"070203"</f>
        <v>070203</v>
      </c>
      <c r="J748" s="1" t="s">
        <v>44</v>
      </c>
      <c r="K748" s="1" t="s">
        <v>45</v>
      </c>
      <c r="L748" s="1" t="str">
        <f t="shared" si="106"/>
        <v>20220911</v>
      </c>
      <c r="M748" s="1" t="str">
        <f>"072217"</f>
        <v>072217</v>
      </c>
      <c r="N748" s="1" t="s">
        <v>28</v>
      </c>
      <c r="O748" s="1" t="s">
        <v>28</v>
      </c>
      <c r="P748" s="1" t="s">
        <v>55</v>
      </c>
      <c r="Q748" s="1">
        <v>25</v>
      </c>
      <c r="R748" s="1">
        <v>25</v>
      </c>
      <c r="S748" s="1">
        <v>0</v>
      </c>
      <c r="T748" s="1">
        <v>0</v>
      </c>
      <c r="U748" s="1">
        <v>0</v>
      </c>
      <c r="V748" s="1" t="str">
        <f t="shared" si="101"/>
        <v>里程返程</v>
      </c>
      <c r="W748" s="1" t="s">
        <v>35</v>
      </c>
    </row>
    <row r="749" spans="1:23" x14ac:dyDescent="0.3">
      <c r="A749" s="1" t="str">
        <f t="shared" si="107"/>
        <v>59828</v>
      </c>
      <c r="B749" s="1" t="s">
        <v>23</v>
      </c>
      <c r="C749" s="1" t="s">
        <v>24</v>
      </c>
      <c r="D749" s="1" t="str">
        <f t="shared" si="100"/>
        <v>9801</v>
      </c>
      <c r="E749" s="1" t="s">
        <v>25</v>
      </c>
      <c r="F749" s="1" t="str">
        <f>"321899361"</f>
        <v>321899361</v>
      </c>
      <c r="G749" s="1" t="s">
        <v>33</v>
      </c>
      <c r="H749" s="1" t="str">
        <f t="shared" si="105"/>
        <v>20220911</v>
      </c>
      <c r="I749" s="1" t="str">
        <f>"070211"</f>
        <v>070211</v>
      </c>
      <c r="J749" s="1" t="s">
        <v>44</v>
      </c>
      <c r="K749" s="1" t="s">
        <v>45</v>
      </c>
      <c r="L749" s="1" t="str">
        <f t="shared" si="106"/>
        <v>20220911</v>
      </c>
      <c r="M749" s="1" t="str">
        <f>"072203"</f>
        <v>072203</v>
      </c>
      <c r="N749" s="1" t="s">
        <v>28</v>
      </c>
      <c r="O749" s="1" t="s">
        <v>28</v>
      </c>
      <c r="P749" s="1" t="s">
        <v>55</v>
      </c>
      <c r="Q749" s="1">
        <v>25</v>
      </c>
      <c r="R749" s="1">
        <v>25</v>
      </c>
      <c r="S749" s="1">
        <v>0</v>
      </c>
      <c r="T749" s="1">
        <v>0</v>
      </c>
      <c r="U749" s="1">
        <v>0</v>
      </c>
      <c r="V749" s="1" t="str">
        <f t="shared" si="101"/>
        <v>里程返程</v>
      </c>
      <c r="W749" s="1" t="s">
        <v>35</v>
      </c>
    </row>
    <row r="750" spans="1:23" x14ac:dyDescent="0.3">
      <c r="A750" s="1" t="str">
        <f t="shared" si="107"/>
        <v>59828</v>
      </c>
      <c r="B750" s="1" t="s">
        <v>23</v>
      </c>
      <c r="C750" s="1" t="s">
        <v>24</v>
      </c>
      <c r="D750" s="1" t="str">
        <f t="shared" si="100"/>
        <v>9801</v>
      </c>
      <c r="E750" s="1" t="s">
        <v>25</v>
      </c>
      <c r="F750" s="1" t="str">
        <f>"591493455"</f>
        <v>591493455</v>
      </c>
      <c r="G750" s="1" t="s">
        <v>33</v>
      </c>
      <c r="H750" s="1" t="str">
        <f t="shared" si="105"/>
        <v>20220911</v>
      </c>
      <c r="I750" s="1" t="str">
        <f>"070900"</f>
        <v>070900</v>
      </c>
      <c r="J750" s="1" t="s">
        <v>75</v>
      </c>
      <c r="K750" s="1" t="s">
        <v>45</v>
      </c>
      <c r="L750" s="1" t="str">
        <f t="shared" si="106"/>
        <v>20220911</v>
      </c>
      <c r="M750" s="1" t="str">
        <f>"072147"</f>
        <v>072147</v>
      </c>
      <c r="N750" s="1" t="s">
        <v>28</v>
      </c>
      <c r="O750" s="1" t="s">
        <v>28</v>
      </c>
      <c r="P750" s="1" t="s">
        <v>55</v>
      </c>
      <c r="Q750" s="1">
        <v>25</v>
      </c>
      <c r="R750" s="1">
        <v>25</v>
      </c>
      <c r="S750" s="1">
        <v>0</v>
      </c>
      <c r="T750" s="1">
        <v>0</v>
      </c>
      <c r="U750" s="1">
        <v>0</v>
      </c>
      <c r="V750" s="1" t="str">
        <f t="shared" si="101"/>
        <v>里程返程</v>
      </c>
      <c r="W750" s="1" t="s">
        <v>35</v>
      </c>
    </row>
    <row r="751" spans="1:23" x14ac:dyDescent="0.3">
      <c r="A751" s="1" t="str">
        <f t="shared" si="107"/>
        <v>59828</v>
      </c>
      <c r="B751" s="1" t="s">
        <v>23</v>
      </c>
      <c r="C751" s="1" t="s">
        <v>24</v>
      </c>
      <c r="D751" s="1" t="str">
        <f t="shared" si="100"/>
        <v>9801</v>
      </c>
      <c r="E751" s="1" t="s">
        <v>25</v>
      </c>
      <c r="F751" s="1" t="str">
        <f>"1107219413"</f>
        <v>1107219413</v>
      </c>
      <c r="G751" s="1" t="s">
        <v>26</v>
      </c>
      <c r="H751" s="1" t="str">
        <f t="shared" si="105"/>
        <v>20220911</v>
      </c>
      <c r="I751" s="1" t="str">
        <f>"070912"</f>
        <v>070912</v>
      </c>
      <c r="J751" s="1" t="s">
        <v>75</v>
      </c>
      <c r="K751" s="1" t="s">
        <v>45</v>
      </c>
      <c r="L751" s="1" t="str">
        <f t="shared" si="106"/>
        <v>20220911</v>
      </c>
      <c r="M751" s="1" t="str">
        <f>"072207"</f>
        <v>072207</v>
      </c>
      <c r="N751" s="1" t="s">
        <v>28</v>
      </c>
      <c r="O751" s="1" t="s">
        <v>28</v>
      </c>
      <c r="P751" s="1" t="s">
        <v>55</v>
      </c>
      <c r="Q751" s="1">
        <v>13</v>
      </c>
      <c r="R751" s="1">
        <v>13</v>
      </c>
      <c r="S751" s="1">
        <v>0</v>
      </c>
      <c r="T751" s="1">
        <v>0</v>
      </c>
      <c r="U751" s="1">
        <v>0</v>
      </c>
      <c r="V751" s="1" t="str">
        <f t="shared" si="101"/>
        <v>里程返程</v>
      </c>
      <c r="W751" s="1" t="s">
        <v>35</v>
      </c>
    </row>
    <row r="752" spans="1:23" x14ac:dyDescent="0.3">
      <c r="A752" s="1" t="str">
        <f t="shared" si="107"/>
        <v>59828</v>
      </c>
      <c r="B752" s="1" t="s">
        <v>23</v>
      </c>
      <c r="C752" s="1" t="s">
        <v>24</v>
      </c>
      <c r="D752" s="1" t="str">
        <f t="shared" si="100"/>
        <v>9801</v>
      </c>
      <c r="E752" s="1" t="s">
        <v>25</v>
      </c>
      <c r="F752" s="1" t="str">
        <f>"895868389"</f>
        <v>895868389</v>
      </c>
      <c r="G752" s="1" t="s">
        <v>33</v>
      </c>
      <c r="H752" s="1" t="str">
        <f t="shared" si="105"/>
        <v>20220911</v>
      </c>
      <c r="I752" s="1" t="str">
        <f>"071045"</f>
        <v>071045</v>
      </c>
      <c r="J752" s="1" t="s">
        <v>56</v>
      </c>
      <c r="K752" s="1" t="s">
        <v>45</v>
      </c>
      <c r="L752" s="1" t="str">
        <f t="shared" si="106"/>
        <v>20220911</v>
      </c>
      <c r="M752" s="1" t="str">
        <f>"072140"</f>
        <v>072140</v>
      </c>
      <c r="N752" s="1" t="s">
        <v>28</v>
      </c>
      <c r="O752" s="1" t="s">
        <v>28</v>
      </c>
      <c r="P752" s="1" t="s">
        <v>55</v>
      </c>
      <c r="Q752" s="1">
        <v>25</v>
      </c>
      <c r="R752" s="1">
        <v>25</v>
      </c>
      <c r="S752" s="1">
        <v>0</v>
      </c>
      <c r="T752" s="1">
        <v>0</v>
      </c>
      <c r="U752" s="1">
        <v>0</v>
      </c>
      <c r="V752" s="1" t="str">
        <f t="shared" si="101"/>
        <v>里程返程</v>
      </c>
      <c r="W752" s="1" t="s">
        <v>35</v>
      </c>
    </row>
    <row r="753" spans="1:23" x14ac:dyDescent="0.3">
      <c r="A753" s="1" t="str">
        <f t="shared" si="107"/>
        <v>59828</v>
      </c>
      <c r="B753" s="1" t="s">
        <v>23</v>
      </c>
      <c r="C753" s="1" t="s">
        <v>24</v>
      </c>
      <c r="D753" s="1" t="str">
        <f t="shared" si="100"/>
        <v>9801</v>
      </c>
      <c r="E753" s="1" t="s">
        <v>25</v>
      </c>
      <c r="F753" s="1" t="str">
        <f>"1103653621"</f>
        <v>1103653621</v>
      </c>
      <c r="G753" s="1" t="s">
        <v>38</v>
      </c>
      <c r="H753" s="1" t="str">
        <f t="shared" si="105"/>
        <v>20220911</v>
      </c>
      <c r="I753" s="1" t="str">
        <f>"071048"</f>
        <v>071048</v>
      </c>
      <c r="J753" s="1" t="s">
        <v>56</v>
      </c>
      <c r="K753" s="1" t="s">
        <v>45</v>
      </c>
      <c r="L753" s="1" t="str">
        <f t="shared" si="106"/>
        <v>20220911</v>
      </c>
      <c r="M753" s="1" t="str">
        <f>"072131"</f>
        <v>072131</v>
      </c>
      <c r="N753" s="1" t="s">
        <v>28</v>
      </c>
      <c r="O753" s="1" t="s">
        <v>28</v>
      </c>
      <c r="P753" s="1" t="s">
        <v>55</v>
      </c>
      <c r="Q753" s="1">
        <v>25</v>
      </c>
      <c r="R753" s="1">
        <v>25</v>
      </c>
      <c r="S753" s="1">
        <v>0</v>
      </c>
      <c r="T753" s="1">
        <v>0</v>
      </c>
      <c r="U753" s="1">
        <v>0</v>
      </c>
      <c r="V753" s="1" t="str">
        <f t="shared" si="101"/>
        <v>里程返程</v>
      </c>
      <c r="W753" s="1" t="s">
        <v>35</v>
      </c>
    </row>
    <row r="754" spans="1:23" x14ac:dyDescent="0.3">
      <c r="A754" s="1" t="str">
        <f t="shared" si="107"/>
        <v>59828</v>
      </c>
      <c r="B754" s="1" t="s">
        <v>23</v>
      </c>
      <c r="C754" s="1" t="s">
        <v>24</v>
      </c>
      <c r="D754" s="1" t="str">
        <f t="shared" si="100"/>
        <v>9801</v>
      </c>
      <c r="E754" s="1" t="s">
        <v>25</v>
      </c>
      <c r="F754" s="1" t="str">
        <f>"F282E40195880400C821002000000015"</f>
        <v>F282E40195880400C821002000000015</v>
      </c>
      <c r="G754" s="1" t="s">
        <v>58</v>
      </c>
      <c r="H754" s="1" t="str">
        <f t="shared" si="105"/>
        <v>20220911</v>
      </c>
      <c r="I754" s="1" t="str">
        <f>"072228"</f>
        <v>072228</v>
      </c>
      <c r="J754" s="1" t="s">
        <v>28</v>
      </c>
      <c r="K754" s="1" t="s">
        <v>28</v>
      </c>
      <c r="L754" s="1" t="str">
        <f t="shared" si="106"/>
        <v>20220911</v>
      </c>
      <c r="M754" s="1" t="str">
        <f>"074519"</f>
        <v>074519</v>
      </c>
      <c r="N754" s="1" t="s">
        <v>65</v>
      </c>
      <c r="O754" s="1" t="s">
        <v>52</v>
      </c>
      <c r="P754" s="1" t="s">
        <v>55</v>
      </c>
      <c r="Q754" s="1">
        <v>25</v>
      </c>
      <c r="R754" s="1">
        <v>0</v>
      </c>
      <c r="S754" s="1">
        <v>25</v>
      </c>
      <c r="T754" s="1">
        <v>0</v>
      </c>
      <c r="U754" s="1">
        <v>0</v>
      </c>
      <c r="V754" s="1" t="str">
        <f t="shared" si="101"/>
        <v>里程返程</v>
      </c>
      <c r="W754" s="1" t="s">
        <v>29</v>
      </c>
    </row>
    <row r="755" spans="1:23" x14ac:dyDescent="0.3">
      <c r="A755" s="1" t="str">
        <f t="shared" si="107"/>
        <v>59828</v>
      </c>
      <c r="B755" s="1" t="s">
        <v>23</v>
      </c>
      <c r="C755" s="1" t="s">
        <v>24</v>
      </c>
      <c r="D755" s="1" t="str">
        <f t="shared" si="100"/>
        <v>9801</v>
      </c>
      <c r="E755" s="1" t="s">
        <v>25</v>
      </c>
      <c r="F755" s="1" t="str">
        <f>"1673435605"</f>
        <v>1673435605</v>
      </c>
      <c r="G755" s="1" t="s">
        <v>26</v>
      </c>
      <c r="H755" s="1" t="str">
        <f t="shared" si="105"/>
        <v>20220911</v>
      </c>
      <c r="I755" s="1" t="str">
        <f>"072234"</f>
        <v>072234</v>
      </c>
      <c r="J755" s="1" t="s">
        <v>28</v>
      </c>
      <c r="K755" s="1" t="s">
        <v>28</v>
      </c>
      <c r="L755" s="1" t="str">
        <f t="shared" si="106"/>
        <v>20220911</v>
      </c>
      <c r="M755" s="1" t="str">
        <f>"075529"</f>
        <v>075529</v>
      </c>
      <c r="N755" s="1" t="s">
        <v>52</v>
      </c>
      <c r="O755" s="1" t="s">
        <v>52</v>
      </c>
      <c r="P755" s="1" t="s">
        <v>55</v>
      </c>
      <c r="Q755" s="1">
        <v>13</v>
      </c>
      <c r="R755" s="1">
        <v>0</v>
      </c>
      <c r="S755" s="1">
        <v>13</v>
      </c>
      <c r="T755" s="1">
        <v>0</v>
      </c>
      <c r="U755" s="1">
        <v>0</v>
      </c>
      <c r="V755" s="1" t="str">
        <f t="shared" si="101"/>
        <v>里程返程</v>
      </c>
      <c r="W755" s="1" t="s">
        <v>35</v>
      </c>
    </row>
    <row r="756" spans="1:23" x14ac:dyDescent="0.3">
      <c r="A756" s="1" t="str">
        <f t="shared" si="107"/>
        <v>59828</v>
      </c>
      <c r="B756" s="1" t="s">
        <v>23</v>
      </c>
      <c r="C756" s="1" t="s">
        <v>24</v>
      </c>
      <c r="D756" s="1" t="str">
        <f t="shared" si="100"/>
        <v>9801</v>
      </c>
      <c r="E756" s="1" t="s">
        <v>25</v>
      </c>
      <c r="F756" s="1" t="str">
        <f>"167398225"</f>
        <v>167398225</v>
      </c>
      <c r="G756" s="1" t="s">
        <v>33</v>
      </c>
      <c r="H756" s="1" t="str">
        <f t="shared" si="105"/>
        <v>20220911</v>
      </c>
      <c r="I756" s="1" t="str">
        <f>"124046"</f>
        <v>124046</v>
      </c>
      <c r="J756" s="1" t="s">
        <v>75</v>
      </c>
      <c r="K756" s="1" t="s">
        <v>45</v>
      </c>
      <c r="L756" s="1" t="str">
        <f t="shared" si="106"/>
        <v>20220911</v>
      </c>
      <c r="M756" s="1" t="str">
        <f>"125406"</f>
        <v>125406</v>
      </c>
      <c r="N756" s="1" t="s">
        <v>28</v>
      </c>
      <c r="O756" s="1" t="s">
        <v>28</v>
      </c>
      <c r="P756" s="1" t="s">
        <v>55</v>
      </c>
      <c r="Q756" s="1">
        <v>25</v>
      </c>
      <c r="R756" s="1">
        <v>25</v>
      </c>
      <c r="S756" s="1">
        <v>0</v>
      </c>
      <c r="T756" s="1">
        <v>0</v>
      </c>
      <c r="U756" s="1">
        <v>0</v>
      </c>
      <c r="V756" s="1" t="str">
        <f t="shared" si="101"/>
        <v>里程返程</v>
      </c>
      <c r="W756" s="1" t="s">
        <v>35</v>
      </c>
    </row>
    <row r="757" spans="1:23" x14ac:dyDescent="0.3">
      <c r="A757" s="1" t="str">
        <f t="shared" si="107"/>
        <v>59828</v>
      </c>
      <c r="B757" s="1" t="s">
        <v>23</v>
      </c>
      <c r="C757" s="1" t="s">
        <v>24</v>
      </c>
      <c r="D757" s="1" t="str">
        <f t="shared" si="100"/>
        <v>9801</v>
      </c>
      <c r="E757" s="1" t="s">
        <v>25</v>
      </c>
      <c r="F757" s="1" t="str">
        <f>"480882305"</f>
        <v>480882305</v>
      </c>
      <c r="G757" s="1" t="s">
        <v>33</v>
      </c>
      <c r="H757" s="1" t="str">
        <f t="shared" si="105"/>
        <v>20220911</v>
      </c>
      <c r="I757" s="1" t="str">
        <f>"124047"</f>
        <v>124047</v>
      </c>
      <c r="J757" s="1" t="s">
        <v>75</v>
      </c>
      <c r="K757" s="1" t="s">
        <v>45</v>
      </c>
      <c r="L757" s="1" t="str">
        <f t="shared" si="106"/>
        <v>20220911</v>
      </c>
      <c r="M757" s="1" t="str">
        <f>"125403"</f>
        <v>125403</v>
      </c>
      <c r="N757" s="1" t="s">
        <v>28</v>
      </c>
      <c r="O757" s="1" t="s">
        <v>28</v>
      </c>
      <c r="P757" s="1" t="s">
        <v>55</v>
      </c>
      <c r="Q757" s="1">
        <v>25</v>
      </c>
      <c r="R757" s="1">
        <v>25</v>
      </c>
      <c r="S757" s="1">
        <v>0</v>
      </c>
      <c r="T757" s="1">
        <v>0</v>
      </c>
      <c r="U757" s="1">
        <v>0</v>
      </c>
      <c r="V757" s="1" t="str">
        <f t="shared" si="101"/>
        <v>里程返程</v>
      </c>
      <c r="W757" s="1" t="s">
        <v>35</v>
      </c>
    </row>
    <row r="758" spans="1:23" x14ac:dyDescent="0.3">
      <c r="A758" s="1" t="str">
        <f t="shared" si="107"/>
        <v>59828</v>
      </c>
      <c r="B758" s="1" t="s">
        <v>23</v>
      </c>
      <c r="C758" s="1" t="s">
        <v>24</v>
      </c>
      <c r="D758" s="1" t="str">
        <f t="shared" si="100"/>
        <v>9801</v>
      </c>
      <c r="E758" s="1" t="s">
        <v>25</v>
      </c>
      <c r="F758" s="1" t="str">
        <f>"81507732942804001C00000000000000"</f>
        <v>81507732942804001C00000000000000</v>
      </c>
      <c r="G758" s="1" t="s">
        <v>58</v>
      </c>
      <c r="H758" s="1" t="str">
        <f t="shared" si="105"/>
        <v>20220911</v>
      </c>
      <c r="I758" s="1" t="str">
        <f>"125430"</f>
        <v>125430</v>
      </c>
      <c r="J758" s="1" t="s">
        <v>28</v>
      </c>
      <c r="K758" s="1" t="s">
        <v>28</v>
      </c>
      <c r="L758" s="1" t="str">
        <f t="shared" si="106"/>
        <v>20220911</v>
      </c>
      <c r="M758" s="1" t="str">
        <f>"130933"</f>
        <v>130933</v>
      </c>
      <c r="N758" s="1" t="s">
        <v>77</v>
      </c>
      <c r="O758" s="1" t="s">
        <v>52</v>
      </c>
      <c r="P758" s="1" t="s">
        <v>55</v>
      </c>
      <c r="Q758" s="1">
        <v>25</v>
      </c>
      <c r="R758" s="1">
        <v>25</v>
      </c>
      <c r="S758" s="1">
        <v>0</v>
      </c>
      <c r="T758" s="1">
        <v>0</v>
      </c>
      <c r="U758" s="1">
        <v>0</v>
      </c>
      <c r="V758" s="1" t="str">
        <f t="shared" si="101"/>
        <v>里程返程</v>
      </c>
      <c r="W758" s="1" t="s">
        <v>29</v>
      </c>
    </row>
    <row r="759" spans="1:23" x14ac:dyDescent="0.3">
      <c r="A759" s="1" t="str">
        <f t="shared" si="107"/>
        <v>59828</v>
      </c>
      <c r="B759" s="1" t="s">
        <v>23</v>
      </c>
      <c r="C759" s="1" t="s">
        <v>24</v>
      </c>
      <c r="D759" s="1" t="str">
        <f t="shared" si="100"/>
        <v>9801</v>
      </c>
      <c r="E759" s="1" t="s">
        <v>25</v>
      </c>
      <c r="F759" s="1" t="str">
        <f>"413125313"</f>
        <v>413125313</v>
      </c>
      <c r="G759" s="1" t="s">
        <v>33</v>
      </c>
      <c r="H759" s="1" t="str">
        <f t="shared" si="105"/>
        <v>20220911</v>
      </c>
      <c r="I759" s="1" t="str">
        <f>"125433"</f>
        <v>125433</v>
      </c>
      <c r="J759" s="1" t="s">
        <v>28</v>
      </c>
      <c r="K759" s="1" t="s">
        <v>28</v>
      </c>
      <c r="L759" s="1" t="str">
        <f t="shared" si="106"/>
        <v>20220911</v>
      </c>
      <c r="M759" s="1" t="str">
        <f>"130845"</f>
        <v>130845</v>
      </c>
      <c r="N759" s="1" t="s">
        <v>77</v>
      </c>
      <c r="O759" s="1" t="s">
        <v>52</v>
      </c>
      <c r="P759" s="1" t="s">
        <v>55</v>
      </c>
      <c r="Q759" s="1">
        <v>25</v>
      </c>
      <c r="R759" s="1">
        <v>25</v>
      </c>
      <c r="S759" s="1">
        <v>0</v>
      </c>
      <c r="T759" s="1">
        <v>0</v>
      </c>
      <c r="U759" s="1">
        <v>0</v>
      </c>
      <c r="V759" s="1" t="str">
        <f t="shared" si="101"/>
        <v>里程返程</v>
      </c>
      <c r="W759" s="1" t="s">
        <v>35</v>
      </c>
    </row>
    <row r="760" spans="1:23" x14ac:dyDescent="0.3">
      <c r="A760" s="1" t="str">
        <f t="shared" si="107"/>
        <v>59828</v>
      </c>
      <c r="B760" s="1" t="s">
        <v>23</v>
      </c>
      <c r="C760" s="1" t="s">
        <v>24</v>
      </c>
      <c r="D760" s="1" t="str">
        <f t="shared" si="100"/>
        <v>9801</v>
      </c>
      <c r="E760" s="1" t="s">
        <v>25</v>
      </c>
      <c r="F760" s="1" t="str">
        <f>"1411164465"</f>
        <v>1411164465</v>
      </c>
      <c r="G760" s="1" t="s">
        <v>26</v>
      </c>
      <c r="H760" s="1" t="str">
        <f t="shared" si="105"/>
        <v>20220911</v>
      </c>
      <c r="I760" s="1" t="str">
        <f>"125437"</f>
        <v>125437</v>
      </c>
      <c r="J760" s="1" t="s">
        <v>28</v>
      </c>
      <c r="K760" s="1" t="s">
        <v>28</v>
      </c>
      <c r="L760" s="1" t="str">
        <f t="shared" si="106"/>
        <v>20220911</v>
      </c>
      <c r="M760" s="1" t="str">
        <f>"131343"</f>
        <v>131343</v>
      </c>
      <c r="N760" s="1" t="s">
        <v>65</v>
      </c>
      <c r="O760" s="1" t="s">
        <v>52</v>
      </c>
      <c r="P760" s="1" t="s">
        <v>55</v>
      </c>
      <c r="Q760" s="1">
        <v>13</v>
      </c>
      <c r="R760" s="1">
        <v>13</v>
      </c>
      <c r="S760" s="1">
        <v>0</v>
      </c>
      <c r="T760" s="1">
        <v>0</v>
      </c>
      <c r="U760" s="1">
        <v>0</v>
      </c>
      <c r="V760" s="1" t="str">
        <f t="shared" si="101"/>
        <v>里程返程</v>
      </c>
      <c r="W760" s="1" t="s">
        <v>35</v>
      </c>
    </row>
    <row r="761" spans="1:23" x14ac:dyDescent="0.3">
      <c r="A761" s="1" t="str">
        <f t="shared" si="107"/>
        <v>59828</v>
      </c>
      <c r="B761" s="1" t="s">
        <v>23</v>
      </c>
      <c r="C761" s="1" t="s">
        <v>24</v>
      </c>
      <c r="D761" s="1" t="str">
        <f t="shared" si="100"/>
        <v>9801</v>
      </c>
      <c r="E761" s="1" t="s">
        <v>25</v>
      </c>
      <c r="F761" s="1" t="str">
        <f>"1390073105"</f>
        <v>1390073105</v>
      </c>
      <c r="G761" s="1" t="s">
        <v>26</v>
      </c>
      <c r="H761" s="1" t="str">
        <f t="shared" si="105"/>
        <v>20220911</v>
      </c>
      <c r="I761" s="1" t="str">
        <f>"125448"</f>
        <v>125448</v>
      </c>
      <c r="J761" s="1" t="s">
        <v>28</v>
      </c>
      <c r="K761" s="1" t="s">
        <v>28</v>
      </c>
      <c r="L761" s="1" t="str">
        <f t="shared" si="106"/>
        <v>20220911</v>
      </c>
      <c r="M761" s="1" t="str">
        <f>"131336"</f>
        <v>131336</v>
      </c>
      <c r="N761" s="1" t="s">
        <v>65</v>
      </c>
      <c r="O761" s="1" t="s">
        <v>52</v>
      </c>
      <c r="P761" s="1" t="s">
        <v>55</v>
      </c>
      <c r="Q761" s="1">
        <v>13</v>
      </c>
      <c r="R761" s="1">
        <v>13</v>
      </c>
      <c r="S761" s="1">
        <v>0</v>
      </c>
      <c r="T761" s="1">
        <v>0</v>
      </c>
      <c r="U761" s="1">
        <v>0</v>
      </c>
      <c r="V761" s="1" t="str">
        <f t="shared" si="101"/>
        <v>里程返程</v>
      </c>
      <c r="W761" s="1" t="s">
        <v>35</v>
      </c>
    </row>
    <row r="762" spans="1:23" x14ac:dyDescent="0.3">
      <c r="A762" s="1" t="str">
        <f t="shared" si="107"/>
        <v>59828</v>
      </c>
      <c r="B762" s="1" t="s">
        <v>23</v>
      </c>
      <c r="C762" s="1" t="s">
        <v>24</v>
      </c>
      <c r="D762" s="1" t="str">
        <f t="shared" si="100"/>
        <v>9801</v>
      </c>
      <c r="E762" s="1" t="s">
        <v>25</v>
      </c>
      <c r="F762" s="1" t="str">
        <f>"728202449"</f>
        <v>728202449</v>
      </c>
      <c r="G762" s="1" t="s">
        <v>33</v>
      </c>
      <c r="H762" s="1" t="str">
        <f t="shared" si="105"/>
        <v>20220911</v>
      </c>
      <c r="I762" s="1" t="str">
        <f>"143528"</f>
        <v>143528</v>
      </c>
      <c r="J762" s="1" t="s">
        <v>91</v>
      </c>
      <c r="K762" s="1" t="s">
        <v>45</v>
      </c>
      <c r="L762" s="1" t="str">
        <f t="shared" si="106"/>
        <v>20220911</v>
      </c>
      <c r="M762" s="1" t="str">
        <f>"144944"</f>
        <v>144944</v>
      </c>
      <c r="N762" s="1" t="s">
        <v>28</v>
      </c>
      <c r="O762" s="1" t="s">
        <v>28</v>
      </c>
      <c r="P762" s="1" t="s">
        <v>55</v>
      </c>
      <c r="Q762" s="1">
        <v>25</v>
      </c>
      <c r="R762" s="1">
        <v>25</v>
      </c>
      <c r="S762" s="1">
        <v>0</v>
      </c>
      <c r="T762" s="1">
        <v>0</v>
      </c>
      <c r="U762" s="1">
        <v>0</v>
      </c>
      <c r="V762" s="1" t="str">
        <f t="shared" si="101"/>
        <v>里程返程</v>
      </c>
      <c r="W762" s="1" t="s">
        <v>35</v>
      </c>
    </row>
    <row r="763" spans="1:23" x14ac:dyDescent="0.3">
      <c r="A763" s="1" t="str">
        <f t="shared" si="107"/>
        <v>59828</v>
      </c>
      <c r="B763" s="1" t="s">
        <v>23</v>
      </c>
      <c r="C763" s="1" t="s">
        <v>24</v>
      </c>
      <c r="D763" s="1" t="str">
        <f t="shared" si="100"/>
        <v>9801</v>
      </c>
      <c r="E763" s="1" t="s">
        <v>25</v>
      </c>
      <c r="F763" s="1" t="str">
        <f>"22AD1F0292880400C821002000000015"</f>
        <v>22AD1F0292880400C821002000000015</v>
      </c>
      <c r="G763" s="1" t="s">
        <v>59</v>
      </c>
      <c r="H763" s="1" t="str">
        <f t="shared" si="105"/>
        <v>20220911</v>
      </c>
      <c r="I763" s="1" t="str">
        <f>"154759"</f>
        <v>154759</v>
      </c>
      <c r="J763" s="1" t="s">
        <v>79</v>
      </c>
      <c r="K763" s="1" t="s">
        <v>45</v>
      </c>
      <c r="L763" s="1" t="str">
        <f t="shared" si="106"/>
        <v>20220911</v>
      </c>
      <c r="M763" s="1" t="str">
        <f>"155328"</f>
        <v>155328</v>
      </c>
      <c r="N763" s="1" t="s">
        <v>28</v>
      </c>
      <c r="O763" s="1" t="s">
        <v>28</v>
      </c>
      <c r="P763" s="1" t="s">
        <v>55</v>
      </c>
      <c r="Q763" s="1">
        <v>25</v>
      </c>
      <c r="R763" s="1">
        <v>0</v>
      </c>
      <c r="S763" s="1">
        <v>25</v>
      </c>
      <c r="T763" s="1">
        <v>0</v>
      </c>
      <c r="U763" s="1">
        <v>0</v>
      </c>
      <c r="V763" s="1" t="str">
        <f t="shared" si="101"/>
        <v>里程返程</v>
      </c>
      <c r="W763" s="1" t="s">
        <v>29</v>
      </c>
    </row>
    <row r="764" spans="1:23" x14ac:dyDescent="0.3">
      <c r="A764" s="1" t="str">
        <f t="shared" si="107"/>
        <v>59828</v>
      </c>
      <c r="B764" s="1" t="s">
        <v>23</v>
      </c>
      <c r="C764" s="1" t="s">
        <v>24</v>
      </c>
      <c r="D764" s="1" t="str">
        <f t="shared" si="100"/>
        <v>9801</v>
      </c>
      <c r="E764" s="1" t="s">
        <v>25</v>
      </c>
      <c r="F764" s="1" t="str">
        <f>"1682184773"</f>
        <v>1682184773</v>
      </c>
      <c r="G764" s="1" t="s">
        <v>38</v>
      </c>
      <c r="H764" s="1" t="str">
        <f t="shared" si="105"/>
        <v>20220911</v>
      </c>
      <c r="I764" s="1" t="str">
        <f>"155358"</f>
        <v>155358</v>
      </c>
      <c r="J764" s="1" t="s">
        <v>28</v>
      </c>
      <c r="K764" s="1" t="s">
        <v>28</v>
      </c>
      <c r="L764" s="1" t="str">
        <f t="shared" si="106"/>
        <v>20220911</v>
      </c>
      <c r="M764" s="1" t="str">
        <f>"161919"</f>
        <v>161919</v>
      </c>
      <c r="N764" s="1" t="s">
        <v>60</v>
      </c>
      <c r="O764" s="1" t="s">
        <v>52</v>
      </c>
      <c r="P764" s="1" t="s">
        <v>55</v>
      </c>
      <c r="Q764" s="1">
        <v>25</v>
      </c>
      <c r="R764" s="1">
        <v>25</v>
      </c>
      <c r="S764" s="1">
        <v>0</v>
      </c>
      <c r="T764" s="1">
        <v>0</v>
      </c>
      <c r="U764" s="1">
        <v>0</v>
      </c>
      <c r="V764" s="1" t="str">
        <f t="shared" si="101"/>
        <v>里程返程</v>
      </c>
      <c r="W764" s="1" t="s">
        <v>35</v>
      </c>
    </row>
    <row r="765" spans="1:23" x14ac:dyDescent="0.3">
      <c r="A765" s="1" t="str">
        <f t="shared" si="107"/>
        <v>59828</v>
      </c>
      <c r="B765" s="1" t="s">
        <v>23</v>
      </c>
      <c r="C765" s="1" t="s">
        <v>24</v>
      </c>
      <c r="D765" s="1" t="str">
        <f t="shared" si="100"/>
        <v>9801</v>
      </c>
      <c r="E765" s="1" t="s">
        <v>25</v>
      </c>
      <c r="F765" s="1" t="str">
        <f>"845046F96B880400C819002000000021"</f>
        <v>845046F96B880400C819002000000021</v>
      </c>
      <c r="G765" s="1" t="s">
        <v>58</v>
      </c>
      <c r="H765" s="1" t="str">
        <f t="shared" si="105"/>
        <v>20220911</v>
      </c>
      <c r="I765" s="1" t="str">
        <f>"155405"</f>
        <v>155405</v>
      </c>
      <c r="J765" s="1" t="s">
        <v>28</v>
      </c>
      <c r="K765" s="1" t="s">
        <v>28</v>
      </c>
      <c r="L765" s="1" t="str">
        <f t="shared" si="106"/>
        <v>20220911</v>
      </c>
      <c r="M765" s="1" t="str">
        <f>"160212"</f>
        <v>160212</v>
      </c>
      <c r="N765" s="1" t="s">
        <v>83</v>
      </c>
      <c r="O765" s="1" t="s">
        <v>52</v>
      </c>
      <c r="P765" s="1" t="s">
        <v>55</v>
      </c>
      <c r="Q765" s="1">
        <v>25</v>
      </c>
      <c r="R765" s="1">
        <v>0</v>
      </c>
      <c r="S765" s="1">
        <v>25</v>
      </c>
      <c r="T765" s="1">
        <v>0</v>
      </c>
      <c r="U765" s="1">
        <v>0</v>
      </c>
      <c r="V765" s="1" t="str">
        <f t="shared" si="101"/>
        <v>里程返程</v>
      </c>
      <c r="W765" s="1" t="s">
        <v>29</v>
      </c>
    </row>
    <row r="766" spans="1:23" x14ac:dyDescent="0.3">
      <c r="A766" s="1" t="str">
        <f t="shared" si="107"/>
        <v>59828</v>
      </c>
      <c r="B766" s="1" t="s">
        <v>23</v>
      </c>
      <c r="C766" s="1" t="s">
        <v>24</v>
      </c>
      <c r="D766" s="1" t="str">
        <f t="shared" si="100"/>
        <v>9801</v>
      </c>
      <c r="E766" s="1" t="s">
        <v>25</v>
      </c>
      <c r="F766" s="1" t="str">
        <f>"750900977"</f>
        <v>750900977</v>
      </c>
      <c r="G766" s="1" t="s">
        <v>33</v>
      </c>
      <c r="H766" s="1" t="str">
        <f t="shared" si="105"/>
        <v>20220911</v>
      </c>
      <c r="I766" s="1" t="str">
        <f>"162448"</f>
        <v>162448</v>
      </c>
      <c r="J766" s="1" t="s">
        <v>44</v>
      </c>
      <c r="K766" s="1" t="s">
        <v>45</v>
      </c>
      <c r="L766" s="1" t="str">
        <f t="shared" si="106"/>
        <v>20220911</v>
      </c>
      <c r="M766" s="1" t="str">
        <f>"165025"</f>
        <v>165025</v>
      </c>
      <c r="N766" s="1" t="s">
        <v>28</v>
      </c>
      <c r="O766" s="1" t="s">
        <v>28</v>
      </c>
      <c r="P766" s="1" t="s">
        <v>55</v>
      </c>
      <c r="Q766" s="1">
        <v>25</v>
      </c>
      <c r="R766" s="1">
        <v>0</v>
      </c>
      <c r="S766" s="1">
        <v>25</v>
      </c>
      <c r="T766" s="1">
        <v>0</v>
      </c>
      <c r="U766" s="1">
        <v>0</v>
      </c>
      <c r="V766" s="1" t="str">
        <f t="shared" si="101"/>
        <v>里程返程</v>
      </c>
      <c r="W766" s="1" t="s">
        <v>35</v>
      </c>
    </row>
    <row r="767" spans="1:23" x14ac:dyDescent="0.3">
      <c r="A767" s="1" t="str">
        <f t="shared" si="107"/>
        <v>59828</v>
      </c>
      <c r="B767" s="1" t="s">
        <v>23</v>
      </c>
      <c r="C767" s="1" t="s">
        <v>24</v>
      </c>
      <c r="D767" s="1" t="str">
        <f t="shared" si="100"/>
        <v>9801</v>
      </c>
      <c r="E767" s="1" t="s">
        <v>25</v>
      </c>
      <c r="F767" s="1" t="str">
        <f>"1078620565"</f>
        <v>1078620565</v>
      </c>
      <c r="G767" s="1" t="s">
        <v>33</v>
      </c>
      <c r="H767" s="1" t="str">
        <f t="shared" si="105"/>
        <v>20220911</v>
      </c>
      <c r="I767" s="1" t="str">
        <f>"162453"</f>
        <v>162453</v>
      </c>
      <c r="J767" s="1" t="s">
        <v>44</v>
      </c>
      <c r="K767" s="1" t="s">
        <v>45</v>
      </c>
      <c r="L767" s="1" t="str">
        <f t="shared" si="106"/>
        <v>20220911</v>
      </c>
      <c r="M767" s="1" t="str">
        <f>"165021"</f>
        <v>165021</v>
      </c>
      <c r="N767" s="1" t="s">
        <v>28</v>
      </c>
      <c r="O767" s="1" t="s">
        <v>28</v>
      </c>
      <c r="P767" s="1" t="s">
        <v>55</v>
      </c>
      <c r="Q767" s="1">
        <v>25</v>
      </c>
      <c r="R767" s="1">
        <v>25</v>
      </c>
      <c r="S767" s="1">
        <v>0</v>
      </c>
      <c r="T767" s="1">
        <v>0</v>
      </c>
      <c r="U767" s="1">
        <v>0</v>
      </c>
      <c r="V767" s="1" t="str">
        <f t="shared" si="101"/>
        <v>里程返程</v>
      </c>
      <c r="W767" s="1" t="s">
        <v>35</v>
      </c>
    </row>
    <row r="768" spans="1:23" x14ac:dyDescent="0.3">
      <c r="A768" s="1" t="str">
        <f t="shared" si="107"/>
        <v>59828</v>
      </c>
      <c r="B768" s="1" t="s">
        <v>23</v>
      </c>
      <c r="C768" s="1" t="s">
        <v>24</v>
      </c>
      <c r="D768" s="1" t="str">
        <f t="shared" si="100"/>
        <v>9801</v>
      </c>
      <c r="E768" s="1" t="s">
        <v>25</v>
      </c>
      <c r="F768" s="1" t="str">
        <f>"15081F9D9F8804004327C06900160B07"</f>
        <v>15081F9D9F8804004327C06900160B07</v>
      </c>
      <c r="G768" s="1" t="s">
        <v>58</v>
      </c>
      <c r="H768" s="1" t="str">
        <f t="shared" si="105"/>
        <v>20220911</v>
      </c>
      <c r="I768" s="1" t="str">
        <f>"162457"</f>
        <v>162457</v>
      </c>
      <c r="J768" s="1" t="s">
        <v>44</v>
      </c>
      <c r="K768" s="1" t="s">
        <v>45</v>
      </c>
      <c r="L768" s="1" t="str">
        <f t="shared" si="106"/>
        <v>20220911</v>
      </c>
      <c r="M768" s="1" t="str">
        <f>"165045"</f>
        <v>165045</v>
      </c>
      <c r="N768" s="1" t="s">
        <v>28</v>
      </c>
      <c r="O768" s="1" t="s">
        <v>28</v>
      </c>
      <c r="P768" s="1" t="s">
        <v>55</v>
      </c>
      <c r="Q768" s="1">
        <v>25</v>
      </c>
      <c r="R768" s="1">
        <v>0</v>
      </c>
      <c r="S768" s="1">
        <v>25</v>
      </c>
      <c r="T768" s="1">
        <v>0</v>
      </c>
      <c r="U768" s="1">
        <v>0</v>
      </c>
      <c r="V768" s="1" t="str">
        <f t="shared" si="101"/>
        <v>里程返程</v>
      </c>
      <c r="W768" s="1" t="s">
        <v>29</v>
      </c>
    </row>
    <row r="769" spans="1:23" x14ac:dyDescent="0.3">
      <c r="A769" s="1" t="str">
        <f t="shared" si="107"/>
        <v>59828</v>
      </c>
      <c r="B769" s="1" t="s">
        <v>23</v>
      </c>
      <c r="C769" s="1" t="s">
        <v>24</v>
      </c>
      <c r="D769" s="1" t="str">
        <f t="shared" si="100"/>
        <v>9801</v>
      </c>
      <c r="E769" s="1" t="s">
        <v>25</v>
      </c>
      <c r="F769" s="1" t="str">
        <f>"1ABEA75B58880400C18514D041604512"</f>
        <v>1ABEA75B58880400C18514D041604512</v>
      </c>
      <c r="G769" s="1" t="s">
        <v>58</v>
      </c>
      <c r="H769" s="1" t="str">
        <f t="shared" si="105"/>
        <v>20220911</v>
      </c>
      <c r="I769" s="1" t="str">
        <f>"162502"</f>
        <v>162502</v>
      </c>
      <c r="J769" s="1" t="s">
        <v>44</v>
      </c>
      <c r="K769" s="1" t="s">
        <v>45</v>
      </c>
      <c r="L769" s="1" t="str">
        <f t="shared" si="106"/>
        <v>20220911</v>
      </c>
      <c r="M769" s="1" t="str">
        <f>"165059"</f>
        <v>165059</v>
      </c>
      <c r="N769" s="1" t="s">
        <v>28</v>
      </c>
      <c r="O769" s="1" t="s">
        <v>28</v>
      </c>
      <c r="P769" s="1" t="s">
        <v>55</v>
      </c>
      <c r="Q769" s="1">
        <v>25</v>
      </c>
      <c r="R769" s="1">
        <v>25</v>
      </c>
      <c r="S769" s="1">
        <v>0</v>
      </c>
      <c r="T769" s="1">
        <v>0</v>
      </c>
      <c r="U769" s="1">
        <v>0</v>
      </c>
      <c r="V769" s="1" t="str">
        <f t="shared" si="101"/>
        <v>里程返程</v>
      </c>
      <c r="W769" s="1" t="s">
        <v>29</v>
      </c>
    </row>
    <row r="770" spans="1:23" x14ac:dyDescent="0.3">
      <c r="A770" s="1" t="str">
        <f t="shared" si="107"/>
        <v>59828</v>
      </c>
      <c r="B770" s="1" t="s">
        <v>23</v>
      </c>
      <c r="C770" s="1" t="s">
        <v>24</v>
      </c>
      <c r="D770" s="1" t="str">
        <f t="shared" ref="D770:D833" si="108">"9801"</f>
        <v>9801</v>
      </c>
      <c r="E770" s="1" t="s">
        <v>25</v>
      </c>
      <c r="F770" s="1" t="str">
        <f>"1222216849"</f>
        <v>1222216849</v>
      </c>
      <c r="G770" s="1" t="s">
        <v>33</v>
      </c>
      <c r="H770" s="1" t="str">
        <f t="shared" si="105"/>
        <v>20220911</v>
      </c>
      <c r="I770" s="1" t="str">
        <f>"162508"</f>
        <v>162508</v>
      </c>
      <c r="J770" s="1" t="s">
        <v>44</v>
      </c>
      <c r="K770" s="1" t="s">
        <v>45</v>
      </c>
      <c r="L770" s="1" t="str">
        <f t="shared" si="106"/>
        <v>20220911</v>
      </c>
      <c r="M770" s="1" t="str">
        <f>"165057"</f>
        <v>165057</v>
      </c>
      <c r="N770" s="1" t="s">
        <v>28</v>
      </c>
      <c r="O770" s="1" t="s">
        <v>28</v>
      </c>
      <c r="P770" s="1" t="s">
        <v>55</v>
      </c>
      <c r="Q770" s="1">
        <v>25</v>
      </c>
      <c r="R770" s="1">
        <v>25</v>
      </c>
      <c r="S770" s="1">
        <v>0</v>
      </c>
      <c r="T770" s="1">
        <v>0</v>
      </c>
      <c r="U770" s="1">
        <v>0</v>
      </c>
      <c r="V770" s="1" t="str">
        <f t="shared" ref="V770:V833" si="109">"里程返程"</f>
        <v>里程返程</v>
      </c>
      <c r="W770" s="1" t="s">
        <v>35</v>
      </c>
    </row>
    <row r="771" spans="1:23" x14ac:dyDescent="0.3">
      <c r="A771" s="1" t="str">
        <f t="shared" si="107"/>
        <v>59828</v>
      </c>
      <c r="B771" s="1" t="s">
        <v>23</v>
      </c>
      <c r="C771" s="1" t="s">
        <v>24</v>
      </c>
      <c r="D771" s="1" t="str">
        <f t="shared" si="108"/>
        <v>9801</v>
      </c>
      <c r="E771" s="1" t="s">
        <v>25</v>
      </c>
      <c r="F771" s="1" t="str">
        <f>"886055601"</f>
        <v>886055601</v>
      </c>
      <c r="G771" s="1" t="s">
        <v>33</v>
      </c>
      <c r="H771" s="1" t="str">
        <f t="shared" si="105"/>
        <v>20220911</v>
      </c>
      <c r="I771" s="1" t="str">
        <f>"162548"</f>
        <v>162548</v>
      </c>
      <c r="J771" s="1" t="s">
        <v>44</v>
      </c>
      <c r="K771" s="1" t="s">
        <v>45</v>
      </c>
      <c r="L771" s="1" t="str">
        <f t="shared" si="106"/>
        <v>20220911</v>
      </c>
      <c r="M771" s="1" t="str">
        <f>"165037"</f>
        <v>165037</v>
      </c>
      <c r="N771" s="1" t="s">
        <v>28</v>
      </c>
      <c r="O771" s="1" t="s">
        <v>28</v>
      </c>
      <c r="P771" s="1" t="s">
        <v>55</v>
      </c>
      <c r="Q771" s="1">
        <v>25</v>
      </c>
      <c r="R771" s="1">
        <v>0</v>
      </c>
      <c r="S771" s="1">
        <v>25</v>
      </c>
      <c r="T771" s="1">
        <v>0</v>
      </c>
      <c r="U771" s="1">
        <v>0</v>
      </c>
      <c r="V771" s="1" t="str">
        <f t="shared" si="109"/>
        <v>里程返程</v>
      </c>
      <c r="W771" s="1" t="s">
        <v>35</v>
      </c>
    </row>
    <row r="772" spans="1:23" x14ac:dyDescent="0.3">
      <c r="A772" s="1" t="str">
        <f t="shared" si="107"/>
        <v>59828</v>
      </c>
      <c r="B772" s="1" t="s">
        <v>23</v>
      </c>
      <c r="C772" s="1" t="s">
        <v>24</v>
      </c>
      <c r="D772" s="1" t="str">
        <f t="shared" si="108"/>
        <v>9801</v>
      </c>
      <c r="E772" s="1" t="s">
        <v>25</v>
      </c>
      <c r="F772" s="1" t="str">
        <f>"1604300917"</f>
        <v>1604300917</v>
      </c>
      <c r="G772" s="1" t="s">
        <v>33</v>
      </c>
      <c r="H772" s="1" t="str">
        <f t="shared" ref="H772:H781" si="110">"20220911"</f>
        <v>20220911</v>
      </c>
      <c r="I772" s="1" t="str">
        <f>"162633"</f>
        <v>162633</v>
      </c>
      <c r="J772" s="1" t="s">
        <v>44</v>
      </c>
      <c r="K772" s="1" t="s">
        <v>45</v>
      </c>
      <c r="L772" s="1" t="str">
        <f t="shared" ref="L772:L781" si="111">"20220911"</f>
        <v>20220911</v>
      </c>
      <c r="M772" s="1" t="str">
        <f>"165050"</f>
        <v>165050</v>
      </c>
      <c r="N772" s="1" t="s">
        <v>28</v>
      </c>
      <c r="O772" s="1" t="s">
        <v>28</v>
      </c>
      <c r="P772" s="1" t="s">
        <v>55</v>
      </c>
      <c r="Q772" s="1">
        <v>25</v>
      </c>
      <c r="R772" s="1">
        <v>25</v>
      </c>
      <c r="S772" s="1">
        <v>0</v>
      </c>
      <c r="T772" s="1">
        <v>0</v>
      </c>
      <c r="U772" s="1">
        <v>0</v>
      </c>
      <c r="V772" s="1" t="str">
        <f t="shared" si="109"/>
        <v>里程返程</v>
      </c>
      <c r="W772" s="1" t="s">
        <v>35</v>
      </c>
    </row>
    <row r="773" spans="1:23" x14ac:dyDescent="0.3">
      <c r="A773" s="1" t="str">
        <f t="shared" si="107"/>
        <v>59828</v>
      </c>
      <c r="B773" s="1" t="s">
        <v>23</v>
      </c>
      <c r="C773" s="1" t="s">
        <v>24</v>
      </c>
      <c r="D773" s="1" t="str">
        <f t="shared" si="108"/>
        <v>9801</v>
      </c>
      <c r="E773" s="1" t="s">
        <v>25</v>
      </c>
      <c r="F773" s="1" t="str">
        <f>"1259605061"</f>
        <v>1259605061</v>
      </c>
      <c r="G773" s="1" t="s">
        <v>33</v>
      </c>
      <c r="H773" s="1" t="str">
        <f t="shared" si="110"/>
        <v>20220911</v>
      </c>
      <c r="I773" s="1" t="str">
        <f>"162637"</f>
        <v>162637</v>
      </c>
      <c r="J773" s="1" t="s">
        <v>44</v>
      </c>
      <c r="K773" s="1" t="s">
        <v>45</v>
      </c>
      <c r="L773" s="1" t="str">
        <f t="shared" si="111"/>
        <v>20220911</v>
      </c>
      <c r="M773" s="1" t="str">
        <f>"165048"</f>
        <v>165048</v>
      </c>
      <c r="N773" s="1" t="s">
        <v>28</v>
      </c>
      <c r="O773" s="1" t="s">
        <v>28</v>
      </c>
      <c r="P773" s="1" t="s">
        <v>55</v>
      </c>
      <c r="Q773" s="1">
        <v>25</v>
      </c>
      <c r="R773" s="1">
        <v>25</v>
      </c>
      <c r="S773" s="1">
        <v>0</v>
      </c>
      <c r="T773" s="1">
        <v>0</v>
      </c>
      <c r="U773" s="1">
        <v>0</v>
      </c>
      <c r="V773" s="1" t="str">
        <f t="shared" si="109"/>
        <v>里程返程</v>
      </c>
      <c r="W773" s="1" t="s">
        <v>35</v>
      </c>
    </row>
    <row r="774" spans="1:23" x14ac:dyDescent="0.3">
      <c r="A774" s="1" t="str">
        <f t="shared" si="107"/>
        <v>59828</v>
      </c>
      <c r="B774" s="1" t="s">
        <v>23</v>
      </c>
      <c r="C774" s="1" t="s">
        <v>24</v>
      </c>
      <c r="D774" s="1" t="str">
        <f t="shared" si="108"/>
        <v>9801</v>
      </c>
      <c r="E774" s="1" t="s">
        <v>25</v>
      </c>
      <c r="F774" s="1" t="str">
        <f>"223110645"</f>
        <v>223110645</v>
      </c>
      <c r="G774" s="1" t="s">
        <v>33</v>
      </c>
      <c r="H774" s="1" t="str">
        <f t="shared" si="110"/>
        <v>20220911</v>
      </c>
      <c r="I774" s="1" t="str">
        <f>"163806"</f>
        <v>163806</v>
      </c>
      <c r="J774" s="1" t="s">
        <v>75</v>
      </c>
      <c r="K774" s="1" t="s">
        <v>45</v>
      </c>
      <c r="L774" s="1" t="str">
        <f t="shared" si="111"/>
        <v>20220911</v>
      </c>
      <c r="M774" s="1" t="str">
        <f>"165005"</f>
        <v>165005</v>
      </c>
      <c r="N774" s="1" t="s">
        <v>28</v>
      </c>
      <c r="O774" s="1" t="s">
        <v>28</v>
      </c>
      <c r="P774" s="1" t="s">
        <v>55</v>
      </c>
      <c r="Q774" s="1">
        <v>25</v>
      </c>
      <c r="R774" s="1">
        <v>25</v>
      </c>
      <c r="S774" s="1">
        <v>0</v>
      </c>
      <c r="T774" s="1">
        <v>0</v>
      </c>
      <c r="U774" s="1">
        <v>0</v>
      </c>
      <c r="V774" s="1" t="str">
        <f t="shared" si="109"/>
        <v>里程返程</v>
      </c>
      <c r="W774" s="1" t="s">
        <v>35</v>
      </c>
    </row>
    <row r="775" spans="1:23" x14ac:dyDescent="0.3">
      <c r="A775" s="1" t="str">
        <f t="shared" si="107"/>
        <v>59828</v>
      </c>
      <c r="B775" s="1" t="s">
        <v>23</v>
      </c>
      <c r="C775" s="1" t="s">
        <v>24</v>
      </c>
      <c r="D775" s="1" t="str">
        <f t="shared" si="108"/>
        <v>9801</v>
      </c>
      <c r="E775" s="1" t="s">
        <v>25</v>
      </c>
      <c r="F775" s="1" t="str">
        <f>"D2F98418B7880400C819002000000019"</f>
        <v>D2F98418B7880400C819002000000019</v>
      </c>
      <c r="G775" s="1" t="s">
        <v>59</v>
      </c>
      <c r="H775" s="1" t="str">
        <f t="shared" si="110"/>
        <v>20220911</v>
      </c>
      <c r="I775" s="1" t="str">
        <f>"164014"</f>
        <v>164014</v>
      </c>
      <c r="J775" s="1" t="s">
        <v>56</v>
      </c>
      <c r="K775" s="1" t="s">
        <v>45</v>
      </c>
      <c r="L775" s="1" t="str">
        <f t="shared" si="111"/>
        <v>20220911</v>
      </c>
      <c r="M775" s="1" t="str">
        <f>"165030"</f>
        <v>165030</v>
      </c>
      <c r="N775" s="1" t="s">
        <v>28</v>
      </c>
      <c r="O775" s="1" t="s">
        <v>28</v>
      </c>
      <c r="P775" s="1" t="s">
        <v>55</v>
      </c>
      <c r="Q775" s="1">
        <v>25</v>
      </c>
      <c r="R775" s="1">
        <v>0</v>
      </c>
      <c r="S775" s="1">
        <v>25</v>
      </c>
      <c r="T775" s="1">
        <v>0</v>
      </c>
      <c r="U775" s="1">
        <v>0</v>
      </c>
      <c r="V775" s="1" t="str">
        <f t="shared" si="109"/>
        <v>里程返程</v>
      </c>
      <c r="W775" s="1" t="s">
        <v>29</v>
      </c>
    </row>
    <row r="776" spans="1:23" x14ac:dyDescent="0.3">
      <c r="A776" s="1" t="str">
        <f t="shared" si="107"/>
        <v>59828</v>
      </c>
      <c r="B776" s="1" t="s">
        <v>23</v>
      </c>
      <c r="C776" s="1" t="s">
        <v>24</v>
      </c>
      <c r="D776" s="1" t="str">
        <f t="shared" si="108"/>
        <v>9801</v>
      </c>
      <c r="E776" s="1" t="s">
        <v>25</v>
      </c>
      <c r="F776" s="1" t="str">
        <f>"654342757"</f>
        <v>654342757</v>
      </c>
      <c r="G776" s="1" t="s">
        <v>33</v>
      </c>
      <c r="H776" s="1" t="str">
        <f t="shared" si="110"/>
        <v>20220911</v>
      </c>
      <c r="I776" s="1" t="str">
        <f>"164016"</f>
        <v>164016</v>
      </c>
      <c r="J776" s="1" t="s">
        <v>56</v>
      </c>
      <c r="K776" s="1" t="s">
        <v>45</v>
      </c>
      <c r="L776" s="1" t="str">
        <f t="shared" si="111"/>
        <v>20220911</v>
      </c>
      <c r="M776" s="1" t="str">
        <f>"165027"</f>
        <v>165027</v>
      </c>
      <c r="N776" s="1" t="s">
        <v>28</v>
      </c>
      <c r="O776" s="1" t="s">
        <v>28</v>
      </c>
      <c r="P776" s="1" t="s">
        <v>55</v>
      </c>
      <c r="Q776" s="1">
        <v>25</v>
      </c>
      <c r="R776" s="1">
        <v>0</v>
      </c>
      <c r="S776" s="1">
        <v>25</v>
      </c>
      <c r="T776" s="1">
        <v>0</v>
      </c>
      <c r="U776" s="1">
        <v>0</v>
      </c>
      <c r="V776" s="1" t="str">
        <f t="shared" si="109"/>
        <v>里程返程</v>
      </c>
      <c r="W776" s="1" t="s">
        <v>35</v>
      </c>
    </row>
    <row r="777" spans="1:23" x14ac:dyDescent="0.3">
      <c r="A777" s="1" t="str">
        <f t="shared" si="107"/>
        <v>59828</v>
      </c>
      <c r="B777" s="1" t="s">
        <v>23</v>
      </c>
      <c r="C777" s="1" t="s">
        <v>24</v>
      </c>
      <c r="D777" s="1" t="str">
        <f t="shared" si="108"/>
        <v>9801</v>
      </c>
      <c r="E777" s="1" t="s">
        <v>25</v>
      </c>
      <c r="F777" s="1" t="str">
        <f>"724AA11881880400C819002000000019"</f>
        <v>724AA11881880400C819002000000019</v>
      </c>
      <c r="G777" s="1" t="s">
        <v>59</v>
      </c>
      <c r="H777" s="1" t="str">
        <f t="shared" si="110"/>
        <v>20220911</v>
      </c>
      <c r="I777" s="1" t="str">
        <f>"164018"</f>
        <v>164018</v>
      </c>
      <c r="J777" s="1" t="s">
        <v>56</v>
      </c>
      <c r="K777" s="1" t="s">
        <v>45</v>
      </c>
      <c r="L777" s="1" t="str">
        <f t="shared" si="111"/>
        <v>20220911</v>
      </c>
      <c r="M777" s="1" t="str">
        <f>"165040"</f>
        <v>165040</v>
      </c>
      <c r="N777" s="1" t="s">
        <v>28</v>
      </c>
      <c r="O777" s="1" t="s">
        <v>28</v>
      </c>
      <c r="P777" s="1" t="s">
        <v>55</v>
      </c>
      <c r="Q777" s="1">
        <v>25</v>
      </c>
      <c r="R777" s="1">
        <v>0</v>
      </c>
      <c r="S777" s="1">
        <v>25</v>
      </c>
      <c r="T777" s="1">
        <v>0</v>
      </c>
      <c r="U777" s="1">
        <v>0</v>
      </c>
      <c r="V777" s="1" t="str">
        <f t="shared" si="109"/>
        <v>里程返程</v>
      </c>
      <c r="W777" s="1" t="s">
        <v>29</v>
      </c>
    </row>
    <row r="778" spans="1:23" x14ac:dyDescent="0.3">
      <c r="A778" s="1" t="str">
        <f t="shared" si="107"/>
        <v>59828</v>
      </c>
      <c r="B778" s="1" t="s">
        <v>23</v>
      </c>
      <c r="C778" s="1" t="s">
        <v>24</v>
      </c>
      <c r="D778" s="1" t="str">
        <f t="shared" si="108"/>
        <v>9801</v>
      </c>
      <c r="E778" s="1" t="s">
        <v>25</v>
      </c>
      <c r="F778" s="1" t="str">
        <f>"926ADE193F880400C824002000000020"</f>
        <v>926ADE193F880400C824002000000020</v>
      </c>
      <c r="G778" s="1" t="s">
        <v>58</v>
      </c>
      <c r="H778" s="1" t="str">
        <f t="shared" si="110"/>
        <v>20220911</v>
      </c>
      <c r="I778" s="1" t="str">
        <f>"164023"</f>
        <v>164023</v>
      </c>
      <c r="J778" s="1" t="s">
        <v>56</v>
      </c>
      <c r="K778" s="1" t="s">
        <v>45</v>
      </c>
      <c r="L778" s="1" t="str">
        <f t="shared" si="111"/>
        <v>20220911</v>
      </c>
      <c r="M778" s="1" t="str">
        <f>"165043"</f>
        <v>165043</v>
      </c>
      <c r="N778" s="1" t="s">
        <v>28</v>
      </c>
      <c r="O778" s="1" t="s">
        <v>28</v>
      </c>
      <c r="P778" s="1" t="s">
        <v>55</v>
      </c>
      <c r="Q778" s="1">
        <v>25</v>
      </c>
      <c r="R778" s="1">
        <v>0</v>
      </c>
      <c r="S778" s="1">
        <v>25</v>
      </c>
      <c r="T778" s="1">
        <v>0</v>
      </c>
      <c r="U778" s="1">
        <v>0</v>
      </c>
      <c r="V778" s="1" t="str">
        <f t="shared" si="109"/>
        <v>里程返程</v>
      </c>
      <c r="W778" s="1" t="s">
        <v>29</v>
      </c>
    </row>
    <row r="779" spans="1:23" x14ac:dyDescent="0.3">
      <c r="A779" s="1" t="str">
        <f t="shared" si="107"/>
        <v>59828</v>
      </c>
      <c r="B779" s="1" t="s">
        <v>23</v>
      </c>
      <c r="C779" s="1" t="s">
        <v>24</v>
      </c>
      <c r="D779" s="1" t="str">
        <f t="shared" si="108"/>
        <v>9801</v>
      </c>
      <c r="E779" s="1" t="s">
        <v>25</v>
      </c>
      <c r="F779" s="1" t="str">
        <f>"1100600117"</f>
        <v>1100600117</v>
      </c>
      <c r="G779" s="1" t="s">
        <v>38</v>
      </c>
      <c r="H779" s="1" t="str">
        <f t="shared" si="110"/>
        <v>20220911</v>
      </c>
      <c r="I779" s="1" t="str">
        <f>"165115"</f>
        <v>165115</v>
      </c>
      <c r="J779" s="1" t="s">
        <v>28</v>
      </c>
      <c r="K779" s="1" t="s">
        <v>28</v>
      </c>
      <c r="L779" s="1" t="str">
        <f t="shared" si="111"/>
        <v>20220911</v>
      </c>
      <c r="M779" s="1" t="str">
        <f>"171048"</f>
        <v>171048</v>
      </c>
      <c r="N779" s="1" t="s">
        <v>80</v>
      </c>
      <c r="O779" s="1" t="s">
        <v>52</v>
      </c>
      <c r="P779" s="1" t="s">
        <v>55</v>
      </c>
      <c r="Q779" s="1">
        <v>25</v>
      </c>
      <c r="R779" s="1">
        <v>25</v>
      </c>
      <c r="S779" s="1">
        <v>0</v>
      </c>
      <c r="T779" s="1">
        <v>0</v>
      </c>
      <c r="U779" s="1">
        <v>0</v>
      </c>
      <c r="V779" s="1" t="str">
        <f t="shared" si="109"/>
        <v>里程返程</v>
      </c>
      <c r="W779" s="1" t="s">
        <v>35</v>
      </c>
    </row>
    <row r="780" spans="1:23" x14ac:dyDescent="0.3">
      <c r="A780" s="1" t="str">
        <f t="shared" si="107"/>
        <v>59828</v>
      </c>
      <c r="B780" s="1" t="s">
        <v>23</v>
      </c>
      <c r="C780" s="1" t="s">
        <v>24</v>
      </c>
      <c r="D780" s="1" t="str">
        <f t="shared" si="108"/>
        <v>9801</v>
      </c>
      <c r="E780" s="1" t="s">
        <v>25</v>
      </c>
      <c r="F780" s="1" t="str">
        <f>"704612177"</f>
        <v>704612177</v>
      </c>
      <c r="G780" s="1" t="s">
        <v>33</v>
      </c>
      <c r="H780" s="1" t="str">
        <f t="shared" si="110"/>
        <v>20220911</v>
      </c>
      <c r="I780" s="1" t="str">
        <f>"165353"</f>
        <v>165353</v>
      </c>
      <c r="J780" s="1" t="s">
        <v>28</v>
      </c>
      <c r="K780" s="1" t="s">
        <v>28</v>
      </c>
      <c r="L780" s="1" t="str">
        <f t="shared" si="111"/>
        <v>20220911</v>
      </c>
      <c r="M780" s="1" t="str">
        <f>"172552"</f>
        <v>172552</v>
      </c>
      <c r="N780" s="1" t="s">
        <v>52</v>
      </c>
      <c r="O780" s="1" t="s">
        <v>52</v>
      </c>
      <c r="P780" s="1" t="s">
        <v>55</v>
      </c>
      <c r="Q780" s="1">
        <v>25</v>
      </c>
      <c r="R780" s="1">
        <v>25</v>
      </c>
      <c r="S780" s="1">
        <v>0</v>
      </c>
      <c r="T780" s="1">
        <v>0</v>
      </c>
      <c r="U780" s="1">
        <v>0</v>
      </c>
      <c r="V780" s="1" t="str">
        <f t="shared" si="109"/>
        <v>里程返程</v>
      </c>
      <c r="W780" s="1" t="s">
        <v>35</v>
      </c>
    </row>
    <row r="781" spans="1:23" x14ac:dyDescent="0.3">
      <c r="A781" s="1" t="str">
        <f t="shared" si="107"/>
        <v>59828</v>
      </c>
      <c r="B781" s="1" t="s">
        <v>23</v>
      </c>
      <c r="C781" s="1" t="s">
        <v>24</v>
      </c>
      <c r="D781" s="1" t="str">
        <f t="shared" si="108"/>
        <v>9801</v>
      </c>
      <c r="E781" s="1" t="s">
        <v>25</v>
      </c>
      <c r="F781" s="1" t="str">
        <f>"9517171007192775"</f>
        <v>9517171007192775</v>
      </c>
      <c r="G781" s="1" t="s">
        <v>33</v>
      </c>
      <c r="H781" s="1" t="str">
        <f t="shared" si="110"/>
        <v>20220911</v>
      </c>
      <c r="I781" s="1" t="str">
        <f>"165357"</f>
        <v>165357</v>
      </c>
      <c r="J781" s="1" t="s">
        <v>28</v>
      </c>
      <c r="K781" s="1" t="s">
        <v>28</v>
      </c>
      <c r="L781" s="1" t="str">
        <f t="shared" si="111"/>
        <v>20220911</v>
      </c>
      <c r="M781" s="1" t="str">
        <f>"172554"</f>
        <v>172554</v>
      </c>
      <c r="N781" s="1" t="s">
        <v>52</v>
      </c>
      <c r="O781" s="1" t="s">
        <v>52</v>
      </c>
      <c r="P781" s="1" t="s">
        <v>55</v>
      </c>
      <c r="Q781" s="1">
        <v>25</v>
      </c>
      <c r="R781" s="1">
        <v>25</v>
      </c>
      <c r="S781" s="1">
        <v>0</v>
      </c>
      <c r="T781" s="1">
        <v>0</v>
      </c>
      <c r="U781" s="1">
        <v>0</v>
      </c>
      <c r="V781" s="1" t="str">
        <f t="shared" si="109"/>
        <v>里程返程</v>
      </c>
      <c r="W781" s="1" t="s">
        <v>109</v>
      </c>
    </row>
    <row r="782" spans="1:23" x14ac:dyDescent="0.3">
      <c r="A782" s="1" t="str">
        <f>"59809"</f>
        <v>59809</v>
      </c>
      <c r="B782" s="1" t="s">
        <v>42</v>
      </c>
      <c r="C782" s="1" t="s">
        <v>43</v>
      </c>
      <c r="D782" s="1" t="str">
        <f t="shared" si="108"/>
        <v>9801</v>
      </c>
      <c r="E782" s="1" t="s">
        <v>25</v>
      </c>
      <c r="F782" s="1" t="str">
        <f>"D5C2F29B7E8804004327BBD200180B07"</f>
        <v>D5C2F29B7E8804004327BBD200180B07</v>
      </c>
      <c r="G782" s="1" t="s">
        <v>59</v>
      </c>
      <c r="H782" s="1" t="str">
        <f t="shared" ref="H782:H813" si="112">"20220912"</f>
        <v>20220912</v>
      </c>
      <c r="I782" s="1" t="str">
        <f>"172717"</f>
        <v>172717</v>
      </c>
      <c r="J782" s="1" t="s">
        <v>44</v>
      </c>
      <c r="K782" s="1" t="s">
        <v>45</v>
      </c>
      <c r="L782" s="1" t="str">
        <f t="shared" ref="L782:L813" si="113">"20220912"</f>
        <v>20220912</v>
      </c>
      <c r="M782" s="1" t="str">
        <f>"175146"</f>
        <v>175146</v>
      </c>
      <c r="N782" s="1" t="s">
        <v>95</v>
      </c>
      <c r="O782" s="1" t="s">
        <v>28</v>
      </c>
      <c r="P782" s="1" t="s">
        <v>55</v>
      </c>
      <c r="Q782" s="1">
        <v>25</v>
      </c>
      <c r="R782" s="1">
        <v>25</v>
      </c>
      <c r="S782" s="1">
        <v>0</v>
      </c>
      <c r="T782" s="1">
        <v>0</v>
      </c>
      <c r="U782" s="1">
        <v>0</v>
      </c>
      <c r="V782" s="1" t="str">
        <f t="shared" si="109"/>
        <v>里程返程</v>
      </c>
      <c r="W782" s="1" t="s">
        <v>29</v>
      </c>
    </row>
    <row r="783" spans="1:23" x14ac:dyDescent="0.3">
      <c r="A783" s="1" t="str">
        <f>"59809"</f>
        <v>59809</v>
      </c>
      <c r="B783" s="1" t="s">
        <v>42</v>
      </c>
      <c r="C783" s="1" t="s">
        <v>43</v>
      </c>
      <c r="D783" s="1" t="str">
        <f t="shared" si="108"/>
        <v>9801</v>
      </c>
      <c r="E783" s="1" t="s">
        <v>25</v>
      </c>
      <c r="F783" s="1" t="str">
        <f>"422AE7028D880400C834002000000015"</f>
        <v>422AE7028D880400C834002000000015</v>
      </c>
      <c r="G783" s="1" t="s">
        <v>74</v>
      </c>
      <c r="H783" s="1" t="str">
        <f t="shared" si="112"/>
        <v>20220912</v>
      </c>
      <c r="I783" s="1" t="str">
        <f>"172720"</f>
        <v>172720</v>
      </c>
      <c r="J783" s="1" t="s">
        <v>44</v>
      </c>
      <c r="K783" s="1" t="s">
        <v>45</v>
      </c>
      <c r="L783" s="1" t="str">
        <f t="shared" si="113"/>
        <v>20220912</v>
      </c>
      <c r="M783" s="1" t="str">
        <f>"175215"</f>
        <v>175215</v>
      </c>
      <c r="N783" s="1" t="s">
        <v>28</v>
      </c>
      <c r="O783" s="1" t="s">
        <v>28</v>
      </c>
      <c r="P783" s="1" t="s">
        <v>68</v>
      </c>
      <c r="Q783" s="1">
        <v>13</v>
      </c>
      <c r="R783" s="1">
        <v>0</v>
      </c>
      <c r="S783" s="1">
        <v>0</v>
      </c>
      <c r="T783" s="1">
        <v>13</v>
      </c>
      <c r="U783" s="1">
        <v>0</v>
      </c>
      <c r="V783" s="1" t="str">
        <f t="shared" si="109"/>
        <v>里程返程</v>
      </c>
      <c r="W783" s="1" t="s">
        <v>29</v>
      </c>
    </row>
    <row r="784" spans="1:23" x14ac:dyDescent="0.3">
      <c r="A784" s="1" t="str">
        <f>"59809"</f>
        <v>59809</v>
      </c>
      <c r="B784" s="1" t="s">
        <v>42</v>
      </c>
      <c r="C784" s="1" t="s">
        <v>43</v>
      </c>
      <c r="D784" s="1" t="str">
        <f t="shared" si="108"/>
        <v>9801</v>
      </c>
      <c r="E784" s="1" t="s">
        <v>25</v>
      </c>
      <c r="F784" s="1" t="str">
        <f>"1423111489"</f>
        <v>1423111489</v>
      </c>
      <c r="G784" s="1" t="s">
        <v>33</v>
      </c>
      <c r="H784" s="1" t="str">
        <f t="shared" si="112"/>
        <v>20220912</v>
      </c>
      <c r="I784" s="1" t="str">
        <f>"173348"</f>
        <v>173348</v>
      </c>
      <c r="J784" s="1" t="s">
        <v>100</v>
      </c>
      <c r="K784" s="1" t="s">
        <v>45</v>
      </c>
      <c r="L784" s="1" t="str">
        <f t="shared" si="113"/>
        <v>20220912</v>
      </c>
      <c r="M784" s="1" t="str">
        <f>"175217"</f>
        <v>175217</v>
      </c>
      <c r="N784" s="1" t="s">
        <v>28</v>
      </c>
      <c r="O784" s="1" t="s">
        <v>28</v>
      </c>
      <c r="P784" s="1" t="s">
        <v>55</v>
      </c>
      <c r="Q784" s="1">
        <v>25</v>
      </c>
      <c r="R784" s="1">
        <v>0</v>
      </c>
      <c r="S784" s="1">
        <v>25</v>
      </c>
      <c r="T784" s="1">
        <v>0</v>
      </c>
      <c r="U784" s="1">
        <v>0</v>
      </c>
      <c r="V784" s="1" t="str">
        <f t="shared" si="109"/>
        <v>里程返程</v>
      </c>
      <c r="W784" s="1" t="s">
        <v>35</v>
      </c>
    </row>
    <row r="785" spans="1:23" x14ac:dyDescent="0.3">
      <c r="A785" s="1" t="str">
        <f t="shared" ref="A785:A802" si="114">"59822"</f>
        <v>59822</v>
      </c>
      <c r="B785" s="1" t="s">
        <v>39</v>
      </c>
      <c r="C785" s="1" t="s">
        <v>40</v>
      </c>
      <c r="D785" s="1" t="str">
        <f t="shared" si="108"/>
        <v>9801</v>
      </c>
      <c r="E785" s="1" t="s">
        <v>25</v>
      </c>
      <c r="F785" s="1" t="str">
        <f>"F29BD102BA880400C834002000000015"</f>
        <v>F29BD102BA880400C834002000000015</v>
      </c>
      <c r="G785" s="1" t="s">
        <v>26</v>
      </c>
      <c r="H785" s="1" t="str">
        <f t="shared" si="112"/>
        <v>20220912</v>
      </c>
      <c r="I785" s="1" t="str">
        <f>"083343"</f>
        <v>083343</v>
      </c>
      <c r="J785" s="1" t="s">
        <v>44</v>
      </c>
      <c r="K785" s="1" t="s">
        <v>45</v>
      </c>
      <c r="L785" s="1" t="str">
        <f t="shared" si="113"/>
        <v>20220912</v>
      </c>
      <c r="M785" s="1" t="str">
        <f>"085037"</f>
        <v>085037</v>
      </c>
      <c r="N785" s="1" t="s">
        <v>28</v>
      </c>
      <c r="O785" s="1" t="s">
        <v>28</v>
      </c>
      <c r="P785" s="1" t="s">
        <v>68</v>
      </c>
      <c r="Q785" s="1">
        <v>13</v>
      </c>
      <c r="R785" s="1">
        <v>0</v>
      </c>
      <c r="S785" s="1">
        <v>0</v>
      </c>
      <c r="T785" s="1">
        <v>13</v>
      </c>
      <c r="U785" s="1">
        <v>0</v>
      </c>
      <c r="V785" s="1" t="str">
        <f t="shared" si="109"/>
        <v>里程返程</v>
      </c>
      <c r="W785" s="1" t="s">
        <v>29</v>
      </c>
    </row>
    <row r="786" spans="1:23" x14ac:dyDescent="0.3">
      <c r="A786" s="1" t="str">
        <f t="shared" si="114"/>
        <v>59822</v>
      </c>
      <c r="B786" s="1" t="s">
        <v>39</v>
      </c>
      <c r="C786" s="1" t="s">
        <v>40</v>
      </c>
      <c r="D786" s="1" t="str">
        <f t="shared" si="108"/>
        <v>9801</v>
      </c>
      <c r="E786" s="1" t="s">
        <v>25</v>
      </c>
      <c r="F786" s="1" t="str">
        <f>"32A74602D1880400C821002000000015"</f>
        <v>32A74602D1880400C821002000000015</v>
      </c>
      <c r="G786" s="1" t="s">
        <v>26</v>
      </c>
      <c r="H786" s="1" t="str">
        <f t="shared" si="112"/>
        <v>20220912</v>
      </c>
      <c r="I786" s="1" t="str">
        <f>"085102"</f>
        <v>085102</v>
      </c>
      <c r="J786" s="1" t="s">
        <v>28</v>
      </c>
      <c r="K786" s="1" t="s">
        <v>28</v>
      </c>
      <c r="L786" s="1" t="str">
        <f t="shared" si="113"/>
        <v>20220912</v>
      </c>
      <c r="M786" s="1" t="str">
        <f>"091810"</f>
        <v>091810</v>
      </c>
      <c r="N786" s="1" t="s">
        <v>60</v>
      </c>
      <c r="O786" s="1" t="s">
        <v>52</v>
      </c>
      <c r="P786" s="1" t="s">
        <v>68</v>
      </c>
      <c r="Q786" s="1">
        <v>13</v>
      </c>
      <c r="R786" s="1">
        <v>0</v>
      </c>
      <c r="S786" s="1">
        <v>0</v>
      </c>
      <c r="T786" s="1">
        <v>13</v>
      </c>
      <c r="U786" s="1">
        <v>0</v>
      </c>
      <c r="V786" s="1" t="str">
        <f t="shared" si="109"/>
        <v>里程返程</v>
      </c>
      <c r="W786" s="1" t="s">
        <v>29</v>
      </c>
    </row>
    <row r="787" spans="1:23" x14ac:dyDescent="0.3">
      <c r="A787" s="1" t="str">
        <f t="shared" si="114"/>
        <v>59822</v>
      </c>
      <c r="B787" s="1" t="s">
        <v>39</v>
      </c>
      <c r="C787" s="1" t="s">
        <v>40</v>
      </c>
      <c r="D787" s="1" t="str">
        <f t="shared" si="108"/>
        <v>9801</v>
      </c>
      <c r="E787" s="1" t="s">
        <v>25</v>
      </c>
      <c r="F787" s="1" t="str">
        <f>"03A6A9454988040048B994D749703809"</f>
        <v>03A6A9454988040048B994D749703809</v>
      </c>
      <c r="G787" s="1" t="s">
        <v>64</v>
      </c>
      <c r="H787" s="1" t="str">
        <f t="shared" si="112"/>
        <v>20220912</v>
      </c>
      <c r="I787" s="1" t="str">
        <f>"085112"</f>
        <v>085112</v>
      </c>
      <c r="J787" s="1" t="s">
        <v>28</v>
      </c>
      <c r="K787" s="1" t="s">
        <v>28</v>
      </c>
      <c r="L787" s="1" t="str">
        <f t="shared" si="113"/>
        <v>20220912</v>
      </c>
      <c r="M787" s="1" t="str">
        <f>"090406"</f>
        <v>090406</v>
      </c>
      <c r="N787" s="1" t="s">
        <v>78</v>
      </c>
      <c r="O787" s="1" t="s">
        <v>52</v>
      </c>
      <c r="P787" s="1" t="s">
        <v>55</v>
      </c>
      <c r="Q787" s="1">
        <v>13</v>
      </c>
      <c r="R787" s="1">
        <v>13</v>
      </c>
      <c r="S787" s="1">
        <v>0</v>
      </c>
      <c r="T787" s="1">
        <v>0</v>
      </c>
      <c r="U787" s="1">
        <v>0</v>
      </c>
      <c r="V787" s="1" t="str">
        <f t="shared" si="109"/>
        <v>里程返程</v>
      </c>
      <c r="W787" s="1" t="s">
        <v>29</v>
      </c>
    </row>
    <row r="788" spans="1:23" x14ac:dyDescent="0.3">
      <c r="A788" s="1" t="str">
        <f t="shared" si="114"/>
        <v>59822</v>
      </c>
      <c r="B788" s="1" t="s">
        <v>39</v>
      </c>
      <c r="C788" s="1" t="s">
        <v>40</v>
      </c>
      <c r="D788" s="1" t="str">
        <f t="shared" si="108"/>
        <v>9801</v>
      </c>
      <c r="E788" s="1" t="s">
        <v>25</v>
      </c>
      <c r="F788" s="1" t="str">
        <f>"A2D8190360880400C834002000000015"</f>
        <v>A2D8190360880400C834002000000015</v>
      </c>
      <c r="G788" s="1" t="s">
        <v>26</v>
      </c>
      <c r="H788" s="1" t="str">
        <f t="shared" si="112"/>
        <v>20220912</v>
      </c>
      <c r="I788" s="1" t="str">
        <f>"092725"</f>
        <v>092725</v>
      </c>
      <c r="J788" s="1" t="s">
        <v>44</v>
      </c>
      <c r="K788" s="1" t="s">
        <v>45</v>
      </c>
      <c r="L788" s="1" t="str">
        <f t="shared" si="113"/>
        <v>20220912</v>
      </c>
      <c r="M788" s="1" t="str">
        <f>"092951"</f>
        <v>092951</v>
      </c>
      <c r="N788" s="1" t="s">
        <v>100</v>
      </c>
      <c r="O788" s="1" t="s">
        <v>45</v>
      </c>
      <c r="P788" s="1" t="s">
        <v>68</v>
      </c>
      <c r="Q788" s="1">
        <v>13</v>
      </c>
      <c r="R788" s="1">
        <v>0</v>
      </c>
      <c r="S788" s="1">
        <v>0</v>
      </c>
      <c r="T788" s="1">
        <v>13</v>
      </c>
      <c r="U788" s="1">
        <v>0</v>
      </c>
      <c r="V788" s="1" t="str">
        <f t="shared" si="109"/>
        <v>里程返程</v>
      </c>
      <c r="W788" s="1" t="s">
        <v>29</v>
      </c>
    </row>
    <row r="789" spans="1:23" x14ac:dyDescent="0.3">
      <c r="A789" s="1" t="str">
        <f t="shared" si="114"/>
        <v>59822</v>
      </c>
      <c r="B789" s="1" t="s">
        <v>39</v>
      </c>
      <c r="C789" s="1" t="s">
        <v>40</v>
      </c>
      <c r="D789" s="1" t="str">
        <f t="shared" si="108"/>
        <v>9801</v>
      </c>
      <c r="E789" s="1" t="s">
        <v>25</v>
      </c>
      <c r="F789" s="1" t="str">
        <f>"52DB190393880400C834002000000015"</f>
        <v>52DB190393880400C834002000000015</v>
      </c>
      <c r="G789" s="1" t="s">
        <v>26</v>
      </c>
      <c r="H789" s="1" t="str">
        <f t="shared" si="112"/>
        <v>20220912</v>
      </c>
      <c r="I789" s="1" t="str">
        <f>"092942"</f>
        <v>092942</v>
      </c>
      <c r="J789" s="1" t="s">
        <v>44</v>
      </c>
      <c r="K789" s="1" t="s">
        <v>45</v>
      </c>
      <c r="L789" s="1" t="str">
        <f t="shared" si="113"/>
        <v>20220912</v>
      </c>
      <c r="M789" s="1" t="str">
        <f>"093333"</f>
        <v>093333</v>
      </c>
      <c r="N789" s="1" t="s">
        <v>100</v>
      </c>
      <c r="O789" s="1" t="s">
        <v>45</v>
      </c>
      <c r="P789" s="1" t="s">
        <v>68</v>
      </c>
      <c r="Q789" s="1">
        <v>13</v>
      </c>
      <c r="R789" s="1">
        <v>0</v>
      </c>
      <c r="S789" s="1">
        <v>0</v>
      </c>
      <c r="T789" s="1">
        <v>13</v>
      </c>
      <c r="U789" s="1">
        <v>0</v>
      </c>
      <c r="V789" s="1" t="str">
        <f t="shared" si="109"/>
        <v>里程返程</v>
      </c>
      <c r="W789" s="1" t="s">
        <v>29</v>
      </c>
    </row>
    <row r="790" spans="1:23" x14ac:dyDescent="0.3">
      <c r="A790" s="1" t="str">
        <f t="shared" si="114"/>
        <v>59822</v>
      </c>
      <c r="B790" s="1" t="s">
        <v>39</v>
      </c>
      <c r="C790" s="1" t="s">
        <v>40</v>
      </c>
      <c r="D790" s="1" t="str">
        <f t="shared" si="108"/>
        <v>9801</v>
      </c>
      <c r="E790" s="1" t="s">
        <v>25</v>
      </c>
      <c r="F790" s="1" t="str">
        <f>"285817872"</f>
        <v>285817872</v>
      </c>
      <c r="G790" s="1" t="s">
        <v>33</v>
      </c>
      <c r="H790" s="1" t="str">
        <f t="shared" si="112"/>
        <v>20220912</v>
      </c>
      <c r="I790" s="1" t="str">
        <f>"095315"</f>
        <v>095315</v>
      </c>
      <c r="J790" s="1" t="s">
        <v>28</v>
      </c>
      <c r="K790" s="1" t="s">
        <v>28</v>
      </c>
      <c r="L790" s="1" t="str">
        <f t="shared" si="113"/>
        <v>20220912</v>
      </c>
      <c r="M790" s="1" t="str">
        <f>"101844"</f>
        <v>101844</v>
      </c>
      <c r="N790" s="1" t="s">
        <v>60</v>
      </c>
      <c r="O790" s="1" t="s">
        <v>52</v>
      </c>
      <c r="P790" s="1" t="s">
        <v>55</v>
      </c>
      <c r="Q790" s="1">
        <v>25</v>
      </c>
      <c r="R790" s="1">
        <v>0</v>
      </c>
      <c r="S790" s="1">
        <v>25</v>
      </c>
      <c r="T790" s="1">
        <v>0</v>
      </c>
      <c r="U790" s="1">
        <v>0</v>
      </c>
      <c r="V790" s="1" t="str">
        <f t="shared" si="109"/>
        <v>里程返程</v>
      </c>
      <c r="W790" s="1" t="s">
        <v>35</v>
      </c>
    </row>
    <row r="791" spans="1:23" x14ac:dyDescent="0.3">
      <c r="A791" s="1" t="str">
        <f t="shared" si="114"/>
        <v>59822</v>
      </c>
      <c r="B791" s="1" t="s">
        <v>39</v>
      </c>
      <c r="C791" s="1" t="s">
        <v>40</v>
      </c>
      <c r="D791" s="1" t="str">
        <f t="shared" si="108"/>
        <v>9801</v>
      </c>
      <c r="E791" s="1" t="s">
        <v>25</v>
      </c>
      <c r="F791" s="1" t="str">
        <f>"4273BA0289880400C834002000000015"</f>
        <v>4273BA0289880400C834002000000015</v>
      </c>
      <c r="G791" s="1" t="s">
        <v>26</v>
      </c>
      <c r="H791" s="1" t="str">
        <f t="shared" si="112"/>
        <v>20220912</v>
      </c>
      <c r="I791" s="1" t="str">
        <f>"105447"</f>
        <v>105447</v>
      </c>
      <c r="J791" s="1" t="s">
        <v>28</v>
      </c>
      <c r="K791" s="1" t="s">
        <v>28</v>
      </c>
      <c r="L791" s="1" t="str">
        <f t="shared" si="113"/>
        <v>20220912</v>
      </c>
      <c r="M791" s="1" t="str">
        <f>"111833"</f>
        <v>111833</v>
      </c>
      <c r="N791" s="1" t="s">
        <v>60</v>
      </c>
      <c r="O791" s="1" t="s">
        <v>52</v>
      </c>
      <c r="P791" s="1" t="s">
        <v>68</v>
      </c>
      <c r="Q791" s="1">
        <v>13</v>
      </c>
      <c r="R791" s="1">
        <v>0</v>
      </c>
      <c r="S791" s="1">
        <v>0</v>
      </c>
      <c r="T791" s="1">
        <v>13</v>
      </c>
      <c r="U791" s="1">
        <v>0</v>
      </c>
      <c r="V791" s="1" t="str">
        <f t="shared" si="109"/>
        <v>里程返程</v>
      </c>
      <c r="W791" s="1" t="s">
        <v>29</v>
      </c>
    </row>
    <row r="792" spans="1:23" x14ac:dyDescent="0.3">
      <c r="A792" s="1" t="str">
        <f t="shared" si="114"/>
        <v>59822</v>
      </c>
      <c r="B792" s="1" t="s">
        <v>39</v>
      </c>
      <c r="C792" s="1" t="s">
        <v>40</v>
      </c>
      <c r="D792" s="1" t="str">
        <f t="shared" si="108"/>
        <v>9801</v>
      </c>
      <c r="E792" s="1" t="s">
        <v>25</v>
      </c>
      <c r="F792" s="1" t="str">
        <f>"52990D02C4880400C821002000000015"</f>
        <v>52990D02C4880400C821002000000015</v>
      </c>
      <c r="G792" s="1" t="s">
        <v>26</v>
      </c>
      <c r="H792" s="1" t="str">
        <f t="shared" si="112"/>
        <v>20220912</v>
      </c>
      <c r="I792" s="1" t="str">
        <f>"105452"</f>
        <v>105452</v>
      </c>
      <c r="J792" s="1" t="s">
        <v>28</v>
      </c>
      <c r="K792" s="1" t="s">
        <v>28</v>
      </c>
      <c r="L792" s="1" t="str">
        <f t="shared" si="113"/>
        <v>20220912</v>
      </c>
      <c r="M792" s="1" t="str">
        <f>"111837"</f>
        <v>111837</v>
      </c>
      <c r="N792" s="1" t="s">
        <v>60</v>
      </c>
      <c r="O792" s="1" t="s">
        <v>52</v>
      </c>
      <c r="P792" s="1" t="s">
        <v>68</v>
      </c>
      <c r="Q792" s="1">
        <v>13</v>
      </c>
      <c r="R792" s="1">
        <v>0</v>
      </c>
      <c r="S792" s="1">
        <v>0</v>
      </c>
      <c r="T792" s="1">
        <v>13</v>
      </c>
      <c r="U792" s="1">
        <v>0</v>
      </c>
      <c r="V792" s="1" t="str">
        <f t="shared" si="109"/>
        <v>里程返程</v>
      </c>
      <c r="W792" s="1" t="s">
        <v>29</v>
      </c>
    </row>
    <row r="793" spans="1:23" x14ac:dyDescent="0.3">
      <c r="A793" s="1" t="str">
        <f t="shared" si="114"/>
        <v>59822</v>
      </c>
      <c r="B793" s="1" t="s">
        <v>39</v>
      </c>
      <c r="C793" s="1" t="s">
        <v>40</v>
      </c>
      <c r="D793" s="1" t="str">
        <f t="shared" si="108"/>
        <v>9801</v>
      </c>
      <c r="E793" s="1" t="s">
        <v>25</v>
      </c>
      <c r="F793" s="1" t="str">
        <f>"3545652356"</f>
        <v>3545652356</v>
      </c>
      <c r="G793" s="1" t="s">
        <v>33</v>
      </c>
      <c r="H793" s="1" t="str">
        <f t="shared" si="112"/>
        <v>20220912</v>
      </c>
      <c r="I793" s="1" t="str">
        <f>"105459"</f>
        <v>105459</v>
      </c>
      <c r="J793" s="1" t="s">
        <v>28</v>
      </c>
      <c r="K793" s="1" t="s">
        <v>28</v>
      </c>
      <c r="L793" s="1" t="str">
        <f t="shared" si="113"/>
        <v>20220912</v>
      </c>
      <c r="M793" s="1" t="str">
        <f>"112223"</f>
        <v>112223</v>
      </c>
      <c r="N793" s="1" t="s">
        <v>52</v>
      </c>
      <c r="O793" s="1" t="s">
        <v>52</v>
      </c>
      <c r="P793" s="1" t="s">
        <v>55</v>
      </c>
      <c r="Q793" s="1">
        <v>25</v>
      </c>
      <c r="R793" s="1">
        <v>0</v>
      </c>
      <c r="S793" s="1">
        <v>25</v>
      </c>
      <c r="T793" s="1">
        <v>0</v>
      </c>
      <c r="U793" s="1">
        <v>0</v>
      </c>
      <c r="V793" s="1" t="str">
        <f t="shared" si="109"/>
        <v>里程返程</v>
      </c>
      <c r="W793" s="1" t="s">
        <v>35</v>
      </c>
    </row>
    <row r="794" spans="1:23" x14ac:dyDescent="0.3">
      <c r="A794" s="1" t="str">
        <f t="shared" si="114"/>
        <v>59822</v>
      </c>
      <c r="B794" s="1" t="s">
        <v>39</v>
      </c>
      <c r="C794" s="1" t="s">
        <v>40</v>
      </c>
      <c r="D794" s="1" t="str">
        <f t="shared" si="108"/>
        <v>9801</v>
      </c>
      <c r="E794" s="1" t="s">
        <v>25</v>
      </c>
      <c r="F794" s="1" t="str">
        <f>"20108DDC61880400468F465655101311"</f>
        <v>20108DDC61880400468F465655101311</v>
      </c>
      <c r="G794" s="1" t="s">
        <v>59</v>
      </c>
      <c r="H794" s="1" t="str">
        <f t="shared" si="112"/>
        <v>20220912</v>
      </c>
      <c r="I794" s="1" t="str">
        <f>"113031"</f>
        <v>113031</v>
      </c>
      <c r="J794" s="1" t="s">
        <v>44</v>
      </c>
      <c r="K794" s="1" t="s">
        <v>45</v>
      </c>
      <c r="L794" s="1" t="str">
        <f t="shared" si="113"/>
        <v>20220912</v>
      </c>
      <c r="M794" s="1" t="str">
        <f>"113854"</f>
        <v>113854</v>
      </c>
      <c r="N794" s="1" t="s">
        <v>75</v>
      </c>
      <c r="O794" s="1" t="s">
        <v>45</v>
      </c>
      <c r="P794" s="1" t="s">
        <v>55</v>
      </c>
      <c r="Q794" s="1">
        <v>25</v>
      </c>
      <c r="R794" s="1">
        <v>25</v>
      </c>
      <c r="S794" s="1">
        <v>0</v>
      </c>
      <c r="T794" s="1">
        <v>0</v>
      </c>
      <c r="U794" s="1">
        <v>0</v>
      </c>
      <c r="V794" s="1" t="str">
        <f t="shared" si="109"/>
        <v>里程返程</v>
      </c>
      <c r="W794" s="1" t="s">
        <v>29</v>
      </c>
    </row>
    <row r="795" spans="1:23" x14ac:dyDescent="0.3">
      <c r="A795" s="1" t="str">
        <f t="shared" si="114"/>
        <v>59822</v>
      </c>
      <c r="B795" s="1" t="s">
        <v>39</v>
      </c>
      <c r="C795" s="1" t="s">
        <v>40</v>
      </c>
      <c r="D795" s="1" t="str">
        <f t="shared" si="108"/>
        <v>9801</v>
      </c>
      <c r="E795" s="1" t="s">
        <v>25</v>
      </c>
      <c r="F795" s="1" t="str">
        <f>"808235525"</f>
        <v>808235525</v>
      </c>
      <c r="G795" s="1" t="s">
        <v>38</v>
      </c>
      <c r="H795" s="1" t="str">
        <f t="shared" si="112"/>
        <v>20220912</v>
      </c>
      <c r="I795" s="1" t="str">
        <f>"113034"</f>
        <v>113034</v>
      </c>
      <c r="J795" s="1" t="s">
        <v>44</v>
      </c>
      <c r="K795" s="1" t="s">
        <v>45</v>
      </c>
      <c r="L795" s="1" t="str">
        <f t="shared" si="113"/>
        <v>20220912</v>
      </c>
      <c r="M795" s="1" t="str">
        <f>"115131"</f>
        <v>115131</v>
      </c>
      <c r="N795" s="1" t="s">
        <v>28</v>
      </c>
      <c r="O795" s="1" t="s">
        <v>28</v>
      </c>
      <c r="P795" s="1" t="s">
        <v>55</v>
      </c>
      <c r="Q795" s="1">
        <v>25</v>
      </c>
      <c r="R795" s="1">
        <v>0</v>
      </c>
      <c r="S795" s="1">
        <v>25</v>
      </c>
      <c r="T795" s="1">
        <v>0</v>
      </c>
      <c r="U795" s="1">
        <v>0</v>
      </c>
      <c r="V795" s="1" t="str">
        <f t="shared" si="109"/>
        <v>里程返程</v>
      </c>
      <c r="W795" s="1" t="s">
        <v>35</v>
      </c>
    </row>
    <row r="796" spans="1:23" x14ac:dyDescent="0.3">
      <c r="A796" s="1" t="str">
        <f t="shared" si="114"/>
        <v>59822</v>
      </c>
      <c r="B796" s="1" t="s">
        <v>39</v>
      </c>
      <c r="C796" s="1" t="s">
        <v>40</v>
      </c>
      <c r="D796" s="1" t="str">
        <f t="shared" si="108"/>
        <v>9801</v>
      </c>
      <c r="E796" s="1" t="s">
        <v>25</v>
      </c>
      <c r="F796" s="1" t="str">
        <f>"123DC116F8880400C814002000000019"</f>
        <v>123DC116F8880400C814002000000019</v>
      </c>
      <c r="G796" s="1" t="s">
        <v>64</v>
      </c>
      <c r="H796" s="1" t="str">
        <f t="shared" si="112"/>
        <v>20220912</v>
      </c>
      <c r="I796" s="1" t="str">
        <f>"115157"</f>
        <v>115157</v>
      </c>
      <c r="J796" s="1" t="s">
        <v>28</v>
      </c>
      <c r="K796" s="1" t="s">
        <v>28</v>
      </c>
      <c r="L796" s="1" t="str">
        <f t="shared" si="113"/>
        <v>20220912</v>
      </c>
      <c r="M796" s="1" t="str">
        <f>"121855"</f>
        <v>121855</v>
      </c>
      <c r="N796" s="1" t="s">
        <v>51</v>
      </c>
      <c r="O796" s="1" t="s">
        <v>52</v>
      </c>
      <c r="P796" s="1" t="s">
        <v>55</v>
      </c>
      <c r="Q796" s="1">
        <v>13</v>
      </c>
      <c r="R796" s="1">
        <v>13</v>
      </c>
      <c r="S796" s="1">
        <v>0</v>
      </c>
      <c r="T796" s="1">
        <v>0</v>
      </c>
      <c r="U796" s="1">
        <v>0</v>
      </c>
      <c r="V796" s="1" t="str">
        <f t="shared" si="109"/>
        <v>里程返程</v>
      </c>
      <c r="W796" s="1" t="s">
        <v>29</v>
      </c>
    </row>
    <row r="797" spans="1:23" x14ac:dyDescent="0.3">
      <c r="A797" s="1" t="str">
        <f t="shared" si="114"/>
        <v>59822</v>
      </c>
      <c r="B797" s="1" t="s">
        <v>39</v>
      </c>
      <c r="C797" s="1" t="s">
        <v>40</v>
      </c>
      <c r="D797" s="1" t="str">
        <f t="shared" si="108"/>
        <v>9801</v>
      </c>
      <c r="E797" s="1" t="s">
        <v>25</v>
      </c>
      <c r="F797" s="1" t="str">
        <f>"780625985"</f>
        <v>780625985</v>
      </c>
      <c r="G797" s="1" t="s">
        <v>26</v>
      </c>
      <c r="H797" s="1" t="str">
        <f t="shared" si="112"/>
        <v>20220912</v>
      </c>
      <c r="I797" s="1" t="str">
        <f>"115217"</f>
        <v>115217</v>
      </c>
      <c r="J797" s="1" t="s">
        <v>28</v>
      </c>
      <c r="K797" s="1" t="s">
        <v>28</v>
      </c>
      <c r="L797" s="1" t="str">
        <f t="shared" si="113"/>
        <v>20220912</v>
      </c>
      <c r="M797" s="1" t="str">
        <f>"120329"</f>
        <v>120329</v>
      </c>
      <c r="N797" s="1" t="s">
        <v>67</v>
      </c>
      <c r="O797" s="1" t="s">
        <v>52</v>
      </c>
      <c r="P797" s="1" t="s">
        <v>55</v>
      </c>
      <c r="Q797" s="1">
        <v>13</v>
      </c>
      <c r="R797" s="1">
        <v>13</v>
      </c>
      <c r="S797" s="1">
        <v>0</v>
      </c>
      <c r="T797" s="1">
        <v>0</v>
      </c>
      <c r="U797" s="1">
        <v>0</v>
      </c>
      <c r="V797" s="1" t="str">
        <f t="shared" si="109"/>
        <v>里程返程</v>
      </c>
      <c r="W797" s="1" t="s">
        <v>35</v>
      </c>
    </row>
    <row r="798" spans="1:23" x14ac:dyDescent="0.3">
      <c r="A798" s="1" t="str">
        <f t="shared" si="114"/>
        <v>59822</v>
      </c>
      <c r="B798" s="1" t="s">
        <v>39</v>
      </c>
      <c r="C798" s="1" t="s">
        <v>40</v>
      </c>
      <c r="D798" s="1" t="str">
        <f t="shared" si="108"/>
        <v>9801</v>
      </c>
      <c r="E798" s="1" t="s">
        <v>25</v>
      </c>
      <c r="F798" s="1" t="str">
        <f>"427BB21B90880400C822002000000021"</f>
        <v>427BB21B90880400C822002000000021</v>
      </c>
      <c r="G798" s="1" t="s">
        <v>58</v>
      </c>
      <c r="H798" s="1" t="str">
        <f t="shared" si="112"/>
        <v>20220912</v>
      </c>
      <c r="I798" s="1" t="str">
        <f>"115221"</f>
        <v>115221</v>
      </c>
      <c r="J798" s="1" t="s">
        <v>28</v>
      </c>
      <c r="K798" s="1" t="s">
        <v>28</v>
      </c>
      <c r="L798" s="1" t="str">
        <f t="shared" si="113"/>
        <v>20220912</v>
      </c>
      <c r="M798" s="1" t="str">
        <f>"121723"</f>
        <v>121723</v>
      </c>
      <c r="N798" s="1" t="s">
        <v>51</v>
      </c>
      <c r="O798" s="1" t="s">
        <v>52</v>
      </c>
      <c r="P798" s="1" t="s">
        <v>55</v>
      </c>
      <c r="Q798" s="1">
        <v>25</v>
      </c>
      <c r="R798" s="1">
        <v>25</v>
      </c>
      <c r="S798" s="1">
        <v>0</v>
      </c>
      <c r="T798" s="1">
        <v>0</v>
      </c>
      <c r="U798" s="1">
        <v>0</v>
      </c>
      <c r="V798" s="1" t="str">
        <f t="shared" si="109"/>
        <v>里程返程</v>
      </c>
      <c r="W798" s="1" t="s">
        <v>29</v>
      </c>
    </row>
    <row r="799" spans="1:23" x14ac:dyDescent="0.3">
      <c r="A799" s="1" t="str">
        <f t="shared" si="114"/>
        <v>59822</v>
      </c>
      <c r="B799" s="1" t="s">
        <v>39</v>
      </c>
      <c r="C799" s="1" t="s">
        <v>40</v>
      </c>
      <c r="D799" s="1" t="str">
        <f t="shared" si="108"/>
        <v>9801</v>
      </c>
      <c r="E799" s="1" t="s">
        <v>25</v>
      </c>
      <c r="F799" s="1" t="str">
        <f>"1379652097"</f>
        <v>1379652097</v>
      </c>
      <c r="G799" s="1" t="s">
        <v>33</v>
      </c>
      <c r="H799" s="1" t="str">
        <f t="shared" si="112"/>
        <v>20220912</v>
      </c>
      <c r="I799" s="1" t="str">
        <f>"115224"</f>
        <v>115224</v>
      </c>
      <c r="J799" s="1" t="s">
        <v>28</v>
      </c>
      <c r="K799" s="1" t="s">
        <v>28</v>
      </c>
      <c r="L799" s="1" t="str">
        <f t="shared" si="113"/>
        <v>20220912</v>
      </c>
      <c r="M799" s="1" t="str">
        <f>"121144"</f>
        <v>121144</v>
      </c>
      <c r="N799" s="1" t="s">
        <v>97</v>
      </c>
      <c r="O799" s="1" t="s">
        <v>52</v>
      </c>
      <c r="P799" s="1" t="s">
        <v>55</v>
      </c>
      <c r="Q799" s="1">
        <v>25</v>
      </c>
      <c r="R799" s="1">
        <v>25</v>
      </c>
      <c r="S799" s="1">
        <v>0</v>
      </c>
      <c r="T799" s="1">
        <v>0</v>
      </c>
      <c r="U799" s="1">
        <v>0</v>
      </c>
      <c r="V799" s="1" t="str">
        <f t="shared" si="109"/>
        <v>里程返程</v>
      </c>
      <c r="W799" s="1" t="s">
        <v>35</v>
      </c>
    </row>
    <row r="800" spans="1:23" x14ac:dyDescent="0.3">
      <c r="A800" s="1" t="str">
        <f t="shared" si="114"/>
        <v>59822</v>
      </c>
      <c r="B800" s="1" t="s">
        <v>39</v>
      </c>
      <c r="C800" s="1" t="s">
        <v>40</v>
      </c>
      <c r="D800" s="1" t="str">
        <f t="shared" si="108"/>
        <v>9801</v>
      </c>
      <c r="E800" s="1" t="s">
        <v>25</v>
      </c>
      <c r="F800" s="1" t="str">
        <f>"219489397"</f>
        <v>219489397</v>
      </c>
      <c r="G800" s="1" t="s">
        <v>33</v>
      </c>
      <c r="H800" s="1" t="str">
        <f t="shared" si="112"/>
        <v>20220912</v>
      </c>
      <c r="I800" s="1" t="str">
        <f>"192142"</f>
        <v>192142</v>
      </c>
      <c r="J800" s="1" t="s">
        <v>28</v>
      </c>
      <c r="K800" s="1" t="s">
        <v>28</v>
      </c>
      <c r="L800" s="1" t="str">
        <f t="shared" si="113"/>
        <v>20220912</v>
      </c>
      <c r="M800" s="1" t="str">
        <f>"194842"</f>
        <v>194842</v>
      </c>
      <c r="N800" s="1" t="s">
        <v>60</v>
      </c>
      <c r="O800" s="1" t="s">
        <v>52</v>
      </c>
      <c r="P800" s="1" t="s">
        <v>55</v>
      </c>
      <c r="Q800" s="1">
        <v>25</v>
      </c>
      <c r="R800" s="1">
        <v>0</v>
      </c>
      <c r="S800" s="1">
        <v>25</v>
      </c>
      <c r="T800" s="1">
        <v>0</v>
      </c>
      <c r="U800" s="1">
        <v>0</v>
      </c>
      <c r="V800" s="1" t="str">
        <f t="shared" si="109"/>
        <v>里程返程</v>
      </c>
      <c r="W800" s="1" t="s">
        <v>35</v>
      </c>
    </row>
    <row r="801" spans="1:23" x14ac:dyDescent="0.3">
      <c r="A801" s="1" t="str">
        <f t="shared" si="114"/>
        <v>59822</v>
      </c>
      <c r="B801" s="1" t="s">
        <v>39</v>
      </c>
      <c r="C801" s="1" t="s">
        <v>40</v>
      </c>
      <c r="D801" s="1" t="str">
        <f t="shared" si="108"/>
        <v>9801</v>
      </c>
      <c r="E801" s="1" t="s">
        <v>25</v>
      </c>
      <c r="F801" s="1" t="str">
        <f>"31A14436E22804001C00000000000000"</f>
        <v>31A14436E22804001C00000000000000</v>
      </c>
      <c r="G801" s="1" t="s">
        <v>58</v>
      </c>
      <c r="H801" s="1" t="str">
        <f t="shared" si="112"/>
        <v>20220912</v>
      </c>
      <c r="I801" s="1" t="str">
        <f>"192148"</f>
        <v>192148</v>
      </c>
      <c r="J801" s="1" t="s">
        <v>28</v>
      </c>
      <c r="K801" s="1" t="s">
        <v>28</v>
      </c>
      <c r="L801" s="1" t="str">
        <f t="shared" si="113"/>
        <v>20220912</v>
      </c>
      <c r="M801" s="1" t="str">
        <f>"194847"</f>
        <v>194847</v>
      </c>
      <c r="N801" s="1" t="s">
        <v>60</v>
      </c>
      <c r="O801" s="1" t="s">
        <v>52</v>
      </c>
      <c r="P801" s="1" t="s">
        <v>55</v>
      </c>
      <c r="Q801" s="1">
        <v>25</v>
      </c>
      <c r="R801" s="1">
        <v>0</v>
      </c>
      <c r="S801" s="1">
        <v>25</v>
      </c>
      <c r="T801" s="1">
        <v>0</v>
      </c>
      <c r="U801" s="1">
        <v>0</v>
      </c>
      <c r="V801" s="1" t="str">
        <f t="shared" si="109"/>
        <v>里程返程</v>
      </c>
      <c r="W801" s="1" t="s">
        <v>29</v>
      </c>
    </row>
    <row r="802" spans="1:23" x14ac:dyDescent="0.3">
      <c r="A802" s="1" t="str">
        <f t="shared" si="114"/>
        <v>59822</v>
      </c>
      <c r="B802" s="1" t="s">
        <v>39</v>
      </c>
      <c r="C802" s="1" t="s">
        <v>40</v>
      </c>
      <c r="D802" s="1" t="str">
        <f t="shared" si="108"/>
        <v>9801</v>
      </c>
      <c r="E802" s="1" t="s">
        <v>25</v>
      </c>
      <c r="F802" s="1" t="str">
        <f>"E220D10211880400C834002000000015"</f>
        <v>E220D10211880400C834002000000015</v>
      </c>
      <c r="G802" s="1" t="s">
        <v>74</v>
      </c>
      <c r="H802" s="1" t="str">
        <f t="shared" si="112"/>
        <v>20220912</v>
      </c>
      <c r="I802" s="1" t="str">
        <f>"192155"</f>
        <v>192155</v>
      </c>
      <c r="J802" s="1" t="s">
        <v>28</v>
      </c>
      <c r="K802" s="1" t="s">
        <v>28</v>
      </c>
      <c r="L802" s="1" t="str">
        <f t="shared" si="113"/>
        <v>20220912</v>
      </c>
      <c r="M802" s="1" t="str">
        <f>"194011"</f>
        <v>194011</v>
      </c>
      <c r="N802" s="1" t="s">
        <v>80</v>
      </c>
      <c r="O802" s="1" t="s">
        <v>52</v>
      </c>
      <c r="P802" s="1" t="s">
        <v>68</v>
      </c>
      <c r="Q802" s="1">
        <v>13</v>
      </c>
      <c r="R802" s="1">
        <v>0</v>
      </c>
      <c r="S802" s="1">
        <v>0</v>
      </c>
      <c r="T802" s="1">
        <v>13</v>
      </c>
      <c r="U802" s="1">
        <v>0</v>
      </c>
      <c r="V802" s="1" t="str">
        <f t="shared" si="109"/>
        <v>里程返程</v>
      </c>
      <c r="W802" s="1" t="s">
        <v>29</v>
      </c>
    </row>
    <row r="803" spans="1:23" x14ac:dyDescent="0.3">
      <c r="A803" s="1" t="str">
        <f t="shared" ref="A803:A833" si="115">"59828"</f>
        <v>59828</v>
      </c>
      <c r="B803" s="1" t="s">
        <v>23</v>
      </c>
      <c r="C803" s="1" t="s">
        <v>24</v>
      </c>
      <c r="D803" s="1" t="str">
        <f t="shared" si="108"/>
        <v>9801</v>
      </c>
      <c r="E803" s="1" t="s">
        <v>25</v>
      </c>
      <c r="F803" s="1" t="str">
        <f>"1752749445"</f>
        <v>1752749445</v>
      </c>
      <c r="G803" s="1" t="s">
        <v>33</v>
      </c>
      <c r="H803" s="1" t="str">
        <f t="shared" si="112"/>
        <v>20220912</v>
      </c>
      <c r="I803" s="1" t="str">
        <f>"063155"</f>
        <v>063155</v>
      </c>
      <c r="J803" s="1" t="s">
        <v>28</v>
      </c>
      <c r="K803" s="1" t="s">
        <v>28</v>
      </c>
      <c r="L803" s="1" t="str">
        <f t="shared" si="113"/>
        <v>20220912</v>
      </c>
      <c r="M803" s="1" t="str">
        <f>"065412"</f>
        <v>065412</v>
      </c>
      <c r="N803" s="1" t="s">
        <v>72</v>
      </c>
      <c r="O803" s="1" t="s">
        <v>52</v>
      </c>
      <c r="P803" s="1" t="s">
        <v>55</v>
      </c>
      <c r="Q803" s="1">
        <v>25</v>
      </c>
      <c r="R803" s="1">
        <v>0</v>
      </c>
      <c r="S803" s="1">
        <v>25</v>
      </c>
      <c r="T803" s="1">
        <v>0</v>
      </c>
      <c r="U803" s="1">
        <v>0</v>
      </c>
      <c r="V803" s="1" t="str">
        <f t="shared" si="109"/>
        <v>里程返程</v>
      </c>
      <c r="W803" s="1" t="s">
        <v>35</v>
      </c>
    </row>
    <row r="804" spans="1:23" x14ac:dyDescent="0.3">
      <c r="A804" s="1" t="str">
        <f t="shared" si="115"/>
        <v>59828</v>
      </c>
      <c r="B804" s="1" t="s">
        <v>23</v>
      </c>
      <c r="C804" s="1" t="s">
        <v>24</v>
      </c>
      <c r="D804" s="1" t="str">
        <f t="shared" si="108"/>
        <v>9801</v>
      </c>
      <c r="E804" s="1" t="s">
        <v>25</v>
      </c>
      <c r="F804" s="1" t="str">
        <f>"619F1761882804001C00000000000000"</f>
        <v>619F1761882804001C00000000000000</v>
      </c>
      <c r="G804" s="1" t="s">
        <v>58</v>
      </c>
      <c r="H804" s="1" t="str">
        <f t="shared" si="112"/>
        <v>20220912</v>
      </c>
      <c r="I804" s="1" t="str">
        <f>"063200"</f>
        <v>063200</v>
      </c>
      <c r="J804" s="1" t="s">
        <v>28</v>
      </c>
      <c r="K804" s="1" t="s">
        <v>28</v>
      </c>
      <c r="L804" s="1" t="str">
        <f t="shared" si="113"/>
        <v>20220912</v>
      </c>
      <c r="M804" s="1" t="str">
        <f>"065321"</f>
        <v>065321</v>
      </c>
      <c r="N804" s="1" t="s">
        <v>65</v>
      </c>
      <c r="O804" s="1" t="s">
        <v>52</v>
      </c>
      <c r="P804" s="1" t="s">
        <v>55</v>
      </c>
      <c r="Q804" s="1">
        <v>25</v>
      </c>
      <c r="R804" s="1">
        <v>0</v>
      </c>
      <c r="S804" s="1">
        <v>25</v>
      </c>
      <c r="T804" s="1">
        <v>0</v>
      </c>
      <c r="U804" s="1">
        <v>0</v>
      </c>
      <c r="V804" s="1" t="str">
        <f t="shared" si="109"/>
        <v>里程返程</v>
      </c>
      <c r="W804" s="1" t="s">
        <v>29</v>
      </c>
    </row>
    <row r="805" spans="1:23" x14ac:dyDescent="0.3">
      <c r="A805" s="1" t="str">
        <f t="shared" si="115"/>
        <v>59828</v>
      </c>
      <c r="B805" s="1" t="s">
        <v>23</v>
      </c>
      <c r="C805" s="1" t="s">
        <v>24</v>
      </c>
      <c r="D805" s="1" t="str">
        <f t="shared" si="108"/>
        <v>9801</v>
      </c>
      <c r="E805" s="1" t="s">
        <v>25</v>
      </c>
      <c r="F805" s="1" t="str">
        <f>"269636433"</f>
        <v>269636433</v>
      </c>
      <c r="G805" s="1" t="s">
        <v>33</v>
      </c>
      <c r="H805" s="1" t="str">
        <f t="shared" si="112"/>
        <v>20220912</v>
      </c>
      <c r="I805" s="1" t="str">
        <f>"063916"</f>
        <v>063916</v>
      </c>
      <c r="J805" s="1" t="s">
        <v>84</v>
      </c>
      <c r="K805" s="1" t="s">
        <v>28</v>
      </c>
      <c r="L805" s="1" t="str">
        <f t="shared" si="113"/>
        <v>20220912</v>
      </c>
      <c r="M805" s="1" t="str">
        <f>"070126"</f>
        <v>070126</v>
      </c>
      <c r="N805" s="1" t="s">
        <v>52</v>
      </c>
      <c r="O805" s="1" t="s">
        <v>52</v>
      </c>
      <c r="P805" s="1" t="s">
        <v>55</v>
      </c>
      <c r="Q805" s="1">
        <v>25</v>
      </c>
      <c r="R805" s="1">
        <v>25</v>
      </c>
      <c r="S805" s="1">
        <v>0</v>
      </c>
      <c r="T805" s="1">
        <v>0</v>
      </c>
      <c r="U805" s="1">
        <v>0</v>
      </c>
      <c r="V805" s="1" t="str">
        <f t="shared" si="109"/>
        <v>里程返程</v>
      </c>
      <c r="W805" s="1" t="s">
        <v>35</v>
      </c>
    </row>
    <row r="806" spans="1:23" x14ac:dyDescent="0.3">
      <c r="A806" s="1" t="str">
        <f t="shared" si="115"/>
        <v>59828</v>
      </c>
      <c r="B806" s="1" t="s">
        <v>23</v>
      </c>
      <c r="C806" s="1" t="s">
        <v>24</v>
      </c>
      <c r="D806" s="1" t="str">
        <f t="shared" si="108"/>
        <v>9801</v>
      </c>
      <c r="E806" s="1" t="s">
        <v>25</v>
      </c>
      <c r="F806" s="1" t="str">
        <f>"269636433"</f>
        <v>269636433</v>
      </c>
      <c r="G806" s="1" t="s">
        <v>33</v>
      </c>
      <c r="H806" s="1" t="str">
        <f t="shared" si="112"/>
        <v>20220912</v>
      </c>
      <c r="I806" s="1" t="str">
        <f>"070219"</f>
        <v>070219</v>
      </c>
      <c r="J806" s="1" t="s">
        <v>44</v>
      </c>
      <c r="K806" s="1" t="s">
        <v>45</v>
      </c>
      <c r="L806" s="1" t="str">
        <f t="shared" si="113"/>
        <v>20220912</v>
      </c>
      <c r="M806" s="1" t="str">
        <f>"071012"</f>
        <v>071012</v>
      </c>
      <c r="N806" s="1" t="s">
        <v>56</v>
      </c>
      <c r="O806" s="1" t="s">
        <v>45</v>
      </c>
      <c r="P806" s="1" t="s">
        <v>55</v>
      </c>
      <c r="Q806" s="1">
        <v>25</v>
      </c>
      <c r="R806" s="1">
        <v>25</v>
      </c>
      <c r="S806" s="1">
        <v>0</v>
      </c>
      <c r="T806" s="1">
        <v>0</v>
      </c>
      <c r="U806" s="1">
        <v>0</v>
      </c>
      <c r="V806" s="1" t="str">
        <f t="shared" si="109"/>
        <v>里程返程</v>
      </c>
      <c r="W806" s="1" t="s">
        <v>35</v>
      </c>
    </row>
    <row r="807" spans="1:23" x14ac:dyDescent="0.3">
      <c r="A807" s="1" t="str">
        <f t="shared" si="115"/>
        <v>59828</v>
      </c>
      <c r="B807" s="1" t="s">
        <v>23</v>
      </c>
      <c r="C807" s="1" t="s">
        <v>24</v>
      </c>
      <c r="D807" s="1" t="str">
        <f t="shared" si="108"/>
        <v>9801</v>
      </c>
      <c r="E807" s="1" t="s">
        <v>25</v>
      </c>
      <c r="F807" s="1" t="str">
        <f>"5213450206880400C821002000000015"</f>
        <v>5213450206880400C821002000000015</v>
      </c>
      <c r="G807" s="1" t="s">
        <v>26</v>
      </c>
      <c r="H807" s="1" t="str">
        <f t="shared" si="112"/>
        <v>20220912</v>
      </c>
      <c r="I807" s="1" t="str">
        <f>"071025"</f>
        <v>071025</v>
      </c>
      <c r="J807" s="1" t="s">
        <v>56</v>
      </c>
      <c r="K807" s="1" t="s">
        <v>45</v>
      </c>
      <c r="L807" s="1" t="str">
        <f t="shared" si="113"/>
        <v>20220912</v>
      </c>
      <c r="M807" s="1" t="str">
        <f>"072053"</f>
        <v>072053</v>
      </c>
      <c r="N807" s="1" t="s">
        <v>28</v>
      </c>
      <c r="O807" s="1" t="s">
        <v>28</v>
      </c>
      <c r="P807" s="1" t="s">
        <v>68</v>
      </c>
      <c r="Q807" s="1">
        <v>13</v>
      </c>
      <c r="R807" s="1">
        <v>0</v>
      </c>
      <c r="S807" s="1">
        <v>0</v>
      </c>
      <c r="T807" s="1">
        <v>13</v>
      </c>
      <c r="U807" s="1">
        <v>0</v>
      </c>
      <c r="V807" s="1" t="str">
        <f t="shared" si="109"/>
        <v>里程返程</v>
      </c>
      <c r="W807" s="1" t="s">
        <v>29</v>
      </c>
    </row>
    <row r="808" spans="1:23" x14ac:dyDescent="0.3">
      <c r="A808" s="1" t="str">
        <f t="shared" si="115"/>
        <v>59828</v>
      </c>
      <c r="B808" s="1" t="s">
        <v>23</v>
      </c>
      <c r="C808" s="1" t="s">
        <v>24</v>
      </c>
      <c r="D808" s="1" t="str">
        <f t="shared" si="108"/>
        <v>9801</v>
      </c>
      <c r="E808" s="1" t="s">
        <v>25</v>
      </c>
      <c r="F808" s="1" t="str">
        <f>"82730F18E6880400C814002000000019"</f>
        <v>82730F18E6880400C814002000000019</v>
      </c>
      <c r="G808" s="1" t="s">
        <v>59</v>
      </c>
      <c r="H808" s="1" t="str">
        <f t="shared" si="112"/>
        <v>20220912</v>
      </c>
      <c r="I808" s="1" t="str">
        <f>"072401"</f>
        <v>072401</v>
      </c>
      <c r="J808" s="1" t="s">
        <v>28</v>
      </c>
      <c r="K808" s="1" t="s">
        <v>28</v>
      </c>
      <c r="L808" s="1" t="str">
        <f t="shared" si="113"/>
        <v>20220912</v>
      </c>
      <c r="M808" s="1" t="str">
        <f>"074624"</f>
        <v>074624</v>
      </c>
      <c r="N808" s="1" t="s">
        <v>72</v>
      </c>
      <c r="O808" s="1" t="s">
        <v>52</v>
      </c>
      <c r="P808" s="1" t="s">
        <v>55</v>
      </c>
      <c r="Q808" s="1">
        <v>25</v>
      </c>
      <c r="R808" s="1">
        <v>0</v>
      </c>
      <c r="S808" s="1">
        <v>25</v>
      </c>
      <c r="T808" s="1">
        <v>0</v>
      </c>
      <c r="U808" s="1">
        <v>0</v>
      </c>
      <c r="V808" s="1" t="str">
        <f t="shared" si="109"/>
        <v>里程返程</v>
      </c>
      <c r="W808" s="1" t="s">
        <v>29</v>
      </c>
    </row>
    <row r="809" spans="1:23" x14ac:dyDescent="0.3">
      <c r="A809" s="1" t="str">
        <f t="shared" si="115"/>
        <v>59828</v>
      </c>
      <c r="B809" s="1" t="s">
        <v>23</v>
      </c>
      <c r="C809" s="1" t="s">
        <v>24</v>
      </c>
      <c r="D809" s="1" t="str">
        <f t="shared" si="108"/>
        <v>9801</v>
      </c>
      <c r="E809" s="1" t="s">
        <v>25</v>
      </c>
      <c r="F809" s="1" t="str">
        <f>"1204061808880400C814002000000019"</f>
        <v>1204061808880400C814002000000019</v>
      </c>
      <c r="G809" s="1" t="s">
        <v>59</v>
      </c>
      <c r="H809" s="1" t="str">
        <f t="shared" si="112"/>
        <v>20220912</v>
      </c>
      <c r="I809" s="1" t="str">
        <f>"072403"</f>
        <v>072403</v>
      </c>
      <c r="J809" s="1" t="s">
        <v>28</v>
      </c>
      <c r="K809" s="1" t="s">
        <v>28</v>
      </c>
      <c r="L809" s="1" t="str">
        <f t="shared" si="113"/>
        <v>20220912</v>
      </c>
      <c r="M809" s="1" t="str">
        <f>"074626"</f>
        <v>074626</v>
      </c>
      <c r="N809" s="1" t="s">
        <v>72</v>
      </c>
      <c r="O809" s="1" t="s">
        <v>52</v>
      </c>
      <c r="P809" s="1" t="s">
        <v>55</v>
      </c>
      <c r="Q809" s="1">
        <v>25</v>
      </c>
      <c r="R809" s="1">
        <v>0</v>
      </c>
      <c r="S809" s="1">
        <v>25</v>
      </c>
      <c r="T809" s="1">
        <v>0</v>
      </c>
      <c r="U809" s="1">
        <v>0</v>
      </c>
      <c r="V809" s="1" t="str">
        <f t="shared" si="109"/>
        <v>里程返程</v>
      </c>
      <c r="W809" s="1" t="s">
        <v>29</v>
      </c>
    </row>
    <row r="810" spans="1:23" x14ac:dyDescent="0.3">
      <c r="A810" s="1" t="str">
        <f t="shared" si="115"/>
        <v>59828</v>
      </c>
      <c r="B810" s="1" t="s">
        <v>23</v>
      </c>
      <c r="C810" s="1" t="s">
        <v>24</v>
      </c>
      <c r="D810" s="1" t="str">
        <f t="shared" si="108"/>
        <v>9801</v>
      </c>
      <c r="E810" s="1" t="s">
        <v>25</v>
      </c>
      <c r="F810" s="1" t="str">
        <f>"32780D0344880400C834002000000015"</f>
        <v>32780D0344880400C834002000000015</v>
      </c>
      <c r="G810" s="1" t="s">
        <v>26</v>
      </c>
      <c r="H810" s="1" t="str">
        <f t="shared" si="112"/>
        <v>20220912</v>
      </c>
      <c r="I810" s="1" t="str">
        <f>"072644"</f>
        <v>072644</v>
      </c>
      <c r="J810" s="1" t="s">
        <v>41</v>
      </c>
      <c r="K810" s="1" t="s">
        <v>28</v>
      </c>
      <c r="L810" s="1" t="str">
        <f t="shared" si="113"/>
        <v>20220912</v>
      </c>
      <c r="M810" s="1" t="str">
        <f>"074536"</f>
        <v>074536</v>
      </c>
      <c r="N810" s="1" t="s">
        <v>65</v>
      </c>
      <c r="O810" s="1" t="s">
        <v>52</v>
      </c>
      <c r="P810" s="1" t="s">
        <v>68</v>
      </c>
      <c r="Q810" s="1">
        <v>13</v>
      </c>
      <c r="R810" s="1">
        <v>0</v>
      </c>
      <c r="S810" s="1">
        <v>0</v>
      </c>
      <c r="T810" s="1">
        <v>13</v>
      </c>
      <c r="U810" s="1">
        <v>0</v>
      </c>
      <c r="V810" s="1" t="str">
        <f t="shared" si="109"/>
        <v>里程返程</v>
      </c>
      <c r="W810" s="1" t="s">
        <v>29</v>
      </c>
    </row>
    <row r="811" spans="1:23" x14ac:dyDescent="0.3">
      <c r="A811" s="1" t="str">
        <f t="shared" si="115"/>
        <v>59828</v>
      </c>
      <c r="B811" s="1" t="s">
        <v>23</v>
      </c>
      <c r="C811" s="1" t="s">
        <v>24</v>
      </c>
      <c r="D811" s="1" t="str">
        <f t="shared" si="108"/>
        <v>9801</v>
      </c>
      <c r="E811" s="1" t="s">
        <v>25</v>
      </c>
      <c r="F811" s="1" t="str">
        <f>"1759959808"</f>
        <v>1759959808</v>
      </c>
      <c r="G811" s="1" t="s">
        <v>33</v>
      </c>
      <c r="H811" s="1" t="str">
        <f t="shared" si="112"/>
        <v>20220912</v>
      </c>
      <c r="I811" s="1" t="str">
        <f>"074206"</f>
        <v>074206</v>
      </c>
      <c r="J811" s="1" t="s">
        <v>80</v>
      </c>
      <c r="K811" s="1" t="s">
        <v>52</v>
      </c>
      <c r="L811" s="1" t="str">
        <f t="shared" si="113"/>
        <v>20220912</v>
      </c>
      <c r="M811" s="1" t="str">
        <f>"075225"</f>
        <v>075225</v>
      </c>
      <c r="N811" s="1" t="s">
        <v>60</v>
      </c>
      <c r="O811" s="1" t="s">
        <v>52</v>
      </c>
      <c r="P811" s="1" t="s">
        <v>55</v>
      </c>
      <c r="Q811" s="1">
        <v>25</v>
      </c>
      <c r="R811" s="1">
        <v>25</v>
      </c>
      <c r="S811" s="1">
        <v>0</v>
      </c>
      <c r="T811" s="1">
        <v>0</v>
      </c>
      <c r="U811" s="1">
        <v>0</v>
      </c>
      <c r="V811" s="1" t="str">
        <f t="shared" si="109"/>
        <v>里程返程</v>
      </c>
      <c r="W811" s="1" t="s">
        <v>35</v>
      </c>
    </row>
    <row r="812" spans="1:23" x14ac:dyDescent="0.3">
      <c r="A812" s="1" t="str">
        <f t="shared" si="115"/>
        <v>59828</v>
      </c>
      <c r="B812" s="1" t="s">
        <v>23</v>
      </c>
      <c r="C812" s="1" t="s">
        <v>24</v>
      </c>
      <c r="D812" s="1" t="str">
        <f t="shared" si="108"/>
        <v>9801</v>
      </c>
      <c r="E812" s="1" t="s">
        <v>25</v>
      </c>
      <c r="F812" s="1" t="str">
        <f>"19839293"</f>
        <v>19839293</v>
      </c>
      <c r="G812" s="1" t="s">
        <v>33</v>
      </c>
      <c r="H812" s="1" t="str">
        <f t="shared" si="112"/>
        <v>20220912</v>
      </c>
      <c r="I812" s="1" t="str">
        <f>"122741"</f>
        <v>122741</v>
      </c>
      <c r="J812" s="1" t="s">
        <v>44</v>
      </c>
      <c r="K812" s="1" t="s">
        <v>45</v>
      </c>
      <c r="L812" s="1" t="str">
        <f t="shared" si="113"/>
        <v>20220912</v>
      </c>
      <c r="M812" s="1" t="str">
        <f>"125010"</f>
        <v>125010</v>
      </c>
      <c r="N812" s="1" t="s">
        <v>28</v>
      </c>
      <c r="O812" s="1" t="s">
        <v>28</v>
      </c>
      <c r="P812" s="1" t="s">
        <v>55</v>
      </c>
      <c r="Q812" s="1">
        <v>25</v>
      </c>
      <c r="R812" s="1">
        <v>25</v>
      </c>
      <c r="S812" s="1">
        <v>0</v>
      </c>
      <c r="T812" s="1">
        <v>0</v>
      </c>
      <c r="U812" s="1">
        <v>0</v>
      </c>
      <c r="V812" s="1" t="str">
        <f t="shared" si="109"/>
        <v>里程返程</v>
      </c>
      <c r="W812" s="1" t="s">
        <v>35</v>
      </c>
    </row>
    <row r="813" spans="1:23" x14ac:dyDescent="0.3">
      <c r="A813" s="1" t="str">
        <f t="shared" si="115"/>
        <v>59828</v>
      </c>
      <c r="B813" s="1" t="s">
        <v>23</v>
      </c>
      <c r="C813" s="1" t="s">
        <v>24</v>
      </c>
      <c r="D813" s="1" t="str">
        <f t="shared" si="108"/>
        <v>9801</v>
      </c>
      <c r="E813" s="1" t="s">
        <v>25</v>
      </c>
      <c r="F813" s="1" t="str">
        <f>"645256833"</f>
        <v>645256833</v>
      </c>
      <c r="G813" s="1" t="s">
        <v>33</v>
      </c>
      <c r="H813" s="1" t="str">
        <f t="shared" si="112"/>
        <v>20220912</v>
      </c>
      <c r="I813" s="1" t="str">
        <f>"123823"</f>
        <v>123823</v>
      </c>
      <c r="J813" s="1" t="s">
        <v>75</v>
      </c>
      <c r="K813" s="1" t="s">
        <v>45</v>
      </c>
      <c r="L813" s="1" t="str">
        <f t="shared" si="113"/>
        <v>20220912</v>
      </c>
      <c r="M813" s="1" t="str">
        <f>"125007"</f>
        <v>125007</v>
      </c>
      <c r="N813" s="1" t="s">
        <v>28</v>
      </c>
      <c r="O813" s="1" t="s">
        <v>28</v>
      </c>
      <c r="P813" s="1" t="s">
        <v>55</v>
      </c>
      <c r="Q813" s="1">
        <v>25</v>
      </c>
      <c r="R813" s="1">
        <v>25</v>
      </c>
      <c r="S813" s="1">
        <v>0</v>
      </c>
      <c r="T813" s="1">
        <v>0</v>
      </c>
      <c r="U813" s="1">
        <v>0</v>
      </c>
      <c r="V813" s="1" t="str">
        <f t="shared" si="109"/>
        <v>里程返程</v>
      </c>
      <c r="W813" s="1" t="s">
        <v>35</v>
      </c>
    </row>
    <row r="814" spans="1:23" x14ac:dyDescent="0.3">
      <c r="A814" s="1" t="str">
        <f t="shared" si="115"/>
        <v>59828</v>
      </c>
      <c r="B814" s="1" t="s">
        <v>23</v>
      </c>
      <c r="C814" s="1" t="s">
        <v>24</v>
      </c>
      <c r="D814" s="1" t="str">
        <f t="shared" si="108"/>
        <v>9801</v>
      </c>
      <c r="E814" s="1" t="s">
        <v>25</v>
      </c>
      <c r="F814" s="1" t="str">
        <f>"C2E68419B9880400C824002000000020"</f>
        <v>C2E68419B9880400C824002000000020</v>
      </c>
      <c r="G814" s="1" t="s">
        <v>59</v>
      </c>
      <c r="H814" s="1" t="str">
        <f t="shared" ref="H814:H833" si="116">"20220912"</f>
        <v>20220912</v>
      </c>
      <c r="I814" s="1" t="str">
        <f>"125040"</f>
        <v>125040</v>
      </c>
      <c r="J814" s="1" t="s">
        <v>28</v>
      </c>
      <c r="K814" s="1" t="s">
        <v>28</v>
      </c>
      <c r="L814" s="1" t="str">
        <f t="shared" ref="L814:L833" si="117">"20220912"</f>
        <v>20220912</v>
      </c>
      <c r="M814" s="1" t="str">
        <f>"132300"</f>
        <v>132300</v>
      </c>
      <c r="N814" s="1" t="s">
        <v>52</v>
      </c>
      <c r="O814" s="1" t="s">
        <v>52</v>
      </c>
      <c r="P814" s="1" t="s">
        <v>55</v>
      </c>
      <c r="Q814" s="1">
        <v>25</v>
      </c>
      <c r="R814" s="1">
        <v>0</v>
      </c>
      <c r="S814" s="1">
        <v>25</v>
      </c>
      <c r="T814" s="1">
        <v>0</v>
      </c>
      <c r="U814" s="1">
        <v>0</v>
      </c>
      <c r="V814" s="1" t="str">
        <f t="shared" si="109"/>
        <v>里程返程</v>
      </c>
      <c r="W814" s="1" t="s">
        <v>29</v>
      </c>
    </row>
    <row r="815" spans="1:23" x14ac:dyDescent="0.3">
      <c r="A815" s="1" t="str">
        <f t="shared" si="115"/>
        <v>59828</v>
      </c>
      <c r="B815" s="1" t="s">
        <v>23</v>
      </c>
      <c r="C815" s="1" t="s">
        <v>24</v>
      </c>
      <c r="D815" s="1" t="str">
        <f t="shared" si="108"/>
        <v>9801</v>
      </c>
      <c r="E815" s="1" t="s">
        <v>25</v>
      </c>
      <c r="F815" s="1" t="str">
        <f>"796971701"</f>
        <v>796971701</v>
      </c>
      <c r="G815" s="1" t="s">
        <v>33</v>
      </c>
      <c r="H815" s="1" t="str">
        <f t="shared" si="116"/>
        <v>20220912</v>
      </c>
      <c r="I815" s="1" t="str">
        <f>"125135"</f>
        <v>125135</v>
      </c>
      <c r="J815" s="1" t="s">
        <v>28</v>
      </c>
      <c r="K815" s="1" t="s">
        <v>28</v>
      </c>
      <c r="L815" s="1" t="str">
        <f t="shared" si="117"/>
        <v>20220912</v>
      </c>
      <c r="M815" s="1" t="str">
        <f>"132323"</f>
        <v>132323</v>
      </c>
      <c r="N815" s="1" t="s">
        <v>52</v>
      </c>
      <c r="O815" s="1" t="s">
        <v>52</v>
      </c>
      <c r="P815" s="1" t="s">
        <v>55</v>
      </c>
      <c r="Q815" s="1">
        <v>25</v>
      </c>
      <c r="R815" s="1">
        <v>25</v>
      </c>
      <c r="S815" s="1">
        <v>0</v>
      </c>
      <c r="T815" s="1">
        <v>0</v>
      </c>
      <c r="U815" s="1">
        <v>0</v>
      </c>
      <c r="V815" s="1" t="str">
        <f t="shared" si="109"/>
        <v>里程返程</v>
      </c>
      <c r="W815" s="1" t="s">
        <v>35</v>
      </c>
    </row>
    <row r="816" spans="1:23" x14ac:dyDescent="0.3">
      <c r="A816" s="1" t="str">
        <f t="shared" si="115"/>
        <v>59828</v>
      </c>
      <c r="B816" s="1" t="s">
        <v>23</v>
      </c>
      <c r="C816" s="1" t="s">
        <v>24</v>
      </c>
      <c r="D816" s="1" t="str">
        <f t="shared" si="108"/>
        <v>9801</v>
      </c>
      <c r="E816" s="1" t="s">
        <v>25</v>
      </c>
      <c r="F816" s="1" t="str">
        <f>"1065611077"</f>
        <v>1065611077</v>
      </c>
      <c r="G816" s="1" t="s">
        <v>33</v>
      </c>
      <c r="H816" s="1" t="str">
        <f t="shared" si="116"/>
        <v>20220912</v>
      </c>
      <c r="I816" s="1" t="str">
        <f>"125146"</f>
        <v>125146</v>
      </c>
      <c r="J816" s="1" t="s">
        <v>28</v>
      </c>
      <c r="K816" s="1" t="s">
        <v>28</v>
      </c>
      <c r="L816" s="1" t="str">
        <f t="shared" si="117"/>
        <v>20220912</v>
      </c>
      <c r="M816" s="1" t="str">
        <f>"132336"</f>
        <v>132336</v>
      </c>
      <c r="N816" s="1" t="s">
        <v>52</v>
      </c>
      <c r="O816" s="1" t="s">
        <v>52</v>
      </c>
      <c r="P816" s="1" t="s">
        <v>55</v>
      </c>
      <c r="Q816" s="1">
        <v>25</v>
      </c>
      <c r="R816" s="1">
        <v>25</v>
      </c>
      <c r="S816" s="1">
        <v>0</v>
      </c>
      <c r="T816" s="1">
        <v>0</v>
      </c>
      <c r="U816" s="1">
        <v>0</v>
      </c>
      <c r="V816" s="1" t="str">
        <f t="shared" si="109"/>
        <v>里程返程</v>
      </c>
      <c r="W816" s="1" t="s">
        <v>35</v>
      </c>
    </row>
    <row r="817" spans="1:23" x14ac:dyDescent="0.3">
      <c r="A817" s="1" t="str">
        <f t="shared" si="115"/>
        <v>59828</v>
      </c>
      <c r="B817" s="1" t="s">
        <v>23</v>
      </c>
      <c r="C817" s="1" t="s">
        <v>24</v>
      </c>
      <c r="D817" s="1" t="str">
        <f t="shared" si="108"/>
        <v>9801</v>
      </c>
      <c r="E817" s="1" t="s">
        <v>25</v>
      </c>
      <c r="F817" s="1" t="str">
        <f>"02BF1218B7880400C814002000000019"</f>
        <v>02BF1218B7880400C814002000000019</v>
      </c>
      <c r="G817" s="1" t="s">
        <v>66</v>
      </c>
      <c r="H817" s="1" t="str">
        <f t="shared" si="116"/>
        <v>20220912</v>
      </c>
      <c r="I817" s="1" t="str">
        <f>"125148"</f>
        <v>125148</v>
      </c>
      <c r="J817" s="1" t="s">
        <v>28</v>
      </c>
      <c r="K817" s="1" t="s">
        <v>28</v>
      </c>
      <c r="L817" s="1" t="str">
        <f t="shared" si="117"/>
        <v>20220912</v>
      </c>
      <c r="M817" s="1" t="str">
        <f>"132330"</f>
        <v>132330</v>
      </c>
      <c r="N817" s="1" t="s">
        <v>52</v>
      </c>
      <c r="O817" s="1" t="s">
        <v>52</v>
      </c>
      <c r="P817" s="1" t="s">
        <v>55</v>
      </c>
      <c r="Q817" s="1">
        <v>25</v>
      </c>
      <c r="R817" s="1">
        <v>25</v>
      </c>
      <c r="S817" s="1">
        <v>0</v>
      </c>
      <c r="T817" s="1">
        <v>0</v>
      </c>
      <c r="U817" s="1">
        <v>0</v>
      </c>
      <c r="V817" s="1" t="str">
        <f t="shared" si="109"/>
        <v>里程返程</v>
      </c>
      <c r="W817" s="1" t="s">
        <v>29</v>
      </c>
    </row>
    <row r="818" spans="1:23" x14ac:dyDescent="0.3">
      <c r="A818" s="1" t="str">
        <f t="shared" si="115"/>
        <v>59828</v>
      </c>
      <c r="B818" s="1" t="s">
        <v>23</v>
      </c>
      <c r="C818" s="1" t="s">
        <v>24</v>
      </c>
      <c r="D818" s="1" t="str">
        <f t="shared" si="108"/>
        <v>9801</v>
      </c>
      <c r="E818" s="1" t="s">
        <v>25</v>
      </c>
      <c r="F818" s="1" t="str">
        <f>"0191A62A1C280400F700000000000000"</f>
        <v>0191A62A1C280400F700000000000000</v>
      </c>
      <c r="G818" s="1" t="s">
        <v>58</v>
      </c>
      <c r="H818" s="1" t="str">
        <f t="shared" si="116"/>
        <v>20220912</v>
      </c>
      <c r="I818" s="1" t="str">
        <f>"142706"</f>
        <v>142706</v>
      </c>
      <c r="J818" s="1" t="s">
        <v>44</v>
      </c>
      <c r="K818" s="1" t="s">
        <v>45</v>
      </c>
      <c r="L818" s="1" t="str">
        <f t="shared" si="117"/>
        <v>20220912</v>
      </c>
      <c r="M818" s="1" t="str">
        <f>"145116"</f>
        <v>145116</v>
      </c>
      <c r="N818" s="1" t="s">
        <v>28</v>
      </c>
      <c r="O818" s="1" t="s">
        <v>28</v>
      </c>
      <c r="P818" s="1" t="s">
        <v>55</v>
      </c>
      <c r="Q818" s="1">
        <v>25</v>
      </c>
      <c r="R818" s="1">
        <v>25</v>
      </c>
      <c r="S818" s="1">
        <v>0</v>
      </c>
      <c r="T818" s="1">
        <v>0</v>
      </c>
      <c r="U818" s="1">
        <v>0</v>
      </c>
      <c r="V818" s="1" t="str">
        <f t="shared" si="109"/>
        <v>里程返程</v>
      </c>
      <c r="W818" s="1" t="s">
        <v>29</v>
      </c>
    </row>
    <row r="819" spans="1:23" x14ac:dyDescent="0.3">
      <c r="A819" s="1" t="str">
        <f t="shared" si="115"/>
        <v>59828</v>
      </c>
      <c r="B819" s="1" t="s">
        <v>23</v>
      </c>
      <c r="C819" s="1" t="s">
        <v>24</v>
      </c>
      <c r="D819" s="1" t="str">
        <f t="shared" si="108"/>
        <v>9801</v>
      </c>
      <c r="E819" s="1" t="s">
        <v>25</v>
      </c>
      <c r="F819" s="1" t="str">
        <f>"20108DDC61880400468F465655101311"</f>
        <v>20108DDC61880400468F465655101311</v>
      </c>
      <c r="G819" s="1" t="s">
        <v>59</v>
      </c>
      <c r="H819" s="1" t="str">
        <f t="shared" si="116"/>
        <v>20220912</v>
      </c>
      <c r="I819" s="1" t="str">
        <f>"143756"</f>
        <v>143756</v>
      </c>
      <c r="J819" s="1" t="s">
        <v>75</v>
      </c>
      <c r="K819" s="1" t="s">
        <v>45</v>
      </c>
      <c r="L819" s="1" t="str">
        <f t="shared" si="117"/>
        <v>20220912</v>
      </c>
      <c r="M819" s="1" t="str">
        <f>"145045"</f>
        <v>145045</v>
      </c>
      <c r="N819" s="1" t="s">
        <v>95</v>
      </c>
      <c r="O819" s="1" t="s">
        <v>28</v>
      </c>
      <c r="P819" s="1" t="s">
        <v>55</v>
      </c>
      <c r="Q819" s="1">
        <v>25</v>
      </c>
      <c r="R819" s="1">
        <v>25</v>
      </c>
      <c r="S819" s="1">
        <v>0</v>
      </c>
      <c r="T819" s="1">
        <v>0</v>
      </c>
      <c r="U819" s="1">
        <v>0</v>
      </c>
      <c r="V819" s="1" t="str">
        <f t="shared" si="109"/>
        <v>里程返程</v>
      </c>
      <c r="W819" s="1" t="s">
        <v>29</v>
      </c>
    </row>
    <row r="820" spans="1:23" x14ac:dyDescent="0.3">
      <c r="A820" s="1" t="str">
        <f t="shared" si="115"/>
        <v>59828</v>
      </c>
      <c r="B820" s="1" t="s">
        <v>23</v>
      </c>
      <c r="C820" s="1" t="s">
        <v>24</v>
      </c>
      <c r="D820" s="1" t="str">
        <f t="shared" si="108"/>
        <v>9801</v>
      </c>
      <c r="E820" s="1" t="s">
        <v>25</v>
      </c>
      <c r="F820" s="1" t="str">
        <f>"52E61A03AD880400C834002000000015"</f>
        <v>52E61A03AD880400C834002000000015</v>
      </c>
      <c r="G820" s="1" t="s">
        <v>74</v>
      </c>
      <c r="H820" s="1" t="str">
        <f t="shared" si="116"/>
        <v>20220912</v>
      </c>
      <c r="I820" s="1" t="str">
        <f>"151141"</f>
        <v>151141</v>
      </c>
      <c r="J820" s="1" t="s">
        <v>80</v>
      </c>
      <c r="K820" s="1" t="s">
        <v>52</v>
      </c>
      <c r="L820" s="1" t="str">
        <f t="shared" si="117"/>
        <v>20220912</v>
      </c>
      <c r="M820" s="1" t="str">
        <f>"152408"</f>
        <v>152408</v>
      </c>
      <c r="N820" s="1" t="s">
        <v>52</v>
      </c>
      <c r="O820" s="1" t="s">
        <v>52</v>
      </c>
      <c r="P820" s="1" t="s">
        <v>68</v>
      </c>
      <c r="Q820" s="1">
        <v>13</v>
      </c>
      <c r="R820" s="1">
        <v>0</v>
      </c>
      <c r="S820" s="1">
        <v>0</v>
      </c>
      <c r="T820" s="1">
        <v>13</v>
      </c>
      <c r="U820" s="1">
        <v>0</v>
      </c>
      <c r="V820" s="1" t="str">
        <f t="shared" si="109"/>
        <v>里程返程</v>
      </c>
      <c r="W820" s="1" t="s">
        <v>29</v>
      </c>
    </row>
    <row r="821" spans="1:23" x14ac:dyDescent="0.3">
      <c r="A821" s="1" t="str">
        <f t="shared" si="115"/>
        <v>59828</v>
      </c>
      <c r="B821" s="1" t="s">
        <v>23</v>
      </c>
      <c r="C821" s="1" t="s">
        <v>24</v>
      </c>
      <c r="D821" s="1" t="str">
        <f t="shared" si="108"/>
        <v>9801</v>
      </c>
      <c r="E821" s="1" t="s">
        <v>25</v>
      </c>
      <c r="F821" s="1" t="str">
        <f>"7227E702B0880400C834002000000015"</f>
        <v>7227E702B0880400C834002000000015</v>
      </c>
      <c r="G821" s="1" t="s">
        <v>74</v>
      </c>
      <c r="H821" s="1" t="str">
        <f t="shared" si="116"/>
        <v>20220912</v>
      </c>
      <c r="I821" s="1" t="str">
        <f>"151143"</f>
        <v>151143</v>
      </c>
      <c r="J821" s="1" t="s">
        <v>80</v>
      </c>
      <c r="K821" s="1" t="s">
        <v>52</v>
      </c>
      <c r="L821" s="1" t="str">
        <f t="shared" si="117"/>
        <v>20220912</v>
      </c>
      <c r="M821" s="1" t="str">
        <f>"152406"</f>
        <v>152406</v>
      </c>
      <c r="N821" s="1" t="s">
        <v>52</v>
      </c>
      <c r="O821" s="1" t="s">
        <v>52</v>
      </c>
      <c r="P821" s="1" t="s">
        <v>68</v>
      </c>
      <c r="Q821" s="1">
        <v>13</v>
      </c>
      <c r="R821" s="1">
        <v>0</v>
      </c>
      <c r="S821" s="1">
        <v>0</v>
      </c>
      <c r="T821" s="1">
        <v>13</v>
      </c>
      <c r="U821" s="1">
        <v>0</v>
      </c>
      <c r="V821" s="1" t="str">
        <f t="shared" si="109"/>
        <v>里程返程</v>
      </c>
      <c r="W821" s="1" t="s">
        <v>29</v>
      </c>
    </row>
    <row r="822" spans="1:23" x14ac:dyDescent="0.3">
      <c r="A822" s="1" t="str">
        <f t="shared" si="115"/>
        <v>59828</v>
      </c>
      <c r="B822" s="1" t="s">
        <v>23</v>
      </c>
      <c r="C822" s="1" t="s">
        <v>24</v>
      </c>
      <c r="D822" s="1" t="str">
        <f t="shared" si="108"/>
        <v>9801</v>
      </c>
      <c r="E822" s="1" t="s">
        <v>25</v>
      </c>
      <c r="F822" s="1" t="str">
        <f>"E2FD4F134328040080CED99861013018"</f>
        <v>E2FD4F134328040080CED99861013018</v>
      </c>
      <c r="G822" s="1" t="s">
        <v>58</v>
      </c>
      <c r="H822" s="1" t="str">
        <f t="shared" si="116"/>
        <v>20220912</v>
      </c>
      <c r="I822" s="1" t="str">
        <f>"153639"</f>
        <v>153639</v>
      </c>
      <c r="J822" s="1" t="s">
        <v>91</v>
      </c>
      <c r="K822" s="1" t="s">
        <v>45</v>
      </c>
      <c r="L822" s="1" t="str">
        <f t="shared" si="117"/>
        <v>20220912</v>
      </c>
      <c r="M822" s="1" t="str">
        <f>"155159"</f>
        <v>155159</v>
      </c>
      <c r="N822" s="1" t="s">
        <v>28</v>
      </c>
      <c r="O822" s="1" t="s">
        <v>28</v>
      </c>
      <c r="P822" s="1" t="s">
        <v>55</v>
      </c>
      <c r="Q822" s="1">
        <v>25</v>
      </c>
      <c r="R822" s="1">
        <v>25</v>
      </c>
      <c r="S822" s="1">
        <v>0</v>
      </c>
      <c r="T822" s="1">
        <v>0</v>
      </c>
      <c r="U822" s="1">
        <v>0</v>
      </c>
      <c r="V822" s="1" t="str">
        <f t="shared" si="109"/>
        <v>里程返程</v>
      </c>
      <c r="W822" s="1" t="s">
        <v>29</v>
      </c>
    </row>
    <row r="823" spans="1:23" x14ac:dyDescent="0.3">
      <c r="A823" s="1" t="str">
        <f t="shared" si="115"/>
        <v>59828</v>
      </c>
      <c r="B823" s="1" t="s">
        <v>23</v>
      </c>
      <c r="C823" s="1" t="s">
        <v>24</v>
      </c>
      <c r="D823" s="1" t="str">
        <f t="shared" si="108"/>
        <v>9801</v>
      </c>
      <c r="E823" s="1" t="s">
        <v>25</v>
      </c>
      <c r="F823" s="1" t="str">
        <f>"32780D0344880400C834002000000015"</f>
        <v>32780D0344880400C834002000000015</v>
      </c>
      <c r="G823" s="1" t="s">
        <v>26</v>
      </c>
      <c r="H823" s="1" t="str">
        <f t="shared" si="116"/>
        <v>20220912</v>
      </c>
      <c r="I823" s="1" t="str">
        <f>"154119"</f>
        <v>154119</v>
      </c>
      <c r="J823" s="1" t="s">
        <v>56</v>
      </c>
      <c r="K823" s="1" t="s">
        <v>45</v>
      </c>
      <c r="L823" s="1" t="str">
        <f t="shared" si="117"/>
        <v>20220912</v>
      </c>
      <c r="M823" s="1" t="str">
        <f>"155055"</f>
        <v>155055</v>
      </c>
      <c r="N823" s="1" t="s">
        <v>95</v>
      </c>
      <c r="O823" s="1" t="s">
        <v>28</v>
      </c>
      <c r="P823" s="1" t="s">
        <v>68</v>
      </c>
      <c r="Q823" s="1">
        <v>13</v>
      </c>
      <c r="R823" s="1">
        <v>0</v>
      </c>
      <c r="S823" s="1">
        <v>0</v>
      </c>
      <c r="T823" s="1">
        <v>13</v>
      </c>
      <c r="U823" s="1">
        <v>0</v>
      </c>
      <c r="V823" s="1" t="str">
        <f t="shared" si="109"/>
        <v>里程返程</v>
      </c>
      <c r="W823" s="1" t="s">
        <v>29</v>
      </c>
    </row>
    <row r="824" spans="1:23" x14ac:dyDescent="0.3">
      <c r="A824" s="1" t="str">
        <f t="shared" si="115"/>
        <v>59828</v>
      </c>
      <c r="B824" s="1" t="s">
        <v>23</v>
      </c>
      <c r="C824" s="1" t="s">
        <v>24</v>
      </c>
      <c r="D824" s="1" t="str">
        <f t="shared" si="108"/>
        <v>9801</v>
      </c>
      <c r="E824" s="1" t="s">
        <v>25</v>
      </c>
      <c r="F824" s="1" t="str">
        <f>"D5C2F29B7E8804004327BBD200180B07"</f>
        <v>D5C2F29B7E8804004327BBD200180B07</v>
      </c>
      <c r="G824" s="1" t="s">
        <v>59</v>
      </c>
      <c r="H824" s="1" t="str">
        <f t="shared" si="116"/>
        <v>20220912</v>
      </c>
      <c r="I824" s="1" t="str">
        <f>"155207"</f>
        <v>155207</v>
      </c>
      <c r="J824" s="1" t="s">
        <v>28</v>
      </c>
      <c r="K824" s="1" t="s">
        <v>28</v>
      </c>
      <c r="L824" s="1" t="str">
        <f t="shared" si="117"/>
        <v>20220912</v>
      </c>
      <c r="M824" s="1" t="str">
        <f>"161038"</f>
        <v>161038</v>
      </c>
      <c r="N824" s="1" t="s">
        <v>77</v>
      </c>
      <c r="O824" s="1" t="s">
        <v>52</v>
      </c>
      <c r="P824" s="1" t="s">
        <v>55</v>
      </c>
      <c r="Q824" s="1">
        <v>25</v>
      </c>
      <c r="R824" s="1">
        <v>0</v>
      </c>
      <c r="S824" s="1">
        <v>25</v>
      </c>
      <c r="T824" s="1">
        <v>0</v>
      </c>
      <c r="U824" s="1">
        <v>0</v>
      </c>
      <c r="V824" s="1" t="str">
        <f t="shared" si="109"/>
        <v>里程返程</v>
      </c>
      <c r="W824" s="1" t="s">
        <v>29</v>
      </c>
    </row>
    <row r="825" spans="1:23" x14ac:dyDescent="0.3">
      <c r="A825" s="1" t="str">
        <f t="shared" si="115"/>
        <v>59828</v>
      </c>
      <c r="B825" s="1" t="s">
        <v>23</v>
      </c>
      <c r="C825" s="1" t="s">
        <v>24</v>
      </c>
      <c r="D825" s="1" t="str">
        <f t="shared" si="108"/>
        <v>9801</v>
      </c>
      <c r="E825" s="1" t="s">
        <v>25</v>
      </c>
      <c r="F825" s="1" t="str">
        <f>"023BCC0AFF880400C810002000000016"</f>
        <v>023BCC0AFF880400C810002000000016</v>
      </c>
      <c r="G825" s="1" t="s">
        <v>58</v>
      </c>
      <c r="H825" s="1" t="str">
        <f t="shared" si="116"/>
        <v>20220912</v>
      </c>
      <c r="I825" s="1" t="str">
        <f>"155212"</f>
        <v>155212</v>
      </c>
      <c r="J825" s="1" t="s">
        <v>28</v>
      </c>
      <c r="K825" s="1" t="s">
        <v>28</v>
      </c>
      <c r="L825" s="1" t="str">
        <f t="shared" si="117"/>
        <v>20220912</v>
      </c>
      <c r="M825" s="1" t="str">
        <f>"160441"</f>
        <v>160441</v>
      </c>
      <c r="N825" s="1" t="s">
        <v>67</v>
      </c>
      <c r="O825" s="1" t="s">
        <v>52</v>
      </c>
      <c r="P825" s="1" t="s">
        <v>55</v>
      </c>
      <c r="Q825" s="1">
        <v>25</v>
      </c>
      <c r="R825" s="1">
        <v>25</v>
      </c>
      <c r="S825" s="1">
        <v>0</v>
      </c>
      <c r="T825" s="1">
        <v>0</v>
      </c>
      <c r="U825" s="1">
        <v>0</v>
      </c>
      <c r="V825" s="1" t="str">
        <f t="shared" si="109"/>
        <v>里程返程</v>
      </c>
      <c r="W825" s="1" t="s">
        <v>29</v>
      </c>
    </row>
    <row r="826" spans="1:23" x14ac:dyDescent="0.3">
      <c r="A826" s="1" t="str">
        <f t="shared" si="115"/>
        <v>59828</v>
      </c>
      <c r="B826" s="1" t="s">
        <v>23</v>
      </c>
      <c r="C826" s="1" t="s">
        <v>24</v>
      </c>
      <c r="D826" s="1" t="str">
        <f t="shared" si="108"/>
        <v>9801</v>
      </c>
      <c r="E826" s="1" t="s">
        <v>25</v>
      </c>
      <c r="F826" s="1" t="str">
        <f>"A2641D03D8880400C834002000000015"</f>
        <v>A2641D03D8880400C834002000000015</v>
      </c>
      <c r="G826" s="1" t="s">
        <v>26</v>
      </c>
      <c r="H826" s="1" t="str">
        <f t="shared" si="116"/>
        <v>20220912</v>
      </c>
      <c r="I826" s="1" t="str">
        <f>"155222"</f>
        <v>155222</v>
      </c>
      <c r="J826" s="1" t="s">
        <v>28</v>
      </c>
      <c r="K826" s="1" t="s">
        <v>28</v>
      </c>
      <c r="L826" s="1" t="str">
        <f t="shared" si="117"/>
        <v>20220912</v>
      </c>
      <c r="M826" s="1" t="str">
        <f>"163030"</f>
        <v>163030</v>
      </c>
      <c r="N826" s="1" t="s">
        <v>52</v>
      </c>
      <c r="O826" s="1" t="s">
        <v>52</v>
      </c>
      <c r="P826" s="1" t="s">
        <v>68</v>
      </c>
      <c r="Q826" s="1">
        <v>13</v>
      </c>
      <c r="R826" s="1">
        <v>0</v>
      </c>
      <c r="S826" s="1">
        <v>0</v>
      </c>
      <c r="T826" s="1">
        <v>13</v>
      </c>
      <c r="U826" s="1">
        <v>0</v>
      </c>
      <c r="V826" s="1" t="str">
        <f t="shared" si="109"/>
        <v>里程返程</v>
      </c>
      <c r="W826" s="1" t="s">
        <v>29</v>
      </c>
    </row>
    <row r="827" spans="1:23" x14ac:dyDescent="0.3">
      <c r="A827" s="1" t="str">
        <f t="shared" si="115"/>
        <v>59828</v>
      </c>
      <c r="B827" s="1" t="s">
        <v>23</v>
      </c>
      <c r="C827" s="1" t="s">
        <v>24</v>
      </c>
      <c r="D827" s="1" t="str">
        <f t="shared" si="108"/>
        <v>9801</v>
      </c>
      <c r="E827" s="1" t="s">
        <v>25</v>
      </c>
      <c r="F827" s="1" t="str">
        <f>"109990689"</f>
        <v>109990689</v>
      </c>
      <c r="G827" s="1" t="s">
        <v>26</v>
      </c>
      <c r="H827" s="1" t="str">
        <f t="shared" si="116"/>
        <v>20220912</v>
      </c>
      <c r="I827" s="1" t="str">
        <f>"155236"</f>
        <v>155236</v>
      </c>
      <c r="J827" s="1" t="s">
        <v>28</v>
      </c>
      <c r="K827" s="1" t="s">
        <v>28</v>
      </c>
      <c r="L827" s="1" t="str">
        <f t="shared" si="117"/>
        <v>20220912</v>
      </c>
      <c r="M827" s="1" t="str">
        <f>"163023"</f>
        <v>163023</v>
      </c>
      <c r="N827" s="1" t="s">
        <v>52</v>
      </c>
      <c r="O827" s="1" t="s">
        <v>52</v>
      </c>
      <c r="P827" s="1" t="s">
        <v>55</v>
      </c>
      <c r="Q827" s="1">
        <v>13</v>
      </c>
      <c r="R827" s="1">
        <v>13</v>
      </c>
      <c r="S827" s="1">
        <v>0</v>
      </c>
      <c r="T827" s="1">
        <v>0</v>
      </c>
      <c r="U827" s="1">
        <v>0</v>
      </c>
      <c r="V827" s="1" t="str">
        <f t="shared" si="109"/>
        <v>里程返程</v>
      </c>
      <c r="W827" s="1" t="s">
        <v>35</v>
      </c>
    </row>
    <row r="828" spans="1:23" x14ac:dyDescent="0.3">
      <c r="A828" s="1" t="str">
        <f t="shared" si="115"/>
        <v>59828</v>
      </c>
      <c r="B828" s="1" t="s">
        <v>23</v>
      </c>
      <c r="C828" s="1" t="s">
        <v>24</v>
      </c>
      <c r="D828" s="1" t="str">
        <f t="shared" si="108"/>
        <v>9801</v>
      </c>
      <c r="E828" s="1" t="s">
        <v>25</v>
      </c>
      <c r="F828" s="1" t="str">
        <f>"3676982027"</f>
        <v>3676982027</v>
      </c>
      <c r="G828" s="1" t="s">
        <v>26</v>
      </c>
      <c r="H828" s="1" t="str">
        <f t="shared" si="116"/>
        <v>20220912</v>
      </c>
      <c r="I828" s="1" t="str">
        <f>"155238"</f>
        <v>155238</v>
      </c>
      <c r="J828" s="1" t="s">
        <v>28</v>
      </c>
      <c r="K828" s="1" t="s">
        <v>28</v>
      </c>
      <c r="L828" s="1" t="str">
        <f t="shared" si="117"/>
        <v>20220912</v>
      </c>
      <c r="M828" s="1" t="str">
        <f>"163024"</f>
        <v>163024</v>
      </c>
      <c r="N828" s="1" t="s">
        <v>52</v>
      </c>
      <c r="O828" s="1" t="s">
        <v>52</v>
      </c>
      <c r="P828" s="1" t="s">
        <v>55</v>
      </c>
      <c r="Q828" s="1">
        <v>13</v>
      </c>
      <c r="R828" s="1">
        <v>13</v>
      </c>
      <c r="S828" s="1">
        <v>0</v>
      </c>
      <c r="T828" s="1">
        <v>0</v>
      </c>
      <c r="U828" s="1">
        <v>0</v>
      </c>
      <c r="V828" s="1" t="str">
        <f t="shared" si="109"/>
        <v>里程返程</v>
      </c>
      <c r="W828" s="1" t="s">
        <v>35</v>
      </c>
    </row>
    <row r="829" spans="1:23" x14ac:dyDescent="0.3">
      <c r="A829" s="1" t="str">
        <f t="shared" si="115"/>
        <v>59828</v>
      </c>
      <c r="B829" s="1" t="s">
        <v>23</v>
      </c>
      <c r="C829" s="1" t="s">
        <v>24</v>
      </c>
      <c r="D829" s="1" t="str">
        <f t="shared" si="108"/>
        <v>9801</v>
      </c>
      <c r="E829" s="1" t="s">
        <v>25</v>
      </c>
      <c r="F829" s="1" t="str">
        <f>"42AFE60209880400C834002000000015"</f>
        <v>42AFE60209880400C834002000000015</v>
      </c>
      <c r="G829" s="1" t="s">
        <v>74</v>
      </c>
      <c r="H829" s="1" t="str">
        <f t="shared" si="116"/>
        <v>20220912</v>
      </c>
      <c r="I829" s="1" t="str">
        <f>"161500"</f>
        <v>161500</v>
      </c>
      <c r="J829" s="1" t="s">
        <v>80</v>
      </c>
      <c r="K829" s="1" t="s">
        <v>52</v>
      </c>
      <c r="L829" s="1" t="str">
        <f t="shared" si="117"/>
        <v>20220912</v>
      </c>
      <c r="M829" s="1" t="str">
        <f>"163020"</f>
        <v>163020</v>
      </c>
      <c r="N829" s="1" t="s">
        <v>52</v>
      </c>
      <c r="O829" s="1" t="s">
        <v>52</v>
      </c>
      <c r="P829" s="1" t="s">
        <v>68</v>
      </c>
      <c r="Q829" s="1">
        <v>13</v>
      </c>
      <c r="R829" s="1">
        <v>0</v>
      </c>
      <c r="S829" s="1">
        <v>0</v>
      </c>
      <c r="T829" s="1">
        <v>13</v>
      </c>
      <c r="U829" s="1">
        <v>0</v>
      </c>
      <c r="V829" s="1" t="str">
        <f t="shared" si="109"/>
        <v>里程返程</v>
      </c>
      <c r="W829" s="1" t="s">
        <v>29</v>
      </c>
    </row>
    <row r="830" spans="1:23" x14ac:dyDescent="0.3">
      <c r="A830" s="1" t="str">
        <f t="shared" si="115"/>
        <v>59828</v>
      </c>
      <c r="B830" s="1" t="s">
        <v>23</v>
      </c>
      <c r="C830" s="1" t="s">
        <v>24</v>
      </c>
      <c r="D830" s="1" t="str">
        <f t="shared" si="108"/>
        <v>9801</v>
      </c>
      <c r="E830" s="1" t="s">
        <v>25</v>
      </c>
      <c r="F830" s="1" t="str">
        <f>"510A3A5A3B2804001C00000000000000"</f>
        <v>510A3A5A3B2804001C00000000000000</v>
      </c>
      <c r="G830" s="1" t="s">
        <v>58</v>
      </c>
      <c r="H830" s="1" t="str">
        <f t="shared" si="116"/>
        <v>20220912</v>
      </c>
      <c r="I830" s="1" t="str">
        <f>"163056"</f>
        <v>163056</v>
      </c>
      <c r="J830" s="1" t="s">
        <v>44</v>
      </c>
      <c r="K830" s="1" t="s">
        <v>45</v>
      </c>
      <c r="L830" s="1" t="str">
        <f t="shared" si="117"/>
        <v>20220912</v>
      </c>
      <c r="M830" s="1" t="str">
        <f>"165250"</f>
        <v>165250</v>
      </c>
      <c r="N830" s="1" t="s">
        <v>28</v>
      </c>
      <c r="O830" s="1" t="s">
        <v>28</v>
      </c>
      <c r="P830" s="1" t="s">
        <v>55</v>
      </c>
      <c r="Q830" s="1">
        <v>25</v>
      </c>
      <c r="R830" s="1">
        <v>0</v>
      </c>
      <c r="S830" s="1">
        <v>25</v>
      </c>
      <c r="T830" s="1">
        <v>0</v>
      </c>
      <c r="U830" s="1">
        <v>0</v>
      </c>
      <c r="V830" s="1" t="str">
        <f t="shared" si="109"/>
        <v>里程返程</v>
      </c>
      <c r="W830" s="1" t="s">
        <v>29</v>
      </c>
    </row>
    <row r="831" spans="1:23" x14ac:dyDescent="0.3">
      <c r="A831" s="1" t="str">
        <f t="shared" si="115"/>
        <v>59828</v>
      </c>
      <c r="B831" s="1" t="s">
        <v>23</v>
      </c>
      <c r="C831" s="1" t="s">
        <v>24</v>
      </c>
      <c r="D831" s="1" t="str">
        <f t="shared" si="108"/>
        <v>9801</v>
      </c>
      <c r="E831" s="1" t="s">
        <v>25</v>
      </c>
      <c r="F831" s="1" t="str">
        <f>"C28A65163B880400C814002000000019"</f>
        <v>C28A65163B880400C814002000000019</v>
      </c>
      <c r="G831" s="1" t="s">
        <v>82</v>
      </c>
      <c r="H831" s="1" t="str">
        <f t="shared" si="116"/>
        <v>20220912</v>
      </c>
      <c r="I831" s="1" t="str">
        <f>"163100"</f>
        <v>163100</v>
      </c>
      <c r="J831" s="1" t="s">
        <v>44</v>
      </c>
      <c r="K831" s="1" t="s">
        <v>45</v>
      </c>
      <c r="L831" s="1" t="str">
        <f t="shared" si="117"/>
        <v>20220912</v>
      </c>
      <c r="M831" s="1" t="str">
        <f>"165248"</f>
        <v>165248</v>
      </c>
      <c r="N831" s="1" t="s">
        <v>28</v>
      </c>
      <c r="O831" s="1" t="s">
        <v>28</v>
      </c>
      <c r="P831" s="1" t="s">
        <v>55</v>
      </c>
      <c r="Q831" s="1">
        <v>13</v>
      </c>
      <c r="R831" s="1">
        <v>0</v>
      </c>
      <c r="S831" s="1">
        <v>13</v>
      </c>
      <c r="T831" s="1">
        <v>0</v>
      </c>
      <c r="U831" s="1">
        <v>0</v>
      </c>
      <c r="V831" s="1" t="str">
        <f t="shared" si="109"/>
        <v>里程返程</v>
      </c>
      <c r="W831" s="1" t="s">
        <v>29</v>
      </c>
    </row>
    <row r="832" spans="1:23" x14ac:dyDescent="0.3">
      <c r="A832" s="1" t="str">
        <f t="shared" si="115"/>
        <v>59828</v>
      </c>
      <c r="B832" s="1" t="s">
        <v>23</v>
      </c>
      <c r="C832" s="1" t="s">
        <v>24</v>
      </c>
      <c r="D832" s="1" t="str">
        <f t="shared" si="108"/>
        <v>9801</v>
      </c>
      <c r="E832" s="1" t="s">
        <v>25</v>
      </c>
      <c r="F832" s="1" t="str">
        <f>"1783806229"</f>
        <v>1783806229</v>
      </c>
      <c r="G832" s="1" t="s">
        <v>33</v>
      </c>
      <c r="H832" s="1" t="str">
        <f t="shared" si="116"/>
        <v>20220912</v>
      </c>
      <c r="I832" s="1" t="str">
        <f>"164150"</f>
        <v>164150</v>
      </c>
      <c r="J832" s="1" t="s">
        <v>56</v>
      </c>
      <c r="K832" s="1" t="s">
        <v>45</v>
      </c>
      <c r="L832" s="1" t="str">
        <f t="shared" si="117"/>
        <v>20220912</v>
      </c>
      <c r="M832" s="1" t="str">
        <f>"165244"</f>
        <v>165244</v>
      </c>
      <c r="N832" s="1" t="s">
        <v>28</v>
      </c>
      <c r="O832" s="1" t="s">
        <v>28</v>
      </c>
      <c r="P832" s="1" t="s">
        <v>55</v>
      </c>
      <c r="Q832" s="1">
        <v>25</v>
      </c>
      <c r="R832" s="1">
        <v>0</v>
      </c>
      <c r="S832" s="1">
        <v>25</v>
      </c>
      <c r="T832" s="1">
        <v>0</v>
      </c>
      <c r="U832" s="1">
        <v>0</v>
      </c>
      <c r="V832" s="1" t="str">
        <f t="shared" si="109"/>
        <v>里程返程</v>
      </c>
      <c r="W832" s="1" t="s">
        <v>35</v>
      </c>
    </row>
    <row r="833" spans="1:23" x14ac:dyDescent="0.3">
      <c r="A833" s="1" t="str">
        <f t="shared" si="115"/>
        <v>59828</v>
      </c>
      <c r="B833" s="1" t="s">
        <v>23</v>
      </c>
      <c r="C833" s="1" t="s">
        <v>24</v>
      </c>
      <c r="D833" s="1" t="str">
        <f t="shared" si="108"/>
        <v>9801</v>
      </c>
      <c r="E833" s="1" t="s">
        <v>25</v>
      </c>
      <c r="F833" s="1" t="str">
        <f>"F215D20237880400C834002000000015"</f>
        <v>F215D20237880400C834002000000015</v>
      </c>
      <c r="G833" s="1" t="s">
        <v>26</v>
      </c>
      <c r="H833" s="1" t="str">
        <f t="shared" si="116"/>
        <v>20220912</v>
      </c>
      <c r="I833" s="1" t="str">
        <f>"165307"</f>
        <v>165307</v>
      </c>
      <c r="J833" s="1" t="s">
        <v>28</v>
      </c>
      <c r="K833" s="1" t="s">
        <v>28</v>
      </c>
      <c r="L833" s="1" t="str">
        <f t="shared" si="117"/>
        <v>20220912</v>
      </c>
      <c r="M833" s="1" t="str">
        <f>"172114"</f>
        <v>172114</v>
      </c>
      <c r="N833" s="1" t="s">
        <v>51</v>
      </c>
      <c r="O833" s="1" t="s">
        <v>52</v>
      </c>
      <c r="P833" s="1" t="s">
        <v>68</v>
      </c>
      <c r="Q833" s="1">
        <v>13</v>
      </c>
      <c r="R833" s="1">
        <v>0</v>
      </c>
      <c r="S833" s="1">
        <v>0</v>
      </c>
      <c r="T833" s="1">
        <v>13</v>
      </c>
      <c r="U833" s="1">
        <v>0</v>
      </c>
      <c r="V833" s="1" t="str">
        <f t="shared" si="109"/>
        <v>里程返程</v>
      </c>
      <c r="W833" s="1" t="s">
        <v>29</v>
      </c>
    </row>
    <row r="834" spans="1:23" x14ac:dyDescent="0.3">
      <c r="A834" s="1" t="str">
        <f t="shared" ref="A834:A858" si="118">"59809"</f>
        <v>59809</v>
      </c>
      <c r="B834" s="1" t="s">
        <v>42</v>
      </c>
      <c r="C834" s="1" t="s">
        <v>43</v>
      </c>
      <c r="D834" s="1" t="str">
        <f t="shared" ref="D834:D897" si="119">"9801"</f>
        <v>9801</v>
      </c>
      <c r="E834" s="1" t="s">
        <v>25</v>
      </c>
      <c r="F834" s="1" t="str">
        <f>"F29BD102BA880400C834002000000015"</f>
        <v>F29BD102BA880400C834002000000015</v>
      </c>
      <c r="G834" s="1" t="s">
        <v>26</v>
      </c>
      <c r="H834" s="1" t="str">
        <f t="shared" ref="H834:H865" si="120">"20220913"</f>
        <v>20220913</v>
      </c>
      <c r="I834" s="1" t="str">
        <f>"083334"</f>
        <v>083334</v>
      </c>
      <c r="J834" s="1" t="s">
        <v>44</v>
      </c>
      <c r="K834" s="1" t="s">
        <v>45</v>
      </c>
      <c r="L834" s="1" t="str">
        <f t="shared" ref="L834:L865" si="121">"20220913"</f>
        <v>20220913</v>
      </c>
      <c r="M834" s="1" t="str">
        <f>"085026"</f>
        <v>085026</v>
      </c>
      <c r="N834" s="1" t="s">
        <v>95</v>
      </c>
      <c r="O834" s="1" t="s">
        <v>28</v>
      </c>
      <c r="P834" s="1" t="s">
        <v>68</v>
      </c>
      <c r="Q834" s="1">
        <v>13</v>
      </c>
      <c r="R834" s="1">
        <v>0</v>
      </c>
      <c r="S834" s="1">
        <v>0</v>
      </c>
      <c r="T834" s="1">
        <v>13</v>
      </c>
      <c r="U834" s="1">
        <v>0</v>
      </c>
      <c r="V834" s="1" t="str">
        <f t="shared" ref="V834:V897" si="122">"里程返程"</f>
        <v>里程返程</v>
      </c>
      <c r="W834" s="1" t="s">
        <v>29</v>
      </c>
    </row>
    <row r="835" spans="1:23" x14ac:dyDescent="0.3">
      <c r="A835" s="1" t="str">
        <f t="shared" si="118"/>
        <v>59809</v>
      </c>
      <c r="B835" s="1" t="s">
        <v>42</v>
      </c>
      <c r="C835" s="1" t="s">
        <v>43</v>
      </c>
      <c r="D835" s="1" t="str">
        <f t="shared" si="119"/>
        <v>9801</v>
      </c>
      <c r="E835" s="1" t="s">
        <v>25</v>
      </c>
      <c r="F835" s="1" t="str">
        <f>"641876385"</f>
        <v>641876385</v>
      </c>
      <c r="G835" s="1" t="s">
        <v>33</v>
      </c>
      <c r="H835" s="1" t="str">
        <f t="shared" si="120"/>
        <v>20220913</v>
      </c>
      <c r="I835" s="1" t="str">
        <f>"083511"</f>
        <v>083511</v>
      </c>
      <c r="J835" s="1" t="s">
        <v>100</v>
      </c>
      <c r="K835" s="1" t="s">
        <v>45</v>
      </c>
      <c r="L835" s="1" t="str">
        <f t="shared" si="121"/>
        <v>20220913</v>
      </c>
      <c r="M835" s="1" t="str">
        <f>"085100"</f>
        <v>085100</v>
      </c>
      <c r="N835" s="1" t="s">
        <v>28</v>
      </c>
      <c r="O835" s="1" t="s">
        <v>28</v>
      </c>
      <c r="P835" s="1" t="s">
        <v>55</v>
      </c>
      <c r="Q835" s="1">
        <v>25</v>
      </c>
      <c r="R835" s="1">
        <v>25</v>
      </c>
      <c r="S835" s="1">
        <v>0</v>
      </c>
      <c r="T835" s="1">
        <v>0</v>
      </c>
      <c r="U835" s="1">
        <v>0</v>
      </c>
      <c r="V835" s="1" t="str">
        <f t="shared" si="122"/>
        <v>里程返程</v>
      </c>
      <c r="W835" s="1" t="s">
        <v>35</v>
      </c>
    </row>
    <row r="836" spans="1:23" x14ac:dyDescent="0.3">
      <c r="A836" s="1" t="str">
        <f t="shared" si="118"/>
        <v>59809</v>
      </c>
      <c r="B836" s="1" t="s">
        <v>42</v>
      </c>
      <c r="C836" s="1" t="s">
        <v>43</v>
      </c>
      <c r="D836" s="1" t="str">
        <f t="shared" si="119"/>
        <v>9801</v>
      </c>
      <c r="E836" s="1" t="s">
        <v>25</v>
      </c>
      <c r="F836" s="1" t="str">
        <f>"2395845819"</f>
        <v>2395845819</v>
      </c>
      <c r="G836" s="1" t="s">
        <v>26</v>
      </c>
      <c r="H836" s="1" t="str">
        <f t="shared" si="120"/>
        <v>20220913</v>
      </c>
      <c r="I836" s="1" t="str">
        <f>"083943"</f>
        <v>083943</v>
      </c>
      <c r="J836" s="1" t="s">
        <v>56</v>
      </c>
      <c r="K836" s="1" t="s">
        <v>45</v>
      </c>
      <c r="L836" s="1" t="str">
        <f t="shared" si="121"/>
        <v>20220913</v>
      </c>
      <c r="M836" s="1" t="str">
        <f>"085058"</f>
        <v>085058</v>
      </c>
      <c r="N836" s="1" t="s">
        <v>28</v>
      </c>
      <c r="O836" s="1" t="s">
        <v>28</v>
      </c>
      <c r="P836" s="1" t="s">
        <v>55</v>
      </c>
      <c r="Q836" s="1">
        <v>13</v>
      </c>
      <c r="R836" s="1">
        <v>13</v>
      </c>
      <c r="S836" s="1">
        <v>0</v>
      </c>
      <c r="T836" s="1">
        <v>0</v>
      </c>
      <c r="U836" s="1">
        <v>0</v>
      </c>
      <c r="V836" s="1" t="str">
        <f t="shared" si="122"/>
        <v>里程返程</v>
      </c>
      <c r="W836" s="1" t="s">
        <v>35</v>
      </c>
    </row>
    <row r="837" spans="1:23" x14ac:dyDescent="0.3">
      <c r="A837" s="1" t="str">
        <f t="shared" si="118"/>
        <v>59809</v>
      </c>
      <c r="B837" s="1" t="s">
        <v>42</v>
      </c>
      <c r="C837" s="1" t="s">
        <v>43</v>
      </c>
      <c r="D837" s="1" t="str">
        <f t="shared" si="119"/>
        <v>9801</v>
      </c>
      <c r="E837" s="1" t="s">
        <v>25</v>
      </c>
      <c r="F837" s="1" t="str">
        <f>"3589896026"</f>
        <v>3589896026</v>
      </c>
      <c r="G837" s="1" t="s">
        <v>33</v>
      </c>
      <c r="H837" s="1" t="str">
        <f t="shared" si="120"/>
        <v>20220913</v>
      </c>
      <c r="I837" s="1" t="str">
        <f>"083946"</f>
        <v>083946</v>
      </c>
      <c r="J837" s="1" t="s">
        <v>56</v>
      </c>
      <c r="K837" s="1" t="s">
        <v>45</v>
      </c>
      <c r="L837" s="1" t="str">
        <f t="shared" si="121"/>
        <v>20220913</v>
      </c>
      <c r="M837" s="1" t="str">
        <f>"085056"</f>
        <v>085056</v>
      </c>
      <c r="N837" s="1" t="s">
        <v>28</v>
      </c>
      <c r="O837" s="1" t="s">
        <v>28</v>
      </c>
      <c r="P837" s="1" t="s">
        <v>55</v>
      </c>
      <c r="Q837" s="1">
        <v>25</v>
      </c>
      <c r="R837" s="1">
        <v>25</v>
      </c>
      <c r="S837" s="1">
        <v>0</v>
      </c>
      <c r="T837" s="1">
        <v>0</v>
      </c>
      <c r="U837" s="1">
        <v>0</v>
      </c>
      <c r="V837" s="1" t="str">
        <f t="shared" si="122"/>
        <v>里程返程</v>
      </c>
      <c r="W837" s="1" t="s">
        <v>35</v>
      </c>
    </row>
    <row r="838" spans="1:23" x14ac:dyDescent="0.3">
      <c r="A838" s="1" t="str">
        <f t="shared" si="118"/>
        <v>59809</v>
      </c>
      <c r="B838" s="1" t="s">
        <v>42</v>
      </c>
      <c r="C838" s="1" t="s">
        <v>43</v>
      </c>
      <c r="D838" s="1" t="str">
        <f t="shared" si="119"/>
        <v>9801</v>
      </c>
      <c r="E838" s="1" t="s">
        <v>25</v>
      </c>
      <c r="F838" s="1" t="str">
        <f>"1620625640"</f>
        <v>1620625640</v>
      </c>
      <c r="G838" s="1" t="s">
        <v>26</v>
      </c>
      <c r="H838" s="1" t="str">
        <f t="shared" si="120"/>
        <v>20220913</v>
      </c>
      <c r="I838" s="1" t="str">
        <f>"085108"</f>
        <v>085108</v>
      </c>
      <c r="J838" s="1" t="s">
        <v>28</v>
      </c>
      <c r="K838" s="1" t="s">
        <v>28</v>
      </c>
      <c r="L838" s="1" t="str">
        <f t="shared" si="121"/>
        <v>20220913</v>
      </c>
      <c r="M838" s="1" t="str">
        <f>"091920"</f>
        <v>091920</v>
      </c>
      <c r="N838" s="1" t="s">
        <v>60</v>
      </c>
      <c r="O838" s="1" t="s">
        <v>52</v>
      </c>
      <c r="P838" s="1" t="s">
        <v>55</v>
      </c>
      <c r="Q838" s="1">
        <v>13</v>
      </c>
      <c r="R838" s="1">
        <v>13</v>
      </c>
      <c r="S838" s="1">
        <v>0</v>
      </c>
      <c r="T838" s="1">
        <v>0</v>
      </c>
      <c r="U838" s="1">
        <v>0</v>
      </c>
      <c r="V838" s="1" t="str">
        <f t="shared" si="122"/>
        <v>里程返程</v>
      </c>
      <c r="W838" s="1" t="s">
        <v>35</v>
      </c>
    </row>
    <row r="839" spans="1:23" x14ac:dyDescent="0.3">
      <c r="A839" s="1" t="str">
        <f t="shared" si="118"/>
        <v>59809</v>
      </c>
      <c r="B839" s="1" t="s">
        <v>42</v>
      </c>
      <c r="C839" s="1" t="s">
        <v>43</v>
      </c>
      <c r="D839" s="1" t="str">
        <f t="shared" si="119"/>
        <v>9801</v>
      </c>
      <c r="E839" s="1" t="s">
        <v>25</v>
      </c>
      <c r="F839" s="1" t="str">
        <f>"1423105809"</f>
        <v>1423105809</v>
      </c>
      <c r="G839" s="1" t="s">
        <v>33</v>
      </c>
      <c r="H839" s="1" t="str">
        <f t="shared" si="120"/>
        <v>20220913</v>
      </c>
      <c r="I839" s="1" t="str">
        <f>"085137"</f>
        <v>085137</v>
      </c>
      <c r="J839" s="1" t="s">
        <v>28</v>
      </c>
      <c r="K839" s="1" t="s">
        <v>28</v>
      </c>
      <c r="L839" s="1" t="str">
        <f t="shared" si="121"/>
        <v>20220913</v>
      </c>
      <c r="M839" s="1" t="str">
        <f>"091924"</f>
        <v>091924</v>
      </c>
      <c r="N839" s="1" t="s">
        <v>60</v>
      </c>
      <c r="O839" s="1" t="s">
        <v>52</v>
      </c>
      <c r="P839" s="1" t="s">
        <v>55</v>
      </c>
      <c r="Q839" s="1">
        <v>25</v>
      </c>
      <c r="R839" s="1">
        <v>25</v>
      </c>
      <c r="S839" s="1">
        <v>0</v>
      </c>
      <c r="T839" s="1">
        <v>0</v>
      </c>
      <c r="U839" s="1">
        <v>0</v>
      </c>
      <c r="V839" s="1" t="str">
        <f t="shared" si="122"/>
        <v>里程返程</v>
      </c>
      <c r="W839" s="1" t="s">
        <v>35</v>
      </c>
    </row>
    <row r="840" spans="1:23" x14ac:dyDescent="0.3">
      <c r="A840" s="1" t="str">
        <f t="shared" si="118"/>
        <v>59809</v>
      </c>
      <c r="B840" s="1" t="s">
        <v>42</v>
      </c>
      <c r="C840" s="1" t="s">
        <v>43</v>
      </c>
      <c r="D840" s="1" t="str">
        <f t="shared" si="119"/>
        <v>9801</v>
      </c>
      <c r="E840" s="1" t="s">
        <v>25</v>
      </c>
      <c r="F840" s="1" t="str">
        <f>"1725435766"</f>
        <v>1725435766</v>
      </c>
      <c r="G840" s="1" t="s">
        <v>26</v>
      </c>
      <c r="H840" s="1" t="str">
        <f t="shared" si="120"/>
        <v>20220913</v>
      </c>
      <c r="I840" s="1" t="str">
        <f>"090608"</f>
        <v>090608</v>
      </c>
      <c r="J840" s="1" t="s">
        <v>69</v>
      </c>
      <c r="K840" s="1" t="s">
        <v>52</v>
      </c>
      <c r="L840" s="1" t="str">
        <f t="shared" si="121"/>
        <v>20220913</v>
      </c>
      <c r="M840" s="1" t="str">
        <f>"091714"</f>
        <v>091714</v>
      </c>
      <c r="N840" s="1" t="s">
        <v>51</v>
      </c>
      <c r="O840" s="1" t="s">
        <v>52</v>
      </c>
      <c r="P840" s="1" t="s">
        <v>55</v>
      </c>
      <c r="Q840" s="1">
        <v>13</v>
      </c>
      <c r="R840" s="1">
        <v>13</v>
      </c>
      <c r="S840" s="1">
        <v>0</v>
      </c>
      <c r="T840" s="1">
        <v>0</v>
      </c>
      <c r="U840" s="1">
        <v>0</v>
      </c>
      <c r="V840" s="1" t="str">
        <f t="shared" si="122"/>
        <v>里程返程</v>
      </c>
      <c r="W840" s="1" t="s">
        <v>35</v>
      </c>
    </row>
    <row r="841" spans="1:23" x14ac:dyDescent="0.3">
      <c r="A841" s="1" t="str">
        <f t="shared" si="118"/>
        <v>59809</v>
      </c>
      <c r="B841" s="1" t="s">
        <v>42</v>
      </c>
      <c r="C841" s="1" t="s">
        <v>43</v>
      </c>
      <c r="D841" s="1" t="str">
        <f t="shared" si="119"/>
        <v>9801</v>
      </c>
      <c r="E841" s="1" t="s">
        <v>25</v>
      </c>
      <c r="F841" s="1" t="str">
        <f>"6932EB0FBF8804004326A4E6000E0211"</f>
        <v>6932EB0FBF8804004326A4E6000E0211</v>
      </c>
      <c r="G841" s="1" t="s">
        <v>58</v>
      </c>
      <c r="H841" s="1" t="str">
        <f t="shared" si="120"/>
        <v>20220913</v>
      </c>
      <c r="I841" s="1" t="str">
        <f>"092425"</f>
        <v>092425</v>
      </c>
      <c r="J841" s="1" t="s">
        <v>44</v>
      </c>
      <c r="K841" s="1" t="s">
        <v>45</v>
      </c>
      <c r="L841" s="1" t="str">
        <f t="shared" si="121"/>
        <v>20220913</v>
      </c>
      <c r="M841" s="1" t="str">
        <f>"094853"</f>
        <v>094853</v>
      </c>
      <c r="N841" s="1" t="s">
        <v>95</v>
      </c>
      <c r="O841" s="1" t="s">
        <v>28</v>
      </c>
      <c r="P841" s="1" t="s">
        <v>55</v>
      </c>
      <c r="Q841" s="1">
        <v>25</v>
      </c>
      <c r="R841" s="1">
        <v>0</v>
      </c>
      <c r="S841" s="1">
        <v>25</v>
      </c>
      <c r="T841" s="1">
        <v>0</v>
      </c>
      <c r="U841" s="1">
        <v>0</v>
      </c>
      <c r="V841" s="1" t="str">
        <f t="shared" si="122"/>
        <v>里程返程</v>
      </c>
      <c r="W841" s="1" t="s">
        <v>29</v>
      </c>
    </row>
    <row r="842" spans="1:23" x14ac:dyDescent="0.3">
      <c r="A842" s="1" t="str">
        <f t="shared" si="118"/>
        <v>59809</v>
      </c>
      <c r="B842" s="1" t="s">
        <v>42</v>
      </c>
      <c r="C842" s="1" t="s">
        <v>54</v>
      </c>
      <c r="D842" s="1" t="str">
        <f t="shared" si="119"/>
        <v>9801</v>
      </c>
      <c r="E842" s="1" t="s">
        <v>25</v>
      </c>
      <c r="F842" s="1" t="str">
        <f>"7111190786011506"</f>
        <v>7111190786011506</v>
      </c>
      <c r="G842" s="1" t="s">
        <v>33</v>
      </c>
      <c r="H842" s="1" t="str">
        <f t="shared" si="120"/>
        <v>20220913</v>
      </c>
      <c r="I842" s="1" t="str">
        <f>"095308"</f>
        <v>095308</v>
      </c>
      <c r="J842" s="1" t="s">
        <v>28</v>
      </c>
      <c r="K842" s="1" t="s">
        <v>28</v>
      </c>
      <c r="L842" s="1" t="str">
        <f t="shared" si="121"/>
        <v>20220913</v>
      </c>
      <c r="M842" s="1" t="str">
        <f>"101056"</f>
        <v>101056</v>
      </c>
      <c r="N842" s="1" t="s">
        <v>97</v>
      </c>
      <c r="O842" s="1" t="s">
        <v>52</v>
      </c>
      <c r="P842" s="1" t="s">
        <v>55</v>
      </c>
      <c r="Q842" s="1">
        <v>25</v>
      </c>
      <c r="R842" s="1">
        <v>25</v>
      </c>
      <c r="S842" s="1">
        <v>0</v>
      </c>
      <c r="T842" s="1">
        <v>0</v>
      </c>
      <c r="U842" s="1">
        <v>0</v>
      </c>
      <c r="V842" s="1" t="str">
        <f t="shared" si="122"/>
        <v>里程返程</v>
      </c>
      <c r="W842" s="1" t="s">
        <v>109</v>
      </c>
    </row>
    <row r="843" spans="1:23" x14ac:dyDescent="0.3">
      <c r="A843" s="1" t="str">
        <f t="shared" si="118"/>
        <v>59809</v>
      </c>
      <c r="B843" s="1" t="s">
        <v>42</v>
      </c>
      <c r="C843" s="1" t="s">
        <v>54</v>
      </c>
      <c r="D843" s="1" t="str">
        <f t="shared" si="119"/>
        <v>9801</v>
      </c>
      <c r="E843" s="1" t="s">
        <v>25</v>
      </c>
      <c r="F843" s="1" t="str">
        <f>"1402001489"</f>
        <v>1402001489</v>
      </c>
      <c r="G843" s="1" t="s">
        <v>33</v>
      </c>
      <c r="H843" s="1" t="str">
        <f t="shared" si="120"/>
        <v>20220913</v>
      </c>
      <c r="I843" s="1" t="str">
        <f>"095316"</f>
        <v>095316</v>
      </c>
      <c r="J843" s="1" t="s">
        <v>28</v>
      </c>
      <c r="K843" s="1" t="s">
        <v>28</v>
      </c>
      <c r="L843" s="1" t="str">
        <f t="shared" si="121"/>
        <v>20220913</v>
      </c>
      <c r="M843" s="1" t="str">
        <f>"101233"</f>
        <v>101233</v>
      </c>
      <c r="N843" s="1" t="s">
        <v>65</v>
      </c>
      <c r="O843" s="1" t="s">
        <v>52</v>
      </c>
      <c r="P843" s="1" t="s">
        <v>55</v>
      </c>
      <c r="Q843" s="1">
        <v>25</v>
      </c>
      <c r="R843" s="1">
        <v>25</v>
      </c>
      <c r="S843" s="1">
        <v>0</v>
      </c>
      <c r="T843" s="1">
        <v>0</v>
      </c>
      <c r="U843" s="1">
        <v>0</v>
      </c>
      <c r="V843" s="1" t="str">
        <f t="shared" si="122"/>
        <v>里程返程</v>
      </c>
      <c r="W843" s="1" t="s">
        <v>35</v>
      </c>
    </row>
    <row r="844" spans="1:23" x14ac:dyDescent="0.3">
      <c r="A844" s="1" t="str">
        <f t="shared" si="118"/>
        <v>59809</v>
      </c>
      <c r="B844" s="1" t="s">
        <v>42</v>
      </c>
      <c r="C844" s="1" t="s">
        <v>54</v>
      </c>
      <c r="D844" s="1" t="str">
        <f t="shared" si="119"/>
        <v>9801</v>
      </c>
      <c r="E844" s="1" t="s">
        <v>25</v>
      </c>
      <c r="F844" s="1" t="str">
        <f>"7311160809008404"</f>
        <v>7311160809008404</v>
      </c>
      <c r="G844" s="1" t="s">
        <v>33</v>
      </c>
      <c r="H844" s="1" t="str">
        <f t="shared" si="120"/>
        <v>20220913</v>
      </c>
      <c r="I844" s="1" t="str">
        <f>"095321"</f>
        <v>095321</v>
      </c>
      <c r="J844" s="1" t="s">
        <v>28</v>
      </c>
      <c r="K844" s="1" t="s">
        <v>28</v>
      </c>
      <c r="L844" s="1" t="str">
        <f t="shared" si="121"/>
        <v>20220913</v>
      </c>
      <c r="M844" s="1" t="str">
        <f>"101052"</f>
        <v>101052</v>
      </c>
      <c r="N844" s="1" t="s">
        <v>97</v>
      </c>
      <c r="O844" s="1" t="s">
        <v>52</v>
      </c>
      <c r="P844" s="1" t="s">
        <v>55</v>
      </c>
      <c r="Q844" s="1">
        <v>25</v>
      </c>
      <c r="R844" s="1">
        <v>25</v>
      </c>
      <c r="S844" s="1">
        <v>0</v>
      </c>
      <c r="T844" s="1">
        <v>0</v>
      </c>
      <c r="U844" s="1">
        <v>0</v>
      </c>
      <c r="V844" s="1" t="str">
        <f t="shared" si="122"/>
        <v>里程返程</v>
      </c>
      <c r="W844" s="1" t="s">
        <v>109</v>
      </c>
    </row>
    <row r="845" spans="1:23" x14ac:dyDescent="0.3">
      <c r="A845" s="1" t="str">
        <f t="shared" si="118"/>
        <v>59809</v>
      </c>
      <c r="B845" s="1" t="s">
        <v>42</v>
      </c>
      <c r="C845" s="1" t="s">
        <v>54</v>
      </c>
      <c r="D845" s="1" t="str">
        <f t="shared" si="119"/>
        <v>9801</v>
      </c>
      <c r="E845" s="1" t="s">
        <v>25</v>
      </c>
      <c r="F845" s="1" t="str">
        <f>"F2C64D0E77880400C806002000000018"</f>
        <v>F2C64D0E77880400C806002000000018</v>
      </c>
      <c r="G845" s="1" t="s">
        <v>58</v>
      </c>
      <c r="H845" s="1" t="str">
        <f t="shared" si="120"/>
        <v>20220913</v>
      </c>
      <c r="I845" s="1" t="str">
        <f>"095324"</f>
        <v>095324</v>
      </c>
      <c r="J845" s="1" t="s">
        <v>28</v>
      </c>
      <c r="K845" s="1" t="s">
        <v>28</v>
      </c>
      <c r="L845" s="1" t="str">
        <f t="shared" si="121"/>
        <v>20220913</v>
      </c>
      <c r="M845" s="1" t="str">
        <f>"100918"</f>
        <v>100918</v>
      </c>
      <c r="N845" s="1" t="s">
        <v>80</v>
      </c>
      <c r="O845" s="1" t="s">
        <v>52</v>
      </c>
      <c r="P845" s="1" t="s">
        <v>55</v>
      </c>
      <c r="Q845" s="1">
        <v>25</v>
      </c>
      <c r="R845" s="1">
        <v>25</v>
      </c>
      <c r="S845" s="1">
        <v>0</v>
      </c>
      <c r="T845" s="1">
        <v>0</v>
      </c>
      <c r="U845" s="1">
        <v>0</v>
      </c>
      <c r="V845" s="1" t="str">
        <f t="shared" si="122"/>
        <v>里程返程</v>
      </c>
      <c r="W845" s="1" t="s">
        <v>29</v>
      </c>
    </row>
    <row r="846" spans="1:23" x14ac:dyDescent="0.3">
      <c r="A846" s="1" t="str">
        <f t="shared" si="118"/>
        <v>59809</v>
      </c>
      <c r="B846" s="1" t="s">
        <v>42</v>
      </c>
      <c r="C846" s="1" t="s">
        <v>54</v>
      </c>
      <c r="D846" s="1" t="str">
        <f t="shared" si="119"/>
        <v>9801</v>
      </c>
      <c r="E846" s="1" t="s">
        <v>25</v>
      </c>
      <c r="F846" s="1" t="str">
        <f>"F25B1B03B1880400C834002000000015"</f>
        <v>F25B1B03B1880400C834002000000015</v>
      </c>
      <c r="G846" s="1" t="s">
        <v>26</v>
      </c>
      <c r="H846" s="1" t="str">
        <f t="shared" si="120"/>
        <v>20220913</v>
      </c>
      <c r="I846" s="1" t="str">
        <f>"095329"</f>
        <v>095329</v>
      </c>
      <c r="J846" s="1" t="s">
        <v>28</v>
      </c>
      <c r="K846" s="1" t="s">
        <v>28</v>
      </c>
      <c r="L846" s="1" t="str">
        <f t="shared" si="121"/>
        <v>20220913</v>
      </c>
      <c r="M846" s="1" t="str">
        <f>"101723"</f>
        <v>101723</v>
      </c>
      <c r="N846" s="1" t="s">
        <v>60</v>
      </c>
      <c r="O846" s="1" t="s">
        <v>52</v>
      </c>
      <c r="P846" s="1" t="s">
        <v>68</v>
      </c>
      <c r="Q846" s="1">
        <v>13</v>
      </c>
      <c r="R846" s="1">
        <v>0</v>
      </c>
      <c r="S846" s="1">
        <v>0</v>
      </c>
      <c r="T846" s="1">
        <v>13</v>
      </c>
      <c r="U846" s="1">
        <v>0</v>
      </c>
      <c r="V846" s="1" t="str">
        <f t="shared" si="122"/>
        <v>里程返程</v>
      </c>
      <c r="W846" s="1" t="s">
        <v>29</v>
      </c>
    </row>
    <row r="847" spans="1:23" x14ac:dyDescent="0.3">
      <c r="A847" s="1" t="str">
        <f t="shared" si="118"/>
        <v>59809</v>
      </c>
      <c r="B847" s="1" t="s">
        <v>42</v>
      </c>
      <c r="C847" s="1" t="s">
        <v>54</v>
      </c>
      <c r="D847" s="1" t="str">
        <f t="shared" si="119"/>
        <v>9801</v>
      </c>
      <c r="E847" s="1" t="s">
        <v>25</v>
      </c>
      <c r="F847" s="1" t="str">
        <f>"285817872"</f>
        <v>285817872</v>
      </c>
      <c r="G847" s="1" t="s">
        <v>33</v>
      </c>
      <c r="H847" s="1" t="str">
        <f t="shared" si="120"/>
        <v>20220913</v>
      </c>
      <c r="I847" s="1" t="str">
        <f>"095332"</f>
        <v>095332</v>
      </c>
      <c r="J847" s="1" t="s">
        <v>28</v>
      </c>
      <c r="K847" s="1" t="s">
        <v>28</v>
      </c>
      <c r="L847" s="1" t="str">
        <f t="shared" si="121"/>
        <v>20220913</v>
      </c>
      <c r="M847" s="1" t="str">
        <f>"101727"</f>
        <v>101727</v>
      </c>
      <c r="N847" s="1" t="s">
        <v>60</v>
      </c>
      <c r="O847" s="1" t="s">
        <v>52</v>
      </c>
      <c r="P847" s="1" t="s">
        <v>55</v>
      </c>
      <c r="Q847" s="1">
        <v>25</v>
      </c>
      <c r="R847" s="1">
        <v>0</v>
      </c>
      <c r="S847" s="1">
        <v>25</v>
      </c>
      <c r="T847" s="1">
        <v>0</v>
      </c>
      <c r="U847" s="1">
        <v>0</v>
      </c>
      <c r="V847" s="1" t="str">
        <f t="shared" si="122"/>
        <v>里程返程</v>
      </c>
      <c r="W847" s="1" t="s">
        <v>35</v>
      </c>
    </row>
    <row r="848" spans="1:23" x14ac:dyDescent="0.3">
      <c r="A848" s="1" t="str">
        <f t="shared" si="118"/>
        <v>59809</v>
      </c>
      <c r="B848" s="1" t="s">
        <v>42</v>
      </c>
      <c r="C848" s="1" t="s">
        <v>54</v>
      </c>
      <c r="D848" s="1" t="str">
        <f t="shared" si="119"/>
        <v>9801</v>
      </c>
      <c r="E848" s="1" t="s">
        <v>25</v>
      </c>
      <c r="F848" s="1" t="str">
        <f>"1326335457"</f>
        <v>1326335457</v>
      </c>
      <c r="G848" s="1" t="s">
        <v>33</v>
      </c>
      <c r="H848" s="1" t="str">
        <f t="shared" si="120"/>
        <v>20220913</v>
      </c>
      <c r="I848" s="1" t="str">
        <f>"095336"</f>
        <v>095336</v>
      </c>
      <c r="J848" s="1" t="s">
        <v>28</v>
      </c>
      <c r="K848" s="1" t="s">
        <v>28</v>
      </c>
      <c r="L848" s="1" t="str">
        <f t="shared" si="121"/>
        <v>20220913</v>
      </c>
      <c r="M848" s="1" t="str">
        <f>"101329"</f>
        <v>101329</v>
      </c>
      <c r="N848" s="1" t="s">
        <v>72</v>
      </c>
      <c r="O848" s="1" t="s">
        <v>52</v>
      </c>
      <c r="P848" s="1" t="s">
        <v>55</v>
      </c>
      <c r="Q848" s="1">
        <v>25</v>
      </c>
      <c r="R848" s="1">
        <v>25</v>
      </c>
      <c r="S848" s="1">
        <v>0</v>
      </c>
      <c r="T848" s="1">
        <v>0</v>
      </c>
      <c r="U848" s="1">
        <v>0</v>
      </c>
      <c r="V848" s="1" t="str">
        <f t="shared" si="122"/>
        <v>里程返程</v>
      </c>
      <c r="W848" s="1" t="s">
        <v>35</v>
      </c>
    </row>
    <row r="849" spans="1:23" x14ac:dyDescent="0.3">
      <c r="A849" s="1" t="str">
        <f t="shared" si="118"/>
        <v>59809</v>
      </c>
      <c r="B849" s="1" t="s">
        <v>42</v>
      </c>
      <c r="C849" s="1" t="s">
        <v>54</v>
      </c>
      <c r="D849" s="1" t="str">
        <f t="shared" si="119"/>
        <v>9801</v>
      </c>
      <c r="E849" s="1" t="s">
        <v>25</v>
      </c>
      <c r="F849" s="1" t="str">
        <f>"82D5FB02AE880400C834002000000015"</f>
        <v>82D5FB02AE880400C834002000000015</v>
      </c>
      <c r="G849" s="1" t="s">
        <v>26</v>
      </c>
      <c r="H849" s="1" t="str">
        <f t="shared" si="120"/>
        <v>20220913</v>
      </c>
      <c r="I849" s="1" t="str">
        <f>"100927"</f>
        <v>100927</v>
      </c>
      <c r="J849" s="1" t="s">
        <v>80</v>
      </c>
      <c r="K849" s="1" t="s">
        <v>52</v>
      </c>
      <c r="L849" s="1" t="str">
        <f t="shared" si="121"/>
        <v>20220913</v>
      </c>
      <c r="M849" s="1" t="str">
        <f>"101532"</f>
        <v>101532</v>
      </c>
      <c r="N849" s="1" t="s">
        <v>51</v>
      </c>
      <c r="O849" s="1" t="s">
        <v>52</v>
      </c>
      <c r="P849" s="1" t="s">
        <v>68</v>
      </c>
      <c r="Q849" s="1">
        <v>13</v>
      </c>
      <c r="R849" s="1">
        <v>0</v>
      </c>
      <c r="S849" s="1">
        <v>0</v>
      </c>
      <c r="T849" s="1">
        <v>13</v>
      </c>
      <c r="U849" s="1">
        <v>0</v>
      </c>
      <c r="V849" s="1" t="str">
        <f t="shared" si="122"/>
        <v>里程返程</v>
      </c>
      <c r="W849" s="1" t="s">
        <v>29</v>
      </c>
    </row>
    <row r="850" spans="1:23" x14ac:dyDescent="0.3">
      <c r="A850" s="1" t="str">
        <f t="shared" si="118"/>
        <v>59809</v>
      </c>
      <c r="B850" s="1" t="s">
        <v>42</v>
      </c>
      <c r="C850" s="1" t="s">
        <v>54</v>
      </c>
      <c r="D850" s="1" t="str">
        <f t="shared" si="119"/>
        <v>9801</v>
      </c>
      <c r="E850" s="1" t="s">
        <v>25</v>
      </c>
      <c r="F850" s="1" t="str">
        <f>"F2F7D002D7880400C834002000000015"</f>
        <v>F2F7D002D7880400C834002000000015</v>
      </c>
      <c r="G850" s="1" t="s">
        <v>74</v>
      </c>
      <c r="H850" s="1" t="str">
        <f t="shared" si="120"/>
        <v>20220913</v>
      </c>
      <c r="I850" s="1" t="str">
        <f>"100931"</f>
        <v>100931</v>
      </c>
      <c r="J850" s="1" t="s">
        <v>80</v>
      </c>
      <c r="K850" s="1" t="s">
        <v>52</v>
      </c>
      <c r="L850" s="1" t="str">
        <f t="shared" si="121"/>
        <v>20220913</v>
      </c>
      <c r="M850" s="1" t="str">
        <f>"102019"</f>
        <v>102019</v>
      </c>
      <c r="N850" s="1" t="s">
        <v>52</v>
      </c>
      <c r="O850" s="1" t="s">
        <v>52</v>
      </c>
      <c r="P850" s="1" t="s">
        <v>68</v>
      </c>
      <c r="Q850" s="1">
        <v>13</v>
      </c>
      <c r="R850" s="1">
        <v>0</v>
      </c>
      <c r="S850" s="1">
        <v>0</v>
      </c>
      <c r="T850" s="1">
        <v>13</v>
      </c>
      <c r="U850" s="1">
        <v>0</v>
      </c>
      <c r="V850" s="1" t="str">
        <f t="shared" si="122"/>
        <v>里程返程</v>
      </c>
      <c r="W850" s="1" t="s">
        <v>29</v>
      </c>
    </row>
    <row r="851" spans="1:23" x14ac:dyDescent="0.3">
      <c r="A851" s="1" t="str">
        <f t="shared" si="118"/>
        <v>59809</v>
      </c>
      <c r="B851" s="1" t="s">
        <v>42</v>
      </c>
      <c r="C851" s="1" t="s">
        <v>54</v>
      </c>
      <c r="D851" s="1" t="str">
        <f t="shared" si="119"/>
        <v>9801</v>
      </c>
      <c r="E851" s="1" t="s">
        <v>25</v>
      </c>
      <c r="F851" s="1" t="str">
        <f>"F2F7D002D7880400C834002000000015"</f>
        <v>F2F7D002D7880400C834002000000015</v>
      </c>
      <c r="G851" s="1" t="s">
        <v>74</v>
      </c>
      <c r="H851" s="1" t="str">
        <f t="shared" si="120"/>
        <v>20220913</v>
      </c>
      <c r="I851" s="1" t="str">
        <f>"103000"</f>
        <v>103000</v>
      </c>
      <c r="J851" s="1" t="s">
        <v>44</v>
      </c>
      <c r="K851" s="1" t="s">
        <v>45</v>
      </c>
      <c r="L851" s="1" t="str">
        <f t="shared" si="121"/>
        <v>20220913</v>
      </c>
      <c r="M851" s="1" t="str">
        <f>"103628"</f>
        <v>103628</v>
      </c>
      <c r="N851" s="1" t="s">
        <v>75</v>
      </c>
      <c r="O851" s="1" t="s">
        <v>45</v>
      </c>
      <c r="P851" s="1" t="s">
        <v>68</v>
      </c>
      <c r="Q851" s="1">
        <v>13</v>
      </c>
      <c r="R851" s="1">
        <v>0</v>
      </c>
      <c r="S851" s="1">
        <v>0</v>
      </c>
      <c r="T851" s="1">
        <v>13</v>
      </c>
      <c r="U851" s="1">
        <v>0</v>
      </c>
      <c r="V851" s="1" t="str">
        <f t="shared" si="122"/>
        <v>里程返程</v>
      </c>
      <c r="W851" s="1" t="s">
        <v>29</v>
      </c>
    </row>
    <row r="852" spans="1:23" x14ac:dyDescent="0.3">
      <c r="A852" s="1" t="str">
        <f t="shared" si="118"/>
        <v>59809</v>
      </c>
      <c r="B852" s="1" t="s">
        <v>42</v>
      </c>
      <c r="C852" s="1" t="s">
        <v>54</v>
      </c>
      <c r="D852" s="1" t="str">
        <f t="shared" si="119"/>
        <v>9801</v>
      </c>
      <c r="E852" s="1" t="s">
        <v>25</v>
      </c>
      <c r="F852" s="1" t="str">
        <f>"111EB061DE2804001C00000000000000"</f>
        <v>111EB061DE2804001C00000000000000</v>
      </c>
      <c r="G852" s="1" t="s">
        <v>58</v>
      </c>
      <c r="H852" s="1" t="str">
        <f t="shared" si="120"/>
        <v>20220913</v>
      </c>
      <c r="I852" s="1" t="str">
        <f>"105559"</f>
        <v>105559</v>
      </c>
      <c r="J852" s="1" t="s">
        <v>28</v>
      </c>
      <c r="K852" s="1" t="s">
        <v>28</v>
      </c>
      <c r="L852" s="1" t="str">
        <f t="shared" si="121"/>
        <v>20220913</v>
      </c>
      <c r="M852" s="1" t="str">
        <f>"111219"</f>
        <v>111219</v>
      </c>
      <c r="N852" s="1" t="s">
        <v>65</v>
      </c>
      <c r="O852" s="1" t="s">
        <v>52</v>
      </c>
      <c r="P852" s="1" t="s">
        <v>55</v>
      </c>
      <c r="Q852" s="1">
        <v>25</v>
      </c>
      <c r="R852" s="1">
        <v>25</v>
      </c>
      <c r="S852" s="1">
        <v>0</v>
      </c>
      <c r="T852" s="1">
        <v>0</v>
      </c>
      <c r="U852" s="1">
        <v>0</v>
      </c>
      <c r="V852" s="1" t="str">
        <f t="shared" si="122"/>
        <v>里程返程</v>
      </c>
      <c r="W852" s="1" t="s">
        <v>29</v>
      </c>
    </row>
    <row r="853" spans="1:23" x14ac:dyDescent="0.3">
      <c r="A853" s="1" t="str">
        <f t="shared" si="118"/>
        <v>59809</v>
      </c>
      <c r="B853" s="1" t="s">
        <v>42</v>
      </c>
      <c r="C853" s="1" t="s">
        <v>54</v>
      </c>
      <c r="D853" s="1" t="str">
        <f t="shared" si="119"/>
        <v>9801</v>
      </c>
      <c r="E853" s="1" t="s">
        <v>25</v>
      </c>
      <c r="F853" s="1" t="str">
        <f>"2329748187"</f>
        <v>2329748187</v>
      </c>
      <c r="G853" s="1" t="s">
        <v>33</v>
      </c>
      <c r="H853" s="1" t="str">
        <f t="shared" si="120"/>
        <v>20220913</v>
      </c>
      <c r="I853" s="1" t="str">
        <f>"115207"</f>
        <v>115207</v>
      </c>
      <c r="J853" s="1" t="s">
        <v>28</v>
      </c>
      <c r="K853" s="1" t="s">
        <v>28</v>
      </c>
      <c r="L853" s="1" t="str">
        <f t="shared" si="121"/>
        <v>20220913</v>
      </c>
      <c r="M853" s="1" t="str">
        <f>"122414"</f>
        <v>122414</v>
      </c>
      <c r="N853" s="1" t="s">
        <v>52</v>
      </c>
      <c r="O853" s="1" t="s">
        <v>52</v>
      </c>
      <c r="P853" s="1" t="s">
        <v>55</v>
      </c>
      <c r="Q853" s="1">
        <v>25</v>
      </c>
      <c r="R853" s="1">
        <v>25</v>
      </c>
      <c r="S853" s="1">
        <v>0</v>
      </c>
      <c r="T853" s="1">
        <v>0</v>
      </c>
      <c r="U853" s="1">
        <v>0</v>
      </c>
      <c r="V853" s="1" t="str">
        <f t="shared" si="122"/>
        <v>里程返程</v>
      </c>
      <c r="W853" s="1" t="s">
        <v>35</v>
      </c>
    </row>
    <row r="854" spans="1:23" x14ac:dyDescent="0.3">
      <c r="A854" s="1" t="str">
        <f t="shared" si="118"/>
        <v>59809</v>
      </c>
      <c r="B854" s="1" t="s">
        <v>42</v>
      </c>
      <c r="C854" s="1" t="s">
        <v>54</v>
      </c>
      <c r="D854" s="1" t="str">
        <f t="shared" si="119"/>
        <v>9801</v>
      </c>
      <c r="E854" s="1" t="s">
        <v>25</v>
      </c>
      <c r="F854" s="1" t="str">
        <f>"3191A52C29280400F700000000000000"</f>
        <v>3191A52C29280400F700000000000000</v>
      </c>
      <c r="G854" s="1" t="s">
        <v>58</v>
      </c>
      <c r="H854" s="1" t="str">
        <f t="shared" si="120"/>
        <v>20220913</v>
      </c>
      <c r="I854" s="1" t="str">
        <f>"115210"</f>
        <v>115210</v>
      </c>
      <c r="J854" s="1" t="s">
        <v>28</v>
      </c>
      <c r="K854" s="1" t="s">
        <v>28</v>
      </c>
      <c r="L854" s="1" t="str">
        <f t="shared" si="121"/>
        <v>20220913</v>
      </c>
      <c r="M854" s="1" t="str">
        <f>"120319"</f>
        <v>120319</v>
      </c>
      <c r="N854" s="1" t="s">
        <v>83</v>
      </c>
      <c r="O854" s="1" t="s">
        <v>52</v>
      </c>
      <c r="P854" s="1" t="s">
        <v>55</v>
      </c>
      <c r="Q854" s="1">
        <v>25</v>
      </c>
      <c r="R854" s="1">
        <v>25</v>
      </c>
      <c r="S854" s="1">
        <v>0</v>
      </c>
      <c r="T854" s="1">
        <v>0</v>
      </c>
      <c r="U854" s="1">
        <v>0</v>
      </c>
      <c r="V854" s="1" t="str">
        <f t="shared" si="122"/>
        <v>里程返程</v>
      </c>
      <c r="W854" s="1" t="s">
        <v>29</v>
      </c>
    </row>
    <row r="855" spans="1:23" x14ac:dyDescent="0.3">
      <c r="A855" s="1" t="str">
        <f t="shared" si="118"/>
        <v>59809</v>
      </c>
      <c r="B855" s="1" t="s">
        <v>42</v>
      </c>
      <c r="C855" s="1" t="s">
        <v>54</v>
      </c>
      <c r="D855" s="1" t="str">
        <f t="shared" si="119"/>
        <v>9801</v>
      </c>
      <c r="E855" s="1" t="s">
        <v>25</v>
      </c>
      <c r="F855" s="1" t="str">
        <f>"913200165"</f>
        <v>913200165</v>
      </c>
      <c r="G855" s="1" t="s">
        <v>33</v>
      </c>
      <c r="H855" s="1" t="str">
        <f t="shared" si="120"/>
        <v>20220913</v>
      </c>
      <c r="I855" s="1" t="str">
        <f>"115245"</f>
        <v>115245</v>
      </c>
      <c r="J855" s="1" t="s">
        <v>28</v>
      </c>
      <c r="K855" s="1" t="s">
        <v>28</v>
      </c>
      <c r="L855" s="1" t="str">
        <f t="shared" si="121"/>
        <v>20220913</v>
      </c>
      <c r="M855" s="1" t="str">
        <f>"122418"</f>
        <v>122418</v>
      </c>
      <c r="N855" s="1" t="s">
        <v>52</v>
      </c>
      <c r="O855" s="1" t="s">
        <v>52</v>
      </c>
      <c r="P855" s="1" t="s">
        <v>55</v>
      </c>
      <c r="Q855" s="1">
        <v>25</v>
      </c>
      <c r="R855" s="1">
        <v>25</v>
      </c>
      <c r="S855" s="1">
        <v>0</v>
      </c>
      <c r="T855" s="1">
        <v>0</v>
      </c>
      <c r="U855" s="1">
        <v>0</v>
      </c>
      <c r="V855" s="1" t="str">
        <f t="shared" si="122"/>
        <v>里程返程</v>
      </c>
      <c r="W855" s="1" t="s">
        <v>35</v>
      </c>
    </row>
    <row r="856" spans="1:23" x14ac:dyDescent="0.3">
      <c r="A856" s="1" t="str">
        <f t="shared" si="118"/>
        <v>59809</v>
      </c>
      <c r="B856" s="1" t="s">
        <v>42</v>
      </c>
      <c r="C856" s="1" t="s">
        <v>54</v>
      </c>
      <c r="D856" s="1" t="str">
        <f t="shared" si="119"/>
        <v>9801</v>
      </c>
      <c r="E856" s="1" t="s">
        <v>25</v>
      </c>
      <c r="F856" s="1" t="str">
        <f>"F2C64D0E77880400C806002000000018"</f>
        <v>F2C64D0E77880400C806002000000018</v>
      </c>
      <c r="G856" s="1" t="s">
        <v>58</v>
      </c>
      <c r="H856" s="1" t="str">
        <f t="shared" si="120"/>
        <v>20220913</v>
      </c>
      <c r="I856" s="1" t="str">
        <f>"121239"</f>
        <v>121239</v>
      </c>
      <c r="J856" s="1" t="s">
        <v>80</v>
      </c>
      <c r="K856" s="1" t="s">
        <v>52</v>
      </c>
      <c r="L856" s="1" t="str">
        <f t="shared" si="121"/>
        <v>20220913</v>
      </c>
      <c r="M856" s="1" t="str">
        <f>"122023"</f>
        <v>122023</v>
      </c>
      <c r="N856" s="1" t="s">
        <v>60</v>
      </c>
      <c r="O856" s="1" t="s">
        <v>52</v>
      </c>
      <c r="P856" s="1" t="s">
        <v>55</v>
      </c>
      <c r="Q856" s="1">
        <v>25</v>
      </c>
      <c r="R856" s="1">
        <v>25</v>
      </c>
      <c r="S856" s="1">
        <v>0</v>
      </c>
      <c r="T856" s="1">
        <v>0</v>
      </c>
      <c r="U856" s="1">
        <v>0</v>
      </c>
      <c r="V856" s="1" t="str">
        <f t="shared" si="122"/>
        <v>里程返程</v>
      </c>
      <c r="W856" s="1" t="s">
        <v>29</v>
      </c>
    </row>
    <row r="857" spans="1:23" x14ac:dyDescent="0.3">
      <c r="A857" s="1" t="str">
        <f t="shared" si="118"/>
        <v>59809</v>
      </c>
      <c r="B857" s="1" t="s">
        <v>42</v>
      </c>
      <c r="C857" s="1" t="s">
        <v>43</v>
      </c>
      <c r="D857" s="1" t="str">
        <f t="shared" si="119"/>
        <v>9801</v>
      </c>
      <c r="E857" s="1" t="s">
        <v>25</v>
      </c>
      <c r="F857" s="1" t="str">
        <f>"110234401"</f>
        <v>110234401</v>
      </c>
      <c r="G857" s="1" t="s">
        <v>26</v>
      </c>
      <c r="H857" s="1" t="str">
        <f t="shared" si="120"/>
        <v>20220913</v>
      </c>
      <c r="I857" s="1" t="str">
        <f>"185709"</f>
        <v>185709</v>
      </c>
      <c r="J857" s="1" t="s">
        <v>44</v>
      </c>
      <c r="K857" s="1" t="s">
        <v>45</v>
      </c>
      <c r="L857" s="1" t="str">
        <f t="shared" si="121"/>
        <v>20220913</v>
      </c>
      <c r="M857" s="1" t="str">
        <f>"192145"</f>
        <v>192145</v>
      </c>
      <c r="N857" s="1" t="s">
        <v>28</v>
      </c>
      <c r="O857" s="1" t="s">
        <v>28</v>
      </c>
      <c r="P857" s="1" t="s">
        <v>55</v>
      </c>
      <c r="Q857" s="1">
        <v>13</v>
      </c>
      <c r="R857" s="1">
        <v>0</v>
      </c>
      <c r="S857" s="1">
        <v>13</v>
      </c>
      <c r="T857" s="1">
        <v>0</v>
      </c>
      <c r="U857" s="1">
        <v>0</v>
      </c>
      <c r="V857" s="1" t="str">
        <f t="shared" si="122"/>
        <v>里程返程</v>
      </c>
      <c r="W857" s="1" t="s">
        <v>35</v>
      </c>
    </row>
    <row r="858" spans="1:23" x14ac:dyDescent="0.3">
      <c r="A858" s="1" t="str">
        <f t="shared" si="118"/>
        <v>59809</v>
      </c>
      <c r="B858" s="1" t="s">
        <v>42</v>
      </c>
      <c r="C858" s="1" t="s">
        <v>43</v>
      </c>
      <c r="D858" s="1" t="str">
        <f t="shared" si="119"/>
        <v>9801</v>
      </c>
      <c r="E858" s="1" t="s">
        <v>25</v>
      </c>
      <c r="F858" s="1" t="str">
        <f>"1408331441"</f>
        <v>1408331441</v>
      </c>
      <c r="G858" s="1" t="s">
        <v>26</v>
      </c>
      <c r="H858" s="1" t="str">
        <f t="shared" si="120"/>
        <v>20220913</v>
      </c>
      <c r="I858" s="1" t="str">
        <f>"185712"</f>
        <v>185712</v>
      </c>
      <c r="J858" s="1" t="s">
        <v>44</v>
      </c>
      <c r="K858" s="1" t="s">
        <v>45</v>
      </c>
      <c r="L858" s="1" t="str">
        <f t="shared" si="121"/>
        <v>20220913</v>
      </c>
      <c r="M858" s="1" t="str">
        <f>"192151"</f>
        <v>192151</v>
      </c>
      <c r="N858" s="1" t="s">
        <v>28</v>
      </c>
      <c r="O858" s="1" t="s">
        <v>28</v>
      </c>
      <c r="P858" s="1" t="s">
        <v>55</v>
      </c>
      <c r="Q858" s="1">
        <v>13</v>
      </c>
      <c r="R858" s="1">
        <v>0</v>
      </c>
      <c r="S858" s="1">
        <v>13</v>
      </c>
      <c r="T858" s="1">
        <v>0</v>
      </c>
      <c r="U858" s="1">
        <v>0</v>
      </c>
      <c r="V858" s="1" t="str">
        <f t="shared" si="122"/>
        <v>里程返程</v>
      </c>
      <c r="W858" s="1" t="s">
        <v>35</v>
      </c>
    </row>
    <row r="859" spans="1:23" x14ac:dyDescent="0.3">
      <c r="A859" s="1" t="str">
        <f t="shared" ref="A859:A867" si="123">"59825"</f>
        <v>59825</v>
      </c>
      <c r="B859" s="1" t="s">
        <v>30</v>
      </c>
      <c r="C859" s="1" t="s">
        <v>31</v>
      </c>
      <c r="D859" s="1" t="str">
        <f t="shared" si="119"/>
        <v>9801</v>
      </c>
      <c r="E859" s="1" t="s">
        <v>25</v>
      </c>
      <c r="F859" s="1" t="str">
        <f>"026A101860880400C814002000000019"</f>
        <v>026A101860880400C814002000000019</v>
      </c>
      <c r="G859" s="1" t="s">
        <v>59</v>
      </c>
      <c r="H859" s="1" t="str">
        <f t="shared" si="120"/>
        <v>20220913</v>
      </c>
      <c r="I859" s="1" t="str">
        <f>"173003"</f>
        <v>173003</v>
      </c>
      <c r="J859" s="1" t="s">
        <v>44</v>
      </c>
      <c r="K859" s="1" t="s">
        <v>45</v>
      </c>
      <c r="L859" s="1" t="str">
        <f t="shared" si="121"/>
        <v>20220913</v>
      </c>
      <c r="M859" s="1" t="str">
        <f>"175210"</f>
        <v>175210</v>
      </c>
      <c r="N859" s="1" t="s">
        <v>28</v>
      </c>
      <c r="O859" s="1" t="s">
        <v>28</v>
      </c>
      <c r="P859" s="1" t="s">
        <v>55</v>
      </c>
      <c r="Q859" s="1">
        <v>25</v>
      </c>
      <c r="R859" s="1">
        <v>25</v>
      </c>
      <c r="S859" s="1">
        <v>0</v>
      </c>
      <c r="T859" s="1">
        <v>0</v>
      </c>
      <c r="U859" s="1">
        <v>0</v>
      </c>
      <c r="V859" s="1" t="str">
        <f t="shared" si="122"/>
        <v>里程返程</v>
      </c>
      <c r="W859" s="1" t="s">
        <v>29</v>
      </c>
    </row>
    <row r="860" spans="1:23" x14ac:dyDescent="0.3">
      <c r="A860" s="1" t="str">
        <f t="shared" si="123"/>
        <v>59825</v>
      </c>
      <c r="B860" s="1" t="s">
        <v>30</v>
      </c>
      <c r="C860" s="1" t="s">
        <v>31</v>
      </c>
      <c r="D860" s="1" t="str">
        <f t="shared" si="119"/>
        <v>9801</v>
      </c>
      <c r="E860" s="1" t="s">
        <v>25</v>
      </c>
      <c r="F860" s="1" t="str">
        <f>"422AE7028D880400C834002000000015"</f>
        <v>422AE7028D880400C834002000000015</v>
      </c>
      <c r="G860" s="1" t="s">
        <v>74</v>
      </c>
      <c r="H860" s="1" t="str">
        <f t="shared" si="120"/>
        <v>20220913</v>
      </c>
      <c r="I860" s="1" t="str">
        <f>"173007"</f>
        <v>173007</v>
      </c>
      <c r="J860" s="1" t="s">
        <v>44</v>
      </c>
      <c r="K860" s="1" t="s">
        <v>45</v>
      </c>
      <c r="L860" s="1" t="str">
        <f t="shared" si="121"/>
        <v>20220913</v>
      </c>
      <c r="M860" s="1" t="str">
        <f>"175207"</f>
        <v>175207</v>
      </c>
      <c r="N860" s="1" t="s">
        <v>28</v>
      </c>
      <c r="O860" s="1" t="s">
        <v>28</v>
      </c>
      <c r="P860" s="1" t="s">
        <v>68</v>
      </c>
      <c r="Q860" s="1">
        <v>13</v>
      </c>
      <c r="R860" s="1">
        <v>0</v>
      </c>
      <c r="S860" s="1">
        <v>0</v>
      </c>
      <c r="T860" s="1">
        <v>13</v>
      </c>
      <c r="U860" s="1">
        <v>0</v>
      </c>
      <c r="V860" s="1" t="str">
        <f t="shared" si="122"/>
        <v>里程返程</v>
      </c>
      <c r="W860" s="1" t="s">
        <v>29</v>
      </c>
    </row>
    <row r="861" spans="1:23" x14ac:dyDescent="0.3">
      <c r="A861" s="1" t="str">
        <f t="shared" si="123"/>
        <v>59825</v>
      </c>
      <c r="B861" s="1" t="s">
        <v>30</v>
      </c>
      <c r="C861" s="1" t="s">
        <v>31</v>
      </c>
      <c r="D861" s="1" t="str">
        <f t="shared" si="119"/>
        <v>9801</v>
      </c>
      <c r="E861" s="1" t="s">
        <v>25</v>
      </c>
      <c r="F861" s="1" t="str">
        <f>"1749994773"</f>
        <v>1749994773</v>
      </c>
      <c r="G861" s="1" t="s">
        <v>38</v>
      </c>
      <c r="H861" s="1" t="str">
        <f t="shared" si="120"/>
        <v>20220913</v>
      </c>
      <c r="I861" s="1" t="str">
        <f>"175716"</f>
        <v>175716</v>
      </c>
      <c r="J861" s="1" t="s">
        <v>41</v>
      </c>
      <c r="K861" s="1" t="s">
        <v>28</v>
      </c>
      <c r="L861" s="1" t="str">
        <f t="shared" si="121"/>
        <v>20220913</v>
      </c>
      <c r="M861" s="1" t="str">
        <f>"182232"</f>
        <v>182232</v>
      </c>
      <c r="N861" s="1" t="s">
        <v>51</v>
      </c>
      <c r="O861" s="1" t="s">
        <v>52</v>
      </c>
      <c r="P861" s="1" t="s">
        <v>55</v>
      </c>
      <c r="Q861" s="1">
        <v>25</v>
      </c>
      <c r="R861" s="1">
        <v>0</v>
      </c>
      <c r="S861" s="1">
        <v>25</v>
      </c>
      <c r="T861" s="1">
        <v>0</v>
      </c>
      <c r="U861" s="1">
        <v>0</v>
      </c>
      <c r="V861" s="1" t="str">
        <f t="shared" si="122"/>
        <v>里程返程</v>
      </c>
      <c r="W861" s="1" t="s">
        <v>35</v>
      </c>
    </row>
    <row r="862" spans="1:23" x14ac:dyDescent="0.3">
      <c r="A862" s="1" t="str">
        <f t="shared" si="123"/>
        <v>59825</v>
      </c>
      <c r="B862" s="1" t="s">
        <v>30</v>
      </c>
      <c r="C862" s="1" t="s">
        <v>31</v>
      </c>
      <c r="D862" s="1" t="str">
        <f t="shared" si="119"/>
        <v>9801</v>
      </c>
      <c r="E862" s="1" t="s">
        <v>25</v>
      </c>
      <c r="F862" s="1" t="str">
        <f>"B126CE6A332804001C00000000000000"</f>
        <v>B126CE6A332804001C00000000000000</v>
      </c>
      <c r="G862" s="1" t="s">
        <v>58</v>
      </c>
      <c r="H862" s="1" t="str">
        <f t="shared" si="120"/>
        <v>20220913</v>
      </c>
      <c r="I862" s="1" t="str">
        <f>"184304"</f>
        <v>184304</v>
      </c>
      <c r="J862" s="1" t="s">
        <v>56</v>
      </c>
      <c r="K862" s="1" t="s">
        <v>45</v>
      </c>
      <c r="L862" s="1" t="str">
        <f t="shared" si="121"/>
        <v>20220913</v>
      </c>
      <c r="M862" s="1" t="str">
        <f>"185421"</f>
        <v>185421</v>
      </c>
      <c r="N862" s="1" t="s">
        <v>28</v>
      </c>
      <c r="O862" s="1" t="s">
        <v>28</v>
      </c>
      <c r="P862" s="1" t="s">
        <v>55</v>
      </c>
      <c r="Q862" s="1">
        <v>25</v>
      </c>
      <c r="R862" s="1">
        <v>0</v>
      </c>
      <c r="S862" s="1">
        <v>25</v>
      </c>
      <c r="T862" s="1">
        <v>0</v>
      </c>
      <c r="U862" s="1">
        <v>0</v>
      </c>
      <c r="V862" s="1" t="str">
        <f t="shared" si="122"/>
        <v>里程返程</v>
      </c>
      <c r="W862" s="1" t="s">
        <v>29</v>
      </c>
    </row>
    <row r="863" spans="1:23" x14ac:dyDescent="0.3">
      <c r="A863" s="1" t="str">
        <f t="shared" si="123"/>
        <v>59825</v>
      </c>
      <c r="B863" s="1" t="s">
        <v>30</v>
      </c>
      <c r="C863" s="1" t="s">
        <v>31</v>
      </c>
      <c r="D863" s="1" t="str">
        <f t="shared" si="119"/>
        <v>9801</v>
      </c>
      <c r="E863" s="1" t="s">
        <v>25</v>
      </c>
      <c r="F863" s="1" t="str">
        <f>"106085009"</f>
        <v>106085009</v>
      </c>
      <c r="G863" s="1" t="s">
        <v>33</v>
      </c>
      <c r="H863" s="1" t="str">
        <f t="shared" si="120"/>
        <v>20220913</v>
      </c>
      <c r="I863" s="1" t="str">
        <f>"185451"</f>
        <v>185451</v>
      </c>
      <c r="J863" s="1" t="s">
        <v>28</v>
      </c>
      <c r="K863" s="1" t="s">
        <v>28</v>
      </c>
      <c r="L863" s="1" t="str">
        <f t="shared" si="121"/>
        <v>20220913</v>
      </c>
      <c r="M863" s="1" t="str">
        <f>"192607"</f>
        <v>192607</v>
      </c>
      <c r="N863" s="1" t="s">
        <v>52</v>
      </c>
      <c r="O863" s="1" t="s">
        <v>52</v>
      </c>
      <c r="P863" s="1" t="s">
        <v>55</v>
      </c>
      <c r="Q863" s="1">
        <v>25</v>
      </c>
      <c r="R863" s="1">
        <v>25</v>
      </c>
      <c r="S863" s="1">
        <v>0</v>
      </c>
      <c r="T863" s="1">
        <v>0</v>
      </c>
      <c r="U863" s="1">
        <v>0</v>
      </c>
      <c r="V863" s="1" t="str">
        <f t="shared" si="122"/>
        <v>里程返程</v>
      </c>
      <c r="W863" s="1" t="s">
        <v>35</v>
      </c>
    </row>
    <row r="864" spans="1:23" x14ac:dyDescent="0.3">
      <c r="A864" s="1" t="str">
        <f t="shared" si="123"/>
        <v>59825</v>
      </c>
      <c r="B864" s="1" t="s">
        <v>30</v>
      </c>
      <c r="C864" s="1" t="s">
        <v>31</v>
      </c>
      <c r="D864" s="1" t="str">
        <f t="shared" si="119"/>
        <v>9801</v>
      </c>
      <c r="E864" s="1" t="s">
        <v>25</v>
      </c>
      <c r="F864" s="1" t="str">
        <f>"2395845819"</f>
        <v>2395845819</v>
      </c>
      <c r="G864" s="1" t="s">
        <v>26</v>
      </c>
      <c r="H864" s="1" t="str">
        <f t="shared" si="120"/>
        <v>20220913</v>
      </c>
      <c r="I864" s="1" t="str">
        <f>"185456"</f>
        <v>185456</v>
      </c>
      <c r="J864" s="1" t="s">
        <v>28</v>
      </c>
      <c r="K864" s="1" t="s">
        <v>28</v>
      </c>
      <c r="L864" s="1" t="str">
        <f t="shared" si="121"/>
        <v>20220913</v>
      </c>
      <c r="M864" s="1" t="str">
        <f>"192559"</f>
        <v>192559</v>
      </c>
      <c r="N864" s="1" t="s">
        <v>52</v>
      </c>
      <c r="O864" s="1" t="s">
        <v>52</v>
      </c>
      <c r="P864" s="1" t="s">
        <v>55</v>
      </c>
      <c r="Q864" s="1">
        <v>13</v>
      </c>
      <c r="R864" s="1">
        <v>13</v>
      </c>
      <c r="S864" s="1">
        <v>0</v>
      </c>
      <c r="T864" s="1">
        <v>0</v>
      </c>
      <c r="U864" s="1">
        <v>0</v>
      </c>
      <c r="V864" s="1" t="str">
        <f t="shared" si="122"/>
        <v>里程返程</v>
      </c>
      <c r="W864" s="1" t="s">
        <v>35</v>
      </c>
    </row>
    <row r="865" spans="1:23" x14ac:dyDescent="0.3">
      <c r="A865" s="1" t="str">
        <f t="shared" si="123"/>
        <v>59825</v>
      </c>
      <c r="B865" s="1" t="s">
        <v>30</v>
      </c>
      <c r="C865" s="1" t="s">
        <v>31</v>
      </c>
      <c r="D865" s="1" t="str">
        <f t="shared" si="119"/>
        <v>9801</v>
      </c>
      <c r="E865" s="1" t="s">
        <v>25</v>
      </c>
      <c r="F865" s="1" t="str">
        <f>"3589896026"</f>
        <v>3589896026</v>
      </c>
      <c r="G865" s="1" t="s">
        <v>33</v>
      </c>
      <c r="H865" s="1" t="str">
        <f t="shared" si="120"/>
        <v>20220913</v>
      </c>
      <c r="I865" s="1" t="str">
        <f>"185458"</f>
        <v>185458</v>
      </c>
      <c r="J865" s="1" t="s">
        <v>28</v>
      </c>
      <c r="K865" s="1" t="s">
        <v>28</v>
      </c>
      <c r="L865" s="1" t="str">
        <f t="shared" si="121"/>
        <v>20220913</v>
      </c>
      <c r="M865" s="1" t="str">
        <f>"192546"</f>
        <v>192546</v>
      </c>
      <c r="N865" s="1" t="s">
        <v>52</v>
      </c>
      <c r="O865" s="1" t="s">
        <v>52</v>
      </c>
      <c r="P865" s="1" t="s">
        <v>55</v>
      </c>
      <c r="Q865" s="1">
        <v>25</v>
      </c>
      <c r="R865" s="1">
        <v>25</v>
      </c>
      <c r="S865" s="1">
        <v>0</v>
      </c>
      <c r="T865" s="1">
        <v>0</v>
      </c>
      <c r="U865" s="1">
        <v>0</v>
      </c>
      <c r="V865" s="1" t="str">
        <f t="shared" si="122"/>
        <v>里程返程</v>
      </c>
      <c r="W865" s="1" t="s">
        <v>35</v>
      </c>
    </row>
    <row r="866" spans="1:23" x14ac:dyDescent="0.3">
      <c r="A866" s="1" t="str">
        <f t="shared" si="123"/>
        <v>59825</v>
      </c>
      <c r="B866" s="1" t="s">
        <v>30</v>
      </c>
      <c r="C866" s="1" t="s">
        <v>31</v>
      </c>
      <c r="D866" s="1" t="str">
        <f t="shared" si="119"/>
        <v>9801</v>
      </c>
      <c r="E866" s="1" t="s">
        <v>25</v>
      </c>
      <c r="F866" s="1" t="str">
        <f>"1123942693"</f>
        <v>1123942693</v>
      </c>
      <c r="G866" s="1" t="s">
        <v>33</v>
      </c>
      <c r="H866" s="1" t="str">
        <f t="shared" ref="H866:H896" si="124">"20220913"</f>
        <v>20220913</v>
      </c>
      <c r="I866" s="1" t="str">
        <f>"185503"</f>
        <v>185503</v>
      </c>
      <c r="J866" s="1" t="s">
        <v>28</v>
      </c>
      <c r="K866" s="1" t="s">
        <v>28</v>
      </c>
      <c r="L866" s="1" t="str">
        <f t="shared" ref="L866:L896" si="125">"20220913"</f>
        <v>20220913</v>
      </c>
      <c r="M866" s="1" t="str">
        <f>"191727"</f>
        <v>191727</v>
      </c>
      <c r="N866" s="1" t="s">
        <v>72</v>
      </c>
      <c r="O866" s="1" t="s">
        <v>52</v>
      </c>
      <c r="P866" s="1" t="s">
        <v>55</v>
      </c>
      <c r="Q866" s="1">
        <v>25</v>
      </c>
      <c r="R866" s="1">
        <v>25</v>
      </c>
      <c r="S866" s="1">
        <v>0</v>
      </c>
      <c r="T866" s="1">
        <v>0</v>
      </c>
      <c r="U866" s="1">
        <v>0</v>
      </c>
      <c r="V866" s="1" t="str">
        <f t="shared" si="122"/>
        <v>里程返程</v>
      </c>
      <c r="W866" s="1" t="s">
        <v>35</v>
      </c>
    </row>
    <row r="867" spans="1:23" x14ac:dyDescent="0.3">
      <c r="A867" s="1" t="str">
        <f t="shared" si="123"/>
        <v>59825</v>
      </c>
      <c r="B867" s="1" t="s">
        <v>30</v>
      </c>
      <c r="C867" s="1" t="s">
        <v>31</v>
      </c>
      <c r="D867" s="1" t="str">
        <f t="shared" si="119"/>
        <v>9801</v>
      </c>
      <c r="E867" s="1" t="s">
        <v>25</v>
      </c>
      <c r="F867" s="1" t="str">
        <f>"2075560860"</f>
        <v>2075560860</v>
      </c>
      <c r="G867" s="1" t="s">
        <v>33</v>
      </c>
      <c r="H867" s="1" t="str">
        <f t="shared" si="124"/>
        <v>20220913</v>
      </c>
      <c r="I867" s="1" t="str">
        <f>"185520"</f>
        <v>185520</v>
      </c>
      <c r="J867" s="1" t="s">
        <v>28</v>
      </c>
      <c r="K867" s="1" t="s">
        <v>28</v>
      </c>
      <c r="L867" s="1" t="str">
        <f t="shared" si="125"/>
        <v>20220913</v>
      </c>
      <c r="M867" s="1" t="str">
        <f>"192601"</f>
        <v>192601</v>
      </c>
      <c r="N867" s="1" t="s">
        <v>52</v>
      </c>
      <c r="O867" s="1" t="s">
        <v>52</v>
      </c>
      <c r="P867" s="1" t="s">
        <v>55</v>
      </c>
      <c r="Q867" s="1">
        <v>25</v>
      </c>
      <c r="R867" s="1">
        <v>25</v>
      </c>
      <c r="S867" s="1">
        <v>0</v>
      </c>
      <c r="T867" s="1">
        <v>0</v>
      </c>
      <c r="U867" s="1">
        <v>0</v>
      </c>
      <c r="V867" s="1" t="str">
        <f t="shared" si="122"/>
        <v>里程返程</v>
      </c>
      <c r="W867" s="1" t="s">
        <v>35</v>
      </c>
    </row>
    <row r="868" spans="1:23" x14ac:dyDescent="0.3">
      <c r="A868" s="1" t="str">
        <f t="shared" ref="A868:A896" si="126">"59828"</f>
        <v>59828</v>
      </c>
      <c r="B868" s="1" t="s">
        <v>23</v>
      </c>
      <c r="C868" s="1" t="s">
        <v>24</v>
      </c>
      <c r="D868" s="1" t="str">
        <f t="shared" si="119"/>
        <v>9801</v>
      </c>
      <c r="E868" s="1" t="s">
        <v>25</v>
      </c>
      <c r="F868" s="1" t="str">
        <f>"1752749445"</f>
        <v>1752749445</v>
      </c>
      <c r="G868" s="1" t="s">
        <v>33</v>
      </c>
      <c r="H868" s="1" t="str">
        <f t="shared" si="124"/>
        <v>20220913</v>
      </c>
      <c r="I868" s="1" t="str">
        <f>"063325"</f>
        <v>063325</v>
      </c>
      <c r="J868" s="1" t="s">
        <v>28</v>
      </c>
      <c r="K868" s="1" t="s">
        <v>28</v>
      </c>
      <c r="L868" s="1" t="str">
        <f t="shared" si="125"/>
        <v>20220913</v>
      </c>
      <c r="M868" s="1" t="str">
        <f>"065244"</f>
        <v>065244</v>
      </c>
      <c r="N868" s="1" t="s">
        <v>72</v>
      </c>
      <c r="O868" s="1" t="s">
        <v>52</v>
      </c>
      <c r="P868" s="1" t="s">
        <v>55</v>
      </c>
      <c r="Q868" s="1">
        <v>25</v>
      </c>
      <c r="R868" s="1">
        <v>0</v>
      </c>
      <c r="S868" s="1">
        <v>25</v>
      </c>
      <c r="T868" s="1">
        <v>0</v>
      </c>
      <c r="U868" s="1">
        <v>0</v>
      </c>
      <c r="V868" s="1" t="str">
        <f t="shared" si="122"/>
        <v>里程返程</v>
      </c>
      <c r="W868" s="1" t="s">
        <v>35</v>
      </c>
    </row>
    <row r="869" spans="1:23" x14ac:dyDescent="0.3">
      <c r="A869" s="1" t="str">
        <f t="shared" si="126"/>
        <v>59828</v>
      </c>
      <c r="B869" s="1" t="s">
        <v>23</v>
      </c>
      <c r="C869" s="1" t="s">
        <v>24</v>
      </c>
      <c r="D869" s="1" t="str">
        <f t="shared" si="119"/>
        <v>9801</v>
      </c>
      <c r="E869" s="1" t="s">
        <v>25</v>
      </c>
      <c r="F869" s="1" t="str">
        <f>"619F1761882804001C00000000000000"</f>
        <v>619F1761882804001C00000000000000</v>
      </c>
      <c r="G869" s="1" t="s">
        <v>58</v>
      </c>
      <c r="H869" s="1" t="str">
        <f t="shared" si="124"/>
        <v>20220913</v>
      </c>
      <c r="I869" s="1" t="str">
        <f>"063330"</f>
        <v>063330</v>
      </c>
      <c r="J869" s="1" t="s">
        <v>28</v>
      </c>
      <c r="K869" s="1" t="s">
        <v>28</v>
      </c>
      <c r="L869" s="1" t="str">
        <f t="shared" si="125"/>
        <v>20220913</v>
      </c>
      <c r="M869" s="1" t="str">
        <f>"065238"</f>
        <v>065238</v>
      </c>
      <c r="N869" s="1" t="s">
        <v>72</v>
      </c>
      <c r="O869" s="1" t="s">
        <v>52</v>
      </c>
      <c r="P869" s="1" t="s">
        <v>55</v>
      </c>
      <c r="Q869" s="1">
        <v>25</v>
      </c>
      <c r="R869" s="1">
        <v>0</v>
      </c>
      <c r="S869" s="1">
        <v>25</v>
      </c>
      <c r="T869" s="1">
        <v>0</v>
      </c>
      <c r="U869" s="1">
        <v>0</v>
      </c>
      <c r="V869" s="1" t="str">
        <f t="shared" si="122"/>
        <v>里程返程</v>
      </c>
      <c r="W869" s="1" t="s">
        <v>29</v>
      </c>
    </row>
    <row r="870" spans="1:23" x14ac:dyDescent="0.3">
      <c r="A870" s="1" t="str">
        <f t="shared" si="126"/>
        <v>59828</v>
      </c>
      <c r="B870" s="1" t="s">
        <v>23</v>
      </c>
      <c r="C870" s="1" t="s">
        <v>24</v>
      </c>
      <c r="D870" s="1" t="str">
        <f t="shared" si="119"/>
        <v>9801</v>
      </c>
      <c r="E870" s="1" t="s">
        <v>25</v>
      </c>
      <c r="F870" s="1" t="str">
        <f>"D2EDC500FA880400C801002000000015"</f>
        <v>D2EDC500FA880400C801002000000015</v>
      </c>
      <c r="G870" s="1" t="s">
        <v>58</v>
      </c>
      <c r="H870" s="1" t="str">
        <f t="shared" si="124"/>
        <v>20220913</v>
      </c>
      <c r="I870" s="1" t="str">
        <f>"063345"</f>
        <v>063345</v>
      </c>
      <c r="J870" s="1" t="s">
        <v>28</v>
      </c>
      <c r="K870" s="1" t="s">
        <v>28</v>
      </c>
      <c r="L870" s="1" t="str">
        <f t="shared" si="125"/>
        <v>20220913</v>
      </c>
      <c r="M870" s="1" t="str">
        <f>"070020"</f>
        <v>070020</v>
      </c>
      <c r="N870" s="1" t="s">
        <v>52</v>
      </c>
      <c r="O870" s="1" t="s">
        <v>52</v>
      </c>
      <c r="P870" s="1" t="s">
        <v>55</v>
      </c>
      <c r="Q870" s="1">
        <v>25</v>
      </c>
      <c r="R870" s="1">
        <v>25</v>
      </c>
      <c r="S870" s="1">
        <v>0</v>
      </c>
      <c r="T870" s="1">
        <v>0</v>
      </c>
      <c r="U870" s="1">
        <v>0</v>
      </c>
      <c r="V870" s="1" t="str">
        <f t="shared" si="122"/>
        <v>里程返程</v>
      </c>
      <c r="W870" s="1" t="s">
        <v>29</v>
      </c>
    </row>
    <row r="871" spans="1:23" x14ac:dyDescent="0.3">
      <c r="A871" s="1" t="str">
        <f t="shared" si="126"/>
        <v>59828</v>
      </c>
      <c r="B871" s="1" t="s">
        <v>23</v>
      </c>
      <c r="C871" s="1" t="s">
        <v>24</v>
      </c>
      <c r="D871" s="1" t="str">
        <f t="shared" si="119"/>
        <v>9801</v>
      </c>
      <c r="E871" s="1" t="s">
        <v>25</v>
      </c>
      <c r="F871" s="1" t="str">
        <f>"422294833"</f>
        <v>422294833</v>
      </c>
      <c r="G871" s="1" t="s">
        <v>96</v>
      </c>
      <c r="H871" s="1" t="str">
        <f t="shared" si="124"/>
        <v>20220913</v>
      </c>
      <c r="I871" s="1" t="str">
        <f>"070740"</f>
        <v>070740</v>
      </c>
      <c r="J871" s="1" t="s">
        <v>75</v>
      </c>
      <c r="K871" s="1" t="s">
        <v>45</v>
      </c>
      <c r="L871" s="1" t="str">
        <f t="shared" si="125"/>
        <v>20220913</v>
      </c>
      <c r="M871" s="1" t="str">
        <f>"072137"</f>
        <v>072137</v>
      </c>
      <c r="N871" s="1" t="s">
        <v>28</v>
      </c>
      <c r="O871" s="1" t="s">
        <v>28</v>
      </c>
      <c r="P871" s="1" t="s">
        <v>55</v>
      </c>
      <c r="Q871" s="1">
        <v>13</v>
      </c>
      <c r="R871" s="1">
        <v>13</v>
      </c>
      <c r="S871" s="1">
        <v>0</v>
      </c>
      <c r="T871" s="1">
        <v>0</v>
      </c>
      <c r="U871" s="1">
        <v>0</v>
      </c>
      <c r="V871" s="1" t="str">
        <f t="shared" si="122"/>
        <v>里程返程</v>
      </c>
      <c r="W871" s="1" t="s">
        <v>35</v>
      </c>
    </row>
    <row r="872" spans="1:23" x14ac:dyDescent="0.3">
      <c r="A872" s="1" t="str">
        <f t="shared" si="126"/>
        <v>59828</v>
      </c>
      <c r="B872" s="1" t="s">
        <v>23</v>
      </c>
      <c r="C872" s="1" t="s">
        <v>24</v>
      </c>
      <c r="D872" s="1" t="str">
        <f t="shared" si="119"/>
        <v>9801</v>
      </c>
      <c r="E872" s="1" t="s">
        <v>25</v>
      </c>
      <c r="F872" s="1" t="str">
        <f>"2262D30291880400C834002000000015"</f>
        <v>2262D30291880400C834002000000015</v>
      </c>
      <c r="G872" s="1" t="s">
        <v>26</v>
      </c>
      <c r="H872" s="1" t="str">
        <f t="shared" si="124"/>
        <v>20220913</v>
      </c>
      <c r="I872" s="1" t="str">
        <f>"070927"</f>
        <v>070927</v>
      </c>
      <c r="J872" s="1" t="s">
        <v>56</v>
      </c>
      <c r="K872" s="1" t="s">
        <v>45</v>
      </c>
      <c r="L872" s="1" t="str">
        <f t="shared" si="125"/>
        <v>20220913</v>
      </c>
      <c r="M872" s="1" t="str">
        <f>"072145"</f>
        <v>072145</v>
      </c>
      <c r="N872" s="1" t="s">
        <v>28</v>
      </c>
      <c r="O872" s="1" t="s">
        <v>28</v>
      </c>
      <c r="P872" s="1" t="s">
        <v>68</v>
      </c>
      <c r="Q872" s="1">
        <v>13</v>
      </c>
      <c r="R872" s="1">
        <v>0</v>
      </c>
      <c r="S872" s="1">
        <v>0</v>
      </c>
      <c r="T872" s="1">
        <v>13</v>
      </c>
      <c r="U872" s="1">
        <v>0</v>
      </c>
      <c r="V872" s="1" t="str">
        <f t="shared" si="122"/>
        <v>里程返程</v>
      </c>
      <c r="W872" s="1" t="s">
        <v>29</v>
      </c>
    </row>
    <row r="873" spans="1:23" x14ac:dyDescent="0.3">
      <c r="A873" s="1" t="str">
        <f t="shared" si="126"/>
        <v>59828</v>
      </c>
      <c r="B873" s="1" t="s">
        <v>23</v>
      </c>
      <c r="C873" s="1" t="s">
        <v>24</v>
      </c>
      <c r="D873" s="1" t="str">
        <f t="shared" si="119"/>
        <v>9801</v>
      </c>
      <c r="E873" s="1" t="s">
        <v>25</v>
      </c>
      <c r="F873" s="1" t="str">
        <f>"D257BD023A880400C834002000000015"</f>
        <v>D257BD023A880400C834002000000015</v>
      </c>
      <c r="G873" s="1" t="s">
        <v>74</v>
      </c>
      <c r="H873" s="1" t="str">
        <f t="shared" si="124"/>
        <v>20220913</v>
      </c>
      <c r="I873" s="1" t="str">
        <f>"072224"</f>
        <v>072224</v>
      </c>
      <c r="J873" s="1" t="s">
        <v>28</v>
      </c>
      <c r="K873" s="1" t="s">
        <v>28</v>
      </c>
      <c r="L873" s="1" t="str">
        <f t="shared" si="125"/>
        <v>20220913</v>
      </c>
      <c r="M873" s="1" t="str">
        <f>"073201"</f>
        <v>073201</v>
      </c>
      <c r="N873" s="1" t="s">
        <v>67</v>
      </c>
      <c r="O873" s="1" t="s">
        <v>52</v>
      </c>
      <c r="P873" s="1" t="s">
        <v>68</v>
      </c>
      <c r="Q873" s="1">
        <v>13</v>
      </c>
      <c r="R873" s="1">
        <v>0</v>
      </c>
      <c r="S873" s="1">
        <v>0</v>
      </c>
      <c r="T873" s="1">
        <v>13</v>
      </c>
      <c r="U873" s="1">
        <v>0</v>
      </c>
      <c r="V873" s="1" t="str">
        <f t="shared" si="122"/>
        <v>里程返程</v>
      </c>
      <c r="W873" s="1" t="s">
        <v>29</v>
      </c>
    </row>
    <row r="874" spans="1:23" x14ac:dyDescent="0.3">
      <c r="A874" s="1" t="str">
        <f t="shared" si="126"/>
        <v>59828</v>
      </c>
      <c r="B874" s="1" t="s">
        <v>23</v>
      </c>
      <c r="C874" s="1" t="s">
        <v>24</v>
      </c>
      <c r="D874" s="1" t="str">
        <f t="shared" si="119"/>
        <v>9801</v>
      </c>
      <c r="E874" s="1" t="s">
        <v>25</v>
      </c>
      <c r="F874" s="1" t="str">
        <f>"F282E40195880400C821002000000015"</f>
        <v>F282E40195880400C821002000000015</v>
      </c>
      <c r="G874" s="1" t="s">
        <v>58</v>
      </c>
      <c r="H874" s="1" t="str">
        <f t="shared" si="124"/>
        <v>20220913</v>
      </c>
      <c r="I874" s="1" t="str">
        <f>"072227"</f>
        <v>072227</v>
      </c>
      <c r="J874" s="1" t="s">
        <v>28</v>
      </c>
      <c r="K874" s="1" t="s">
        <v>28</v>
      </c>
      <c r="L874" s="1" t="str">
        <f t="shared" si="125"/>
        <v>20220913</v>
      </c>
      <c r="M874" s="1" t="str">
        <f>"074354"</f>
        <v>074354</v>
      </c>
      <c r="N874" s="1" t="s">
        <v>65</v>
      </c>
      <c r="O874" s="1" t="s">
        <v>52</v>
      </c>
      <c r="P874" s="1" t="s">
        <v>55</v>
      </c>
      <c r="Q874" s="1">
        <v>25</v>
      </c>
      <c r="R874" s="1">
        <v>0</v>
      </c>
      <c r="S874" s="1">
        <v>25</v>
      </c>
      <c r="T874" s="1">
        <v>0</v>
      </c>
      <c r="U874" s="1">
        <v>0</v>
      </c>
      <c r="V874" s="1" t="str">
        <f t="shared" si="122"/>
        <v>里程返程</v>
      </c>
      <c r="W874" s="1" t="s">
        <v>29</v>
      </c>
    </row>
    <row r="875" spans="1:23" x14ac:dyDescent="0.3">
      <c r="A875" s="1" t="str">
        <f t="shared" si="126"/>
        <v>59828</v>
      </c>
      <c r="B875" s="1" t="s">
        <v>23</v>
      </c>
      <c r="C875" s="1" t="s">
        <v>24</v>
      </c>
      <c r="D875" s="1" t="str">
        <f t="shared" si="119"/>
        <v>9801</v>
      </c>
      <c r="E875" s="1" t="s">
        <v>25</v>
      </c>
      <c r="F875" s="1" t="str">
        <f>"1626624682"</f>
        <v>1626624682</v>
      </c>
      <c r="G875" s="1" t="s">
        <v>33</v>
      </c>
      <c r="H875" s="1" t="str">
        <f t="shared" si="124"/>
        <v>20220913</v>
      </c>
      <c r="I875" s="1" t="str">
        <f>"072232"</f>
        <v>072232</v>
      </c>
      <c r="J875" s="1" t="s">
        <v>28</v>
      </c>
      <c r="K875" s="1" t="s">
        <v>28</v>
      </c>
      <c r="L875" s="1" t="str">
        <f t="shared" si="125"/>
        <v>20220913</v>
      </c>
      <c r="M875" s="1" t="str">
        <f>"074305"</f>
        <v>074305</v>
      </c>
      <c r="N875" s="1" t="s">
        <v>65</v>
      </c>
      <c r="O875" s="1" t="s">
        <v>52</v>
      </c>
      <c r="P875" s="1" t="s">
        <v>55</v>
      </c>
      <c r="Q875" s="1">
        <v>25</v>
      </c>
      <c r="R875" s="1">
        <v>25</v>
      </c>
      <c r="S875" s="1">
        <v>0</v>
      </c>
      <c r="T875" s="1">
        <v>0</v>
      </c>
      <c r="U875" s="1">
        <v>0</v>
      </c>
      <c r="V875" s="1" t="str">
        <f t="shared" si="122"/>
        <v>里程返程</v>
      </c>
      <c r="W875" s="1" t="s">
        <v>35</v>
      </c>
    </row>
    <row r="876" spans="1:23" x14ac:dyDescent="0.3">
      <c r="A876" s="1" t="str">
        <f t="shared" si="126"/>
        <v>59828</v>
      </c>
      <c r="B876" s="1" t="s">
        <v>23</v>
      </c>
      <c r="C876" s="1" t="s">
        <v>24</v>
      </c>
      <c r="D876" s="1" t="str">
        <f t="shared" si="119"/>
        <v>9801</v>
      </c>
      <c r="E876" s="1" t="s">
        <v>25</v>
      </c>
      <c r="F876" s="1" t="str">
        <f>"026A101860880400C814002000000019"</f>
        <v>026A101860880400C814002000000019</v>
      </c>
      <c r="G876" s="1" t="s">
        <v>59</v>
      </c>
      <c r="H876" s="1" t="str">
        <f t="shared" si="124"/>
        <v>20220913</v>
      </c>
      <c r="I876" s="1" t="str">
        <f>"072236"</f>
        <v>072236</v>
      </c>
      <c r="J876" s="1" t="s">
        <v>28</v>
      </c>
      <c r="K876" s="1" t="s">
        <v>28</v>
      </c>
      <c r="L876" s="1" t="str">
        <f t="shared" si="125"/>
        <v>20220913</v>
      </c>
      <c r="M876" s="1" t="str">
        <f>"074732"</f>
        <v>074732</v>
      </c>
      <c r="N876" s="1" t="s">
        <v>71</v>
      </c>
      <c r="O876" s="1" t="s">
        <v>52</v>
      </c>
      <c r="P876" s="1" t="s">
        <v>55</v>
      </c>
      <c r="Q876" s="1">
        <v>25</v>
      </c>
      <c r="R876" s="1">
        <v>0</v>
      </c>
      <c r="S876" s="1">
        <v>25</v>
      </c>
      <c r="T876" s="1">
        <v>0</v>
      </c>
      <c r="U876" s="1">
        <v>0</v>
      </c>
      <c r="V876" s="1" t="str">
        <f t="shared" si="122"/>
        <v>里程返程</v>
      </c>
      <c r="W876" s="1" t="s">
        <v>29</v>
      </c>
    </row>
    <row r="877" spans="1:23" x14ac:dyDescent="0.3">
      <c r="A877" s="1" t="str">
        <f t="shared" si="126"/>
        <v>59828</v>
      </c>
      <c r="B877" s="1" t="s">
        <v>23</v>
      </c>
      <c r="C877" s="1" t="s">
        <v>24</v>
      </c>
      <c r="D877" s="1" t="str">
        <f t="shared" si="119"/>
        <v>9801</v>
      </c>
      <c r="E877" s="1" t="s">
        <v>25</v>
      </c>
      <c r="F877" s="1" t="str">
        <f>"222FE702E8880400C834002000000015"</f>
        <v>222FE702E8880400C834002000000015</v>
      </c>
      <c r="G877" s="1" t="s">
        <v>74</v>
      </c>
      <c r="H877" s="1" t="str">
        <f t="shared" si="124"/>
        <v>20220913</v>
      </c>
      <c r="I877" s="1" t="str">
        <f>"072240"</f>
        <v>072240</v>
      </c>
      <c r="J877" s="1" t="s">
        <v>28</v>
      </c>
      <c r="K877" s="1" t="s">
        <v>28</v>
      </c>
      <c r="L877" s="1" t="str">
        <f t="shared" si="125"/>
        <v>20220913</v>
      </c>
      <c r="M877" s="1" t="str">
        <f>"075214"</f>
        <v>075214</v>
      </c>
      <c r="N877" s="1" t="s">
        <v>60</v>
      </c>
      <c r="O877" s="1" t="s">
        <v>52</v>
      </c>
      <c r="P877" s="1" t="s">
        <v>68</v>
      </c>
      <c r="Q877" s="1">
        <v>13</v>
      </c>
      <c r="R877" s="1">
        <v>0</v>
      </c>
      <c r="S877" s="1">
        <v>0</v>
      </c>
      <c r="T877" s="1">
        <v>13</v>
      </c>
      <c r="U877" s="1">
        <v>0</v>
      </c>
      <c r="V877" s="1" t="str">
        <f t="shared" si="122"/>
        <v>里程返程</v>
      </c>
      <c r="W877" s="1" t="s">
        <v>29</v>
      </c>
    </row>
    <row r="878" spans="1:23" x14ac:dyDescent="0.3">
      <c r="A878" s="1" t="str">
        <f t="shared" si="126"/>
        <v>59828</v>
      </c>
      <c r="B878" s="1" t="s">
        <v>23</v>
      </c>
      <c r="C878" s="1" t="s">
        <v>24</v>
      </c>
      <c r="D878" s="1" t="str">
        <f t="shared" si="119"/>
        <v>9801</v>
      </c>
      <c r="E878" s="1" t="s">
        <v>25</v>
      </c>
      <c r="F878" s="1" t="str">
        <f>"82730F18E6880400C814002000000019"</f>
        <v>82730F18E6880400C814002000000019</v>
      </c>
      <c r="G878" s="1" t="s">
        <v>59</v>
      </c>
      <c r="H878" s="1" t="str">
        <f t="shared" si="124"/>
        <v>20220913</v>
      </c>
      <c r="I878" s="1" t="str">
        <f>"072243"</f>
        <v>072243</v>
      </c>
      <c r="J878" s="1" t="s">
        <v>28</v>
      </c>
      <c r="K878" s="1" t="s">
        <v>28</v>
      </c>
      <c r="L878" s="1" t="str">
        <f t="shared" si="125"/>
        <v>20220913</v>
      </c>
      <c r="M878" s="1" t="str">
        <f>"074457"</f>
        <v>074457</v>
      </c>
      <c r="N878" s="1" t="s">
        <v>72</v>
      </c>
      <c r="O878" s="1" t="s">
        <v>52</v>
      </c>
      <c r="P878" s="1" t="s">
        <v>55</v>
      </c>
      <c r="Q878" s="1">
        <v>25</v>
      </c>
      <c r="R878" s="1">
        <v>0</v>
      </c>
      <c r="S878" s="1">
        <v>25</v>
      </c>
      <c r="T878" s="1">
        <v>0</v>
      </c>
      <c r="U878" s="1">
        <v>0</v>
      </c>
      <c r="V878" s="1" t="str">
        <f t="shared" si="122"/>
        <v>里程返程</v>
      </c>
      <c r="W878" s="1" t="s">
        <v>29</v>
      </c>
    </row>
    <row r="879" spans="1:23" x14ac:dyDescent="0.3">
      <c r="A879" s="1" t="str">
        <f t="shared" si="126"/>
        <v>59828</v>
      </c>
      <c r="B879" s="1" t="s">
        <v>23</v>
      </c>
      <c r="C879" s="1" t="s">
        <v>24</v>
      </c>
      <c r="D879" s="1" t="str">
        <f t="shared" si="119"/>
        <v>9801</v>
      </c>
      <c r="E879" s="1" t="s">
        <v>25</v>
      </c>
      <c r="F879" s="1" t="str">
        <f>"1204061808880400C814002000000019"</f>
        <v>1204061808880400C814002000000019</v>
      </c>
      <c r="G879" s="1" t="s">
        <v>59</v>
      </c>
      <c r="H879" s="1" t="str">
        <f t="shared" si="124"/>
        <v>20220913</v>
      </c>
      <c r="I879" s="1" t="str">
        <f>"072246"</f>
        <v>072246</v>
      </c>
      <c r="J879" s="1" t="s">
        <v>28</v>
      </c>
      <c r="K879" s="1" t="s">
        <v>28</v>
      </c>
      <c r="L879" s="1" t="str">
        <f t="shared" si="125"/>
        <v>20220913</v>
      </c>
      <c r="M879" s="1" t="str">
        <f>"074501"</f>
        <v>074501</v>
      </c>
      <c r="N879" s="1" t="s">
        <v>72</v>
      </c>
      <c r="O879" s="1" t="s">
        <v>52</v>
      </c>
      <c r="P879" s="1" t="s">
        <v>55</v>
      </c>
      <c r="Q879" s="1">
        <v>25</v>
      </c>
      <c r="R879" s="1">
        <v>0</v>
      </c>
      <c r="S879" s="1">
        <v>25</v>
      </c>
      <c r="T879" s="1">
        <v>0</v>
      </c>
      <c r="U879" s="1">
        <v>0</v>
      </c>
      <c r="V879" s="1" t="str">
        <f t="shared" si="122"/>
        <v>里程返程</v>
      </c>
      <c r="W879" s="1" t="s">
        <v>29</v>
      </c>
    </row>
    <row r="880" spans="1:23" x14ac:dyDescent="0.3">
      <c r="A880" s="1" t="str">
        <f t="shared" si="126"/>
        <v>59828</v>
      </c>
      <c r="B880" s="1" t="s">
        <v>23</v>
      </c>
      <c r="C880" s="1" t="s">
        <v>24</v>
      </c>
      <c r="D880" s="1" t="str">
        <f t="shared" si="119"/>
        <v>9801</v>
      </c>
      <c r="E880" s="1" t="s">
        <v>25</v>
      </c>
      <c r="F880" s="1" t="str">
        <f>"62F00B1881880400C814002000000019"</f>
        <v>62F00B1881880400C814002000000019</v>
      </c>
      <c r="G880" s="1" t="s">
        <v>59</v>
      </c>
      <c r="H880" s="1" t="str">
        <f t="shared" si="124"/>
        <v>20220913</v>
      </c>
      <c r="I880" s="1" t="str">
        <f>"072249"</f>
        <v>072249</v>
      </c>
      <c r="J880" s="1" t="s">
        <v>28</v>
      </c>
      <c r="K880" s="1" t="s">
        <v>28</v>
      </c>
      <c r="L880" s="1" t="str">
        <f t="shared" si="125"/>
        <v>20220913</v>
      </c>
      <c r="M880" s="1" t="str">
        <f>"074459"</f>
        <v>074459</v>
      </c>
      <c r="N880" s="1" t="s">
        <v>72</v>
      </c>
      <c r="O880" s="1" t="s">
        <v>52</v>
      </c>
      <c r="P880" s="1" t="s">
        <v>55</v>
      </c>
      <c r="Q880" s="1">
        <v>25</v>
      </c>
      <c r="R880" s="1">
        <v>0</v>
      </c>
      <c r="S880" s="1">
        <v>25</v>
      </c>
      <c r="T880" s="1">
        <v>0</v>
      </c>
      <c r="U880" s="1">
        <v>0</v>
      </c>
      <c r="V880" s="1" t="str">
        <f t="shared" si="122"/>
        <v>里程返程</v>
      </c>
      <c r="W880" s="1" t="s">
        <v>29</v>
      </c>
    </row>
    <row r="881" spans="1:23" x14ac:dyDescent="0.3">
      <c r="A881" s="1" t="str">
        <f t="shared" si="126"/>
        <v>59828</v>
      </c>
      <c r="B881" s="1" t="s">
        <v>23</v>
      </c>
      <c r="C881" s="1" t="s">
        <v>24</v>
      </c>
      <c r="D881" s="1" t="str">
        <f t="shared" si="119"/>
        <v>9801</v>
      </c>
      <c r="E881" s="1" t="s">
        <v>25</v>
      </c>
      <c r="F881" s="1" t="str">
        <f>"1842327157"</f>
        <v>1842327157</v>
      </c>
      <c r="G881" s="1" t="s">
        <v>33</v>
      </c>
      <c r="H881" s="1" t="str">
        <f t="shared" si="124"/>
        <v>20220913</v>
      </c>
      <c r="I881" s="1" t="str">
        <f>"072257"</f>
        <v>072257</v>
      </c>
      <c r="J881" s="1" t="s">
        <v>28</v>
      </c>
      <c r="K881" s="1" t="s">
        <v>28</v>
      </c>
      <c r="L881" s="1" t="str">
        <f t="shared" si="125"/>
        <v>20220913</v>
      </c>
      <c r="M881" s="1" t="str">
        <f>"074045"</f>
        <v>074045</v>
      </c>
      <c r="N881" s="1" t="s">
        <v>80</v>
      </c>
      <c r="O881" s="1" t="s">
        <v>52</v>
      </c>
      <c r="P881" s="1" t="s">
        <v>55</v>
      </c>
      <c r="Q881" s="1">
        <v>25</v>
      </c>
      <c r="R881" s="1">
        <v>25</v>
      </c>
      <c r="S881" s="1">
        <v>0</v>
      </c>
      <c r="T881" s="1">
        <v>0</v>
      </c>
      <c r="U881" s="1">
        <v>0</v>
      </c>
      <c r="V881" s="1" t="str">
        <f t="shared" si="122"/>
        <v>里程返程</v>
      </c>
      <c r="W881" s="1" t="s">
        <v>35</v>
      </c>
    </row>
    <row r="882" spans="1:23" x14ac:dyDescent="0.3">
      <c r="A882" s="1" t="str">
        <f t="shared" si="126"/>
        <v>59828</v>
      </c>
      <c r="B882" s="1" t="s">
        <v>23</v>
      </c>
      <c r="C882" s="1" t="s">
        <v>24</v>
      </c>
      <c r="D882" s="1" t="str">
        <f t="shared" si="119"/>
        <v>9801</v>
      </c>
      <c r="E882" s="1" t="s">
        <v>25</v>
      </c>
      <c r="F882" s="1" t="str">
        <f>"1759959808"</f>
        <v>1759959808</v>
      </c>
      <c r="G882" s="1" t="s">
        <v>33</v>
      </c>
      <c r="H882" s="1" t="str">
        <f t="shared" si="124"/>
        <v>20220913</v>
      </c>
      <c r="I882" s="1" t="str">
        <f>"074051"</f>
        <v>074051</v>
      </c>
      <c r="J882" s="1" t="s">
        <v>80</v>
      </c>
      <c r="K882" s="1" t="s">
        <v>52</v>
      </c>
      <c r="L882" s="1" t="str">
        <f t="shared" si="125"/>
        <v>20220913</v>
      </c>
      <c r="M882" s="1" t="str">
        <f>"075216"</f>
        <v>075216</v>
      </c>
      <c r="N882" s="1" t="s">
        <v>60</v>
      </c>
      <c r="O882" s="1" t="s">
        <v>52</v>
      </c>
      <c r="P882" s="1" t="s">
        <v>55</v>
      </c>
      <c r="Q882" s="1">
        <v>25</v>
      </c>
      <c r="R882" s="1">
        <v>25</v>
      </c>
      <c r="S882" s="1">
        <v>0</v>
      </c>
      <c r="T882" s="1">
        <v>0</v>
      </c>
      <c r="U882" s="1">
        <v>0</v>
      </c>
      <c r="V882" s="1" t="str">
        <f t="shared" si="122"/>
        <v>里程返程</v>
      </c>
      <c r="W882" s="1" t="s">
        <v>35</v>
      </c>
    </row>
    <row r="883" spans="1:23" x14ac:dyDescent="0.3">
      <c r="A883" s="1" t="str">
        <f t="shared" si="126"/>
        <v>59828</v>
      </c>
      <c r="B883" s="1" t="s">
        <v>23</v>
      </c>
      <c r="C883" s="1" t="s">
        <v>24</v>
      </c>
      <c r="D883" s="1" t="str">
        <f t="shared" si="119"/>
        <v>9801</v>
      </c>
      <c r="E883" s="1" t="s">
        <v>25</v>
      </c>
      <c r="F883" s="1" t="str">
        <f>"252092911"</f>
        <v>252092911</v>
      </c>
      <c r="G883" s="1" t="s">
        <v>26</v>
      </c>
      <c r="H883" s="1" t="str">
        <f t="shared" si="124"/>
        <v>20220913</v>
      </c>
      <c r="I883" s="1" t="str">
        <f>"125017"</f>
        <v>125017</v>
      </c>
      <c r="J883" s="1" t="s">
        <v>28</v>
      </c>
      <c r="K883" s="1" t="s">
        <v>28</v>
      </c>
      <c r="L883" s="1" t="str">
        <f t="shared" si="125"/>
        <v>20220913</v>
      </c>
      <c r="M883" s="1" t="str">
        <f>"132226"</f>
        <v>132226</v>
      </c>
      <c r="N883" s="1" t="s">
        <v>52</v>
      </c>
      <c r="O883" s="1" t="s">
        <v>52</v>
      </c>
      <c r="P883" s="1" t="s">
        <v>55</v>
      </c>
      <c r="Q883" s="1">
        <v>13</v>
      </c>
      <c r="R883" s="1">
        <v>0</v>
      </c>
      <c r="S883" s="1">
        <v>13</v>
      </c>
      <c r="T883" s="1">
        <v>0</v>
      </c>
      <c r="U883" s="1">
        <v>0</v>
      </c>
      <c r="V883" s="1" t="str">
        <f t="shared" si="122"/>
        <v>里程返程</v>
      </c>
      <c r="W883" s="1" t="s">
        <v>35</v>
      </c>
    </row>
    <row r="884" spans="1:23" x14ac:dyDescent="0.3">
      <c r="A884" s="1" t="str">
        <f t="shared" si="126"/>
        <v>59828</v>
      </c>
      <c r="B884" s="1" t="s">
        <v>23</v>
      </c>
      <c r="C884" s="1" t="s">
        <v>24</v>
      </c>
      <c r="D884" s="1" t="str">
        <f t="shared" si="119"/>
        <v>9801</v>
      </c>
      <c r="E884" s="1" t="s">
        <v>25</v>
      </c>
      <c r="F884" s="1" t="str">
        <f>"427BB21B90880400C822002000000021"</f>
        <v>427BB21B90880400C822002000000021</v>
      </c>
      <c r="G884" s="1" t="s">
        <v>58</v>
      </c>
      <c r="H884" s="1" t="str">
        <f t="shared" si="124"/>
        <v>20220913</v>
      </c>
      <c r="I884" s="1" t="str">
        <f>"125021"</f>
        <v>125021</v>
      </c>
      <c r="J884" s="1" t="s">
        <v>28</v>
      </c>
      <c r="K884" s="1" t="s">
        <v>28</v>
      </c>
      <c r="L884" s="1" t="str">
        <f t="shared" si="125"/>
        <v>20220913</v>
      </c>
      <c r="M884" s="1" t="str">
        <f>"131433"</f>
        <v>131433</v>
      </c>
      <c r="N884" s="1" t="s">
        <v>65</v>
      </c>
      <c r="O884" s="1" t="s">
        <v>52</v>
      </c>
      <c r="P884" s="1" t="s">
        <v>55</v>
      </c>
      <c r="Q884" s="1">
        <v>25</v>
      </c>
      <c r="R884" s="1">
        <v>25</v>
      </c>
      <c r="S884" s="1">
        <v>0</v>
      </c>
      <c r="T884" s="1">
        <v>0</v>
      </c>
      <c r="U884" s="1">
        <v>0</v>
      </c>
      <c r="V884" s="1" t="str">
        <f t="shared" si="122"/>
        <v>里程返程</v>
      </c>
      <c r="W884" s="1" t="s">
        <v>29</v>
      </c>
    </row>
    <row r="885" spans="1:23" x14ac:dyDescent="0.3">
      <c r="A885" s="1" t="str">
        <f t="shared" si="126"/>
        <v>59828</v>
      </c>
      <c r="B885" s="1" t="s">
        <v>23</v>
      </c>
      <c r="C885" s="1" t="s">
        <v>24</v>
      </c>
      <c r="D885" s="1" t="str">
        <f t="shared" si="119"/>
        <v>9801</v>
      </c>
      <c r="E885" s="1" t="s">
        <v>25</v>
      </c>
      <c r="F885" s="1" t="str">
        <f>"821C1A0387880400C834002000000015"</f>
        <v>821C1A0387880400C834002000000015</v>
      </c>
      <c r="G885" s="1" t="s">
        <v>26</v>
      </c>
      <c r="H885" s="1" t="str">
        <f t="shared" si="124"/>
        <v>20220913</v>
      </c>
      <c r="I885" s="1" t="str">
        <f>"125057"</f>
        <v>125057</v>
      </c>
      <c r="J885" s="1" t="s">
        <v>28</v>
      </c>
      <c r="K885" s="1" t="s">
        <v>28</v>
      </c>
      <c r="L885" s="1" t="str">
        <f t="shared" si="125"/>
        <v>20220913</v>
      </c>
      <c r="M885" s="1" t="str">
        <f>"131108"</f>
        <v>131108</v>
      </c>
      <c r="N885" s="1" t="s">
        <v>80</v>
      </c>
      <c r="O885" s="1" t="s">
        <v>52</v>
      </c>
      <c r="P885" s="1" t="s">
        <v>68</v>
      </c>
      <c r="Q885" s="1">
        <v>13</v>
      </c>
      <c r="R885" s="1">
        <v>0</v>
      </c>
      <c r="S885" s="1">
        <v>0</v>
      </c>
      <c r="T885" s="1">
        <v>13</v>
      </c>
      <c r="U885" s="1">
        <v>0</v>
      </c>
      <c r="V885" s="1" t="str">
        <f t="shared" si="122"/>
        <v>里程返程</v>
      </c>
      <c r="W885" s="1" t="s">
        <v>29</v>
      </c>
    </row>
    <row r="886" spans="1:23" x14ac:dyDescent="0.3">
      <c r="A886" s="1" t="str">
        <f t="shared" si="126"/>
        <v>59828</v>
      </c>
      <c r="B886" s="1" t="s">
        <v>23</v>
      </c>
      <c r="C886" s="1" t="s">
        <v>24</v>
      </c>
      <c r="D886" s="1" t="str">
        <f t="shared" si="119"/>
        <v>9801</v>
      </c>
      <c r="E886" s="1" t="s">
        <v>25</v>
      </c>
      <c r="F886" s="1" t="str">
        <f>"E220D10211880400C834002000000015"</f>
        <v>E220D10211880400C834002000000015</v>
      </c>
      <c r="G886" s="1" t="s">
        <v>74</v>
      </c>
      <c r="H886" s="1" t="str">
        <f t="shared" si="124"/>
        <v>20220913</v>
      </c>
      <c r="I886" s="1" t="str">
        <f>"131157"</f>
        <v>131157</v>
      </c>
      <c r="J886" s="1" t="s">
        <v>97</v>
      </c>
      <c r="K886" s="1" t="s">
        <v>52</v>
      </c>
      <c r="L886" s="1" t="str">
        <f t="shared" si="125"/>
        <v>20220913</v>
      </c>
      <c r="M886" s="1" t="str">
        <f>"131358"</f>
        <v>131358</v>
      </c>
      <c r="N886" s="1" t="s">
        <v>65</v>
      </c>
      <c r="O886" s="1" t="s">
        <v>52</v>
      </c>
      <c r="P886" s="1" t="s">
        <v>68</v>
      </c>
      <c r="Q886" s="1">
        <v>13</v>
      </c>
      <c r="R886" s="1">
        <v>0</v>
      </c>
      <c r="S886" s="1">
        <v>0</v>
      </c>
      <c r="T886" s="1">
        <v>13</v>
      </c>
      <c r="U886" s="1">
        <v>0</v>
      </c>
      <c r="V886" s="1" t="str">
        <f t="shared" si="122"/>
        <v>里程返程</v>
      </c>
      <c r="W886" s="1" t="s">
        <v>29</v>
      </c>
    </row>
    <row r="887" spans="1:23" x14ac:dyDescent="0.3">
      <c r="A887" s="1" t="str">
        <f t="shared" si="126"/>
        <v>59828</v>
      </c>
      <c r="B887" s="1" t="s">
        <v>23</v>
      </c>
      <c r="C887" s="1" t="s">
        <v>24</v>
      </c>
      <c r="D887" s="1" t="str">
        <f t="shared" si="119"/>
        <v>9801</v>
      </c>
      <c r="E887" s="1" t="s">
        <v>25</v>
      </c>
      <c r="F887" s="1" t="str">
        <f>"524940134828040080CED9985D913018"</f>
        <v>524940134828040080CED9985D913018</v>
      </c>
      <c r="G887" s="1" t="s">
        <v>58</v>
      </c>
      <c r="H887" s="1" t="str">
        <f t="shared" si="124"/>
        <v>20220913</v>
      </c>
      <c r="I887" s="1" t="str">
        <f>"142831"</f>
        <v>142831</v>
      </c>
      <c r="J887" s="1" t="s">
        <v>44</v>
      </c>
      <c r="K887" s="1" t="s">
        <v>45</v>
      </c>
      <c r="L887" s="1" t="str">
        <f t="shared" si="125"/>
        <v>20220913</v>
      </c>
      <c r="M887" s="1" t="str">
        <f>"145116"</f>
        <v>145116</v>
      </c>
      <c r="N887" s="1" t="s">
        <v>28</v>
      </c>
      <c r="O887" s="1" t="s">
        <v>28</v>
      </c>
      <c r="P887" s="1" t="s">
        <v>55</v>
      </c>
      <c r="Q887" s="1">
        <v>25</v>
      </c>
      <c r="R887" s="1">
        <v>0</v>
      </c>
      <c r="S887" s="1">
        <v>25</v>
      </c>
      <c r="T887" s="1">
        <v>0</v>
      </c>
      <c r="U887" s="1">
        <v>0</v>
      </c>
      <c r="V887" s="1" t="str">
        <f t="shared" si="122"/>
        <v>里程返程</v>
      </c>
      <c r="W887" s="1" t="s">
        <v>29</v>
      </c>
    </row>
    <row r="888" spans="1:23" x14ac:dyDescent="0.3">
      <c r="A888" s="1" t="str">
        <f t="shared" si="126"/>
        <v>59828</v>
      </c>
      <c r="B888" s="1" t="s">
        <v>23</v>
      </c>
      <c r="C888" s="1" t="s">
        <v>24</v>
      </c>
      <c r="D888" s="1" t="str">
        <f t="shared" si="119"/>
        <v>9801</v>
      </c>
      <c r="E888" s="1" t="s">
        <v>25</v>
      </c>
      <c r="F888" s="1" t="str">
        <f>"1015450469"</f>
        <v>1015450469</v>
      </c>
      <c r="G888" s="1" t="s">
        <v>33</v>
      </c>
      <c r="H888" s="1" t="str">
        <f t="shared" si="124"/>
        <v>20220913</v>
      </c>
      <c r="I888" s="1" t="str">
        <f>"142837"</f>
        <v>142837</v>
      </c>
      <c r="J888" s="1" t="s">
        <v>44</v>
      </c>
      <c r="K888" s="1" t="s">
        <v>45</v>
      </c>
      <c r="L888" s="1" t="str">
        <f t="shared" si="125"/>
        <v>20220913</v>
      </c>
      <c r="M888" s="1" t="str">
        <f>"145121"</f>
        <v>145121</v>
      </c>
      <c r="N888" s="1" t="s">
        <v>28</v>
      </c>
      <c r="O888" s="1" t="s">
        <v>28</v>
      </c>
      <c r="P888" s="1" t="s">
        <v>55</v>
      </c>
      <c r="Q888" s="1">
        <v>25</v>
      </c>
      <c r="R888" s="1">
        <v>0</v>
      </c>
      <c r="S888" s="1">
        <v>25</v>
      </c>
      <c r="T888" s="1">
        <v>0</v>
      </c>
      <c r="U888" s="1">
        <v>0</v>
      </c>
      <c r="V888" s="1" t="str">
        <f t="shared" si="122"/>
        <v>里程返程</v>
      </c>
      <c r="W888" s="1" t="s">
        <v>35</v>
      </c>
    </row>
    <row r="889" spans="1:23" x14ac:dyDescent="0.3">
      <c r="A889" s="1" t="str">
        <f t="shared" si="126"/>
        <v>59828</v>
      </c>
      <c r="B889" s="1" t="s">
        <v>23</v>
      </c>
      <c r="C889" s="1" t="s">
        <v>24</v>
      </c>
      <c r="D889" s="1" t="str">
        <f t="shared" si="119"/>
        <v>9801</v>
      </c>
      <c r="E889" s="1" t="s">
        <v>25</v>
      </c>
      <c r="F889" s="1" t="str">
        <f>"32780D0344880400C834002000000015"</f>
        <v>32780D0344880400C834002000000015</v>
      </c>
      <c r="G889" s="1" t="s">
        <v>26</v>
      </c>
      <c r="H889" s="1" t="str">
        <f t="shared" si="124"/>
        <v>20220913</v>
      </c>
      <c r="I889" s="1" t="str">
        <f>"145727"</f>
        <v>145727</v>
      </c>
      <c r="J889" s="1" t="s">
        <v>41</v>
      </c>
      <c r="K889" s="1" t="s">
        <v>28</v>
      </c>
      <c r="L889" s="1" t="str">
        <f t="shared" si="125"/>
        <v>20220913</v>
      </c>
      <c r="M889" s="1" t="str">
        <f>"152419"</f>
        <v>152419</v>
      </c>
      <c r="N889" s="1" t="s">
        <v>52</v>
      </c>
      <c r="O889" s="1" t="s">
        <v>52</v>
      </c>
      <c r="P889" s="1" t="s">
        <v>68</v>
      </c>
      <c r="Q889" s="1">
        <v>13</v>
      </c>
      <c r="R889" s="1">
        <v>0</v>
      </c>
      <c r="S889" s="1">
        <v>0</v>
      </c>
      <c r="T889" s="1">
        <v>13</v>
      </c>
      <c r="U889" s="1">
        <v>0</v>
      </c>
      <c r="V889" s="1" t="str">
        <f t="shared" si="122"/>
        <v>里程返程</v>
      </c>
      <c r="W889" s="1" t="s">
        <v>29</v>
      </c>
    </row>
    <row r="890" spans="1:23" x14ac:dyDescent="0.3">
      <c r="A890" s="1" t="str">
        <f t="shared" si="126"/>
        <v>59828</v>
      </c>
      <c r="B890" s="1" t="s">
        <v>23</v>
      </c>
      <c r="C890" s="1" t="s">
        <v>24</v>
      </c>
      <c r="D890" s="1" t="str">
        <f t="shared" si="119"/>
        <v>9801</v>
      </c>
      <c r="E890" s="1" t="s">
        <v>25</v>
      </c>
      <c r="F890" s="1" t="str">
        <f>"1402001489"</f>
        <v>1402001489</v>
      </c>
      <c r="G890" s="1" t="s">
        <v>33</v>
      </c>
      <c r="H890" s="1" t="str">
        <f t="shared" si="124"/>
        <v>20220913</v>
      </c>
      <c r="I890" s="1" t="str">
        <f>"153836"</f>
        <v>153836</v>
      </c>
      <c r="J890" s="1" t="s">
        <v>75</v>
      </c>
      <c r="K890" s="1" t="s">
        <v>45</v>
      </c>
      <c r="L890" s="1" t="str">
        <f t="shared" si="125"/>
        <v>20220913</v>
      </c>
      <c r="M890" s="1" t="str">
        <f>"155202"</f>
        <v>155202</v>
      </c>
      <c r="N890" s="1" t="s">
        <v>28</v>
      </c>
      <c r="O890" s="1" t="s">
        <v>28</v>
      </c>
      <c r="P890" s="1" t="s">
        <v>55</v>
      </c>
      <c r="Q890" s="1">
        <v>25</v>
      </c>
      <c r="R890" s="1">
        <v>25</v>
      </c>
      <c r="S890" s="1">
        <v>0</v>
      </c>
      <c r="T890" s="1">
        <v>0</v>
      </c>
      <c r="U890" s="1">
        <v>0</v>
      </c>
      <c r="V890" s="1" t="str">
        <f t="shared" si="122"/>
        <v>里程返程</v>
      </c>
      <c r="W890" s="1" t="s">
        <v>35</v>
      </c>
    </row>
    <row r="891" spans="1:23" x14ac:dyDescent="0.3">
      <c r="A891" s="1" t="str">
        <f t="shared" si="126"/>
        <v>59828</v>
      </c>
      <c r="B891" s="1" t="s">
        <v>23</v>
      </c>
      <c r="C891" s="1" t="s">
        <v>24</v>
      </c>
      <c r="D891" s="1" t="str">
        <f t="shared" si="119"/>
        <v>9801</v>
      </c>
      <c r="E891" s="1" t="s">
        <v>25</v>
      </c>
      <c r="F891" s="1" t="str">
        <f>"F24C511BF4880400C822002000000021"</f>
        <v>F24C511BF4880400C822002000000021</v>
      </c>
      <c r="G891" s="1" t="s">
        <v>64</v>
      </c>
      <c r="H891" s="1" t="str">
        <f t="shared" si="124"/>
        <v>20220913</v>
      </c>
      <c r="I891" s="1" t="str">
        <f>"154338"</f>
        <v>154338</v>
      </c>
      <c r="J891" s="1" t="s">
        <v>45</v>
      </c>
      <c r="K891" s="1" t="s">
        <v>45</v>
      </c>
      <c r="L891" s="1" t="str">
        <f t="shared" si="125"/>
        <v>20220913</v>
      </c>
      <c r="M891" s="1" t="str">
        <f>"155212"</f>
        <v>155212</v>
      </c>
      <c r="N891" s="1" t="s">
        <v>28</v>
      </c>
      <c r="O891" s="1" t="s">
        <v>28</v>
      </c>
      <c r="P891" s="1" t="s">
        <v>55</v>
      </c>
      <c r="Q891" s="1">
        <v>13</v>
      </c>
      <c r="R891" s="1">
        <v>0</v>
      </c>
      <c r="S891" s="1">
        <v>13</v>
      </c>
      <c r="T891" s="1">
        <v>0</v>
      </c>
      <c r="U891" s="1">
        <v>0</v>
      </c>
      <c r="V891" s="1" t="str">
        <f t="shared" si="122"/>
        <v>里程返程</v>
      </c>
      <c r="W891" s="1" t="s">
        <v>29</v>
      </c>
    </row>
    <row r="892" spans="1:23" x14ac:dyDescent="0.3">
      <c r="A892" s="1" t="str">
        <f t="shared" si="126"/>
        <v>59828</v>
      </c>
      <c r="B892" s="1" t="s">
        <v>23</v>
      </c>
      <c r="C892" s="1" t="s">
        <v>24</v>
      </c>
      <c r="D892" s="1" t="str">
        <f t="shared" si="119"/>
        <v>9801</v>
      </c>
      <c r="E892" s="1" t="s">
        <v>25</v>
      </c>
      <c r="F892" s="1" t="str">
        <f>"808733733"</f>
        <v>808733733</v>
      </c>
      <c r="G892" s="1" t="s">
        <v>33</v>
      </c>
      <c r="H892" s="1" t="str">
        <f t="shared" si="124"/>
        <v>20220913</v>
      </c>
      <c r="I892" s="1" t="str">
        <f>"154341"</f>
        <v>154341</v>
      </c>
      <c r="J892" s="1" t="s">
        <v>45</v>
      </c>
      <c r="K892" s="1" t="s">
        <v>45</v>
      </c>
      <c r="L892" s="1" t="str">
        <f t="shared" si="125"/>
        <v>20220913</v>
      </c>
      <c r="M892" s="1" t="str">
        <f>"155215"</f>
        <v>155215</v>
      </c>
      <c r="N892" s="1" t="s">
        <v>28</v>
      </c>
      <c r="O892" s="1" t="s">
        <v>28</v>
      </c>
      <c r="P892" s="1" t="s">
        <v>55</v>
      </c>
      <c r="Q892" s="1">
        <v>25</v>
      </c>
      <c r="R892" s="1">
        <v>0</v>
      </c>
      <c r="S892" s="1">
        <v>25</v>
      </c>
      <c r="T892" s="1">
        <v>0</v>
      </c>
      <c r="U892" s="1">
        <v>0</v>
      </c>
      <c r="V892" s="1" t="str">
        <f t="shared" si="122"/>
        <v>里程返程</v>
      </c>
      <c r="W892" s="1" t="s">
        <v>35</v>
      </c>
    </row>
    <row r="893" spans="1:23" x14ac:dyDescent="0.3">
      <c r="A893" s="1" t="str">
        <f t="shared" si="126"/>
        <v>59828</v>
      </c>
      <c r="B893" s="1" t="s">
        <v>23</v>
      </c>
      <c r="C893" s="1" t="s">
        <v>24</v>
      </c>
      <c r="D893" s="1" t="str">
        <f t="shared" si="119"/>
        <v>9801</v>
      </c>
      <c r="E893" s="1" t="s">
        <v>25</v>
      </c>
      <c r="F893" s="1" t="str">
        <f>"1621114069"</f>
        <v>1621114069</v>
      </c>
      <c r="G893" s="1" t="s">
        <v>26</v>
      </c>
      <c r="H893" s="1" t="str">
        <f t="shared" si="124"/>
        <v>20220913</v>
      </c>
      <c r="I893" s="1" t="str">
        <f>"154344"</f>
        <v>154344</v>
      </c>
      <c r="J893" s="1" t="s">
        <v>45</v>
      </c>
      <c r="K893" s="1" t="s">
        <v>45</v>
      </c>
      <c r="L893" s="1" t="str">
        <f t="shared" si="125"/>
        <v>20220913</v>
      </c>
      <c r="M893" s="1" t="str">
        <f>"155206"</f>
        <v>155206</v>
      </c>
      <c r="N893" s="1" t="s">
        <v>28</v>
      </c>
      <c r="O893" s="1" t="s">
        <v>28</v>
      </c>
      <c r="P893" s="1" t="s">
        <v>55</v>
      </c>
      <c r="Q893" s="1">
        <v>13</v>
      </c>
      <c r="R893" s="1">
        <v>0</v>
      </c>
      <c r="S893" s="1">
        <v>13</v>
      </c>
      <c r="T893" s="1">
        <v>0</v>
      </c>
      <c r="U893" s="1">
        <v>0</v>
      </c>
      <c r="V893" s="1" t="str">
        <f t="shared" si="122"/>
        <v>里程返程</v>
      </c>
      <c r="W893" s="1" t="s">
        <v>35</v>
      </c>
    </row>
    <row r="894" spans="1:23" x14ac:dyDescent="0.3">
      <c r="A894" s="1" t="str">
        <f t="shared" si="126"/>
        <v>59828</v>
      </c>
      <c r="B894" s="1" t="s">
        <v>23</v>
      </c>
      <c r="C894" s="1" t="s">
        <v>24</v>
      </c>
      <c r="D894" s="1" t="str">
        <f t="shared" si="119"/>
        <v>9801</v>
      </c>
      <c r="E894" s="1" t="s">
        <v>25</v>
      </c>
      <c r="F894" s="1" t="str">
        <f>"789612437"</f>
        <v>789612437</v>
      </c>
      <c r="G894" s="1" t="s">
        <v>26</v>
      </c>
      <c r="H894" s="1" t="str">
        <f t="shared" si="124"/>
        <v>20220913</v>
      </c>
      <c r="I894" s="1" t="str">
        <f>"154348"</f>
        <v>154348</v>
      </c>
      <c r="J894" s="1" t="s">
        <v>45</v>
      </c>
      <c r="K894" s="1" t="s">
        <v>45</v>
      </c>
      <c r="L894" s="1" t="str">
        <f t="shared" si="125"/>
        <v>20220913</v>
      </c>
      <c r="M894" s="1" t="str">
        <f>"155209"</f>
        <v>155209</v>
      </c>
      <c r="N894" s="1" t="s">
        <v>28</v>
      </c>
      <c r="O894" s="1" t="s">
        <v>28</v>
      </c>
      <c r="P894" s="1" t="s">
        <v>55</v>
      </c>
      <c r="Q894" s="1">
        <v>13</v>
      </c>
      <c r="R894" s="1">
        <v>0</v>
      </c>
      <c r="S894" s="1">
        <v>13</v>
      </c>
      <c r="T894" s="1">
        <v>0</v>
      </c>
      <c r="U894" s="1">
        <v>0</v>
      </c>
      <c r="V894" s="1" t="str">
        <f t="shared" si="122"/>
        <v>里程返程</v>
      </c>
      <c r="W894" s="1" t="s">
        <v>35</v>
      </c>
    </row>
    <row r="895" spans="1:23" x14ac:dyDescent="0.3">
      <c r="A895" s="1" t="str">
        <f t="shared" si="126"/>
        <v>59828</v>
      </c>
      <c r="B895" s="1" t="s">
        <v>23</v>
      </c>
      <c r="C895" s="1" t="s">
        <v>24</v>
      </c>
      <c r="D895" s="1" t="str">
        <f t="shared" si="119"/>
        <v>9801</v>
      </c>
      <c r="E895" s="1" t="s">
        <v>25</v>
      </c>
      <c r="F895" s="1" t="str">
        <f>"1406577105"</f>
        <v>1406577105</v>
      </c>
      <c r="G895" s="1" t="s">
        <v>26</v>
      </c>
      <c r="H895" s="1" t="str">
        <f t="shared" si="124"/>
        <v>20220913</v>
      </c>
      <c r="I895" s="1" t="str">
        <f>"155224"</f>
        <v>155224</v>
      </c>
      <c r="J895" s="1" t="s">
        <v>28</v>
      </c>
      <c r="K895" s="1" t="s">
        <v>28</v>
      </c>
      <c r="L895" s="1" t="str">
        <f t="shared" si="125"/>
        <v>20220913</v>
      </c>
      <c r="M895" s="1" t="str">
        <f>"162546"</f>
        <v>162546</v>
      </c>
      <c r="N895" s="1" t="s">
        <v>52</v>
      </c>
      <c r="O895" s="1" t="s">
        <v>52</v>
      </c>
      <c r="P895" s="1" t="s">
        <v>55</v>
      </c>
      <c r="Q895" s="1">
        <v>13</v>
      </c>
      <c r="R895" s="1">
        <v>0</v>
      </c>
      <c r="S895" s="1">
        <v>13</v>
      </c>
      <c r="T895" s="1">
        <v>0</v>
      </c>
      <c r="U895" s="1">
        <v>0</v>
      </c>
      <c r="V895" s="1" t="str">
        <f t="shared" si="122"/>
        <v>里程返程</v>
      </c>
      <c r="W895" s="1" t="s">
        <v>35</v>
      </c>
    </row>
    <row r="896" spans="1:23" x14ac:dyDescent="0.3">
      <c r="A896" s="1" t="str">
        <f t="shared" si="126"/>
        <v>59828</v>
      </c>
      <c r="B896" s="1" t="s">
        <v>23</v>
      </c>
      <c r="C896" s="1" t="s">
        <v>24</v>
      </c>
      <c r="D896" s="1" t="str">
        <f t="shared" si="119"/>
        <v>9801</v>
      </c>
      <c r="E896" s="1" t="s">
        <v>25</v>
      </c>
      <c r="F896" s="1" t="str">
        <f>"32780D0344880400C834002000000015"</f>
        <v>32780D0344880400C834002000000015</v>
      </c>
      <c r="G896" s="1" t="s">
        <v>26</v>
      </c>
      <c r="H896" s="1" t="str">
        <f t="shared" si="124"/>
        <v>20220913</v>
      </c>
      <c r="I896" s="1" t="str">
        <f>"163026"</f>
        <v>163026</v>
      </c>
      <c r="J896" s="1" t="s">
        <v>44</v>
      </c>
      <c r="K896" s="1" t="s">
        <v>45</v>
      </c>
      <c r="L896" s="1" t="str">
        <f t="shared" si="125"/>
        <v>20220913</v>
      </c>
      <c r="M896" s="1" t="str">
        <f>"164915"</f>
        <v>164915</v>
      </c>
      <c r="N896" s="1" t="s">
        <v>95</v>
      </c>
      <c r="O896" s="1" t="s">
        <v>28</v>
      </c>
      <c r="P896" s="1" t="s">
        <v>68</v>
      </c>
      <c r="Q896" s="1">
        <v>13</v>
      </c>
      <c r="R896" s="1">
        <v>0</v>
      </c>
      <c r="S896" s="1">
        <v>0</v>
      </c>
      <c r="T896" s="1">
        <v>13</v>
      </c>
      <c r="U896" s="1">
        <v>0</v>
      </c>
      <c r="V896" s="1" t="str">
        <f t="shared" si="122"/>
        <v>里程返程</v>
      </c>
      <c r="W896" s="1" t="s">
        <v>29</v>
      </c>
    </row>
    <row r="897" spans="1:23" x14ac:dyDescent="0.3">
      <c r="A897" s="1" t="str">
        <f t="shared" ref="A897:A905" si="127">"59822"</f>
        <v>59822</v>
      </c>
      <c r="B897" s="1" t="s">
        <v>39</v>
      </c>
      <c r="C897" s="1" t="s">
        <v>40</v>
      </c>
      <c r="D897" s="1" t="str">
        <f t="shared" si="119"/>
        <v>9801</v>
      </c>
      <c r="E897" s="1" t="s">
        <v>25</v>
      </c>
      <c r="F897" s="1" t="str">
        <f>"422AE7028D880400C834002000000015"</f>
        <v>422AE7028D880400C834002000000015</v>
      </c>
      <c r="G897" s="1" t="s">
        <v>74</v>
      </c>
      <c r="H897" s="1" t="str">
        <f t="shared" ref="H897:H928" si="128">"20220914"</f>
        <v>20220914</v>
      </c>
      <c r="I897" s="1" t="str">
        <f>"172743"</f>
        <v>172743</v>
      </c>
      <c r="J897" s="1" t="s">
        <v>44</v>
      </c>
      <c r="K897" s="1" t="s">
        <v>45</v>
      </c>
      <c r="L897" s="1" t="str">
        <f t="shared" ref="L897:L928" si="129">"20220914"</f>
        <v>20220914</v>
      </c>
      <c r="M897" s="1" t="str">
        <f>"175217"</f>
        <v>175217</v>
      </c>
      <c r="N897" s="1" t="s">
        <v>28</v>
      </c>
      <c r="O897" s="1" t="s">
        <v>28</v>
      </c>
      <c r="P897" s="1" t="s">
        <v>68</v>
      </c>
      <c r="Q897" s="1">
        <v>13</v>
      </c>
      <c r="R897" s="1">
        <v>0</v>
      </c>
      <c r="S897" s="1">
        <v>0</v>
      </c>
      <c r="T897" s="1">
        <v>13</v>
      </c>
      <c r="U897" s="1">
        <v>0</v>
      </c>
      <c r="V897" s="1" t="str">
        <f t="shared" si="122"/>
        <v>里程返程</v>
      </c>
      <c r="W897" s="1" t="s">
        <v>29</v>
      </c>
    </row>
    <row r="898" spans="1:23" x14ac:dyDescent="0.3">
      <c r="A898" s="1" t="str">
        <f t="shared" si="127"/>
        <v>59822</v>
      </c>
      <c r="B898" s="1" t="s">
        <v>39</v>
      </c>
      <c r="C898" s="1" t="s">
        <v>40</v>
      </c>
      <c r="D898" s="1" t="str">
        <f t="shared" ref="D898:D961" si="130">"9801"</f>
        <v>9801</v>
      </c>
      <c r="E898" s="1" t="s">
        <v>25</v>
      </c>
      <c r="F898" s="1" t="str">
        <f>"31922F3AB62804001C00000000000000"</f>
        <v>31922F3AB62804001C00000000000000</v>
      </c>
      <c r="G898" s="1" t="s">
        <v>58</v>
      </c>
      <c r="H898" s="1" t="str">
        <f t="shared" si="128"/>
        <v>20220914</v>
      </c>
      <c r="I898" s="1" t="str">
        <f>"174148"</f>
        <v>174148</v>
      </c>
      <c r="J898" s="1" t="s">
        <v>56</v>
      </c>
      <c r="K898" s="1" t="s">
        <v>45</v>
      </c>
      <c r="L898" s="1" t="str">
        <f t="shared" si="129"/>
        <v>20220914</v>
      </c>
      <c r="M898" s="1" t="str">
        <f>"175212"</f>
        <v>175212</v>
      </c>
      <c r="N898" s="1" t="s">
        <v>28</v>
      </c>
      <c r="O898" s="1" t="s">
        <v>28</v>
      </c>
      <c r="P898" s="1" t="s">
        <v>55</v>
      </c>
      <c r="Q898" s="1">
        <v>25</v>
      </c>
      <c r="R898" s="1">
        <v>25</v>
      </c>
      <c r="S898" s="1">
        <v>0</v>
      </c>
      <c r="T898" s="1">
        <v>0</v>
      </c>
      <c r="U898" s="1">
        <v>0</v>
      </c>
      <c r="V898" s="1" t="str">
        <f t="shared" ref="V898:V961" si="131">"里程返程"</f>
        <v>里程返程</v>
      </c>
      <c r="W898" s="1" t="s">
        <v>29</v>
      </c>
    </row>
    <row r="899" spans="1:23" x14ac:dyDescent="0.3">
      <c r="A899" s="1" t="str">
        <f t="shared" si="127"/>
        <v>59822</v>
      </c>
      <c r="B899" s="1" t="s">
        <v>39</v>
      </c>
      <c r="C899" s="1" t="s">
        <v>40</v>
      </c>
      <c r="D899" s="1" t="str">
        <f t="shared" si="130"/>
        <v>9801</v>
      </c>
      <c r="E899" s="1" t="s">
        <v>25</v>
      </c>
      <c r="F899" s="1" t="str">
        <f>"1408428113"</f>
        <v>1408428113</v>
      </c>
      <c r="G899" s="1" t="s">
        <v>26</v>
      </c>
      <c r="H899" s="1" t="str">
        <f t="shared" si="128"/>
        <v>20220914</v>
      </c>
      <c r="I899" s="1" t="str">
        <f>"175224"</f>
        <v>175224</v>
      </c>
      <c r="J899" s="1" t="s">
        <v>28</v>
      </c>
      <c r="K899" s="1" t="s">
        <v>28</v>
      </c>
      <c r="L899" s="1" t="str">
        <f t="shared" si="129"/>
        <v>20220914</v>
      </c>
      <c r="M899" s="1" t="str">
        <f>"182402"</f>
        <v>182402</v>
      </c>
      <c r="N899" s="1" t="s">
        <v>52</v>
      </c>
      <c r="O899" s="1" t="s">
        <v>52</v>
      </c>
      <c r="P899" s="1" t="s">
        <v>55</v>
      </c>
      <c r="Q899" s="1">
        <v>13</v>
      </c>
      <c r="R899" s="1">
        <v>13</v>
      </c>
      <c r="S899" s="1">
        <v>0</v>
      </c>
      <c r="T899" s="1">
        <v>0</v>
      </c>
      <c r="U899" s="1">
        <v>0</v>
      </c>
      <c r="V899" s="1" t="str">
        <f t="shared" si="131"/>
        <v>里程返程</v>
      </c>
      <c r="W899" s="1" t="s">
        <v>35</v>
      </c>
    </row>
    <row r="900" spans="1:23" x14ac:dyDescent="0.3">
      <c r="A900" s="1" t="str">
        <f t="shared" si="127"/>
        <v>59822</v>
      </c>
      <c r="B900" s="1" t="s">
        <v>39</v>
      </c>
      <c r="C900" s="1" t="s">
        <v>40</v>
      </c>
      <c r="D900" s="1" t="str">
        <f t="shared" si="130"/>
        <v>9801</v>
      </c>
      <c r="E900" s="1" t="s">
        <v>25</v>
      </c>
      <c r="F900" s="1" t="str">
        <f>"1030356058"</f>
        <v>1030356058</v>
      </c>
      <c r="G900" s="1" t="s">
        <v>33</v>
      </c>
      <c r="H900" s="1" t="str">
        <f t="shared" si="128"/>
        <v>20220914</v>
      </c>
      <c r="I900" s="1" t="str">
        <f>"175229"</f>
        <v>175229</v>
      </c>
      <c r="J900" s="1" t="s">
        <v>28</v>
      </c>
      <c r="K900" s="1" t="s">
        <v>28</v>
      </c>
      <c r="L900" s="1" t="str">
        <f t="shared" si="129"/>
        <v>20220914</v>
      </c>
      <c r="M900" s="1" t="str">
        <f>"182413"</f>
        <v>182413</v>
      </c>
      <c r="N900" s="1" t="s">
        <v>52</v>
      </c>
      <c r="O900" s="1" t="s">
        <v>52</v>
      </c>
      <c r="P900" s="1" t="s">
        <v>55</v>
      </c>
      <c r="Q900" s="1">
        <v>25</v>
      </c>
      <c r="R900" s="1">
        <v>25</v>
      </c>
      <c r="S900" s="1">
        <v>0</v>
      </c>
      <c r="T900" s="1">
        <v>0</v>
      </c>
      <c r="U900" s="1">
        <v>0</v>
      </c>
      <c r="V900" s="1" t="str">
        <f t="shared" si="131"/>
        <v>里程返程</v>
      </c>
      <c r="W900" s="1" t="s">
        <v>35</v>
      </c>
    </row>
    <row r="901" spans="1:23" x14ac:dyDescent="0.3">
      <c r="A901" s="1" t="str">
        <f t="shared" si="127"/>
        <v>59822</v>
      </c>
      <c r="B901" s="1" t="s">
        <v>39</v>
      </c>
      <c r="C901" s="1" t="s">
        <v>40</v>
      </c>
      <c r="D901" s="1" t="str">
        <f t="shared" si="130"/>
        <v>9801</v>
      </c>
      <c r="E901" s="1" t="s">
        <v>25</v>
      </c>
      <c r="F901" s="1" t="str">
        <f>"1390137313"</f>
        <v>1390137313</v>
      </c>
      <c r="G901" s="1" t="s">
        <v>26</v>
      </c>
      <c r="H901" s="1" t="str">
        <f t="shared" si="128"/>
        <v>20220914</v>
      </c>
      <c r="I901" s="1" t="str">
        <f>"175554"</f>
        <v>175554</v>
      </c>
      <c r="J901" s="1" t="s">
        <v>28</v>
      </c>
      <c r="K901" s="1" t="s">
        <v>28</v>
      </c>
      <c r="L901" s="1" t="str">
        <f t="shared" si="129"/>
        <v>20220914</v>
      </c>
      <c r="M901" s="1" t="str">
        <f>"182409"</f>
        <v>182409</v>
      </c>
      <c r="N901" s="1" t="s">
        <v>52</v>
      </c>
      <c r="O901" s="1" t="s">
        <v>52</v>
      </c>
      <c r="P901" s="1" t="s">
        <v>55</v>
      </c>
      <c r="Q901" s="1">
        <v>13</v>
      </c>
      <c r="R901" s="1">
        <v>13</v>
      </c>
      <c r="S901" s="1">
        <v>0</v>
      </c>
      <c r="T901" s="1">
        <v>0</v>
      </c>
      <c r="U901" s="1">
        <v>0</v>
      </c>
      <c r="V901" s="1" t="str">
        <f t="shared" si="131"/>
        <v>里程返程</v>
      </c>
      <c r="W901" s="1" t="s">
        <v>35</v>
      </c>
    </row>
    <row r="902" spans="1:23" x14ac:dyDescent="0.3">
      <c r="A902" s="1" t="str">
        <f t="shared" si="127"/>
        <v>59822</v>
      </c>
      <c r="B902" s="1" t="s">
        <v>39</v>
      </c>
      <c r="C902" s="1" t="s">
        <v>40</v>
      </c>
      <c r="D902" s="1" t="str">
        <f t="shared" si="130"/>
        <v>9801</v>
      </c>
      <c r="E902" s="1" t="s">
        <v>25</v>
      </c>
      <c r="F902" s="1" t="str">
        <f>"1390290945"</f>
        <v>1390290945</v>
      </c>
      <c r="G902" s="1" t="s">
        <v>26</v>
      </c>
      <c r="H902" s="1" t="str">
        <f t="shared" si="128"/>
        <v>20220914</v>
      </c>
      <c r="I902" s="1" t="str">
        <f>"175601"</f>
        <v>175601</v>
      </c>
      <c r="J902" s="1" t="s">
        <v>28</v>
      </c>
      <c r="K902" s="1" t="s">
        <v>28</v>
      </c>
      <c r="L902" s="1" t="str">
        <f t="shared" si="129"/>
        <v>20220914</v>
      </c>
      <c r="M902" s="1" t="str">
        <f>"182406"</f>
        <v>182406</v>
      </c>
      <c r="N902" s="1" t="s">
        <v>52</v>
      </c>
      <c r="O902" s="1" t="s">
        <v>52</v>
      </c>
      <c r="P902" s="1" t="s">
        <v>55</v>
      </c>
      <c r="Q902" s="1">
        <v>13</v>
      </c>
      <c r="R902" s="1">
        <v>13</v>
      </c>
      <c r="S902" s="1">
        <v>0</v>
      </c>
      <c r="T902" s="1">
        <v>0</v>
      </c>
      <c r="U902" s="1">
        <v>0</v>
      </c>
      <c r="V902" s="1" t="str">
        <f t="shared" si="131"/>
        <v>里程返程</v>
      </c>
      <c r="W902" s="1" t="s">
        <v>35</v>
      </c>
    </row>
    <row r="903" spans="1:23" x14ac:dyDescent="0.3">
      <c r="A903" s="1" t="str">
        <f t="shared" si="127"/>
        <v>59822</v>
      </c>
      <c r="B903" s="1" t="s">
        <v>39</v>
      </c>
      <c r="C903" s="1" t="s">
        <v>40</v>
      </c>
      <c r="D903" s="1" t="str">
        <f t="shared" si="130"/>
        <v>9801</v>
      </c>
      <c r="E903" s="1" t="s">
        <v>25</v>
      </c>
      <c r="F903" s="1" t="str">
        <f>"1687233477"</f>
        <v>1687233477</v>
      </c>
      <c r="G903" s="1" t="s">
        <v>33</v>
      </c>
      <c r="H903" s="1" t="str">
        <f t="shared" si="128"/>
        <v>20220914</v>
      </c>
      <c r="I903" s="1" t="str">
        <f>"183606"</f>
        <v>183606</v>
      </c>
      <c r="J903" s="1" t="s">
        <v>100</v>
      </c>
      <c r="K903" s="1" t="s">
        <v>45</v>
      </c>
      <c r="L903" s="1" t="str">
        <f t="shared" si="129"/>
        <v>20220914</v>
      </c>
      <c r="M903" s="1" t="str">
        <f>"185441"</f>
        <v>185441</v>
      </c>
      <c r="N903" s="1" t="s">
        <v>28</v>
      </c>
      <c r="O903" s="1" t="s">
        <v>28</v>
      </c>
      <c r="P903" s="1" t="s">
        <v>55</v>
      </c>
      <c r="Q903" s="1">
        <v>25</v>
      </c>
      <c r="R903" s="1">
        <v>0</v>
      </c>
      <c r="S903" s="1">
        <v>25</v>
      </c>
      <c r="T903" s="1">
        <v>0</v>
      </c>
      <c r="U903" s="1">
        <v>0</v>
      </c>
      <c r="V903" s="1" t="str">
        <f t="shared" si="131"/>
        <v>里程返程</v>
      </c>
      <c r="W903" s="1" t="s">
        <v>35</v>
      </c>
    </row>
    <row r="904" spans="1:23" x14ac:dyDescent="0.3">
      <c r="A904" s="1" t="str">
        <f t="shared" si="127"/>
        <v>59822</v>
      </c>
      <c r="B904" s="1" t="s">
        <v>39</v>
      </c>
      <c r="C904" s="1" t="s">
        <v>40</v>
      </c>
      <c r="D904" s="1" t="str">
        <f t="shared" si="130"/>
        <v>9801</v>
      </c>
      <c r="E904" s="1" t="s">
        <v>25</v>
      </c>
      <c r="F904" s="1" t="str">
        <f>"1414822545"</f>
        <v>1414822545</v>
      </c>
      <c r="G904" s="1" t="s">
        <v>33</v>
      </c>
      <c r="H904" s="1" t="str">
        <f t="shared" si="128"/>
        <v>20220914</v>
      </c>
      <c r="I904" s="1" t="str">
        <f>"184306"</f>
        <v>184306</v>
      </c>
      <c r="J904" s="1" t="s">
        <v>56</v>
      </c>
      <c r="K904" s="1" t="s">
        <v>45</v>
      </c>
      <c r="L904" s="1" t="str">
        <f t="shared" si="129"/>
        <v>20220914</v>
      </c>
      <c r="M904" s="1" t="str">
        <f>"184854"</f>
        <v>184854</v>
      </c>
      <c r="N904" s="1" t="s">
        <v>79</v>
      </c>
      <c r="O904" s="1" t="s">
        <v>45</v>
      </c>
      <c r="P904" s="1" t="s">
        <v>55</v>
      </c>
      <c r="Q904" s="1">
        <v>25</v>
      </c>
      <c r="R904" s="1">
        <v>0</v>
      </c>
      <c r="S904" s="1">
        <v>25</v>
      </c>
      <c r="T904" s="1">
        <v>0</v>
      </c>
      <c r="U904" s="1">
        <v>0</v>
      </c>
      <c r="V904" s="1" t="str">
        <f t="shared" si="131"/>
        <v>里程返程</v>
      </c>
      <c r="W904" s="1" t="s">
        <v>35</v>
      </c>
    </row>
    <row r="905" spans="1:23" x14ac:dyDescent="0.3">
      <c r="A905" s="1" t="str">
        <f t="shared" si="127"/>
        <v>59822</v>
      </c>
      <c r="B905" s="1" t="s">
        <v>39</v>
      </c>
      <c r="C905" s="1" t="s">
        <v>40</v>
      </c>
      <c r="D905" s="1" t="str">
        <f t="shared" si="130"/>
        <v>9801</v>
      </c>
      <c r="E905" s="1" t="s">
        <v>25</v>
      </c>
      <c r="F905" s="1" t="str">
        <f>"994970433"</f>
        <v>994970433</v>
      </c>
      <c r="G905" s="1" t="s">
        <v>33</v>
      </c>
      <c r="H905" s="1" t="str">
        <f t="shared" si="128"/>
        <v>20220914</v>
      </c>
      <c r="I905" s="1" t="str">
        <f>"185512"</f>
        <v>185512</v>
      </c>
      <c r="J905" s="1" t="s">
        <v>28</v>
      </c>
      <c r="K905" s="1" t="s">
        <v>28</v>
      </c>
      <c r="L905" s="1" t="str">
        <f t="shared" si="129"/>
        <v>20220914</v>
      </c>
      <c r="M905" s="1" t="str">
        <f>"191247"</f>
        <v>191247</v>
      </c>
      <c r="N905" s="1" t="s">
        <v>65</v>
      </c>
      <c r="O905" s="1" t="s">
        <v>52</v>
      </c>
      <c r="P905" s="1" t="s">
        <v>55</v>
      </c>
      <c r="Q905" s="1">
        <v>25</v>
      </c>
      <c r="R905" s="1">
        <v>25</v>
      </c>
      <c r="S905" s="1">
        <v>0</v>
      </c>
      <c r="T905" s="1">
        <v>0</v>
      </c>
      <c r="U905" s="1">
        <v>0</v>
      </c>
      <c r="V905" s="1" t="str">
        <f t="shared" si="131"/>
        <v>里程返程</v>
      </c>
      <c r="W905" s="1" t="s">
        <v>35</v>
      </c>
    </row>
    <row r="906" spans="1:23" x14ac:dyDescent="0.3">
      <c r="A906" s="1" t="str">
        <f t="shared" ref="A906:A939" si="132">"59825"</f>
        <v>59825</v>
      </c>
      <c r="B906" s="1" t="s">
        <v>30</v>
      </c>
      <c r="C906" s="1" t="s">
        <v>31</v>
      </c>
      <c r="D906" s="1" t="str">
        <f t="shared" si="130"/>
        <v>9801</v>
      </c>
      <c r="E906" s="1" t="s">
        <v>25</v>
      </c>
      <c r="F906" s="1" t="str">
        <f>"163194245"</f>
        <v>163194245</v>
      </c>
      <c r="G906" s="1" t="s">
        <v>33</v>
      </c>
      <c r="H906" s="1" t="str">
        <f t="shared" si="128"/>
        <v>20220914</v>
      </c>
      <c r="I906" s="1" t="str">
        <f>"082623"</f>
        <v>082623</v>
      </c>
      <c r="J906" s="1" t="s">
        <v>44</v>
      </c>
      <c r="K906" s="1" t="s">
        <v>45</v>
      </c>
      <c r="L906" s="1" t="str">
        <f t="shared" si="129"/>
        <v>20220914</v>
      </c>
      <c r="M906" s="1" t="str">
        <f>"085424"</f>
        <v>085424</v>
      </c>
      <c r="N906" s="1" t="s">
        <v>28</v>
      </c>
      <c r="O906" s="1" t="s">
        <v>28</v>
      </c>
      <c r="P906" s="1" t="s">
        <v>55</v>
      </c>
      <c r="Q906" s="1">
        <v>25</v>
      </c>
      <c r="R906" s="1">
        <v>25</v>
      </c>
      <c r="S906" s="1">
        <v>0</v>
      </c>
      <c r="T906" s="1">
        <v>0</v>
      </c>
      <c r="U906" s="1">
        <v>0</v>
      </c>
      <c r="V906" s="1" t="str">
        <f t="shared" si="131"/>
        <v>里程返程</v>
      </c>
      <c r="W906" s="1" t="s">
        <v>35</v>
      </c>
    </row>
    <row r="907" spans="1:23" x14ac:dyDescent="0.3">
      <c r="A907" s="1" t="str">
        <f t="shared" si="132"/>
        <v>59825</v>
      </c>
      <c r="B907" s="1" t="s">
        <v>30</v>
      </c>
      <c r="C907" s="1" t="s">
        <v>31</v>
      </c>
      <c r="D907" s="1" t="str">
        <f t="shared" si="130"/>
        <v>9801</v>
      </c>
      <c r="E907" s="1" t="s">
        <v>25</v>
      </c>
      <c r="F907" s="1" t="str">
        <f>"F29BD102BA880400C834002000000015"</f>
        <v>F29BD102BA880400C834002000000015</v>
      </c>
      <c r="G907" s="1" t="s">
        <v>26</v>
      </c>
      <c r="H907" s="1" t="str">
        <f t="shared" si="128"/>
        <v>20220914</v>
      </c>
      <c r="I907" s="1" t="str">
        <f>"083213"</f>
        <v>083213</v>
      </c>
      <c r="J907" s="1" t="s">
        <v>44</v>
      </c>
      <c r="K907" s="1" t="s">
        <v>45</v>
      </c>
      <c r="L907" s="1" t="str">
        <f t="shared" si="129"/>
        <v>20220914</v>
      </c>
      <c r="M907" s="1" t="str">
        <f>"085421"</f>
        <v>085421</v>
      </c>
      <c r="N907" s="1" t="s">
        <v>28</v>
      </c>
      <c r="O907" s="1" t="s">
        <v>28</v>
      </c>
      <c r="P907" s="1" t="s">
        <v>68</v>
      </c>
      <c r="Q907" s="1">
        <v>13</v>
      </c>
      <c r="R907" s="1">
        <v>0</v>
      </c>
      <c r="S907" s="1">
        <v>0</v>
      </c>
      <c r="T907" s="1">
        <v>13</v>
      </c>
      <c r="U907" s="1">
        <v>0</v>
      </c>
      <c r="V907" s="1" t="str">
        <f t="shared" si="131"/>
        <v>里程返程</v>
      </c>
      <c r="W907" s="1" t="s">
        <v>29</v>
      </c>
    </row>
    <row r="908" spans="1:23" x14ac:dyDescent="0.3">
      <c r="A908" s="1" t="str">
        <f t="shared" si="132"/>
        <v>59825</v>
      </c>
      <c r="B908" s="1" t="s">
        <v>30</v>
      </c>
      <c r="C908" s="1" t="s">
        <v>31</v>
      </c>
      <c r="D908" s="1" t="str">
        <f t="shared" si="130"/>
        <v>9801</v>
      </c>
      <c r="E908" s="1" t="s">
        <v>25</v>
      </c>
      <c r="F908" s="1" t="str">
        <f>"1423105809"</f>
        <v>1423105809</v>
      </c>
      <c r="G908" s="1" t="s">
        <v>33</v>
      </c>
      <c r="H908" s="1" t="str">
        <f t="shared" si="128"/>
        <v>20220914</v>
      </c>
      <c r="I908" s="1" t="str">
        <f>"085440"</f>
        <v>085440</v>
      </c>
      <c r="J908" s="1" t="s">
        <v>28</v>
      </c>
      <c r="K908" s="1" t="s">
        <v>28</v>
      </c>
      <c r="L908" s="1" t="str">
        <f t="shared" si="129"/>
        <v>20220914</v>
      </c>
      <c r="M908" s="1" t="str">
        <f>"092215"</f>
        <v>092215</v>
      </c>
      <c r="N908" s="1" t="s">
        <v>60</v>
      </c>
      <c r="O908" s="1" t="s">
        <v>52</v>
      </c>
      <c r="P908" s="1" t="s">
        <v>55</v>
      </c>
      <c r="Q908" s="1">
        <v>25</v>
      </c>
      <c r="R908" s="1">
        <v>25</v>
      </c>
      <c r="S908" s="1">
        <v>0</v>
      </c>
      <c r="T908" s="1">
        <v>0</v>
      </c>
      <c r="U908" s="1">
        <v>0</v>
      </c>
      <c r="V908" s="1" t="str">
        <f t="shared" si="131"/>
        <v>里程返程</v>
      </c>
      <c r="W908" s="1" t="s">
        <v>35</v>
      </c>
    </row>
    <row r="909" spans="1:23" x14ac:dyDescent="0.3">
      <c r="A909" s="1" t="str">
        <f t="shared" si="132"/>
        <v>59825</v>
      </c>
      <c r="B909" s="1" t="s">
        <v>30</v>
      </c>
      <c r="C909" s="1" t="s">
        <v>31</v>
      </c>
      <c r="D909" s="1" t="str">
        <f t="shared" si="130"/>
        <v>9801</v>
      </c>
      <c r="E909" s="1" t="s">
        <v>25</v>
      </c>
      <c r="F909" s="1" t="str">
        <f>"03A6A9454988040048B994D749703809"</f>
        <v>03A6A9454988040048B994D749703809</v>
      </c>
      <c r="G909" s="1" t="s">
        <v>64</v>
      </c>
      <c r="H909" s="1" t="str">
        <f t="shared" si="128"/>
        <v>20220914</v>
      </c>
      <c r="I909" s="1" t="str">
        <f>"085445"</f>
        <v>085445</v>
      </c>
      <c r="J909" s="1" t="s">
        <v>28</v>
      </c>
      <c r="K909" s="1" t="s">
        <v>28</v>
      </c>
      <c r="L909" s="1" t="str">
        <f t="shared" si="129"/>
        <v>20220914</v>
      </c>
      <c r="M909" s="1" t="str">
        <f>"090623"</f>
        <v>090623</v>
      </c>
      <c r="N909" s="1" t="s">
        <v>78</v>
      </c>
      <c r="O909" s="1" t="s">
        <v>52</v>
      </c>
      <c r="P909" s="1" t="s">
        <v>55</v>
      </c>
      <c r="Q909" s="1">
        <v>13</v>
      </c>
      <c r="R909" s="1">
        <v>13</v>
      </c>
      <c r="S909" s="1">
        <v>0</v>
      </c>
      <c r="T909" s="1">
        <v>0</v>
      </c>
      <c r="U909" s="1">
        <v>0</v>
      </c>
      <c r="V909" s="1" t="str">
        <f t="shared" si="131"/>
        <v>里程返程</v>
      </c>
      <c r="W909" s="1" t="s">
        <v>29</v>
      </c>
    </row>
    <row r="910" spans="1:23" x14ac:dyDescent="0.3">
      <c r="A910" s="1" t="str">
        <f t="shared" si="132"/>
        <v>59825</v>
      </c>
      <c r="B910" s="1" t="s">
        <v>30</v>
      </c>
      <c r="C910" s="1" t="s">
        <v>31</v>
      </c>
      <c r="D910" s="1" t="str">
        <f t="shared" si="130"/>
        <v>9801</v>
      </c>
      <c r="E910" s="1" t="s">
        <v>25</v>
      </c>
      <c r="F910" s="1" t="str">
        <f>"929619031E880400C834002000000015"</f>
        <v>929619031E880400C834002000000015</v>
      </c>
      <c r="G910" s="1" t="s">
        <v>26</v>
      </c>
      <c r="H910" s="1" t="str">
        <f t="shared" si="128"/>
        <v>20220914</v>
      </c>
      <c r="I910" s="1" t="str">
        <f>"085454"</f>
        <v>085454</v>
      </c>
      <c r="J910" s="1" t="s">
        <v>28</v>
      </c>
      <c r="K910" s="1" t="s">
        <v>28</v>
      </c>
      <c r="L910" s="1" t="str">
        <f t="shared" si="129"/>
        <v>20220914</v>
      </c>
      <c r="M910" s="1" t="str">
        <f>"092208"</f>
        <v>092208</v>
      </c>
      <c r="N910" s="1" t="s">
        <v>60</v>
      </c>
      <c r="O910" s="1" t="s">
        <v>52</v>
      </c>
      <c r="P910" s="1" t="s">
        <v>68</v>
      </c>
      <c r="Q910" s="1">
        <v>13</v>
      </c>
      <c r="R910" s="1">
        <v>0</v>
      </c>
      <c r="S910" s="1">
        <v>0</v>
      </c>
      <c r="T910" s="1">
        <v>13</v>
      </c>
      <c r="U910" s="1">
        <v>0</v>
      </c>
      <c r="V910" s="1" t="str">
        <f t="shared" si="131"/>
        <v>里程返程</v>
      </c>
      <c r="W910" s="1" t="s">
        <v>29</v>
      </c>
    </row>
    <row r="911" spans="1:23" x14ac:dyDescent="0.3">
      <c r="A911" s="1" t="str">
        <f t="shared" si="132"/>
        <v>59825</v>
      </c>
      <c r="B911" s="1" t="s">
        <v>30</v>
      </c>
      <c r="C911" s="1" t="s">
        <v>31</v>
      </c>
      <c r="D911" s="1" t="str">
        <f t="shared" si="130"/>
        <v>9801</v>
      </c>
      <c r="E911" s="1" t="s">
        <v>25</v>
      </c>
      <c r="F911" s="1" t="str">
        <f>"729C1903F4880400C834002000000015"</f>
        <v>729C1903F4880400C834002000000015</v>
      </c>
      <c r="G911" s="1" t="s">
        <v>26</v>
      </c>
      <c r="H911" s="1" t="str">
        <f t="shared" si="128"/>
        <v>20220914</v>
      </c>
      <c r="I911" s="1" t="str">
        <f>"085459"</f>
        <v>085459</v>
      </c>
      <c r="J911" s="1" t="s">
        <v>28</v>
      </c>
      <c r="K911" s="1" t="s">
        <v>28</v>
      </c>
      <c r="L911" s="1" t="str">
        <f t="shared" si="129"/>
        <v>20220914</v>
      </c>
      <c r="M911" s="1" t="str">
        <f>"092204"</f>
        <v>092204</v>
      </c>
      <c r="N911" s="1" t="s">
        <v>60</v>
      </c>
      <c r="O911" s="1" t="s">
        <v>52</v>
      </c>
      <c r="P911" s="1" t="s">
        <v>68</v>
      </c>
      <c r="Q911" s="1">
        <v>13</v>
      </c>
      <c r="R911" s="1">
        <v>0</v>
      </c>
      <c r="S911" s="1">
        <v>0</v>
      </c>
      <c r="T911" s="1">
        <v>13</v>
      </c>
      <c r="U911" s="1">
        <v>0</v>
      </c>
      <c r="V911" s="1" t="str">
        <f t="shared" si="131"/>
        <v>里程返程</v>
      </c>
      <c r="W911" s="1" t="s">
        <v>29</v>
      </c>
    </row>
    <row r="912" spans="1:23" x14ac:dyDescent="0.3">
      <c r="A912" s="1" t="str">
        <f t="shared" si="132"/>
        <v>59825</v>
      </c>
      <c r="B912" s="1" t="s">
        <v>30</v>
      </c>
      <c r="C912" s="1" t="s">
        <v>31</v>
      </c>
      <c r="D912" s="1" t="str">
        <f t="shared" si="130"/>
        <v>9801</v>
      </c>
      <c r="E912" s="1" t="s">
        <v>25</v>
      </c>
      <c r="F912" s="1" t="str">
        <f>"403474049"</f>
        <v>403474049</v>
      </c>
      <c r="G912" s="1" t="s">
        <v>33</v>
      </c>
      <c r="H912" s="1" t="str">
        <f t="shared" si="128"/>
        <v>20220914</v>
      </c>
      <c r="I912" s="1" t="str">
        <f>"085504"</f>
        <v>085504</v>
      </c>
      <c r="J912" s="1" t="s">
        <v>28</v>
      </c>
      <c r="K912" s="1" t="s">
        <v>28</v>
      </c>
      <c r="L912" s="1" t="str">
        <f t="shared" si="129"/>
        <v>20220914</v>
      </c>
      <c r="M912" s="1" t="str">
        <f>"090629"</f>
        <v>090629</v>
      </c>
      <c r="N912" s="1" t="s">
        <v>78</v>
      </c>
      <c r="O912" s="1" t="s">
        <v>52</v>
      </c>
      <c r="P912" s="1" t="s">
        <v>55</v>
      </c>
      <c r="Q912" s="1">
        <v>25</v>
      </c>
      <c r="R912" s="1">
        <v>25</v>
      </c>
      <c r="S912" s="1">
        <v>0</v>
      </c>
      <c r="T912" s="1">
        <v>0</v>
      </c>
      <c r="U912" s="1">
        <v>0</v>
      </c>
      <c r="V912" s="1" t="str">
        <f t="shared" si="131"/>
        <v>里程返程</v>
      </c>
      <c r="W912" s="1" t="s">
        <v>35</v>
      </c>
    </row>
    <row r="913" spans="1:23" x14ac:dyDescent="0.3">
      <c r="A913" s="1" t="str">
        <f t="shared" si="132"/>
        <v>59825</v>
      </c>
      <c r="B913" s="1" t="s">
        <v>30</v>
      </c>
      <c r="C913" s="1" t="s">
        <v>31</v>
      </c>
      <c r="D913" s="1" t="str">
        <f t="shared" si="130"/>
        <v>9801</v>
      </c>
      <c r="E913" s="1" t="s">
        <v>25</v>
      </c>
      <c r="F913" s="1" t="str">
        <f>"F2F7D002D7880400C834002000000015"</f>
        <v>F2F7D002D7880400C834002000000015</v>
      </c>
      <c r="G913" s="1" t="s">
        <v>74</v>
      </c>
      <c r="H913" s="1" t="str">
        <f t="shared" si="128"/>
        <v>20220914</v>
      </c>
      <c r="I913" s="1" t="str">
        <f>"090506"</f>
        <v>090506</v>
      </c>
      <c r="J913" s="1" t="s">
        <v>67</v>
      </c>
      <c r="K913" s="1" t="s">
        <v>52</v>
      </c>
      <c r="L913" s="1" t="str">
        <f t="shared" si="129"/>
        <v>20220914</v>
      </c>
      <c r="M913" s="1" t="str">
        <f>"091341"</f>
        <v>091341</v>
      </c>
      <c r="N913" s="1" t="s">
        <v>77</v>
      </c>
      <c r="O913" s="1" t="s">
        <v>52</v>
      </c>
      <c r="P913" s="1" t="s">
        <v>68</v>
      </c>
      <c r="Q913" s="1">
        <v>13</v>
      </c>
      <c r="R913" s="1">
        <v>0</v>
      </c>
      <c r="S913" s="1">
        <v>0</v>
      </c>
      <c r="T913" s="1">
        <v>13</v>
      </c>
      <c r="U913" s="1">
        <v>0</v>
      </c>
      <c r="V913" s="1" t="str">
        <f t="shared" si="131"/>
        <v>里程返程</v>
      </c>
      <c r="W913" s="1" t="s">
        <v>29</v>
      </c>
    </row>
    <row r="914" spans="1:23" x14ac:dyDescent="0.3">
      <c r="A914" s="1" t="str">
        <f t="shared" si="132"/>
        <v>59825</v>
      </c>
      <c r="B914" s="1" t="s">
        <v>30</v>
      </c>
      <c r="C914" s="1" t="s">
        <v>31</v>
      </c>
      <c r="D914" s="1" t="str">
        <f t="shared" si="130"/>
        <v>9801</v>
      </c>
      <c r="E914" s="1" t="s">
        <v>25</v>
      </c>
      <c r="F914" s="1" t="str">
        <f>"A2D8190360880400C834002000000015"</f>
        <v>A2D8190360880400C834002000000015</v>
      </c>
      <c r="G914" s="1" t="s">
        <v>26</v>
      </c>
      <c r="H914" s="1" t="str">
        <f t="shared" si="128"/>
        <v>20220914</v>
      </c>
      <c r="I914" s="1" t="str">
        <f>"092945"</f>
        <v>092945</v>
      </c>
      <c r="J914" s="1" t="s">
        <v>44</v>
      </c>
      <c r="K914" s="1" t="s">
        <v>45</v>
      </c>
      <c r="L914" s="1" t="str">
        <f t="shared" si="129"/>
        <v>20220914</v>
      </c>
      <c r="M914" s="1" t="str">
        <f>"093402"</f>
        <v>093402</v>
      </c>
      <c r="N914" s="1" t="s">
        <v>100</v>
      </c>
      <c r="O914" s="1" t="s">
        <v>45</v>
      </c>
      <c r="P914" s="1" t="s">
        <v>68</v>
      </c>
      <c r="Q914" s="1">
        <v>13</v>
      </c>
      <c r="R914" s="1">
        <v>0</v>
      </c>
      <c r="S914" s="1">
        <v>0</v>
      </c>
      <c r="T914" s="1">
        <v>13</v>
      </c>
      <c r="U914" s="1">
        <v>0</v>
      </c>
      <c r="V914" s="1" t="str">
        <f t="shared" si="131"/>
        <v>里程返程</v>
      </c>
      <c r="W914" s="1" t="s">
        <v>29</v>
      </c>
    </row>
    <row r="915" spans="1:23" x14ac:dyDescent="0.3">
      <c r="A915" s="1" t="str">
        <f t="shared" si="132"/>
        <v>59825</v>
      </c>
      <c r="B915" s="1" t="s">
        <v>30</v>
      </c>
      <c r="C915" s="1" t="s">
        <v>31</v>
      </c>
      <c r="D915" s="1" t="str">
        <f t="shared" si="130"/>
        <v>9801</v>
      </c>
      <c r="E915" s="1" t="s">
        <v>25</v>
      </c>
      <c r="F915" s="1" t="str">
        <f>"52DB190393880400C834002000000015"</f>
        <v>52DB190393880400C834002000000015</v>
      </c>
      <c r="G915" s="1" t="s">
        <v>26</v>
      </c>
      <c r="H915" s="1" t="str">
        <f t="shared" si="128"/>
        <v>20220914</v>
      </c>
      <c r="I915" s="1" t="str">
        <f>"092953"</f>
        <v>092953</v>
      </c>
      <c r="J915" s="1" t="s">
        <v>44</v>
      </c>
      <c r="K915" s="1" t="s">
        <v>45</v>
      </c>
      <c r="L915" s="1" t="str">
        <f t="shared" si="129"/>
        <v>20220914</v>
      </c>
      <c r="M915" s="1" t="str">
        <f>"093408"</f>
        <v>093408</v>
      </c>
      <c r="N915" s="1" t="s">
        <v>100</v>
      </c>
      <c r="O915" s="1" t="s">
        <v>45</v>
      </c>
      <c r="P915" s="1" t="s">
        <v>68</v>
      </c>
      <c r="Q915" s="1">
        <v>13</v>
      </c>
      <c r="R915" s="1">
        <v>0</v>
      </c>
      <c r="S915" s="1">
        <v>0</v>
      </c>
      <c r="T915" s="1">
        <v>13</v>
      </c>
      <c r="U915" s="1">
        <v>0</v>
      </c>
      <c r="V915" s="1" t="str">
        <f t="shared" si="131"/>
        <v>里程返程</v>
      </c>
      <c r="W915" s="1" t="s">
        <v>29</v>
      </c>
    </row>
    <row r="916" spans="1:23" x14ac:dyDescent="0.3">
      <c r="A916" s="1" t="str">
        <f t="shared" si="132"/>
        <v>59825</v>
      </c>
      <c r="B916" s="1" t="s">
        <v>30</v>
      </c>
      <c r="C916" s="1" t="s">
        <v>31</v>
      </c>
      <c r="D916" s="1" t="str">
        <f t="shared" si="130"/>
        <v>9801</v>
      </c>
      <c r="E916" s="1" t="s">
        <v>25</v>
      </c>
      <c r="F916" s="1" t="str">
        <f>"894153189"</f>
        <v>894153189</v>
      </c>
      <c r="G916" s="1" t="s">
        <v>33</v>
      </c>
      <c r="H916" s="1" t="str">
        <f t="shared" si="128"/>
        <v>20220914</v>
      </c>
      <c r="I916" s="1" t="str">
        <f>"095502"</f>
        <v>095502</v>
      </c>
      <c r="J916" s="1" t="s">
        <v>28</v>
      </c>
      <c r="K916" s="1" t="s">
        <v>28</v>
      </c>
      <c r="L916" s="1" t="str">
        <f t="shared" si="129"/>
        <v>20220914</v>
      </c>
      <c r="M916" s="1" t="str">
        <f>"101728"</f>
        <v>101728</v>
      </c>
      <c r="N916" s="1" t="s">
        <v>72</v>
      </c>
      <c r="O916" s="1" t="s">
        <v>52</v>
      </c>
      <c r="P916" s="1" t="s">
        <v>55</v>
      </c>
      <c r="Q916" s="1">
        <v>25</v>
      </c>
      <c r="R916" s="1">
        <v>25</v>
      </c>
      <c r="S916" s="1">
        <v>0</v>
      </c>
      <c r="T916" s="1">
        <v>0</v>
      </c>
      <c r="U916" s="1">
        <v>0</v>
      </c>
      <c r="V916" s="1" t="str">
        <f t="shared" si="131"/>
        <v>里程返程</v>
      </c>
      <c r="W916" s="1" t="s">
        <v>35</v>
      </c>
    </row>
    <row r="917" spans="1:23" x14ac:dyDescent="0.3">
      <c r="A917" s="1" t="str">
        <f t="shared" si="132"/>
        <v>59825</v>
      </c>
      <c r="B917" s="1" t="s">
        <v>30</v>
      </c>
      <c r="C917" s="1" t="s">
        <v>31</v>
      </c>
      <c r="D917" s="1" t="str">
        <f t="shared" si="130"/>
        <v>9801</v>
      </c>
      <c r="E917" s="1" t="s">
        <v>25</v>
      </c>
      <c r="F917" s="1" t="str">
        <f>"285817872"</f>
        <v>285817872</v>
      </c>
      <c r="G917" s="1" t="s">
        <v>33</v>
      </c>
      <c r="H917" s="1" t="str">
        <f t="shared" si="128"/>
        <v>20220914</v>
      </c>
      <c r="I917" s="1" t="str">
        <f>"095511"</f>
        <v>095511</v>
      </c>
      <c r="J917" s="1" t="s">
        <v>28</v>
      </c>
      <c r="K917" s="1" t="s">
        <v>28</v>
      </c>
      <c r="L917" s="1" t="str">
        <f t="shared" si="129"/>
        <v>20220914</v>
      </c>
      <c r="M917" s="1" t="str">
        <f>"102202"</f>
        <v>102202</v>
      </c>
      <c r="N917" s="1" t="s">
        <v>60</v>
      </c>
      <c r="O917" s="1" t="s">
        <v>52</v>
      </c>
      <c r="P917" s="1" t="s">
        <v>55</v>
      </c>
      <c r="Q917" s="1">
        <v>25</v>
      </c>
      <c r="R917" s="1">
        <v>0</v>
      </c>
      <c r="S917" s="1">
        <v>25</v>
      </c>
      <c r="T917" s="1">
        <v>0</v>
      </c>
      <c r="U917" s="1">
        <v>0</v>
      </c>
      <c r="V917" s="1" t="str">
        <f t="shared" si="131"/>
        <v>里程返程</v>
      </c>
      <c r="W917" s="1" t="s">
        <v>35</v>
      </c>
    </row>
    <row r="918" spans="1:23" x14ac:dyDescent="0.3">
      <c r="A918" s="1" t="str">
        <f t="shared" si="132"/>
        <v>59825</v>
      </c>
      <c r="B918" s="1" t="s">
        <v>30</v>
      </c>
      <c r="C918" s="1" t="s">
        <v>31</v>
      </c>
      <c r="D918" s="1" t="str">
        <f t="shared" si="130"/>
        <v>9801</v>
      </c>
      <c r="E918" s="1" t="s">
        <v>25</v>
      </c>
      <c r="F918" s="1" t="str">
        <f>"F25B1B03B1880400C834002000000015"</f>
        <v>F25B1B03B1880400C834002000000015</v>
      </c>
      <c r="G918" s="1" t="s">
        <v>26</v>
      </c>
      <c r="H918" s="1" t="str">
        <f t="shared" si="128"/>
        <v>20220914</v>
      </c>
      <c r="I918" s="1" t="str">
        <f>"095517"</f>
        <v>095517</v>
      </c>
      <c r="J918" s="1" t="s">
        <v>28</v>
      </c>
      <c r="K918" s="1" t="s">
        <v>28</v>
      </c>
      <c r="L918" s="1" t="str">
        <f t="shared" si="129"/>
        <v>20220914</v>
      </c>
      <c r="M918" s="1" t="str">
        <f>"102156"</f>
        <v>102156</v>
      </c>
      <c r="N918" s="1" t="s">
        <v>60</v>
      </c>
      <c r="O918" s="1" t="s">
        <v>52</v>
      </c>
      <c r="P918" s="1" t="s">
        <v>68</v>
      </c>
      <c r="Q918" s="1">
        <v>13</v>
      </c>
      <c r="R918" s="1">
        <v>0</v>
      </c>
      <c r="S918" s="1">
        <v>0</v>
      </c>
      <c r="T918" s="1">
        <v>13</v>
      </c>
      <c r="U918" s="1">
        <v>0</v>
      </c>
      <c r="V918" s="1" t="str">
        <f t="shared" si="131"/>
        <v>里程返程</v>
      </c>
      <c r="W918" s="1" t="s">
        <v>29</v>
      </c>
    </row>
    <row r="919" spans="1:23" x14ac:dyDescent="0.3">
      <c r="A919" s="1" t="str">
        <f t="shared" si="132"/>
        <v>59825</v>
      </c>
      <c r="B919" s="1" t="s">
        <v>30</v>
      </c>
      <c r="C919" s="1" t="s">
        <v>31</v>
      </c>
      <c r="D919" s="1" t="str">
        <f t="shared" si="130"/>
        <v>9801</v>
      </c>
      <c r="E919" s="1" t="s">
        <v>25</v>
      </c>
      <c r="F919" s="1" t="str">
        <f>"1203567557"</f>
        <v>1203567557</v>
      </c>
      <c r="G919" s="1" t="s">
        <v>26</v>
      </c>
      <c r="H919" s="1" t="str">
        <f t="shared" si="128"/>
        <v>20220914</v>
      </c>
      <c r="I919" s="1" t="str">
        <f>"095520"</f>
        <v>095520</v>
      </c>
      <c r="J919" s="1" t="s">
        <v>28</v>
      </c>
      <c r="K919" s="1" t="s">
        <v>28</v>
      </c>
      <c r="L919" s="1" t="str">
        <f t="shared" si="129"/>
        <v>20220914</v>
      </c>
      <c r="M919" s="1" t="str">
        <f>"102541"</f>
        <v>102541</v>
      </c>
      <c r="N919" s="1" t="s">
        <v>52</v>
      </c>
      <c r="O919" s="1" t="s">
        <v>52</v>
      </c>
      <c r="P919" s="1" t="s">
        <v>55</v>
      </c>
      <c r="Q919" s="1">
        <v>13</v>
      </c>
      <c r="R919" s="1">
        <v>13</v>
      </c>
      <c r="S919" s="1">
        <v>0</v>
      </c>
      <c r="T919" s="1">
        <v>0</v>
      </c>
      <c r="U919" s="1">
        <v>0</v>
      </c>
      <c r="V919" s="1" t="str">
        <f t="shared" si="131"/>
        <v>里程返程</v>
      </c>
      <c r="W919" s="1" t="s">
        <v>35</v>
      </c>
    </row>
    <row r="920" spans="1:23" x14ac:dyDescent="0.3">
      <c r="A920" s="1" t="str">
        <f t="shared" si="132"/>
        <v>59825</v>
      </c>
      <c r="B920" s="1" t="s">
        <v>30</v>
      </c>
      <c r="C920" s="1" t="s">
        <v>31</v>
      </c>
      <c r="D920" s="1" t="str">
        <f t="shared" si="130"/>
        <v>9801</v>
      </c>
      <c r="E920" s="1" t="s">
        <v>25</v>
      </c>
      <c r="F920" s="1" t="str">
        <f>"029DE6027B880400C834002000000015"</f>
        <v>029DE6027B880400C834002000000015</v>
      </c>
      <c r="G920" s="1" t="s">
        <v>74</v>
      </c>
      <c r="H920" s="1" t="str">
        <f t="shared" si="128"/>
        <v>20220914</v>
      </c>
      <c r="I920" s="1" t="str">
        <f>"102214"</f>
        <v>102214</v>
      </c>
      <c r="J920" s="1" t="s">
        <v>60</v>
      </c>
      <c r="K920" s="1" t="s">
        <v>52</v>
      </c>
      <c r="L920" s="1" t="str">
        <f t="shared" si="129"/>
        <v>20220914</v>
      </c>
      <c r="M920" s="1" t="str">
        <f>"102548"</f>
        <v>102548</v>
      </c>
      <c r="N920" s="1" t="s">
        <v>52</v>
      </c>
      <c r="O920" s="1" t="s">
        <v>52</v>
      </c>
      <c r="P920" s="1" t="s">
        <v>68</v>
      </c>
      <c r="Q920" s="1">
        <v>13</v>
      </c>
      <c r="R920" s="1">
        <v>0</v>
      </c>
      <c r="S920" s="1">
        <v>0</v>
      </c>
      <c r="T920" s="1">
        <v>13</v>
      </c>
      <c r="U920" s="1">
        <v>0</v>
      </c>
      <c r="V920" s="1" t="str">
        <f t="shared" si="131"/>
        <v>里程返程</v>
      </c>
      <c r="W920" s="1" t="s">
        <v>29</v>
      </c>
    </row>
    <row r="921" spans="1:23" x14ac:dyDescent="0.3">
      <c r="A921" s="1" t="str">
        <f t="shared" si="132"/>
        <v>59825</v>
      </c>
      <c r="B921" s="1" t="s">
        <v>30</v>
      </c>
      <c r="C921" s="1" t="s">
        <v>31</v>
      </c>
      <c r="D921" s="1" t="str">
        <f t="shared" si="130"/>
        <v>9801</v>
      </c>
      <c r="E921" s="1" t="s">
        <v>25</v>
      </c>
      <c r="F921" s="1" t="str">
        <f>"02BBF2054E880400C838002000000015"</f>
        <v>02BBF2054E880400C838002000000015</v>
      </c>
      <c r="G921" s="1" t="s">
        <v>26</v>
      </c>
      <c r="H921" s="1" t="str">
        <f t="shared" si="128"/>
        <v>20220914</v>
      </c>
      <c r="I921" s="1" t="str">
        <f>"102627"</f>
        <v>102627</v>
      </c>
      <c r="J921" s="1" t="s">
        <v>44</v>
      </c>
      <c r="K921" s="1" t="s">
        <v>45</v>
      </c>
      <c r="L921" s="1" t="str">
        <f t="shared" si="129"/>
        <v>20220914</v>
      </c>
      <c r="M921" s="1" t="str">
        <f>"112218"</f>
        <v>112218</v>
      </c>
      <c r="N921" s="1" t="s">
        <v>60</v>
      </c>
      <c r="O921" s="1" t="s">
        <v>52</v>
      </c>
      <c r="P921" s="1" t="s">
        <v>68</v>
      </c>
      <c r="Q921" s="1">
        <v>25</v>
      </c>
      <c r="R921" s="1">
        <v>0</v>
      </c>
      <c r="S921" s="1">
        <v>0</v>
      </c>
      <c r="T921" s="1">
        <v>25</v>
      </c>
      <c r="U921" s="1">
        <v>0</v>
      </c>
      <c r="V921" s="1" t="str">
        <f t="shared" si="131"/>
        <v>里程返程</v>
      </c>
      <c r="W921" s="1" t="s">
        <v>29</v>
      </c>
    </row>
    <row r="922" spans="1:23" x14ac:dyDescent="0.3">
      <c r="A922" s="1" t="str">
        <f t="shared" si="132"/>
        <v>59825</v>
      </c>
      <c r="B922" s="1" t="s">
        <v>30</v>
      </c>
      <c r="C922" s="1" t="s">
        <v>31</v>
      </c>
      <c r="D922" s="1" t="str">
        <f t="shared" si="130"/>
        <v>9801</v>
      </c>
      <c r="E922" s="1" t="s">
        <v>25</v>
      </c>
      <c r="F922" s="1" t="str">
        <f>"E213BD024E880400C834002000000015"</f>
        <v>E213BD024E880400C834002000000015</v>
      </c>
      <c r="G922" s="1" t="s">
        <v>74</v>
      </c>
      <c r="H922" s="1" t="str">
        <f t="shared" si="128"/>
        <v>20220914</v>
      </c>
      <c r="I922" s="1" t="str">
        <f>"105411"</f>
        <v>105411</v>
      </c>
      <c r="J922" s="1" t="s">
        <v>28</v>
      </c>
      <c r="K922" s="1" t="s">
        <v>28</v>
      </c>
      <c r="L922" s="1" t="str">
        <f t="shared" si="129"/>
        <v>20220914</v>
      </c>
      <c r="M922" s="1" t="str">
        <f>"111711"</f>
        <v>111711</v>
      </c>
      <c r="N922" s="1" t="s">
        <v>65</v>
      </c>
      <c r="O922" s="1" t="s">
        <v>52</v>
      </c>
      <c r="P922" s="1" t="s">
        <v>68</v>
      </c>
      <c r="Q922" s="1">
        <v>13</v>
      </c>
      <c r="R922" s="1">
        <v>0</v>
      </c>
      <c r="S922" s="1">
        <v>0</v>
      </c>
      <c r="T922" s="1">
        <v>13</v>
      </c>
      <c r="U922" s="1">
        <v>0</v>
      </c>
      <c r="V922" s="1" t="str">
        <f t="shared" si="131"/>
        <v>里程返程</v>
      </c>
      <c r="W922" s="1" t="s">
        <v>29</v>
      </c>
    </row>
    <row r="923" spans="1:23" x14ac:dyDescent="0.3">
      <c r="A923" s="1" t="str">
        <f t="shared" si="132"/>
        <v>59825</v>
      </c>
      <c r="B923" s="1" t="s">
        <v>30</v>
      </c>
      <c r="C923" s="1" t="s">
        <v>31</v>
      </c>
      <c r="D923" s="1" t="str">
        <f t="shared" si="130"/>
        <v>9801</v>
      </c>
      <c r="E923" s="1" t="s">
        <v>25</v>
      </c>
      <c r="F923" s="1" t="str">
        <f>"1645182069"</f>
        <v>1645182069</v>
      </c>
      <c r="G923" s="1" t="s">
        <v>33</v>
      </c>
      <c r="H923" s="1" t="str">
        <f t="shared" si="128"/>
        <v>20220914</v>
      </c>
      <c r="I923" s="1" t="str">
        <f>"110346"</f>
        <v>110346</v>
      </c>
      <c r="J923" s="1" t="s">
        <v>67</v>
      </c>
      <c r="K923" s="1" t="s">
        <v>52</v>
      </c>
      <c r="L923" s="1" t="str">
        <f t="shared" si="129"/>
        <v>20220914</v>
      </c>
      <c r="M923" s="1" t="str">
        <f>"111307"</f>
        <v>111307</v>
      </c>
      <c r="N923" s="1" t="s">
        <v>97</v>
      </c>
      <c r="O923" s="1" t="s">
        <v>52</v>
      </c>
      <c r="P923" s="1" t="s">
        <v>55</v>
      </c>
      <c r="Q923" s="1">
        <v>25</v>
      </c>
      <c r="R923" s="1">
        <v>25</v>
      </c>
      <c r="S923" s="1">
        <v>0</v>
      </c>
      <c r="T923" s="1">
        <v>0</v>
      </c>
      <c r="U923" s="1">
        <v>0</v>
      </c>
      <c r="V923" s="1" t="str">
        <f t="shared" si="131"/>
        <v>里程返程</v>
      </c>
      <c r="W923" s="1" t="s">
        <v>35</v>
      </c>
    </row>
    <row r="924" spans="1:23" x14ac:dyDescent="0.3">
      <c r="A924" s="1" t="str">
        <f t="shared" si="132"/>
        <v>59825</v>
      </c>
      <c r="B924" s="1" t="s">
        <v>30</v>
      </c>
      <c r="C924" s="1" t="s">
        <v>31</v>
      </c>
      <c r="D924" s="1" t="str">
        <f t="shared" si="130"/>
        <v>9801</v>
      </c>
      <c r="E924" s="1" t="s">
        <v>25</v>
      </c>
      <c r="F924" s="1" t="str">
        <f>"A2B3E105F5880400C838002000000015"</f>
        <v>A2B3E105F5880400C838002000000015</v>
      </c>
      <c r="G924" s="1" t="s">
        <v>38</v>
      </c>
      <c r="H924" s="1" t="str">
        <f t="shared" si="128"/>
        <v>20220914</v>
      </c>
      <c r="I924" s="1" t="str">
        <f>"110350"</f>
        <v>110350</v>
      </c>
      <c r="J924" s="1" t="s">
        <v>67</v>
      </c>
      <c r="K924" s="1" t="s">
        <v>52</v>
      </c>
      <c r="L924" s="1" t="str">
        <f t="shared" si="129"/>
        <v>20220914</v>
      </c>
      <c r="M924" s="1" t="str">
        <f>"111305"</f>
        <v>111305</v>
      </c>
      <c r="N924" s="1" t="s">
        <v>97</v>
      </c>
      <c r="O924" s="1" t="s">
        <v>52</v>
      </c>
      <c r="P924" s="1" t="s">
        <v>55</v>
      </c>
      <c r="Q924" s="1">
        <v>25</v>
      </c>
      <c r="R924" s="1">
        <v>25</v>
      </c>
      <c r="S924" s="1">
        <v>0</v>
      </c>
      <c r="T924" s="1">
        <v>0</v>
      </c>
      <c r="U924" s="1">
        <v>0</v>
      </c>
      <c r="V924" s="1" t="str">
        <f t="shared" si="131"/>
        <v>里程返程</v>
      </c>
      <c r="W924" s="1" t="s">
        <v>29</v>
      </c>
    </row>
    <row r="925" spans="1:23" x14ac:dyDescent="0.3">
      <c r="A925" s="1" t="str">
        <f t="shared" si="132"/>
        <v>59825</v>
      </c>
      <c r="B925" s="1" t="s">
        <v>30</v>
      </c>
      <c r="C925" s="1" t="s">
        <v>31</v>
      </c>
      <c r="D925" s="1" t="str">
        <f t="shared" si="130"/>
        <v>9801</v>
      </c>
      <c r="E925" s="1" t="s">
        <v>25</v>
      </c>
      <c r="F925" s="1" t="str">
        <f>"82D5FB02AE880400C834002000000015"</f>
        <v>82D5FB02AE880400C834002000000015</v>
      </c>
      <c r="G925" s="1" t="s">
        <v>26</v>
      </c>
      <c r="H925" s="1" t="str">
        <f t="shared" si="128"/>
        <v>20220914</v>
      </c>
      <c r="I925" s="1" t="str">
        <f>"112039"</f>
        <v>112039</v>
      </c>
      <c r="J925" s="1" t="s">
        <v>51</v>
      </c>
      <c r="K925" s="1" t="s">
        <v>52</v>
      </c>
      <c r="L925" s="1" t="str">
        <f t="shared" si="129"/>
        <v>20220914</v>
      </c>
      <c r="M925" s="1" t="str">
        <f>"112722"</f>
        <v>112722</v>
      </c>
      <c r="N925" s="1" t="s">
        <v>52</v>
      </c>
      <c r="O925" s="1" t="s">
        <v>52</v>
      </c>
      <c r="P925" s="1" t="s">
        <v>68</v>
      </c>
      <c r="Q925" s="1">
        <v>13</v>
      </c>
      <c r="R925" s="1">
        <v>0</v>
      </c>
      <c r="S925" s="1">
        <v>0</v>
      </c>
      <c r="T925" s="1">
        <v>13</v>
      </c>
      <c r="U925" s="1">
        <v>0</v>
      </c>
      <c r="V925" s="1" t="str">
        <f t="shared" si="131"/>
        <v>里程返程</v>
      </c>
      <c r="W925" s="1" t="s">
        <v>29</v>
      </c>
    </row>
    <row r="926" spans="1:23" x14ac:dyDescent="0.3">
      <c r="A926" s="1" t="str">
        <f t="shared" si="132"/>
        <v>59825</v>
      </c>
      <c r="B926" s="1" t="s">
        <v>30</v>
      </c>
      <c r="C926" s="1" t="s">
        <v>31</v>
      </c>
      <c r="D926" s="1" t="str">
        <f t="shared" si="130"/>
        <v>9801</v>
      </c>
      <c r="E926" s="1" t="s">
        <v>25</v>
      </c>
      <c r="F926" s="1" t="str">
        <f>"520E1C0343880400C834002000000015"</f>
        <v>520E1C0343880400C834002000000015</v>
      </c>
      <c r="G926" s="1" t="s">
        <v>26</v>
      </c>
      <c r="H926" s="1" t="str">
        <f t="shared" si="128"/>
        <v>20220914</v>
      </c>
      <c r="I926" s="1" t="str">
        <f>"112228"</f>
        <v>112228</v>
      </c>
      <c r="J926" s="1" t="s">
        <v>60</v>
      </c>
      <c r="K926" s="1" t="s">
        <v>52</v>
      </c>
      <c r="L926" s="1" t="str">
        <f t="shared" si="129"/>
        <v>20220914</v>
      </c>
      <c r="M926" s="1" t="str">
        <f>"112719"</f>
        <v>112719</v>
      </c>
      <c r="N926" s="1" t="s">
        <v>52</v>
      </c>
      <c r="O926" s="1" t="s">
        <v>52</v>
      </c>
      <c r="P926" s="1" t="s">
        <v>68</v>
      </c>
      <c r="Q926" s="1">
        <v>13</v>
      </c>
      <c r="R926" s="1">
        <v>0</v>
      </c>
      <c r="S926" s="1">
        <v>0</v>
      </c>
      <c r="T926" s="1">
        <v>13</v>
      </c>
      <c r="U926" s="1">
        <v>0</v>
      </c>
      <c r="V926" s="1" t="str">
        <f t="shared" si="131"/>
        <v>里程返程</v>
      </c>
      <c r="W926" s="1" t="s">
        <v>29</v>
      </c>
    </row>
    <row r="927" spans="1:23" x14ac:dyDescent="0.3">
      <c r="A927" s="1" t="str">
        <f t="shared" si="132"/>
        <v>59825</v>
      </c>
      <c r="B927" s="1" t="s">
        <v>30</v>
      </c>
      <c r="C927" s="1" t="s">
        <v>31</v>
      </c>
      <c r="D927" s="1" t="str">
        <f t="shared" si="130"/>
        <v>9801</v>
      </c>
      <c r="E927" s="1" t="s">
        <v>25</v>
      </c>
      <c r="F927" s="1" t="str">
        <f>"324E1D0362880400C834002000000015"</f>
        <v>324E1D0362880400C834002000000015</v>
      </c>
      <c r="G927" s="1" t="s">
        <v>26</v>
      </c>
      <c r="H927" s="1" t="str">
        <f t="shared" si="128"/>
        <v>20220914</v>
      </c>
      <c r="I927" s="1" t="str">
        <f>"112233"</f>
        <v>112233</v>
      </c>
      <c r="J927" s="1" t="s">
        <v>60</v>
      </c>
      <c r="K927" s="1" t="s">
        <v>52</v>
      </c>
      <c r="L927" s="1" t="str">
        <f t="shared" si="129"/>
        <v>20220914</v>
      </c>
      <c r="M927" s="1" t="str">
        <f>"112705"</f>
        <v>112705</v>
      </c>
      <c r="N927" s="1" t="s">
        <v>52</v>
      </c>
      <c r="O927" s="1" t="s">
        <v>52</v>
      </c>
      <c r="P927" s="1" t="s">
        <v>68</v>
      </c>
      <c r="Q927" s="1">
        <v>13</v>
      </c>
      <c r="R927" s="1">
        <v>0</v>
      </c>
      <c r="S927" s="1">
        <v>0</v>
      </c>
      <c r="T927" s="1">
        <v>13</v>
      </c>
      <c r="U927" s="1">
        <v>0</v>
      </c>
      <c r="V927" s="1" t="str">
        <f t="shared" si="131"/>
        <v>里程返程</v>
      </c>
      <c r="W927" s="1" t="s">
        <v>29</v>
      </c>
    </row>
    <row r="928" spans="1:23" x14ac:dyDescent="0.3">
      <c r="A928" s="1" t="str">
        <f t="shared" si="132"/>
        <v>59825</v>
      </c>
      <c r="B928" s="1" t="s">
        <v>30</v>
      </c>
      <c r="C928" s="1" t="s">
        <v>31</v>
      </c>
      <c r="D928" s="1" t="str">
        <f t="shared" si="130"/>
        <v>9801</v>
      </c>
      <c r="E928" s="1" t="s">
        <v>25</v>
      </c>
      <c r="F928" s="1" t="str">
        <f>"82D5FB02AE880400C834002000000015"</f>
        <v>82D5FB02AE880400C834002000000015</v>
      </c>
      <c r="G928" s="1" t="s">
        <v>26</v>
      </c>
      <c r="H928" s="1" t="str">
        <f t="shared" si="128"/>
        <v>20220914</v>
      </c>
      <c r="I928" s="1" t="str">
        <f>"112755"</f>
        <v>112755</v>
      </c>
      <c r="J928" s="1" t="s">
        <v>44</v>
      </c>
      <c r="K928" s="1" t="s">
        <v>45</v>
      </c>
      <c r="L928" s="1" t="str">
        <f t="shared" si="129"/>
        <v>20220914</v>
      </c>
      <c r="M928" s="1" t="str">
        <f>"114308"</f>
        <v>114308</v>
      </c>
      <c r="N928" s="1" t="s">
        <v>56</v>
      </c>
      <c r="O928" s="1" t="s">
        <v>45</v>
      </c>
      <c r="P928" s="1" t="s">
        <v>68</v>
      </c>
      <c r="Q928" s="1">
        <v>13</v>
      </c>
      <c r="R928" s="1">
        <v>0</v>
      </c>
      <c r="S928" s="1">
        <v>0</v>
      </c>
      <c r="T928" s="1">
        <v>13</v>
      </c>
      <c r="U928" s="1">
        <v>0</v>
      </c>
      <c r="V928" s="1" t="str">
        <f t="shared" si="131"/>
        <v>里程返程</v>
      </c>
      <c r="W928" s="1" t="s">
        <v>29</v>
      </c>
    </row>
    <row r="929" spans="1:23" x14ac:dyDescent="0.3">
      <c r="A929" s="1" t="str">
        <f t="shared" si="132"/>
        <v>59825</v>
      </c>
      <c r="B929" s="1" t="s">
        <v>30</v>
      </c>
      <c r="C929" s="1" t="s">
        <v>31</v>
      </c>
      <c r="D929" s="1" t="str">
        <f t="shared" si="130"/>
        <v>9801</v>
      </c>
      <c r="E929" s="1" t="s">
        <v>25</v>
      </c>
      <c r="F929" s="1" t="str">
        <f>"1233712885"</f>
        <v>1233712885</v>
      </c>
      <c r="G929" s="1" t="s">
        <v>26</v>
      </c>
      <c r="H929" s="1" t="str">
        <f t="shared" ref="H929:H964" si="133">"20220914"</f>
        <v>20220914</v>
      </c>
      <c r="I929" s="1" t="str">
        <f>"114617"</f>
        <v>114617</v>
      </c>
      <c r="J929" s="1" t="s">
        <v>45</v>
      </c>
      <c r="K929" s="1" t="s">
        <v>45</v>
      </c>
      <c r="L929" s="1" t="str">
        <f t="shared" ref="L929:L964" si="134">"20220914"</f>
        <v>20220914</v>
      </c>
      <c r="M929" s="1" t="str">
        <f>"115329"</f>
        <v>115329</v>
      </c>
      <c r="N929" s="1" t="s">
        <v>28</v>
      </c>
      <c r="O929" s="1" t="s">
        <v>28</v>
      </c>
      <c r="P929" s="1" t="s">
        <v>55</v>
      </c>
      <c r="Q929" s="1">
        <v>13</v>
      </c>
      <c r="R929" s="1">
        <v>0</v>
      </c>
      <c r="S929" s="1">
        <v>13</v>
      </c>
      <c r="T929" s="1">
        <v>0</v>
      </c>
      <c r="U929" s="1">
        <v>0</v>
      </c>
      <c r="V929" s="1" t="str">
        <f t="shared" si="131"/>
        <v>里程返程</v>
      </c>
      <c r="W929" s="1" t="s">
        <v>35</v>
      </c>
    </row>
    <row r="930" spans="1:23" x14ac:dyDescent="0.3">
      <c r="A930" s="1" t="str">
        <f t="shared" si="132"/>
        <v>59825</v>
      </c>
      <c r="B930" s="1" t="s">
        <v>30</v>
      </c>
      <c r="C930" s="1" t="s">
        <v>31</v>
      </c>
      <c r="D930" s="1" t="str">
        <f t="shared" si="130"/>
        <v>9801</v>
      </c>
      <c r="E930" s="1" t="s">
        <v>25</v>
      </c>
      <c r="F930" s="1" t="str">
        <f>"1187072229"</f>
        <v>1187072229</v>
      </c>
      <c r="G930" s="1" t="s">
        <v>26</v>
      </c>
      <c r="H930" s="1" t="str">
        <f t="shared" si="133"/>
        <v>20220914</v>
      </c>
      <c r="I930" s="1" t="str">
        <f>"115400"</f>
        <v>115400</v>
      </c>
      <c r="J930" s="1" t="s">
        <v>28</v>
      </c>
      <c r="K930" s="1" t="s">
        <v>28</v>
      </c>
      <c r="L930" s="1" t="str">
        <f t="shared" si="134"/>
        <v>20220914</v>
      </c>
      <c r="M930" s="1" t="str">
        <f>"122051"</f>
        <v>122051</v>
      </c>
      <c r="N930" s="1" t="s">
        <v>86</v>
      </c>
      <c r="O930" s="1" t="s">
        <v>52</v>
      </c>
      <c r="P930" s="1" t="s">
        <v>55</v>
      </c>
      <c r="Q930" s="1">
        <v>13</v>
      </c>
      <c r="R930" s="1">
        <v>13</v>
      </c>
      <c r="S930" s="1">
        <v>0</v>
      </c>
      <c r="T930" s="1">
        <v>0</v>
      </c>
      <c r="U930" s="1">
        <v>0</v>
      </c>
      <c r="V930" s="1" t="str">
        <f t="shared" si="131"/>
        <v>里程返程</v>
      </c>
      <c r="W930" s="1" t="s">
        <v>35</v>
      </c>
    </row>
    <row r="931" spans="1:23" x14ac:dyDescent="0.3">
      <c r="A931" s="1" t="str">
        <f t="shared" si="132"/>
        <v>59825</v>
      </c>
      <c r="B931" s="1" t="s">
        <v>30</v>
      </c>
      <c r="C931" s="1" t="s">
        <v>31</v>
      </c>
      <c r="D931" s="1" t="str">
        <f t="shared" si="130"/>
        <v>9801</v>
      </c>
      <c r="E931" s="1" t="s">
        <v>25</v>
      </c>
      <c r="F931" s="1" t="str">
        <f>"380782248"</f>
        <v>380782248</v>
      </c>
      <c r="G931" s="1" t="s">
        <v>33</v>
      </c>
      <c r="H931" s="1" t="str">
        <f t="shared" si="133"/>
        <v>20220914</v>
      </c>
      <c r="I931" s="1" t="str">
        <f>"115410"</f>
        <v>115410</v>
      </c>
      <c r="J931" s="1" t="s">
        <v>28</v>
      </c>
      <c r="K931" s="1" t="s">
        <v>28</v>
      </c>
      <c r="L931" s="1" t="str">
        <f t="shared" si="134"/>
        <v>20220914</v>
      </c>
      <c r="M931" s="1" t="str">
        <f>"122252"</f>
        <v>122252</v>
      </c>
      <c r="N931" s="1" t="s">
        <v>52</v>
      </c>
      <c r="O931" s="1" t="s">
        <v>52</v>
      </c>
      <c r="P931" s="1" t="s">
        <v>55</v>
      </c>
      <c r="Q931" s="1">
        <v>25</v>
      </c>
      <c r="R931" s="1">
        <v>25</v>
      </c>
      <c r="S931" s="1">
        <v>0</v>
      </c>
      <c r="T931" s="1">
        <v>0</v>
      </c>
      <c r="U931" s="1">
        <v>0</v>
      </c>
      <c r="V931" s="1" t="str">
        <f t="shared" si="131"/>
        <v>里程返程</v>
      </c>
      <c r="W931" s="1" t="s">
        <v>35</v>
      </c>
    </row>
    <row r="932" spans="1:23" x14ac:dyDescent="0.3">
      <c r="A932" s="1" t="str">
        <f t="shared" si="132"/>
        <v>59825</v>
      </c>
      <c r="B932" s="1" t="s">
        <v>30</v>
      </c>
      <c r="C932" s="1" t="s">
        <v>31</v>
      </c>
      <c r="D932" s="1" t="str">
        <f t="shared" si="130"/>
        <v>9801</v>
      </c>
      <c r="E932" s="1" t="s">
        <v>25</v>
      </c>
      <c r="F932" s="1" t="str">
        <f>"752850785"</f>
        <v>752850785</v>
      </c>
      <c r="G932" s="1" t="s">
        <v>26</v>
      </c>
      <c r="H932" s="1" t="str">
        <f t="shared" si="133"/>
        <v>20220914</v>
      </c>
      <c r="I932" s="1" t="str">
        <f>"115430"</f>
        <v>115430</v>
      </c>
      <c r="J932" s="1" t="s">
        <v>28</v>
      </c>
      <c r="K932" s="1" t="s">
        <v>28</v>
      </c>
      <c r="L932" s="1" t="str">
        <f t="shared" si="134"/>
        <v>20220914</v>
      </c>
      <c r="M932" s="1" t="str">
        <f>"122246"</f>
        <v>122246</v>
      </c>
      <c r="N932" s="1" t="s">
        <v>52</v>
      </c>
      <c r="O932" s="1" t="s">
        <v>52</v>
      </c>
      <c r="P932" s="1" t="s">
        <v>55</v>
      </c>
      <c r="Q932" s="1">
        <v>13</v>
      </c>
      <c r="R932" s="1">
        <v>13</v>
      </c>
      <c r="S932" s="1">
        <v>0</v>
      </c>
      <c r="T932" s="1">
        <v>0</v>
      </c>
      <c r="U932" s="1">
        <v>0</v>
      </c>
      <c r="V932" s="1" t="str">
        <f t="shared" si="131"/>
        <v>里程返程</v>
      </c>
      <c r="W932" s="1" t="s">
        <v>35</v>
      </c>
    </row>
    <row r="933" spans="1:23" x14ac:dyDescent="0.3">
      <c r="A933" s="1" t="str">
        <f t="shared" si="132"/>
        <v>59825</v>
      </c>
      <c r="B933" s="1" t="s">
        <v>30</v>
      </c>
      <c r="C933" s="1" t="s">
        <v>31</v>
      </c>
      <c r="D933" s="1" t="str">
        <f t="shared" si="130"/>
        <v>9801</v>
      </c>
      <c r="E933" s="1" t="s">
        <v>25</v>
      </c>
      <c r="F933" s="1" t="str">
        <f>"3040822515"</f>
        <v>3040822515</v>
      </c>
      <c r="G933" s="1" t="s">
        <v>96</v>
      </c>
      <c r="H933" s="1" t="str">
        <f t="shared" si="133"/>
        <v>20220914</v>
      </c>
      <c r="I933" s="1" t="str">
        <f>"115438"</f>
        <v>115438</v>
      </c>
      <c r="J933" s="1" t="s">
        <v>28</v>
      </c>
      <c r="K933" s="1" t="s">
        <v>28</v>
      </c>
      <c r="L933" s="1" t="str">
        <f t="shared" si="134"/>
        <v>20220914</v>
      </c>
      <c r="M933" s="1" t="str">
        <f>"122249"</f>
        <v>122249</v>
      </c>
      <c r="N933" s="1" t="s">
        <v>52</v>
      </c>
      <c r="O933" s="1" t="s">
        <v>52</v>
      </c>
      <c r="P933" s="1" t="s">
        <v>55</v>
      </c>
      <c r="Q933" s="1">
        <v>13</v>
      </c>
      <c r="R933" s="1">
        <v>13</v>
      </c>
      <c r="S933" s="1">
        <v>0</v>
      </c>
      <c r="T933" s="1">
        <v>0</v>
      </c>
      <c r="U933" s="1">
        <v>0</v>
      </c>
      <c r="V933" s="1" t="str">
        <f t="shared" si="131"/>
        <v>里程返程</v>
      </c>
      <c r="W933" s="1" t="s">
        <v>35</v>
      </c>
    </row>
    <row r="934" spans="1:23" x14ac:dyDescent="0.3">
      <c r="A934" s="1" t="str">
        <f t="shared" si="132"/>
        <v>59825</v>
      </c>
      <c r="B934" s="1" t="s">
        <v>30</v>
      </c>
      <c r="C934" s="1" t="s">
        <v>31</v>
      </c>
      <c r="D934" s="1" t="str">
        <f t="shared" si="130"/>
        <v>9801</v>
      </c>
      <c r="E934" s="1" t="s">
        <v>25</v>
      </c>
      <c r="F934" s="1" t="str">
        <f>"251810511"</f>
        <v>251810511</v>
      </c>
      <c r="G934" s="1" t="s">
        <v>26</v>
      </c>
      <c r="H934" s="1" t="str">
        <f t="shared" si="133"/>
        <v>20220914</v>
      </c>
      <c r="I934" s="1" t="str">
        <f>"115506"</f>
        <v>115506</v>
      </c>
      <c r="J934" s="1" t="s">
        <v>28</v>
      </c>
      <c r="K934" s="1" t="s">
        <v>28</v>
      </c>
      <c r="L934" s="1" t="str">
        <f t="shared" si="134"/>
        <v>20220914</v>
      </c>
      <c r="M934" s="1" t="str">
        <f>"122303"</f>
        <v>122303</v>
      </c>
      <c r="N934" s="1" t="s">
        <v>52</v>
      </c>
      <c r="O934" s="1" t="s">
        <v>52</v>
      </c>
      <c r="P934" s="1" t="s">
        <v>55</v>
      </c>
      <c r="Q934" s="1">
        <v>13</v>
      </c>
      <c r="R934" s="1">
        <v>13</v>
      </c>
      <c r="S934" s="1">
        <v>0</v>
      </c>
      <c r="T934" s="1">
        <v>0</v>
      </c>
      <c r="U934" s="1">
        <v>0</v>
      </c>
      <c r="V934" s="1" t="str">
        <f t="shared" si="131"/>
        <v>里程返程</v>
      </c>
      <c r="W934" s="1" t="s">
        <v>35</v>
      </c>
    </row>
    <row r="935" spans="1:23" x14ac:dyDescent="0.3">
      <c r="A935" s="1" t="str">
        <f t="shared" si="132"/>
        <v>59825</v>
      </c>
      <c r="B935" s="1" t="s">
        <v>30</v>
      </c>
      <c r="C935" s="1" t="s">
        <v>31</v>
      </c>
      <c r="D935" s="1" t="str">
        <f t="shared" si="130"/>
        <v>9801</v>
      </c>
      <c r="E935" s="1" t="s">
        <v>25</v>
      </c>
      <c r="F935" s="1" t="str">
        <f>"1075628161"</f>
        <v>1075628161</v>
      </c>
      <c r="G935" s="1" t="s">
        <v>33</v>
      </c>
      <c r="H935" s="1" t="str">
        <f t="shared" si="133"/>
        <v>20220914</v>
      </c>
      <c r="I935" s="1" t="str">
        <f>"115520"</f>
        <v>115520</v>
      </c>
      <c r="J935" s="1" t="s">
        <v>28</v>
      </c>
      <c r="K935" s="1" t="s">
        <v>28</v>
      </c>
      <c r="L935" s="1" t="str">
        <f t="shared" si="134"/>
        <v>20220914</v>
      </c>
      <c r="M935" s="1" t="str">
        <f>"120322"</f>
        <v>120322</v>
      </c>
      <c r="N935" s="1" t="s">
        <v>83</v>
      </c>
      <c r="O935" s="1" t="s">
        <v>52</v>
      </c>
      <c r="P935" s="1" t="s">
        <v>55</v>
      </c>
      <c r="Q935" s="1">
        <v>25</v>
      </c>
      <c r="R935" s="1">
        <v>0</v>
      </c>
      <c r="S935" s="1">
        <v>25</v>
      </c>
      <c r="T935" s="1">
        <v>0</v>
      </c>
      <c r="U935" s="1">
        <v>0</v>
      </c>
      <c r="V935" s="1" t="str">
        <f t="shared" si="131"/>
        <v>里程返程</v>
      </c>
      <c r="W935" s="1" t="s">
        <v>35</v>
      </c>
    </row>
    <row r="936" spans="1:23" x14ac:dyDescent="0.3">
      <c r="A936" s="1" t="str">
        <f t="shared" si="132"/>
        <v>59825</v>
      </c>
      <c r="B936" s="1" t="s">
        <v>30</v>
      </c>
      <c r="C936" s="1" t="s">
        <v>31</v>
      </c>
      <c r="D936" s="1" t="str">
        <f t="shared" si="130"/>
        <v>9801</v>
      </c>
      <c r="E936" s="1" t="s">
        <v>25</v>
      </c>
      <c r="F936" s="1" t="str">
        <f>"5101DF028D88040043252B4B0004050F"</f>
        <v>5101DF028D88040043252B4B0004050F</v>
      </c>
      <c r="G936" s="1" t="s">
        <v>58</v>
      </c>
      <c r="H936" s="1" t="str">
        <f t="shared" si="133"/>
        <v>20220914</v>
      </c>
      <c r="I936" s="1" t="str">
        <f>"115522"</f>
        <v>115522</v>
      </c>
      <c r="J936" s="1" t="s">
        <v>28</v>
      </c>
      <c r="K936" s="1" t="s">
        <v>28</v>
      </c>
      <c r="L936" s="1" t="str">
        <f t="shared" si="134"/>
        <v>20220914</v>
      </c>
      <c r="M936" s="1" t="str">
        <f>"120319"</f>
        <v>120319</v>
      </c>
      <c r="N936" s="1" t="s">
        <v>83</v>
      </c>
      <c r="O936" s="1" t="s">
        <v>52</v>
      </c>
      <c r="P936" s="1" t="s">
        <v>55</v>
      </c>
      <c r="Q936" s="1">
        <v>25</v>
      </c>
      <c r="R936" s="1">
        <v>0</v>
      </c>
      <c r="S936" s="1">
        <v>25</v>
      </c>
      <c r="T936" s="1">
        <v>0</v>
      </c>
      <c r="U936" s="1">
        <v>0</v>
      </c>
      <c r="V936" s="1" t="str">
        <f t="shared" si="131"/>
        <v>里程返程</v>
      </c>
      <c r="W936" s="1" t="s">
        <v>29</v>
      </c>
    </row>
    <row r="937" spans="1:23" x14ac:dyDescent="0.3">
      <c r="A937" s="1" t="str">
        <f t="shared" si="132"/>
        <v>59825</v>
      </c>
      <c r="B937" s="1" t="s">
        <v>30</v>
      </c>
      <c r="C937" s="1" t="s">
        <v>31</v>
      </c>
      <c r="D937" s="1" t="str">
        <f t="shared" si="130"/>
        <v>9801</v>
      </c>
      <c r="E937" s="1" t="s">
        <v>25</v>
      </c>
      <c r="F937" s="1" t="str">
        <f>"B7A79F6CE388040043250FDF000E0C0E"</f>
        <v>B7A79F6CE388040043250FDF000E0C0E</v>
      </c>
      <c r="G937" s="1" t="s">
        <v>58</v>
      </c>
      <c r="H937" s="1" t="str">
        <f t="shared" si="133"/>
        <v>20220914</v>
      </c>
      <c r="I937" s="1" t="str">
        <f>"115542"</f>
        <v>115542</v>
      </c>
      <c r="J937" s="1" t="s">
        <v>28</v>
      </c>
      <c r="K937" s="1" t="s">
        <v>28</v>
      </c>
      <c r="L937" s="1" t="str">
        <f t="shared" si="134"/>
        <v>20220914</v>
      </c>
      <c r="M937" s="1" t="str">
        <f>"122255"</f>
        <v>122255</v>
      </c>
      <c r="N937" s="1" t="s">
        <v>52</v>
      </c>
      <c r="O937" s="1" t="s">
        <v>52</v>
      </c>
      <c r="P937" s="1" t="s">
        <v>55</v>
      </c>
      <c r="Q937" s="1">
        <v>25</v>
      </c>
      <c r="R937" s="1">
        <v>0</v>
      </c>
      <c r="S937" s="1">
        <v>25</v>
      </c>
      <c r="T937" s="1">
        <v>0</v>
      </c>
      <c r="U937" s="1">
        <v>0</v>
      </c>
      <c r="V937" s="1" t="str">
        <f t="shared" si="131"/>
        <v>里程返程</v>
      </c>
      <c r="W937" s="1" t="s">
        <v>29</v>
      </c>
    </row>
    <row r="938" spans="1:23" x14ac:dyDescent="0.3">
      <c r="A938" s="1" t="str">
        <f t="shared" si="132"/>
        <v>59825</v>
      </c>
      <c r="B938" s="1" t="s">
        <v>30</v>
      </c>
      <c r="C938" s="1" t="s">
        <v>31</v>
      </c>
      <c r="D938" s="1" t="str">
        <f t="shared" si="130"/>
        <v>9801</v>
      </c>
      <c r="E938" s="1" t="s">
        <v>25</v>
      </c>
      <c r="F938" s="1" t="str">
        <f>"F27CE6026A880400C834002000000015"</f>
        <v>F27CE6026A880400C834002000000015</v>
      </c>
      <c r="G938" s="1" t="s">
        <v>74</v>
      </c>
      <c r="H938" s="1" t="str">
        <f t="shared" si="133"/>
        <v>20220914</v>
      </c>
      <c r="I938" s="1" t="str">
        <f>"121925"</f>
        <v>121925</v>
      </c>
      <c r="J938" s="1" t="s">
        <v>60</v>
      </c>
      <c r="K938" s="1" t="s">
        <v>52</v>
      </c>
      <c r="L938" s="1" t="str">
        <f t="shared" si="134"/>
        <v>20220914</v>
      </c>
      <c r="M938" s="1" t="str">
        <f>"122153"</f>
        <v>122153</v>
      </c>
      <c r="N938" s="1" t="s">
        <v>52</v>
      </c>
      <c r="O938" s="1" t="s">
        <v>52</v>
      </c>
      <c r="P938" s="1" t="s">
        <v>68</v>
      </c>
      <c r="Q938" s="1">
        <v>13</v>
      </c>
      <c r="R938" s="1">
        <v>0</v>
      </c>
      <c r="S938" s="1">
        <v>0</v>
      </c>
      <c r="T938" s="1">
        <v>13</v>
      </c>
      <c r="U938" s="1">
        <v>0</v>
      </c>
      <c r="V938" s="1" t="str">
        <f t="shared" si="131"/>
        <v>里程返程</v>
      </c>
      <c r="W938" s="1" t="s">
        <v>29</v>
      </c>
    </row>
    <row r="939" spans="1:23" x14ac:dyDescent="0.3">
      <c r="A939" s="1" t="str">
        <f t="shared" si="132"/>
        <v>59825</v>
      </c>
      <c r="B939" s="1" t="s">
        <v>30</v>
      </c>
      <c r="C939" s="1" t="s">
        <v>31</v>
      </c>
      <c r="D939" s="1" t="str">
        <f t="shared" si="130"/>
        <v>9801</v>
      </c>
      <c r="E939" s="1" t="s">
        <v>25</v>
      </c>
      <c r="F939" s="1" t="str">
        <f>"1129190405"</f>
        <v>1129190405</v>
      </c>
      <c r="G939" s="1" t="s">
        <v>33</v>
      </c>
      <c r="H939" s="1" t="str">
        <f t="shared" si="133"/>
        <v>20220914</v>
      </c>
      <c r="I939" s="1" t="str">
        <f>"190930"</f>
        <v>190930</v>
      </c>
      <c r="J939" s="1" t="s">
        <v>75</v>
      </c>
      <c r="K939" s="1" t="s">
        <v>45</v>
      </c>
      <c r="L939" s="1" t="str">
        <f t="shared" si="134"/>
        <v>20220914</v>
      </c>
      <c r="M939" s="1" t="str">
        <f>"193111"</f>
        <v>193111</v>
      </c>
      <c r="N939" s="1" t="s">
        <v>84</v>
      </c>
      <c r="O939" s="1" t="s">
        <v>28</v>
      </c>
      <c r="P939" s="1" t="s">
        <v>55</v>
      </c>
      <c r="Q939" s="1">
        <v>25</v>
      </c>
      <c r="R939" s="1">
        <v>25</v>
      </c>
      <c r="S939" s="1">
        <v>0</v>
      </c>
      <c r="T939" s="1">
        <v>0</v>
      </c>
      <c r="U939" s="1">
        <v>0</v>
      </c>
      <c r="V939" s="1" t="str">
        <f t="shared" si="131"/>
        <v>里程返程</v>
      </c>
      <c r="W939" s="1" t="s">
        <v>35</v>
      </c>
    </row>
    <row r="940" spans="1:23" x14ac:dyDescent="0.3">
      <c r="A940" s="1" t="str">
        <f t="shared" ref="A940:A964" si="135">"59828"</f>
        <v>59828</v>
      </c>
      <c r="B940" s="1" t="s">
        <v>23</v>
      </c>
      <c r="C940" s="1" t="s">
        <v>24</v>
      </c>
      <c r="D940" s="1" t="str">
        <f t="shared" si="130"/>
        <v>9801</v>
      </c>
      <c r="E940" s="1" t="s">
        <v>25</v>
      </c>
      <c r="F940" s="1" t="str">
        <f>"2329748187"</f>
        <v>2329748187</v>
      </c>
      <c r="G940" s="1" t="s">
        <v>33</v>
      </c>
      <c r="H940" s="1" t="str">
        <f t="shared" si="133"/>
        <v>20220914</v>
      </c>
      <c r="I940" s="1" t="str">
        <f>"060325"</f>
        <v>060325</v>
      </c>
      <c r="J940" s="1" t="s">
        <v>44</v>
      </c>
      <c r="K940" s="1" t="s">
        <v>45</v>
      </c>
      <c r="L940" s="1" t="str">
        <f t="shared" si="134"/>
        <v>20220914</v>
      </c>
      <c r="M940" s="1" t="str">
        <f>"062056"</f>
        <v>062056</v>
      </c>
      <c r="N940" s="1" t="s">
        <v>28</v>
      </c>
      <c r="O940" s="1" t="s">
        <v>28</v>
      </c>
      <c r="P940" s="1" t="s">
        <v>55</v>
      </c>
      <c r="Q940" s="1">
        <v>25</v>
      </c>
      <c r="R940" s="1">
        <v>25</v>
      </c>
      <c r="S940" s="1">
        <v>0</v>
      </c>
      <c r="T940" s="1">
        <v>0</v>
      </c>
      <c r="U940" s="1">
        <v>0</v>
      </c>
      <c r="V940" s="1" t="str">
        <f t="shared" si="131"/>
        <v>里程返程</v>
      </c>
      <c r="W940" s="1" t="s">
        <v>35</v>
      </c>
    </row>
    <row r="941" spans="1:23" x14ac:dyDescent="0.3">
      <c r="A941" s="1" t="str">
        <f t="shared" si="135"/>
        <v>59828</v>
      </c>
      <c r="B941" s="1" t="s">
        <v>23</v>
      </c>
      <c r="C941" s="1" t="s">
        <v>24</v>
      </c>
      <c r="D941" s="1" t="str">
        <f t="shared" si="130"/>
        <v>9801</v>
      </c>
      <c r="E941" s="1" t="s">
        <v>25</v>
      </c>
      <c r="F941" s="1" t="str">
        <f>"E130C75F492804001C00000000000000"</f>
        <v>E130C75F492804001C00000000000000</v>
      </c>
      <c r="G941" s="1" t="s">
        <v>58</v>
      </c>
      <c r="H941" s="1" t="str">
        <f t="shared" si="133"/>
        <v>20220914</v>
      </c>
      <c r="I941" s="1" t="str">
        <f>"061425"</f>
        <v>061425</v>
      </c>
      <c r="J941" s="1" t="s">
        <v>79</v>
      </c>
      <c r="K941" s="1" t="s">
        <v>45</v>
      </c>
      <c r="L941" s="1" t="str">
        <f t="shared" si="134"/>
        <v>20220914</v>
      </c>
      <c r="M941" s="1" t="str">
        <f>"062058"</f>
        <v>062058</v>
      </c>
      <c r="N941" s="1" t="s">
        <v>28</v>
      </c>
      <c r="O941" s="1" t="s">
        <v>28</v>
      </c>
      <c r="P941" s="1" t="s">
        <v>55</v>
      </c>
      <c r="Q941" s="1">
        <v>25</v>
      </c>
      <c r="R941" s="1">
        <v>25</v>
      </c>
      <c r="S941" s="1">
        <v>0</v>
      </c>
      <c r="T941" s="1">
        <v>0</v>
      </c>
      <c r="U941" s="1">
        <v>0</v>
      </c>
      <c r="V941" s="1" t="str">
        <f t="shared" si="131"/>
        <v>里程返程</v>
      </c>
      <c r="W941" s="1" t="s">
        <v>29</v>
      </c>
    </row>
    <row r="942" spans="1:23" x14ac:dyDescent="0.3">
      <c r="A942" s="1" t="str">
        <f t="shared" si="135"/>
        <v>59828</v>
      </c>
      <c r="B942" s="1" t="s">
        <v>23</v>
      </c>
      <c r="C942" s="1" t="s">
        <v>24</v>
      </c>
      <c r="D942" s="1" t="str">
        <f t="shared" si="130"/>
        <v>9801</v>
      </c>
      <c r="E942" s="1" t="s">
        <v>25</v>
      </c>
      <c r="F942" s="1" t="str">
        <f>"1752749445"</f>
        <v>1752749445</v>
      </c>
      <c r="G942" s="1" t="s">
        <v>33</v>
      </c>
      <c r="H942" s="1" t="str">
        <f t="shared" si="133"/>
        <v>20220914</v>
      </c>
      <c r="I942" s="1" t="str">
        <f>"063314"</f>
        <v>063314</v>
      </c>
      <c r="J942" s="1" t="s">
        <v>28</v>
      </c>
      <c r="K942" s="1" t="s">
        <v>28</v>
      </c>
      <c r="L942" s="1" t="str">
        <f t="shared" si="134"/>
        <v>20220914</v>
      </c>
      <c r="M942" s="1" t="str">
        <f>"065245"</f>
        <v>065245</v>
      </c>
      <c r="N942" s="1" t="s">
        <v>72</v>
      </c>
      <c r="O942" s="1" t="s">
        <v>52</v>
      </c>
      <c r="P942" s="1" t="s">
        <v>55</v>
      </c>
      <c r="Q942" s="1">
        <v>25</v>
      </c>
      <c r="R942" s="1">
        <v>0</v>
      </c>
      <c r="S942" s="1">
        <v>25</v>
      </c>
      <c r="T942" s="1">
        <v>0</v>
      </c>
      <c r="U942" s="1">
        <v>0</v>
      </c>
      <c r="V942" s="1" t="str">
        <f t="shared" si="131"/>
        <v>里程返程</v>
      </c>
      <c r="W942" s="1" t="s">
        <v>35</v>
      </c>
    </row>
    <row r="943" spans="1:23" x14ac:dyDescent="0.3">
      <c r="A943" s="1" t="str">
        <f t="shared" si="135"/>
        <v>59828</v>
      </c>
      <c r="B943" s="1" t="s">
        <v>23</v>
      </c>
      <c r="C943" s="1" t="s">
        <v>24</v>
      </c>
      <c r="D943" s="1" t="str">
        <f t="shared" si="130"/>
        <v>9801</v>
      </c>
      <c r="E943" s="1" t="s">
        <v>25</v>
      </c>
      <c r="F943" s="1" t="str">
        <f>"619F1761882804001C00000000000000"</f>
        <v>619F1761882804001C00000000000000</v>
      </c>
      <c r="G943" s="1" t="s">
        <v>58</v>
      </c>
      <c r="H943" s="1" t="str">
        <f t="shared" si="133"/>
        <v>20220914</v>
      </c>
      <c r="I943" s="1" t="str">
        <f>"063326"</f>
        <v>063326</v>
      </c>
      <c r="J943" s="1" t="s">
        <v>28</v>
      </c>
      <c r="K943" s="1" t="s">
        <v>28</v>
      </c>
      <c r="L943" s="1" t="str">
        <f t="shared" si="134"/>
        <v>20220914</v>
      </c>
      <c r="M943" s="1" t="str">
        <f>"065238"</f>
        <v>065238</v>
      </c>
      <c r="N943" s="1" t="s">
        <v>72</v>
      </c>
      <c r="O943" s="1" t="s">
        <v>52</v>
      </c>
      <c r="P943" s="1" t="s">
        <v>55</v>
      </c>
      <c r="Q943" s="1">
        <v>25</v>
      </c>
      <c r="R943" s="1">
        <v>0</v>
      </c>
      <c r="S943" s="1">
        <v>25</v>
      </c>
      <c r="T943" s="1">
        <v>0</v>
      </c>
      <c r="U943" s="1">
        <v>0</v>
      </c>
      <c r="V943" s="1" t="str">
        <f t="shared" si="131"/>
        <v>里程返程</v>
      </c>
      <c r="W943" s="1" t="s">
        <v>29</v>
      </c>
    </row>
    <row r="944" spans="1:23" x14ac:dyDescent="0.3">
      <c r="A944" s="1" t="str">
        <f t="shared" si="135"/>
        <v>59828</v>
      </c>
      <c r="B944" s="1" t="s">
        <v>23</v>
      </c>
      <c r="C944" s="1" t="s">
        <v>24</v>
      </c>
      <c r="D944" s="1" t="str">
        <f t="shared" si="130"/>
        <v>9801</v>
      </c>
      <c r="E944" s="1" t="s">
        <v>25</v>
      </c>
      <c r="F944" s="1" t="str">
        <f>"D2EDC500FA880400C801002000000015"</f>
        <v>D2EDC500FA880400C801002000000015</v>
      </c>
      <c r="G944" s="1" t="s">
        <v>58</v>
      </c>
      <c r="H944" s="1" t="str">
        <f t="shared" si="133"/>
        <v>20220914</v>
      </c>
      <c r="I944" s="1" t="str">
        <f>"063353"</f>
        <v>063353</v>
      </c>
      <c r="J944" s="1" t="s">
        <v>28</v>
      </c>
      <c r="K944" s="1" t="s">
        <v>28</v>
      </c>
      <c r="L944" s="1" t="str">
        <f t="shared" si="134"/>
        <v>20220914</v>
      </c>
      <c r="M944" s="1" t="str">
        <f>"070021"</f>
        <v>070021</v>
      </c>
      <c r="N944" s="1" t="s">
        <v>52</v>
      </c>
      <c r="O944" s="1" t="s">
        <v>52</v>
      </c>
      <c r="P944" s="1" t="s">
        <v>55</v>
      </c>
      <c r="Q944" s="1">
        <v>25</v>
      </c>
      <c r="R944" s="1">
        <v>25</v>
      </c>
      <c r="S944" s="1">
        <v>0</v>
      </c>
      <c r="T944" s="1">
        <v>0</v>
      </c>
      <c r="U944" s="1">
        <v>0</v>
      </c>
      <c r="V944" s="1" t="str">
        <f t="shared" si="131"/>
        <v>里程返程</v>
      </c>
      <c r="W944" s="1" t="s">
        <v>29</v>
      </c>
    </row>
    <row r="945" spans="1:23" x14ac:dyDescent="0.3">
      <c r="A945" s="1" t="str">
        <f t="shared" si="135"/>
        <v>59828</v>
      </c>
      <c r="B945" s="1" t="s">
        <v>23</v>
      </c>
      <c r="C945" s="1" t="s">
        <v>24</v>
      </c>
      <c r="D945" s="1" t="str">
        <f t="shared" si="130"/>
        <v>9801</v>
      </c>
      <c r="E945" s="1" t="s">
        <v>25</v>
      </c>
      <c r="F945" s="1" t="str">
        <f>"82730F18E6880400C814002000000019"</f>
        <v>82730F18E6880400C814002000000019</v>
      </c>
      <c r="G945" s="1" t="s">
        <v>59</v>
      </c>
      <c r="H945" s="1" t="str">
        <f t="shared" si="133"/>
        <v>20220914</v>
      </c>
      <c r="I945" s="1" t="str">
        <f>"072429"</f>
        <v>072429</v>
      </c>
      <c r="J945" s="1" t="s">
        <v>28</v>
      </c>
      <c r="K945" s="1" t="s">
        <v>28</v>
      </c>
      <c r="L945" s="1" t="str">
        <f t="shared" si="134"/>
        <v>20220914</v>
      </c>
      <c r="M945" s="1" t="str">
        <f>"074608"</f>
        <v>074608</v>
      </c>
      <c r="N945" s="1" t="s">
        <v>72</v>
      </c>
      <c r="O945" s="1" t="s">
        <v>52</v>
      </c>
      <c r="P945" s="1" t="s">
        <v>55</v>
      </c>
      <c r="Q945" s="1">
        <v>25</v>
      </c>
      <c r="R945" s="1">
        <v>0</v>
      </c>
      <c r="S945" s="1">
        <v>25</v>
      </c>
      <c r="T945" s="1">
        <v>0</v>
      </c>
      <c r="U945" s="1">
        <v>0</v>
      </c>
      <c r="V945" s="1" t="str">
        <f t="shared" si="131"/>
        <v>里程返程</v>
      </c>
      <c r="W945" s="1" t="s">
        <v>29</v>
      </c>
    </row>
    <row r="946" spans="1:23" x14ac:dyDescent="0.3">
      <c r="A946" s="1" t="str">
        <f t="shared" si="135"/>
        <v>59828</v>
      </c>
      <c r="B946" s="1" t="s">
        <v>23</v>
      </c>
      <c r="C946" s="1" t="s">
        <v>24</v>
      </c>
      <c r="D946" s="1" t="str">
        <f t="shared" si="130"/>
        <v>9801</v>
      </c>
      <c r="E946" s="1" t="s">
        <v>25</v>
      </c>
      <c r="F946" s="1" t="str">
        <f>"62F00B1881880400C814002000000019"</f>
        <v>62F00B1881880400C814002000000019</v>
      </c>
      <c r="G946" s="1" t="s">
        <v>59</v>
      </c>
      <c r="H946" s="1" t="str">
        <f t="shared" si="133"/>
        <v>20220914</v>
      </c>
      <c r="I946" s="1" t="str">
        <f>"072432"</f>
        <v>072432</v>
      </c>
      <c r="J946" s="1" t="s">
        <v>28</v>
      </c>
      <c r="K946" s="1" t="s">
        <v>28</v>
      </c>
      <c r="L946" s="1" t="str">
        <f t="shared" si="134"/>
        <v>20220914</v>
      </c>
      <c r="M946" s="1" t="str">
        <f>"074610"</f>
        <v>074610</v>
      </c>
      <c r="N946" s="1" t="s">
        <v>72</v>
      </c>
      <c r="O946" s="1" t="s">
        <v>52</v>
      </c>
      <c r="P946" s="1" t="s">
        <v>55</v>
      </c>
      <c r="Q946" s="1">
        <v>25</v>
      </c>
      <c r="R946" s="1">
        <v>0</v>
      </c>
      <c r="S946" s="1">
        <v>25</v>
      </c>
      <c r="T946" s="1">
        <v>0</v>
      </c>
      <c r="U946" s="1">
        <v>0</v>
      </c>
      <c r="V946" s="1" t="str">
        <f t="shared" si="131"/>
        <v>里程返程</v>
      </c>
      <c r="W946" s="1" t="s">
        <v>29</v>
      </c>
    </row>
    <row r="947" spans="1:23" x14ac:dyDescent="0.3">
      <c r="A947" s="1" t="str">
        <f t="shared" si="135"/>
        <v>59828</v>
      </c>
      <c r="B947" s="1" t="s">
        <v>23</v>
      </c>
      <c r="C947" s="1" t="s">
        <v>24</v>
      </c>
      <c r="D947" s="1" t="str">
        <f t="shared" si="130"/>
        <v>9801</v>
      </c>
      <c r="E947" s="1" t="s">
        <v>25</v>
      </c>
      <c r="F947" s="1" t="str">
        <f>"825D0C18CB880400C814002000000019"</f>
        <v>825D0C18CB880400C814002000000019</v>
      </c>
      <c r="G947" s="1" t="s">
        <v>59</v>
      </c>
      <c r="H947" s="1" t="str">
        <f t="shared" si="133"/>
        <v>20220914</v>
      </c>
      <c r="I947" s="1" t="str">
        <f>"072436"</f>
        <v>072436</v>
      </c>
      <c r="J947" s="1" t="s">
        <v>28</v>
      </c>
      <c r="K947" s="1" t="s">
        <v>28</v>
      </c>
      <c r="L947" s="1" t="str">
        <f t="shared" si="134"/>
        <v>20220914</v>
      </c>
      <c r="M947" s="1" t="str">
        <f>"075717"</f>
        <v>075717</v>
      </c>
      <c r="N947" s="1" t="s">
        <v>52</v>
      </c>
      <c r="O947" s="1" t="s">
        <v>52</v>
      </c>
      <c r="P947" s="1" t="s">
        <v>55</v>
      </c>
      <c r="Q947" s="1">
        <v>25</v>
      </c>
      <c r="R947" s="1">
        <v>0</v>
      </c>
      <c r="S947" s="1">
        <v>25</v>
      </c>
      <c r="T947" s="1">
        <v>0</v>
      </c>
      <c r="U947" s="1">
        <v>0</v>
      </c>
      <c r="V947" s="1" t="str">
        <f t="shared" si="131"/>
        <v>里程返程</v>
      </c>
      <c r="W947" s="1" t="s">
        <v>29</v>
      </c>
    </row>
    <row r="948" spans="1:23" x14ac:dyDescent="0.3">
      <c r="A948" s="1" t="str">
        <f t="shared" si="135"/>
        <v>59828</v>
      </c>
      <c r="B948" s="1" t="s">
        <v>23</v>
      </c>
      <c r="C948" s="1" t="s">
        <v>24</v>
      </c>
      <c r="D948" s="1" t="str">
        <f t="shared" si="130"/>
        <v>9801</v>
      </c>
      <c r="E948" s="1" t="s">
        <v>25</v>
      </c>
      <c r="F948" s="1" t="str">
        <f>"D257BD023A880400C834002000000015"</f>
        <v>D257BD023A880400C834002000000015</v>
      </c>
      <c r="G948" s="1" t="s">
        <v>74</v>
      </c>
      <c r="H948" s="1" t="str">
        <f t="shared" si="133"/>
        <v>20220914</v>
      </c>
      <c r="I948" s="1" t="str">
        <f>"072441"</f>
        <v>072441</v>
      </c>
      <c r="J948" s="1" t="s">
        <v>28</v>
      </c>
      <c r="K948" s="1" t="s">
        <v>28</v>
      </c>
      <c r="L948" s="1" t="str">
        <f t="shared" si="134"/>
        <v>20220914</v>
      </c>
      <c r="M948" s="1" t="str">
        <f>"073203"</f>
        <v>073203</v>
      </c>
      <c r="N948" s="1" t="s">
        <v>67</v>
      </c>
      <c r="O948" s="1" t="s">
        <v>52</v>
      </c>
      <c r="P948" s="1" t="s">
        <v>68</v>
      </c>
      <c r="Q948" s="1">
        <v>13</v>
      </c>
      <c r="R948" s="1">
        <v>0</v>
      </c>
      <c r="S948" s="1">
        <v>0</v>
      </c>
      <c r="T948" s="1">
        <v>13</v>
      </c>
      <c r="U948" s="1">
        <v>0</v>
      </c>
      <c r="V948" s="1" t="str">
        <f t="shared" si="131"/>
        <v>里程返程</v>
      </c>
      <c r="W948" s="1" t="s">
        <v>29</v>
      </c>
    </row>
    <row r="949" spans="1:23" x14ac:dyDescent="0.3">
      <c r="A949" s="1" t="str">
        <f t="shared" si="135"/>
        <v>59828</v>
      </c>
      <c r="B949" s="1" t="s">
        <v>23</v>
      </c>
      <c r="C949" s="1" t="s">
        <v>24</v>
      </c>
      <c r="D949" s="1" t="str">
        <f t="shared" si="130"/>
        <v>9801</v>
      </c>
      <c r="E949" s="1" t="s">
        <v>25</v>
      </c>
      <c r="F949" s="1" t="str">
        <f>"1759959808"</f>
        <v>1759959808</v>
      </c>
      <c r="G949" s="1" t="s">
        <v>33</v>
      </c>
      <c r="H949" s="1" t="str">
        <f t="shared" si="133"/>
        <v>20220914</v>
      </c>
      <c r="I949" s="1" t="str">
        <f>"074033"</f>
        <v>074033</v>
      </c>
      <c r="J949" s="1" t="s">
        <v>80</v>
      </c>
      <c r="K949" s="1" t="s">
        <v>52</v>
      </c>
      <c r="L949" s="1" t="str">
        <f t="shared" si="134"/>
        <v>20220914</v>
      </c>
      <c r="M949" s="1" t="str">
        <f>"075150"</f>
        <v>075150</v>
      </c>
      <c r="N949" s="1" t="s">
        <v>60</v>
      </c>
      <c r="O949" s="1" t="s">
        <v>52</v>
      </c>
      <c r="P949" s="1" t="s">
        <v>55</v>
      </c>
      <c r="Q949" s="1">
        <v>25</v>
      </c>
      <c r="R949" s="1">
        <v>25</v>
      </c>
      <c r="S949" s="1">
        <v>0</v>
      </c>
      <c r="T949" s="1">
        <v>0</v>
      </c>
      <c r="U949" s="1">
        <v>0</v>
      </c>
      <c r="V949" s="1" t="str">
        <f t="shared" si="131"/>
        <v>里程返程</v>
      </c>
      <c r="W949" s="1" t="s">
        <v>35</v>
      </c>
    </row>
    <row r="950" spans="1:23" x14ac:dyDescent="0.3">
      <c r="A950" s="1" t="str">
        <f t="shared" si="135"/>
        <v>59828</v>
      </c>
      <c r="B950" s="1" t="s">
        <v>23</v>
      </c>
      <c r="C950" s="1" t="s">
        <v>24</v>
      </c>
      <c r="D950" s="1" t="str">
        <f t="shared" si="130"/>
        <v>9801</v>
      </c>
      <c r="E950" s="1" t="s">
        <v>25</v>
      </c>
      <c r="F950" s="1" t="str">
        <f>"2075560860"</f>
        <v>2075560860</v>
      </c>
      <c r="G950" s="1" t="s">
        <v>33</v>
      </c>
      <c r="H950" s="1" t="str">
        <f t="shared" si="133"/>
        <v>20220914</v>
      </c>
      <c r="I950" s="1" t="str">
        <f>"124054"</f>
        <v>124054</v>
      </c>
      <c r="J950" s="1" t="s">
        <v>75</v>
      </c>
      <c r="K950" s="1" t="s">
        <v>45</v>
      </c>
      <c r="L950" s="1" t="str">
        <f t="shared" si="134"/>
        <v>20220914</v>
      </c>
      <c r="M950" s="1" t="str">
        <f>"125404"</f>
        <v>125404</v>
      </c>
      <c r="N950" s="1" t="s">
        <v>95</v>
      </c>
      <c r="O950" s="1" t="s">
        <v>28</v>
      </c>
      <c r="P950" s="1" t="s">
        <v>55</v>
      </c>
      <c r="Q950" s="1">
        <v>25</v>
      </c>
      <c r="R950" s="1">
        <v>25</v>
      </c>
      <c r="S950" s="1">
        <v>0</v>
      </c>
      <c r="T950" s="1">
        <v>0</v>
      </c>
      <c r="U950" s="1">
        <v>0</v>
      </c>
      <c r="V950" s="1" t="str">
        <f t="shared" si="131"/>
        <v>里程返程</v>
      </c>
      <c r="W950" s="1" t="s">
        <v>35</v>
      </c>
    </row>
    <row r="951" spans="1:23" x14ac:dyDescent="0.3">
      <c r="A951" s="1" t="str">
        <f t="shared" si="135"/>
        <v>59828</v>
      </c>
      <c r="B951" s="1" t="s">
        <v>23</v>
      </c>
      <c r="C951" s="1" t="s">
        <v>24</v>
      </c>
      <c r="D951" s="1" t="str">
        <f t="shared" si="130"/>
        <v>9801</v>
      </c>
      <c r="E951" s="1" t="s">
        <v>25</v>
      </c>
      <c r="F951" s="1" t="str">
        <f>"1120954261"</f>
        <v>1120954261</v>
      </c>
      <c r="G951" s="1" t="s">
        <v>33</v>
      </c>
      <c r="H951" s="1" t="str">
        <f t="shared" si="133"/>
        <v>20220914</v>
      </c>
      <c r="I951" s="1" t="str">
        <f>"125441"</f>
        <v>125441</v>
      </c>
      <c r="J951" s="1" t="s">
        <v>28</v>
      </c>
      <c r="K951" s="1" t="s">
        <v>28</v>
      </c>
      <c r="L951" s="1" t="str">
        <f t="shared" si="134"/>
        <v>20220914</v>
      </c>
      <c r="M951" s="1" t="str">
        <f>"132410"</f>
        <v>132410</v>
      </c>
      <c r="N951" s="1" t="s">
        <v>86</v>
      </c>
      <c r="O951" s="1" t="s">
        <v>52</v>
      </c>
      <c r="P951" s="1" t="s">
        <v>55</v>
      </c>
      <c r="Q951" s="1">
        <v>25</v>
      </c>
      <c r="R951" s="1">
        <v>25</v>
      </c>
      <c r="S951" s="1">
        <v>0</v>
      </c>
      <c r="T951" s="1">
        <v>0</v>
      </c>
      <c r="U951" s="1">
        <v>0</v>
      </c>
      <c r="V951" s="1" t="str">
        <f t="shared" si="131"/>
        <v>里程返程</v>
      </c>
      <c r="W951" s="1" t="s">
        <v>35</v>
      </c>
    </row>
    <row r="952" spans="1:23" x14ac:dyDescent="0.3">
      <c r="A952" s="1" t="str">
        <f t="shared" si="135"/>
        <v>59828</v>
      </c>
      <c r="B952" s="1" t="s">
        <v>23</v>
      </c>
      <c r="C952" s="1" t="s">
        <v>24</v>
      </c>
      <c r="D952" s="1" t="str">
        <f t="shared" si="130"/>
        <v>9801</v>
      </c>
      <c r="E952" s="1" t="s">
        <v>25</v>
      </c>
      <c r="F952" s="1" t="str">
        <f>"1320164288"</f>
        <v>1320164288</v>
      </c>
      <c r="G952" s="1" t="s">
        <v>33</v>
      </c>
      <c r="H952" s="1" t="str">
        <f t="shared" si="133"/>
        <v>20220914</v>
      </c>
      <c r="I952" s="1" t="str">
        <f>"125453"</f>
        <v>125453</v>
      </c>
      <c r="J952" s="1" t="s">
        <v>28</v>
      </c>
      <c r="K952" s="1" t="s">
        <v>28</v>
      </c>
      <c r="L952" s="1" t="str">
        <f t="shared" si="134"/>
        <v>20220914</v>
      </c>
      <c r="M952" s="1" t="str">
        <f>"130637"</f>
        <v>130637</v>
      </c>
      <c r="N952" s="1" t="s">
        <v>67</v>
      </c>
      <c r="O952" s="1" t="s">
        <v>52</v>
      </c>
      <c r="P952" s="1" t="s">
        <v>55</v>
      </c>
      <c r="Q952" s="1">
        <v>25</v>
      </c>
      <c r="R952" s="1">
        <v>25</v>
      </c>
      <c r="S952" s="1">
        <v>0</v>
      </c>
      <c r="T952" s="1">
        <v>0</v>
      </c>
      <c r="U952" s="1">
        <v>0</v>
      </c>
      <c r="V952" s="1" t="str">
        <f t="shared" si="131"/>
        <v>里程返程</v>
      </c>
      <c r="W952" s="1" t="s">
        <v>35</v>
      </c>
    </row>
    <row r="953" spans="1:23" x14ac:dyDescent="0.3">
      <c r="A953" s="1" t="str">
        <f t="shared" si="135"/>
        <v>59828</v>
      </c>
      <c r="B953" s="1" t="s">
        <v>23</v>
      </c>
      <c r="C953" s="1" t="s">
        <v>24</v>
      </c>
      <c r="D953" s="1" t="str">
        <f t="shared" si="130"/>
        <v>9801</v>
      </c>
      <c r="E953" s="1" t="s">
        <v>25</v>
      </c>
      <c r="F953" s="1" t="str">
        <f>"608453297"</f>
        <v>608453297</v>
      </c>
      <c r="G953" s="1" t="s">
        <v>33</v>
      </c>
      <c r="H953" s="1" t="str">
        <f t="shared" si="133"/>
        <v>20220914</v>
      </c>
      <c r="I953" s="1" t="str">
        <f>"125500"</f>
        <v>125500</v>
      </c>
      <c r="J953" s="1" t="s">
        <v>28</v>
      </c>
      <c r="K953" s="1" t="s">
        <v>28</v>
      </c>
      <c r="L953" s="1" t="str">
        <f t="shared" si="134"/>
        <v>20220914</v>
      </c>
      <c r="M953" s="1" t="str">
        <f>"130639"</f>
        <v>130639</v>
      </c>
      <c r="N953" s="1" t="s">
        <v>67</v>
      </c>
      <c r="O953" s="1" t="s">
        <v>52</v>
      </c>
      <c r="P953" s="1" t="s">
        <v>55</v>
      </c>
      <c r="Q953" s="1">
        <v>25</v>
      </c>
      <c r="R953" s="1">
        <v>25</v>
      </c>
      <c r="S953" s="1">
        <v>0</v>
      </c>
      <c r="T953" s="1">
        <v>0</v>
      </c>
      <c r="U953" s="1">
        <v>0</v>
      </c>
      <c r="V953" s="1" t="str">
        <f t="shared" si="131"/>
        <v>里程返程</v>
      </c>
      <c r="W953" s="1" t="s">
        <v>35</v>
      </c>
    </row>
    <row r="954" spans="1:23" x14ac:dyDescent="0.3">
      <c r="A954" s="1" t="str">
        <f t="shared" si="135"/>
        <v>59828</v>
      </c>
      <c r="B954" s="1" t="s">
        <v>23</v>
      </c>
      <c r="C954" s="1" t="s">
        <v>24</v>
      </c>
      <c r="D954" s="1" t="str">
        <f t="shared" si="130"/>
        <v>9801</v>
      </c>
      <c r="E954" s="1" t="s">
        <v>25</v>
      </c>
      <c r="F954" s="1" t="str">
        <f>"E220D10211880400C834002000000015"</f>
        <v>E220D10211880400C834002000000015</v>
      </c>
      <c r="G954" s="1" t="s">
        <v>74</v>
      </c>
      <c r="H954" s="1" t="str">
        <f t="shared" si="133"/>
        <v>20220914</v>
      </c>
      <c r="I954" s="1" t="str">
        <f>"131334"</f>
        <v>131334</v>
      </c>
      <c r="J954" s="1" t="s">
        <v>97</v>
      </c>
      <c r="K954" s="1" t="s">
        <v>52</v>
      </c>
      <c r="L954" s="1" t="str">
        <f t="shared" si="134"/>
        <v>20220914</v>
      </c>
      <c r="M954" s="1" t="str">
        <f>"131539"</f>
        <v>131539</v>
      </c>
      <c r="N954" s="1" t="s">
        <v>65</v>
      </c>
      <c r="O954" s="1" t="s">
        <v>52</v>
      </c>
      <c r="P954" s="1" t="s">
        <v>68</v>
      </c>
      <c r="Q954" s="1">
        <v>13</v>
      </c>
      <c r="R954" s="1">
        <v>0</v>
      </c>
      <c r="S954" s="1">
        <v>0</v>
      </c>
      <c r="T954" s="1">
        <v>13</v>
      </c>
      <c r="U954" s="1">
        <v>0</v>
      </c>
      <c r="V954" s="1" t="str">
        <f t="shared" si="131"/>
        <v>里程返程</v>
      </c>
      <c r="W954" s="1" t="s">
        <v>29</v>
      </c>
    </row>
    <row r="955" spans="1:23" x14ac:dyDescent="0.3">
      <c r="A955" s="1" t="str">
        <f t="shared" si="135"/>
        <v>59828</v>
      </c>
      <c r="B955" s="1" t="s">
        <v>23</v>
      </c>
      <c r="C955" s="1" t="s">
        <v>24</v>
      </c>
      <c r="D955" s="1" t="str">
        <f t="shared" si="130"/>
        <v>9801</v>
      </c>
      <c r="E955" s="1" t="s">
        <v>25</v>
      </c>
      <c r="F955" s="1" t="str">
        <f>"F2C64D0E77880400C806002000000018"</f>
        <v>F2C64D0E77880400C806002000000018</v>
      </c>
      <c r="G955" s="1" t="s">
        <v>58</v>
      </c>
      <c r="H955" s="1" t="str">
        <f t="shared" si="133"/>
        <v>20220914</v>
      </c>
      <c r="I955" s="1" t="str">
        <f>"131605"</f>
        <v>131605</v>
      </c>
      <c r="J955" s="1" t="s">
        <v>65</v>
      </c>
      <c r="K955" s="1" t="s">
        <v>52</v>
      </c>
      <c r="L955" s="1" t="str">
        <f t="shared" si="134"/>
        <v>20220914</v>
      </c>
      <c r="M955" s="1" t="str">
        <f>"132212"</f>
        <v>132212</v>
      </c>
      <c r="N955" s="1" t="s">
        <v>60</v>
      </c>
      <c r="O955" s="1" t="s">
        <v>52</v>
      </c>
      <c r="P955" s="1" t="s">
        <v>55</v>
      </c>
      <c r="Q955" s="1">
        <v>25</v>
      </c>
      <c r="R955" s="1">
        <v>25</v>
      </c>
      <c r="S955" s="1">
        <v>0</v>
      </c>
      <c r="T955" s="1">
        <v>0</v>
      </c>
      <c r="U955" s="1">
        <v>0</v>
      </c>
      <c r="V955" s="1" t="str">
        <f t="shared" si="131"/>
        <v>里程返程</v>
      </c>
      <c r="W955" s="1" t="s">
        <v>29</v>
      </c>
    </row>
    <row r="956" spans="1:23" x14ac:dyDescent="0.3">
      <c r="A956" s="1" t="str">
        <f t="shared" si="135"/>
        <v>59828</v>
      </c>
      <c r="B956" s="1" t="s">
        <v>23</v>
      </c>
      <c r="C956" s="1" t="s">
        <v>24</v>
      </c>
      <c r="D956" s="1" t="str">
        <f t="shared" si="130"/>
        <v>9801</v>
      </c>
      <c r="E956" s="1" t="s">
        <v>25</v>
      </c>
      <c r="F956" s="1" t="str">
        <f>"82D5FB02AE880400C834002000000015"</f>
        <v>82D5FB02AE880400C834002000000015</v>
      </c>
      <c r="G956" s="1" t="s">
        <v>26</v>
      </c>
      <c r="H956" s="1" t="str">
        <f t="shared" si="133"/>
        <v>20220914</v>
      </c>
      <c r="I956" s="1" t="str">
        <f>"131817"</f>
        <v>131817</v>
      </c>
      <c r="J956" s="1" t="s">
        <v>72</v>
      </c>
      <c r="K956" s="1" t="s">
        <v>52</v>
      </c>
      <c r="L956" s="1" t="str">
        <f t="shared" si="134"/>
        <v>20220914</v>
      </c>
      <c r="M956" s="1" t="str">
        <f>"132208"</f>
        <v>132208</v>
      </c>
      <c r="N956" s="1" t="s">
        <v>60</v>
      </c>
      <c r="O956" s="1" t="s">
        <v>52</v>
      </c>
      <c r="P956" s="1" t="s">
        <v>68</v>
      </c>
      <c r="Q956" s="1">
        <v>13</v>
      </c>
      <c r="R956" s="1">
        <v>0</v>
      </c>
      <c r="S956" s="1">
        <v>0</v>
      </c>
      <c r="T956" s="1">
        <v>13</v>
      </c>
      <c r="U956" s="1">
        <v>0</v>
      </c>
      <c r="V956" s="1" t="str">
        <f t="shared" si="131"/>
        <v>里程返程</v>
      </c>
      <c r="W956" s="1" t="s">
        <v>29</v>
      </c>
    </row>
    <row r="957" spans="1:23" x14ac:dyDescent="0.3">
      <c r="A957" s="1" t="str">
        <f t="shared" si="135"/>
        <v>59828</v>
      </c>
      <c r="B957" s="1" t="s">
        <v>23</v>
      </c>
      <c r="C957" s="1" t="s">
        <v>24</v>
      </c>
      <c r="D957" s="1" t="str">
        <f t="shared" si="130"/>
        <v>9801</v>
      </c>
      <c r="E957" s="1" t="s">
        <v>25</v>
      </c>
      <c r="F957" s="1" t="str">
        <f>"3040822515"</f>
        <v>3040822515</v>
      </c>
      <c r="G957" s="1" t="s">
        <v>96</v>
      </c>
      <c r="H957" s="1" t="str">
        <f t="shared" si="133"/>
        <v>20220914</v>
      </c>
      <c r="I957" s="1" t="str">
        <f>"142819"</f>
        <v>142819</v>
      </c>
      <c r="J957" s="1" t="s">
        <v>44</v>
      </c>
      <c r="K957" s="1" t="s">
        <v>45</v>
      </c>
      <c r="L957" s="1" t="str">
        <f t="shared" si="134"/>
        <v>20220914</v>
      </c>
      <c r="M957" s="1" t="str">
        <f>"144316"</f>
        <v>144316</v>
      </c>
      <c r="N957" s="1" t="s">
        <v>45</v>
      </c>
      <c r="O957" s="1" t="s">
        <v>45</v>
      </c>
      <c r="P957" s="1" t="s">
        <v>55</v>
      </c>
      <c r="Q957" s="1">
        <v>13</v>
      </c>
      <c r="R957" s="1">
        <v>13</v>
      </c>
      <c r="S957" s="1">
        <v>0</v>
      </c>
      <c r="T957" s="1">
        <v>0</v>
      </c>
      <c r="U957" s="1">
        <v>0</v>
      </c>
      <c r="V957" s="1" t="str">
        <f t="shared" si="131"/>
        <v>里程返程</v>
      </c>
      <c r="W957" s="1" t="s">
        <v>35</v>
      </c>
    </row>
    <row r="958" spans="1:23" x14ac:dyDescent="0.3">
      <c r="A958" s="1" t="str">
        <f t="shared" si="135"/>
        <v>59828</v>
      </c>
      <c r="B958" s="1" t="s">
        <v>23</v>
      </c>
      <c r="C958" s="1" t="s">
        <v>24</v>
      </c>
      <c r="D958" s="1" t="str">
        <f t="shared" si="130"/>
        <v>9801</v>
      </c>
      <c r="E958" s="1" t="s">
        <v>25</v>
      </c>
      <c r="F958" s="1" t="str">
        <f>"752850785"</f>
        <v>752850785</v>
      </c>
      <c r="G958" s="1" t="s">
        <v>26</v>
      </c>
      <c r="H958" s="1" t="str">
        <f t="shared" si="133"/>
        <v>20220914</v>
      </c>
      <c r="I958" s="1" t="str">
        <f>"142843"</f>
        <v>142843</v>
      </c>
      <c r="J958" s="1" t="s">
        <v>44</v>
      </c>
      <c r="K958" s="1" t="s">
        <v>45</v>
      </c>
      <c r="L958" s="1" t="str">
        <f t="shared" si="134"/>
        <v>20220914</v>
      </c>
      <c r="M958" s="1" t="str">
        <f>"144308"</f>
        <v>144308</v>
      </c>
      <c r="N958" s="1" t="s">
        <v>45</v>
      </c>
      <c r="O958" s="1" t="s">
        <v>45</v>
      </c>
      <c r="P958" s="1" t="s">
        <v>55</v>
      </c>
      <c r="Q958" s="1">
        <v>13</v>
      </c>
      <c r="R958" s="1">
        <v>13</v>
      </c>
      <c r="S958" s="1">
        <v>0</v>
      </c>
      <c r="T958" s="1">
        <v>0</v>
      </c>
      <c r="U958" s="1">
        <v>0</v>
      </c>
      <c r="V958" s="1" t="str">
        <f t="shared" si="131"/>
        <v>里程返程</v>
      </c>
      <c r="W958" s="1" t="s">
        <v>35</v>
      </c>
    </row>
    <row r="959" spans="1:23" x14ac:dyDescent="0.3">
      <c r="A959" s="1" t="str">
        <f t="shared" si="135"/>
        <v>59828</v>
      </c>
      <c r="B959" s="1" t="s">
        <v>23</v>
      </c>
      <c r="C959" s="1" t="s">
        <v>24</v>
      </c>
      <c r="D959" s="1" t="str">
        <f t="shared" si="130"/>
        <v>9801</v>
      </c>
      <c r="E959" s="1" t="s">
        <v>25</v>
      </c>
      <c r="F959" s="1" t="str">
        <f>"251810511"</f>
        <v>251810511</v>
      </c>
      <c r="G959" s="1" t="s">
        <v>26</v>
      </c>
      <c r="H959" s="1" t="str">
        <f t="shared" si="133"/>
        <v>20220914</v>
      </c>
      <c r="I959" s="1" t="str">
        <f>"142848"</f>
        <v>142848</v>
      </c>
      <c r="J959" s="1" t="s">
        <v>44</v>
      </c>
      <c r="K959" s="1" t="s">
        <v>45</v>
      </c>
      <c r="L959" s="1" t="str">
        <f t="shared" si="134"/>
        <v>20220914</v>
      </c>
      <c r="M959" s="1" t="str">
        <f>"144319"</f>
        <v>144319</v>
      </c>
      <c r="N959" s="1" t="s">
        <v>45</v>
      </c>
      <c r="O959" s="1" t="s">
        <v>45</v>
      </c>
      <c r="P959" s="1" t="s">
        <v>55</v>
      </c>
      <c r="Q959" s="1">
        <v>13</v>
      </c>
      <c r="R959" s="1">
        <v>13</v>
      </c>
      <c r="S959" s="1">
        <v>0</v>
      </c>
      <c r="T959" s="1">
        <v>0</v>
      </c>
      <c r="U959" s="1">
        <v>0</v>
      </c>
      <c r="V959" s="1" t="str">
        <f t="shared" si="131"/>
        <v>里程返程</v>
      </c>
      <c r="W959" s="1" t="s">
        <v>35</v>
      </c>
    </row>
    <row r="960" spans="1:23" x14ac:dyDescent="0.3">
      <c r="A960" s="1" t="str">
        <f t="shared" si="135"/>
        <v>59828</v>
      </c>
      <c r="B960" s="1" t="s">
        <v>23</v>
      </c>
      <c r="C960" s="1" t="s">
        <v>24</v>
      </c>
      <c r="D960" s="1" t="str">
        <f t="shared" si="130"/>
        <v>9801</v>
      </c>
      <c r="E960" s="1" t="s">
        <v>25</v>
      </c>
      <c r="F960" s="1" t="str">
        <f>"380782248"</f>
        <v>380782248</v>
      </c>
      <c r="G960" s="1" t="s">
        <v>33</v>
      </c>
      <c r="H960" s="1" t="str">
        <f t="shared" si="133"/>
        <v>20220914</v>
      </c>
      <c r="I960" s="1" t="str">
        <f>"142853"</f>
        <v>142853</v>
      </c>
      <c r="J960" s="1" t="s">
        <v>44</v>
      </c>
      <c r="K960" s="1" t="s">
        <v>45</v>
      </c>
      <c r="L960" s="1" t="str">
        <f t="shared" si="134"/>
        <v>20220914</v>
      </c>
      <c r="M960" s="1" t="str">
        <f>"144321"</f>
        <v>144321</v>
      </c>
      <c r="N960" s="1" t="s">
        <v>45</v>
      </c>
      <c r="O960" s="1" t="s">
        <v>45</v>
      </c>
      <c r="P960" s="1" t="s">
        <v>55</v>
      </c>
      <c r="Q960" s="1">
        <v>25</v>
      </c>
      <c r="R960" s="1">
        <v>25</v>
      </c>
      <c r="S960" s="1">
        <v>0</v>
      </c>
      <c r="T960" s="1">
        <v>0</v>
      </c>
      <c r="U960" s="1">
        <v>0</v>
      </c>
      <c r="V960" s="1" t="str">
        <f t="shared" si="131"/>
        <v>里程返程</v>
      </c>
      <c r="W960" s="1" t="s">
        <v>35</v>
      </c>
    </row>
    <row r="961" spans="1:23" x14ac:dyDescent="0.3">
      <c r="A961" s="1" t="str">
        <f t="shared" si="135"/>
        <v>59828</v>
      </c>
      <c r="B961" s="1" t="s">
        <v>23</v>
      </c>
      <c r="C961" s="1" t="s">
        <v>24</v>
      </c>
      <c r="D961" s="1" t="str">
        <f t="shared" si="130"/>
        <v>9801</v>
      </c>
      <c r="E961" s="1" t="s">
        <v>25</v>
      </c>
      <c r="F961" s="1" t="str">
        <f>"465978004"</f>
        <v>465978004</v>
      </c>
      <c r="G961" s="1" t="s">
        <v>33</v>
      </c>
      <c r="H961" s="1" t="str">
        <f t="shared" si="133"/>
        <v>20220914</v>
      </c>
      <c r="I961" s="1" t="str">
        <f>"145145"</f>
        <v>145145</v>
      </c>
      <c r="J961" s="1" t="s">
        <v>28</v>
      </c>
      <c r="K961" s="1" t="s">
        <v>28</v>
      </c>
      <c r="L961" s="1" t="str">
        <f t="shared" si="134"/>
        <v>20220914</v>
      </c>
      <c r="M961" s="1" t="str">
        <f>"151207"</f>
        <v>151207</v>
      </c>
      <c r="N961" s="1" t="s">
        <v>97</v>
      </c>
      <c r="O961" s="1" t="s">
        <v>52</v>
      </c>
      <c r="P961" s="1" t="s">
        <v>55</v>
      </c>
      <c r="Q961" s="1">
        <v>25</v>
      </c>
      <c r="R961" s="1">
        <v>25</v>
      </c>
      <c r="S961" s="1">
        <v>0</v>
      </c>
      <c r="T961" s="1">
        <v>0</v>
      </c>
      <c r="U961" s="1">
        <v>0</v>
      </c>
      <c r="V961" s="1" t="str">
        <f t="shared" si="131"/>
        <v>里程返程</v>
      </c>
      <c r="W961" s="1" t="s">
        <v>35</v>
      </c>
    </row>
    <row r="962" spans="1:23" x14ac:dyDescent="0.3">
      <c r="A962" s="1" t="str">
        <f t="shared" si="135"/>
        <v>59828</v>
      </c>
      <c r="B962" s="1" t="s">
        <v>23</v>
      </c>
      <c r="C962" s="1" t="s">
        <v>24</v>
      </c>
      <c r="D962" s="1" t="str">
        <f t="shared" ref="D962:D1025" si="136">"9801"</f>
        <v>9801</v>
      </c>
      <c r="E962" s="1" t="s">
        <v>25</v>
      </c>
      <c r="F962" s="1" t="str">
        <f>"608812289"</f>
        <v>608812289</v>
      </c>
      <c r="G962" s="1" t="s">
        <v>33</v>
      </c>
      <c r="H962" s="1" t="str">
        <f t="shared" si="133"/>
        <v>20220914</v>
      </c>
      <c r="I962" s="1" t="str">
        <f>"145149"</f>
        <v>145149</v>
      </c>
      <c r="J962" s="1" t="s">
        <v>28</v>
      </c>
      <c r="K962" s="1" t="s">
        <v>28</v>
      </c>
      <c r="L962" s="1" t="str">
        <f t="shared" si="134"/>
        <v>20220914</v>
      </c>
      <c r="M962" s="1" t="str">
        <f>"151212"</f>
        <v>151212</v>
      </c>
      <c r="N962" s="1" t="s">
        <v>97</v>
      </c>
      <c r="O962" s="1" t="s">
        <v>52</v>
      </c>
      <c r="P962" s="1" t="s">
        <v>55</v>
      </c>
      <c r="Q962" s="1">
        <v>25</v>
      </c>
      <c r="R962" s="1">
        <v>25</v>
      </c>
      <c r="S962" s="1">
        <v>0</v>
      </c>
      <c r="T962" s="1">
        <v>0</v>
      </c>
      <c r="U962" s="1">
        <v>0</v>
      </c>
      <c r="V962" s="1" t="str">
        <f t="shared" ref="V962:V1025" si="137">"里程返程"</f>
        <v>里程返程</v>
      </c>
      <c r="W962" s="1" t="s">
        <v>35</v>
      </c>
    </row>
    <row r="963" spans="1:23" x14ac:dyDescent="0.3">
      <c r="A963" s="1" t="str">
        <f t="shared" si="135"/>
        <v>59828</v>
      </c>
      <c r="B963" s="1" t="s">
        <v>23</v>
      </c>
      <c r="C963" s="1" t="s">
        <v>24</v>
      </c>
      <c r="D963" s="1" t="str">
        <f t="shared" si="136"/>
        <v>9801</v>
      </c>
      <c r="E963" s="1" t="s">
        <v>25</v>
      </c>
      <c r="F963" s="1" t="str">
        <f>"4226FD0198880400C821002000000015"</f>
        <v>4226FD0198880400C821002000000015</v>
      </c>
      <c r="G963" s="1" t="s">
        <v>64</v>
      </c>
      <c r="H963" s="1" t="str">
        <f t="shared" si="133"/>
        <v>20220914</v>
      </c>
      <c r="I963" s="1" t="str">
        <f>"155302"</f>
        <v>155302</v>
      </c>
      <c r="J963" s="1" t="s">
        <v>28</v>
      </c>
      <c r="K963" s="1" t="s">
        <v>28</v>
      </c>
      <c r="L963" s="1" t="str">
        <f t="shared" si="134"/>
        <v>20220914</v>
      </c>
      <c r="M963" s="1" t="str">
        <f>"162838"</f>
        <v>162838</v>
      </c>
      <c r="N963" s="1" t="s">
        <v>52</v>
      </c>
      <c r="O963" s="1" t="s">
        <v>52</v>
      </c>
      <c r="P963" s="1" t="s">
        <v>55</v>
      </c>
      <c r="Q963" s="1">
        <v>13</v>
      </c>
      <c r="R963" s="1">
        <v>0</v>
      </c>
      <c r="S963" s="1">
        <v>13</v>
      </c>
      <c r="T963" s="1">
        <v>0</v>
      </c>
      <c r="U963" s="1">
        <v>0</v>
      </c>
      <c r="V963" s="1" t="str">
        <f t="shared" si="137"/>
        <v>里程返程</v>
      </c>
      <c r="W963" s="1" t="s">
        <v>29</v>
      </c>
    </row>
    <row r="964" spans="1:23" x14ac:dyDescent="0.3">
      <c r="A964" s="1" t="str">
        <f t="shared" si="135"/>
        <v>59828</v>
      </c>
      <c r="B964" s="1" t="s">
        <v>23</v>
      </c>
      <c r="C964" s="1" t="s">
        <v>24</v>
      </c>
      <c r="D964" s="1" t="str">
        <f t="shared" si="136"/>
        <v>9801</v>
      </c>
      <c r="E964" s="1" t="s">
        <v>25</v>
      </c>
      <c r="F964" s="1" t="str">
        <f>"42AFE60209880400C834002000000015"</f>
        <v>42AFE60209880400C834002000000015</v>
      </c>
      <c r="G964" s="1" t="s">
        <v>74</v>
      </c>
      <c r="H964" s="1" t="str">
        <f t="shared" si="133"/>
        <v>20220914</v>
      </c>
      <c r="I964" s="1" t="str">
        <f>"161456"</f>
        <v>161456</v>
      </c>
      <c r="J964" s="1" t="s">
        <v>80</v>
      </c>
      <c r="K964" s="1" t="s">
        <v>52</v>
      </c>
      <c r="L964" s="1" t="str">
        <f t="shared" si="134"/>
        <v>20220914</v>
      </c>
      <c r="M964" s="1" t="str">
        <f>"162834"</f>
        <v>162834</v>
      </c>
      <c r="N964" s="1" t="s">
        <v>52</v>
      </c>
      <c r="O964" s="1" t="s">
        <v>52</v>
      </c>
      <c r="P964" s="1" t="s">
        <v>68</v>
      </c>
      <c r="Q964" s="1">
        <v>13</v>
      </c>
      <c r="R964" s="1">
        <v>0</v>
      </c>
      <c r="S964" s="1">
        <v>0</v>
      </c>
      <c r="T964" s="1">
        <v>13</v>
      </c>
      <c r="U964" s="1">
        <v>0</v>
      </c>
      <c r="V964" s="1" t="str">
        <f t="shared" si="137"/>
        <v>里程返程</v>
      </c>
      <c r="W964" s="1" t="s">
        <v>29</v>
      </c>
    </row>
    <row r="965" spans="1:23" x14ac:dyDescent="0.3">
      <c r="A965" s="1" t="str">
        <f t="shared" ref="A965:A986" si="138">"59809"</f>
        <v>59809</v>
      </c>
      <c r="B965" s="1" t="s">
        <v>42</v>
      </c>
      <c r="C965" s="1" t="s">
        <v>43</v>
      </c>
      <c r="D965" s="1" t="str">
        <f t="shared" si="136"/>
        <v>9801</v>
      </c>
      <c r="E965" s="1" t="s">
        <v>25</v>
      </c>
      <c r="F965" s="1" t="str">
        <f>"1752749445"</f>
        <v>1752749445</v>
      </c>
      <c r="G965" s="1" t="s">
        <v>33</v>
      </c>
      <c r="H965" s="1" t="str">
        <f t="shared" ref="H965:H996" si="139">"20220915"</f>
        <v>20220915</v>
      </c>
      <c r="I965" s="1" t="str">
        <f>"062835"</f>
        <v>062835</v>
      </c>
      <c r="J965" s="1" t="s">
        <v>28</v>
      </c>
      <c r="K965" s="1" t="s">
        <v>28</v>
      </c>
      <c r="L965" s="1" t="str">
        <f t="shared" ref="L965:L996" si="140">"20220915"</f>
        <v>20220915</v>
      </c>
      <c r="M965" s="1" t="str">
        <f>"065250"</f>
        <v>065250</v>
      </c>
      <c r="N965" s="1" t="s">
        <v>72</v>
      </c>
      <c r="O965" s="1" t="s">
        <v>52</v>
      </c>
      <c r="P965" s="1" t="s">
        <v>55</v>
      </c>
      <c r="Q965" s="1">
        <v>25</v>
      </c>
      <c r="R965" s="1">
        <v>0</v>
      </c>
      <c r="S965" s="1">
        <v>25</v>
      </c>
      <c r="T965" s="1">
        <v>0</v>
      </c>
      <c r="U965" s="1">
        <v>0</v>
      </c>
      <c r="V965" s="1" t="str">
        <f t="shared" si="137"/>
        <v>里程返程</v>
      </c>
      <c r="W965" s="1" t="s">
        <v>35</v>
      </c>
    </row>
    <row r="966" spans="1:23" x14ac:dyDescent="0.3">
      <c r="A966" s="1" t="str">
        <f t="shared" si="138"/>
        <v>59809</v>
      </c>
      <c r="B966" s="1" t="s">
        <v>42</v>
      </c>
      <c r="C966" s="1" t="s">
        <v>43</v>
      </c>
      <c r="D966" s="1" t="str">
        <f t="shared" si="136"/>
        <v>9801</v>
      </c>
      <c r="E966" s="1" t="s">
        <v>25</v>
      </c>
      <c r="F966" s="1" t="str">
        <f>"619F1761882804001C00000000000000"</f>
        <v>619F1761882804001C00000000000000</v>
      </c>
      <c r="G966" s="1" t="s">
        <v>58</v>
      </c>
      <c r="H966" s="1" t="str">
        <f t="shared" si="139"/>
        <v>20220915</v>
      </c>
      <c r="I966" s="1" t="str">
        <f>"062923"</f>
        <v>062923</v>
      </c>
      <c r="J966" s="1" t="s">
        <v>28</v>
      </c>
      <c r="K966" s="1" t="s">
        <v>28</v>
      </c>
      <c r="L966" s="1" t="str">
        <f t="shared" si="140"/>
        <v>20220915</v>
      </c>
      <c r="M966" s="1" t="str">
        <f>"065243"</f>
        <v>065243</v>
      </c>
      <c r="N966" s="1" t="s">
        <v>72</v>
      </c>
      <c r="O966" s="1" t="s">
        <v>52</v>
      </c>
      <c r="P966" s="1" t="s">
        <v>55</v>
      </c>
      <c r="Q966" s="1">
        <v>25</v>
      </c>
      <c r="R966" s="1">
        <v>0</v>
      </c>
      <c r="S966" s="1">
        <v>25</v>
      </c>
      <c r="T966" s="1">
        <v>0</v>
      </c>
      <c r="U966" s="1">
        <v>0</v>
      </c>
      <c r="V966" s="1" t="str">
        <f t="shared" si="137"/>
        <v>里程返程</v>
      </c>
      <c r="W966" s="1" t="s">
        <v>29</v>
      </c>
    </row>
    <row r="967" spans="1:23" x14ac:dyDescent="0.3">
      <c r="A967" s="1" t="str">
        <f t="shared" si="138"/>
        <v>59809</v>
      </c>
      <c r="B967" s="1" t="s">
        <v>42</v>
      </c>
      <c r="C967" s="1" t="s">
        <v>43</v>
      </c>
      <c r="D967" s="1" t="str">
        <f t="shared" si="136"/>
        <v>9801</v>
      </c>
      <c r="E967" s="1" t="s">
        <v>25</v>
      </c>
      <c r="F967" s="1" t="str">
        <f>"D2EDC500FA880400C801002000000015"</f>
        <v>D2EDC500FA880400C801002000000015</v>
      </c>
      <c r="G967" s="1" t="s">
        <v>58</v>
      </c>
      <c r="H967" s="1" t="str">
        <f t="shared" si="139"/>
        <v>20220915</v>
      </c>
      <c r="I967" s="1" t="str">
        <f>"063104"</f>
        <v>063104</v>
      </c>
      <c r="J967" s="1" t="s">
        <v>28</v>
      </c>
      <c r="K967" s="1" t="s">
        <v>28</v>
      </c>
      <c r="L967" s="1" t="str">
        <f t="shared" si="140"/>
        <v>20220915</v>
      </c>
      <c r="M967" s="1" t="str">
        <f>"070024"</f>
        <v>070024</v>
      </c>
      <c r="N967" s="1" t="s">
        <v>52</v>
      </c>
      <c r="O967" s="1" t="s">
        <v>52</v>
      </c>
      <c r="P967" s="1" t="s">
        <v>55</v>
      </c>
      <c r="Q967" s="1">
        <v>25</v>
      </c>
      <c r="R967" s="1">
        <v>25</v>
      </c>
      <c r="S967" s="1">
        <v>0</v>
      </c>
      <c r="T967" s="1">
        <v>0</v>
      </c>
      <c r="U967" s="1">
        <v>0</v>
      </c>
      <c r="V967" s="1" t="str">
        <f t="shared" si="137"/>
        <v>里程返程</v>
      </c>
      <c r="W967" s="1" t="s">
        <v>29</v>
      </c>
    </row>
    <row r="968" spans="1:23" x14ac:dyDescent="0.3">
      <c r="A968" s="1" t="str">
        <f t="shared" si="138"/>
        <v>59809</v>
      </c>
      <c r="B968" s="1" t="s">
        <v>42</v>
      </c>
      <c r="C968" s="1" t="s">
        <v>43</v>
      </c>
      <c r="D968" s="1" t="str">
        <f t="shared" si="136"/>
        <v>9801</v>
      </c>
      <c r="E968" s="1" t="s">
        <v>25</v>
      </c>
      <c r="F968" s="1" t="str">
        <f>"623A1B0340880400C834002000000015"</f>
        <v>623A1B0340880400C834002000000015</v>
      </c>
      <c r="G968" s="1" t="s">
        <v>26</v>
      </c>
      <c r="H968" s="1" t="str">
        <f t="shared" si="139"/>
        <v>20220915</v>
      </c>
      <c r="I968" s="1" t="str">
        <f>"072105"</f>
        <v>072105</v>
      </c>
      <c r="J968" s="1" t="s">
        <v>28</v>
      </c>
      <c r="K968" s="1" t="s">
        <v>28</v>
      </c>
      <c r="L968" s="1" t="str">
        <f t="shared" si="140"/>
        <v>20220915</v>
      </c>
      <c r="M968" s="1" t="str">
        <f>"075046"</f>
        <v>075046</v>
      </c>
      <c r="N968" s="1" t="s">
        <v>60</v>
      </c>
      <c r="O968" s="1" t="s">
        <v>52</v>
      </c>
      <c r="P968" s="1" t="s">
        <v>68</v>
      </c>
      <c r="Q968" s="1">
        <v>13</v>
      </c>
      <c r="R968" s="1">
        <v>0</v>
      </c>
      <c r="S968" s="1">
        <v>0</v>
      </c>
      <c r="T968" s="1">
        <v>13</v>
      </c>
      <c r="U968" s="1">
        <v>0</v>
      </c>
      <c r="V968" s="1" t="str">
        <f t="shared" si="137"/>
        <v>里程返程</v>
      </c>
      <c r="W968" s="1" t="s">
        <v>29</v>
      </c>
    </row>
    <row r="969" spans="1:23" x14ac:dyDescent="0.3">
      <c r="A969" s="1" t="str">
        <f t="shared" si="138"/>
        <v>59809</v>
      </c>
      <c r="B969" s="1" t="s">
        <v>42</v>
      </c>
      <c r="C969" s="1" t="s">
        <v>43</v>
      </c>
      <c r="D969" s="1" t="str">
        <f t="shared" si="136"/>
        <v>9801</v>
      </c>
      <c r="E969" s="1" t="s">
        <v>25</v>
      </c>
      <c r="F969" s="1" t="str">
        <f>"D257BD023A880400C834002000000015"</f>
        <v>D257BD023A880400C834002000000015</v>
      </c>
      <c r="G969" s="1" t="s">
        <v>74</v>
      </c>
      <c r="H969" s="1" t="str">
        <f t="shared" si="139"/>
        <v>20220915</v>
      </c>
      <c r="I969" s="1" t="str">
        <f>"072111"</f>
        <v>072111</v>
      </c>
      <c r="J969" s="1" t="s">
        <v>28</v>
      </c>
      <c r="K969" s="1" t="s">
        <v>28</v>
      </c>
      <c r="L969" s="1" t="str">
        <f t="shared" si="140"/>
        <v>20220915</v>
      </c>
      <c r="M969" s="1" t="str">
        <f>"073155"</f>
        <v>073155</v>
      </c>
      <c r="N969" s="1" t="s">
        <v>67</v>
      </c>
      <c r="O969" s="1" t="s">
        <v>52</v>
      </c>
      <c r="P969" s="1" t="s">
        <v>68</v>
      </c>
      <c r="Q969" s="1">
        <v>13</v>
      </c>
      <c r="R969" s="1">
        <v>0</v>
      </c>
      <c r="S969" s="1">
        <v>0</v>
      </c>
      <c r="T969" s="1">
        <v>13</v>
      </c>
      <c r="U969" s="1">
        <v>0</v>
      </c>
      <c r="V969" s="1" t="str">
        <f t="shared" si="137"/>
        <v>里程返程</v>
      </c>
      <c r="W969" s="1" t="s">
        <v>29</v>
      </c>
    </row>
    <row r="970" spans="1:23" x14ac:dyDescent="0.3">
      <c r="A970" s="1" t="str">
        <f t="shared" si="138"/>
        <v>59809</v>
      </c>
      <c r="B970" s="1" t="s">
        <v>42</v>
      </c>
      <c r="C970" s="1" t="s">
        <v>43</v>
      </c>
      <c r="D970" s="1" t="str">
        <f t="shared" si="136"/>
        <v>9801</v>
      </c>
      <c r="E970" s="1" t="s">
        <v>25</v>
      </c>
      <c r="F970" s="1" t="str">
        <f>"82730F18E6880400C814002000000019"</f>
        <v>82730F18E6880400C814002000000019</v>
      </c>
      <c r="G970" s="1" t="s">
        <v>59</v>
      </c>
      <c r="H970" s="1" t="str">
        <f t="shared" si="139"/>
        <v>20220915</v>
      </c>
      <c r="I970" s="1" t="str">
        <f>"072114"</f>
        <v>072114</v>
      </c>
      <c r="J970" s="1" t="s">
        <v>28</v>
      </c>
      <c r="K970" s="1" t="s">
        <v>28</v>
      </c>
      <c r="L970" s="1" t="str">
        <f t="shared" si="140"/>
        <v>20220915</v>
      </c>
      <c r="M970" s="1" t="str">
        <f>"074450"</f>
        <v>074450</v>
      </c>
      <c r="N970" s="1" t="s">
        <v>72</v>
      </c>
      <c r="O970" s="1" t="s">
        <v>52</v>
      </c>
      <c r="P970" s="1" t="s">
        <v>55</v>
      </c>
      <c r="Q970" s="1">
        <v>25</v>
      </c>
      <c r="R970" s="1">
        <v>0</v>
      </c>
      <c r="S970" s="1">
        <v>25</v>
      </c>
      <c r="T970" s="1">
        <v>0</v>
      </c>
      <c r="U970" s="1">
        <v>0</v>
      </c>
      <c r="V970" s="1" t="str">
        <f t="shared" si="137"/>
        <v>里程返程</v>
      </c>
      <c r="W970" s="1" t="s">
        <v>29</v>
      </c>
    </row>
    <row r="971" spans="1:23" x14ac:dyDescent="0.3">
      <c r="A971" s="1" t="str">
        <f t="shared" si="138"/>
        <v>59809</v>
      </c>
      <c r="B971" s="1" t="s">
        <v>42</v>
      </c>
      <c r="C971" s="1" t="s">
        <v>43</v>
      </c>
      <c r="D971" s="1" t="str">
        <f t="shared" si="136"/>
        <v>9801</v>
      </c>
      <c r="E971" s="1" t="s">
        <v>25</v>
      </c>
      <c r="F971" s="1" t="str">
        <f>"62F00B1881880400C814002000000019"</f>
        <v>62F00B1881880400C814002000000019</v>
      </c>
      <c r="G971" s="1" t="s">
        <v>59</v>
      </c>
      <c r="H971" s="1" t="str">
        <f t="shared" si="139"/>
        <v>20220915</v>
      </c>
      <c r="I971" s="1" t="str">
        <f>"072116"</f>
        <v>072116</v>
      </c>
      <c r="J971" s="1" t="s">
        <v>28</v>
      </c>
      <c r="K971" s="1" t="s">
        <v>28</v>
      </c>
      <c r="L971" s="1" t="str">
        <f t="shared" si="140"/>
        <v>20220915</v>
      </c>
      <c r="M971" s="1" t="str">
        <f>"074453"</f>
        <v>074453</v>
      </c>
      <c r="N971" s="1" t="s">
        <v>72</v>
      </c>
      <c r="O971" s="1" t="s">
        <v>52</v>
      </c>
      <c r="P971" s="1" t="s">
        <v>55</v>
      </c>
      <c r="Q971" s="1">
        <v>25</v>
      </c>
      <c r="R971" s="1">
        <v>0</v>
      </c>
      <c r="S971" s="1">
        <v>25</v>
      </c>
      <c r="T971" s="1">
        <v>0</v>
      </c>
      <c r="U971" s="1">
        <v>0</v>
      </c>
      <c r="V971" s="1" t="str">
        <f t="shared" si="137"/>
        <v>里程返程</v>
      </c>
      <c r="W971" s="1" t="s">
        <v>29</v>
      </c>
    </row>
    <row r="972" spans="1:23" x14ac:dyDescent="0.3">
      <c r="A972" s="1" t="str">
        <f t="shared" si="138"/>
        <v>59809</v>
      </c>
      <c r="B972" s="1" t="s">
        <v>42</v>
      </c>
      <c r="C972" s="1" t="s">
        <v>43</v>
      </c>
      <c r="D972" s="1" t="str">
        <f t="shared" si="136"/>
        <v>9801</v>
      </c>
      <c r="E972" s="1" t="s">
        <v>25</v>
      </c>
      <c r="F972" s="1" t="str">
        <f>"1076975349"</f>
        <v>1076975349</v>
      </c>
      <c r="G972" s="1" t="s">
        <v>33</v>
      </c>
      <c r="H972" s="1" t="str">
        <f t="shared" si="139"/>
        <v>20220915</v>
      </c>
      <c r="I972" s="1" t="str">
        <f>"072124"</f>
        <v>072124</v>
      </c>
      <c r="J972" s="1" t="s">
        <v>28</v>
      </c>
      <c r="K972" s="1" t="s">
        <v>28</v>
      </c>
      <c r="L972" s="1" t="str">
        <f t="shared" si="140"/>
        <v>20220915</v>
      </c>
      <c r="M972" s="1" t="str">
        <f>"073454"</f>
        <v>073454</v>
      </c>
      <c r="N972" s="1" t="s">
        <v>69</v>
      </c>
      <c r="O972" s="1" t="s">
        <v>52</v>
      </c>
      <c r="P972" s="1" t="s">
        <v>55</v>
      </c>
      <c r="Q972" s="1">
        <v>25</v>
      </c>
      <c r="R972" s="1">
        <v>0</v>
      </c>
      <c r="S972" s="1">
        <v>25</v>
      </c>
      <c r="T972" s="1">
        <v>0</v>
      </c>
      <c r="U972" s="1">
        <v>0</v>
      </c>
      <c r="V972" s="1" t="str">
        <f t="shared" si="137"/>
        <v>里程返程</v>
      </c>
      <c r="W972" s="1" t="s">
        <v>35</v>
      </c>
    </row>
    <row r="973" spans="1:23" x14ac:dyDescent="0.3">
      <c r="A973" s="1" t="str">
        <f t="shared" si="138"/>
        <v>59809</v>
      </c>
      <c r="B973" s="1" t="s">
        <v>42</v>
      </c>
      <c r="C973" s="1" t="s">
        <v>43</v>
      </c>
      <c r="D973" s="1" t="str">
        <f t="shared" si="136"/>
        <v>9801</v>
      </c>
      <c r="E973" s="1" t="s">
        <v>25</v>
      </c>
      <c r="F973" s="1" t="str">
        <f>"821C1A0387880400C834002000000015"</f>
        <v>821C1A0387880400C834002000000015</v>
      </c>
      <c r="G973" s="1" t="s">
        <v>26</v>
      </c>
      <c r="H973" s="1" t="str">
        <f t="shared" si="139"/>
        <v>20220915</v>
      </c>
      <c r="I973" s="1" t="str">
        <f>"074038"</f>
        <v>074038</v>
      </c>
      <c r="J973" s="1" t="s">
        <v>80</v>
      </c>
      <c r="K973" s="1" t="s">
        <v>52</v>
      </c>
      <c r="L973" s="1" t="str">
        <f t="shared" si="140"/>
        <v>20220915</v>
      </c>
      <c r="M973" s="1" t="str">
        <f>"075054"</f>
        <v>075054</v>
      </c>
      <c r="N973" s="1" t="s">
        <v>60</v>
      </c>
      <c r="O973" s="1" t="s">
        <v>52</v>
      </c>
      <c r="P973" s="1" t="s">
        <v>68</v>
      </c>
      <c r="Q973" s="1">
        <v>13</v>
      </c>
      <c r="R973" s="1">
        <v>0</v>
      </c>
      <c r="S973" s="1">
        <v>0</v>
      </c>
      <c r="T973" s="1">
        <v>13</v>
      </c>
      <c r="U973" s="1">
        <v>0</v>
      </c>
      <c r="V973" s="1" t="str">
        <f t="shared" si="137"/>
        <v>里程返程</v>
      </c>
      <c r="W973" s="1" t="s">
        <v>29</v>
      </c>
    </row>
    <row r="974" spans="1:23" x14ac:dyDescent="0.3">
      <c r="A974" s="1" t="str">
        <f t="shared" si="138"/>
        <v>59809</v>
      </c>
      <c r="B974" s="1" t="s">
        <v>42</v>
      </c>
      <c r="C974" s="1" t="s">
        <v>43</v>
      </c>
      <c r="D974" s="1" t="str">
        <f t="shared" si="136"/>
        <v>9801</v>
      </c>
      <c r="E974" s="1" t="s">
        <v>25</v>
      </c>
      <c r="F974" s="1" t="str">
        <f>"1759959808"</f>
        <v>1759959808</v>
      </c>
      <c r="G974" s="1" t="s">
        <v>33</v>
      </c>
      <c r="H974" s="1" t="str">
        <f t="shared" si="139"/>
        <v>20220915</v>
      </c>
      <c r="I974" s="1" t="str">
        <f>"074042"</f>
        <v>074042</v>
      </c>
      <c r="J974" s="1" t="s">
        <v>80</v>
      </c>
      <c r="K974" s="1" t="s">
        <v>52</v>
      </c>
      <c r="L974" s="1" t="str">
        <f t="shared" si="140"/>
        <v>20220915</v>
      </c>
      <c r="M974" s="1" t="str">
        <f>"075057"</f>
        <v>075057</v>
      </c>
      <c r="N974" s="1" t="s">
        <v>60</v>
      </c>
      <c r="O974" s="1" t="s">
        <v>52</v>
      </c>
      <c r="P974" s="1" t="s">
        <v>55</v>
      </c>
      <c r="Q974" s="1">
        <v>25</v>
      </c>
      <c r="R974" s="1">
        <v>25</v>
      </c>
      <c r="S974" s="1">
        <v>0</v>
      </c>
      <c r="T974" s="1">
        <v>0</v>
      </c>
      <c r="U974" s="1">
        <v>0</v>
      </c>
      <c r="V974" s="1" t="str">
        <f t="shared" si="137"/>
        <v>里程返程</v>
      </c>
      <c r="W974" s="1" t="s">
        <v>35</v>
      </c>
    </row>
    <row r="975" spans="1:23" x14ac:dyDescent="0.3">
      <c r="A975" s="1" t="str">
        <f t="shared" si="138"/>
        <v>59809</v>
      </c>
      <c r="B975" s="1" t="s">
        <v>42</v>
      </c>
      <c r="C975" s="1" t="s">
        <v>43</v>
      </c>
      <c r="D975" s="1" t="str">
        <f t="shared" si="136"/>
        <v>9801</v>
      </c>
      <c r="E975" s="1" t="s">
        <v>25</v>
      </c>
      <c r="F975" s="1" t="str">
        <f>"82D5FB02AE880400C834002000000015"</f>
        <v>82D5FB02AE880400C834002000000015</v>
      </c>
      <c r="G975" s="1" t="s">
        <v>26</v>
      </c>
      <c r="H975" s="1" t="str">
        <f t="shared" si="139"/>
        <v>20220915</v>
      </c>
      <c r="I975" s="1" t="str">
        <f>"074832"</f>
        <v>074832</v>
      </c>
      <c r="J975" s="1" t="s">
        <v>51</v>
      </c>
      <c r="K975" s="1" t="s">
        <v>52</v>
      </c>
      <c r="L975" s="1" t="str">
        <f t="shared" si="140"/>
        <v>20220915</v>
      </c>
      <c r="M975" s="1" t="str">
        <f>"075255"</f>
        <v>075255</v>
      </c>
      <c r="N975" s="1" t="s">
        <v>86</v>
      </c>
      <c r="O975" s="1" t="s">
        <v>52</v>
      </c>
      <c r="P975" s="1" t="s">
        <v>68</v>
      </c>
      <c r="Q975" s="1">
        <v>13</v>
      </c>
      <c r="R975" s="1">
        <v>0</v>
      </c>
      <c r="S975" s="1">
        <v>0</v>
      </c>
      <c r="T975" s="1">
        <v>13</v>
      </c>
      <c r="U975" s="1">
        <v>0</v>
      </c>
      <c r="V975" s="1" t="str">
        <f t="shared" si="137"/>
        <v>里程返程</v>
      </c>
      <c r="W975" s="1" t="s">
        <v>29</v>
      </c>
    </row>
    <row r="976" spans="1:23" x14ac:dyDescent="0.3">
      <c r="A976" s="1" t="str">
        <f t="shared" si="138"/>
        <v>59809</v>
      </c>
      <c r="B976" s="1" t="s">
        <v>42</v>
      </c>
      <c r="C976" s="1" t="s">
        <v>43</v>
      </c>
      <c r="D976" s="1" t="str">
        <f t="shared" si="136"/>
        <v>9801</v>
      </c>
      <c r="E976" s="1" t="s">
        <v>25</v>
      </c>
      <c r="F976" s="1" t="str">
        <f>"1734483201"</f>
        <v>1734483201</v>
      </c>
      <c r="G976" s="1" t="s">
        <v>26</v>
      </c>
      <c r="H976" s="1" t="str">
        <f t="shared" si="139"/>
        <v>20220915</v>
      </c>
      <c r="I976" s="1" t="str">
        <f>"123826"</f>
        <v>123826</v>
      </c>
      <c r="J976" s="1" t="s">
        <v>56</v>
      </c>
      <c r="K976" s="1" t="s">
        <v>45</v>
      </c>
      <c r="L976" s="1" t="str">
        <f t="shared" si="140"/>
        <v>20220915</v>
      </c>
      <c r="M976" s="1" t="str">
        <f>"124953"</f>
        <v>124953</v>
      </c>
      <c r="N976" s="1" t="s">
        <v>28</v>
      </c>
      <c r="O976" s="1" t="s">
        <v>28</v>
      </c>
      <c r="P976" s="1" t="s">
        <v>55</v>
      </c>
      <c r="Q976" s="1">
        <v>13</v>
      </c>
      <c r="R976" s="1">
        <v>0</v>
      </c>
      <c r="S976" s="1">
        <v>13</v>
      </c>
      <c r="T976" s="1">
        <v>0</v>
      </c>
      <c r="U976" s="1">
        <v>0</v>
      </c>
      <c r="V976" s="1" t="str">
        <f t="shared" si="137"/>
        <v>里程返程</v>
      </c>
      <c r="W976" s="1" t="s">
        <v>35</v>
      </c>
    </row>
    <row r="977" spans="1:23" x14ac:dyDescent="0.3">
      <c r="A977" s="1" t="str">
        <f t="shared" si="138"/>
        <v>59809</v>
      </c>
      <c r="B977" s="1" t="s">
        <v>42</v>
      </c>
      <c r="C977" s="1" t="s">
        <v>43</v>
      </c>
      <c r="D977" s="1" t="str">
        <f t="shared" si="136"/>
        <v>9801</v>
      </c>
      <c r="E977" s="1" t="s">
        <v>25</v>
      </c>
      <c r="F977" s="1" t="str">
        <f>"1248239201"</f>
        <v>1248239201</v>
      </c>
      <c r="G977" s="1" t="s">
        <v>33</v>
      </c>
      <c r="H977" s="1" t="str">
        <f t="shared" si="139"/>
        <v>20220915</v>
      </c>
      <c r="I977" s="1" t="str">
        <f>"125010"</f>
        <v>125010</v>
      </c>
      <c r="J977" s="1" t="s">
        <v>28</v>
      </c>
      <c r="K977" s="1" t="s">
        <v>28</v>
      </c>
      <c r="L977" s="1" t="str">
        <f t="shared" si="140"/>
        <v>20220915</v>
      </c>
      <c r="M977" s="1" t="str">
        <f>"132100"</f>
        <v>132100</v>
      </c>
      <c r="N977" s="1" t="s">
        <v>52</v>
      </c>
      <c r="O977" s="1" t="s">
        <v>52</v>
      </c>
      <c r="P977" s="1" t="s">
        <v>55</v>
      </c>
      <c r="Q977" s="1">
        <v>25</v>
      </c>
      <c r="R977" s="1">
        <v>25</v>
      </c>
      <c r="S977" s="1">
        <v>0</v>
      </c>
      <c r="T977" s="1">
        <v>0</v>
      </c>
      <c r="U977" s="1">
        <v>0</v>
      </c>
      <c r="V977" s="1" t="str">
        <f t="shared" si="137"/>
        <v>里程返程</v>
      </c>
      <c r="W977" s="1" t="s">
        <v>35</v>
      </c>
    </row>
    <row r="978" spans="1:23" x14ac:dyDescent="0.3">
      <c r="A978" s="1" t="str">
        <f t="shared" si="138"/>
        <v>59809</v>
      </c>
      <c r="B978" s="1" t="s">
        <v>42</v>
      </c>
      <c r="C978" s="1" t="s">
        <v>43</v>
      </c>
      <c r="D978" s="1" t="str">
        <f t="shared" si="136"/>
        <v>9801</v>
      </c>
      <c r="E978" s="1" t="s">
        <v>25</v>
      </c>
      <c r="F978" s="1" t="str">
        <f>"1167112705"</f>
        <v>1167112705</v>
      </c>
      <c r="G978" s="1" t="s">
        <v>33</v>
      </c>
      <c r="H978" s="1" t="str">
        <f t="shared" si="139"/>
        <v>20220915</v>
      </c>
      <c r="I978" s="1" t="str">
        <f>"125011"</f>
        <v>125011</v>
      </c>
      <c r="J978" s="1" t="s">
        <v>28</v>
      </c>
      <c r="K978" s="1" t="s">
        <v>28</v>
      </c>
      <c r="L978" s="1" t="str">
        <f t="shared" si="140"/>
        <v>20220915</v>
      </c>
      <c r="M978" s="1" t="str">
        <f>"132059"</f>
        <v>132059</v>
      </c>
      <c r="N978" s="1" t="s">
        <v>52</v>
      </c>
      <c r="O978" s="1" t="s">
        <v>52</v>
      </c>
      <c r="P978" s="1" t="s">
        <v>55</v>
      </c>
      <c r="Q978" s="1">
        <v>25</v>
      </c>
      <c r="R978" s="1">
        <v>25</v>
      </c>
      <c r="S978" s="1">
        <v>0</v>
      </c>
      <c r="T978" s="1">
        <v>0</v>
      </c>
      <c r="U978" s="1">
        <v>0</v>
      </c>
      <c r="V978" s="1" t="str">
        <f t="shared" si="137"/>
        <v>里程返程</v>
      </c>
      <c r="W978" s="1" t="s">
        <v>35</v>
      </c>
    </row>
    <row r="979" spans="1:23" x14ac:dyDescent="0.3">
      <c r="A979" s="1" t="str">
        <f t="shared" si="138"/>
        <v>59809</v>
      </c>
      <c r="B979" s="1" t="s">
        <v>42</v>
      </c>
      <c r="C979" s="1" t="s">
        <v>43</v>
      </c>
      <c r="D979" s="1" t="str">
        <f t="shared" si="136"/>
        <v>9801</v>
      </c>
      <c r="E979" s="1" t="s">
        <v>25</v>
      </c>
      <c r="F979" s="1" t="str">
        <f>"42214D1B35880400C822002000000021"</f>
        <v>42214D1B35880400C822002000000021</v>
      </c>
      <c r="G979" s="1" t="s">
        <v>64</v>
      </c>
      <c r="H979" s="1" t="str">
        <f t="shared" si="139"/>
        <v>20220915</v>
      </c>
      <c r="I979" s="1" t="str">
        <f>"125017"</f>
        <v>125017</v>
      </c>
      <c r="J979" s="1" t="s">
        <v>28</v>
      </c>
      <c r="K979" s="1" t="s">
        <v>28</v>
      </c>
      <c r="L979" s="1" t="str">
        <f t="shared" si="140"/>
        <v>20220915</v>
      </c>
      <c r="M979" s="1" t="str">
        <f>"132106"</f>
        <v>132106</v>
      </c>
      <c r="N979" s="1" t="s">
        <v>52</v>
      </c>
      <c r="O979" s="1" t="s">
        <v>52</v>
      </c>
      <c r="P979" s="1" t="s">
        <v>55</v>
      </c>
      <c r="Q979" s="1">
        <v>13</v>
      </c>
      <c r="R979" s="1">
        <v>13</v>
      </c>
      <c r="S979" s="1">
        <v>0</v>
      </c>
      <c r="T979" s="1">
        <v>0</v>
      </c>
      <c r="U979" s="1">
        <v>0</v>
      </c>
      <c r="V979" s="1" t="str">
        <f t="shared" si="137"/>
        <v>里程返程</v>
      </c>
      <c r="W979" s="1" t="s">
        <v>29</v>
      </c>
    </row>
    <row r="980" spans="1:23" x14ac:dyDescent="0.3">
      <c r="A980" s="1" t="str">
        <f t="shared" si="138"/>
        <v>59809</v>
      </c>
      <c r="B980" s="1" t="s">
        <v>42</v>
      </c>
      <c r="C980" s="1" t="s">
        <v>43</v>
      </c>
      <c r="D980" s="1" t="str">
        <f t="shared" si="136"/>
        <v>9801</v>
      </c>
      <c r="E980" s="1" t="s">
        <v>25</v>
      </c>
      <c r="F980" s="1" t="str">
        <f>"E220D10211880400C834002000000015"</f>
        <v>E220D10211880400C834002000000015</v>
      </c>
      <c r="G980" s="1" t="s">
        <v>74</v>
      </c>
      <c r="H980" s="1" t="str">
        <f t="shared" si="139"/>
        <v>20220915</v>
      </c>
      <c r="I980" s="1" t="str">
        <f>"130938"</f>
        <v>130938</v>
      </c>
      <c r="J980" s="1" t="s">
        <v>97</v>
      </c>
      <c r="K980" s="1" t="s">
        <v>52</v>
      </c>
      <c r="L980" s="1" t="str">
        <f t="shared" si="140"/>
        <v>20220915</v>
      </c>
      <c r="M980" s="1" t="str">
        <f>"131111"</f>
        <v>131111</v>
      </c>
      <c r="N980" s="1" t="s">
        <v>65</v>
      </c>
      <c r="O980" s="1" t="s">
        <v>52</v>
      </c>
      <c r="P980" s="1" t="s">
        <v>68</v>
      </c>
      <c r="Q980" s="1">
        <v>13</v>
      </c>
      <c r="R980" s="1">
        <v>0</v>
      </c>
      <c r="S980" s="1">
        <v>0</v>
      </c>
      <c r="T980" s="1">
        <v>13</v>
      </c>
      <c r="U980" s="1">
        <v>0</v>
      </c>
      <c r="V980" s="1" t="str">
        <f t="shared" si="137"/>
        <v>里程返程</v>
      </c>
      <c r="W980" s="1" t="s">
        <v>29</v>
      </c>
    </row>
    <row r="981" spans="1:23" x14ac:dyDescent="0.3">
      <c r="A981" s="1" t="str">
        <f t="shared" si="138"/>
        <v>59809</v>
      </c>
      <c r="B981" s="1" t="s">
        <v>42</v>
      </c>
      <c r="C981" s="1" t="s">
        <v>43</v>
      </c>
      <c r="D981" s="1" t="str">
        <f t="shared" si="136"/>
        <v>9801</v>
      </c>
      <c r="E981" s="1" t="s">
        <v>25</v>
      </c>
      <c r="F981" s="1" t="str">
        <f>"554627147"</f>
        <v>554627147</v>
      </c>
      <c r="G981" s="1" t="s">
        <v>33</v>
      </c>
      <c r="H981" s="1" t="str">
        <f t="shared" si="139"/>
        <v>20220915</v>
      </c>
      <c r="I981" s="1" t="str">
        <f>"143646"</f>
        <v>143646</v>
      </c>
      <c r="J981" s="1" t="s">
        <v>91</v>
      </c>
      <c r="K981" s="1" t="s">
        <v>45</v>
      </c>
      <c r="L981" s="1" t="str">
        <f t="shared" si="140"/>
        <v>20220915</v>
      </c>
      <c r="M981" s="1" t="str">
        <f>"145114"</f>
        <v>145114</v>
      </c>
      <c r="N981" s="1" t="s">
        <v>28</v>
      </c>
      <c r="O981" s="1" t="s">
        <v>28</v>
      </c>
      <c r="P981" s="1" t="s">
        <v>55</v>
      </c>
      <c r="Q981" s="1">
        <v>25</v>
      </c>
      <c r="R981" s="1">
        <v>25</v>
      </c>
      <c r="S981" s="1">
        <v>0</v>
      </c>
      <c r="T981" s="1">
        <v>0</v>
      </c>
      <c r="U981" s="1">
        <v>0</v>
      </c>
      <c r="V981" s="1" t="str">
        <f t="shared" si="137"/>
        <v>里程返程</v>
      </c>
      <c r="W981" s="1" t="s">
        <v>35</v>
      </c>
    </row>
    <row r="982" spans="1:23" x14ac:dyDescent="0.3">
      <c r="A982" s="1" t="str">
        <f t="shared" si="138"/>
        <v>59809</v>
      </c>
      <c r="B982" s="1" t="s">
        <v>42</v>
      </c>
      <c r="C982" s="1" t="s">
        <v>43</v>
      </c>
      <c r="D982" s="1" t="str">
        <f t="shared" si="136"/>
        <v>9801</v>
      </c>
      <c r="E982" s="1" t="s">
        <v>25</v>
      </c>
      <c r="F982" s="1" t="str">
        <f>"3583387812"</f>
        <v>3583387812</v>
      </c>
      <c r="G982" s="1" t="s">
        <v>33</v>
      </c>
      <c r="H982" s="1" t="str">
        <f t="shared" si="139"/>
        <v>20220915</v>
      </c>
      <c r="I982" s="1" t="str">
        <f>"143648"</f>
        <v>143648</v>
      </c>
      <c r="J982" s="1" t="s">
        <v>91</v>
      </c>
      <c r="K982" s="1" t="s">
        <v>45</v>
      </c>
      <c r="L982" s="1" t="str">
        <f t="shared" si="140"/>
        <v>20220915</v>
      </c>
      <c r="M982" s="1" t="str">
        <f>"145111"</f>
        <v>145111</v>
      </c>
      <c r="N982" s="1" t="s">
        <v>28</v>
      </c>
      <c r="O982" s="1" t="s">
        <v>28</v>
      </c>
      <c r="P982" s="1" t="s">
        <v>55</v>
      </c>
      <c r="Q982" s="1">
        <v>25</v>
      </c>
      <c r="R982" s="1">
        <v>25</v>
      </c>
      <c r="S982" s="1">
        <v>0</v>
      </c>
      <c r="T982" s="1">
        <v>0</v>
      </c>
      <c r="U982" s="1">
        <v>0</v>
      </c>
      <c r="V982" s="1" t="str">
        <f t="shared" si="137"/>
        <v>里程返程</v>
      </c>
      <c r="W982" s="1" t="s">
        <v>35</v>
      </c>
    </row>
    <row r="983" spans="1:23" x14ac:dyDescent="0.3">
      <c r="A983" s="1" t="str">
        <f t="shared" si="138"/>
        <v>59809</v>
      </c>
      <c r="B983" s="1" t="s">
        <v>42</v>
      </c>
      <c r="C983" s="1" t="s">
        <v>43</v>
      </c>
      <c r="D983" s="1" t="str">
        <f t="shared" si="136"/>
        <v>9801</v>
      </c>
      <c r="E983" s="1" t="s">
        <v>25</v>
      </c>
      <c r="F983" s="1" t="str">
        <f>"A239F5056B880400C838002000000015"</f>
        <v>A239F5056B880400C838002000000015</v>
      </c>
      <c r="G983" s="1" t="s">
        <v>26</v>
      </c>
      <c r="H983" s="1" t="str">
        <f t="shared" si="139"/>
        <v>20220915</v>
      </c>
      <c r="I983" s="1" t="str">
        <f>"150159"</f>
        <v>150159</v>
      </c>
      <c r="J983" s="1" t="s">
        <v>67</v>
      </c>
      <c r="K983" s="1" t="s">
        <v>52</v>
      </c>
      <c r="L983" s="1" t="str">
        <f t="shared" si="140"/>
        <v>20220915</v>
      </c>
      <c r="M983" s="1" t="str">
        <f>"151248"</f>
        <v>151248</v>
      </c>
      <c r="N983" s="1" t="s">
        <v>72</v>
      </c>
      <c r="O983" s="1" t="s">
        <v>52</v>
      </c>
      <c r="P983" s="1" t="s">
        <v>68</v>
      </c>
      <c r="Q983" s="1">
        <v>13</v>
      </c>
      <c r="R983" s="1">
        <v>0</v>
      </c>
      <c r="S983" s="1">
        <v>0</v>
      </c>
      <c r="T983" s="1">
        <v>13</v>
      </c>
      <c r="U983" s="1">
        <v>0</v>
      </c>
      <c r="V983" s="1" t="str">
        <f t="shared" si="137"/>
        <v>里程返程</v>
      </c>
      <c r="W983" s="1" t="s">
        <v>29</v>
      </c>
    </row>
    <row r="984" spans="1:23" x14ac:dyDescent="0.3">
      <c r="A984" s="1" t="str">
        <f t="shared" si="138"/>
        <v>59809</v>
      </c>
      <c r="B984" s="1" t="s">
        <v>42</v>
      </c>
      <c r="C984" s="1" t="s">
        <v>43</v>
      </c>
      <c r="D984" s="1" t="str">
        <f t="shared" si="136"/>
        <v>9801</v>
      </c>
      <c r="E984" s="1" t="s">
        <v>25</v>
      </c>
      <c r="F984" s="1" t="str">
        <f>"821C1A0387880400C834002000000015"</f>
        <v>821C1A0387880400C834002000000015</v>
      </c>
      <c r="G984" s="1" t="s">
        <v>26</v>
      </c>
      <c r="H984" s="1" t="str">
        <f t="shared" si="139"/>
        <v>20220915</v>
      </c>
      <c r="I984" s="1" t="str">
        <f>"154946"</f>
        <v>154946</v>
      </c>
      <c r="J984" s="1" t="s">
        <v>28</v>
      </c>
      <c r="K984" s="1" t="s">
        <v>28</v>
      </c>
      <c r="L984" s="1" t="str">
        <f t="shared" si="140"/>
        <v>20220915</v>
      </c>
      <c r="M984" s="1" t="str">
        <f>"161313"</f>
        <v>161313</v>
      </c>
      <c r="N984" s="1" t="s">
        <v>80</v>
      </c>
      <c r="O984" s="1" t="s">
        <v>52</v>
      </c>
      <c r="P984" s="1" t="s">
        <v>68</v>
      </c>
      <c r="Q984" s="1">
        <v>13</v>
      </c>
      <c r="R984" s="1">
        <v>0</v>
      </c>
      <c r="S984" s="1">
        <v>0</v>
      </c>
      <c r="T984" s="1">
        <v>13</v>
      </c>
      <c r="U984" s="1">
        <v>0</v>
      </c>
      <c r="V984" s="1" t="str">
        <f t="shared" si="137"/>
        <v>里程返程</v>
      </c>
      <c r="W984" s="1" t="s">
        <v>29</v>
      </c>
    </row>
    <row r="985" spans="1:23" x14ac:dyDescent="0.3">
      <c r="A985" s="1" t="str">
        <f t="shared" si="138"/>
        <v>59809</v>
      </c>
      <c r="B985" s="1" t="s">
        <v>42</v>
      </c>
      <c r="C985" s="1" t="s">
        <v>43</v>
      </c>
      <c r="D985" s="1" t="str">
        <f t="shared" si="136"/>
        <v>9801</v>
      </c>
      <c r="E985" s="1" t="s">
        <v>25</v>
      </c>
      <c r="F985" s="1" t="str">
        <f>"D2E945027C880400C821002000000015"</f>
        <v>D2E945027C880400C821002000000015</v>
      </c>
      <c r="G985" s="1" t="s">
        <v>26</v>
      </c>
      <c r="H985" s="1" t="str">
        <f t="shared" si="139"/>
        <v>20220915</v>
      </c>
      <c r="I985" s="1" t="str">
        <f>"162220"</f>
        <v>162220</v>
      </c>
      <c r="J985" s="1" t="s">
        <v>60</v>
      </c>
      <c r="K985" s="1" t="s">
        <v>52</v>
      </c>
      <c r="L985" s="1" t="str">
        <f t="shared" si="140"/>
        <v>20220915</v>
      </c>
      <c r="M985" s="1" t="str">
        <f>"162700"</f>
        <v>162700</v>
      </c>
      <c r="N985" s="1" t="s">
        <v>52</v>
      </c>
      <c r="O985" s="1" t="s">
        <v>52</v>
      </c>
      <c r="P985" s="1" t="s">
        <v>68</v>
      </c>
      <c r="Q985" s="1">
        <v>13</v>
      </c>
      <c r="R985" s="1">
        <v>0</v>
      </c>
      <c r="S985" s="1">
        <v>0</v>
      </c>
      <c r="T985" s="1">
        <v>13</v>
      </c>
      <c r="U985" s="1">
        <v>0</v>
      </c>
      <c r="V985" s="1" t="str">
        <f t="shared" si="137"/>
        <v>里程返程</v>
      </c>
      <c r="W985" s="1" t="s">
        <v>29</v>
      </c>
    </row>
    <row r="986" spans="1:23" x14ac:dyDescent="0.3">
      <c r="A986" s="1" t="str">
        <f t="shared" si="138"/>
        <v>59809</v>
      </c>
      <c r="B986" s="1" t="s">
        <v>42</v>
      </c>
      <c r="C986" s="1" t="s">
        <v>43</v>
      </c>
      <c r="D986" s="1" t="str">
        <f t="shared" si="136"/>
        <v>9801</v>
      </c>
      <c r="E986" s="1" t="s">
        <v>25</v>
      </c>
      <c r="F986" s="1" t="str">
        <f>"1570275105"</f>
        <v>1570275105</v>
      </c>
      <c r="G986" s="1" t="s">
        <v>33</v>
      </c>
      <c r="H986" s="1" t="str">
        <f t="shared" si="139"/>
        <v>20220915</v>
      </c>
      <c r="I986" s="1" t="str">
        <f>"162727"</f>
        <v>162727</v>
      </c>
      <c r="J986" s="1" t="s">
        <v>44</v>
      </c>
      <c r="K986" s="1" t="s">
        <v>45</v>
      </c>
      <c r="L986" s="1" t="str">
        <f t="shared" si="140"/>
        <v>20220915</v>
      </c>
      <c r="M986" s="1" t="str">
        <f>"165034"</f>
        <v>165034</v>
      </c>
      <c r="N986" s="1" t="s">
        <v>28</v>
      </c>
      <c r="O986" s="1" t="s">
        <v>28</v>
      </c>
      <c r="P986" s="1" t="s">
        <v>55</v>
      </c>
      <c r="Q986" s="1">
        <v>25</v>
      </c>
      <c r="R986" s="1">
        <v>25</v>
      </c>
      <c r="S986" s="1">
        <v>0</v>
      </c>
      <c r="T986" s="1">
        <v>0</v>
      </c>
      <c r="U986" s="1">
        <v>0</v>
      </c>
      <c r="V986" s="1" t="str">
        <f t="shared" si="137"/>
        <v>里程返程</v>
      </c>
      <c r="W986" s="1" t="s">
        <v>35</v>
      </c>
    </row>
    <row r="987" spans="1:23" x14ac:dyDescent="0.3">
      <c r="A987" s="1" t="str">
        <f t="shared" ref="A987:A1010" si="141">"59822"</f>
        <v>59822</v>
      </c>
      <c r="B987" s="1" t="s">
        <v>39</v>
      </c>
      <c r="C987" s="1" t="s">
        <v>40</v>
      </c>
      <c r="D987" s="1" t="str">
        <f t="shared" si="136"/>
        <v>9801</v>
      </c>
      <c r="E987" s="1" t="s">
        <v>25</v>
      </c>
      <c r="F987" s="1" t="str">
        <f>"422AE7028D880400C834002000000015"</f>
        <v>422AE7028D880400C834002000000015</v>
      </c>
      <c r="G987" s="1" t="s">
        <v>74</v>
      </c>
      <c r="H987" s="1" t="str">
        <f t="shared" si="139"/>
        <v>20220915</v>
      </c>
      <c r="I987" s="1" t="str">
        <f>"172741"</f>
        <v>172741</v>
      </c>
      <c r="J987" s="1" t="s">
        <v>44</v>
      </c>
      <c r="K987" s="1" t="s">
        <v>45</v>
      </c>
      <c r="L987" s="1" t="str">
        <f t="shared" si="140"/>
        <v>20220915</v>
      </c>
      <c r="M987" s="1" t="str">
        <f>"175352"</f>
        <v>175352</v>
      </c>
      <c r="N987" s="1" t="s">
        <v>28</v>
      </c>
      <c r="O987" s="1" t="s">
        <v>28</v>
      </c>
      <c r="P987" s="1" t="s">
        <v>68</v>
      </c>
      <c r="Q987" s="1">
        <v>13</v>
      </c>
      <c r="R987" s="1">
        <v>0</v>
      </c>
      <c r="S987" s="1">
        <v>0</v>
      </c>
      <c r="T987" s="1">
        <v>13</v>
      </c>
      <c r="U987" s="1">
        <v>0</v>
      </c>
      <c r="V987" s="1" t="str">
        <f t="shared" si="137"/>
        <v>里程返程</v>
      </c>
      <c r="W987" s="1" t="s">
        <v>29</v>
      </c>
    </row>
    <row r="988" spans="1:23" x14ac:dyDescent="0.3">
      <c r="A988" s="1" t="str">
        <f t="shared" si="141"/>
        <v>59822</v>
      </c>
      <c r="B988" s="1" t="s">
        <v>39</v>
      </c>
      <c r="C988" s="1" t="s">
        <v>40</v>
      </c>
      <c r="D988" s="1" t="str">
        <f t="shared" si="136"/>
        <v>9801</v>
      </c>
      <c r="E988" s="1" t="s">
        <v>25</v>
      </c>
      <c r="F988" s="1" t="str">
        <f>"994970433"</f>
        <v>994970433</v>
      </c>
      <c r="G988" s="1" t="s">
        <v>33</v>
      </c>
      <c r="H988" s="1" t="str">
        <f t="shared" si="139"/>
        <v>20220915</v>
      </c>
      <c r="I988" s="1" t="str">
        <f>"173402"</f>
        <v>173402</v>
      </c>
      <c r="J988" s="1" t="s">
        <v>100</v>
      </c>
      <c r="K988" s="1" t="s">
        <v>45</v>
      </c>
      <c r="L988" s="1" t="str">
        <f t="shared" si="140"/>
        <v>20220915</v>
      </c>
      <c r="M988" s="1" t="str">
        <f>"175348"</f>
        <v>175348</v>
      </c>
      <c r="N988" s="1" t="s">
        <v>28</v>
      </c>
      <c r="O988" s="1" t="s">
        <v>28</v>
      </c>
      <c r="P988" s="1" t="s">
        <v>55</v>
      </c>
      <c r="Q988" s="1">
        <v>25</v>
      </c>
      <c r="R988" s="1">
        <v>25</v>
      </c>
      <c r="S988" s="1">
        <v>0</v>
      </c>
      <c r="T988" s="1">
        <v>0</v>
      </c>
      <c r="U988" s="1">
        <v>0</v>
      </c>
      <c r="V988" s="1" t="str">
        <f t="shared" si="137"/>
        <v>里程返程</v>
      </c>
      <c r="W988" s="1" t="s">
        <v>35</v>
      </c>
    </row>
    <row r="989" spans="1:23" x14ac:dyDescent="0.3">
      <c r="A989" s="1" t="str">
        <f t="shared" si="141"/>
        <v>59822</v>
      </c>
      <c r="B989" s="1" t="s">
        <v>39</v>
      </c>
      <c r="C989" s="1" t="s">
        <v>40</v>
      </c>
      <c r="D989" s="1" t="str">
        <f t="shared" si="136"/>
        <v>9801</v>
      </c>
      <c r="E989" s="1" t="s">
        <v>25</v>
      </c>
      <c r="F989" s="1" t="str">
        <f>"C224481BB5880400C822002000000021"</f>
        <v>C224481BB5880400C822002000000021</v>
      </c>
      <c r="G989" s="1" t="s">
        <v>64</v>
      </c>
      <c r="H989" s="1" t="str">
        <f t="shared" si="139"/>
        <v>20220915</v>
      </c>
      <c r="I989" s="1" t="str">
        <f>"175407"</f>
        <v>175407</v>
      </c>
      <c r="J989" s="1" t="s">
        <v>28</v>
      </c>
      <c r="K989" s="1" t="s">
        <v>28</v>
      </c>
      <c r="L989" s="1" t="str">
        <f t="shared" si="140"/>
        <v>20220915</v>
      </c>
      <c r="M989" s="1" t="str">
        <f>"182624"</f>
        <v>182624</v>
      </c>
      <c r="N989" s="1" t="s">
        <v>52</v>
      </c>
      <c r="O989" s="1" t="s">
        <v>52</v>
      </c>
      <c r="P989" s="1" t="s">
        <v>55</v>
      </c>
      <c r="Q989" s="1">
        <v>13</v>
      </c>
      <c r="R989" s="1">
        <v>0</v>
      </c>
      <c r="S989" s="1">
        <v>13</v>
      </c>
      <c r="T989" s="1">
        <v>0</v>
      </c>
      <c r="U989" s="1">
        <v>0</v>
      </c>
      <c r="V989" s="1" t="str">
        <f t="shared" si="137"/>
        <v>里程返程</v>
      </c>
      <c r="W989" s="1" t="s">
        <v>29</v>
      </c>
    </row>
    <row r="990" spans="1:23" x14ac:dyDescent="0.3">
      <c r="A990" s="1" t="str">
        <f t="shared" si="141"/>
        <v>59822</v>
      </c>
      <c r="B990" s="1" t="s">
        <v>39</v>
      </c>
      <c r="C990" s="1" t="s">
        <v>40</v>
      </c>
      <c r="D990" s="1" t="str">
        <f t="shared" si="136"/>
        <v>9801</v>
      </c>
      <c r="E990" s="1" t="s">
        <v>25</v>
      </c>
      <c r="F990" s="1" t="str">
        <f>"1434711025"</f>
        <v>1434711025</v>
      </c>
      <c r="G990" s="1" t="s">
        <v>33</v>
      </c>
      <c r="H990" s="1" t="str">
        <f t="shared" si="139"/>
        <v>20220915</v>
      </c>
      <c r="I990" s="1" t="str">
        <f>"175651"</f>
        <v>175651</v>
      </c>
      <c r="J990" s="1" t="s">
        <v>41</v>
      </c>
      <c r="K990" s="1" t="s">
        <v>28</v>
      </c>
      <c r="L990" s="1" t="str">
        <f t="shared" si="140"/>
        <v>20220915</v>
      </c>
      <c r="M990" s="1" t="str">
        <f>"181726"</f>
        <v>181726</v>
      </c>
      <c r="N990" s="1" t="s">
        <v>72</v>
      </c>
      <c r="O990" s="1" t="s">
        <v>52</v>
      </c>
      <c r="P990" s="1" t="s">
        <v>55</v>
      </c>
      <c r="Q990" s="1">
        <v>25</v>
      </c>
      <c r="R990" s="1">
        <v>0</v>
      </c>
      <c r="S990" s="1">
        <v>25</v>
      </c>
      <c r="T990" s="1">
        <v>0</v>
      </c>
      <c r="U990" s="1">
        <v>0</v>
      </c>
      <c r="V990" s="1" t="str">
        <f t="shared" si="137"/>
        <v>里程返程</v>
      </c>
      <c r="W990" s="1" t="s">
        <v>35</v>
      </c>
    </row>
    <row r="991" spans="1:23" x14ac:dyDescent="0.3">
      <c r="A991" s="1" t="str">
        <f t="shared" si="141"/>
        <v>59822</v>
      </c>
      <c r="B991" s="1" t="s">
        <v>39</v>
      </c>
      <c r="C991" s="1" t="s">
        <v>40</v>
      </c>
      <c r="D991" s="1" t="str">
        <f t="shared" si="136"/>
        <v>9801</v>
      </c>
      <c r="E991" s="1" t="s">
        <v>25</v>
      </c>
      <c r="F991" s="1" t="str">
        <f>"281055311"</f>
        <v>281055311</v>
      </c>
      <c r="G991" s="1" t="s">
        <v>33</v>
      </c>
      <c r="H991" s="1" t="str">
        <f t="shared" si="139"/>
        <v>20220915</v>
      </c>
      <c r="I991" s="1" t="str">
        <f>"175653"</f>
        <v>175653</v>
      </c>
      <c r="J991" s="1" t="s">
        <v>41</v>
      </c>
      <c r="K991" s="1" t="s">
        <v>28</v>
      </c>
      <c r="L991" s="1" t="str">
        <f t="shared" si="140"/>
        <v>20220915</v>
      </c>
      <c r="M991" s="1" t="str">
        <f>"181723"</f>
        <v>181723</v>
      </c>
      <c r="N991" s="1" t="s">
        <v>72</v>
      </c>
      <c r="O991" s="1" t="s">
        <v>52</v>
      </c>
      <c r="P991" s="1" t="s">
        <v>55</v>
      </c>
      <c r="Q991" s="1">
        <v>25</v>
      </c>
      <c r="R991" s="1">
        <v>0</v>
      </c>
      <c r="S991" s="1">
        <v>25</v>
      </c>
      <c r="T991" s="1">
        <v>0</v>
      </c>
      <c r="U991" s="1">
        <v>0</v>
      </c>
      <c r="V991" s="1" t="str">
        <f t="shared" si="137"/>
        <v>里程返程</v>
      </c>
      <c r="W991" s="1" t="s">
        <v>35</v>
      </c>
    </row>
    <row r="992" spans="1:23" x14ac:dyDescent="0.3">
      <c r="A992" s="1" t="str">
        <f t="shared" si="141"/>
        <v>59822</v>
      </c>
      <c r="B992" s="1" t="s">
        <v>39</v>
      </c>
      <c r="C992" s="1" t="s">
        <v>40</v>
      </c>
      <c r="D992" s="1" t="str">
        <f t="shared" si="136"/>
        <v>9801</v>
      </c>
      <c r="E992" s="1" t="s">
        <v>25</v>
      </c>
      <c r="F992" s="1" t="str">
        <f>"715407157"</f>
        <v>715407157</v>
      </c>
      <c r="G992" s="1" t="s">
        <v>33</v>
      </c>
      <c r="H992" s="1" t="str">
        <f t="shared" si="139"/>
        <v>20220915</v>
      </c>
      <c r="I992" s="1" t="str">
        <f>"182800"</f>
        <v>182800</v>
      </c>
      <c r="J992" s="1" t="s">
        <v>44</v>
      </c>
      <c r="K992" s="1" t="s">
        <v>45</v>
      </c>
      <c r="L992" s="1" t="str">
        <f t="shared" si="140"/>
        <v>20220915</v>
      </c>
      <c r="M992" s="1" t="str">
        <f>"185030"</f>
        <v>185030</v>
      </c>
      <c r="N992" s="1" t="s">
        <v>28</v>
      </c>
      <c r="O992" s="1" t="s">
        <v>28</v>
      </c>
      <c r="P992" s="1" t="s">
        <v>55</v>
      </c>
      <c r="Q992" s="1">
        <v>25</v>
      </c>
      <c r="R992" s="1">
        <v>0</v>
      </c>
      <c r="S992" s="1">
        <v>25</v>
      </c>
      <c r="T992" s="1">
        <v>0</v>
      </c>
      <c r="U992" s="1">
        <v>0</v>
      </c>
      <c r="V992" s="1" t="str">
        <f t="shared" si="137"/>
        <v>里程返程</v>
      </c>
      <c r="W992" s="1" t="s">
        <v>35</v>
      </c>
    </row>
    <row r="993" spans="1:23" x14ac:dyDescent="0.3">
      <c r="A993" s="1" t="str">
        <f t="shared" si="141"/>
        <v>59822</v>
      </c>
      <c r="B993" s="1" t="s">
        <v>39</v>
      </c>
      <c r="C993" s="1" t="s">
        <v>40</v>
      </c>
      <c r="D993" s="1" t="str">
        <f t="shared" si="136"/>
        <v>9801</v>
      </c>
      <c r="E993" s="1" t="s">
        <v>25</v>
      </c>
      <c r="F993" s="1" t="str">
        <f>"4077305364"</f>
        <v>4077305364</v>
      </c>
      <c r="G993" s="1" t="s">
        <v>33</v>
      </c>
      <c r="H993" s="1" t="str">
        <f t="shared" si="139"/>
        <v>20220915</v>
      </c>
      <c r="I993" s="1" t="str">
        <f>"182827"</f>
        <v>182827</v>
      </c>
      <c r="J993" s="1" t="s">
        <v>44</v>
      </c>
      <c r="K993" s="1" t="s">
        <v>45</v>
      </c>
      <c r="L993" s="1" t="str">
        <f t="shared" si="140"/>
        <v>20220915</v>
      </c>
      <c r="M993" s="1" t="str">
        <f>"185034"</f>
        <v>185034</v>
      </c>
      <c r="N993" s="1" t="s">
        <v>28</v>
      </c>
      <c r="O993" s="1" t="s">
        <v>28</v>
      </c>
      <c r="P993" s="1" t="s">
        <v>55</v>
      </c>
      <c r="Q993" s="1">
        <v>25</v>
      </c>
      <c r="R993" s="1">
        <v>0</v>
      </c>
      <c r="S993" s="1">
        <v>25</v>
      </c>
      <c r="T993" s="1">
        <v>0</v>
      </c>
      <c r="U993" s="1">
        <v>0</v>
      </c>
      <c r="V993" s="1" t="str">
        <f t="shared" si="137"/>
        <v>里程返程</v>
      </c>
      <c r="W993" s="1" t="s">
        <v>35</v>
      </c>
    </row>
    <row r="994" spans="1:23" x14ac:dyDescent="0.3">
      <c r="A994" s="1" t="str">
        <f t="shared" si="141"/>
        <v>59822</v>
      </c>
      <c r="B994" s="1" t="s">
        <v>39</v>
      </c>
      <c r="C994" s="1" t="s">
        <v>40</v>
      </c>
      <c r="D994" s="1" t="str">
        <f t="shared" si="136"/>
        <v>9801</v>
      </c>
      <c r="E994" s="1" t="s">
        <v>25</v>
      </c>
      <c r="F994" s="1" t="str">
        <f>"206554501"</f>
        <v>206554501</v>
      </c>
      <c r="G994" s="1" t="s">
        <v>33</v>
      </c>
      <c r="H994" s="1" t="str">
        <f t="shared" si="139"/>
        <v>20220915</v>
      </c>
      <c r="I994" s="1" t="str">
        <f>"182938"</f>
        <v>182938</v>
      </c>
      <c r="J994" s="1" t="s">
        <v>44</v>
      </c>
      <c r="K994" s="1" t="s">
        <v>45</v>
      </c>
      <c r="L994" s="1" t="str">
        <f t="shared" si="140"/>
        <v>20220915</v>
      </c>
      <c r="M994" s="1" t="str">
        <f>"185037"</f>
        <v>185037</v>
      </c>
      <c r="N994" s="1" t="s">
        <v>28</v>
      </c>
      <c r="O994" s="1" t="s">
        <v>28</v>
      </c>
      <c r="P994" s="1" t="s">
        <v>55</v>
      </c>
      <c r="Q994" s="1">
        <v>25</v>
      </c>
      <c r="R994" s="1">
        <v>25</v>
      </c>
      <c r="S994" s="1">
        <v>0</v>
      </c>
      <c r="T994" s="1">
        <v>0</v>
      </c>
      <c r="U994" s="1">
        <v>0</v>
      </c>
      <c r="V994" s="1" t="str">
        <f t="shared" si="137"/>
        <v>里程返程</v>
      </c>
      <c r="W994" s="1" t="s">
        <v>35</v>
      </c>
    </row>
    <row r="995" spans="1:23" x14ac:dyDescent="0.3">
      <c r="A995" s="1" t="str">
        <f t="shared" si="141"/>
        <v>59822</v>
      </c>
      <c r="B995" s="1" t="s">
        <v>39</v>
      </c>
      <c r="C995" s="1" t="s">
        <v>40</v>
      </c>
      <c r="D995" s="1" t="str">
        <f t="shared" si="136"/>
        <v>9801</v>
      </c>
      <c r="E995" s="1" t="s">
        <v>25</v>
      </c>
      <c r="F995" s="1" t="str">
        <f>"9517171004325742"</f>
        <v>9517171004325742</v>
      </c>
      <c r="G995" s="1" t="s">
        <v>33</v>
      </c>
      <c r="H995" s="1" t="str">
        <f t="shared" si="139"/>
        <v>20220915</v>
      </c>
      <c r="I995" s="1" t="str">
        <f>"185051"</f>
        <v>185051</v>
      </c>
      <c r="J995" s="1" t="s">
        <v>28</v>
      </c>
      <c r="K995" s="1" t="s">
        <v>28</v>
      </c>
      <c r="L995" s="1" t="str">
        <f t="shared" si="140"/>
        <v>20220915</v>
      </c>
      <c r="M995" s="1" t="str">
        <f>"191719"</f>
        <v>191719</v>
      </c>
      <c r="N995" s="1" t="s">
        <v>71</v>
      </c>
      <c r="O995" s="1" t="s">
        <v>52</v>
      </c>
      <c r="P995" s="1" t="s">
        <v>55</v>
      </c>
      <c r="Q995" s="1">
        <v>25</v>
      </c>
      <c r="R995" s="1">
        <v>25</v>
      </c>
      <c r="S995" s="1">
        <v>0</v>
      </c>
      <c r="T995" s="1">
        <v>0</v>
      </c>
      <c r="U995" s="1">
        <v>0</v>
      </c>
      <c r="V995" s="1" t="str">
        <f t="shared" si="137"/>
        <v>里程返程</v>
      </c>
      <c r="W995" s="1" t="s">
        <v>109</v>
      </c>
    </row>
    <row r="996" spans="1:23" x14ac:dyDescent="0.3">
      <c r="A996" s="1" t="str">
        <f t="shared" si="141"/>
        <v>59822</v>
      </c>
      <c r="B996" s="1" t="s">
        <v>39</v>
      </c>
      <c r="C996" s="1" t="s">
        <v>40</v>
      </c>
      <c r="D996" s="1" t="str">
        <f t="shared" si="136"/>
        <v>9801</v>
      </c>
      <c r="E996" s="1" t="s">
        <v>25</v>
      </c>
      <c r="F996" s="1" t="str">
        <f>"1478557231"</f>
        <v>1478557231</v>
      </c>
      <c r="G996" s="1" t="s">
        <v>33</v>
      </c>
      <c r="H996" s="1" t="str">
        <f t="shared" si="139"/>
        <v>20220915</v>
      </c>
      <c r="I996" s="1" t="str">
        <f>"185055"</f>
        <v>185055</v>
      </c>
      <c r="J996" s="1" t="s">
        <v>28</v>
      </c>
      <c r="K996" s="1" t="s">
        <v>28</v>
      </c>
      <c r="L996" s="1" t="str">
        <f t="shared" si="140"/>
        <v>20220915</v>
      </c>
      <c r="M996" s="1" t="str">
        <f>"191716"</f>
        <v>191716</v>
      </c>
      <c r="N996" s="1" t="s">
        <v>71</v>
      </c>
      <c r="O996" s="1" t="s">
        <v>52</v>
      </c>
      <c r="P996" s="1" t="s">
        <v>55</v>
      </c>
      <c r="Q996" s="1">
        <v>25</v>
      </c>
      <c r="R996" s="1">
        <v>25</v>
      </c>
      <c r="S996" s="1">
        <v>0</v>
      </c>
      <c r="T996" s="1">
        <v>0</v>
      </c>
      <c r="U996" s="1">
        <v>0</v>
      </c>
      <c r="V996" s="1" t="str">
        <f t="shared" si="137"/>
        <v>里程返程</v>
      </c>
      <c r="W996" s="1" t="s">
        <v>35</v>
      </c>
    </row>
    <row r="997" spans="1:23" x14ac:dyDescent="0.3">
      <c r="A997" s="1" t="str">
        <f t="shared" si="141"/>
        <v>59822</v>
      </c>
      <c r="B997" s="1" t="s">
        <v>39</v>
      </c>
      <c r="C997" s="1" t="s">
        <v>40</v>
      </c>
      <c r="D997" s="1" t="str">
        <f t="shared" si="136"/>
        <v>9801</v>
      </c>
      <c r="E997" s="1" t="s">
        <v>25</v>
      </c>
      <c r="F997" s="1" t="str">
        <f>"3238479539"</f>
        <v>3238479539</v>
      </c>
      <c r="G997" s="1" t="s">
        <v>33</v>
      </c>
      <c r="H997" s="1" t="str">
        <f t="shared" ref="H997:H1028" si="142">"20220915"</f>
        <v>20220915</v>
      </c>
      <c r="I997" s="1" t="str">
        <f>"185057"</f>
        <v>185057</v>
      </c>
      <c r="J997" s="1" t="s">
        <v>28</v>
      </c>
      <c r="K997" s="1" t="s">
        <v>28</v>
      </c>
      <c r="L997" s="1" t="str">
        <f t="shared" ref="L997:L1028" si="143">"20220915"</f>
        <v>20220915</v>
      </c>
      <c r="M997" s="1" t="str">
        <f>"191714"</f>
        <v>191714</v>
      </c>
      <c r="N997" s="1" t="s">
        <v>71</v>
      </c>
      <c r="O997" s="1" t="s">
        <v>52</v>
      </c>
      <c r="P997" s="1" t="s">
        <v>55</v>
      </c>
      <c r="Q997" s="1">
        <v>25</v>
      </c>
      <c r="R997" s="1">
        <v>25</v>
      </c>
      <c r="S997" s="1">
        <v>0</v>
      </c>
      <c r="T997" s="1">
        <v>0</v>
      </c>
      <c r="U997" s="1">
        <v>0</v>
      </c>
      <c r="V997" s="1" t="str">
        <f t="shared" si="137"/>
        <v>里程返程</v>
      </c>
      <c r="W997" s="1" t="s">
        <v>35</v>
      </c>
    </row>
    <row r="998" spans="1:23" x14ac:dyDescent="0.3">
      <c r="A998" s="1" t="str">
        <f t="shared" si="141"/>
        <v>59822</v>
      </c>
      <c r="B998" s="1" t="s">
        <v>39</v>
      </c>
      <c r="C998" s="1" t="s">
        <v>40</v>
      </c>
      <c r="D998" s="1" t="str">
        <f t="shared" si="136"/>
        <v>9801</v>
      </c>
      <c r="E998" s="1" t="s">
        <v>25</v>
      </c>
      <c r="F998" s="1" t="str">
        <f>"918822033888040043252B4B000F050F"</f>
        <v>918822033888040043252B4B000F050F</v>
      </c>
      <c r="G998" s="1" t="s">
        <v>58</v>
      </c>
      <c r="H998" s="1" t="str">
        <f t="shared" si="142"/>
        <v>20220915</v>
      </c>
      <c r="I998" s="1" t="str">
        <f>"185100"</f>
        <v>185100</v>
      </c>
      <c r="J998" s="1" t="s">
        <v>28</v>
      </c>
      <c r="K998" s="1" t="s">
        <v>28</v>
      </c>
      <c r="L998" s="1" t="str">
        <f t="shared" si="143"/>
        <v>20220915</v>
      </c>
      <c r="M998" s="1" t="str">
        <f>"191706"</f>
        <v>191706</v>
      </c>
      <c r="N998" s="1" t="s">
        <v>71</v>
      </c>
      <c r="O998" s="1" t="s">
        <v>52</v>
      </c>
      <c r="P998" s="1" t="s">
        <v>55</v>
      </c>
      <c r="Q998" s="1">
        <v>25</v>
      </c>
      <c r="R998" s="1">
        <v>25</v>
      </c>
      <c r="S998" s="1">
        <v>0</v>
      </c>
      <c r="T998" s="1">
        <v>0</v>
      </c>
      <c r="U998" s="1">
        <v>0</v>
      </c>
      <c r="V998" s="1" t="str">
        <f t="shared" si="137"/>
        <v>里程返程</v>
      </c>
      <c r="W998" s="1" t="s">
        <v>29</v>
      </c>
    </row>
    <row r="999" spans="1:23" x14ac:dyDescent="0.3">
      <c r="A999" s="1" t="str">
        <f t="shared" si="141"/>
        <v>59822</v>
      </c>
      <c r="B999" s="1" t="s">
        <v>39</v>
      </c>
      <c r="C999" s="1" t="s">
        <v>40</v>
      </c>
      <c r="D999" s="1" t="str">
        <f t="shared" si="136"/>
        <v>9801</v>
      </c>
      <c r="E999" s="1" t="s">
        <v>25</v>
      </c>
      <c r="F999" s="1" t="str">
        <f>"660993845"</f>
        <v>660993845</v>
      </c>
      <c r="G999" s="1" t="s">
        <v>33</v>
      </c>
      <c r="H999" s="1" t="str">
        <f t="shared" si="142"/>
        <v>20220915</v>
      </c>
      <c r="I999" s="1" t="str">
        <f>"185103"</f>
        <v>185103</v>
      </c>
      <c r="J999" s="1" t="s">
        <v>28</v>
      </c>
      <c r="K999" s="1" t="s">
        <v>28</v>
      </c>
      <c r="L999" s="1" t="str">
        <f t="shared" si="143"/>
        <v>20220915</v>
      </c>
      <c r="M999" s="1" t="str">
        <f>"191709"</f>
        <v>191709</v>
      </c>
      <c r="N999" s="1" t="s">
        <v>71</v>
      </c>
      <c r="O999" s="1" t="s">
        <v>52</v>
      </c>
      <c r="P999" s="1" t="s">
        <v>55</v>
      </c>
      <c r="Q999" s="1">
        <v>25</v>
      </c>
      <c r="R999" s="1">
        <v>25</v>
      </c>
      <c r="S999" s="1">
        <v>0</v>
      </c>
      <c r="T999" s="1">
        <v>0</v>
      </c>
      <c r="U999" s="1">
        <v>0</v>
      </c>
      <c r="V999" s="1" t="str">
        <f t="shared" si="137"/>
        <v>里程返程</v>
      </c>
      <c r="W999" s="1" t="s">
        <v>35</v>
      </c>
    </row>
    <row r="1000" spans="1:23" x14ac:dyDescent="0.3">
      <c r="A1000" s="1" t="str">
        <f t="shared" si="141"/>
        <v>59822</v>
      </c>
      <c r="B1000" s="1" t="s">
        <v>39</v>
      </c>
      <c r="C1000" s="1" t="s">
        <v>40</v>
      </c>
      <c r="D1000" s="1" t="str">
        <f t="shared" si="136"/>
        <v>9801</v>
      </c>
      <c r="E1000" s="1" t="s">
        <v>25</v>
      </c>
      <c r="F1000" s="1" t="str">
        <f>"1260698869"</f>
        <v>1260698869</v>
      </c>
      <c r="G1000" s="1" t="s">
        <v>26</v>
      </c>
      <c r="H1000" s="1" t="str">
        <f t="shared" si="142"/>
        <v>20220915</v>
      </c>
      <c r="I1000" s="1" t="str">
        <f>"185106"</f>
        <v>185106</v>
      </c>
      <c r="J1000" s="1" t="s">
        <v>28</v>
      </c>
      <c r="K1000" s="1" t="s">
        <v>28</v>
      </c>
      <c r="L1000" s="1" t="str">
        <f t="shared" si="143"/>
        <v>20220915</v>
      </c>
      <c r="M1000" s="1" t="str">
        <f>"191701"</f>
        <v>191701</v>
      </c>
      <c r="N1000" s="1" t="s">
        <v>71</v>
      </c>
      <c r="O1000" s="1" t="s">
        <v>52</v>
      </c>
      <c r="P1000" s="1" t="s">
        <v>55</v>
      </c>
      <c r="Q1000" s="1">
        <v>13</v>
      </c>
      <c r="R1000" s="1">
        <v>13</v>
      </c>
      <c r="S1000" s="1">
        <v>0</v>
      </c>
      <c r="T1000" s="1">
        <v>0</v>
      </c>
      <c r="U1000" s="1">
        <v>0</v>
      </c>
      <c r="V1000" s="1" t="str">
        <f t="shared" si="137"/>
        <v>里程返程</v>
      </c>
      <c r="W1000" s="1" t="s">
        <v>35</v>
      </c>
    </row>
    <row r="1001" spans="1:23" x14ac:dyDescent="0.3">
      <c r="A1001" s="1" t="str">
        <f t="shared" si="141"/>
        <v>59822</v>
      </c>
      <c r="B1001" s="1" t="s">
        <v>39</v>
      </c>
      <c r="C1001" s="1" t="s">
        <v>40</v>
      </c>
      <c r="D1001" s="1" t="str">
        <f t="shared" si="136"/>
        <v>9801</v>
      </c>
      <c r="E1001" s="1" t="s">
        <v>25</v>
      </c>
      <c r="F1001" s="1" t="str">
        <f>"994369333"</f>
        <v>994369333</v>
      </c>
      <c r="G1001" s="1" t="s">
        <v>26</v>
      </c>
      <c r="H1001" s="1" t="str">
        <f t="shared" si="142"/>
        <v>20220915</v>
      </c>
      <c r="I1001" s="1" t="str">
        <f>"185108"</f>
        <v>185108</v>
      </c>
      <c r="J1001" s="1" t="s">
        <v>28</v>
      </c>
      <c r="K1001" s="1" t="s">
        <v>28</v>
      </c>
      <c r="L1001" s="1" t="str">
        <f t="shared" si="143"/>
        <v>20220915</v>
      </c>
      <c r="M1001" s="1" t="str">
        <f>"191712"</f>
        <v>191712</v>
      </c>
      <c r="N1001" s="1" t="s">
        <v>71</v>
      </c>
      <c r="O1001" s="1" t="s">
        <v>52</v>
      </c>
      <c r="P1001" s="1" t="s">
        <v>55</v>
      </c>
      <c r="Q1001" s="1">
        <v>13</v>
      </c>
      <c r="R1001" s="1">
        <v>13</v>
      </c>
      <c r="S1001" s="1">
        <v>0</v>
      </c>
      <c r="T1001" s="1">
        <v>0</v>
      </c>
      <c r="U1001" s="1">
        <v>0</v>
      </c>
      <c r="V1001" s="1" t="str">
        <f t="shared" si="137"/>
        <v>里程返程</v>
      </c>
      <c r="W1001" s="1" t="s">
        <v>35</v>
      </c>
    </row>
    <row r="1002" spans="1:23" x14ac:dyDescent="0.3">
      <c r="A1002" s="1" t="str">
        <f t="shared" si="141"/>
        <v>59822</v>
      </c>
      <c r="B1002" s="1" t="s">
        <v>39</v>
      </c>
      <c r="C1002" s="1" t="s">
        <v>40</v>
      </c>
      <c r="D1002" s="1" t="str">
        <f t="shared" si="136"/>
        <v>9801</v>
      </c>
      <c r="E1002" s="1" t="s">
        <v>25</v>
      </c>
      <c r="F1002" s="1" t="str">
        <f>"57704897"</f>
        <v>57704897</v>
      </c>
      <c r="G1002" s="1" t="s">
        <v>33</v>
      </c>
      <c r="H1002" s="1" t="str">
        <f t="shared" si="142"/>
        <v>20220915</v>
      </c>
      <c r="I1002" s="1" t="str">
        <f>"185112"</f>
        <v>185112</v>
      </c>
      <c r="J1002" s="1" t="s">
        <v>28</v>
      </c>
      <c r="K1002" s="1" t="s">
        <v>28</v>
      </c>
      <c r="L1002" s="1" t="str">
        <f t="shared" si="143"/>
        <v>20220915</v>
      </c>
      <c r="M1002" s="1" t="str">
        <f>"191704"</f>
        <v>191704</v>
      </c>
      <c r="N1002" s="1" t="s">
        <v>71</v>
      </c>
      <c r="O1002" s="1" t="s">
        <v>52</v>
      </c>
      <c r="P1002" s="1" t="s">
        <v>55</v>
      </c>
      <c r="Q1002" s="1">
        <v>25</v>
      </c>
      <c r="R1002" s="1">
        <v>25</v>
      </c>
      <c r="S1002" s="1">
        <v>0</v>
      </c>
      <c r="T1002" s="1">
        <v>0</v>
      </c>
      <c r="U1002" s="1">
        <v>0</v>
      </c>
      <c r="V1002" s="1" t="str">
        <f t="shared" si="137"/>
        <v>里程返程</v>
      </c>
      <c r="W1002" s="1" t="s">
        <v>35</v>
      </c>
    </row>
    <row r="1003" spans="1:23" x14ac:dyDescent="0.3">
      <c r="A1003" s="1" t="str">
        <f t="shared" si="141"/>
        <v>59822</v>
      </c>
      <c r="B1003" s="1" t="s">
        <v>39</v>
      </c>
      <c r="C1003" s="1" t="s">
        <v>40</v>
      </c>
      <c r="D1003" s="1" t="str">
        <f t="shared" si="136"/>
        <v>9801</v>
      </c>
      <c r="E1003" s="1" t="s">
        <v>25</v>
      </c>
      <c r="F1003" s="1" t="str">
        <f>"1171763685"</f>
        <v>1171763685</v>
      </c>
      <c r="G1003" s="1" t="s">
        <v>38</v>
      </c>
      <c r="H1003" s="1" t="str">
        <f t="shared" si="142"/>
        <v>20220915</v>
      </c>
      <c r="I1003" s="1" t="str">
        <f>"185115"</f>
        <v>185115</v>
      </c>
      <c r="J1003" s="1" t="s">
        <v>28</v>
      </c>
      <c r="K1003" s="1" t="s">
        <v>28</v>
      </c>
      <c r="L1003" s="1" t="str">
        <f t="shared" si="143"/>
        <v>20220915</v>
      </c>
      <c r="M1003" s="1" t="str">
        <f>"191601"</f>
        <v>191601</v>
      </c>
      <c r="N1003" s="1" t="s">
        <v>72</v>
      </c>
      <c r="O1003" s="1" t="s">
        <v>52</v>
      </c>
      <c r="P1003" s="1" t="s">
        <v>55</v>
      </c>
      <c r="Q1003" s="1">
        <v>25</v>
      </c>
      <c r="R1003" s="1">
        <v>25</v>
      </c>
      <c r="S1003" s="1">
        <v>0</v>
      </c>
      <c r="T1003" s="1">
        <v>0</v>
      </c>
      <c r="U1003" s="1">
        <v>0</v>
      </c>
      <c r="V1003" s="1" t="str">
        <f t="shared" si="137"/>
        <v>里程返程</v>
      </c>
      <c r="W1003" s="1" t="s">
        <v>35</v>
      </c>
    </row>
    <row r="1004" spans="1:23" x14ac:dyDescent="0.3">
      <c r="A1004" s="1" t="str">
        <f t="shared" si="141"/>
        <v>59822</v>
      </c>
      <c r="B1004" s="1" t="s">
        <v>39</v>
      </c>
      <c r="C1004" s="1" t="s">
        <v>40</v>
      </c>
      <c r="D1004" s="1" t="str">
        <f t="shared" si="136"/>
        <v>9801</v>
      </c>
      <c r="E1004" s="1" t="s">
        <v>25</v>
      </c>
      <c r="F1004" s="1" t="str">
        <f>"900329825"</f>
        <v>900329825</v>
      </c>
      <c r="G1004" s="1" t="s">
        <v>33</v>
      </c>
      <c r="H1004" s="1" t="str">
        <f t="shared" si="142"/>
        <v>20220915</v>
      </c>
      <c r="I1004" s="1" t="str">
        <f>"185118"</f>
        <v>185118</v>
      </c>
      <c r="J1004" s="1" t="s">
        <v>28</v>
      </c>
      <c r="K1004" s="1" t="s">
        <v>28</v>
      </c>
      <c r="L1004" s="1" t="str">
        <f t="shared" si="143"/>
        <v>20220915</v>
      </c>
      <c r="M1004" s="1" t="str">
        <f>"192531"</f>
        <v>192531</v>
      </c>
      <c r="N1004" s="1" t="s">
        <v>52</v>
      </c>
      <c r="O1004" s="1" t="s">
        <v>52</v>
      </c>
      <c r="P1004" s="1" t="s">
        <v>55</v>
      </c>
      <c r="Q1004" s="1">
        <v>25</v>
      </c>
      <c r="R1004" s="1">
        <v>25</v>
      </c>
      <c r="S1004" s="1">
        <v>0</v>
      </c>
      <c r="T1004" s="1">
        <v>0</v>
      </c>
      <c r="U1004" s="1">
        <v>0</v>
      </c>
      <c r="V1004" s="1" t="str">
        <f t="shared" si="137"/>
        <v>里程返程</v>
      </c>
      <c r="W1004" s="1" t="s">
        <v>35</v>
      </c>
    </row>
    <row r="1005" spans="1:23" x14ac:dyDescent="0.3">
      <c r="A1005" s="1" t="str">
        <f t="shared" si="141"/>
        <v>59822</v>
      </c>
      <c r="B1005" s="1" t="s">
        <v>39</v>
      </c>
      <c r="C1005" s="1" t="s">
        <v>40</v>
      </c>
      <c r="D1005" s="1" t="str">
        <f t="shared" si="136"/>
        <v>9801</v>
      </c>
      <c r="E1005" s="1" t="s">
        <v>25</v>
      </c>
      <c r="F1005" s="1" t="str">
        <f>"278233073"</f>
        <v>278233073</v>
      </c>
      <c r="G1005" s="1" t="s">
        <v>33</v>
      </c>
      <c r="H1005" s="1" t="str">
        <f t="shared" si="142"/>
        <v>20220915</v>
      </c>
      <c r="I1005" s="1" t="str">
        <f>"185125"</f>
        <v>185125</v>
      </c>
      <c r="J1005" s="1" t="s">
        <v>28</v>
      </c>
      <c r="K1005" s="1" t="s">
        <v>28</v>
      </c>
      <c r="L1005" s="1" t="str">
        <f t="shared" si="143"/>
        <v>20220915</v>
      </c>
      <c r="M1005" s="1" t="str">
        <f>"191231"</f>
        <v>191231</v>
      </c>
      <c r="N1005" s="1" t="s">
        <v>65</v>
      </c>
      <c r="O1005" s="1" t="s">
        <v>52</v>
      </c>
      <c r="P1005" s="1" t="s">
        <v>55</v>
      </c>
      <c r="Q1005" s="1">
        <v>25</v>
      </c>
      <c r="R1005" s="1">
        <v>25</v>
      </c>
      <c r="S1005" s="1">
        <v>0</v>
      </c>
      <c r="T1005" s="1">
        <v>0</v>
      </c>
      <c r="U1005" s="1">
        <v>0</v>
      </c>
      <c r="V1005" s="1" t="str">
        <f t="shared" si="137"/>
        <v>里程返程</v>
      </c>
      <c r="W1005" s="1" t="s">
        <v>35</v>
      </c>
    </row>
    <row r="1006" spans="1:23" x14ac:dyDescent="0.3">
      <c r="A1006" s="1" t="str">
        <f t="shared" si="141"/>
        <v>59822</v>
      </c>
      <c r="B1006" s="1" t="s">
        <v>39</v>
      </c>
      <c r="C1006" s="1" t="s">
        <v>40</v>
      </c>
      <c r="D1006" s="1" t="str">
        <f t="shared" si="136"/>
        <v>9801</v>
      </c>
      <c r="E1006" s="1" t="s">
        <v>25</v>
      </c>
      <c r="F1006" s="1" t="str">
        <f>"81DCC741DB280400F700000000000000"</f>
        <v>81DCC741DB280400F700000000000000</v>
      </c>
      <c r="G1006" s="1" t="s">
        <v>58</v>
      </c>
      <c r="H1006" s="1" t="str">
        <f t="shared" si="142"/>
        <v>20220915</v>
      </c>
      <c r="I1006" s="1" t="str">
        <f>"185138"</f>
        <v>185138</v>
      </c>
      <c r="J1006" s="1" t="s">
        <v>28</v>
      </c>
      <c r="K1006" s="1" t="s">
        <v>28</v>
      </c>
      <c r="L1006" s="1" t="str">
        <f t="shared" si="143"/>
        <v>20220915</v>
      </c>
      <c r="M1006" s="1" t="str">
        <f>"191216"</f>
        <v>191216</v>
      </c>
      <c r="N1006" s="1" t="s">
        <v>65</v>
      </c>
      <c r="O1006" s="1" t="s">
        <v>52</v>
      </c>
      <c r="P1006" s="1" t="s">
        <v>55</v>
      </c>
      <c r="Q1006" s="1">
        <v>25</v>
      </c>
      <c r="R1006" s="1">
        <v>25</v>
      </c>
      <c r="S1006" s="1">
        <v>0</v>
      </c>
      <c r="T1006" s="1">
        <v>0</v>
      </c>
      <c r="U1006" s="1">
        <v>0</v>
      </c>
      <c r="V1006" s="1" t="str">
        <f t="shared" si="137"/>
        <v>里程返程</v>
      </c>
      <c r="W1006" s="1" t="s">
        <v>29</v>
      </c>
    </row>
    <row r="1007" spans="1:23" x14ac:dyDescent="0.3">
      <c r="A1007" s="1" t="str">
        <f t="shared" si="141"/>
        <v>59822</v>
      </c>
      <c r="B1007" s="1" t="s">
        <v>39</v>
      </c>
      <c r="C1007" s="1" t="s">
        <v>40</v>
      </c>
      <c r="D1007" s="1" t="str">
        <f t="shared" si="136"/>
        <v>9801</v>
      </c>
      <c r="E1007" s="1" t="s">
        <v>25</v>
      </c>
      <c r="F1007" s="1" t="str">
        <f>"161813205"</f>
        <v>161813205</v>
      </c>
      <c r="G1007" s="1" t="s">
        <v>33</v>
      </c>
      <c r="H1007" s="1" t="str">
        <f t="shared" si="142"/>
        <v>20220915</v>
      </c>
      <c r="I1007" s="1" t="str">
        <f>"185145"</f>
        <v>185145</v>
      </c>
      <c r="J1007" s="1" t="s">
        <v>28</v>
      </c>
      <c r="K1007" s="1" t="s">
        <v>28</v>
      </c>
      <c r="L1007" s="1" t="str">
        <f t="shared" si="143"/>
        <v>20220915</v>
      </c>
      <c r="M1007" s="1" t="str">
        <f>"192536"</f>
        <v>192536</v>
      </c>
      <c r="N1007" s="1" t="s">
        <v>52</v>
      </c>
      <c r="O1007" s="1" t="s">
        <v>52</v>
      </c>
      <c r="P1007" s="1" t="s">
        <v>55</v>
      </c>
      <c r="Q1007" s="1">
        <v>25</v>
      </c>
      <c r="R1007" s="1">
        <v>25</v>
      </c>
      <c r="S1007" s="1">
        <v>0</v>
      </c>
      <c r="T1007" s="1">
        <v>0</v>
      </c>
      <c r="U1007" s="1">
        <v>0</v>
      </c>
      <c r="V1007" s="1" t="str">
        <f t="shared" si="137"/>
        <v>里程返程</v>
      </c>
      <c r="W1007" s="1" t="s">
        <v>35</v>
      </c>
    </row>
    <row r="1008" spans="1:23" x14ac:dyDescent="0.3">
      <c r="A1008" s="1" t="str">
        <f t="shared" si="141"/>
        <v>59822</v>
      </c>
      <c r="B1008" s="1" t="s">
        <v>39</v>
      </c>
      <c r="C1008" s="1" t="s">
        <v>40</v>
      </c>
      <c r="D1008" s="1" t="str">
        <f t="shared" si="136"/>
        <v>9801</v>
      </c>
      <c r="E1008" s="1" t="s">
        <v>25</v>
      </c>
      <c r="F1008" s="1" t="str">
        <f>"F14FDC54362804001C00000000000000"</f>
        <v>F14FDC54362804001C00000000000000</v>
      </c>
      <c r="G1008" s="1" t="s">
        <v>58</v>
      </c>
      <c r="H1008" s="1" t="str">
        <f t="shared" si="142"/>
        <v>20220915</v>
      </c>
      <c r="I1008" s="1" t="str">
        <f>"185148"</f>
        <v>185148</v>
      </c>
      <c r="J1008" s="1" t="s">
        <v>28</v>
      </c>
      <c r="K1008" s="1" t="s">
        <v>28</v>
      </c>
      <c r="L1008" s="1" t="str">
        <f t="shared" si="143"/>
        <v>20220915</v>
      </c>
      <c r="M1008" s="1" t="str">
        <f>"192541"</f>
        <v>192541</v>
      </c>
      <c r="N1008" s="1" t="s">
        <v>52</v>
      </c>
      <c r="O1008" s="1" t="s">
        <v>52</v>
      </c>
      <c r="P1008" s="1" t="s">
        <v>55</v>
      </c>
      <c r="Q1008" s="1">
        <v>25</v>
      </c>
      <c r="R1008" s="1">
        <v>25</v>
      </c>
      <c r="S1008" s="1">
        <v>0</v>
      </c>
      <c r="T1008" s="1">
        <v>0</v>
      </c>
      <c r="U1008" s="1">
        <v>0</v>
      </c>
      <c r="V1008" s="1" t="str">
        <f t="shared" si="137"/>
        <v>里程返程</v>
      </c>
      <c r="W1008" s="1" t="s">
        <v>29</v>
      </c>
    </row>
    <row r="1009" spans="1:23" x14ac:dyDescent="0.3">
      <c r="A1009" s="1" t="str">
        <f t="shared" si="141"/>
        <v>59822</v>
      </c>
      <c r="B1009" s="1" t="s">
        <v>39</v>
      </c>
      <c r="C1009" s="1" t="s">
        <v>40</v>
      </c>
      <c r="D1009" s="1" t="str">
        <f t="shared" si="136"/>
        <v>9801</v>
      </c>
      <c r="E1009" s="1" t="s">
        <v>25</v>
      </c>
      <c r="F1009" s="1" t="str">
        <f>"1434711025"</f>
        <v>1434711025</v>
      </c>
      <c r="G1009" s="1" t="s">
        <v>33</v>
      </c>
      <c r="H1009" s="1" t="str">
        <f t="shared" si="142"/>
        <v>20220915</v>
      </c>
      <c r="I1009" s="1" t="str">
        <f>"191610"</f>
        <v>191610</v>
      </c>
      <c r="J1009" s="1" t="s">
        <v>72</v>
      </c>
      <c r="K1009" s="1" t="s">
        <v>52</v>
      </c>
      <c r="L1009" s="1" t="str">
        <f t="shared" si="143"/>
        <v>20220915</v>
      </c>
      <c r="M1009" s="1" t="str">
        <f>"192545"</f>
        <v>192545</v>
      </c>
      <c r="N1009" s="1" t="s">
        <v>52</v>
      </c>
      <c r="O1009" s="1" t="s">
        <v>52</v>
      </c>
      <c r="P1009" s="1" t="s">
        <v>55</v>
      </c>
      <c r="Q1009" s="1">
        <v>25</v>
      </c>
      <c r="R1009" s="1">
        <v>25</v>
      </c>
      <c r="S1009" s="1">
        <v>0</v>
      </c>
      <c r="T1009" s="1">
        <v>0</v>
      </c>
      <c r="U1009" s="1">
        <v>0</v>
      </c>
      <c r="V1009" s="1" t="str">
        <f t="shared" si="137"/>
        <v>里程返程</v>
      </c>
      <c r="W1009" s="1" t="s">
        <v>35</v>
      </c>
    </row>
    <row r="1010" spans="1:23" x14ac:dyDescent="0.3">
      <c r="A1010" s="1" t="str">
        <f t="shared" si="141"/>
        <v>59822</v>
      </c>
      <c r="B1010" s="1" t="s">
        <v>39</v>
      </c>
      <c r="C1010" s="1" t="s">
        <v>40</v>
      </c>
      <c r="D1010" s="1" t="str">
        <f t="shared" si="136"/>
        <v>9801</v>
      </c>
      <c r="E1010" s="1" t="s">
        <v>25</v>
      </c>
      <c r="F1010" s="1" t="str">
        <f>"281055311"</f>
        <v>281055311</v>
      </c>
      <c r="G1010" s="1" t="s">
        <v>33</v>
      </c>
      <c r="H1010" s="1" t="str">
        <f t="shared" si="142"/>
        <v>20220915</v>
      </c>
      <c r="I1010" s="1" t="str">
        <f>"191612"</f>
        <v>191612</v>
      </c>
      <c r="J1010" s="1" t="s">
        <v>72</v>
      </c>
      <c r="K1010" s="1" t="s">
        <v>52</v>
      </c>
      <c r="L1010" s="1" t="str">
        <f t="shared" si="143"/>
        <v>20220915</v>
      </c>
      <c r="M1010" s="1" t="str">
        <f>"192547"</f>
        <v>192547</v>
      </c>
      <c r="N1010" s="1" t="s">
        <v>52</v>
      </c>
      <c r="O1010" s="1" t="s">
        <v>52</v>
      </c>
      <c r="P1010" s="1" t="s">
        <v>55</v>
      </c>
      <c r="Q1010" s="1">
        <v>25</v>
      </c>
      <c r="R1010" s="1">
        <v>25</v>
      </c>
      <c r="S1010" s="1">
        <v>0</v>
      </c>
      <c r="T1010" s="1">
        <v>0</v>
      </c>
      <c r="U1010" s="1">
        <v>0</v>
      </c>
      <c r="V1010" s="1" t="str">
        <f t="shared" si="137"/>
        <v>里程返程</v>
      </c>
      <c r="W1010" s="1" t="s">
        <v>35</v>
      </c>
    </row>
    <row r="1011" spans="1:23" x14ac:dyDescent="0.3">
      <c r="A1011" s="1" t="str">
        <f t="shared" ref="A1011:A1054" si="144">"59825"</f>
        <v>59825</v>
      </c>
      <c r="B1011" s="1" t="s">
        <v>30</v>
      </c>
      <c r="C1011" s="1" t="s">
        <v>31</v>
      </c>
      <c r="D1011" s="1" t="str">
        <f t="shared" si="136"/>
        <v>9801</v>
      </c>
      <c r="E1011" s="1" t="s">
        <v>25</v>
      </c>
      <c r="F1011" s="1" t="str">
        <f>"F29BD102BA880400C834002000000015"</f>
        <v>F29BD102BA880400C834002000000015</v>
      </c>
      <c r="G1011" s="1" t="s">
        <v>26</v>
      </c>
      <c r="H1011" s="1" t="str">
        <f t="shared" si="142"/>
        <v>20220915</v>
      </c>
      <c r="I1011" s="1" t="str">
        <f>"083355"</f>
        <v>083355</v>
      </c>
      <c r="J1011" s="1" t="s">
        <v>44</v>
      </c>
      <c r="K1011" s="1" t="s">
        <v>45</v>
      </c>
      <c r="L1011" s="1" t="str">
        <f t="shared" si="143"/>
        <v>20220915</v>
      </c>
      <c r="M1011" s="1" t="str">
        <f>"085636"</f>
        <v>085636</v>
      </c>
      <c r="N1011" s="1" t="s">
        <v>28</v>
      </c>
      <c r="O1011" s="1" t="s">
        <v>28</v>
      </c>
      <c r="P1011" s="1" t="s">
        <v>68</v>
      </c>
      <c r="Q1011" s="1">
        <v>13</v>
      </c>
      <c r="R1011" s="1">
        <v>0</v>
      </c>
      <c r="S1011" s="1">
        <v>0</v>
      </c>
      <c r="T1011" s="1">
        <v>13</v>
      </c>
      <c r="U1011" s="1">
        <v>0</v>
      </c>
      <c r="V1011" s="1" t="str">
        <f t="shared" si="137"/>
        <v>里程返程</v>
      </c>
      <c r="W1011" s="1" t="s">
        <v>29</v>
      </c>
    </row>
    <row r="1012" spans="1:23" x14ac:dyDescent="0.3">
      <c r="A1012" s="1" t="str">
        <f t="shared" si="144"/>
        <v>59825</v>
      </c>
      <c r="B1012" s="1" t="s">
        <v>30</v>
      </c>
      <c r="C1012" s="1" t="s">
        <v>31</v>
      </c>
      <c r="D1012" s="1" t="str">
        <f t="shared" si="136"/>
        <v>9801</v>
      </c>
      <c r="E1012" s="1" t="s">
        <v>25</v>
      </c>
      <c r="F1012" s="1" t="str">
        <f>"03A6A9454988040048B994D749703809"</f>
        <v>03A6A9454988040048B994D749703809</v>
      </c>
      <c r="G1012" s="1" t="s">
        <v>64</v>
      </c>
      <c r="H1012" s="1" t="str">
        <f t="shared" si="142"/>
        <v>20220915</v>
      </c>
      <c r="I1012" s="1" t="str">
        <f>"085655"</f>
        <v>085655</v>
      </c>
      <c r="J1012" s="1" t="s">
        <v>28</v>
      </c>
      <c r="K1012" s="1" t="s">
        <v>28</v>
      </c>
      <c r="L1012" s="1" t="str">
        <f t="shared" si="143"/>
        <v>20220915</v>
      </c>
      <c r="M1012" s="1" t="str">
        <f>"090626"</f>
        <v>090626</v>
      </c>
      <c r="N1012" s="1" t="s">
        <v>78</v>
      </c>
      <c r="O1012" s="1" t="s">
        <v>52</v>
      </c>
      <c r="P1012" s="1" t="s">
        <v>55</v>
      </c>
      <c r="Q1012" s="1">
        <v>13</v>
      </c>
      <c r="R1012" s="1">
        <v>13</v>
      </c>
      <c r="S1012" s="1">
        <v>0</v>
      </c>
      <c r="T1012" s="1">
        <v>0</v>
      </c>
      <c r="U1012" s="1">
        <v>0</v>
      </c>
      <c r="V1012" s="1" t="str">
        <f t="shared" si="137"/>
        <v>里程返程</v>
      </c>
      <c r="W1012" s="1" t="s">
        <v>29</v>
      </c>
    </row>
    <row r="1013" spans="1:23" x14ac:dyDescent="0.3">
      <c r="A1013" s="1" t="str">
        <f t="shared" si="144"/>
        <v>59825</v>
      </c>
      <c r="B1013" s="1" t="s">
        <v>30</v>
      </c>
      <c r="C1013" s="1" t="s">
        <v>31</v>
      </c>
      <c r="D1013" s="1" t="str">
        <f t="shared" si="136"/>
        <v>9801</v>
      </c>
      <c r="E1013" s="1" t="s">
        <v>25</v>
      </c>
      <c r="F1013" s="1" t="str">
        <f>"F2A9251967880400C821002000000019"</f>
        <v>F2A9251967880400C821002000000019</v>
      </c>
      <c r="G1013" s="1" t="s">
        <v>64</v>
      </c>
      <c r="H1013" s="1" t="str">
        <f t="shared" si="142"/>
        <v>20220915</v>
      </c>
      <c r="I1013" s="1" t="str">
        <f>"095521"</f>
        <v>095521</v>
      </c>
      <c r="J1013" s="1" t="s">
        <v>28</v>
      </c>
      <c r="K1013" s="1" t="s">
        <v>28</v>
      </c>
      <c r="L1013" s="1" t="str">
        <f t="shared" si="143"/>
        <v>20220915</v>
      </c>
      <c r="M1013" s="1" t="str">
        <f>"101401"</f>
        <v>101401</v>
      </c>
      <c r="N1013" s="1" t="s">
        <v>80</v>
      </c>
      <c r="O1013" s="1" t="s">
        <v>52</v>
      </c>
      <c r="P1013" s="1" t="s">
        <v>55</v>
      </c>
      <c r="Q1013" s="1">
        <v>13</v>
      </c>
      <c r="R1013" s="1">
        <v>0</v>
      </c>
      <c r="S1013" s="1">
        <v>13</v>
      </c>
      <c r="T1013" s="1">
        <v>0</v>
      </c>
      <c r="U1013" s="1">
        <v>0</v>
      </c>
      <c r="V1013" s="1" t="str">
        <f t="shared" si="137"/>
        <v>里程返程</v>
      </c>
      <c r="W1013" s="1" t="s">
        <v>29</v>
      </c>
    </row>
    <row r="1014" spans="1:23" x14ac:dyDescent="0.3">
      <c r="A1014" s="1" t="str">
        <f t="shared" si="144"/>
        <v>59825</v>
      </c>
      <c r="B1014" s="1" t="s">
        <v>30</v>
      </c>
      <c r="C1014" s="1" t="s">
        <v>31</v>
      </c>
      <c r="D1014" s="1" t="str">
        <f t="shared" si="136"/>
        <v>9801</v>
      </c>
      <c r="E1014" s="1" t="s">
        <v>25</v>
      </c>
      <c r="F1014" s="1" t="str">
        <f>"59B2B61F428804004326A82E00010211"</f>
        <v>59B2B61F428804004326A82E00010211</v>
      </c>
      <c r="G1014" s="1" t="s">
        <v>26</v>
      </c>
      <c r="H1014" s="1" t="str">
        <f t="shared" si="142"/>
        <v>20220915</v>
      </c>
      <c r="I1014" s="1" t="str">
        <f>"095523"</f>
        <v>095523</v>
      </c>
      <c r="J1014" s="1" t="s">
        <v>28</v>
      </c>
      <c r="K1014" s="1" t="s">
        <v>28</v>
      </c>
      <c r="L1014" s="1" t="str">
        <f t="shared" si="143"/>
        <v>20220915</v>
      </c>
      <c r="M1014" s="1" t="str">
        <f>"102201"</f>
        <v>102201</v>
      </c>
      <c r="N1014" s="1" t="s">
        <v>60</v>
      </c>
      <c r="O1014" s="1" t="s">
        <v>52</v>
      </c>
      <c r="P1014" s="1" t="s">
        <v>55</v>
      </c>
      <c r="Q1014" s="1">
        <v>13</v>
      </c>
      <c r="R1014" s="1">
        <v>13</v>
      </c>
      <c r="S1014" s="1">
        <v>0</v>
      </c>
      <c r="T1014" s="1">
        <v>0</v>
      </c>
      <c r="U1014" s="1">
        <v>0</v>
      </c>
      <c r="V1014" s="1" t="str">
        <f t="shared" si="137"/>
        <v>里程返程</v>
      </c>
      <c r="W1014" s="1" t="s">
        <v>29</v>
      </c>
    </row>
    <row r="1015" spans="1:23" x14ac:dyDescent="0.3">
      <c r="A1015" s="1" t="str">
        <f t="shared" si="144"/>
        <v>59825</v>
      </c>
      <c r="B1015" s="1" t="s">
        <v>30</v>
      </c>
      <c r="C1015" s="1" t="s">
        <v>31</v>
      </c>
      <c r="D1015" s="1" t="str">
        <f t="shared" si="136"/>
        <v>9801</v>
      </c>
      <c r="E1015" s="1" t="s">
        <v>25</v>
      </c>
      <c r="F1015" s="1" t="str">
        <f>"4229480221880400C821002000000015"</f>
        <v>4229480221880400C821002000000015</v>
      </c>
      <c r="G1015" s="1" t="s">
        <v>26</v>
      </c>
      <c r="H1015" s="1" t="str">
        <f t="shared" si="142"/>
        <v>20220915</v>
      </c>
      <c r="I1015" s="1" t="str">
        <f>"095530"</f>
        <v>095530</v>
      </c>
      <c r="J1015" s="1" t="s">
        <v>28</v>
      </c>
      <c r="K1015" s="1" t="s">
        <v>28</v>
      </c>
      <c r="L1015" s="1" t="str">
        <f t="shared" si="143"/>
        <v>20220915</v>
      </c>
      <c r="M1015" s="1" t="str">
        <f>"102159"</f>
        <v>102159</v>
      </c>
      <c r="N1015" s="1" t="s">
        <v>60</v>
      </c>
      <c r="O1015" s="1" t="s">
        <v>52</v>
      </c>
      <c r="P1015" s="1" t="s">
        <v>68</v>
      </c>
      <c r="Q1015" s="1">
        <v>13</v>
      </c>
      <c r="R1015" s="1">
        <v>0</v>
      </c>
      <c r="S1015" s="1">
        <v>0</v>
      </c>
      <c r="T1015" s="1">
        <v>13</v>
      </c>
      <c r="U1015" s="1">
        <v>0</v>
      </c>
      <c r="V1015" s="1" t="str">
        <f t="shared" si="137"/>
        <v>里程返程</v>
      </c>
      <c r="W1015" s="1" t="s">
        <v>29</v>
      </c>
    </row>
    <row r="1016" spans="1:23" x14ac:dyDescent="0.3">
      <c r="A1016" s="1" t="str">
        <f t="shared" si="144"/>
        <v>59825</v>
      </c>
      <c r="B1016" s="1" t="s">
        <v>30</v>
      </c>
      <c r="C1016" s="1" t="s">
        <v>31</v>
      </c>
      <c r="D1016" s="1" t="str">
        <f t="shared" si="136"/>
        <v>9801</v>
      </c>
      <c r="E1016" s="1" t="s">
        <v>25</v>
      </c>
      <c r="F1016" s="1" t="str">
        <f>"285817872"</f>
        <v>285817872</v>
      </c>
      <c r="G1016" s="1" t="s">
        <v>33</v>
      </c>
      <c r="H1016" s="1" t="str">
        <f t="shared" si="142"/>
        <v>20220915</v>
      </c>
      <c r="I1016" s="1" t="str">
        <f>"095533"</f>
        <v>095533</v>
      </c>
      <c r="J1016" s="1" t="s">
        <v>28</v>
      </c>
      <c r="K1016" s="1" t="s">
        <v>28</v>
      </c>
      <c r="L1016" s="1" t="str">
        <f t="shared" si="143"/>
        <v>20220915</v>
      </c>
      <c r="M1016" s="1" t="str">
        <f>"102207"</f>
        <v>102207</v>
      </c>
      <c r="N1016" s="1" t="s">
        <v>60</v>
      </c>
      <c r="O1016" s="1" t="s">
        <v>52</v>
      </c>
      <c r="P1016" s="1" t="s">
        <v>55</v>
      </c>
      <c r="Q1016" s="1">
        <v>25</v>
      </c>
      <c r="R1016" s="1">
        <v>0</v>
      </c>
      <c r="S1016" s="1">
        <v>25</v>
      </c>
      <c r="T1016" s="1">
        <v>0</v>
      </c>
      <c r="U1016" s="1">
        <v>0</v>
      </c>
      <c r="V1016" s="1" t="str">
        <f t="shared" si="137"/>
        <v>里程返程</v>
      </c>
      <c r="W1016" s="1" t="s">
        <v>35</v>
      </c>
    </row>
    <row r="1017" spans="1:23" x14ac:dyDescent="0.3">
      <c r="A1017" s="1" t="str">
        <f t="shared" si="144"/>
        <v>59825</v>
      </c>
      <c r="B1017" s="1" t="s">
        <v>30</v>
      </c>
      <c r="C1017" s="1" t="s">
        <v>31</v>
      </c>
      <c r="D1017" s="1" t="str">
        <f t="shared" si="136"/>
        <v>9801</v>
      </c>
      <c r="E1017" s="1" t="s">
        <v>25</v>
      </c>
      <c r="F1017" s="1" t="str">
        <f>"F25B1B03B1880400C834002000000015"</f>
        <v>F25B1B03B1880400C834002000000015</v>
      </c>
      <c r="G1017" s="1" t="s">
        <v>26</v>
      </c>
      <c r="H1017" s="1" t="str">
        <f t="shared" si="142"/>
        <v>20220915</v>
      </c>
      <c r="I1017" s="1" t="str">
        <f>"095537"</f>
        <v>095537</v>
      </c>
      <c r="J1017" s="1" t="s">
        <v>28</v>
      </c>
      <c r="K1017" s="1" t="s">
        <v>28</v>
      </c>
      <c r="L1017" s="1" t="str">
        <f t="shared" si="143"/>
        <v>20220915</v>
      </c>
      <c r="M1017" s="1" t="str">
        <f>"102204"</f>
        <v>102204</v>
      </c>
      <c r="N1017" s="1" t="s">
        <v>60</v>
      </c>
      <c r="O1017" s="1" t="s">
        <v>52</v>
      </c>
      <c r="P1017" s="1" t="s">
        <v>68</v>
      </c>
      <c r="Q1017" s="1">
        <v>13</v>
      </c>
      <c r="R1017" s="1">
        <v>0</v>
      </c>
      <c r="S1017" s="1">
        <v>0</v>
      </c>
      <c r="T1017" s="1">
        <v>13</v>
      </c>
      <c r="U1017" s="1">
        <v>0</v>
      </c>
      <c r="V1017" s="1" t="str">
        <f t="shared" si="137"/>
        <v>里程返程</v>
      </c>
      <c r="W1017" s="1" t="s">
        <v>29</v>
      </c>
    </row>
    <row r="1018" spans="1:23" x14ac:dyDescent="0.3">
      <c r="A1018" s="1" t="str">
        <f t="shared" si="144"/>
        <v>59825</v>
      </c>
      <c r="B1018" s="1" t="s">
        <v>30</v>
      </c>
      <c r="C1018" s="1" t="s">
        <v>31</v>
      </c>
      <c r="D1018" s="1" t="str">
        <f t="shared" si="136"/>
        <v>9801</v>
      </c>
      <c r="E1018" s="1" t="s">
        <v>25</v>
      </c>
      <c r="F1018" s="1" t="str">
        <f>"3583368644"</f>
        <v>3583368644</v>
      </c>
      <c r="G1018" s="1" t="s">
        <v>33</v>
      </c>
      <c r="H1018" s="1" t="str">
        <f t="shared" si="142"/>
        <v>20220915</v>
      </c>
      <c r="I1018" s="1" t="str">
        <f>"100627"</f>
        <v>100627</v>
      </c>
      <c r="J1018" s="1" t="s">
        <v>67</v>
      </c>
      <c r="K1018" s="1" t="s">
        <v>52</v>
      </c>
      <c r="L1018" s="1" t="str">
        <f t="shared" si="143"/>
        <v>20220915</v>
      </c>
      <c r="M1018" s="1" t="str">
        <f>"101743"</f>
        <v>101743</v>
      </c>
      <c r="N1018" s="1" t="s">
        <v>65</v>
      </c>
      <c r="O1018" s="1" t="s">
        <v>52</v>
      </c>
      <c r="P1018" s="1" t="s">
        <v>55</v>
      </c>
      <c r="Q1018" s="1">
        <v>25</v>
      </c>
      <c r="R1018" s="1">
        <v>25</v>
      </c>
      <c r="S1018" s="1">
        <v>0</v>
      </c>
      <c r="T1018" s="1">
        <v>0</v>
      </c>
      <c r="U1018" s="1">
        <v>0</v>
      </c>
      <c r="V1018" s="1" t="str">
        <f t="shared" si="137"/>
        <v>里程返程</v>
      </c>
      <c r="W1018" s="1" t="s">
        <v>35</v>
      </c>
    </row>
    <row r="1019" spans="1:23" x14ac:dyDescent="0.3">
      <c r="A1019" s="1" t="str">
        <f t="shared" si="144"/>
        <v>59825</v>
      </c>
      <c r="B1019" s="1" t="s">
        <v>30</v>
      </c>
      <c r="C1019" s="1" t="s">
        <v>31</v>
      </c>
      <c r="D1019" s="1" t="str">
        <f t="shared" si="136"/>
        <v>9801</v>
      </c>
      <c r="E1019" s="1" t="s">
        <v>25</v>
      </c>
      <c r="F1019" s="1" t="str">
        <f>"61B69A68252804001C00000000000000"</f>
        <v>61B69A68252804001C00000000000000</v>
      </c>
      <c r="G1019" s="1" t="s">
        <v>58</v>
      </c>
      <c r="H1019" s="1" t="str">
        <f t="shared" si="142"/>
        <v>20220915</v>
      </c>
      <c r="I1019" s="1" t="str">
        <f>"103713"</f>
        <v>103713</v>
      </c>
      <c r="J1019" s="1" t="s">
        <v>91</v>
      </c>
      <c r="K1019" s="1" t="s">
        <v>45</v>
      </c>
      <c r="L1019" s="1" t="str">
        <f t="shared" si="143"/>
        <v>20220915</v>
      </c>
      <c r="M1019" s="1" t="str">
        <f>"105412"</f>
        <v>105412</v>
      </c>
      <c r="N1019" s="1" t="s">
        <v>28</v>
      </c>
      <c r="O1019" s="1" t="s">
        <v>28</v>
      </c>
      <c r="P1019" s="1" t="s">
        <v>55</v>
      </c>
      <c r="Q1019" s="1">
        <v>25</v>
      </c>
      <c r="R1019" s="1">
        <v>25</v>
      </c>
      <c r="S1019" s="1">
        <v>0</v>
      </c>
      <c r="T1019" s="1">
        <v>0</v>
      </c>
      <c r="U1019" s="1">
        <v>0</v>
      </c>
      <c r="V1019" s="1" t="str">
        <f t="shared" si="137"/>
        <v>里程返程</v>
      </c>
      <c r="W1019" s="1" t="s">
        <v>29</v>
      </c>
    </row>
    <row r="1020" spans="1:23" x14ac:dyDescent="0.3">
      <c r="A1020" s="1" t="str">
        <f t="shared" si="144"/>
        <v>59825</v>
      </c>
      <c r="B1020" s="1" t="s">
        <v>30</v>
      </c>
      <c r="C1020" s="1" t="s">
        <v>31</v>
      </c>
      <c r="D1020" s="1" t="str">
        <f t="shared" si="136"/>
        <v>9801</v>
      </c>
      <c r="E1020" s="1" t="s">
        <v>25</v>
      </c>
      <c r="F1020" s="1" t="str">
        <f>"1299757825"</f>
        <v>1299757825</v>
      </c>
      <c r="G1020" s="1" t="s">
        <v>26</v>
      </c>
      <c r="H1020" s="1" t="str">
        <f t="shared" si="142"/>
        <v>20220915</v>
      </c>
      <c r="I1020" s="1" t="str">
        <f>"104329"</f>
        <v>104329</v>
      </c>
      <c r="J1020" s="1" t="s">
        <v>45</v>
      </c>
      <c r="K1020" s="1" t="s">
        <v>45</v>
      </c>
      <c r="L1020" s="1" t="str">
        <f t="shared" si="143"/>
        <v>20220915</v>
      </c>
      <c r="M1020" s="1" t="str">
        <f>"105404"</f>
        <v>105404</v>
      </c>
      <c r="N1020" s="1" t="s">
        <v>28</v>
      </c>
      <c r="O1020" s="1" t="s">
        <v>28</v>
      </c>
      <c r="P1020" s="1" t="s">
        <v>55</v>
      </c>
      <c r="Q1020" s="1">
        <v>13</v>
      </c>
      <c r="R1020" s="1">
        <v>0</v>
      </c>
      <c r="S1020" s="1">
        <v>13</v>
      </c>
      <c r="T1020" s="1">
        <v>0</v>
      </c>
      <c r="U1020" s="1">
        <v>0</v>
      </c>
      <c r="V1020" s="1" t="str">
        <f t="shared" si="137"/>
        <v>里程返程</v>
      </c>
      <c r="W1020" s="1" t="s">
        <v>35</v>
      </c>
    </row>
    <row r="1021" spans="1:23" x14ac:dyDescent="0.3">
      <c r="A1021" s="1" t="str">
        <f t="shared" si="144"/>
        <v>59825</v>
      </c>
      <c r="B1021" s="1" t="s">
        <v>30</v>
      </c>
      <c r="C1021" s="1" t="s">
        <v>31</v>
      </c>
      <c r="D1021" s="1" t="str">
        <f t="shared" si="136"/>
        <v>9801</v>
      </c>
      <c r="E1021" s="1" t="s">
        <v>25</v>
      </c>
      <c r="F1021" s="1" t="str">
        <f>"752712385"</f>
        <v>752712385</v>
      </c>
      <c r="G1021" s="1" t="s">
        <v>26</v>
      </c>
      <c r="H1021" s="1" t="str">
        <f t="shared" si="142"/>
        <v>20220915</v>
      </c>
      <c r="I1021" s="1" t="str">
        <f>"104334"</f>
        <v>104334</v>
      </c>
      <c r="J1021" s="1" t="s">
        <v>45</v>
      </c>
      <c r="K1021" s="1" t="s">
        <v>45</v>
      </c>
      <c r="L1021" s="1" t="str">
        <f t="shared" si="143"/>
        <v>20220915</v>
      </c>
      <c r="M1021" s="1" t="str">
        <f>"105400"</f>
        <v>105400</v>
      </c>
      <c r="N1021" s="1" t="s">
        <v>28</v>
      </c>
      <c r="O1021" s="1" t="s">
        <v>28</v>
      </c>
      <c r="P1021" s="1" t="s">
        <v>55</v>
      </c>
      <c r="Q1021" s="1">
        <v>13</v>
      </c>
      <c r="R1021" s="1">
        <v>0</v>
      </c>
      <c r="S1021" s="1">
        <v>13</v>
      </c>
      <c r="T1021" s="1">
        <v>0</v>
      </c>
      <c r="U1021" s="1">
        <v>0</v>
      </c>
      <c r="V1021" s="1" t="str">
        <f t="shared" si="137"/>
        <v>里程返程</v>
      </c>
      <c r="W1021" s="1" t="s">
        <v>35</v>
      </c>
    </row>
    <row r="1022" spans="1:23" x14ac:dyDescent="0.3">
      <c r="A1022" s="1" t="str">
        <f t="shared" si="144"/>
        <v>59825</v>
      </c>
      <c r="B1022" s="1" t="s">
        <v>30</v>
      </c>
      <c r="C1022" s="1" t="s">
        <v>31</v>
      </c>
      <c r="D1022" s="1" t="str">
        <f t="shared" si="136"/>
        <v>9801</v>
      </c>
      <c r="E1022" s="1" t="s">
        <v>25</v>
      </c>
      <c r="F1022" s="1" t="str">
        <f>"310506065"</f>
        <v>310506065</v>
      </c>
      <c r="G1022" s="1" t="s">
        <v>26</v>
      </c>
      <c r="H1022" s="1" t="str">
        <f t="shared" si="142"/>
        <v>20220915</v>
      </c>
      <c r="I1022" s="1" t="str">
        <f>"104341"</f>
        <v>104341</v>
      </c>
      <c r="J1022" s="1" t="s">
        <v>45</v>
      </c>
      <c r="K1022" s="1" t="s">
        <v>45</v>
      </c>
      <c r="L1022" s="1" t="str">
        <f t="shared" si="143"/>
        <v>20220915</v>
      </c>
      <c r="M1022" s="1" t="str">
        <f>"105349"</f>
        <v>105349</v>
      </c>
      <c r="N1022" s="1" t="s">
        <v>28</v>
      </c>
      <c r="O1022" s="1" t="s">
        <v>28</v>
      </c>
      <c r="P1022" s="1" t="s">
        <v>55</v>
      </c>
      <c r="Q1022" s="1">
        <v>13</v>
      </c>
      <c r="R1022" s="1">
        <v>0</v>
      </c>
      <c r="S1022" s="1">
        <v>13</v>
      </c>
      <c r="T1022" s="1">
        <v>0</v>
      </c>
      <c r="U1022" s="1">
        <v>0</v>
      </c>
      <c r="V1022" s="1" t="str">
        <f t="shared" si="137"/>
        <v>里程返程</v>
      </c>
      <c r="W1022" s="1" t="s">
        <v>35</v>
      </c>
    </row>
    <row r="1023" spans="1:23" x14ac:dyDescent="0.3">
      <c r="A1023" s="1" t="str">
        <f t="shared" si="144"/>
        <v>59825</v>
      </c>
      <c r="B1023" s="1" t="s">
        <v>30</v>
      </c>
      <c r="C1023" s="1" t="s">
        <v>31</v>
      </c>
      <c r="D1023" s="1" t="str">
        <f t="shared" si="136"/>
        <v>9801</v>
      </c>
      <c r="E1023" s="1" t="s">
        <v>25</v>
      </c>
      <c r="F1023" s="1" t="str">
        <f>"253150351"</f>
        <v>253150351</v>
      </c>
      <c r="G1023" s="1" t="s">
        <v>26</v>
      </c>
      <c r="H1023" s="1" t="str">
        <f t="shared" si="142"/>
        <v>20220915</v>
      </c>
      <c r="I1023" s="1" t="str">
        <f>"104344"</f>
        <v>104344</v>
      </c>
      <c r="J1023" s="1" t="s">
        <v>45</v>
      </c>
      <c r="K1023" s="1" t="s">
        <v>45</v>
      </c>
      <c r="L1023" s="1" t="str">
        <f t="shared" si="143"/>
        <v>20220915</v>
      </c>
      <c r="M1023" s="1" t="str">
        <f>"105416"</f>
        <v>105416</v>
      </c>
      <c r="N1023" s="1" t="s">
        <v>28</v>
      </c>
      <c r="O1023" s="1" t="s">
        <v>28</v>
      </c>
      <c r="P1023" s="1" t="s">
        <v>55</v>
      </c>
      <c r="Q1023" s="1">
        <v>13</v>
      </c>
      <c r="R1023" s="1">
        <v>0</v>
      </c>
      <c r="S1023" s="1">
        <v>13</v>
      </c>
      <c r="T1023" s="1">
        <v>0</v>
      </c>
      <c r="U1023" s="1">
        <v>0</v>
      </c>
      <c r="V1023" s="1" t="str">
        <f t="shared" si="137"/>
        <v>里程返程</v>
      </c>
      <c r="W1023" s="1" t="s">
        <v>35</v>
      </c>
    </row>
    <row r="1024" spans="1:23" x14ac:dyDescent="0.3">
      <c r="A1024" s="1" t="str">
        <f t="shared" si="144"/>
        <v>59825</v>
      </c>
      <c r="B1024" s="1" t="s">
        <v>30</v>
      </c>
      <c r="C1024" s="1" t="s">
        <v>31</v>
      </c>
      <c r="D1024" s="1" t="str">
        <f t="shared" si="136"/>
        <v>9801</v>
      </c>
      <c r="E1024" s="1" t="s">
        <v>25</v>
      </c>
      <c r="F1024" s="1" t="str">
        <f>"941870693"</f>
        <v>941870693</v>
      </c>
      <c r="G1024" s="1" t="s">
        <v>26</v>
      </c>
      <c r="H1024" s="1" t="str">
        <f t="shared" si="142"/>
        <v>20220915</v>
      </c>
      <c r="I1024" s="1" t="str">
        <f>"104347"</f>
        <v>104347</v>
      </c>
      <c r="J1024" s="1" t="s">
        <v>45</v>
      </c>
      <c r="K1024" s="1" t="s">
        <v>45</v>
      </c>
      <c r="L1024" s="1" t="str">
        <f t="shared" si="143"/>
        <v>20220915</v>
      </c>
      <c r="M1024" s="1" t="str">
        <f>"105357"</f>
        <v>105357</v>
      </c>
      <c r="N1024" s="1" t="s">
        <v>28</v>
      </c>
      <c r="O1024" s="1" t="s">
        <v>28</v>
      </c>
      <c r="P1024" s="1" t="s">
        <v>55</v>
      </c>
      <c r="Q1024" s="1">
        <v>13</v>
      </c>
      <c r="R1024" s="1">
        <v>0</v>
      </c>
      <c r="S1024" s="1">
        <v>13</v>
      </c>
      <c r="T1024" s="1">
        <v>0</v>
      </c>
      <c r="U1024" s="1">
        <v>0</v>
      </c>
      <c r="V1024" s="1" t="str">
        <f t="shared" si="137"/>
        <v>里程返程</v>
      </c>
      <c r="W1024" s="1" t="s">
        <v>35</v>
      </c>
    </row>
    <row r="1025" spans="1:23" x14ac:dyDescent="0.3">
      <c r="A1025" s="1" t="str">
        <f t="shared" si="144"/>
        <v>59825</v>
      </c>
      <c r="B1025" s="1" t="s">
        <v>30</v>
      </c>
      <c r="C1025" s="1" t="s">
        <v>31</v>
      </c>
      <c r="D1025" s="1" t="str">
        <f t="shared" si="136"/>
        <v>9801</v>
      </c>
      <c r="E1025" s="1" t="s">
        <v>25</v>
      </c>
      <c r="F1025" s="1" t="str">
        <f>"1600834117"</f>
        <v>1600834117</v>
      </c>
      <c r="G1025" s="1" t="s">
        <v>26</v>
      </c>
      <c r="H1025" s="1" t="str">
        <f t="shared" si="142"/>
        <v>20220915</v>
      </c>
      <c r="I1025" s="1" t="str">
        <f>"104351"</f>
        <v>104351</v>
      </c>
      <c r="J1025" s="1" t="s">
        <v>45</v>
      </c>
      <c r="K1025" s="1" t="s">
        <v>45</v>
      </c>
      <c r="L1025" s="1" t="str">
        <f t="shared" si="143"/>
        <v>20220915</v>
      </c>
      <c r="M1025" s="1" t="str">
        <f>"105354"</f>
        <v>105354</v>
      </c>
      <c r="N1025" s="1" t="s">
        <v>28</v>
      </c>
      <c r="O1025" s="1" t="s">
        <v>28</v>
      </c>
      <c r="P1025" s="1" t="s">
        <v>55</v>
      </c>
      <c r="Q1025" s="1">
        <v>13</v>
      </c>
      <c r="R1025" s="1">
        <v>0</v>
      </c>
      <c r="S1025" s="1">
        <v>13</v>
      </c>
      <c r="T1025" s="1">
        <v>0</v>
      </c>
      <c r="U1025" s="1">
        <v>0</v>
      </c>
      <c r="V1025" s="1" t="str">
        <f t="shared" si="137"/>
        <v>里程返程</v>
      </c>
      <c r="W1025" s="1" t="s">
        <v>35</v>
      </c>
    </row>
    <row r="1026" spans="1:23" x14ac:dyDescent="0.3">
      <c r="A1026" s="1" t="str">
        <f t="shared" si="144"/>
        <v>59825</v>
      </c>
      <c r="B1026" s="1" t="s">
        <v>30</v>
      </c>
      <c r="C1026" s="1" t="s">
        <v>31</v>
      </c>
      <c r="D1026" s="1" t="str">
        <f t="shared" ref="D1026:D1089" si="145">"9801"</f>
        <v>9801</v>
      </c>
      <c r="E1026" s="1" t="s">
        <v>25</v>
      </c>
      <c r="F1026" s="1" t="str">
        <f>"1610786853"</f>
        <v>1610786853</v>
      </c>
      <c r="G1026" s="1" t="s">
        <v>26</v>
      </c>
      <c r="H1026" s="1" t="str">
        <f t="shared" si="142"/>
        <v>20220915</v>
      </c>
      <c r="I1026" s="1" t="str">
        <f>"104355"</f>
        <v>104355</v>
      </c>
      <c r="J1026" s="1" t="s">
        <v>45</v>
      </c>
      <c r="K1026" s="1" t="s">
        <v>45</v>
      </c>
      <c r="L1026" s="1" t="str">
        <f t="shared" si="143"/>
        <v>20220915</v>
      </c>
      <c r="M1026" s="1" t="str">
        <f>"105348"</f>
        <v>105348</v>
      </c>
      <c r="N1026" s="1" t="s">
        <v>28</v>
      </c>
      <c r="O1026" s="1" t="s">
        <v>28</v>
      </c>
      <c r="P1026" s="1" t="s">
        <v>55</v>
      </c>
      <c r="Q1026" s="1">
        <v>13</v>
      </c>
      <c r="R1026" s="1">
        <v>0</v>
      </c>
      <c r="S1026" s="1">
        <v>13</v>
      </c>
      <c r="T1026" s="1">
        <v>0</v>
      </c>
      <c r="U1026" s="1">
        <v>0</v>
      </c>
      <c r="V1026" s="1" t="str">
        <f t="shared" ref="V1026:V1089" si="146">"里程返程"</f>
        <v>里程返程</v>
      </c>
      <c r="W1026" s="1" t="s">
        <v>35</v>
      </c>
    </row>
    <row r="1027" spans="1:23" x14ac:dyDescent="0.3">
      <c r="A1027" s="1" t="str">
        <f t="shared" si="144"/>
        <v>59825</v>
      </c>
      <c r="B1027" s="1" t="s">
        <v>30</v>
      </c>
      <c r="C1027" s="1" t="s">
        <v>31</v>
      </c>
      <c r="D1027" s="1" t="str">
        <f t="shared" si="145"/>
        <v>9801</v>
      </c>
      <c r="E1027" s="1" t="s">
        <v>25</v>
      </c>
      <c r="F1027" s="1" t="str">
        <f>"2100974762"</f>
        <v>2100974762</v>
      </c>
      <c r="G1027" s="1" t="s">
        <v>33</v>
      </c>
      <c r="H1027" s="1" t="str">
        <f t="shared" si="142"/>
        <v>20220915</v>
      </c>
      <c r="I1027" s="1" t="str">
        <f>"104359"</f>
        <v>104359</v>
      </c>
      <c r="J1027" s="1" t="s">
        <v>45</v>
      </c>
      <c r="K1027" s="1" t="s">
        <v>45</v>
      </c>
      <c r="L1027" s="1" t="str">
        <f t="shared" si="143"/>
        <v>20220915</v>
      </c>
      <c r="M1027" s="1" t="str">
        <f>"105407"</f>
        <v>105407</v>
      </c>
      <c r="N1027" s="1" t="s">
        <v>28</v>
      </c>
      <c r="O1027" s="1" t="s">
        <v>28</v>
      </c>
      <c r="P1027" s="1" t="s">
        <v>55</v>
      </c>
      <c r="Q1027" s="1">
        <v>25</v>
      </c>
      <c r="R1027" s="1">
        <v>0</v>
      </c>
      <c r="S1027" s="1">
        <v>25</v>
      </c>
      <c r="T1027" s="1">
        <v>0</v>
      </c>
      <c r="U1027" s="1">
        <v>0</v>
      </c>
      <c r="V1027" s="1" t="str">
        <f t="shared" si="146"/>
        <v>里程返程</v>
      </c>
      <c r="W1027" s="1" t="s">
        <v>35</v>
      </c>
    </row>
    <row r="1028" spans="1:23" x14ac:dyDescent="0.3">
      <c r="A1028" s="1" t="str">
        <f t="shared" si="144"/>
        <v>59825</v>
      </c>
      <c r="B1028" s="1" t="s">
        <v>30</v>
      </c>
      <c r="C1028" s="1" t="s">
        <v>31</v>
      </c>
      <c r="D1028" s="1" t="str">
        <f t="shared" si="145"/>
        <v>9801</v>
      </c>
      <c r="E1028" s="1" t="s">
        <v>25</v>
      </c>
      <c r="F1028" s="1" t="str">
        <f>"1641380389"</f>
        <v>1641380389</v>
      </c>
      <c r="G1028" s="1" t="s">
        <v>26</v>
      </c>
      <c r="H1028" s="1" t="str">
        <f t="shared" si="142"/>
        <v>20220915</v>
      </c>
      <c r="I1028" s="1" t="str">
        <f>"104402"</f>
        <v>104402</v>
      </c>
      <c r="J1028" s="1" t="s">
        <v>45</v>
      </c>
      <c r="K1028" s="1" t="s">
        <v>45</v>
      </c>
      <c r="L1028" s="1" t="str">
        <f t="shared" si="143"/>
        <v>20220915</v>
      </c>
      <c r="M1028" s="1" t="str">
        <f>"105410"</f>
        <v>105410</v>
      </c>
      <c r="N1028" s="1" t="s">
        <v>28</v>
      </c>
      <c r="O1028" s="1" t="s">
        <v>28</v>
      </c>
      <c r="P1028" s="1" t="s">
        <v>55</v>
      </c>
      <c r="Q1028" s="1">
        <v>13</v>
      </c>
      <c r="R1028" s="1">
        <v>0</v>
      </c>
      <c r="S1028" s="1">
        <v>13</v>
      </c>
      <c r="T1028" s="1">
        <v>0</v>
      </c>
      <c r="U1028" s="1">
        <v>0</v>
      </c>
      <c r="V1028" s="1" t="str">
        <f t="shared" si="146"/>
        <v>里程返程</v>
      </c>
      <c r="W1028" s="1" t="s">
        <v>35</v>
      </c>
    </row>
    <row r="1029" spans="1:23" x14ac:dyDescent="0.3">
      <c r="A1029" s="1" t="str">
        <f t="shared" si="144"/>
        <v>59825</v>
      </c>
      <c r="B1029" s="1" t="s">
        <v>30</v>
      </c>
      <c r="C1029" s="1" t="s">
        <v>31</v>
      </c>
      <c r="D1029" s="1" t="str">
        <f t="shared" si="145"/>
        <v>9801</v>
      </c>
      <c r="E1029" s="1" t="s">
        <v>25</v>
      </c>
      <c r="F1029" s="1" t="str">
        <f>"1175059989"</f>
        <v>1175059989</v>
      </c>
      <c r="G1029" s="1" t="s">
        <v>26</v>
      </c>
      <c r="H1029" s="1" t="str">
        <f t="shared" ref="H1029:H1054" si="147">"20220915"</f>
        <v>20220915</v>
      </c>
      <c r="I1029" s="1" t="str">
        <f>"104409"</f>
        <v>104409</v>
      </c>
      <c r="J1029" s="1" t="s">
        <v>45</v>
      </c>
      <c r="K1029" s="1" t="s">
        <v>45</v>
      </c>
      <c r="L1029" s="1" t="str">
        <f t="shared" ref="L1029:L1054" si="148">"20220915"</f>
        <v>20220915</v>
      </c>
      <c r="M1029" s="1" t="str">
        <f>"105424"</f>
        <v>105424</v>
      </c>
      <c r="N1029" s="1" t="s">
        <v>28</v>
      </c>
      <c r="O1029" s="1" t="s">
        <v>28</v>
      </c>
      <c r="P1029" s="1" t="s">
        <v>55</v>
      </c>
      <c r="Q1029" s="1">
        <v>13</v>
      </c>
      <c r="R1029" s="1">
        <v>0</v>
      </c>
      <c r="S1029" s="1">
        <v>13</v>
      </c>
      <c r="T1029" s="1">
        <v>0</v>
      </c>
      <c r="U1029" s="1">
        <v>0</v>
      </c>
      <c r="V1029" s="1" t="str">
        <f t="shared" si="146"/>
        <v>里程返程</v>
      </c>
      <c r="W1029" s="1" t="s">
        <v>35</v>
      </c>
    </row>
    <row r="1030" spans="1:23" x14ac:dyDescent="0.3">
      <c r="A1030" s="1" t="str">
        <f t="shared" si="144"/>
        <v>59825</v>
      </c>
      <c r="B1030" s="1" t="s">
        <v>30</v>
      </c>
      <c r="C1030" s="1" t="s">
        <v>31</v>
      </c>
      <c r="D1030" s="1" t="str">
        <f t="shared" si="145"/>
        <v>9801</v>
      </c>
      <c r="E1030" s="1" t="s">
        <v>25</v>
      </c>
      <c r="F1030" s="1" t="str">
        <f>"800318963"</f>
        <v>800318963</v>
      </c>
      <c r="G1030" s="1" t="s">
        <v>33</v>
      </c>
      <c r="H1030" s="1" t="str">
        <f t="shared" si="147"/>
        <v>20220915</v>
      </c>
      <c r="I1030" s="1" t="str">
        <f>"104412"</f>
        <v>104412</v>
      </c>
      <c r="J1030" s="1" t="s">
        <v>45</v>
      </c>
      <c r="K1030" s="1" t="s">
        <v>45</v>
      </c>
      <c r="L1030" s="1" t="str">
        <f t="shared" si="148"/>
        <v>20220915</v>
      </c>
      <c r="M1030" s="1" t="str">
        <f>"105419"</f>
        <v>105419</v>
      </c>
      <c r="N1030" s="1" t="s">
        <v>28</v>
      </c>
      <c r="O1030" s="1" t="s">
        <v>28</v>
      </c>
      <c r="P1030" s="1" t="s">
        <v>55</v>
      </c>
      <c r="Q1030" s="1">
        <v>25</v>
      </c>
      <c r="R1030" s="1">
        <v>0</v>
      </c>
      <c r="S1030" s="1">
        <v>25</v>
      </c>
      <c r="T1030" s="1">
        <v>0</v>
      </c>
      <c r="U1030" s="1">
        <v>0</v>
      </c>
      <c r="V1030" s="1" t="str">
        <f t="shared" si="146"/>
        <v>里程返程</v>
      </c>
      <c r="W1030" s="1" t="s">
        <v>35</v>
      </c>
    </row>
    <row r="1031" spans="1:23" x14ac:dyDescent="0.3">
      <c r="A1031" s="1" t="str">
        <f t="shared" si="144"/>
        <v>59825</v>
      </c>
      <c r="B1031" s="1" t="s">
        <v>30</v>
      </c>
      <c r="C1031" s="1" t="s">
        <v>31</v>
      </c>
      <c r="D1031" s="1" t="str">
        <f t="shared" si="145"/>
        <v>9801</v>
      </c>
      <c r="E1031" s="1" t="s">
        <v>25</v>
      </c>
      <c r="F1031" s="1" t="str">
        <f>"1041775765"</f>
        <v>1041775765</v>
      </c>
      <c r="G1031" s="1" t="s">
        <v>26</v>
      </c>
      <c r="H1031" s="1" t="str">
        <f t="shared" si="147"/>
        <v>20220915</v>
      </c>
      <c r="I1031" s="1" t="str">
        <f>"105444"</f>
        <v>105444</v>
      </c>
      <c r="J1031" s="1" t="s">
        <v>28</v>
      </c>
      <c r="K1031" s="1" t="s">
        <v>28</v>
      </c>
      <c r="L1031" s="1" t="str">
        <f t="shared" si="148"/>
        <v>20220915</v>
      </c>
      <c r="M1031" s="1" t="str">
        <f>"111525"</f>
        <v>111525</v>
      </c>
      <c r="N1031" s="1" t="s">
        <v>65</v>
      </c>
      <c r="O1031" s="1" t="s">
        <v>52</v>
      </c>
      <c r="P1031" s="1" t="s">
        <v>55</v>
      </c>
      <c r="Q1031" s="1">
        <v>13</v>
      </c>
      <c r="R1031" s="1">
        <v>13</v>
      </c>
      <c r="S1031" s="1">
        <v>0</v>
      </c>
      <c r="T1031" s="1">
        <v>0</v>
      </c>
      <c r="U1031" s="1">
        <v>0</v>
      </c>
      <c r="V1031" s="1" t="str">
        <f t="shared" si="146"/>
        <v>里程返程</v>
      </c>
      <c r="W1031" s="1" t="s">
        <v>35</v>
      </c>
    </row>
    <row r="1032" spans="1:23" x14ac:dyDescent="0.3">
      <c r="A1032" s="1" t="str">
        <f t="shared" si="144"/>
        <v>59825</v>
      </c>
      <c r="B1032" s="1" t="s">
        <v>30</v>
      </c>
      <c r="C1032" s="1" t="s">
        <v>31</v>
      </c>
      <c r="D1032" s="1" t="str">
        <f t="shared" si="145"/>
        <v>9801</v>
      </c>
      <c r="E1032" s="1" t="s">
        <v>25</v>
      </c>
      <c r="F1032" s="1" t="str">
        <f>"E213BD024E880400C834002000000015"</f>
        <v>E213BD024E880400C834002000000015</v>
      </c>
      <c r="G1032" s="1" t="s">
        <v>74</v>
      </c>
      <c r="H1032" s="1" t="str">
        <f t="shared" si="147"/>
        <v>20220915</v>
      </c>
      <c r="I1032" s="1" t="str">
        <f>"105450"</f>
        <v>105450</v>
      </c>
      <c r="J1032" s="1" t="s">
        <v>28</v>
      </c>
      <c r="K1032" s="1" t="s">
        <v>28</v>
      </c>
      <c r="L1032" s="1" t="str">
        <f t="shared" si="148"/>
        <v>20220915</v>
      </c>
      <c r="M1032" s="1" t="str">
        <f>"111543"</f>
        <v>111543</v>
      </c>
      <c r="N1032" s="1" t="s">
        <v>72</v>
      </c>
      <c r="O1032" s="1" t="s">
        <v>52</v>
      </c>
      <c r="P1032" s="1" t="s">
        <v>68</v>
      </c>
      <c r="Q1032" s="1">
        <v>13</v>
      </c>
      <c r="R1032" s="1">
        <v>0</v>
      </c>
      <c r="S1032" s="1">
        <v>0</v>
      </c>
      <c r="T1032" s="1">
        <v>13</v>
      </c>
      <c r="U1032" s="1">
        <v>0</v>
      </c>
      <c r="V1032" s="1" t="str">
        <f t="shared" si="146"/>
        <v>里程返程</v>
      </c>
      <c r="W1032" s="1" t="s">
        <v>29</v>
      </c>
    </row>
    <row r="1033" spans="1:23" x14ac:dyDescent="0.3">
      <c r="A1033" s="1" t="str">
        <f t="shared" si="144"/>
        <v>59825</v>
      </c>
      <c r="B1033" s="1" t="s">
        <v>30</v>
      </c>
      <c r="C1033" s="1" t="s">
        <v>31</v>
      </c>
      <c r="D1033" s="1" t="str">
        <f t="shared" si="145"/>
        <v>9801</v>
      </c>
      <c r="E1033" s="1" t="s">
        <v>25</v>
      </c>
      <c r="F1033" s="1" t="str">
        <f>"728F1418F1880400C814002000000019"</f>
        <v>728F1418F1880400C814002000000019</v>
      </c>
      <c r="G1033" s="1" t="s">
        <v>64</v>
      </c>
      <c r="H1033" s="1" t="str">
        <f t="shared" si="147"/>
        <v>20220915</v>
      </c>
      <c r="I1033" s="1" t="str">
        <f>"113024"</f>
        <v>113024</v>
      </c>
      <c r="J1033" s="1" t="s">
        <v>44</v>
      </c>
      <c r="K1033" s="1" t="s">
        <v>45</v>
      </c>
      <c r="L1033" s="1" t="str">
        <f t="shared" si="148"/>
        <v>20220915</v>
      </c>
      <c r="M1033" s="1" t="str">
        <f>"120634"</f>
        <v>120634</v>
      </c>
      <c r="N1033" s="1" t="s">
        <v>83</v>
      </c>
      <c r="O1033" s="1" t="s">
        <v>52</v>
      </c>
      <c r="P1033" s="1" t="s">
        <v>55</v>
      </c>
      <c r="Q1033" s="1">
        <v>25</v>
      </c>
      <c r="R1033" s="1">
        <v>12</v>
      </c>
      <c r="S1033" s="1">
        <v>13</v>
      </c>
      <c r="T1033" s="1">
        <v>0</v>
      </c>
      <c r="U1033" s="1">
        <v>0</v>
      </c>
      <c r="V1033" s="1" t="str">
        <f t="shared" si="146"/>
        <v>里程返程</v>
      </c>
      <c r="W1033" s="1" t="s">
        <v>29</v>
      </c>
    </row>
    <row r="1034" spans="1:23" x14ac:dyDescent="0.3">
      <c r="A1034" s="1" t="str">
        <f t="shared" si="144"/>
        <v>59825</v>
      </c>
      <c r="B1034" s="1" t="s">
        <v>30</v>
      </c>
      <c r="C1034" s="1" t="s">
        <v>31</v>
      </c>
      <c r="D1034" s="1" t="str">
        <f t="shared" si="145"/>
        <v>9801</v>
      </c>
      <c r="E1034" s="1" t="s">
        <v>25</v>
      </c>
      <c r="F1034" s="1" t="str">
        <f>"917A1600FD8804004324714D0002080E"</f>
        <v>917A1600FD8804004324714D0002080E</v>
      </c>
      <c r="G1034" s="1" t="s">
        <v>64</v>
      </c>
      <c r="H1034" s="1" t="str">
        <f t="shared" si="147"/>
        <v>20220915</v>
      </c>
      <c r="I1034" s="1" t="str">
        <f>"113026"</f>
        <v>113026</v>
      </c>
      <c r="J1034" s="1" t="s">
        <v>44</v>
      </c>
      <c r="K1034" s="1" t="s">
        <v>45</v>
      </c>
      <c r="L1034" s="1" t="str">
        <f t="shared" si="148"/>
        <v>20220915</v>
      </c>
      <c r="M1034" s="1" t="str">
        <f>"120644"</f>
        <v>120644</v>
      </c>
      <c r="N1034" s="1" t="s">
        <v>83</v>
      </c>
      <c r="O1034" s="1" t="s">
        <v>52</v>
      </c>
      <c r="P1034" s="1" t="s">
        <v>55</v>
      </c>
      <c r="Q1034" s="1">
        <v>25</v>
      </c>
      <c r="R1034" s="1">
        <v>12</v>
      </c>
      <c r="S1034" s="1">
        <v>13</v>
      </c>
      <c r="T1034" s="1">
        <v>0</v>
      </c>
      <c r="U1034" s="1">
        <v>0</v>
      </c>
      <c r="V1034" s="1" t="str">
        <f t="shared" si="146"/>
        <v>里程返程</v>
      </c>
      <c r="W1034" s="1" t="s">
        <v>29</v>
      </c>
    </row>
    <row r="1035" spans="1:23" x14ac:dyDescent="0.3">
      <c r="A1035" s="1" t="str">
        <f t="shared" si="144"/>
        <v>59825</v>
      </c>
      <c r="B1035" s="1" t="s">
        <v>30</v>
      </c>
      <c r="C1035" s="1" t="s">
        <v>31</v>
      </c>
      <c r="D1035" s="1" t="str">
        <f t="shared" si="145"/>
        <v>9801</v>
      </c>
      <c r="E1035" s="1" t="s">
        <v>25</v>
      </c>
      <c r="F1035" s="1" t="str">
        <f>"D1799B00338804004324714D0018080E"</f>
        <v>D1799B00338804004324714D0018080E</v>
      </c>
      <c r="G1035" s="1" t="s">
        <v>58</v>
      </c>
      <c r="H1035" s="1" t="str">
        <f t="shared" si="147"/>
        <v>20220915</v>
      </c>
      <c r="I1035" s="1" t="str">
        <f>"115452"</f>
        <v>115452</v>
      </c>
      <c r="J1035" s="1" t="s">
        <v>28</v>
      </c>
      <c r="K1035" s="1" t="s">
        <v>28</v>
      </c>
      <c r="L1035" s="1" t="str">
        <f t="shared" si="148"/>
        <v>20220915</v>
      </c>
      <c r="M1035" s="1" t="str">
        <f>"123155"</f>
        <v>123155</v>
      </c>
      <c r="N1035" s="1" t="s">
        <v>52</v>
      </c>
      <c r="O1035" s="1" t="s">
        <v>52</v>
      </c>
      <c r="P1035" s="1" t="s">
        <v>55</v>
      </c>
      <c r="Q1035" s="1">
        <v>25</v>
      </c>
      <c r="R1035" s="1">
        <v>0</v>
      </c>
      <c r="S1035" s="1">
        <v>25</v>
      </c>
      <c r="T1035" s="1">
        <v>0</v>
      </c>
      <c r="U1035" s="1">
        <v>0</v>
      </c>
      <c r="V1035" s="1" t="str">
        <f t="shared" si="146"/>
        <v>里程返程</v>
      </c>
      <c r="W1035" s="1" t="s">
        <v>29</v>
      </c>
    </row>
    <row r="1036" spans="1:23" x14ac:dyDescent="0.3">
      <c r="A1036" s="1" t="str">
        <f t="shared" si="144"/>
        <v>59825</v>
      </c>
      <c r="B1036" s="1" t="s">
        <v>30</v>
      </c>
      <c r="C1036" s="1" t="s">
        <v>31</v>
      </c>
      <c r="D1036" s="1" t="str">
        <f t="shared" si="145"/>
        <v>9801</v>
      </c>
      <c r="E1036" s="1" t="s">
        <v>25</v>
      </c>
      <c r="F1036" s="1" t="str">
        <f>"726626017"</f>
        <v>726626017</v>
      </c>
      <c r="G1036" s="1" t="s">
        <v>33</v>
      </c>
      <c r="H1036" s="1" t="str">
        <f t="shared" si="147"/>
        <v>20220915</v>
      </c>
      <c r="I1036" s="1" t="str">
        <f>"115456"</f>
        <v>115456</v>
      </c>
      <c r="J1036" s="1" t="s">
        <v>28</v>
      </c>
      <c r="K1036" s="1" t="s">
        <v>28</v>
      </c>
      <c r="L1036" s="1" t="str">
        <f t="shared" si="148"/>
        <v>20220915</v>
      </c>
      <c r="M1036" s="1" t="str">
        <f>"123158"</f>
        <v>123158</v>
      </c>
      <c r="N1036" s="1" t="s">
        <v>52</v>
      </c>
      <c r="O1036" s="1" t="s">
        <v>52</v>
      </c>
      <c r="P1036" s="1" t="s">
        <v>55</v>
      </c>
      <c r="Q1036" s="1">
        <v>25</v>
      </c>
      <c r="R1036" s="1">
        <v>0</v>
      </c>
      <c r="S1036" s="1">
        <v>25</v>
      </c>
      <c r="T1036" s="1">
        <v>0</v>
      </c>
      <c r="U1036" s="1">
        <v>0</v>
      </c>
      <c r="V1036" s="1" t="str">
        <f t="shared" si="146"/>
        <v>里程返程</v>
      </c>
      <c r="W1036" s="1" t="s">
        <v>35</v>
      </c>
    </row>
    <row r="1037" spans="1:23" x14ac:dyDescent="0.3">
      <c r="A1037" s="1" t="str">
        <f t="shared" si="144"/>
        <v>59825</v>
      </c>
      <c r="B1037" s="1" t="s">
        <v>30</v>
      </c>
      <c r="C1037" s="1" t="s">
        <v>31</v>
      </c>
      <c r="D1037" s="1" t="str">
        <f t="shared" si="145"/>
        <v>9801</v>
      </c>
      <c r="E1037" s="1" t="s">
        <v>25</v>
      </c>
      <c r="F1037" s="1" t="str">
        <f>"689881109"</f>
        <v>689881109</v>
      </c>
      <c r="G1037" s="1" t="s">
        <v>33</v>
      </c>
      <c r="H1037" s="1" t="str">
        <f t="shared" si="147"/>
        <v>20220915</v>
      </c>
      <c r="I1037" s="1" t="str">
        <f>"115503"</f>
        <v>115503</v>
      </c>
      <c r="J1037" s="1" t="s">
        <v>28</v>
      </c>
      <c r="K1037" s="1" t="s">
        <v>28</v>
      </c>
      <c r="L1037" s="1" t="str">
        <f t="shared" si="148"/>
        <v>20220915</v>
      </c>
      <c r="M1037" s="1" t="str">
        <f>"122130"</f>
        <v>122130</v>
      </c>
      <c r="N1037" s="1" t="s">
        <v>72</v>
      </c>
      <c r="O1037" s="1" t="s">
        <v>52</v>
      </c>
      <c r="P1037" s="1" t="s">
        <v>55</v>
      </c>
      <c r="Q1037" s="1">
        <v>25</v>
      </c>
      <c r="R1037" s="1">
        <v>0</v>
      </c>
      <c r="S1037" s="1">
        <v>25</v>
      </c>
      <c r="T1037" s="1">
        <v>0</v>
      </c>
      <c r="U1037" s="1">
        <v>0</v>
      </c>
      <c r="V1037" s="1" t="str">
        <f t="shared" si="146"/>
        <v>里程返程</v>
      </c>
      <c r="W1037" s="1" t="s">
        <v>35</v>
      </c>
    </row>
    <row r="1038" spans="1:23" x14ac:dyDescent="0.3">
      <c r="A1038" s="1" t="str">
        <f t="shared" si="144"/>
        <v>59825</v>
      </c>
      <c r="B1038" s="1" t="s">
        <v>30</v>
      </c>
      <c r="C1038" s="1" t="s">
        <v>31</v>
      </c>
      <c r="D1038" s="1" t="str">
        <f t="shared" si="145"/>
        <v>9801</v>
      </c>
      <c r="E1038" s="1" t="s">
        <v>25</v>
      </c>
      <c r="F1038" s="1" t="str">
        <f>"BAB7B4CE77880400475935D541403307"</f>
        <v>BAB7B4CE77880400475935D541403307</v>
      </c>
      <c r="G1038" s="1" t="s">
        <v>58</v>
      </c>
      <c r="H1038" s="1" t="str">
        <f t="shared" si="147"/>
        <v>20220915</v>
      </c>
      <c r="I1038" s="1" t="str">
        <f>"115507"</f>
        <v>115507</v>
      </c>
      <c r="J1038" s="1" t="s">
        <v>28</v>
      </c>
      <c r="K1038" s="1" t="s">
        <v>28</v>
      </c>
      <c r="L1038" s="1" t="str">
        <f t="shared" si="148"/>
        <v>20220915</v>
      </c>
      <c r="M1038" s="1" t="str">
        <f>"122139"</f>
        <v>122139</v>
      </c>
      <c r="N1038" s="1" t="s">
        <v>72</v>
      </c>
      <c r="O1038" s="1" t="s">
        <v>52</v>
      </c>
      <c r="P1038" s="1" t="s">
        <v>55</v>
      </c>
      <c r="Q1038" s="1">
        <v>25</v>
      </c>
      <c r="R1038" s="1">
        <v>0</v>
      </c>
      <c r="S1038" s="1">
        <v>25</v>
      </c>
      <c r="T1038" s="1">
        <v>0</v>
      </c>
      <c r="U1038" s="1">
        <v>0</v>
      </c>
      <c r="V1038" s="1" t="str">
        <f t="shared" si="146"/>
        <v>里程返程</v>
      </c>
      <c r="W1038" s="1" t="s">
        <v>29</v>
      </c>
    </row>
    <row r="1039" spans="1:23" x14ac:dyDescent="0.3">
      <c r="A1039" s="1" t="str">
        <f t="shared" si="144"/>
        <v>59825</v>
      </c>
      <c r="B1039" s="1" t="s">
        <v>30</v>
      </c>
      <c r="C1039" s="1" t="s">
        <v>31</v>
      </c>
      <c r="D1039" s="1" t="str">
        <f t="shared" si="145"/>
        <v>9801</v>
      </c>
      <c r="E1039" s="1" t="s">
        <v>25</v>
      </c>
      <c r="F1039" s="1" t="str">
        <f>"745654673"</f>
        <v>745654673</v>
      </c>
      <c r="G1039" s="1" t="s">
        <v>33</v>
      </c>
      <c r="H1039" s="1" t="str">
        <f t="shared" si="147"/>
        <v>20220915</v>
      </c>
      <c r="I1039" s="1" t="str">
        <f>"115514"</f>
        <v>115514</v>
      </c>
      <c r="J1039" s="1" t="s">
        <v>28</v>
      </c>
      <c r="K1039" s="1" t="s">
        <v>28</v>
      </c>
      <c r="L1039" s="1" t="str">
        <f t="shared" si="148"/>
        <v>20220915</v>
      </c>
      <c r="M1039" s="1" t="str">
        <f>"123138"</f>
        <v>123138</v>
      </c>
      <c r="N1039" s="1" t="s">
        <v>52</v>
      </c>
      <c r="O1039" s="1" t="s">
        <v>52</v>
      </c>
      <c r="P1039" s="1" t="s">
        <v>55</v>
      </c>
      <c r="Q1039" s="1">
        <v>25</v>
      </c>
      <c r="R1039" s="1">
        <v>25</v>
      </c>
      <c r="S1039" s="1">
        <v>0</v>
      </c>
      <c r="T1039" s="1">
        <v>0</v>
      </c>
      <c r="U1039" s="1">
        <v>0</v>
      </c>
      <c r="V1039" s="1" t="str">
        <f t="shared" si="146"/>
        <v>里程返程</v>
      </c>
      <c r="W1039" s="1" t="s">
        <v>35</v>
      </c>
    </row>
    <row r="1040" spans="1:23" x14ac:dyDescent="0.3">
      <c r="A1040" s="1" t="str">
        <f t="shared" si="144"/>
        <v>59825</v>
      </c>
      <c r="B1040" s="1" t="s">
        <v>30</v>
      </c>
      <c r="C1040" s="1" t="s">
        <v>31</v>
      </c>
      <c r="D1040" s="1" t="str">
        <f t="shared" si="145"/>
        <v>9801</v>
      </c>
      <c r="E1040" s="1" t="s">
        <v>25</v>
      </c>
      <c r="F1040" s="1" t="str">
        <f>"1041454965"</f>
        <v>1041454965</v>
      </c>
      <c r="G1040" s="1" t="s">
        <v>33</v>
      </c>
      <c r="H1040" s="1" t="str">
        <f t="shared" si="147"/>
        <v>20220915</v>
      </c>
      <c r="I1040" s="1" t="str">
        <f>"115516"</f>
        <v>115516</v>
      </c>
      <c r="J1040" s="1" t="s">
        <v>28</v>
      </c>
      <c r="K1040" s="1" t="s">
        <v>28</v>
      </c>
      <c r="L1040" s="1" t="str">
        <f t="shared" si="148"/>
        <v>20220915</v>
      </c>
      <c r="M1040" s="1" t="str">
        <f>"123141"</f>
        <v>123141</v>
      </c>
      <c r="N1040" s="1" t="s">
        <v>52</v>
      </c>
      <c r="O1040" s="1" t="s">
        <v>52</v>
      </c>
      <c r="P1040" s="1" t="s">
        <v>55</v>
      </c>
      <c r="Q1040" s="1">
        <v>25</v>
      </c>
      <c r="R1040" s="1">
        <v>0</v>
      </c>
      <c r="S1040" s="1">
        <v>25</v>
      </c>
      <c r="T1040" s="1">
        <v>0</v>
      </c>
      <c r="U1040" s="1">
        <v>0</v>
      </c>
      <c r="V1040" s="1" t="str">
        <f t="shared" si="146"/>
        <v>里程返程</v>
      </c>
      <c r="W1040" s="1" t="s">
        <v>35</v>
      </c>
    </row>
    <row r="1041" spans="1:23" x14ac:dyDescent="0.3">
      <c r="A1041" s="1" t="str">
        <f t="shared" si="144"/>
        <v>59825</v>
      </c>
      <c r="B1041" s="1" t="s">
        <v>30</v>
      </c>
      <c r="C1041" s="1" t="s">
        <v>31</v>
      </c>
      <c r="D1041" s="1" t="str">
        <f t="shared" si="145"/>
        <v>9801</v>
      </c>
      <c r="E1041" s="1" t="s">
        <v>25</v>
      </c>
      <c r="F1041" s="1" t="str">
        <f>"1874810209"</f>
        <v>1874810209</v>
      </c>
      <c r="G1041" s="1" t="s">
        <v>33</v>
      </c>
      <c r="H1041" s="1" t="str">
        <f t="shared" si="147"/>
        <v>20220915</v>
      </c>
      <c r="I1041" s="1" t="str">
        <f>"115519"</f>
        <v>115519</v>
      </c>
      <c r="J1041" s="1" t="s">
        <v>28</v>
      </c>
      <c r="K1041" s="1" t="s">
        <v>28</v>
      </c>
      <c r="L1041" s="1" t="str">
        <f t="shared" si="148"/>
        <v>20220915</v>
      </c>
      <c r="M1041" s="1" t="str">
        <f>"123136"</f>
        <v>123136</v>
      </c>
      <c r="N1041" s="1" t="s">
        <v>52</v>
      </c>
      <c r="O1041" s="1" t="s">
        <v>52</v>
      </c>
      <c r="P1041" s="1" t="s">
        <v>55</v>
      </c>
      <c r="Q1041" s="1">
        <v>25</v>
      </c>
      <c r="R1041" s="1">
        <v>0</v>
      </c>
      <c r="S1041" s="1">
        <v>25</v>
      </c>
      <c r="T1041" s="1">
        <v>0</v>
      </c>
      <c r="U1041" s="1">
        <v>0</v>
      </c>
      <c r="V1041" s="1" t="str">
        <f t="shared" si="146"/>
        <v>里程返程</v>
      </c>
      <c r="W1041" s="1" t="s">
        <v>35</v>
      </c>
    </row>
    <row r="1042" spans="1:23" x14ac:dyDescent="0.3">
      <c r="A1042" s="1" t="str">
        <f t="shared" si="144"/>
        <v>59825</v>
      </c>
      <c r="B1042" s="1" t="s">
        <v>30</v>
      </c>
      <c r="C1042" s="1" t="s">
        <v>31</v>
      </c>
      <c r="D1042" s="1" t="str">
        <f t="shared" si="145"/>
        <v>9801</v>
      </c>
      <c r="E1042" s="1" t="s">
        <v>25</v>
      </c>
      <c r="F1042" s="1" t="str">
        <f>"1807932517"</f>
        <v>1807932517</v>
      </c>
      <c r="G1042" s="1" t="s">
        <v>33</v>
      </c>
      <c r="H1042" s="1" t="str">
        <f t="shared" si="147"/>
        <v>20220915</v>
      </c>
      <c r="I1042" s="1" t="str">
        <f>"115522"</f>
        <v>115522</v>
      </c>
      <c r="J1042" s="1" t="s">
        <v>28</v>
      </c>
      <c r="K1042" s="1" t="s">
        <v>28</v>
      </c>
      <c r="L1042" s="1" t="str">
        <f t="shared" si="148"/>
        <v>20220915</v>
      </c>
      <c r="M1042" s="1" t="str">
        <f>"123145"</f>
        <v>123145</v>
      </c>
      <c r="N1042" s="1" t="s">
        <v>52</v>
      </c>
      <c r="O1042" s="1" t="s">
        <v>52</v>
      </c>
      <c r="P1042" s="1" t="s">
        <v>55</v>
      </c>
      <c r="Q1042" s="1">
        <v>25</v>
      </c>
      <c r="R1042" s="1">
        <v>0</v>
      </c>
      <c r="S1042" s="1">
        <v>25</v>
      </c>
      <c r="T1042" s="1">
        <v>0</v>
      </c>
      <c r="U1042" s="1">
        <v>0</v>
      </c>
      <c r="V1042" s="1" t="str">
        <f t="shared" si="146"/>
        <v>里程返程</v>
      </c>
      <c r="W1042" s="1" t="s">
        <v>35</v>
      </c>
    </row>
    <row r="1043" spans="1:23" x14ac:dyDescent="0.3">
      <c r="A1043" s="1" t="str">
        <f t="shared" si="144"/>
        <v>59825</v>
      </c>
      <c r="B1043" s="1" t="s">
        <v>30</v>
      </c>
      <c r="C1043" s="1" t="s">
        <v>31</v>
      </c>
      <c r="D1043" s="1" t="str">
        <f t="shared" si="145"/>
        <v>9801</v>
      </c>
      <c r="E1043" s="1" t="s">
        <v>25</v>
      </c>
      <c r="F1043" s="1" t="str">
        <f>"795559489"</f>
        <v>795559489</v>
      </c>
      <c r="G1043" s="1" t="s">
        <v>33</v>
      </c>
      <c r="H1043" s="1" t="str">
        <f t="shared" si="147"/>
        <v>20220915</v>
      </c>
      <c r="I1043" s="1" t="str">
        <f>"115527"</f>
        <v>115527</v>
      </c>
      <c r="J1043" s="1" t="s">
        <v>28</v>
      </c>
      <c r="K1043" s="1" t="s">
        <v>28</v>
      </c>
      <c r="L1043" s="1" t="str">
        <f t="shared" si="148"/>
        <v>20220915</v>
      </c>
      <c r="M1043" s="1" t="str">
        <f>"122135"</f>
        <v>122135</v>
      </c>
      <c r="N1043" s="1" t="s">
        <v>72</v>
      </c>
      <c r="O1043" s="1" t="s">
        <v>52</v>
      </c>
      <c r="P1043" s="1" t="s">
        <v>55</v>
      </c>
      <c r="Q1043" s="1">
        <v>25</v>
      </c>
      <c r="R1043" s="1">
        <v>25</v>
      </c>
      <c r="S1043" s="1">
        <v>0</v>
      </c>
      <c r="T1043" s="1">
        <v>0</v>
      </c>
      <c r="U1043" s="1">
        <v>0</v>
      </c>
      <c r="V1043" s="1" t="str">
        <f t="shared" si="146"/>
        <v>里程返程</v>
      </c>
      <c r="W1043" s="1" t="s">
        <v>35</v>
      </c>
    </row>
    <row r="1044" spans="1:23" x14ac:dyDescent="0.3">
      <c r="A1044" s="1" t="str">
        <f t="shared" si="144"/>
        <v>59825</v>
      </c>
      <c r="B1044" s="1" t="s">
        <v>30</v>
      </c>
      <c r="C1044" s="1" t="s">
        <v>31</v>
      </c>
      <c r="D1044" s="1" t="str">
        <f t="shared" si="145"/>
        <v>9801</v>
      </c>
      <c r="E1044" s="1" t="s">
        <v>25</v>
      </c>
      <c r="F1044" s="1" t="str">
        <f>"1278756241"</f>
        <v>1278756241</v>
      </c>
      <c r="G1044" s="1" t="s">
        <v>33</v>
      </c>
      <c r="H1044" s="1" t="str">
        <f t="shared" si="147"/>
        <v>20220915</v>
      </c>
      <c r="I1044" s="1" t="str">
        <f>"115530"</f>
        <v>115530</v>
      </c>
      <c r="J1044" s="1" t="s">
        <v>28</v>
      </c>
      <c r="K1044" s="1" t="s">
        <v>28</v>
      </c>
      <c r="L1044" s="1" t="str">
        <f t="shared" si="148"/>
        <v>20220915</v>
      </c>
      <c r="M1044" s="1" t="str">
        <f>"122137"</f>
        <v>122137</v>
      </c>
      <c r="N1044" s="1" t="s">
        <v>72</v>
      </c>
      <c r="O1044" s="1" t="s">
        <v>52</v>
      </c>
      <c r="P1044" s="1" t="s">
        <v>55</v>
      </c>
      <c r="Q1044" s="1">
        <v>25</v>
      </c>
      <c r="R1044" s="1">
        <v>25</v>
      </c>
      <c r="S1044" s="1">
        <v>0</v>
      </c>
      <c r="T1044" s="1">
        <v>0</v>
      </c>
      <c r="U1044" s="1">
        <v>0</v>
      </c>
      <c r="V1044" s="1" t="str">
        <f t="shared" si="146"/>
        <v>里程返程</v>
      </c>
      <c r="W1044" s="1" t="s">
        <v>35</v>
      </c>
    </row>
    <row r="1045" spans="1:23" x14ac:dyDescent="0.3">
      <c r="A1045" s="1" t="str">
        <f t="shared" si="144"/>
        <v>59825</v>
      </c>
      <c r="B1045" s="1" t="s">
        <v>30</v>
      </c>
      <c r="C1045" s="1" t="s">
        <v>31</v>
      </c>
      <c r="D1045" s="1" t="str">
        <f t="shared" si="145"/>
        <v>9801</v>
      </c>
      <c r="E1045" s="1" t="s">
        <v>25</v>
      </c>
      <c r="F1045" s="1" t="str">
        <f>"1654824821"</f>
        <v>1654824821</v>
      </c>
      <c r="G1045" s="1" t="s">
        <v>26</v>
      </c>
      <c r="H1045" s="1" t="str">
        <f t="shared" si="147"/>
        <v>20220915</v>
      </c>
      <c r="I1045" s="1" t="str">
        <f>"115535"</f>
        <v>115535</v>
      </c>
      <c r="J1045" s="1" t="s">
        <v>28</v>
      </c>
      <c r="K1045" s="1" t="s">
        <v>28</v>
      </c>
      <c r="L1045" s="1" t="str">
        <f t="shared" si="148"/>
        <v>20220915</v>
      </c>
      <c r="M1045" s="1" t="str">
        <f>"123152"</f>
        <v>123152</v>
      </c>
      <c r="N1045" s="1" t="s">
        <v>52</v>
      </c>
      <c r="O1045" s="1" t="s">
        <v>52</v>
      </c>
      <c r="P1045" s="1" t="s">
        <v>55</v>
      </c>
      <c r="Q1045" s="1">
        <v>13</v>
      </c>
      <c r="R1045" s="1">
        <v>0</v>
      </c>
      <c r="S1045" s="1">
        <v>13</v>
      </c>
      <c r="T1045" s="1">
        <v>0</v>
      </c>
      <c r="U1045" s="1">
        <v>0</v>
      </c>
      <c r="V1045" s="1" t="str">
        <f t="shared" si="146"/>
        <v>里程返程</v>
      </c>
      <c r="W1045" s="1" t="s">
        <v>35</v>
      </c>
    </row>
    <row r="1046" spans="1:23" x14ac:dyDescent="0.3">
      <c r="A1046" s="1" t="str">
        <f t="shared" si="144"/>
        <v>59825</v>
      </c>
      <c r="B1046" s="1" t="s">
        <v>30</v>
      </c>
      <c r="C1046" s="1" t="s">
        <v>31</v>
      </c>
      <c r="D1046" s="1" t="str">
        <f t="shared" si="145"/>
        <v>9801</v>
      </c>
      <c r="E1046" s="1" t="s">
        <v>25</v>
      </c>
      <c r="F1046" s="1" t="str">
        <f>"1042912405"</f>
        <v>1042912405</v>
      </c>
      <c r="G1046" s="1" t="s">
        <v>26</v>
      </c>
      <c r="H1046" s="1" t="str">
        <f t="shared" si="147"/>
        <v>20220915</v>
      </c>
      <c r="I1046" s="1" t="str">
        <f>"115541"</f>
        <v>115541</v>
      </c>
      <c r="J1046" s="1" t="s">
        <v>28</v>
      </c>
      <c r="K1046" s="1" t="s">
        <v>28</v>
      </c>
      <c r="L1046" s="1" t="str">
        <f t="shared" si="148"/>
        <v>20220915</v>
      </c>
      <c r="M1046" s="1" t="str">
        <f>"123149"</f>
        <v>123149</v>
      </c>
      <c r="N1046" s="1" t="s">
        <v>52</v>
      </c>
      <c r="O1046" s="1" t="s">
        <v>52</v>
      </c>
      <c r="P1046" s="1" t="s">
        <v>55</v>
      </c>
      <c r="Q1046" s="1">
        <v>13</v>
      </c>
      <c r="R1046" s="1">
        <v>0</v>
      </c>
      <c r="S1046" s="1">
        <v>13</v>
      </c>
      <c r="T1046" s="1">
        <v>0</v>
      </c>
      <c r="U1046" s="1">
        <v>0</v>
      </c>
      <c r="V1046" s="1" t="str">
        <f t="shared" si="146"/>
        <v>里程返程</v>
      </c>
      <c r="W1046" s="1" t="s">
        <v>35</v>
      </c>
    </row>
    <row r="1047" spans="1:23" x14ac:dyDescent="0.3">
      <c r="A1047" s="1" t="str">
        <f t="shared" si="144"/>
        <v>59825</v>
      </c>
      <c r="B1047" s="1" t="s">
        <v>30</v>
      </c>
      <c r="C1047" s="1" t="s">
        <v>31</v>
      </c>
      <c r="D1047" s="1" t="str">
        <f t="shared" si="145"/>
        <v>9801</v>
      </c>
      <c r="E1047" s="1" t="s">
        <v>25</v>
      </c>
      <c r="F1047" s="1" t="str">
        <f>"1454364865"</f>
        <v>1454364865</v>
      </c>
      <c r="G1047" s="1" t="s">
        <v>33</v>
      </c>
      <c r="H1047" s="1" t="str">
        <f t="shared" si="147"/>
        <v>20220915</v>
      </c>
      <c r="I1047" s="1" t="str">
        <f>"115544"</f>
        <v>115544</v>
      </c>
      <c r="J1047" s="1" t="s">
        <v>28</v>
      </c>
      <c r="K1047" s="1" t="s">
        <v>28</v>
      </c>
      <c r="L1047" s="1" t="str">
        <f t="shared" si="148"/>
        <v>20220915</v>
      </c>
      <c r="M1047" s="1" t="str">
        <f>"121131"</f>
        <v>121131</v>
      </c>
      <c r="N1047" s="1" t="s">
        <v>69</v>
      </c>
      <c r="O1047" s="1" t="s">
        <v>52</v>
      </c>
      <c r="P1047" s="1" t="s">
        <v>55</v>
      </c>
      <c r="Q1047" s="1">
        <v>25</v>
      </c>
      <c r="R1047" s="1">
        <v>0</v>
      </c>
      <c r="S1047" s="1">
        <v>25</v>
      </c>
      <c r="T1047" s="1">
        <v>0</v>
      </c>
      <c r="U1047" s="1">
        <v>0</v>
      </c>
      <c r="V1047" s="1" t="str">
        <f t="shared" si="146"/>
        <v>里程返程</v>
      </c>
      <c r="W1047" s="1" t="s">
        <v>35</v>
      </c>
    </row>
    <row r="1048" spans="1:23" x14ac:dyDescent="0.3">
      <c r="A1048" s="1" t="str">
        <f t="shared" si="144"/>
        <v>59825</v>
      </c>
      <c r="B1048" s="1" t="s">
        <v>30</v>
      </c>
      <c r="C1048" s="1" t="s">
        <v>31</v>
      </c>
      <c r="D1048" s="1" t="str">
        <f t="shared" si="145"/>
        <v>9801</v>
      </c>
      <c r="E1048" s="1" t="s">
        <v>25</v>
      </c>
      <c r="F1048" s="1" t="str">
        <f>"22F00D18C7880400C814002000000019"</f>
        <v>22F00D18C7880400C814002000000019</v>
      </c>
      <c r="G1048" s="1" t="s">
        <v>64</v>
      </c>
      <c r="H1048" s="1" t="str">
        <f t="shared" si="147"/>
        <v>20220915</v>
      </c>
      <c r="I1048" s="1" t="str">
        <f>"115548"</f>
        <v>115548</v>
      </c>
      <c r="J1048" s="1" t="s">
        <v>28</v>
      </c>
      <c r="K1048" s="1" t="s">
        <v>28</v>
      </c>
      <c r="L1048" s="1" t="str">
        <f t="shared" si="148"/>
        <v>20220915</v>
      </c>
      <c r="M1048" s="1" t="str">
        <f>"123140"</f>
        <v>123140</v>
      </c>
      <c r="N1048" s="1" t="s">
        <v>52</v>
      </c>
      <c r="O1048" s="1" t="s">
        <v>52</v>
      </c>
      <c r="P1048" s="1" t="s">
        <v>55</v>
      </c>
      <c r="Q1048" s="1">
        <v>13</v>
      </c>
      <c r="R1048" s="1">
        <v>0</v>
      </c>
      <c r="S1048" s="1">
        <v>13</v>
      </c>
      <c r="T1048" s="1">
        <v>0</v>
      </c>
      <c r="U1048" s="1">
        <v>0</v>
      </c>
      <c r="V1048" s="1" t="str">
        <f t="shared" si="146"/>
        <v>里程返程</v>
      </c>
      <c r="W1048" s="1" t="s">
        <v>29</v>
      </c>
    </row>
    <row r="1049" spans="1:23" x14ac:dyDescent="0.3">
      <c r="A1049" s="1" t="str">
        <f t="shared" si="144"/>
        <v>59825</v>
      </c>
      <c r="B1049" s="1" t="s">
        <v>30</v>
      </c>
      <c r="C1049" s="1" t="s">
        <v>31</v>
      </c>
      <c r="D1049" s="1" t="str">
        <f t="shared" si="145"/>
        <v>9801</v>
      </c>
      <c r="E1049" s="1" t="s">
        <v>25</v>
      </c>
      <c r="F1049" s="1" t="str">
        <f>"1760203237"</f>
        <v>1760203237</v>
      </c>
      <c r="G1049" s="1" t="s">
        <v>33</v>
      </c>
      <c r="H1049" s="1" t="str">
        <f t="shared" si="147"/>
        <v>20220915</v>
      </c>
      <c r="I1049" s="1" t="str">
        <f>"120628"</f>
        <v>120628</v>
      </c>
      <c r="J1049" s="1" t="s">
        <v>83</v>
      </c>
      <c r="K1049" s="1" t="s">
        <v>52</v>
      </c>
      <c r="L1049" s="1" t="str">
        <f t="shared" si="148"/>
        <v>20220915</v>
      </c>
      <c r="M1049" s="1" t="str">
        <f>"123129"</f>
        <v>123129</v>
      </c>
      <c r="N1049" s="1" t="s">
        <v>52</v>
      </c>
      <c r="O1049" s="1" t="s">
        <v>52</v>
      </c>
      <c r="P1049" s="1" t="s">
        <v>55</v>
      </c>
      <c r="Q1049" s="1">
        <v>25</v>
      </c>
      <c r="R1049" s="1">
        <v>25</v>
      </c>
      <c r="S1049" s="1">
        <v>0</v>
      </c>
      <c r="T1049" s="1">
        <v>0</v>
      </c>
      <c r="U1049" s="1">
        <v>0</v>
      </c>
      <c r="V1049" s="1" t="str">
        <f t="shared" si="146"/>
        <v>里程返程</v>
      </c>
      <c r="W1049" s="1" t="s">
        <v>35</v>
      </c>
    </row>
    <row r="1050" spans="1:23" x14ac:dyDescent="0.3">
      <c r="A1050" s="1" t="str">
        <f t="shared" si="144"/>
        <v>59825</v>
      </c>
      <c r="B1050" s="1" t="s">
        <v>30</v>
      </c>
      <c r="C1050" s="1" t="s">
        <v>31</v>
      </c>
      <c r="D1050" s="1" t="str">
        <f t="shared" si="145"/>
        <v>9801</v>
      </c>
      <c r="E1050" s="1" t="s">
        <v>25</v>
      </c>
      <c r="F1050" s="1" t="str">
        <f>"59B2B61F428804004326A82E00010211"</f>
        <v>59B2B61F428804004326A82E00010211</v>
      </c>
      <c r="G1050" s="1" t="s">
        <v>26</v>
      </c>
      <c r="H1050" s="1" t="str">
        <f t="shared" si="147"/>
        <v>20220915</v>
      </c>
      <c r="I1050" s="1" t="str">
        <f>"122117"</f>
        <v>122117</v>
      </c>
      <c r="J1050" s="1" t="s">
        <v>72</v>
      </c>
      <c r="K1050" s="1" t="s">
        <v>52</v>
      </c>
      <c r="L1050" s="1" t="str">
        <f t="shared" si="148"/>
        <v>20220915</v>
      </c>
      <c r="M1050" s="1" t="str">
        <f>"122701"</f>
        <v>122701</v>
      </c>
      <c r="N1050" s="1" t="s">
        <v>60</v>
      </c>
      <c r="O1050" s="1" t="s">
        <v>52</v>
      </c>
      <c r="P1050" s="1" t="s">
        <v>55</v>
      </c>
      <c r="Q1050" s="1">
        <v>13</v>
      </c>
      <c r="R1050" s="1">
        <v>13</v>
      </c>
      <c r="S1050" s="1">
        <v>0</v>
      </c>
      <c r="T1050" s="1">
        <v>0</v>
      </c>
      <c r="U1050" s="1">
        <v>0</v>
      </c>
      <c r="V1050" s="1" t="str">
        <f t="shared" si="146"/>
        <v>里程返程</v>
      </c>
      <c r="W1050" s="1" t="s">
        <v>29</v>
      </c>
    </row>
    <row r="1051" spans="1:23" x14ac:dyDescent="0.3">
      <c r="A1051" s="1" t="str">
        <f t="shared" si="144"/>
        <v>59825</v>
      </c>
      <c r="B1051" s="1" t="s">
        <v>30</v>
      </c>
      <c r="C1051" s="1" t="s">
        <v>31</v>
      </c>
      <c r="D1051" s="1" t="str">
        <f t="shared" si="145"/>
        <v>9801</v>
      </c>
      <c r="E1051" s="1" t="s">
        <v>25</v>
      </c>
      <c r="F1051" s="1" t="str">
        <f>"A256660290880400C821002000000015"</f>
        <v>A256660290880400C821002000000015</v>
      </c>
      <c r="G1051" s="1" t="s">
        <v>26</v>
      </c>
      <c r="H1051" s="1" t="str">
        <f t="shared" si="147"/>
        <v>20220915</v>
      </c>
      <c r="I1051" s="1" t="str">
        <f>"122126"</f>
        <v>122126</v>
      </c>
      <c r="J1051" s="1" t="s">
        <v>72</v>
      </c>
      <c r="K1051" s="1" t="s">
        <v>52</v>
      </c>
      <c r="L1051" s="1" t="str">
        <f t="shared" si="148"/>
        <v>20220915</v>
      </c>
      <c r="M1051" s="1" t="str">
        <f>"122616"</f>
        <v>122616</v>
      </c>
      <c r="N1051" s="1" t="s">
        <v>60</v>
      </c>
      <c r="O1051" s="1" t="s">
        <v>52</v>
      </c>
      <c r="P1051" s="1" t="s">
        <v>68</v>
      </c>
      <c r="Q1051" s="1">
        <v>13</v>
      </c>
      <c r="R1051" s="1">
        <v>0</v>
      </c>
      <c r="S1051" s="1">
        <v>0</v>
      </c>
      <c r="T1051" s="1">
        <v>13</v>
      </c>
      <c r="U1051" s="1">
        <v>0</v>
      </c>
      <c r="V1051" s="1" t="str">
        <f t="shared" si="146"/>
        <v>里程返程</v>
      </c>
      <c r="W1051" s="1" t="s">
        <v>29</v>
      </c>
    </row>
    <row r="1052" spans="1:23" x14ac:dyDescent="0.3">
      <c r="A1052" s="1" t="str">
        <f t="shared" si="144"/>
        <v>59825</v>
      </c>
      <c r="B1052" s="1" t="s">
        <v>30</v>
      </c>
      <c r="C1052" s="1" t="s">
        <v>31</v>
      </c>
      <c r="D1052" s="1" t="str">
        <f t="shared" si="145"/>
        <v>9801</v>
      </c>
      <c r="E1052" s="1" t="s">
        <v>25</v>
      </c>
      <c r="F1052" s="1" t="str">
        <f>"4229480221880400C821002000000015"</f>
        <v>4229480221880400C821002000000015</v>
      </c>
      <c r="G1052" s="1" t="s">
        <v>26</v>
      </c>
      <c r="H1052" s="1" t="str">
        <f t="shared" si="147"/>
        <v>20220915</v>
      </c>
      <c r="I1052" s="1" t="str">
        <f>"122200"</f>
        <v>122200</v>
      </c>
      <c r="J1052" s="1" t="s">
        <v>72</v>
      </c>
      <c r="K1052" s="1" t="s">
        <v>52</v>
      </c>
      <c r="L1052" s="1" t="str">
        <f t="shared" si="148"/>
        <v>20220915</v>
      </c>
      <c r="M1052" s="1" t="str">
        <f>"122714"</f>
        <v>122714</v>
      </c>
      <c r="N1052" s="1" t="s">
        <v>52</v>
      </c>
      <c r="O1052" s="1" t="s">
        <v>52</v>
      </c>
      <c r="P1052" s="1" t="s">
        <v>68</v>
      </c>
      <c r="Q1052" s="1">
        <v>13</v>
      </c>
      <c r="R1052" s="1">
        <v>0</v>
      </c>
      <c r="S1052" s="1">
        <v>0</v>
      </c>
      <c r="T1052" s="1">
        <v>13</v>
      </c>
      <c r="U1052" s="1">
        <v>0</v>
      </c>
      <c r="V1052" s="1" t="str">
        <f t="shared" si="146"/>
        <v>里程返程</v>
      </c>
      <c r="W1052" s="1" t="s">
        <v>29</v>
      </c>
    </row>
    <row r="1053" spans="1:23" x14ac:dyDescent="0.3">
      <c r="A1053" s="1" t="str">
        <f t="shared" si="144"/>
        <v>59825</v>
      </c>
      <c r="B1053" s="1" t="s">
        <v>30</v>
      </c>
      <c r="C1053" s="1" t="s">
        <v>31</v>
      </c>
      <c r="D1053" s="1" t="str">
        <f t="shared" si="145"/>
        <v>9801</v>
      </c>
      <c r="E1053" s="1" t="s">
        <v>25</v>
      </c>
      <c r="F1053" s="1" t="str">
        <f>"A256660290880400C821002000000015"</f>
        <v>A256660290880400C821002000000015</v>
      </c>
      <c r="G1053" s="1" t="s">
        <v>26</v>
      </c>
      <c r="H1053" s="1" t="str">
        <f t="shared" si="147"/>
        <v>20220915</v>
      </c>
      <c r="I1053" s="1" t="str">
        <f>"122655"</f>
        <v>122655</v>
      </c>
      <c r="J1053" s="1" t="s">
        <v>60</v>
      </c>
      <c r="K1053" s="1" t="s">
        <v>52</v>
      </c>
      <c r="L1053" s="1" t="str">
        <f t="shared" si="148"/>
        <v>20220915</v>
      </c>
      <c r="M1053" s="1" t="str">
        <f>"122710"</f>
        <v>122710</v>
      </c>
      <c r="N1053" s="1" t="s">
        <v>52</v>
      </c>
      <c r="O1053" s="1" t="s">
        <v>52</v>
      </c>
      <c r="P1053" s="1" t="s">
        <v>68</v>
      </c>
      <c r="Q1053" s="1">
        <v>13</v>
      </c>
      <c r="R1053" s="1">
        <v>0</v>
      </c>
      <c r="S1053" s="1">
        <v>0</v>
      </c>
      <c r="T1053" s="1">
        <v>13</v>
      </c>
      <c r="U1053" s="1">
        <v>0</v>
      </c>
      <c r="V1053" s="1" t="str">
        <f t="shared" si="146"/>
        <v>里程返程</v>
      </c>
      <c r="W1053" s="1" t="s">
        <v>29</v>
      </c>
    </row>
    <row r="1054" spans="1:23" x14ac:dyDescent="0.3">
      <c r="A1054" s="1" t="str">
        <f t="shared" si="144"/>
        <v>59825</v>
      </c>
      <c r="B1054" s="1" t="s">
        <v>30</v>
      </c>
      <c r="C1054" s="1" t="s">
        <v>31</v>
      </c>
      <c r="D1054" s="1" t="str">
        <f t="shared" si="145"/>
        <v>9801</v>
      </c>
      <c r="E1054" s="1" t="s">
        <v>25</v>
      </c>
      <c r="F1054" s="1" t="str">
        <f>"81291869D92804001C00000000000000"</f>
        <v>81291869D92804001C00000000000000</v>
      </c>
      <c r="G1054" s="1" t="s">
        <v>58</v>
      </c>
      <c r="H1054" s="1" t="str">
        <f t="shared" si="147"/>
        <v>20220915</v>
      </c>
      <c r="I1054" s="1" t="str">
        <f>"191211"</f>
        <v>191211</v>
      </c>
      <c r="J1054" s="1" t="s">
        <v>56</v>
      </c>
      <c r="K1054" s="1" t="s">
        <v>45</v>
      </c>
      <c r="L1054" s="1" t="str">
        <f t="shared" si="148"/>
        <v>20220915</v>
      </c>
      <c r="M1054" s="1" t="str">
        <f>"192553"</f>
        <v>192553</v>
      </c>
      <c r="N1054" s="1" t="s">
        <v>28</v>
      </c>
      <c r="O1054" s="1" t="s">
        <v>28</v>
      </c>
      <c r="P1054" s="1" t="s">
        <v>55</v>
      </c>
      <c r="Q1054" s="1">
        <v>25</v>
      </c>
      <c r="R1054" s="1">
        <v>25</v>
      </c>
      <c r="S1054" s="1">
        <v>0</v>
      </c>
      <c r="T1054" s="1">
        <v>0</v>
      </c>
      <c r="U1054" s="1">
        <v>0</v>
      </c>
      <c r="V1054" s="1" t="str">
        <f t="shared" si="146"/>
        <v>里程返程</v>
      </c>
      <c r="W1054" s="1" t="s">
        <v>29</v>
      </c>
    </row>
    <row r="1055" spans="1:23" x14ac:dyDescent="0.3">
      <c r="A1055" s="1" t="str">
        <f t="shared" ref="A1055:A1098" si="149">"59809"</f>
        <v>59809</v>
      </c>
      <c r="B1055" s="1" t="s">
        <v>42</v>
      </c>
      <c r="C1055" s="1" t="s">
        <v>43</v>
      </c>
      <c r="D1055" s="1" t="str">
        <f t="shared" si="145"/>
        <v>9801</v>
      </c>
      <c r="E1055" s="1" t="s">
        <v>25</v>
      </c>
      <c r="F1055" s="1" t="str">
        <f>"1752749445"</f>
        <v>1752749445</v>
      </c>
      <c r="G1055" s="1" t="s">
        <v>33</v>
      </c>
      <c r="H1055" s="1" t="str">
        <f t="shared" ref="H1055:H1086" si="150">"20220916"</f>
        <v>20220916</v>
      </c>
      <c r="I1055" s="1" t="str">
        <f>"062939"</f>
        <v>062939</v>
      </c>
      <c r="J1055" s="1" t="s">
        <v>28</v>
      </c>
      <c r="K1055" s="1" t="s">
        <v>28</v>
      </c>
      <c r="L1055" s="1" t="str">
        <f t="shared" ref="L1055:L1088" si="151">"20220916"</f>
        <v>20220916</v>
      </c>
      <c r="M1055" s="1" t="str">
        <f>"065250"</f>
        <v>065250</v>
      </c>
      <c r="N1055" s="1" t="s">
        <v>72</v>
      </c>
      <c r="O1055" s="1" t="s">
        <v>52</v>
      </c>
      <c r="P1055" s="1" t="s">
        <v>55</v>
      </c>
      <c r="Q1055" s="1">
        <v>25</v>
      </c>
      <c r="R1055" s="1">
        <v>0</v>
      </c>
      <c r="S1055" s="1">
        <v>25</v>
      </c>
      <c r="T1055" s="1">
        <v>0</v>
      </c>
      <c r="U1055" s="1">
        <v>0</v>
      </c>
      <c r="V1055" s="1" t="str">
        <f t="shared" si="146"/>
        <v>里程返程</v>
      </c>
      <c r="W1055" s="1" t="s">
        <v>35</v>
      </c>
    </row>
    <row r="1056" spans="1:23" x14ac:dyDescent="0.3">
      <c r="A1056" s="1" t="str">
        <f t="shared" si="149"/>
        <v>59809</v>
      </c>
      <c r="B1056" s="1" t="s">
        <v>42</v>
      </c>
      <c r="C1056" s="1" t="s">
        <v>43</v>
      </c>
      <c r="D1056" s="1" t="str">
        <f t="shared" si="145"/>
        <v>9801</v>
      </c>
      <c r="E1056" s="1" t="s">
        <v>25</v>
      </c>
      <c r="F1056" s="1" t="str">
        <f>"619F1761882804001C00000000000000"</f>
        <v>619F1761882804001C00000000000000</v>
      </c>
      <c r="G1056" s="1" t="s">
        <v>58</v>
      </c>
      <c r="H1056" s="1" t="str">
        <f t="shared" si="150"/>
        <v>20220916</v>
      </c>
      <c r="I1056" s="1" t="str">
        <f>"063023"</f>
        <v>063023</v>
      </c>
      <c r="J1056" s="1" t="s">
        <v>28</v>
      </c>
      <c r="K1056" s="1" t="s">
        <v>28</v>
      </c>
      <c r="L1056" s="1" t="str">
        <f t="shared" si="151"/>
        <v>20220916</v>
      </c>
      <c r="M1056" s="1" t="str">
        <f>"065246"</f>
        <v>065246</v>
      </c>
      <c r="N1056" s="1" t="s">
        <v>72</v>
      </c>
      <c r="O1056" s="1" t="s">
        <v>52</v>
      </c>
      <c r="P1056" s="1" t="s">
        <v>55</v>
      </c>
      <c r="Q1056" s="1">
        <v>25</v>
      </c>
      <c r="R1056" s="1">
        <v>0</v>
      </c>
      <c r="S1056" s="1">
        <v>25</v>
      </c>
      <c r="T1056" s="1">
        <v>0</v>
      </c>
      <c r="U1056" s="1">
        <v>0</v>
      </c>
      <c r="V1056" s="1" t="str">
        <f t="shared" si="146"/>
        <v>里程返程</v>
      </c>
      <c r="W1056" s="1" t="s">
        <v>29</v>
      </c>
    </row>
    <row r="1057" spans="1:23" x14ac:dyDescent="0.3">
      <c r="A1057" s="1" t="str">
        <f t="shared" si="149"/>
        <v>59809</v>
      </c>
      <c r="B1057" s="1" t="s">
        <v>42</v>
      </c>
      <c r="C1057" s="1" t="s">
        <v>43</v>
      </c>
      <c r="D1057" s="1" t="str">
        <f t="shared" si="145"/>
        <v>9801</v>
      </c>
      <c r="E1057" s="1" t="s">
        <v>25</v>
      </c>
      <c r="F1057" s="1" t="str">
        <f>"B28A1D0326880400C834002000000015"</f>
        <v>B28A1D0326880400C834002000000015</v>
      </c>
      <c r="G1057" s="1" t="s">
        <v>26</v>
      </c>
      <c r="H1057" s="1" t="str">
        <f t="shared" si="150"/>
        <v>20220916</v>
      </c>
      <c r="I1057" s="1" t="str">
        <f>"064236"</f>
        <v>064236</v>
      </c>
      <c r="J1057" s="1" t="s">
        <v>67</v>
      </c>
      <c r="K1057" s="1" t="s">
        <v>52</v>
      </c>
      <c r="L1057" s="1" t="str">
        <f t="shared" si="151"/>
        <v>20220916</v>
      </c>
      <c r="M1057" s="1" t="str">
        <f>"065646"</f>
        <v>065646</v>
      </c>
      <c r="N1057" s="1" t="s">
        <v>60</v>
      </c>
      <c r="O1057" s="1" t="s">
        <v>52</v>
      </c>
      <c r="P1057" s="1" t="s">
        <v>68</v>
      </c>
      <c r="Q1057" s="1">
        <v>13</v>
      </c>
      <c r="R1057" s="1">
        <v>0</v>
      </c>
      <c r="S1057" s="1">
        <v>0</v>
      </c>
      <c r="T1057" s="1">
        <v>13</v>
      </c>
      <c r="U1057" s="1">
        <v>0</v>
      </c>
      <c r="V1057" s="1" t="str">
        <f t="shared" si="146"/>
        <v>里程返程</v>
      </c>
      <c r="W1057" s="1" t="s">
        <v>29</v>
      </c>
    </row>
    <row r="1058" spans="1:23" x14ac:dyDescent="0.3">
      <c r="A1058" s="1" t="str">
        <f t="shared" si="149"/>
        <v>59809</v>
      </c>
      <c r="B1058" s="1" t="s">
        <v>42</v>
      </c>
      <c r="C1058" s="1" t="s">
        <v>43</v>
      </c>
      <c r="D1058" s="1" t="str">
        <f t="shared" si="145"/>
        <v>9801</v>
      </c>
      <c r="E1058" s="1" t="s">
        <v>25</v>
      </c>
      <c r="F1058" s="1" t="str">
        <f>"317388520"</f>
        <v>317388520</v>
      </c>
      <c r="G1058" s="1" t="s">
        <v>26</v>
      </c>
      <c r="H1058" s="1" t="str">
        <f t="shared" si="150"/>
        <v>20220916</v>
      </c>
      <c r="I1058" s="1" t="str">
        <f>"072520"</f>
        <v>072520</v>
      </c>
      <c r="J1058" s="1" t="s">
        <v>28</v>
      </c>
      <c r="K1058" s="1" t="s">
        <v>28</v>
      </c>
      <c r="L1058" s="1" t="str">
        <f t="shared" si="151"/>
        <v>20220916</v>
      </c>
      <c r="M1058" s="1" t="str">
        <f>"075233"</f>
        <v>075233</v>
      </c>
      <c r="N1058" s="1" t="s">
        <v>52</v>
      </c>
      <c r="O1058" s="1" t="s">
        <v>52</v>
      </c>
      <c r="P1058" s="1" t="s">
        <v>55</v>
      </c>
      <c r="Q1058" s="1">
        <v>13</v>
      </c>
      <c r="R1058" s="1">
        <v>0</v>
      </c>
      <c r="S1058" s="1">
        <v>13</v>
      </c>
      <c r="T1058" s="1">
        <v>0</v>
      </c>
      <c r="U1058" s="1">
        <v>0</v>
      </c>
      <c r="V1058" s="1" t="str">
        <f t="shared" si="146"/>
        <v>里程返程</v>
      </c>
      <c r="W1058" s="1" t="s">
        <v>35</v>
      </c>
    </row>
    <row r="1059" spans="1:23" x14ac:dyDescent="0.3">
      <c r="A1059" s="1" t="str">
        <f t="shared" si="149"/>
        <v>59809</v>
      </c>
      <c r="B1059" s="1" t="s">
        <v>42</v>
      </c>
      <c r="C1059" s="1" t="s">
        <v>43</v>
      </c>
      <c r="D1059" s="1" t="str">
        <f t="shared" si="145"/>
        <v>9801</v>
      </c>
      <c r="E1059" s="1" t="s">
        <v>25</v>
      </c>
      <c r="F1059" s="1" t="str">
        <f>"82730F18E6880400C814002000000019"</f>
        <v>82730F18E6880400C814002000000019</v>
      </c>
      <c r="G1059" s="1" t="s">
        <v>59</v>
      </c>
      <c r="H1059" s="1" t="str">
        <f t="shared" si="150"/>
        <v>20220916</v>
      </c>
      <c r="I1059" s="1" t="str">
        <f>"072523"</f>
        <v>072523</v>
      </c>
      <c r="J1059" s="1" t="s">
        <v>28</v>
      </c>
      <c r="K1059" s="1" t="s">
        <v>28</v>
      </c>
      <c r="L1059" s="1" t="str">
        <f t="shared" si="151"/>
        <v>20220916</v>
      </c>
      <c r="M1059" s="1" t="str">
        <f>"074328"</f>
        <v>074328</v>
      </c>
      <c r="N1059" s="1" t="s">
        <v>72</v>
      </c>
      <c r="O1059" s="1" t="s">
        <v>52</v>
      </c>
      <c r="P1059" s="1" t="s">
        <v>55</v>
      </c>
      <c r="Q1059" s="1">
        <v>25</v>
      </c>
      <c r="R1059" s="1">
        <v>0</v>
      </c>
      <c r="S1059" s="1">
        <v>25</v>
      </c>
      <c r="T1059" s="1">
        <v>0</v>
      </c>
      <c r="U1059" s="1">
        <v>0</v>
      </c>
      <c r="V1059" s="1" t="str">
        <f t="shared" si="146"/>
        <v>里程返程</v>
      </c>
      <c r="W1059" s="1" t="s">
        <v>29</v>
      </c>
    </row>
    <row r="1060" spans="1:23" x14ac:dyDescent="0.3">
      <c r="A1060" s="1" t="str">
        <f t="shared" si="149"/>
        <v>59809</v>
      </c>
      <c r="B1060" s="1" t="s">
        <v>42</v>
      </c>
      <c r="C1060" s="1" t="s">
        <v>43</v>
      </c>
      <c r="D1060" s="1" t="str">
        <f t="shared" si="145"/>
        <v>9801</v>
      </c>
      <c r="E1060" s="1" t="s">
        <v>25</v>
      </c>
      <c r="F1060" s="1" t="str">
        <f>"1076975349"</f>
        <v>1076975349</v>
      </c>
      <c r="G1060" s="1" t="s">
        <v>33</v>
      </c>
      <c r="H1060" s="1" t="str">
        <f t="shared" si="150"/>
        <v>20220916</v>
      </c>
      <c r="I1060" s="1" t="str">
        <f>"072525"</f>
        <v>072525</v>
      </c>
      <c r="J1060" s="1" t="s">
        <v>28</v>
      </c>
      <c r="K1060" s="1" t="s">
        <v>28</v>
      </c>
      <c r="L1060" s="1" t="str">
        <f t="shared" si="151"/>
        <v>20220916</v>
      </c>
      <c r="M1060" s="1" t="str">
        <f>"073301"</f>
        <v>073301</v>
      </c>
      <c r="N1060" s="1" t="s">
        <v>69</v>
      </c>
      <c r="O1060" s="1" t="s">
        <v>52</v>
      </c>
      <c r="P1060" s="1" t="s">
        <v>55</v>
      </c>
      <c r="Q1060" s="1">
        <v>25</v>
      </c>
      <c r="R1060" s="1">
        <v>0</v>
      </c>
      <c r="S1060" s="1">
        <v>25</v>
      </c>
      <c r="T1060" s="1">
        <v>0</v>
      </c>
      <c r="U1060" s="1">
        <v>0</v>
      </c>
      <c r="V1060" s="1" t="str">
        <f t="shared" si="146"/>
        <v>里程返程</v>
      </c>
      <c r="W1060" s="1" t="s">
        <v>35</v>
      </c>
    </row>
    <row r="1061" spans="1:23" x14ac:dyDescent="0.3">
      <c r="A1061" s="1" t="str">
        <f t="shared" si="149"/>
        <v>59809</v>
      </c>
      <c r="B1061" s="1" t="s">
        <v>42</v>
      </c>
      <c r="C1061" s="1" t="s">
        <v>43</v>
      </c>
      <c r="D1061" s="1" t="str">
        <f t="shared" si="145"/>
        <v>9801</v>
      </c>
      <c r="E1061" s="1" t="s">
        <v>25</v>
      </c>
      <c r="F1061" s="1" t="str">
        <f>"825D0C18CB880400C814002000000019"</f>
        <v>825D0C18CB880400C814002000000019</v>
      </c>
      <c r="G1061" s="1" t="s">
        <v>59</v>
      </c>
      <c r="H1061" s="1" t="str">
        <f t="shared" si="150"/>
        <v>20220916</v>
      </c>
      <c r="I1061" s="1" t="str">
        <f>"072528"</f>
        <v>072528</v>
      </c>
      <c r="J1061" s="1" t="s">
        <v>28</v>
      </c>
      <c r="K1061" s="1" t="s">
        <v>28</v>
      </c>
      <c r="L1061" s="1" t="str">
        <f t="shared" si="151"/>
        <v>20220916</v>
      </c>
      <c r="M1061" s="1" t="str">
        <f>"075237"</f>
        <v>075237</v>
      </c>
      <c r="N1061" s="1" t="s">
        <v>52</v>
      </c>
      <c r="O1061" s="1" t="s">
        <v>52</v>
      </c>
      <c r="P1061" s="1" t="s">
        <v>55</v>
      </c>
      <c r="Q1061" s="1">
        <v>25</v>
      </c>
      <c r="R1061" s="1">
        <v>0</v>
      </c>
      <c r="S1061" s="1">
        <v>25</v>
      </c>
      <c r="T1061" s="1">
        <v>0</v>
      </c>
      <c r="U1061" s="1">
        <v>0</v>
      </c>
      <c r="V1061" s="1" t="str">
        <f t="shared" si="146"/>
        <v>里程返程</v>
      </c>
      <c r="W1061" s="1" t="s">
        <v>29</v>
      </c>
    </row>
    <row r="1062" spans="1:23" x14ac:dyDescent="0.3">
      <c r="A1062" s="1" t="str">
        <f t="shared" si="149"/>
        <v>59809</v>
      </c>
      <c r="B1062" s="1" t="s">
        <v>42</v>
      </c>
      <c r="C1062" s="1" t="s">
        <v>43</v>
      </c>
      <c r="D1062" s="1" t="str">
        <f t="shared" si="145"/>
        <v>9801</v>
      </c>
      <c r="E1062" s="1" t="s">
        <v>25</v>
      </c>
      <c r="F1062" s="1" t="str">
        <f>"62F00B1881880400C814002000000019"</f>
        <v>62F00B1881880400C814002000000019</v>
      </c>
      <c r="G1062" s="1" t="s">
        <v>59</v>
      </c>
      <c r="H1062" s="1" t="str">
        <f t="shared" si="150"/>
        <v>20220916</v>
      </c>
      <c r="I1062" s="1" t="str">
        <f>"072531"</f>
        <v>072531</v>
      </c>
      <c r="J1062" s="1" t="s">
        <v>28</v>
      </c>
      <c r="K1062" s="1" t="s">
        <v>28</v>
      </c>
      <c r="L1062" s="1" t="str">
        <f t="shared" si="151"/>
        <v>20220916</v>
      </c>
      <c r="M1062" s="1" t="str">
        <f>"074331"</f>
        <v>074331</v>
      </c>
      <c r="N1062" s="1" t="s">
        <v>72</v>
      </c>
      <c r="O1062" s="1" t="s">
        <v>52</v>
      </c>
      <c r="P1062" s="1" t="s">
        <v>55</v>
      </c>
      <c r="Q1062" s="1">
        <v>25</v>
      </c>
      <c r="R1062" s="1">
        <v>0</v>
      </c>
      <c r="S1062" s="1">
        <v>25</v>
      </c>
      <c r="T1062" s="1">
        <v>0</v>
      </c>
      <c r="U1062" s="1">
        <v>0</v>
      </c>
      <c r="V1062" s="1" t="str">
        <f t="shared" si="146"/>
        <v>里程返程</v>
      </c>
      <c r="W1062" s="1" t="s">
        <v>29</v>
      </c>
    </row>
    <row r="1063" spans="1:23" x14ac:dyDescent="0.3">
      <c r="A1063" s="1" t="str">
        <f t="shared" si="149"/>
        <v>59809</v>
      </c>
      <c r="B1063" s="1" t="s">
        <v>42</v>
      </c>
      <c r="C1063" s="1" t="s">
        <v>43</v>
      </c>
      <c r="D1063" s="1" t="str">
        <f t="shared" si="145"/>
        <v>9801</v>
      </c>
      <c r="E1063" s="1" t="s">
        <v>25</v>
      </c>
      <c r="F1063" s="1" t="str">
        <f>"929885461"</f>
        <v>929885461</v>
      </c>
      <c r="G1063" s="1" t="s">
        <v>33</v>
      </c>
      <c r="H1063" s="1" t="str">
        <f t="shared" si="150"/>
        <v>20220916</v>
      </c>
      <c r="I1063" s="1" t="str">
        <f>"125111"</f>
        <v>125111</v>
      </c>
      <c r="J1063" s="1" t="s">
        <v>28</v>
      </c>
      <c r="K1063" s="1" t="s">
        <v>28</v>
      </c>
      <c r="L1063" s="1" t="str">
        <f t="shared" si="151"/>
        <v>20220916</v>
      </c>
      <c r="M1063" s="1" t="str">
        <f>"131445"</f>
        <v>131445</v>
      </c>
      <c r="N1063" s="1" t="s">
        <v>60</v>
      </c>
      <c r="O1063" s="1" t="s">
        <v>52</v>
      </c>
      <c r="P1063" s="1" t="s">
        <v>55</v>
      </c>
      <c r="Q1063" s="1">
        <v>25</v>
      </c>
      <c r="R1063" s="1">
        <v>25</v>
      </c>
      <c r="S1063" s="1">
        <v>0</v>
      </c>
      <c r="T1063" s="1">
        <v>0</v>
      </c>
      <c r="U1063" s="1">
        <v>0</v>
      </c>
      <c r="V1063" s="1" t="str">
        <f t="shared" si="146"/>
        <v>里程返程</v>
      </c>
      <c r="W1063" s="1" t="s">
        <v>35</v>
      </c>
    </row>
    <row r="1064" spans="1:23" x14ac:dyDescent="0.3">
      <c r="A1064" s="1" t="str">
        <f t="shared" si="149"/>
        <v>59809</v>
      </c>
      <c r="B1064" s="1" t="s">
        <v>42</v>
      </c>
      <c r="C1064" s="1" t="s">
        <v>43</v>
      </c>
      <c r="D1064" s="1" t="str">
        <f t="shared" si="145"/>
        <v>9801</v>
      </c>
      <c r="E1064" s="1" t="s">
        <v>25</v>
      </c>
      <c r="F1064" s="1" t="str">
        <f>"1087738197"</f>
        <v>1087738197</v>
      </c>
      <c r="G1064" s="1" t="s">
        <v>33</v>
      </c>
      <c r="H1064" s="1" t="str">
        <f t="shared" si="150"/>
        <v>20220916</v>
      </c>
      <c r="I1064" s="1" t="str">
        <f>"125118"</f>
        <v>125118</v>
      </c>
      <c r="J1064" s="1" t="s">
        <v>28</v>
      </c>
      <c r="K1064" s="1" t="s">
        <v>28</v>
      </c>
      <c r="L1064" s="1" t="str">
        <f t="shared" si="151"/>
        <v>20220916</v>
      </c>
      <c r="M1064" s="1" t="str">
        <f>"131405"</f>
        <v>131405</v>
      </c>
      <c r="N1064" s="1" t="s">
        <v>51</v>
      </c>
      <c r="O1064" s="1" t="s">
        <v>52</v>
      </c>
      <c r="P1064" s="1" t="s">
        <v>55</v>
      </c>
      <c r="Q1064" s="1">
        <v>25</v>
      </c>
      <c r="R1064" s="1">
        <v>25</v>
      </c>
      <c r="S1064" s="1">
        <v>0</v>
      </c>
      <c r="T1064" s="1">
        <v>0</v>
      </c>
      <c r="U1064" s="1">
        <v>0</v>
      </c>
      <c r="V1064" s="1" t="str">
        <f t="shared" si="146"/>
        <v>里程返程</v>
      </c>
      <c r="W1064" s="1" t="s">
        <v>35</v>
      </c>
    </row>
    <row r="1065" spans="1:23" x14ac:dyDescent="0.3">
      <c r="A1065" s="1" t="str">
        <f t="shared" si="149"/>
        <v>59809</v>
      </c>
      <c r="B1065" s="1" t="s">
        <v>42</v>
      </c>
      <c r="C1065" s="1" t="s">
        <v>43</v>
      </c>
      <c r="D1065" s="1" t="str">
        <f t="shared" si="145"/>
        <v>9801</v>
      </c>
      <c r="E1065" s="1" t="s">
        <v>25</v>
      </c>
      <c r="F1065" s="1" t="str">
        <f>"599692625"</f>
        <v>599692625</v>
      </c>
      <c r="G1065" s="1" t="s">
        <v>33</v>
      </c>
      <c r="H1065" s="1" t="str">
        <f t="shared" si="150"/>
        <v>20220916</v>
      </c>
      <c r="I1065" s="1" t="str">
        <f>"125306"</f>
        <v>125306</v>
      </c>
      <c r="J1065" s="1" t="s">
        <v>28</v>
      </c>
      <c r="K1065" s="1" t="s">
        <v>28</v>
      </c>
      <c r="L1065" s="1" t="str">
        <f t="shared" si="151"/>
        <v>20220916</v>
      </c>
      <c r="M1065" s="1" t="str">
        <f>"131035"</f>
        <v>131035</v>
      </c>
      <c r="N1065" s="1" t="s">
        <v>65</v>
      </c>
      <c r="O1065" s="1" t="s">
        <v>52</v>
      </c>
      <c r="P1065" s="1" t="s">
        <v>55</v>
      </c>
      <c r="Q1065" s="1">
        <v>25</v>
      </c>
      <c r="R1065" s="1">
        <v>25</v>
      </c>
      <c r="S1065" s="1">
        <v>0</v>
      </c>
      <c r="T1065" s="1">
        <v>0</v>
      </c>
      <c r="U1065" s="1">
        <v>0</v>
      </c>
      <c r="V1065" s="1" t="str">
        <f t="shared" si="146"/>
        <v>里程返程</v>
      </c>
      <c r="W1065" s="1" t="s">
        <v>35</v>
      </c>
    </row>
    <row r="1066" spans="1:23" x14ac:dyDescent="0.3">
      <c r="A1066" s="1" t="str">
        <f t="shared" si="149"/>
        <v>59809</v>
      </c>
      <c r="B1066" s="1" t="s">
        <v>42</v>
      </c>
      <c r="C1066" s="1" t="s">
        <v>43</v>
      </c>
      <c r="D1066" s="1" t="str">
        <f t="shared" si="145"/>
        <v>9801</v>
      </c>
      <c r="E1066" s="1" t="s">
        <v>25</v>
      </c>
      <c r="F1066" s="1" t="str">
        <f>"E220D10211880400C834002000000015"</f>
        <v>E220D10211880400C834002000000015</v>
      </c>
      <c r="G1066" s="1" t="s">
        <v>74</v>
      </c>
      <c r="H1066" s="1" t="str">
        <f t="shared" si="150"/>
        <v>20220916</v>
      </c>
      <c r="I1066" s="1" t="str">
        <f>"130844"</f>
        <v>130844</v>
      </c>
      <c r="J1066" s="1" t="s">
        <v>97</v>
      </c>
      <c r="K1066" s="1" t="s">
        <v>52</v>
      </c>
      <c r="L1066" s="1" t="str">
        <f t="shared" si="151"/>
        <v>20220916</v>
      </c>
      <c r="M1066" s="1" t="str">
        <f>"131015"</f>
        <v>131015</v>
      </c>
      <c r="N1066" s="1" t="s">
        <v>65</v>
      </c>
      <c r="O1066" s="1" t="s">
        <v>52</v>
      </c>
      <c r="P1066" s="1" t="s">
        <v>68</v>
      </c>
      <c r="Q1066" s="1">
        <v>13</v>
      </c>
      <c r="R1066" s="1">
        <v>0</v>
      </c>
      <c r="S1066" s="1">
        <v>0</v>
      </c>
      <c r="T1066" s="1">
        <v>13</v>
      </c>
      <c r="U1066" s="1">
        <v>0</v>
      </c>
      <c r="V1066" s="1" t="str">
        <f t="shared" si="146"/>
        <v>里程返程</v>
      </c>
      <c r="W1066" s="1" t="s">
        <v>29</v>
      </c>
    </row>
    <row r="1067" spans="1:23" x14ac:dyDescent="0.3">
      <c r="A1067" s="1" t="str">
        <f t="shared" si="149"/>
        <v>59809</v>
      </c>
      <c r="B1067" s="1" t="s">
        <v>42</v>
      </c>
      <c r="C1067" s="1" t="s">
        <v>43</v>
      </c>
      <c r="D1067" s="1" t="str">
        <f t="shared" si="145"/>
        <v>9801</v>
      </c>
      <c r="E1067" s="1" t="s">
        <v>25</v>
      </c>
      <c r="F1067" s="1" t="str">
        <f>"D5C5190A03180200D200000C22400417"</f>
        <v>D5C5190A03180200D200000C22400417</v>
      </c>
      <c r="G1067" s="1" t="s">
        <v>58</v>
      </c>
      <c r="H1067" s="1" t="str">
        <f t="shared" si="150"/>
        <v>20220916</v>
      </c>
      <c r="I1067" s="1" t="str">
        <f>"142658"</f>
        <v>142658</v>
      </c>
      <c r="J1067" s="1" t="s">
        <v>44</v>
      </c>
      <c r="K1067" s="1" t="s">
        <v>45</v>
      </c>
      <c r="L1067" s="1" t="str">
        <f t="shared" si="151"/>
        <v>20220916</v>
      </c>
      <c r="M1067" s="1" t="str">
        <f>"145617"</f>
        <v>145617</v>
      </c>
      <c r="N1067" s="1" t="s">
        <v>28</v>
      </c>
      <c r="O1067" s="1" t="s">
        <v>28</v>
      </c>
      <c r="P1067" s="1" t="s">
        <v>55</v>
      </c>
      <c r="Q1067" s="1">
        <v>25</v>
      </c>
      <c r="R1067" s="1">
        <v>0</v>
      </c>
      <c r="S1067" s="1">
        <v>25</v>
      </c>
      <c r="T1067" s="1">
        <v>0</v>
      </c>
      <c r="U1067" s="1">
        <v>0</v>
      </c>
      <c r="V1067" s="1" t="str">
        <f t="shared" si="146"/>
        <v>里程返程</v>
      </c>
      <c r="W1067" s="1" t="s">
        <v>29</v>
      </c>
    </row>
    <row r="1068" spans="1:23" x14ac:dyDescent="0.3">
      <c r="A1068" s="1" t="str">
        <f t="shared" si="149"/>
        <v>59809</v>
      </c>
      <c r="B1068" s="1" t="s">
        <v>42</v>
      </c>
      <c r="C1068" s="1" t="s">
        <v>43</v>
      </c>
      <c r="D1068" s="1" t="str">
        <f t="shared" si="145"/>
        <v>9801</v>
      </c>
      <c r="E1068" s="1" t="s">
        <v>25</v>
      </c>
      <c r="F1068" s="1" t="str">
        <f>"546857249"</f>
        <v>546857249</v>
      </c>
      <c r="G1068" s="1" t="s">
        <v>33</v>
      </c>
      <c r="H1068" s="1" t="str">
        <f t="shared" si="150"/>
        <v>20220916</v>
      </c>
      <c r="I1068" s="1" t="str">
        <f>"142700"</f>
        <v>142700</v>
      </c>
      <c r="J1068" s="1" t="s">
        <v>44</v>
      </c>
      <c r="K1068" s="1" t="s">
        <v>45</v>
      </c>
      <c r="L1068" s="1" t="str">
        <f t="shared" si="151"/>
        <v>20220916</v>
      </c>
      <c r="M1068" s="1" t="str">
        <f>"145615"</f>
        <v>145615</v>
      </c>
      <c r="N1068" s="1" t="s">
        <v>28</v>
      </c>
      <c r="O1068" s="1" t="s">
        <v>28</v>
      </c>
      <c r="P1068" s="1" t="s">
        <v>55</v>
      </c>
      <c r="Q1068" s="1">
        <v>25</v>
      </c>
      <c r="R1068" s="1">
        <v>0</v>
      </c>
      <c r="S1068" s="1">
        <v>25</v>
      </c>
      <c r="T1068" s="1">
        <v>0</v>
      </c>
      <c r="U1068" s="1">
        <v>0</v>
      </c>
      <c r="V1068" s="1" t="str">
        <f t="shared" si="146"/>
        <v>里程返程</v>
      </c>
      <c r="W1068" s="1" t="s">
        <v>35</v>
      </c>
    </row>
    <row r="1069" spans="1:23" x14ac:dyDescent="0.3">
      <c r="A1069" s="1" t="str">
        <f t="shared" si="149"/>
        <v>59809</v>
      </c>
      <c r="B1069" s="1" t="s">
        <v>42</v>
      </c>
      <c r="C1069" s="1" t="s">
        <v>43</v>
      </c>
      <c r="D1069" s="1" t="str">
        <f t="shared" si="145"/>
        <v>9801</v>
      </c>
      <c r="E1069" s="1" t="s">
        <v>25</v>
      </c>
      <c r="F1069" s="1" t="str">
        <f>"1200384117"</f>
        <v>1200384117</v>
      </c>
      <c r="G1069" s="1" t="s">
        <v>33</v>
      </c>
      <c r="H1069" s="1" t="str">
        <f t="shared" si="150"/>
        <v>20220916</v>
      </c>
      <c r="I1069" s="1" t="str">
        <f>"142702"</f>
        <v>142702</v>
      </c>
      <c r="J1069" s="1" t="s">
        <v>44</v>
      </c>
      <c r="K1069" s="1" t="s">
        <v>45</v>
      </c>
      <c r="L1069" s="1" t="str">
        <f t="shared" si="151"/>
        <v>20220916</v>
      </c>
      <c r="M1069" s="1" t="str">
        <f>"145613"</f>
        <v>145613</v>
      </c>
      <c r="N1069" s="1" t="s">
        <v>28</v>
      </c>
      <c r="O1069" s="1" t="s">
        <v>28</v>
      </c>
      <c r="P1069" s="1" t="s">
        <v>55</v>
      </c>
      <c r="Q1069" s="1">
        <v>25</v>
      </c>
      <c r="R1069" s="1">
        <v>0</v>
      </c>
      <c r="S1069" s="1">
        <v>25</v>
      </c>
      <c r="T1069" s="1">
        <v>0</v>
      </c>
      <c r="U1069" s="1">
        <v>0</v>
      </c>
      <c r="V1069" s="1" t="str">
        <f t="shared" si="146"/>
        <v>里程返程</v>
      </c>
      <c r="W1069" s="1" t="s">
        <v>35</v>
      </c>
    </row>
    <row r="1070" spans="1:23" x14ac:dyDescent="0.3">
      <c r="A1070" s="1" t="str">
        <f t="shared" si="149"/>
        <v>59809</v>
      </c>
      <c r="B1070" s="1" t="s">
        <v>42</v>
      </c>
      <c r="C1070" s="1" t="s">
        <v>43</v>
      </c>
      <c r="D1070" s="1" t="str">
        <f t="shared" si="145"/>
        <v>9801</v>
      </c>
      <c r="E1070" s="1" t="s">
        <v>25</v>
      </c>
      <c r="F1070" s="1" t="str">
        <f>"3283E61146880400C824002000000018"</f>
        <v>3283E61146880400C824002000000018</v>
      </c>
      <c r="G1070" s="1" t="s">
        <v>58</v>
      </c>
      <c r="H1070" s="1" t="str">
        <f t="shared" si="150"/>
        <v>20220916</v>
      </c>
      <c r="I1070" s="1" t="str">
        <f>"144045"</f>
        <v>144045</v>
      </c>
      <c r="J1070" s="1" t="s">
        <v>61</v>
      </c>
      <c r="K1070" s="1" t="s">
        <v>45</v>
      </c>
      <c r="L1070" s="1" t="str">
        <f t="shared" si="151"/>
        <v>20220916</v>
      </c>
      <c r="M1070" s="1" t="str">
        <f>"145716"</f>
        <v>145716</v>
      </c>
      <c r="N1070" s="1" t="s">
        <v>28</v>
      </c>
      <c r="O1070" s="1" t="s">
        <v>28</v>
      </c>
      <c r="P1070" s="1" t="s">
        <v>55</v>
      </c>
      <c r="Q1070" s="1">
        <v>25</v>
      </c>
      <c r="R1070" s="1">
        <v>25</v>
      </c>
      <c r="S1070" s="1">
        <v>0</v>
      </c>
      <c r="T1070" s="1">
        <v>0</v>
      </c>
      <c r="U1070" s="1">
        <v>0</v>
      </c>
      <c r="V1070" s="1" t="str">
        <f t="shared" si="146"/>
        <v>里程返程</v>
      </c>
      <c r="W1070" s="1" t="s">
        <v>29</v>
      </c>
    </row>
    <row r="1071" spans="1:23" x14ac:dyDescent="0.3">
      <c r="A1071" s="1" t="str">
        <f t="shared" si="149"/>
        <v>59809</v>
      </c>
      <c r="B1071" s="1" t="s">
        <v>42</v>
      </c>
      <c r="C1071" s="1" t="s">
        <v>43</v>
      </c>
      <c r="D1071" s="1" t="str">
        <f t="shared" si="145"/>
        <v>9801</v>
      </c>
      <c r="E1071" s="1" t="s">
        <v>25</v>
      </c>
      <c r="F1071" s="1" t="str">
        <f>"02FFF1010D880400C821002000000015"</f>
        <v>02FFF1010D880400C821002000000015</v>
      </c>
      <c r="G1071" s="1" t="s">
        <v>82</v>
      </c>
      <c r="H1071" s="1" t="str">
        <f t="shared" si="150"/>
        <v>20220916</v>
      </c>
      <c r="I1071" s="1" t="str">
        <f>"144509"</f>
        <v>144509</v>
      </c>
      <c r="J1071" s="1" t="s">
        <v>45</v>
      </c>
      <c r="K1071" s="1" t="s">
        <v>45</v>
      </c>
      <c r="L1071" s="1" t="str">
        <f t="shared" si="151"/>
        <v>20220916</v>
      </c>
      <c r="M1071" s="1" t="str">
        <f>"145607"</f>
        <v>145607</v>
      </c>
      <c r="N1071" s="1" t="s">
        <v>28</v>
      </c>
      <c r="O1071" s="1" t="s">
        <v>28</v>
      </c>
      <c r="P1071" s="1" t="s">
        <v>55</v>
      </c>
      <c r="Q1071" s="1">
        <v>13</v>
      </c>
      <c r="R1071" s="1">
        <v>0</v>
      </c>
      <c r="S1071" s="1">
        <v>13</v>
      </c>
      <c r="T1071" s="1">
        <v>0</v>
      </c>
      <c r="U1071" s="1">
        <v>0</v>
      </c>
      <c r="V1071" s="1" t="str">
        <f t="shared" si="146"/>
        <v>里程返程</v>
      </c>
      <c r="W1071" s="1" t="s">
        <v>29</v>
      </c>
    </row>
    <row r="1072" spans="1:23" x14ac:dyDescent="0.3">
      <c r="A1072" s="1" t="str">
        <f t="shared" si="149"/>
        <v>59809</v>
      </c>
      <c r="B1072" s="1" t="s">
        <v>42</v>
      </c>
      <c r="C1072" s="1" t="s">
        <v>43</v>
      </c>
      <c r="D1072" s="1" t="str">
        <f t="shared" si="145"/>
        <v>9801</v>
      </c>
      <c r="E1072" s="1" t="s">
        <v>25</v>
      </c>
      <c r="F1072" s="1" t="str">
        <f>"861309137"</f>
        <v>861309137</v>
      </c>
      <c r="G1072" s="1" t="s">
        <v>33</v>
      </c>
      <c r="H1072" s="1" t="str">
        <f t="shared" si="150"/>
        <v>20220916</v>
      </c>
      <c r="I1072" s="1" t="str">
        <f>"144511"</f>
        <v>144511</v>
      </c>
      <c r="J1072" s="1" t="s">
        <v>45</v>
      </c>
      <c r="K1072" s="1" t="s">
        <v>45</v>
      </c>
      <c r="L1072" s="1" t="str">
        <f t="shared" si="151"/>
        <v>20220916</v>
      </c>
      <c r="M1072" s="1" t="str">
        <f>"145629"</f>
        <v>145629</v>
      </c>
      <c r="N1072" s="1" t="s">
        <v>28</v>
      </c>
      <c r="O1072" s="1" t="s">
        <v>28</v>
      </c>
      <c r="P1072" s="1" t="s">
        <v>55</v>
      </c>
      <c r="Q1072" s="1">
        <v>25</v>
      </c>
      <c r="R1072" s="1">
        <v>0</v>
      </c>
      <c r="S1072" s="1">
        <v>25</v>
      </c>
      <c r="T1072" s="1">
        <v>0</v>
      </c>
      <c r="U1072" s="1">
        <v>0</v>
      </c>
      <c r="V1072" s="1" t="str">
        <f t="shared" si="146"/>
        <v>里程返程</v>
      </c>
      <c r="W1072" s="1" t="s">
        <v>35</v>
      </c>
    </row>
    <row r="1073" spans="1:23" x14ac:dyDescent="0.3">
      <c r="A1073" s="1" t="str">
        <f t="shared" si="149"/>
        <v>59809</v>
      </c>
      <c r="B1073" s="1" t="s">
        <v>42</v>
      </c>
      <c r="C1073" s="1" t="s">
        <v>43</v>
      </c>
      <c r="D1073" s="1" t="str">
        <f t="shared" si="145"/>
        <v>9801</v>
      </c>
      <c r="E1073" s="1" t="s">
        <v>25</v>
      </c>
      <c r="F1073" s="1" t="str">
        <f>"1176423637"</f>
        <v>1176423637</v>
      </c>
      <c r="G1073" s="1" t="s">
        <v>26</v>
      </c>
      <c r="H1073" s="1" t="str">
        <f t="shared" si="150"/>
        <v>20220916</v>
      </c>
      <c r="I1073" s="1" t="str">
        <f>"144515"</f>
        <v>144515</v>
      </c>
      <c r="J1073" s="1" t="s">
        <v>45</v>
      </c>
      <c r="K1073" s="1" t="s">
        <v>45</v>
      </c>
      <c r="L1073" s="1" t="str">
        <f t="shared" si="151"/>
        <v>20220916</v>
      </c>
      <c r="M1073" s="1" t="str">
        <f>"145625"</f>
        <v>145625</v>
      </c>
      <c r="N1073" s="1" t="s">
        <v>28</v>
      </c>
      <c r="O1073" s="1" t="s">
        <v>28</v>
      </c>
      <c r="P1073" s="1" t="s">
        <v>55</v>
      </c>
      <c r="Q1073" s="1">
        <v>13</v>
      </c>
      <c r="R1073" s="1">
        <v>0</v>
      </c>
      <c r="S1073" s="1">
        <v>13</v>
      </c>
      <c r="T1073" s="1">
        <v>0</v>
      </c>
      <c r="U1073" s="1">
        <v>0</v>
      </c>
      <c r="V1073" s="1" t="str">
        <f t="shared" si="146"/>
        <v>里程返程</v>
      </c>
      <c r="W1073" s="1" t="s">
        <v>35</v>
      </c>
    </row>
    <row r="1074" spans="1:23" x14ac:dyDescent="0.3">
      <c r="A1074" s="1" t="str">
        <f t="shared" si="149"/>
        <v>59809</v>
      </c>
      <c r="B1074" s="1" t="s">
        <v>42</v>
      </c>
      <c r="C1074" s="1" t="s">
        <v>43</v>
      </c>
      <c r="D1074" s="1" t="str">
        <f t="shared" si="145"/>
        <v>9801</v>
      </c>
      <c r="E1074" s="1" t="s">
        <v>25</v>
      </c>
      <c r="F1074" s="1" t="str">
        <f>"1661072517"</f>
        <v>1661072517</v>
      </c>
      <c r="G1074" s="1" t="s">
        <v>26</v>
      </c>
      <c r="H1074" s="1" t="str">
        <f t="shared" si="150"/>
        <v>20220916</v>
      </c>
      <c r="I1074" s="1" t="str">
        <f>"144529"</f>
        <v>144529</v>
      </c>
      <c r="J1074" s="1" t="s">
        <v>45</v>
      </c>
      <c r="K1074" s="1" t="s">
        <v>45</v>
      </c>
      <c r="L1074" s="1" t="str">
        <f t="shared" si="151"/>
        <v>20220916</v>
      </c>
      <c r="M1074" s="1" t="str">
        <f>"145546"</f>
        <v>145546</v>
      </c>
      <c r="N1074" s="1" t="s">
        <v>28</v>
      </c>
      <c r="O1074" s="1" t="s">
        <v>28</v>
      </c>
      <c r="P1074" s="1" t="s">
        <v>55</v>
      </c>
      <c r="Q1074" s="1">
        <v>13</v>
      </c>
      <c r="R1074" s="1">
        <v>0</v>
      </c>
      <c r="S1074" s="1">
        <v>13</v>
      </c>
      <c r="T1074" s="1">
        <v>0</v>
      </c>
      <c r="U1074" s="1">
        <v>0</v>
      </c>
      <c r="V1074" s="1" t="str">
        <f t="shared" si="146"/>
        <v>里程返程</v>
      </c>
      <c r="W1074" s="1" t="s">
        <v>35</v>
      </c>
    </row>
    <row r="1075" spans="1:23" x14ac:dyDescent="0.3">
      <c r="A1075" s="1" t="str">
        <f t="shared" si="149"/>
        <v>59809</v>
      </c>
      <c r="B1075" s="1" t="s">
        <v>42</v>
      </c>
      <c r="C1075" s="1" t="s">
        <v>43</v>
      </c>
      <c r="D1075" s="1" t="str">
        <f t="shared" si="145"/>
        <v>9801</v>
      </c>
      <c r="E1075" s="1" t="s">
        <v>25</v>
      </c>
      <c r="F1075" s="1" t="str">
        <f>"1236946517"</f>
        <v>1236946517</v>
      </c>
      <c r="G1075" s="1" t="s">
        <v>26</v>
      </c>
      <c r="H1075" s="1" t="str">
        <f t="shared" si="150"/>
        <v>20220916</v>
      </c>
      <c r="I1075" s="1" t="str">
        <f>"144544"</f>
        <v>144544</v>
      </c>
      <c r="J1075" s="1" t="s">
        <v>45</v>
      </c>
      <c r="K1075" s="1" t="s">
        <v>45</v>
      </c>
      <c r="L1075" s="1" t="str">
        <f t="shared" si="151"/>
        <v>20220916</v>
      </c>
      <c r="M1075" s="1" t="str">
        <f>"145631"</f>
        <v>145631</v>
      </c>
      <c r="N1075" s="1" t="s">
        <v>28</v>
      </c>
      <c r="O1075" s="1" t="s">
        <v>28</v>
      </c>
      <c r="P1075" s="1" t="s">
        <v>55</v>
      </c>
      <c r="Q1075" s="1">
        <v>13</v>
      </c>
      <c r="R1075" s="1">
        <v>0</v>
      </c>
      <c r="S1075" s="1">
        <v>13</v>
      </c>
      <c r="T1075" s="1">
        <v>0</v>
      </c>
      <c r="U1075" s="1">
        <v>0</v>
      </c>
      <c r="V1075" s="1" t="str">
        <f t="shared" si="146"/>
        <v>里程返程</v>
      </c>
      <c r="W1075" s="1" t="s">
        <v>35</v>
      </c>
    </row>
    <row r="1076" spans="1:23" x14ac:dyDescent="0.3">
      <c r="A1076" s="1" t="str">
        <f t="shared" si="149"/>
        <v>59809</v>
      </c>
      <c r="B1076" s="1" t="s">
        <v>42</v>
      </c>
      <c r="C1076" s="1" t="s">
        <v>43</v>
      </c>
      <c r="D1076" s="1" t="str">
        <f t="shared" si="145"/>
        <v>9801</v>
      </c>
      <c r="E1076" s="1" t="s">
        <v>25</v>
      </c>
      <c r="F1076" s="1" t="str">
        <f>"1237081237"</f>
        <v>1237081237</v>
      </c>
      <c r="G1076" s="1" t="s">
        <v>26</v>
      </c>
      <c r="H1076" s="1" t="str">
        <f t="shared" si="150"/>
        <v>20220916</v>
      </c>
      <c r="I1076" s="1" t="str">
        <f>"144547"</f>
        <v>144547</v>
      </c>
      <c r="J1076" s="1" t="s">
        <v>45</v>
      </c>
      <c r="K1076" s="1" t="s">
        <v>45</v>
      </c>
      <c r="L1076" s="1" t="str">
        <f t="shared" si="151"/>
        <v>20220916</v>
      </c>
      <c r="M1076" s="1" t="str">
        <f>"145713"</f>
        <v>145713</v>
      </c>
      <c r="N1076" s="1" t="s">
        <v>28</v>
      </c>
      <c r="O1076" s="1" t="s">
        <v>28</v>
      </c>
      <c r="P1076" s="1" t="s">
        <v>55</v>
      </c>
      <c r="Q1076" s="1">
        <v>13</v>
      </c>
      <c r="R1076" s="1">
        <v>0</v>
      </c>
      <c r="S1076" s="1">
        <v>13</v>
      </c>
      <c r="T1076" s="1">
        <v>0</v>
      </c>
      <c r="U1076" s="1">
        <v>0</v>
      </c>
      <c r="V1076" s="1" t="str">
        <f t="shared" si="146"/>
        <v>里程返程</v>
      </c>
      <c r="W1076" s="1" t="s">
        <v>35</v>
      </c>
    </row>
    <row r="1077" spans="1:23" x14ac:dyDescent="0.3">
      <c r="A1077" s="1" t="str">
        <f t="shared" si="149"/>
        <v>59809</v>
      </c>
      <c r="B1077" s="1" t="s">
        <v>42</v>
      </c>
      <c r="C1077" s="1" t="s">
        <v>43</v>
      </c>
      <c r="D1077" s="1" t="str">
        <f t="shared" si="145"/>
        <v>9801</v>
      </c>
      <c r="E1077" s="1" t="s">
        <v>25</v>
      </c>
      <c r="F1077" s="1" t="str">
        <f>"302427805"</f>
        <v>302427805</v>
      </c>
      <c r="G1077" s="1" t="s">
        <v>33</v>
      </c>
      <c r="H1077" s="1" t="str">
        <f t="shared" si="150"/>
        <v>20220916</v>
      </c>
      <c r="I1077" s="1" t="str">
        <f>"144556"</f>
        <v>144556</v>
      </c>
      <c r="J1077" s="1" t="s">
        <v>45</v>
      </c>
      <c r="K1077" s="1" t="s">
        <v>45</v>
      </c>
      <c r="L1077" s="1" t="str">
        <f t="shared" si="151"/>
        <v>20220916</v>
      </c>
      <c r="M1077" s="1" t="str">
        <f>"145641"</f>
        <v>145641</v>
      </c>
      <c r="N1077" s="1" t="s">
        <v>28</v>
      </c>
      <c r="O1077" s="1" t="s">
        <v>28</v>
      </c>
      <c r="P1077" s="1" t="s">
        <v>55</v>
      </c>
      <c r="Q1077" s="1">
        <v>25</v>
      </c>
      <c r="R1077" s="1">
        <v>0</v>
      </c>
      <c r="S1077" s="1">
        <v>25</v>
      </c>
      <c r="T1077" s="1">
        <v>0</v>
      </c>
      <c r="U1077" s="1">
        <v>0</v>
      </c>
      <c r="V1077" s="1" t="str">
        <f t="shared" si="146"/>
        <v>里程返程</v>
      </c>
      <c r="W1077" s="1" t="s">
        <v>35</v>
      </c>
    </row>
    <row r="1078" spans="1:23" x14ac:dyDescent="0.3">
      <c r="A1078" s="1" t="str">
        <f t="shared" si="149"/>
        <v>59809</v>
      </c>
      <c r="B1078" s="1" t="s">
        <v>42</v>
      </c>
      <c r="C1078" s="1" t="s">
        <v>43</v>
      </c>
      <c r="D1078" s="1" t="str">
        <f t="shared" si="145"/>
        <v>9801</v>
      </c>
      <c r="E1078" s="1" t="s">
        <v>25</v>
      </c>
      <c r="F1078" s="1" t="str">
        <f>"1181805989"</f>
        <v>1181805989</v>
      </c>
      <c r="G1078" s="1" t="s">
        <v>26</v>
      </c>
      <c r="H1078" s="1" t="str">
        <f t="shared" si="150"/>
        <v>20220916</v>
      </c>
      <c r="I1078" s="1" t="str">
        <f>"144602"</f>
        <v>144602</v>
      </c>
      <c r="J1078" s="1" t="s">
        <v>45</v>
      </c>
      <c r="K1078" s="1" t="s">
        <v>45</v>
      </c>
      <c r="L1078" s="1" t="str">
        <f t="shared" si="151"/>
        <v>20220916</v>
      </c>
      <c r="M1078" s="1" t="str">
        <f>"145622"</f>
        <v>145622</v>
      </c>
      <c r="N1078" s="1" t="s">
        <v>28</v>
      </c>
      <c r="O1078" s="1" t="s">
        <v>28</v>
      </c>
      <c r="P1078" s="1" t="s">
        <v>55</v>
      </c>
      <c r="Q1078" s="1">
        <v>13</v>
      </c>
      <c r="R1078" s="1">
        <v>0</v>
      </c>
      <c r="S1078" s="1">
        <v>13</v>
      </c>
      <c r="T1078" s="1">
        <v>0</v>
      </c>
      <c r="U1078" s="1">
        <v>0</v>
      </c>
      <c r="V1078" s="1" t="str">
        <f t="shared" si="146"/>
        <v>里程返程</v>
      </c>
      <c r="W1078" s="1" t="s">
        <v>35</v>
      </c>
    </row>
    <row r="1079" spans="1:23" x14ac:dyDescent="0.3">
      <c r="A1079" s="1" t="str">
        <f t="shared" si="149"/>
        <v>59809</v>
      </c>
      <c r="B1079" s="1" t="s">
        <v>42</v>
      </c>
      <c r="C1079" s="1" t="s">
        <v>43</v>
      </c>
      <c r="D1079" s="1" t="str">
        <f t="shared" si="145"/>
        <v>9801</v>
      </c>
      <c r="E1079" s="1" t="s">
        <v>25</v>
      </c>
      <c r="F1079" s="1" t="str">
        <f>"1236978709"</f>
        <v>1236978709</v>
      </c>
      <c r="G1079" s="1" t="s">
        <v>26</v>
      </c>
      <c r="H1079" s="1" t="str">
        <f t="shared" si="150"/>
        <v>20220916</v>
      </c>
      <c r="I1079" s="1" t="str">
        <f>"144606"</f>
        <v>144606</v>
      </c>
      <c r="J1079" s="1" t="s">
        <v>45</v>
      </c>
      <c r="K1079" s="1" t="s">
        <v>45</v>
      </c>
      <c r="L1079" s="1" t="str">
        <f t="shared" si="151"/>
        <v>20220916</v>
      </c>
      <c r="M1079" s="1" t="str">
        <f>"145710"</f>
        <v>145710</v>
      </c>
      <c r="N1079" s="1" t="s">
        <v>28</v>
      </c>
      <c r="O1079" s="1" t="s">
        <v>28</v>
      </c>
      <c r="P1079" s="1" t="s">
        <v>55</v>
      </c>
      <c r="Q1079" s="1">
        <v>13</v>
      </c>
      <c r="R1079" s="1">
        <v>0</v>
      </c>
      <c r="S1079" s="1">
        <v>13</v>
      </c>
      <c r="T1079" s="1">
        <v>0</v>
      </c>
      <c r="U1079" s="1">
        <v>0</v>
      </c>
      <c r="V1079" s="1" t="str">
        <f t="shared" si="146"/>
        <v>里程返程</v>
      </c>
      <c r="W1079" s="1" t="s">
        <v>35</v>
      </c>
    </row>
    <row r="1080" spans="1:23" x14ac:dyDescent="0.3">
      <c r="A1080" s="1" t="str">
        <f t="shared" si="149"/>
        <v>59809</v>
      </c>
      <c r="B1080" s="1" t="s">
        <v>42</v>
      </c>
      <c r="C1080" s="1" t="s">
        <v>43</v>
      </c>
      <c r="D1080" s="1" t="str">
        <f t="shared" si="145"/>
        <v>9801</v>
      </c>
      <c r="E1080" s="1" t="s">
        <v>25</v>
      </c>
      <c r="F1080" s="1" t="str">
        <f>"529EF80135880400C821002000000015"</f>
        <v>529EF80135880400C821002000000015</v>
      </c>
      <c r="G1080" s="1" t="s">
        <v>82</v>
      </c>
      <c r="H1080" s="1" t="str">
        <f t="shared" si="150"/>
        <v>20220916</v>
      </c>
      <c r="I1080" s="1" t="str">
        <f>"144614"</f>
        <v>144614</v>
      </c>
      <c r="J1080" s="1" t="s">
        <v>45</v>
      </c>
      <c r="K1080" s="1" t="s">
        <v>45</v>
      </c>
      <c r="L1080" s="1" t="str">
        <f t="shared" si="151"/>
        <v>20220916</v>
      </c>
      <c r="M1080" s="1" t="str">
        <f>"145650"</f>
        <v>145650</v>
      </c>
      <c r="N1080" s="1" t="s">
        <v>28</v>
      </c>
      <c r="O1080" s="1" t="s">
        <v>28</v>
      </c>
      <c r="P1080" s="1" t="s">
        <v>55</v>
      </c>
      <c r="Q1080" s="1">
        <v>13</v>
      </c>
      <c r="R1080" s="1">
        <v>0</v>
      </c>
      <c r="S1080" s="1">
        <v>13</v>
      </c>
      <c r="T1080" s="1">
        <v>0</v>
      </c>
      <c r="U1080" s="1">
        <v>0</v>
      </c>
      <c r="V1080" s="1" t="str">
        <f t="shared" si="146"/>
        <v>里程返程</v>
      </c>
      <c r="W1080" s="1" t="s">
        <v>29</v>
      </c>
    </row>
    <row r="1081" spans="1:23" x14ac:dyDescent="0.3">
      <c r="A1081" s="1" t="str">
        <f t="shared" si="149"/>
        <v>59809</v>
      </c>
      <c r="B1081" s="1" t="s">
        <v>42</v>
      </c>
      <c r="C1081" s="1" t="s">
        <v>43</v>
      </c>
      <c r="D1081" s="1" t="str">
        <f t="shared" si="145"/>
        <v>9801</v>
      </c>
      <c r="E1081" s="1" t="s">
        <v>25</v>
      </c>
      <c r="F1081" s="1" t="str">
        <f>"1660410853"</f>
        <v>1660410853</v>
      </c>
      <c r="G1081" s="1" t="s">
        <v>26</v>
      </c>
      <c r="H1081" s="1" t="str">
        <f t="shared" si="150"/>
        <v>20220916</v>
      </c>
      <c r="I1081" s="1" t="str">
        <f>"144615"</f>
        <v>144615</v>
      </c>
      <c r="J1081" s="1" t="s">
        <v>45</v>
      </c>
      <c r="K1081" s="1" t="s">
        <v>45</v>
      </c>
      <c r="L1081" s="1" t="str">
        <f t="shared" si="151"/>
        <v>20220916</v>
      </c>
      <c r="M1081" s="1" t="str">
        <f>"145703"</f>
        <v>145703</v>
      </c>
      <c r="N1081" s="1" t="s">
        <v>28</v>
      </c>
      <c r="O1081" s="1" t="s">
        <v>28</v>
      </c>
      <c r="P1081" s="1" t="s">
        <v>55</v>
      </c>
      <c r="Q1081" s="1">
        <v>13</v>
      </c>
      <c r="R1081" s="1">
        <v>0</v>
      </c>
      <c r="S1081" s="1">
        <v>13</v>
      </c>
      <c r="T1081" s="1">
        <v>0</v>
      </c>
      <c r="U1081" s="1">
        <v>0</v>
      </c>
      <c r="V1081" s="1" t="str">
        <f t="shared" si="146"/>
        <v>里程返程</v>
      </c>
      <c r="W1081" s="1" t="s">
        <v>35</v>
      </c>
    </row>
    <row r="1082" spans="1:23" x14ac:dyDescent="0.3">
      <c r="A1082" s="1" t="str">
        <f t="shared" si="149"/>
        <v>59809</v>
      </c>
      <c r="B1082" s="1" t="s">
        <v>42</v>
      </c>
      <c r="C1082" s="1" t="s">
        <v>43</v>
      </c>
      <c r="D1082" s="1" t="str">
        <f t="shared" si="145"/>
        <v>9801</v>
      </c>
      <c r="E1082" s="1" t="s">
        <v>25</v>
      </c>
      <c r="F1082" s="1" t="str">
        <f>"1653466229"</f>
        <v>1653466229</v>
      </c>
      <c r="G1082" s="1" t="s">
        <v>26</v>
      </c>
      <c r="H1082" s="1" t="str">
        <f t="shared" si="150"/>
        <v>20220916</v>
      </c>
      <c r="I1082" s="1" t="str">
        <f>"144623"</f>
        <v>144623</v>
      </c>
      <c r="J1082" s="1" t="s">
        <v>45</v>
      </c>
      <c r="K1082" s="1" t="s">
        <v>45</v>
      </c>
      <c r="L1082" s="1" t="str">
        <f t="shared" si="151"/>
        <v>20220916</v>
      </c>
      <c r="M1082" s="1" t="str">
        <f>"145700"</f>
        <v>145700</v>
      </c>
      <c r="N1082" s="1" t="s">
        <v>28</v>
      </c>
      <c r="O1082" s="1" t="s">
        <v>28</v>
      </c>
      <c r="P1082" s="1" t="s">
        <v>55</v>
      </c>
      <c r="Q1082" s="1">
        <v>13</v>
      </c>
      <c r="R1082" s="1">
        <v>0</v>
      </c>
      <c r="S1082" s="1">
        <v>13</v>
      </c>
      <c r="T1082" s="1">
        <v>0</v>
      </c>
      <c r="U1082" s="1">
        <v>0</v>
      </c>
      <c r="V1082" s="1" t="str">
        <f t="shared" si="146"/>
        <v>里程返程</v>
      </c>
      <c r="W1082" s="1" t="s">
        <v>35</v>
      </c>
    </row>
    <row r="1083" spans="1:23" x14ac:dyDescent="0.3">
      <c r="A1083" s="1" t="str">
        <f t="shared" si="149"/>
        <v>59809</v>
      </c>
      <c r="B1083" s="1" t="s">
        <v>42</v>
      </c>
      <c r="C1083" s="1" t="s">
        <v>43</v>
      </c>
      <c r="D1083" s="1" t="str">
        <f t="shared" si="145"/>
        <v>9801</v>
      </c>
      <c r="E1083" s="1" t="s">
        <v>25</v>
      </c>
      <c r="F1083" s="1" t="str">
        <f>"1653402437"</f>
        <v>1653402437</v>
      </c>
      <c r="G1083" s="1" t="s">
        <v>26</v>
      </c>
      <c r="H1083" s="1" t="str">
        <f t="shared" si="150"/>
        <v>20220916</v>
      </c>
      <c r="I1083" s="1" t="str">
        <f>"144633"</f>
        <v>144633</v>
      </c>
      <c r="J1083" s="1" t="s">
        <v>45</v>
      </c>
      <c r="K1083" s="1" t="s">
        <v>45</v>
      </c>
      <c r="L1083" s="1" t="str">
        <f t="shared" si="151"/>
        <v>20220916</v>
      </c>
      <c r="M1083" s="1" t="str">
        <f>"145655"</f>
        <v>145655</v>
      </c>
      <c r="N1083" s="1" t="s">
        <v>28</v>
      </c>
      <c r="O1083" s="1" t="s">
        <v>28</v>
      </c>
      <c r="P1083" s="1" t="s">
        <v>55</v>
      </c>
      <c r="Q1083" s="1">
        <v>13</v>
      </c>
      <c r="R1083" s="1">
        <v>0</v>
      </c>
      <c r="S1083" s="1">
        <v>13</v>
      </c>
      <c r="T1083" s="1">
        <v>0</v>
      </c>
      <c r="U1083" s="1">
        <v>0</v>
      </c>
      <c r="V1083" s="1" t="str">
        <f t="shared" si="146"/>
        <v>里程返程</v>
      </c>
      <c r="W1083" s="1" t="s">
        <v>35</v>
      </c>
    </row>
    <row r="1084" spans="1:23" x14ac:dyDescent="0.3">
      <c r="A1084" s="1" t="str">
        <f t="shared" si="149"/>
        <v>59809</v>
      </c>
      <c r="B1084" s="1" t="s">
        <v>42</v>
      </c>
      <c r="C1084" s="1" t="s">
        <v>43</v>
      </c>
      <c r="D1084" s="1" t="str">
        <f t="shared" si="145"/>
        <v>9801</v>
      </c>
      <c r="E1084" s="1" t="s">
        <v>25</v>
      </c>
      <c r="F1084" s="1" t="str">
        <f>"2127395560"</f>
        <v>2127395560</v>
      </c>
      <c r="G1084" s="1" t="s">
        <v>74</v>
      </c>
      <c r="H1084" s="1" t="str">
        <f t="shared" si="150"/>
        <v>20220916</v>
      </c>
      <c r="I1084" s="1" t="str">
        <f>"144638"</f>
        <v>144638</v>
      </c>
      <c r="J1084" s="1" t="s">
        <v>45</v>
      </c>
      <c r="K1084" s="1" t="s">
        <v>45</v>
      </c>
      <c r="L1084" s="1" t="str">
        <f t="shared" si="151"/>
        <v>20220916</v>
      </c>
      <c r="M1084" s="1" t="str">
        <f>"145647"</f>
        <v>145647</v>
      </c>
      <c r="N1084" s="1" t="s">
        <v>28</v>
      </c>
      <c r="O1084" s="1" t="s">
        <v>28</v>
      </c>
      <c r="P1084" s="1" t="s">
        <v>55</v>
      </c>
      <c r="Q1084" s="1">
        <v>13</v>
      </c>
      <c r="R1084" s="1">
        <v>0</v>
      </c>
      <c r="S1084" s="1">
        <v>13</v>
      </c>
      <c r="T1084" s="1">
        <v>0</v>
      </c>
      <c r="U1084" s="1">
        <v>0</v>
      </c>
      <c r="V1084" s="1" t="str">
        <f t="shared" si="146"/>
        <v>里程返程</v>
      </c>
      <c r="W1084" s="1" t="s">
        <v>35</v>
      </c>
    </row>
    <row r="1085" spans="1:23" x14ac:dyDescent="0.3">
      <c r="A1085" s="1" t="str">
        <f t="shared" si="149"/>
        <v>59809</v>
      </c>
      <c r="B1085" s="1" t="s">
        <v>42</v>
      </c>
      <c r="C1085" s="1" t="s">
        <v>43</v>
      </c>
      <c r="D1085" s="1" t="str">
        <f t="shared" si="145"/>
        <v>9801</v>
      </c>
      <c r="E1085" s="1" t="s">
        <v>25</v>
      </c>
      <c r="F1085" s="1" t="str">
        <f>"1663564501"</f>
        <v>1663564501</v>
      </c>
      <c r="G1085" s="1" t="s">
        <v>33</v>
      </c>
      <c r="H1085" s="1" t="str">
        <f t="shared" si="150"/>
        <v>20220916</v>
      </c>
      <c r="I1085" s="1" t="str">
        <f>"144642"</f>
        <v>144642</v>
      </c>
      <c r="J1085" s="1" t="s">
        <v>45</v>
      </c>
      <c r="K1085" s="1" t="s">
        <v>45</v>
      </c>
      <c r="L1085" s="1" t="str">
        <f t="shared" si="151"/>
        <v>20220916</v>
      </c>
      <c r="M1085" s="1" t="str">
        <f>"145635"</f>
        <v>145635</v>
      </c>
      <c r="N1085" s="1" t="s">
        <v>28</v>
      </c>
      <c r="O1085" s="1" t="s">
        <v>28</v>
      </c>
      <c r="P1085" s="1" t="s">
        <v>55</v>
      </c>
      <c r="Q1085" s="1">
        <v>25</v>
      </c>
      <c r="R1085" s="1">
        <v>0</v>
      </c>
      <c r="S1085" s="1">
        <v>25</v>
      </c>
      <c r="T1085" s="1">
        <v>0</v>
      </c>
      <c r="U1085" s="1">
        <v>0</v>
      </c>
      <c r="V1085" s="1" t="str">
        <f t="shared" si="146"/>
        <v>里程返程</v>
      </c>
      <c r="W1085" s="1" t="s">
        <v>35</v>
      </c>
    </row>
    <row r="1086" spans="1:23" x14ac:dyDescent="0.3">
      <c r="A1086" s="1" t="str">
        <f t="shared" si="149"/>
        <v>59809</v>
      </c>
      <c r="B1086" s="1" t="s">
        <v>42</v>
      </c>
      <c r="C1086" s="1" t="s">
        <v>43</v>
      </c>
      <c r="D1086" s="1" t="str">
        <f t="shared" si="145"/>
        <v>9801</v>
      </c>
      <c r="E1086" s="1" t="s">
        <v>25</v>
      </c>
      <c r="F1086" s="1" t="str">
        <f>"B207910125880400C818002000000015"</f>
        <v>B207910125880400C818002000000015</v>
      </c>
      <c r="G1086" s="1" t="s">
        <v>64</v>
      </c>
      <c r="H1086" s="1" t="str">
        <f t="shared" si="150"/>
        <v>20220916</v>
      </c>
      <c r="I1086" s="1" t="str">
        <f>"144646"</f>
        <v>144646</v>
      </c>
      <c r="J1086" s="1" t="s">
        <v>45</v>
      </c>
      <c r="K1086" s="1" t="s">
        <v>45</v>
      </c>
      <c r="L1086" s="1" t="str">
        <f t="shared" si="151"/>
        <v>20220916</v>
      </c>
      <c r="M1086" s="1" t="str">
        <f>"145603"</f>
        <v>145603</v>
      </c>
      <c r="N1086" s="1" t="s">
        <v>28</v>
      </c>
      <c r="O1086" s="1" t="s">
        <v>28</v>
      </c>
      <c r="P1086" s="1" t="s">
        <v>55</v>
      </c>
      <c r="Q1086" s="1">
        <v>13</v>
      </c>
      <c r="R1086" s="1">
        <v>0</v>
      </c>
      <c r="S1086" s="1">
        <v>13</v>
      </c>
      <c r="T1086" s="1">
        <v>0</v>
      </c>
      <c r="U1086" s="1">
        <v>0</v>
      </c>
      <c r="V1086" s="1" t="str">
        <f t="shared" si="146"/>
        <v>里程返程</v>
      </c>
      <c r="W1086" s="1" t="s">
        <v>29</v>
      </c>
    </row>
    <row r="1087" spans="1:23" x14ac:dyDescent="0.3">
      <c r="A1087" s="1" t="str">
        <f t="shared" si="149"/>
        <v>59809</v>
      </c>
      <c r="B1087" s="1" t="s">
        <v>42</v>
      </c>
      <c r="C1087" s="1" t="s">
        <v>43</v>
      </c>
      <c r="D1087" s="1" t="str">
        <f t="shared" si="145"/>
        <v>9801</v>
      </c>
      <c r="E1087" s="1" t="s">
        <v>25</v>
      </c>
      <c r="F1087" s="1" t="str">
        <f>"1848977429"</f>
        <v>1848977429</v>
      </c>
      <c r="G1087" s="1" t="s">
        <v>33</v>
      </c>
      <c r="H1087" s="1" t="str">
        <f t="shared" ref="H1087:H1118" si="152">"20220916"</f>
        <v>20220916</v>
      </c>
      <c r="I1087" s="1" t="str">
        <f>"144651"</f>
        <v>144651</v>
      </c>
      <c r="J1087" s="1" t="s">
        <v>45</v>
      </c>
      <c r="K1087" s="1" t="s">
        <v>45</v>
      </c>
      <c r="L1087" s="1" t="str">
        <f t="shared" si="151"/>
        <v>20220916</v>
      </c>
      <c r="M1087" s="1" t="str">
        <f>"145549"</f>
        <v>145549</v>
      </c>
      <c r="N1087" s="1" t="s">
        <v>28</v>
      </c>
      <c r="O1087" s="1" t="s">
        <v>28</v>
      </c>
      <c r="P1087" s="1" t="s">
        <v>55</v>
      </c>
      <c r="Q1087" s="1">
        <v>25</v>
      </c>
      <c r="R1087" s="1">
        <v>0</v>
      </c>
      <c r="S1087" s="1">
        <v>25</v>
      </c>
      <c r="T1087" s="1">
        <v>0</v>
      </c>
      <c r="U1087" s="1">
        <v>0</v>
      </c>
      <c r="V1087" s="1" t="str">
        <f t="shared" si="146"/>
        <v>里程返程</v>
      </c>
      <c r="W1087" s="1" t="s">
        <v>35</v>
      </c>
    </row>
    <row r="1088" spans="1:23" x14ac:dyDescent="0.3">
      <c r="A1088" s="1" t="str">
        <f t="shared" si="149"/>
        <v>59809</v>
      </c>
      <c r="B1088" s="1" t="s">
        <v>42</v>
      </c>
      <c r="C1088" s="1" t="s">
        <v>43</v>
      </c>
      <c r="D1088" s="1" t="str">
        <f t="shared" si="145"/>
        <v>9801</v>
      </c>
      <c r="E1088" s="1" t="s">
        <v>25</v>
      </c>
      <c r="F1088" s="1" t="str">
        <f>"1603613109"</f>
        <v>1603613109</v>
      </c>
      <c r="G1088" s="1" t="s">
        <v>33</v>
      </c>
      <c r="H1088" s="1" t="str">
        <f t="shared" si="152"/>
        <v>20220916</v>
      </c>
      <c r="I1088" s="1" t="str">
        <f>"144712"</f>
        <v>144712</v>
      </c>
      <c r="J1088" s="1" t="s">
        <v>45</v>
      </c>
      <c r="K1088" s="1" t="s">
        <v>45</v>
      </c>
      <c r="L1088" s="1" t="str">
        <f t="shared" si="151"/>
        <v>20220916</v>
      </c>
      <c r="M1088" s="1" t="str">
        <f>"145543"</f>
        <v>145543</v>
      </c>
      <c r="N1088" s="1" t="s">
        <v>28</v>
      </c>
      <c r="O1088" s="1" t="s">
        <v>28</v>
      </c>
      <c r="P1088" s="1" t="s">
        <v>55</v>
      </c>
      <c r="Q1088" s="1">
        <v>25</v>
      </c>
      <c r="R1088" s="1">
        <v>25</v>
      </c>
      <c r="S1088" s="1">
        <v>0</v>
      </c>
      <c r="T1088" s="1">
        <v>0</v>
      </c>
      <c r="U1088" s="1">
        <v>0</v>
      </c>
      <c r="V1088" s="1" t="str">
        <f t="shared" si="146"/>
        <v>里程返程</v>
      </c>
      <c r="W1088" s="1" t="s">
        <v>35</v>
      </c>
    </row>
    <row r="1089" spans="1:23" x14ac:dyDescent="0.3">
      <c r="A1089" s="1" t="str">
        <f t="shared" si="149"/>
        <v>59809</v>
      </c>
      <c r="B1089" s="1" t="s">
        <v>42</v>
      </c>
      <c r="C1089" s="1" t="s">
        <v>43</v>
      </c>
      <c r="D1089" s="1" t="str">
        <f t="shared" si="145"/>
        <v>9801</v>
      </c>
      <c r="E1089" s="1" t="s">
        <v>25</v>
      </c>
      <c r="F1089" s="1" t="str">
        <f>"4254601018"</f>
        <v>4254601018</v>
      </c>
      <c r="G1089" s="1" t="s">
        <v>33</v>
      </c>
      <c r="H1089" s="1" t="str">
        <f t="shared" si="152"/>
        <v>20220916</v>
      </c>
      <c r="I1089" s="1" t="str">
        <f>"145732"</f>
        <v>145732</v>
      </c>
      <c r="J1089" s="1" t="s">
        <v>28</v>
      </c>
      <c r="K1089" s="1" t="s">
        <v>28</v>
      </c>
      <c r="L1089" s="1" t="str">
        <f>""</f>
        <v/>
      </c>
      <c r="M1089" s="1" t="str">
        <f>""</f>
        <v/>
      </c>
      <c r="P1089" s="1" t="s">
        <v>88</v>
      </c>
      <c r="Q1089" s="1">
        <v>25</v>
      </c>
      <c r="R1089" s="1">
        <v>25</v>
      </c>
      <c r="S1089" s="1">
        <v>0</v>
      </c>
      <c r="T1089" s="1">
        <v>0</v>
      </c>
      <c r="U1089" s="1">
        <v>0</v>
      </c>
      <c r="V1089" s="1" t="str">
        <f t="shared" si="146"/>
        <v>里程返程</v>
      </c>
      <c r="W1089" s="1" t="s">
        <v>35</v>
      </c>
    </row>
    <row r="1090" spans="1:23" x14ac:dyDescent="0.3">
      <c r="A1090" s="1" t="str">
        <f t="shared" si="149"/>
        <v>59809</v>
      </c>
      <c r="B1090" s="1" t="s">
        <v>42</v>
      </c>
      <c r="C1090" s="1" t="s">
        <v>43</v>
      </c>
      <c r="D1090" s="1" t="str">
        <f t="shared" ref="D1090:D1153" si="153">"9801"</f>
        <v>9801</v>
      </c>
      <c r="E1090" s="1" t="s">
        <v>25</v>
      </c>
      <c r="F1090" s="1" t="str">
        <f>"1338801681"</f>
        <v>1338801681</v>
      </c>
      <c r="G1090" s="1" t="s">
        <v>33</v>
      </c>
      <c r="H1090" s="1" t="str">
        <f t="shared" si="152"/>
        <v>20220916</v>
      </c>
      <c r="I1090" s="1" t="str">
        <f>"145735"</f>
        <v>145735</v>
      </c>
      <c r="J1090" s="1" t="s">
        <v>28</v>
      </c>
      <c r="K1090" s="1" t="s">
        <v>28</v>
      </c>
      <c r="L1090" s="1" t="str">
        <f t="shared" ref="L1090:L1121" si="154">"20220916"</f>
        <v>20220916</v>
      </c>
      <c r="M1090" s="1" t="str">
        <f>"151748"</f>
        <v>151748</v>
      </c>
      <c r="N1090" s="1" t="s">
        <v>60</v>
      </c>
      <c r="O1090" s="1" t="s">
        <v>52</v>
      </c>
      <c r="P1090" s="1" t="s">
        <v>55</v>
      </c>
      <c r="Q1090" s="1">
        <v>25</v>
      </c>
      <c r="R1090" s="1">
        <v>25</v>
      </c>
      <c r="S1090" s="1">
        <v>0</v>
      </c>
      <c r="T1090" s="1">
        <v>0</v>
      </c>
      <c r="U1090" s="1">
        <v>0</v>
      </c>
      <c r="V1090" s="1" t="str">
        <f t="shared" ref="V1090:V1153" si="155">"里程返程"</f>
        <v>里程返程</v>
      </c>
      <c r="W1090" s="1" t="s">
        <v>35</v>
      </c>
    </row>
    <row r="1091" spans="1:23" x14ac:dyDescent="0.3">
      <c r="A1091" s="1" t="str">
        <f t="shared" si="149"/>
        <v>59809</v>
      </c>
      <c r="B1091" s="1" t="s">
        <v>42</v>
      </c>
      <c r="C1091" s="1" t="s">
        <v>43</v>
      </c>
      <c r="D1091" s="1" t="str">
        <f t="shared" si="153"/>
        <v>9801</v>
      </c>
      <c r="E1091" s="1" t="s">
        <v>25</v>
      </c>
      <c r="F1091" s="1" t="str">
        <f>"1663564501"</f>
        <v>1663564501</v>
      </c>
      <c r="G1091" s="1" t="s">
        <v>33</v>
      </c>
      <c r="H1091" s="1" t="str">
        <f t="shared" si="152"/>
        <v>20220916</v>
      </c>
      <c r="I1091" s="1" t="str">
        <f>"145745"</f>
        <v>145745</v>
      </c>
      <c r="J1091" s="1" t="s">
        <v>41</v>
      </c>
      <c r="K1091" s="1" t="s">
        <v>28</v>
      </c>
      <c r="L1091" s="1" t="str">
        <f t="shared" si="154"/>
        <v>20220916</v>
      </c>
      <c r="M1091" s="1" t="str">
        <f>"152229"</f>
        <v>152229</v>
      </c>
      <c r="N1091" s="1" t="s">
        <v>52</v>
      </c>
      <c r="O1091" s="1" t="s">
        <v>52</v>
      </c>
      <c r="P1091" s="1" t="s">
        <v>55</v>
      </c>
      <c r="Q1091" s="1">
        <v>25</v>
      </c>
      <c r="R1091" s="1">
        <v>25</v>
      </c>
      <c r="S1091" s="1">
        <v>0</v>
      </c>
      <c r="T1091" s="1">
        <v>0</v>
      </c>
      <c r="U1091" s="1">
        <v>0</v>
      </c>
      <c r="V1091" s="1" t="str">
        <f t="shared" si="155"/>
        <v>里程返程</v>
      </c>
      <c r="W1091" s="1" t="s">
        <v>35</v>
      </c>
    </row>
    <row r="1092" spans="1:23" x14ac:dyDescent="0.3">
      <c r="A1092" s="1" t="str">
        <f t="shared" si="149"/>
        <v>59809</v>
      </c>
      <c r="B1092" s="1" t="s">
        <v>42</v>
      </c>
      <c r="C1092" s="1" t="s">
        <v>43</v>
      </c>
      <c r="D1092" s="1" t="str">
        <f t="shared" si="153"/>
        <v>9801</v>
      </c>
      <c r="E1092" s="1" t="s">
        <v>25</v>
      </c>
      <c r="F1092" s="1" t="str">
        <f>"2127395560"</f>
        <v>2127395560</v>
      </c>
      <c r="G1092" s="1" t="s">
        <v>74</v>
      </c>
      <c r="H1092" s="1" t="str">
        <f t="shared" si="152"/>
        <v>20220916</v>
      </c>
      <c r="I1092" s="1" t="str">
        <f>"145748"</f>
        <v>145748</v>
      </c>
      <c r="J1092" s="1" t="s">
        <v>41</v>
      </c>
      <c r="K1092" s="1" t="s">
        <v>28</v>
      </c>
      <c r="L1092" s="1" t="str">
        <f t="shared" si="154"/>
        <v>20220916</v>
      </c>
      <c r="M1092" s="1" t="str">
        <f>"152220"</f>
        <v>152220</v>
      </c>
      <c r="N1092" s="1" t="s">
        <v>52</v>
      </c>
      <c r="O1092" s="1" t="s">
        <v>52</v>
      </c>
      <c r="P1092" s="1" t="s">
        <v>55</v>
      </c>
      <c r="Q1092" s="1">
        <v>13</v>
      </c>
      <c r="R1092" s="1">
        <v>13</v>
      </c>
      <c r="S1092" s="1">
        <v>0</v>
      </c>
      <c r="T1092" s="1">
        <v>0</v>
      </c>
      <c r="U1092" s="1">
        <v>0</v>
      </c>
      <c r="V1092" s="1" t="str">
        <f t="shared" si="155"/>
        <v>里程返程</v>
      </c>
      <c r="W1092" s="1" t="s">
        <v>35</v>
      </c>
    </row>
    <row r="1093" spans="1:23" x14ac:dyDescent="0.3">
      <c r="A1093" s="1" t="str">
        <f t="shared" si="149"/>
        <v>59809</v>
      </c>
      <c r="B1093" s="1" t="s">
        <v>42</v>
      </c>
      <c r="C1093" s="1" t="s">
        <v>43</v>
      </c>
      <c r="D1093" s="1" t="str">
        <f t="shared" si="153"/>
        <v>9801</v>
      </c>
      <c r="E1093" s="1" t="s">
        <v>25</v>
      </c>
      <c r="F1093" s="1" t="str">
        <f>"1693417729"</f>
        <v>1693417729</v>
      </c>
      <c r="G1093" s="1" t="s">
        <v>33</v>
      </c>
      <c r="H1093" s="1" t="str">
        <f t="shared" si="152"/>
        <v>20220916</v>
      </c>
      <c r="I1093" s="1" t="str">
        <f>"152927"</f>
        <v>152927</v>
      </c>
      <c r="J1093" s="1" t="s">
        <v>44</v>
      </c>
      <c r="K1093" s="1" t="s">
        <v>45</v>
      </c>
      <c r="L1093" s="1" t="str">
        <f t="shared" si="154"/>
        <v>20220916</v>
      </c>
      <c r="M1093" s="1" t="str">
        <f>"153439"</f>
        <v>153439</v>
      </c>
      <c r="N1093" s="1" t="s">
        <v>91</v>
      </c>
      <c r="O1093" s="1" t="s">
        <v>45</v>
      </c>
      <c r="P1093" s="1" t="s">
        <v>55</v>
      </c>
      <c r="Q1093" s="1">
        <v>25</v>
      </c>
      <c r="R1093" s="1">
        <v>0</v>
      </c>
      <c r="S1093" s="1">
        <v>25</v>
      </c>
      <c r="T1093" s="1">
        <v>0</v>
      </c>
      <c r="U1093" s="1">
        <v>0</v>
      </c>
      <c r="V1093" s="1" t="str">
        <f t="shared" si="155"/>
        <v>里程返程</v>
      </c>
      <c r="W1093" s="1" t="s">
        <v>35</v>
      </c>
    </row>
    <row r="1094" spans="1:23" x14ac:dyDescent="0.3">
      <c r="A1094" s="1" t="str">
        <f t="shared" si="149"/>
        <v>59809</v>
      </c>
      <c r="B1094" s="1" t="s">
        <v>42</v>
      </c>
      <c r="C1094" s="1" t="s">
        <v>43</v>
      </c>
      <c r="D1094" s="1" t="str">
        <f t="shared" si="153"/>
        <v>9801</v>
      </c>
      <c r="E1094" s="1" t="s">
        <v>25</v>
      </c>
      <c r="F1094" s="1" t="str">
        <f>"165635105"</f>
        <v>165635105</v>
      </c>
      <c r="G1094" s="1" t="s">
        <v>33</v>
      </c>
      <c r="H1094" s="1" t="str">
        <f t="shared" si="152"/>
        <v>20220916</v>
      </c>
      <c r="I1094" s="1" t="str">
        <f>"154137"</f>
        <v>154137</v>
      </c>
      <c r="J1094" s="1" t="s">
        <v>45</v>
      </c>
      <c r="K1094" s="1" t="s">
        <v>45</v>
      </c>
      <c r="L1094" s="1" t="str">
        <f t="shared" si="154"/>
        <v>20220916</v>
      </c>
      <c r="M1094" s="1" t="str">
        <f>"154919"</f>
        <v>154919</v>
      </c>
      <c r="N1094" s="1" t="s">
        <v>28</v>
      </c>
      <c r="O1094" s="1" t="s">
        <v>28</v>
      </c>
      <c r="P1094" s="1" t="s">
        <v>55</v>
      </c>
      <c r="Q1094" s="1">
        <v>25</v>
      </c>
      <c r="R1094" s="1">
        <v>25</v>
      </c>
      <c r="S1094" s="1">
        <v>0</v>
      </c>
      <c r="T1094" s="1">
        <v>0</v>
      </c>
      <c r="U1094" s="1">
        <v>0</v>
      </c>
      <c r="V1094" s="1" t="str">
        <f t="shared" si="155"/>
        <v>里程返程</v>
      </c>
      <c r="W1094" s="1" t="s">
        <v>35</v>
      </c>
    </row>
    <row r="1095" spans="1:23" x14ac:dyDescent="0.3">
      <c r="A1095" s="1" t="str">
        <f t="shared" si="149"/>
        <v>59809</v>
      </c>
      <c r="B1095" s="1" t="s">
        <v>42</v>
      </c>
      <c r="C1095" s="1" t="s">
        <v>43</v>
      </c>
      <c r="D1095" s="1" t="str">
        <f t="shared" si="153"/>
        <v>9801</v>
      </c>
      <c r="E1095" s="1" t="s">
        <v>25</v>
      </c>
      <c r="F1095" s="1" t="str">
        <f>"4251460257880400C821002000000015"</f>
        <v>4251460257880400C821002000000015</v>
      </c>
      <c r="G1095" s="1" t="s">
        <v>26</v>
      </c>
      <c r="H1095" s="1" t="str">
        <f t="shared" si="152"/>
        <v>20220916</v>
      </c>
      <c r="I1095" s="1" t="str">
        <f>"160221"</f>
        <v>160221</v>
      </c>
      <c r="J1095" s="1" t="s">
        <v>83</v>
      </c>
      <c r="K1095" s="1" t="s">
        <v>52</v>
      </c>
      <c r="L1095" s="1" t="str">
        <f t="shared" si="154"/>
        <v>20220916</v>
      </c>
      <c r="M1095" s="1" t="str">
        <f>"160613"</f>
        <v>160613</v>
      </c>
      <c r="N1095" s="1" t="s">
        <v>69</v>
      </c>
      <c r="O1095" s="1" t="s">
        <v>52</v>
      </c>
      <c r="P1095" s="1" t="s">
        <v>68</v>
      </c>
      <c r="Q1095" s="1">
        <v>13</v>
      </c>
      <c r="R1095" s="1">
        <v>0</v>
      </c>
      <c r="S1095" s="1">
        <v>0</v>
      </c>
      <c r="T1095" s="1">
        <v>13</v>
      </c>
      <c r="U1095" s="1">
        <v>0</v>
      </c>
      <c r="V1095" s="1" t="str">
        <f t="shared" si="155"/>
        <v>里程返程</v>
      </c>
      <c r="W1095" s="1" t="s">
        <v>29</v>
      </c>
    </row>
    <row r="1096" spans="1:23" x14ac:dyDescent="0.3">
      <c r="A1096" s="1" t="str">
        <f t="shared" si="149"/>
        <v>59809</v>
      </c>
      <c r="B1096" s="1" t="s">
        <v>42</v>
      </c>
      <c r="C1096" s="1" t="s">
        <v>43</v>
      </c>
      <c r="D1096" s="1" t="str">
        <f t="shared" si="153"/>
        <v>9801</v>
      </c>
      <c r="E1096" s="1" t="s">
        <v>25</v>
      </c>
      <c r="F1096" s="1" t="str">
        <f>"42AFE60209880400C834002000000015"</f>
        <v>42AFE60209880400C834002000000015</v>
      </c>
      <c r="G1096" s="1" t="s">
        <v>74</v>
      </c>
      <c r="H1096" s="1" t="str">
        <f t="shared" si="152"/>
        <v>20220916</v>
      </c>
      <c r="I1096" s="1" t="str">
        <f>"161314"</f>
        <v>161314</v>
      </c>
      <c r="J1096" s="1" t="s">
        <v>80</v>
      </c>
      <c r="K1096" s="1" t="s">
        <v>52</v>
      </c>
      <c r="L1096" s="1" t="str">
        <f t="shared" si="154"/>
        <v>20220916</v>
      </c>
      <c r="M1096" s="1" t="str">
        <f>"162610"</f>
        <v>162610</v>
      </c>
      <c r="N1096" s="1" t="s">
        <v>52</v>
      </c>
      <c r="O1096" s="1" t="s">
        <v>52</v>
      </c>
      <c r="P1096" s="1" t="s">
        <v>68</v>
      </c>
      <c r="Q1096" s="1">
        <v>13</v>
      </c>
      <c r="R1096" s="1">
        <v>0</v>
      </c>
      <c r="S1096" s="1">
        <v>0</v>
      </c>
      <c r="T1096" s="1">
        <v>13</v>
      </c>
      <c r="U1096" s="1">
        <v>0</v>
      </c>
      <c r="V1096" s="1" t="str">
        <f t="shared" si="155"/>
        <v>里程返程</v>
      </c>
      <c r="W1096" s="1" t="s">
        <v>29</v>
      </c>
    </row>
    <row r="1097" spans="1:23" x14ac:dyDescent="0.3">
      <c r="A1097" s="1" t="str">
        <f t="shared" si="149"/>
        <v>59809</v>
      </c>
      <c r="B1097" s="1" t="s">
        <v>42</v>
      </c>
      <c r="C1097" s="1" t="s">
        <v>43</v>
      </c>
      <c r="D1097" s="1" t="str">
        <f t="shared" si="153"/>
        <v>9801</v>
      </c>
      <c r="E1097" s="1" t="s">
        <v>25</v>
      </c>
      <c r="F1097" s="1" t="str">
        <f>"1791991569"</f>
        <v>1791991569</v>
      </c>
      <c r="G1097" s="1" t="s">
        <v>33</v>
      </c>
      <c r="H1097" s="1" t="str">
        <f t="shared" si="152"/>
        <v>20220916</v>
      </c>
      <c r="I1097" s="1" t="str">
        <f>"164137"</f>
        <v>164137</v>
      </c>
      <c r="J1097" s="1" t="s">
        <v>75</v>
      </c>
      <c r="K1097" s="1" t="s">
        <v>45</v>
      </c>
      <c r="L1097" s="1" t="str">
        <f t="shared" si="154"/>
        <v>20220916</v>
      </c>
      <c r="M1097" s="1" t="str">
        <f>"170007"</f>
        <v>170007</v>
      </c>
      <c r="N1097" s="1" t="s">
        <v>28</v>
      </c>
      <c r="O1097" s="1" t="s">
        <v>28</v>
      </c>
      <c r="P1097" s="1" t="s">
        <v>55</v>
      </c>
      <c r="Q1097" s="1">
        <v>25</v>
      </c>
      <c r="R1097" s="1">
        <v>0</v>
      </c>
      <c r="S1097" s="1">
        <v>25</v>
      </c>
      <c r="T1097" s="1">
        <v>0</v>
      </c>
      <c r="U1097" s="1">
        <v>0</v>
      </c>
      <c r="V1097" s="1" t="str">
        <f t="shared" si="155"/>
        <v>里程返程</v>
      </c>
      <c r="W1097" s="1" t="s">
        <v>35</v>
      </c>
    </row>
    <row r="1098" spans="1:23" x14ac:dyDescent="0.3">
      <c r="A1098" s="1" t="str">
        <f t="shared" si="149"/>
        <v>59809</v>
      </c>
      <c r="B1098" s="1" t="s">
        <v>42</v>
      </c>
      <c r="C1098" s="1" t="s">
        <v>43</v>
      </c>
      <c r="D1098" s="1" t="str">
        <f t="shared" si="153"/>
        <v>9801</v>
      </c>
      <c r="E1098" s="1" t="s">
        <v>25</v>
      </c>
      <c r="F1098" s="1" t="str">
        <f>"1143E52A9D280400F700000000000000"</f>
        <v>1143E52A9D280400F700000000000000</v>
      </c>
      <c r="G1098" s="1" t="s">
        <v>58</v>
      </c>
      <c r="H1098" s="1" t="str">
        <f t="shared" si="152"/>
        <v>20220916</v>
      </c>
      <c r="I1098" s="1" t="str">
        <f>"170058"</f>
        <v>170058</v>
      </c>
      <c r="J1098" s="1" t="s">
        <v>28</v>
      </c>
      <c r="K1098" s="1" t="s">
        <v>28</v>
      </c>
      <c r="L1098" s="1" t="str">
        <f t="shared" si="154"/>
        <v>20220916</v>
      </c>
      <c r="M1098" s="1" t="str">
        <f>"171502"</f>
        <v>171502</v>
      </c>
      <c r="N1098" s="1" t="s">
        <v>77</v>
      </c>
      <c r="O1098" s="1" t="s">
        <v>52</v>
      </c>
      <c r="P1098" s="1" t="s">
        <v>55</v>
      </c>
      <c r="Q1098" s="1">
        <v>25</v>
      </c>
      <c r="R1098" s="1">
        <v>25</v>
      </c>
      <c r="S1098" s="1">
        <v>0</v>
      </c>
      <c r="T1098" s="1">
        <v>0</v>
      </c>
      <c r="U1098" s="1">
        <v>0</v>
      </c>
      <c r="V1098" s="1" t="str">
        <f t="shared" si="155"/>
        <v>里程返程</v>
      </c>
      <c r="W1098" s="1" t="s">
        <v>29</v>
      </c>
    </row>
    <row r="1099" spans="1:23" x14ac:dyDescent="0.3">
      <c r="A1099" s="1" t="str">
        <f t="shared" ref="A1099:A1106" si="156">"59822"</f>
        <v>59822</v>
      </c>
      <c r="B1099" s="1" t="s">
        <v>39</v>
      </c>
      <c r="C1099" s="1" t="s">
        <v>40</v>
      </c>
      <c r="D1099" s="1" t="str">
        <f t="shared" si="153"/>
        <v>9801</v>
      </c>
      <c r="E1099" s="1" t="s">
        <v>25</v>
      </c>
      <c r="F1099" s="1" t="str">
        <f>"422AE7028D880400C834002000000015"</f>
        <v>422AE7028D880400C834002000000015</v>
      </c>
      <c r="G1099" s="1" t="s">
        <v>74</v>
      </c>
      <c r="H1099" s="1" t="str">
        <f t="shared" si="152"/>
        <v>20220916</v>
      </c>
      <c r="I1099" s="1" t="str">
        <f>"173023"</f>
        <v>173023</v>
      </c>
      <c r="J1099" s="1" t="s">
        <v>44</v>
      </c>
      <c r="K1099" s="1" t="s">
        <v>45</v>
      </c>
      <c r="L1099" s="1" t="str">
        <f t="shared" si="154"/>
        <v>20220916</v>
      </c>
      <c r="M1099" s="1" t="str">
        <f>"175817"</f>
        <v>175817</v>
      </c>
      <c r="N1099" s="1" t="s">
        <v>28</v>
      </c>
      <c r="O1099" s="1" t="s">
        <v>28</v>
      </c>
      <c r="P1099" s="1" t="s">
        <v>68</v>
      </c>
      <c r="Q1099" s="1">
        <v>13</v>
      </c>
      <c r="R1099" s="1">
        <v>0</v>
      </c>
      <c r="S1099" s="1">
        <v>0</v>
      </c>
      <c r="T1099" s="1">
        <v>13</v>
      </c>
      <c r="U1099" s="1">
        <v>0</v>
      </c>
      <c r="V1099" s="1" t="str">
        <f t="shared" si="155"/>
        <v>里程返程</v>
      </c>
      <c r="W1099" s="1" t="s">
        <v>29</v>
      </c>
    </row>
    <row r="1100" spans="1:23" x14ac:dyDescent="0.3">
      <c r="A1100" s="1" t="str">
        <f t="shared" si="156"/>
        <v>59822</v>
      </c>
      <c r="B1100" s="1" t="s">
        <v>39</v>
      </c>
      <c r="C1100" s="1" t="s">
        <v>40</v>
      </c>
      <c r="D1100" s="1" t="str">
        <f t="shared" si="153"/>
        <v>9801</v>
      </c>
      <c r="E1100" s="1" t="s">
        <v>25</v>
      </c>
      <c r="F1100" s="1" t="str">
        <f>"1068623957"</f>
        <v>1068623957</v>
      </c>
      <c r="G1100" s="1" t="s">
        <v>38</v>
      </c>
      <c r="H1100" s="1" t="str">
        <f t="shared" si="152"/>
        <v>20220916</v>
      </c>
      <c r="I1100" s="1" t="str">
        <f>"175835"</f>
        <v>175835</v>
      </c>
      <c r="J1100" s="1" t="s">
        <v>28</v>
      </c>
      <c r="K1100" s="1" t="s">
        <v>28</v>
      </c>
      <c r="L1100" s="1" t="str">
        <f t="shared" si="154"/>
        <v>20220916</v>
      </c>
      <c r="M1100" s="1" t="str">
        <f>"183022"</f>
        <v>183022</v>
      </c>
      <c r="N1100" s="1" t="s">
        <v>60</v>
      </c>
      <c r="O1100" s="1" t="s">
        <v>52</v>
      </c>
      <c r="P1100" s="1" t="s">
        <v>55</v>
      </c>
      <c r="Q1100" s="1">
        <v>25</v>
      </c>
      <c r="R1100" s="1">
        <v>25</v>
      </c>
      <c r="S1100" s="1">
        <v>0</v>
      </c>
      <c r="T1100" s="1">
        <v>0</v>
      </c>
      <c r="U1100" s="1">
        <v>0</v>
      </c>
      <c r="V1100" s="1" t="str">
        <f t="shared" si="155"/>
        <v>里程返程</v>
      </c>
      <c r="W1100" s="1" t="s">
        <v>35</v>
      </c>
    </row>
    <row r="1101" spans="1:23" x14ac:dyDescent="0.3">
      <c r="A1101" s="1" t="str">
        <f t="shared" si="156"/>
        <v>59822</v>
      </c>
      <c r="B1101" s="1" t="s">
        <v>39</v>
      </c>
      <c r="C1101" s="1" t="s">
        <v>40</v>
      </c>
      <c r="D1101" s="1" t="str">
        <f t="shared" si="153"/>
        <v>9801</v>
      </c>
      <c r="E1101" s="1" t="s">
        <v>25</v>
      </c>
      <c r="F1101" s="1" t="str">
        <f>"305040897"</f>
        <v>305040897</v>
      </c>
      <c r="G1101" s="1" t="s">
        <v>33</v>
      </c>
      <c r="H1101" s="1" t="str">
        <f t="shared" si="152"/>
        <v>20220916</v>
      </c>
      <c r="I1101" s="1" t="str">
        <f>"175913"</f>
        <v>175913</v>
      </c>
      <c r="J1101" s="1" t="s">
        <v>28</v>
      </c>
      <c r="K1101" s="1" t="s">
        <v>28</v>
      </c>
      <c r="L1101" s="1" t="str">
        <f t="shared" si="154"/>
        <v>20220916</v>
      </c>
      <c r="M1101" s="1" t="str">
        <f>"183352"</f>
        <v>183352</v>
      </c>
      <c r="N1101" s="1" t="s">
        <v>52</v>
      </c>
      <c r="O1101" s="1" t="s">
        <v>52</v>
      </c>
      <c r="P1101" s="1" t="s">
        <v>55</v>
      </c>
      <c r="Q1101" s="1">
        <v>25</v>
      </c>
      <c r="R1101" s="1">
        <v>0</v>
      </c>
      <c r="S1101" s="1">
        <v>25</v>
      </c>
      <c r="T1101" s="1">
        <v>0</v>
      </c>
      <c r="U1101" s="1">
        <v>0</v>
      </c>
      <c r="V1101" s="1" t="str">
        <f t="shared" si="155"/>
        <v>里程返程</v>
      </c>
      <c r="W1101" s="1" t="s">
        <v>35</v>
      </c>
    </row>
    <row r="1102" spans="1:23" x14ac:dyDescent="0.3">
      <c r="A1102" s="1" t="str">
        <f t="shared" si="156"/>
        <v>59822</v>
      </c>
      <c r="B1102" s="1" t="s">
        <v>39</v>
      </c>
      <c r="C1102" s="1" t="s">
        <v>40</v>
      </c>
      <c r="D1102" s="1" t="str">
        <f t="shared" si="153"/>
        <v>9801</v>
      </c>
      <c r="E1102" s="1" t="s">
        <v>25</v>
      </c>
      <c r="F1102" s="1" t="str">
        <f>"1828446389"</f>
        <v>1828446389</v>
      </c>
      <c r="G1102" s="1" t="s">
        <v>33</v>
      </c>
      <c r="H1102" s="1" t="str">
        <f t="shared" si="152"/>
        <v>20220916</v>
      </c>
      <c r="I1102" s="1" t="str">
        <f>"180737"</f>
        <v>180737</v>
      </c>
      <c r="J1102" s="1" t="s">
        <v>78</v>
      </c>
      <c r="K1102" s="1" t="s">
        <v>52</v>
      </c>
      <c r="L1102" s="1" t="str">
        <f t="shared" si="154"/>
        <v>20220916</v>
      </c>
      <c r="M1102" s="1" t="str">
        <f>"182845"</f>
        <v>182845</v>
      </c>
      <c r="N1102" s="1" t="s">
        <v>51</v>
      </c>
      <c r="O1102" s="1" t="s">
        <v>52</v>
      </c>
      <c r="P1102" s="1" t="s">
        <v>55</v>
      </c>
      <c r="Q1102" s="1">
        <v>25</v>
      </c>
      <c r="R1102" s="1">
        <v>25</v>
      </c>
      <c r="S1102" s="1">
        <v>0</v>
      </c>
      <c r="T1102" s="1">
        <v>0</v>
      </c>
      <c r="U1102" s="1">
        <v>0</v>
      </c>
      <c r="V1102" s="1" t="str">
        <f t="shared" si="155"/>
        <v>里程返程</v>
      </c>
      <c r="W1102" s="1" t="s">
        <v>35</v>
      </c>
    </row>
    <row r="1103" spans="1:23" x14ac:dyDescent="0.3">
      <c r="A1103" s="1" t="str">
        <f t="shared" si="156"/>
        <v>59822</v>
      </c>
      <c r="B1103" s="1" t="s">
        <v>39</v>
      </c>
      <c r="C1103" s="1" t="s">
        <v>40</v>
      </c>
      <c r="D1103" s="1" t="str">
        <f t="shared" si="153"/>
        <v>9801</v>
      </c>
      <c r="E1103" s="1" t="s">
        <v>25</v>
      </c>
      <c r="F1103" s="1" t="str">
        <f>"143749718"</f>
        <v>143749718</v>
      </c>
      <c r="G1103" s="1" t="s">
        <v>33</v>
      </c>
      <c r="H1103" s="1" t="str">
        <f t="shared" si="152"/>
        <v>20220916</v>
      </c>
      <c r="I1103" s="1" t="str">
        <f>"184522"</f>
        <v>184522</v>
      </c>
      <c r="J1103" s="1" t="s">
        <v>61</v>
      </c>
      <c r="K1103" s="1" t="s">
        <v>45</v>
      </c>
      <c r="L1103" s="1" t="str">
        <f t="shared" si="154"/>
        <v>20220916</v>
      </c>
      <c r="M1103" s="1" t="str">
        <f>"185725"</f>
        <v>185725</v>
      </c>
      <c r="N1103" s="1" t="s">
        <v>28</v>
      </c>
      <c r="O1103" s="1" t="s">
        <v>28</v>
      </c>
      <c r="P1103" s="1" t="s">
        <v>55</v>
      </c>
      <c r="Q1103" s="1">
        <v>25</v>
      </c>
      <c r="R1103" s="1">
        <v>0</v>
      </c>
      <c r="S1103" s="1">
        <v>25</v>
      </c>
      <c r="T1103" s="1">
        <v>0</v>
      </c>
      <c r="U1103" s="1">
        <v>0</v>
      </c>
      <c r="V1103" s="1" t="str">
        <f t="shared" si="155"/>
        <v>里程返程</v>
      </c>
      <c r="W1103" s="1" t="s">
        <v>35</v>
      </c>
    </row>
    <row r="1104" spans="1:23" x14ac:dyDescent="0.3">
      <c r="A1104" s="1" t="str">
        <f t="shared" si="156"/>
        <v>59822</v>
      </c>
      <c r="B1104" s="1" t="s">
        <v>39</v>
      </c>
      <c r="C1104" s="1" t="s">
        <v>40</v>
      </c>
      <c r="D1104" s="1" t="str">
        <f t="shared" si="153"/>
        <v>9801</v>
      </c>
      <c r="E1104" s="1" t="s">
        <v>25</v>
      </c>
      <c r="F1104" s="1" t="str">
        <f>"850332529"</f>
        <v>850332529</v>
      </c>
      <c r="G1104" s="1" t="s">
        <v>33</v>
      </c>
      <c r="H1104" s="1" t="str">
        <f t="shared" si="152"/>
        <v>20220916</v>
      </c>
      <c r="I1104" s="1" t="str">
        <f>"185736"</f>
        <v>185736</v>
      </c>
      <c r="J1104" s="1" t="s">
        <v>28</v>
      </c>
      <c r="K1104" s="1" t="s">
        <v>28</v>
      </c>
      <c r="L1104" s="1" t="str">
        <f t="shared" si="154"/>
        <v>20220916</v>
      </c>
      <c r="M1104" s="1" t="str">
        <f>"192255"</f>
        <v>192255</v>
      </c>
      <c r="N1104" s="1" t="s">
        <v>60</v>
      </c>
      <c r="O1104" s="1" t="s">
        <v>52</v>
      </c>
      <c r="P1104" s="1" t="s">
        <v>55</v>
      </c>
      <c r="Q1104" s="1">
        <v>25</v>
      </c>
      <c r="R1104" s="1">
        <v>25</v>
      </c>
      <c r="S1104" s="1">
        <v>0</v>
      </c>
      <c r="T1104" s="1">
        <v>0</v>
      </c>
      <c r="U1104" s="1">
        <v>0</v>
      </c>
      <c r="V1104" s="1" t="str">
        <f t="shared" si="155"/>
        <v>里程返程</v>
      </c>
      <c r="W1104" s="1" t="s">
        <v>35</v>
      </c>
    </row>
    <row r="1105" spans="1:23" x14ac:dyDescent="0.3">
      <c r="A1105" s="1" t="str">
        <f t="shared" si="156"/>
        <v>59822</v>
      </c>
      <c r="B1105" s="1" t="s">
        <v>39</v>
      </c>
      <c r="C1105" s="1" t="s">
        <v>40</v>
      </c>
      <c r="D1105" s="1" t="str">
        <f t="shared" si="153"/>
        <v>9801</v>
      </c>
      <c r="E1105" s="1" t="s">
        <v>25</v>
      </c>
      <c r="F1105" s="1" t="str">
        <f>"1683604816"</f>
        <v>1683604816</v>
      </c>
      <c r="G1105" s="1" t="s">
        <v>74</v>
      </c>
      <c r="H1105" s="1" t="str">
        <f t="shared" si="152"/>
        <v>20220916</v>
      </c>
      <c r="I1105" s="1" t="str">
        <f>"185744"</f>
        <v>185744</v>
      </c>
      <c r="J1105" s="1" t="s">
        <v>28</v>
      </c>
      <c r="K1105" s="1" t="s">
        <v>28</v>
      </c>
      <c r="L1105" s="1" t="str">
        <f t="shared" si="154"/>
        <v>20220916</v>
      </c>
      <c r="M1105" s="1" t="str">
        <f>"192608"</f>
        <v>192608</v>
      </c>
      <c r="N1105" s="1" t="s">
        <v>52</v>
      </c>
      <c r="O1105" s="1" t="s">
        <v>52</v>
      </c>
      <c r="P1105" s="1" t="s">
        <v>55</v>
      </c>
      <c r="Q1105" s="1">
        <v>13</v>
      </c>
      <c r="R1105" s="1">
        <v>13</v>
      </c>
      <c r="S1105" s="1">
        <v>0</v>
      </c>
      <c r="T1105" s="1">
        <v>0</v>
      </c>
      <c r="U1105" s="1">
        <v>0</v>
      </c>
      <c r="V1105" s="1" t="str">
        <f t="shared" si="155"/>
        <v>里程返程</v>
      </c>
      <c r="W1105" s="1" t="s">
        <v>35</v>
      </c>
    </row>
    <row r="1106" spans="1:23" x14ac:dyDescent="0.3">
      <c r="A1106" s="1" t="str">
        <f t="shared" si="156"/>
        <v>59822</v>
      </c>
      <c r="B1106" s="1" t="s">
        <v>39</v>
      </c>
      <c r="C1106" s="1" t="s">
        <v>40</v>
      </c>
      <c r="D1106" s="1" t="str">
        <f t="shared" si="153"/>
        <v>9801</v>
      </c>
      <c r="E1106" s="1" t="s">
        <v>25</v>
      </c>
      <c r="F1106" s="1" t="str">
        <f>"02DD3718F0880400C819002000000019"</f>
        <v>02DD3718F0880400C819002000000019</v>
      </c>
      <c r="G1106" s="1" t="s">
        <v>64</v>
      </c>
      <c r="H1106" s="1" t="str">
        <f t="shared" si="152"/>
        <v>20220916</v>
      </c>
      <c r="I1106" s="1" t="str">
        <f>"185749"</f>
        <v>185749</v>
      </c>
      <c r="J1106" s="1" t="s">
        <v>28</v>
      </c>
      <c r="K1106" s="1" t="s">
        <v>28</v>
      </c>
      <c r="L1106" s="1" t="str">
        <f t="shared" si="154"/>
        <v>20220916</v>
      </c>
      <c r="M1106" s="1" t="str">
        <f>"191135"</f>
        <v>191135</v>
      </c>
      <c r="N1106" s="1" t="s">
        <v>77</v>
      </c>
      <c r="O1106" s="1" t="s">
        <v>52</v>
      </c>
      <c r="P1106" s="1" t="s">
        <v>55</v>
      </c>
      <c r="Q1106" s="1">
        <v>13</v>
      </c>
      <c r="R1106" s="1">
        <v>13</v>
      </c>
      <c r="S1106" s="1">
        <v>0</v>
      </c>
      <c r="T1106" s="1">
        <v>0</v>
      </c>
      <c r="U1106" s="1">
        <v>0</v>
      </c>
      <c r="V1106" s="1" t="str">
        <f t="shared" si="155"/>
        <v>里程返程</v>
      </c>
      <c r="W1106" s="1" t="s">
        <v>29</v>
      </c>
    </row>
    <row r="1107" spans="1:23" x14ac:dyDescent="0.3">
      <c r="A1107" s="1" t="str">
        <f t="shared" ref="A1107:A1138" si="157">"59825"</f>
        <v>59825</v>
      </c>
      <c r="B1107" s="1" t="s">
        <v>30</v>
      </c>
      <c r="C1107" s="1" t="s">
        <v>31</v>
      </c>
      <c r="D1107" s="1" t="str">
        <f t="shared" si="153"/>
        <v>9801</v>
      </c>
      <c r="E1107" s="1" t="s">
        <v>25</v>
      </c>
      <c r="F1107" s="1" t="str">
        <f>"1076794901"</f>
        <v>1076794901</v>
      </c>
      <c r="G1107" s="1" t="s">
        <v>33</v>
      </c>
      <c r="H1107" s="1" t="str">
        <f t="shared" si="152"/>
        <v>20220916</v>
      </c>
      <c r="I1107" s="1" t="str">
        <f>"082225"</f>
        <v>082225</v>
      </c>
      <c r="J1107" s="1" t="s">
        <v>44</v>
      </c>
      <c r="K1107" s="1" t="s">
        <v>45</v>
      </c>
      <c r="L1107" s="1" t="str">
        <f t="shared" si="154"/>
        <v>20220916</v>
      </c>
      <c r="M1107" s="1" t="str">
        <f>"084350"</f>
        <v>084350</v>
      </c>
      <c r="N1107" s="1" t="s">
        <v>45</v>
      </c>
      <c r="O1107" s="1" t="s">
        <v>45</v>
      </c>
      <c r="P1107" s="1" t="s">
        <v>55</v>
      </c>
      <c r="Q1107" s="1">
        <v>25</v>
      </c>
      <c r="R1107" s="1">
        <v>25</v>
      </c>
      <c r="S1107" s="1">
        <v>0</v>
      </c>
      <c r="T1107" s="1">
        <v>0</v>
      </c>
      <c r="U1107" s="1">
        <v>0</v>
      </c>
      <c r="V1107" s="1" t="str">
        <f t="shared" si="155"/>
        <v>里程返程</v>
      </c>
      <c r="W1107" s="1" t="s">
        <v>35</v>
      </c>
    </row>
    <row r="1108" spans="1:23" x14ac:dyDescent="0.3">
      <c r="A1108" s="1" t="str">
        <f t="shared" si="157"/>
        <v>59825</v>
      </c>
      <c r="B1108" s="1" t="s">
        <v>30</v>
      </c>
      <c r="C1108" s="1" t="s">
        <v>31</v>
      </c>
      <c r="D1108" s="1" t="str">
        <f t="shared" si="153"/>
        <v>9801</v>
      </c>
      <c r="E1108" s="1" t="s">
        <v>25</v>
      </c>
      <c r="F1108" s="1" t="str">
        <f>"750179185"</f>
        <v>750179185</v>
      </c>
      <c r="G1108" s="1" t="s">
        <v>33</v>
      </c>
      <c r="H1108" s="1" t="str">
        <f t="shared" si="152"/>
        <v>20220916</v>
      </c>
      <c r="I1108" s="1" t="str">
        <f>"082242"</f>
        <v>082242</v>
      </c>
      <c r="J1108" s="1" t="s">
        <v>44</v>
      </c>
      <c r="K1108" s="1" t="s">
        <v>45</v>
      </c>
      <c r="L1108" s="1" t="str">
        <f t="shared" si="154"/>
        <v>20220916</v>
      </c>
      <c r="M1108" s="1" t="str">
        <f>"085338"</f>
        <v>085338</v>
      </c>
      <c r="N1108" s="1" t="s">
        <v>28</v>
      </c>
      <c r="O1108" s="1" t="s">
        <v>28</v>
      </c>
      <c r="P1108" s="1" t="s">
        <v>55</v>
      </c>
      <c r="Q1108" s="1">
        <v>25</v>
      </c>
      <c r="R1108" s="1">
        <v>25</v>
      </c>
      <c r="S1108" s="1">
        <v>0</v>
      </c>
      <c r="T1108" s="1">
        <v>0</v>
      </c>
      <c r="U1108" s="1">
        <v>0</v>
      </c>
      <c r="V1108" s="1" t="str">
        <f t="shared" si="155"/>
        <v>里程返程</v>
      </c>
      <c r="W1108" s="1" t="s">
        <v>35</v>
      </c>
    </row>
    <row r="1109" spans="1:23" x14ac:dyDescent="0.3">
      <c r="A1109" s="1" t="str">
        <f t="shared" si="157"/>
        <v>59825</v>
      </c>
      <c r="B1109" s="1" t="s">
        <v>30</v>
      </c>
      <c r="C1109" s="1" t="s">
        <v>31</v>
      </c>
      <c r="D1109" s="1" t="str">
        <f t="shared" si="153"/>
        <v>9801</v>
      </c>
      <c r="E1109" s="1" t="s">
        <v>25</v>
      </c>
      <c r="F1109" s="1" t="str">
        <f>"1142464677"</f>
        <v>1142464677</v>
      </c>
      <c r="G1109" s="1" t="s">
        <v>33</v>
      </c>
      <c r="H1109" s="1" t="str">
        <f t="shared" si="152"/>
        <v>20220916</v>
      </c>
      <c r="I1109" s="1" t="str">
        <f>"082248"</f>
        <v>082248</v>
      </c>
      <c r="J1109" s="1" t="s">
        <v>44</v>
      </c>
      <c r="K1109" s="1" t="s">
        <v>45</v>
      </c>
      <c r="L1109" s="1" t="str">
        <f t="shared" si="154"/>
        <v>20220916</v>
      </c>
      <c r="M1109" s="1" t="str">
        <f>"085401"</f>
        <v>085401</v>
      </c>
      <c r="N1109" s="1" t="s">
        <v>28</v>
      </c>
      <c r="O1109" s="1" t="s">
        <v>28</v>
      </c>
      <c r="P1109" s="1" t="s">
        <v>55</v>
      </c>
      <c r="Q1109" s="1">
        <v>25</v>
      </c>
      <c r="R1109" s="1">
        <v>25</v>
      </c>
      <c r="S1109" s="1">
        <v>0</v>
      </c>
      <c r="T1109" s="1">
        <v>0</v>
      </c>
      <c r="U1109" s="1">
        <v>0</v>
      </c>
      <c r="V1109" s="1" t="str">
        <f t="shared" si="155"/>
        <v>里程返程</v>
      </c>
      <c r="W1109" s="1" t="s">
        <v>35</v>
      </c>
    </row>
    <row r="1110" spans="1:23" x14ac:dyDescent="0.3">
      <c r="A1110" s="1" t="str">
        <f t="shared" si="157"/>
        <v>59825</v>
      </c>
      <c r="B1110" s="1" t="s">
        <v>30</v>
      </c>
      <c r="C1110" s="1" t="s">
        <v>31</v>
      </c>
      <c r="D1110" s="1" t="str">
        <f t="shared" si="153"/>
        <v>9801</v>
      </c>
      <c r="E1110" s="1" t="s">
        <v>25</v>
      </c>
      <c r="F1110" s="1" t="str">
        <f>"278233073"</f>
        <v>278233073</v>
      </c>
      <c r="G1110" s="1" t="s">
        <v>33</v>
      </c>
      <c r="H1110" s="1" t="str">
        <f t="shared" si="152"/>
        <v>20220916</v>
      </c>
      <c r="I1110" s="1" t="str">
        <f>"083857"</f>
        <v>083857</v>
      </c>
      <c r="J1110" s="1" t="s">
        <v>75</v>
      </c>
      <c r="K1110" s="1" t="s">
        <v>45</v>
      </c>
      <c r="L1110" s="1" t="str">
        <f t="shared" si="154"/>
        <v>20220916</v>
      </c>
      <c r="M1110" s="1" t="str">
        <f>"085405"</f>
        <v>085405</v>
      </c>
      <c r="N1110" s="1" t="s">
        <v>28</v>
      </c>
      <c r="O1110" s="1" t="s">
        <v>28</v>
      </c>
      <c r="P1110" s="1" t="s">
        <v>55</v>
      </c>
      <c r="Q1110" s="1">
        <v>25</v>
      </c>
      <c r="R1110" s="1">
        <v>25</v>
      </c>
      <c r="S1110" s="1">
        <v>0</v>
      </c>
      <c r="T1110" s="1">
        <v>0</v>
      </c>
      <c r="U1110" s="1">
        <v>0</v>
      </c>
      <c r="V1110" s="1" t="str">
        <f t="shared" si="155"/>
        <v>里程返程</v>
      </c>
      <c r="W1110" s="1" t="s">
        <v>35</v>
      </c>
    </row>
    <row r="1111" spans="1:23" x14ac:dyDescent="0.3">
      <c r="A1111" s="1" t="str">
        <f t="shared" si="157"/>
        <v>59825</v>
      </c>
      <c r="B1111" s="1" t="s">
        <v>30</v>
      </c>
      <c r="C1111" s="1" t="s">
        <v>31</v>
      </c>
      <c r="D1111" s="1" t="str">
        <f t="shared" si="153"/>
        <v>9801</v>
      </c>
      <c r="E1111" s="1" t="s">
        <v>25</v>
      </c>
      <c r="F1111" s="1" t="str">
        <f>"1254264965"</f>
        <v>1254264965</v>
      </c>
      <c r="G1111" s="1" t="s">
        <v>33</v>
      </c>
      <c r="H1111" s="1" t="str">
        <f t="shared" si="152"/>
        <v>20220916</v>
      </c>
      <c r="I1111" s="1" t="str">
        <f>"083903"</f>
        <v>083903</v>
      </c>
      <c r="J1111" s="1" t="s">
        <v>75</v>
      </c>
      <c r="K1111" s="1" t="s">
        <v>45</v>
      </c>
      <c r="L1111" s="1" t="str">
        <f t="shared" si="154"/>
        <v>20220916</v>
      </c>
      <c r="M1111" s="1" t="str">
        <f>"085409"</f>
        <v>085409</v>
      </c>
      <c r="N1111" s="1" t="s">
        <v>28</v>
      </c>
      <c r="O1111" s="1" t="s">
        <v>28</v>
      </c>
      <c r="P1111" s="1" t="s">
        <v>55</v>
      </c>
      <c r="Q1111" s="1">
        <v>25</v>
      </c>
      <c r="R1111" s="1">
        <v>25</v>
      </c>
      <c r="S1111" s="1">
        <v>0</v>
      </c>
      <c r="T1111" s="1">
        <v>0</v>
      </c>
      <c r="U1111" s="1">
        <v>0</v>
      </c>
      <c r="V1111" s="1" t="str">
        <f t="shared" si="155"/>
        <v>里程返程</v>
      </c>
      <c r="W1111" s="1" t="s">
        <v>35</v>
      </c>
    </row>
    <row r="1112" spans="1:23" x14ac:dyDescent="0.3">
      <c r="A1112" s="1" t="str">
        <f t="shared" si="157"/>
        <v>59825</v>
      </c>
      <c r="B1112" s="1" t="s">
        <v>30</v>
      </c>
      <c r="C1112" s="1" t="s">
        <v>31</v>
      </c>
      <c r="D1112" s="1" t="str">
        <f t="shared" si="153"/>
        <v>9801</v>
      </c>
      <c r="E1112" s="1" t="s">
        <v>25</v>
      </c>
      <c r="F1112" s="1" t="str">
        <f>"1725435766"</f>
        <v>1725435766</v>
      </c>
      <c r="G1112" s="1" t="s">
        <v>26</v>
      </c>
      <c r="H1112" s="1" t="str">
        <f t="shared" si="152"/>
        <v>20220916</v>
      </c>
      <c r="I1112" s="1" t="str">
        <f>"090755"</f>
        <v>090755</v>
      </c>
      <c r="J1112" s="1" t="s">
        <v>69</v>
      </c>
      <c r="K1112" s="1" t="s">
        <v>52</v>
      </c>
      <c r="L1112" s="1" t="str">
        <f t="shared" si="154"/>
        <v>20220916</v>
      </c>
      <c r="M1112" s="1" t="str">
        <f>"092043"</f>
        <v>092043</v>
      </c>
      <c r="N1112" s="1" t="s">
        <v>51</v>
      </c>
      <c r="O1112" s="1" t="s">
        <v>52</v>
      </c>
      <c r="P1112" s="1" t="s">
        <v>55</v>
      </c>
      <c r="Q1112" s="1">
        <v>13</v>
      </c>
      <c r="R1112" s="1">
        <v>13</v>
      </c>
      <c r="S1112" s="1">
        <v>0</v>
      </c>
      <c r="T1112" s="1">
        <v>0</v>
      </c>
      <c r="U1112" s="1">
        <v>0</v>
      </c>
      <c r="V1112" s="1" t="str">
        <f t="shared" si="155"/>
        <v>里程返程</v>
      </c>
      <c r="W1112" s="1" t="s">
        <v>35</v>
      </c>
    </row>
    <row r="1113" spans="1:23" x14ac:dyDescent="0.3">
      <c r="A1113" s="1" t="str">
        <f t="shared" si="157"/>
        <v>59825</v>
      </c>
      <c r="B1113" s="1" t="s">
        <v>30</v>
      </c>
      <c r="C1113" s="1" t="s">
        <v>31</v>
      </c>
      <c r="D1113" s="1" t="str">
        <f t="shared" si="153"/>
        <v>9801</v>
      </c>
      <c r="E1113" s="1" t="s">
        <v>25</v>
      </c>
      <c r="F1113" s="1" t="str">
        <f>"1733813681"</f>
        <v>1733813681</v>
      </c>
      <c r="G1113" s="1" t="s">
        <v>26</v>
      </c>
      <c r="H1113" s="1" t="str">
        <f t="shared" si="152"/>
        <v>20220916</v>
      </c>
      <c r="I1113" s="1" t="str">
        <f>"093104"</f>
        <v>093104</v>
      </c>
      <c r="J1113" s="1" t="s">
        <v>44</v>
      </c>
      <c r="K1113" s="1" t="s">
        <v>45</v>
      </c>
      <c r="L1113" s="1" t="str">
        <f t="shared" si="154"/>
        <v>20220916</v>
      </c>
      <c r="M1113" s="1" t="str">
        <f>"094215"</f>
        <v>094215</v>
      </c>
      <c r="N1113" s="1" t="s">
        <v>45</v>
      </c>
      <c r="O1113" s="1" t="s">
        <v>45</v>
      </c>
      <c r="P1113" s="1" t="s">
        <v>55</v>
      </c>
      <c r="Q1113" s="1">
        <v>13</v>
      </c>
      <c r="R1113" s="1">
        <v>13</v>
      </c>
      <c r="S1113" s="1">
        <v>0</v>
      </c>
      <c r="T1113" s="1">
        <v>0</v>
      </c>
      <c r="U1113" s="1">
        <v>0</v>
      </c>
      <c r="V1113" s="1" t="str">
        <f t="shared" si="155"/>
        <v>里程返程</v>
      </c>
      <c r="W1113" s="1" t="s">
        <v>35</v>
      </c>
    </row>
    <row r="1114" spans="1:23" x14ac:dyDescent="0.3">
      <c r="A1114" s="1" t="str">
        <f t="shared" si="157"/>
        <v>59825</v>
      </c>
      <c r="B1114" s="1" t="s">
        <v>30</v>
      </c>
      <c r="C1114" s="1" t="s">
        <v>31</v>
      </c>
      <c r="D1114" s="1" t="str">
        <f t="shared" si="153"/>
        <v>9801</v>
      </c>
      <c r="E1114" s="1" t="s">
        <v>25</v>
      </c>
      <c r="F1114" s="1" t="str">
        <f>"3756075971"</f>
        <v>3756075971</v>
      </c>
      <c r="G1114" s="1" t="s">
        <v>33</v>
      </c>
      <c r="H1114" s="1" t="str">
        <f t="shared" si="152"/>
        <v>20220916</v>
      </c>
      <c r="I1114" s="1" t="str">
        <f>"093919"</f>
        <v>093919</v>
      </c>
      <c r="J1114" s="1" t="s">
        <v>75</v>
      </c>
      <c r="K1114" s="1" t="s">
        <v>45</v>
      </c>
      <c r="L1114" s="1" t="str">
        <f t="shared" si="154"/>
        <v>20220916</v>
      </c>
      <c r="M1114" s="1" t="str">
        <f>"095237"</f>
        <v>095237</v>
      </c>
      <c r="N1114" s="1" t="s">
        <v>95</v>
      </c>
      <c r="O1114" s="1" t="s">
        <v>28</v>
      </c>
      <c r="P1114" s="1" t="s">
        <v>55</v>
      </c>
      <c r="Q1114" s="1">
        <v>25</v>
      </c>
      <c r="R1114" s="1">
        <v>25</v>
      </c>
      <c r="S1114" s="1">
        <v>0</v>
      </c>
      <c r="T1114" s="1">
        <v>0</v>
      </c>
      <c r="U1114" s="1">
        <v>0</v>
      </c>
      <c r="V1114" s="1" t="str">
        <f t="shared" si="155"/>
        <v>里程返程</v>
      </c>
      <c r="W1114" s="1" t="s">
        <v>35</v>
      </c>
    </row>
    <row r="1115" spans="1:23" x14ac:dyDescent="0.3">
      <c r="A1115" s="1" t="str">
        <f t="shared" si="157"/>
        <v>59825</v>
      </c>
      <c r="B1115" s="1" t="s">
        <v>30</v>
      </c>
      <c r="C1115" s="1" t="s">
        <v>31</v>
      </c>
      <c r="D1115" s="1" t="str">
        <f t="shared" si="153"/>
        <v>9801</v>
      </c>
      <c r="E1115" s="1" t="s">
        <v>25</v>
      </c>
      <c r="F1115" s="1" t="str">
        <f>"285817872"</f>
        <v>285817872</v>
      </c>
      <c r="G1115" s="1" t="s">
        <v>33</v>
      </c>
      <c r="H1115" s="1" t="str">
        <f t="shared" si="152"/>
        <v>20220916</v>
      </c>
      <c r="I1115" s="1" t="str">
        <f>"095317"</f>
        <v>095317</v>
      </c>
      <c r="J1115" s="1" t="s">
        <v>28</v>
      </c>
      <c r="K1115" s="1" t="s">
        <v>28</v>
      </c>
      <c r="L1115" s="1" t="str">
        <f t="shared" si="154"/>
        <v>20220916</v>
      </c>
      <c r="M1115" s="1" t="str">
        <f>"102428"</f>
        <v>102428</v>
      </c>
      <c r="N1115" s="1" t="s">
        <v>60</v>
      </c>
      <c r="O1115" s="1" t="s">
        <v>52</v>
      </c>
      <c r="P1115" s="1" t="s">
        <v>55</v>
      </c>
      <c r="Q1115" s="1">
        <v>25</v>
      </c>
      <c r="R1115" s="1">
        <v>0</v>
      </c>
      <c r="S1115" s="1">
        <v>25</v>
      </c>
      <c r="T1115" s="1">
        <v>0</v>
      </c>
      <c r="U1115" s="1">
        <v>0</v>
      </c>
      <c r="V1115" s="1" t="str">
        <f t="shared" si="155"/>
        <v>里程返程</v>
      </c>
      <c r="W1115" s="1" t="s">
        <v>35</v>
      </c>
    </row>
    <row r="1116" spans="1:23" x14ac:dyDescent="0.3">
      <c r="A1116" s="1" t="str">
        <f t="shared" si="157"/>
        <v>59825</v>
      </c>
      <c r="B1116" s="1" t="s">
        <v>30</v>
      </c>
      <c r="C1116" s="1" t="s">
        <v>31</v>
      </c>
      <c r="D1116" s="1" t="str">
        <f t="shared" si="153"/>
        <v>9801</v>
      </c>
      <c r="E1116" s="1" t="s">
        <v>25</v>
      </c>
      <c r="F1116" s="1" t="str">
        <f>"1048585061"</f>
        <v>1048585061</v>
      </c>
      <c r="G1116" s="1" t="s">
        <v>33</v>
      </c>
      <c r="H1116" s="1" t="str">
        <f t="shared" si="152"/>
        <v>20220916</v>
      </c>
      <c r="I1116" s="1" t="str">
        <f>"095323"</f>
        <v>095323</v>
      </c>
      <c r="J1116" s="1" t="s">
        <v>28</v>
      </c>
      <c r="K1116" s="1" t="s">
        <v>28</v>
      </c>
      <c r="L1116" s="1" t="str">
        <f t="shared" si="154"/>
        <v>20220916</v>
      </c>
      <c r="M1116" s="1" t="str">
        <f>"102847"</f>
        <v>102847</v>
      </c>
      <c r="N1116" s="1" t="s">
        <v>52</v>
      </c>
      <c r="O1116" s="1" t="s">
        <v>52</v>
      </c>
      <c r="P1116" s="1" t="s">
        <v>55</v>
      </c>
      <c r="Q1116" s="1">
        <v>25</v>
      </c>
      <c r="R1116" s="1">
        <v>25</v>
      </c>
      <c r="S1116" s="1">
        <v>0</v>
      </c>
      <c r="T1116" s="1">
        <v>0</v>
      </c>
      <c r="U1116" s="1">
        <v>0</v>
      </c>
      <c r="V1116" s="1" t="str">
        <f t="shared" si="155"/>
        <v>里程返程</v>
      </c>
      <c r="W1116" s="1" t="s">
        <v>35</v>
      </c>
    </row>
    <row r="1117" spans="1:23" x14ac:dyDescent="0.3">
      <c r="A1117" s="1" t="str">
        <f t="shared" si="157"/>
        <v>59825</v>
      </c>
      <c r="B1117" s="1" t="s">
        <v>30</v>
      </c>
      <c r="C1117" s="1" t="s">
        <v>31</v>
      </c>
      <c r="D1117" s="1" t="str">
        <f t="shared" si="153"/>
        <v>9801</v>
      </c>
      <c r="E1117" s="1" t="s">
        <v>25</v>
      </c>
      <c r="F1117" s="1" t="str">
        <f>"1110140901"</f>
        <v>1110140901</v>
      </c>
      <c r="G1117" s="1" t="s">
        <v>38</v>
      </c>
      <c r="H1117" s="1" t="str">
        <f t="shared" si="152"/>
        <v>20220916</v>
      </c>
      <c r="I1117" s="1" t="str">
        <f>"095344"</f>
        <v>095344</v>
      </c>
      <c r="J1117" s="1" t="s">
        <v>28</v>
      </c>
      <c r="K1117" s="1" t="s">
        <v>28</v>
      </c>
      <c r="L1117" s="1" t="str">
        <f t="shared" si="154"/>
        <v>20220916</v>
      </c>
      <c r="M1117" s="1" t="str">
        <f>"101707"</f>
        <v>101707</v>
      </c>
      <c r="N1117" s="1" t="s">
        <v>97</v>
      </c>
      <c r="O1117" s="1" t="s">
        <v>52</v>
      </c>
      <c r="P1117" s="1" t="s">
        <v>55</v>
      </c>
      <c r="Q1117" s="1">
        <v>25</v>
      </c>
      <c r="R1117" s="1">
        <v>0</v>
      </c>
      <c r="S1117" s="1">
        <v>25</v>
      </c>
      <c r="T1117" s="1">
        <v>0</v>
      </c>
      <c r="U1117" s="1">
        <v>0</v>
      </c>
      <c r="V1117" s="1" t="str">
        <f t="shared" si="155"/>
        <v>里程返程</v>
      </c>
      <c r="W1117" s="1" t="s">
        <v>35</v>
      </c>
    </row>
    <row r="1118" spans="1:23" x14ac:dyDescent="0.3">
      <c r="A1118" s="1" t="str">
        <f t="shared" si="157"/>
        <v>59825</v>
      </c>
      <c r="B1118" s="1" t="s">
        <v>30</v>
      </c>
      <c r="C1118" s="1" t="s">
        <v>31</v>
      </c>
      <c r="D1118" s="1" t="str">
        <f t="shared" si="153"/>
        <v>9801</v>
      </c>
      <c r="E1118" s="1" t="s">
        <v>25</v>
      </c>
      <c r="F1118" s="1" t="str">
        <f>"1076794901"</f>
        <v>1076794901</v>
      </c>
      <c r="G1118" s="1" t="s">
        <v>33</v>
      </c>
      <c r="H1118" s="1" t="str">
        <f t="shared" si="152"/>
        <v>20220916</v>
      </c>
      <c r="I1118" s="1" t="str">
        <f>"104344"</f>
        <v>104344</v>
      </c>
      <c r="J1118" s="1" t="s">
        <v>45</v>
      </c>
      <c r="K1118" s="1" t="s">
        <v>45</v>
      </c>
      <c r="L1118" s="1" t="str">
        <f t="shared" si="154"/>
        <v>20220916</v>
      </c>
      <c r="M1118" s="1" t="str">
        <f>"105356"</f>
        <v>105356</v>
      </c>
      <c r="N1118" s="1" t="s">
        <v>28</v>
      </c>
      <c r="O1118" s="1" t="s">
        <v>28</v>
      </c>
      <c r="P1118" s="1" t="s">
        <v>55</v>
      </c>
      <c r="Q1118" s="1">
        <v>25</v>
      </c>
      <c r="R1118" s="1">
        <v>25</v>
      </c>
      <c r="S1118" s="1">
        <v>0</v>
      </c>
      <c r="T1118" s="1">
        <v>0</v>
      </c>
      <c r="U1118" s="1">
        <v>0</v>
      </c>
      <c r="V1118" s="1" t="str">
        <f t="shared" si="155"/>
        <v>里程返程</v>
      </c>
      <c r="W1118" s="1" t="s">
        <v>35</v>
      </c>
    </row>
    <row r="1119" spans="1:23" x14ac:dyDescent="0.3">
      <c r="A1119" s="1" t="str">
        <f t="shared" si="157"/>
        <v>59825</v>
      </c>
      <c r="B1119" s="1" t="s">
        <v>30</v>
      </c>
      <c r="C1119" s="1" t="s">
        <v>110</v>
      </c>
      <c r="D1119" s="1" t="str">
        <f t="shared" si="153"/>
        <v>9801</v>
      </c>
      <c r="E1119" s="1" t="s">
        <v>25</v>
      </c>
      <c r="F1119" s="1" t="str">
        <f>"9517171004325742"</f>
        <v>9517171004325742</v>
      </c>
      <c r="G1119" s="1" t="s">
        <v>33</v>
      </c>
      <c r="H1119" s="1" t="str">
        <f t="shared" ref="H1119:H1138" si="158">"20220916"</f>
        <v>20220916</v>
      </c>
      <c r="I1119" s="1" t="str">
        <f>"114610"</f>
        <v>114610</v>
      </c>
      <c r="J1119" s="1" t="s">
        <v>45</v>
      </c>
      <c r="K1119" s="1" t="s">
        <v>45</v>
      </c>
      <c r="L1119" s="1" t="str">
        <f t="shared" si="154"/>
        <v>20220916</v>
      </c>
      <c r="M1119" s="1" t="str">
        <f>"115401"</f>
        <v>115401</v>
      </c>
      <c r="N1119" s="1" t="s">
        <v>28</v>
      </c>
      <c r="O1119" s="1" t="s">
        <v>28</v>
      </c>
      <c r="P1119" s="1" t="s">
        <v>55</v>
      </c>
      <c r="Q1119" s="1">
        <v>25</v>
      </c>
      <c r="R1119" s="1">
        <v>25</v>
      </c>
      <c r="S1119" s="1">
        <v>0</v>
      </c>
      <c r="T1119" s="1">
        <v>0</v>
      </c>
      <c r="U1119" s="1">
        <v>0</v>
      </c>
      <c r="V1119" s="1" t="str">
        <f t="shared" si="155"/>
        <v>里程返程</v>
      </c>
      <c r="W1119" s="1" t="s">
        <v>109</v>
      </c>
    </row>
    <row r="1120" spans="1:23" x14ac:dyDescent="0.3">
      <c r="A1120" s="1" t="str">
        <f t="shared" si="157"/>
        <v>59825</v>
      </c>
      <c r="B1120" s="1" t="s">
        <v>30</v>
      </c>
      <c r="C1120" s="1" t="s">
        <v>31</v>
      </c>
      <c r="D1120" s="1" t="str">
        <f t="shared" si="153"/>
        <v>9801</v>
      </c>
      <c r="E1120" s="1" t="s">
        <v>25</v>
      </c>
      <c r="F1120" s="1" t="str">
        <f>"660993845"</f>
        <v>660993845</v>
      </c>
      <c r="G1120" s="1" t="s">
        <v>33</v>
      </c>
      <c r="H1120" s="1" t="str">
        <f t="shared" si="158"/>
        <v>20220916</v>
      </c>
      <c r="I1120" s="1" t="str">
        <f>"114612"</f>
        <v>114612</v>
      </c>
      <c r="J1120" s="1" t="s">
        <v>45</v>
      </c>
      <c r="K1120" s="1" t="s">
        <v>45</v>
      </c>
      <c r="L1120" s="1" t="str">
        <f t="shared" si="154"/>
        <v>20220916</v>
      </c>
      <c r="M1120" s="1" t="str">
        <f>"115350"</f>
        <v>115350</v>
      </c>
      <c r="N1120" s="1" t="s">
        <v>28</v>
      </c>
      <c r="O1120" s="1" t="s">
        <v>28</v>
      </c>
      <c r="P1120" s="1" t="s">
        <v>55</v>
      </c>
      <c r="Q1120" s="1">
        <v>25</v>
      </c>
      <c r="R1120" s="1">
        <v>25</v>
      </c>
      <c r="S1120" s="1">
        <v>0</v>
      </c>
      <c r="T1120" s="1">
        <v>0</v>
      </c>
      <c r="U1120" s="1">
        <v>0</v>
      </c>
      <c r="V1120" s="1" t="str">
        <f t="shared" si="155"/>
        <v>里程返程</v>
      </c>
      <c r="W1120" s="1" t="s">
        <v>35</v>
      </c>
    </row>
    <row r="1121" spans="1:23" x14ac:dyDescent="0.3">
      <c r="A1121" s="1" t="str">
        <f t="shared" si="157"/>
        <v>59825</v>
      </c>
      <c r="B1121" s="1" t="s">
        <v>30</v>
      </c>
      <c r="C1121" s="1" t="s">
        <v>31</v>
      </c>
      <c r="D1121" s="1" t="str">
        <f t="shared" si="153"/>
        <v>9801</v>
      </c>
      <c r="E1121" s="1" t="s">
        <v>25</v>
      </c>
      <c r="F1121" s="1" t="str">
        <f>"57704897"</f>
        <v>57704897</v>
      </c>
      <c r="G1121" s="1" t="s">
        <v>33</v>
      </c>
      <c r="H1121" s="1" t="str">
        <f t="shared" si="158"/>
        <v>20220916</v>
      </c>
      <c r="I1121" s="1" t="str">
        <f>"114617"</f>
        <v>114617</v>
      </c>
      <c r="J1121" s="1" t="s">
        <v>45</v>
      </c>
      <c r="K1121" s="1" t="s">
        <v>45</v>
      </c>
      <c r="L1121" s="1" t="str">
        <f t="shared" si="154"/>
        <v>20220916</v>
      </c>
      <c r="M1121" s="1" t="str">
        <f>"115358"</f>
        <v>115358</v>
      </c>
      <c r="N1121" s="1" t="s">
        <v>28</v>
      </c>
      <c r="O1121" s="1" t="s">
        <v>28</v>
      </c>
      <c r="P1121" s="1" t="s">
        <v>55</v>
      </c>
      <c r="Q1121" s="1">
        <v>25</v>
      </c>
      <c r="R1121" s="1">
        <v>25</v>
      </c>
      <c r="S1121" s="1">
        <v>0</v>
      </c>
      <c r="T1121" s="1">
        <v>0</v>
      </c>
      <c r="U1121" s="1">
        <v>0</v>
      </c>
      <c r="V1121" s="1" t="str">
        <f t="shared" si="155"/>
        <v>里程返程</v>
      </c>
      <c r="W1121" s="1" t="s">
        <v>35</v>
      </c>
    </row>
    <row r="1122" spans="1:23" x14ac:dyDescent="0.3">
      <c r="A1122" s="1" t="str">
        <f t="shared" si="157"/>
        <v>59825</v>
      </c>
      <c r="B1122" s="1" t="s">
        <v>30</v>
      </c>
      <c r="C1122" s="1" t="s">
        <v>31</v>
      </c>
      <c r="D1122" s="1" t="str">
        <f t="shared" si="153"/>
        <v>9801</v>
      </c>
      <c r="E1122" s="1" t="s">
        <v>25</v>
      </c>
      <c r="F1122" s="1" t="str">
        <f>"1478557231"</f>
        <v>1478557231</v>
      </c>
      <c r="G1122" s="1" t="s">
        <v>33</v>
      </c>
      <c r="H1122" s="1" t="str">
        <f t="shared" si="158"/>
        <v>20220916</v>
      </c>
      <c r="I1122" s="1" t="str">
        <f>"114620"</f>
        <v>114620</v>
      </c>
      <c r="J1122" s="1" t="s">
        <v>45</v>
      </c>
      <c r="K1122" s="1" t="s">
        <v>45</v>
      </c>
      <c r="L1122" s="1" t="str">
        <f t="shared" ref="L1122:L1138" si="159">"20220916"</f>
        <v>20220916</v>
      </c>
      <c r="M1122" s="1" t="str">
        <f>"115404"</f>
        <v>115404</v>
      </c>
      <c r="N1122" s="1" t="s">
        <v>28</v>
      </c>
      <c r="O1122" s="1" t="s">
        <v>28</v>
      </c>
      <c r="P1122" s="1" t="s">
        <v>55</v>
      </c>
      <c r="Q1122" s="1">
        <v>25</v>
      </c>
      <c r="R1122" s="1">
        <v>25</v>
      </c>
      <c r="S1122" s="1">
        <v>0</v>
      </c>
      <c r="T1122" s="1">
        <v>0</v>
      </c>
      <c r="U1122" s="1">
        <v>0</v>
      </c>
      <c r="V1122" s="1" t="str">
        <f t="shared" si="155"/>
        <v>里程返程</v>
      </c>
      <c r="W1122" s="1" t="s">
        <v>35</v>
      </c>
    </row>
    <row r="1123" spans="1:23" x14ac:dyDescent="0.3">
      <c r="A1123" s="1" t="str">
        <f t="shared" si="157"/>
        <v>59825</v>
      </c>
      <c r="B1123" s="1" t="s">
        <v>30</v>
      </c>
      <c r="C1123" s="1" t="s">
        <v>31</v>
      </c>
      <c r="D1123" s="1" t="str">
        <f t="shared" si="153"/>
        <v>9801</v>
      </c>
      <c r="E1123" s="1" t="s">
        <v>25</v>
      </c>
      <c r="F1123" s="1" t="str">
        <f>"994369333"</f>
        <v>994369333</v>
      </c>
      <c r="G1123" s="1" t="s">
        <v>26</v>
      </c>
      <c r="H1123" s="1" t="str">
        <f t="shared" si="158"/>
        <v>20220916</v>
      </c>
      <c r="I1123" s="1" t="str">
        <f>"114622"</f>
        <v>114622</v>
      </c>
      <c r="J1123" s="1" t="s">
        <v>45</v>
      </c>
      <c r="K1123" s="1" t="s">
        <v>45</v>
      </c>
      <c r="L1123" s="1" t="str">
        <f t="shared" si="159"/>
        <v>20220916</v>
      </c>
      <c r="M1123" s="1" t="str">
        <f>"115353"</f>
        <v>115353</v>
      </c>
      <c r="N1123" s="1" t="s">
        <v>28</v>
      </c>
      <c r="O1123" s="1" t="s">
        <v>28</v>
      </c>
      <c r="P1123" s="1" t="s">
        <v>55</v>
      </c>
      <c r="Q1123" s="1">
        <v>13</v>
      </c>
      <c r="R1123" s="1">
        <v>0</v>
      </c>
      <c r="S1123" s="1">
        <v>13</v>
      </c>
      <c r="T1123" s="1">
        <v>0</v>
      </c>
      <c r="U1123" s="1">
        <v>0</v>
      </c>
      <c r="V1123" s="1" t="str">
        <f t="shared" si="155"/>
        <v>里程返程</v>
      </c>
      <c r="W1123" s="1" t="s">
        <v>35</v>
      </c>
    </row>
    <row r="1124" spans="1:23" x14ac:dyDescent="0.3">
      <c r="A1124" s="1" t="str">
        <f t="shared" si="157"/>
        <v>59825</v>
      </c>
      <c r="B1124" s="1" t="s">
        <v>30</v>
      </c>
      <c r="C1124" s="1" t="s">
        <v>31</v>
      </c>
      <c r="D1124" s="1" t="str">
        <f t="shared" si="153"/>
        <v>9801</v>
      </c>
      <c r="E1124" s="1" t="s">
        <v>25</v>
      </c>
      <c r="F1124" s="1" t="str">
        <f>"3238479539"</f>
        <v>3238479539</v>
      </c>
      <c r="G1124" s="1" t="s">
        <v>33</v>
      </c>
      <c r="H1124" s="1" t="str">
        <f t="shared" si="158"/>
        <v>20220916</v>
      </c>
      <c r="I1124" s="1" t="str">
        <f>"114626"</f>
        <v>114626</v>
      </c>
      <c r="J1124" s="1" t="s">
        <v>45</v>
      </c>
      <c r="K1124" s="1" t="s">
        <v>45</v>
      </c>
      <c r="L1124" s="1" t="str">
        <f t="shared" si="159"/>
        <v>20220916</v>
      </c>
      <c r="M1124" s="1" t="str">
        <f>"115347"</f>
        <v>115347</v>
      </c>
      <c r="N1124" s="1" t="s">
        <v>28</v>
      </c>
      <c r="O1124" s="1" t="s">
        <v>28</v>
      </c>
      <c r="P1124" s="1" t="s">
        <v>55</v>
      </c>
      <c r="Q1124" s="1">
        <v>25</v>
      </c>
      <c r="R1124" s="1">
        <v>25</v>
      </c>
      <c r="S1124" s="1">
        <v>0</v>
      </c>
      <c r="T1124" s="1">
        <v>0</v>
      </c>
      <c r="U1124" s="1">
        <v>0</v>
      </c>
      <c r="V1124" s="1" t="str">
        <f t="shared" si="155"/>
        <v>里程返程</v>
      </c>
      <c r="W1124" s="1" t="s">
        <v>35</v>
      </c>
    </row>
    <row r="1125" spans="1:23" x14ac:dyDescent="0.3">
      <c r="A1125" s="1" t="str">
        <f t="shared" si="157"/>
        <v>59825</v>
      </c>
      <c r="B1125" s="1" t="s">
        <v>30</v>
      </c>
      <c r="C1125" s="1" t="s">
        <v>31</v>
      </c>
      <c r="D1125" s="1" t="str">
        <f t="shared" si="153"/>
        <v>9801</v>
      </c>
      <c r="E1125" s="1" t="s">
        <v>25</v>
      </c>
      <c r="F1125" s="1" t="str">
        <f>"1000871825"</f>
        <v>1000871825</v>
      </c>
      <c r="G1125" s="1" t="s">
        <v>33</v>
      </c>
      <c r="H1125" s="1" t="str">
        <f t="shared" si="158"/>
        <v>20220916</v>
      </c>
      <c r="I1125" s="1" t="str">
        <f>"114630"</f>
        <v>114630</v>
      </c>
      <c r="J1125" s="1" t="s">
        <v>45</v>
      </c>
      <c r="K1125" s="1" t="s">
        <v>45</v>
      </c>
      <c r="L1125" s="1" t="str">
        <f t="shared" si="159"/>
        <v>20220916</v>
      </c>
      <c r="M1125" s="1" t="str">
        <f>"115355"</f>
        <v>115355</v>
      </c>
      <c r="N1125" s="1" t="s">
        <v>28</v>
      </c>
      <c r="O1125" s="1" t="s">
        <v>28</v>
      </c>
      <c r="P1125" s="1" t="s">
        <v>55</v>
      </c>
      <c r="Q1125" s="1">
        <v>25</v>
      </c>
      <c r="R1125" s="1">
        <v>25</v>
      </c>
      <c r="S1125" s="1">
        <v>0</v>
      </c>
      <c r="T1125" s="1">
        <v>0</v>
      </c>
      <c r="U1125" s="1">
        <v>0</v>
      </c>
      <c r="V1125" s="1" t="str">
        <f t="shared" si="155"/>
        <v>里程返程</v>
      </c>
      <c r="W1125" s="1" t="s">
        <v>35</v>
      </c>
    </row>
    <row r="1126" spans="1:23" x14ac:dyDescent="0.3">
      <c r="A1126" s="1" t="str">
        <f t="shared" si="157"/>
        <v>59825</v>
      </c>
      <c r="B1126" s="1" t="s">
        <v>30</v>
      </c>
      <c r="C1126" s="1" t="s">
        <v>31</v>
      </c>
      <c r="D1126" s="1" t="str">
        <f t="shared" si="153"/>
        <v>9801</v>
      </c>
      <c r="E1126" s="1" t="s">
        <v>25</v>
      </c>
      <c r="F1126" s="1" t="str">
        <f>"1260698869"</f>
        <v>1260698869</v>
      </c>
      <c r="G1126" s="1" t="s">
        <v>26</v>
      </c>
      <c r="H1126" s="1" t="str">
        <f t="shared" si="158"/>
        <v>20220916</v>
      </c>
      <c r="I1126" s="1" t="str">
        <f>"114634"</f>
        <v>114634</v>
      </c>
      <c r="J1126" s="1" t="s">
        <v>45</v>
      </c>
      <c r="K1126" s="1" t="s">
        <v>45</v>
      </c>
      <c r="L1126" s="1" t="str">
        <f t="shared" si="159"/>
        <v>20220916</v>
      </c>
      <c r="M1126" s="1" t="str">
        <f>"115345"</f>
        <v>115345</v>
      </c>
      <c r="N1126" s="1" t="s">
        <v>28</v>
      </c>
      <c r="O1126" s="1" t="s">
        <v>28</v>
      </c>
      <c r="P1126" s="1" t="s">
        <v>55</v>
      </c>
      <c r="Q1126" s="1">
        <v>13</v>
      </c>
      <c r="R1126" s="1">
        <v>0</v>
      </c>
      <c r="S1126" s="1">
        <v>13</v>
      </c>
      <c r="T1126" s="1">
        <v>0</v>
      </c>
      <c r="U1126" s="1">
        <v>0</v>
      </c>
      <c r="V1126" s="1" t="str">
        <f t="shared" si="155"/>
        <v>里程返程</v>
      </c>
      <c r="W1126" s="1" t="s">
        <v>35</v>
      </c>
    </row>
    <row r="1127" spans="1:23" x14ac:dyDescent="0.3">
      <c r="A1127" s="1" t="str">
        <f t="shared" si="157"/>
        <v>59825</v>
      </c>
      <c r="B1127" s="1" t="s">
        <v>30</v>
      </c>
      <c r="C1127" s="1" t="s">
        <v>31</v>
      </c>
      <c r="D1127" s="1" t="str">
        <f t="shared" si="153"/>
        <v>9801</v>
      </c>
      <c r="E1127" s="1" t="s">
        <v>25</v>
      </c>
      <c r="F1127" s="1" t="str">
        <f>"1187072229"</f>
        <v>1187072229</v>
      </c>
      <c r="G1127" s="1" t="s">
        <v>26</v>
      </c>
      <c r="H1127" s="1" t="str">
        <f t="shared" si="158"/>
        <v>20220916</v>
      </c>
      <c r="I1127" s="1" t="str">
        <f>"115435"</f>
        <v>115435</v>
      </c>
      <c r="J1127" s="1" t="s">
        <v>28</v>
      </c>
      <c r="K1127" s="1" t="s">
        <v>28</v>
      </c>
      <c r="L1127" s="1" t="str">
        <f t="shared" si="159"/>
        <v>20220916</v>
      </c>
      <c r="M1127" s="1" t="str">
        <f>"122701"</f>
        <v>122701</v>
      </c>
      <c r="N1127" s="1" t="s">
        <v>52</v>
      </c>
      <c r="O1127" s="1" t="s">
        <v>52</v>
      </c>
      <c r="P1127" s="1" t="s">
        <v>55</v>
      </c>
      <c r="Q1127" s="1">
        <v>13</v>
      </c>
      <c r="R1127" s="1">
        <v>13</v>
      </c>
      <c r="S1127" s="1">
        <v>0</v>
      </c>
      <c r="T1127" s="1">
        <v>0</v>
      </c>
      <c r="U1127" s="1">
        <v>0</v>
      </c>
      <c r="V1127" s="1" t="str">
        <f t="shared" si="155"/>
        <v>里程返程</v>
      </c>
      <c r="W1127" s="1" t="s">
        <v>35</v>
      </c>
    </row>
    <row r="1128" spans="1:23" x14ac:dyDescent="0.3">
      <c r="A1128" s="1" t="str">
        <f t="shared" si="157"/>
        <v>59825</v>
      </c>
      <c r="B1128" s="1" t="s">
        <v>30</v>
      </c>
      <c r="C1128" s="1" t="s">
        <v>31</v>
      </c>
      <c r="D1128" s="1" t="str">
        <f t="shared" si="153"/>
        <v>9801</v>
      </c>
      <c r="E1128" s="1" t="s">
        <v>25</v>
      </c>
      <c r="F1128" s="1" t="str">
        <f>"946140101"</f>
        <v>946140101</v>
      </c>
      <c r="G1128" s="1" t="s">
        <v>33</v>
      </c>
      <c r="H1128" s="1" t="str">
        <f t="shared" si="158"/>
        <v>20220916</v>
      </c>
      <c r="I1128" s="1" t="str">
        <f>"115452"</f>
        <v>115452</v>
      </c>
      <c r="J1128" s="1" t="s">
        <v>28</v>
      </c>
      <c r="K1128" s="1" t="s">
        <v>28</v>
      </c>
      <c r="L1128" s="1" t="str">
        <f t="shared" si="159"/>
        <v>20220916</v>
      </c>
      <c r="M1128" s="1" t="str">
        <f>"121551"</f>
        <v>121551</v>
      </c>
      <c r="N1128" s="1" t="s">
        <v>65</v>
      </c>
      <c r="O1128" s="1" t="s">
        <v>52</v>
      </c>
      <c r="P1128" s="1" t="s">
        <v>55</v>
      </c>
      <c r="Q1128" s="1">
        <v>25</v>
      </c>
      <c r="R1128" s="1">
        <v>0</v>
      </c>
      <c r="S1128" s="1">
        <v>25</v>
      </c>
      <c r="T1128" s="1">
        <v>0</v>
      </c>
      <c r="U1128" s="1">
        <v>0</v>
      </c>
      <c r="V1128" s="1" t="str">
        <f t="shared" si="155"/>
        <v>里程返程</v>
      </c>
      <c r="W1128" s="1" t="s">
        <v>35</v>
      </c>
    </row>
    <row r="1129" spans="1:23" x14ac:dyDescent="0.3">
      <c r="A1129" s="1" t="str">
        <f t="shared" si="157"/>
        <v>59825</v>
      </c>
      <c r="B1129" s="1" t="s">
        <v>30</v>
      </c>
      <c r="C1129" s="1" t="s">
        <v>31</v>
      </c>
      <c r="D1129" s="1" t="str">
        <f t="shared" si="153"/>
        <v>9801</v>
      </c>
      <c r="E1129" s="1" t="s">
        <v>25</v>
      </c>
      <c r="F1129" s="1" t="str">
        <f>"170166149"</f>
        <v>170166149</v>
      </c>
      <c r="G1129" s="1" t="s">
        <v>33</v>
      </c>
      <c r="H1129" s="1" t="str">
        <f t="shared" si="158"/>
        <v>20220916</v>
      </c>
      <c r="I1129" s="1" t="str">
        <f>"115505"</f>
        <v>115505</v>
      </c>
      <c r="J1129" s="1" t="s">
        <v>28</v>
      </c>
      <c r="K1129" s="1" t="s">
        <v>28</v>
      </c>
      <c r="L1129" s="1" t="str">
        <f t="shared" si="159"/>
        <v>20220916</v>
      </c>
      <c r="M1129" s="1" t="str">
        <f>"122705"</f>
        <v>122705</v>
      </c>
      <c r="N1129" s="1" t="s">
        <v>52</v>
      </c>
      <c r="O1129" s="1" t="s">
        <v>52</v>
      </c>
      <c r="P1129" s="1" t="s">
        <v>55</v>
      </c>
      <c r="Q1129" s="1">
        <v>25</v>
      </c>
      <c r="R1129" s="1">
        <v>25</v>
      </c>
      <c r="S1129" s="1">
        <v>0</v>
      </c>
      <c r="T1129" s="1">
        <v>0</v>
      </c>
      <c r="U1129" s="1">
        <v>0</v>
      </c>
      <c r="V1129" s="1" t="str">
        <f t="shared" si="155"/>
        <v>里程返程</v>
      </c>
      <c r="W1129" s="1" t="s">
        <v>35</v>
      </c>
    </row>
    <row r="1130" spans="1:23" x14ac:dyDescent="0.3">
      <c r="A1130" s="1" t="str">
        <f t="shared" si="157"/>
        <v>59825</v>
      </c>
      <c r="B1130" s="1" t="s">
        <v>30</v>
      </c>
      <c r="C1130" s="1" t="s">
        <v>31</v>
      </c>
      <c r="D1130" s="1" t="str">
        <f t="shared" si="153"/>
        <v>9801</v>
      </c>
      <c r="E1130" s="1" t="s">
        <v>25</v>
      </c>
      <c r="F1130" s="1" t="str">
        <f>"1174923617"</f>
        <v>1174923617</v>
      </c>
      <c r="G1130" s="1" t="s">
        <v>33</v>
      </c>
      <c r="H1130" s="1" t="str">
        <f t="shared" si="158"/>
        <v>20220916</v>
      </c>
      <c r="I1130" s="1" t="str">
        <f>"115557"</f>
        <v>115557</v>
      </c>
      <c r="J1130" s="1" t="s">
        <v>28</v>
      </c>
      <c r="K1130" s="1" t="s">
        <v>28</v>
      </c>
      <c r="L1130" s="1" t="str">
        <f t="shared" si="159"/>
        <v>20220916</v>
      </c>
      <c r="M1130" s="1" t="str">
        <f>"122727"</f>
        <v>122727</v>
      </c>
      <c r="N1130" s="1" t="s">
        <v>52</v>
      </c>
      <c r="O1130" s="1" t="s">
        <v>52</v>
      </c>
      <c r="P1130" s="1" t="s">
        <v>55</v>
      </c>
      <c r="Q1130" s="1">
        <v>25</v>
      </c>
      <c r="R1130" s="1">
        <v>25</v>
      </c>
      <c r="S1130" s="1">
        <v>0</v>
      </c>
      <c r="T1130" s="1">
        <v>0</v>
      </c>
      <c r="U1130" s="1">
        <v>0</v>
      </c>
      <c r="V1130" s="1" t="str">
        <f t="shared" si="155"/>
        <v>里程返程</v>
      </c>
      <c r="W1130" s="1" t="s">
        <v>35</v>
      </c>
    </row>
    <row r="1131" spans="1:23" x14ac:dyDescent="0.3">
      <c r="A1131" s="1" t="str">
        <f t="shared" si="157"/>
        <v>59825</v>
      </c>
      <c r="B1131" s="1" t="s">
        <v>30</v>
      </c>
      <c r="C1131" s="1" t="s">
        <v>31</v>
      </c>
      <c r="D1131" s="1" t="str">
        <f t="shared" si="153"/>
        <v>9801</v>
      </c>
      <c r="E1131" s="1" t="s">
        <v>25</v>
      </c>
      <c r="F1131" s="1" t="str">
        <f>"1039881845"</f>
        <v>1039881845</v>
      </c>
      <c r="G1131" s="1" t="s">
        <v>33</v>
      </c>
      <c r="H1131" s="1" t="str">
        <f t="shared" si="158"/>
        <v>20220916</v>
      </c>
      <c r="I1131" s="1" t="str">
        <f>"115600"</f>
        <v>115600</v>
      </c>
      <c r="J1131" s="1" t="s">
        <v>28</v>
      </c>
      <c r="K1131" s="1" t="s">
        <v>28</v>
      </c>
      <c r="L1131" s="1" t="str">
        <f t="shared" si="159"/>
        <v>20220916</v>
      </c>
      <c r="M1131" s="1" t="str">
        <f>"122734"</f>
        <v>122734</v>
      </c>
      <c r="N1131" s="1" t="s">
        <v>52</v>
      </c>
      <c r="O1131" s="1" t="s">
        <v>52</v>
      </c>
      <c r="P1131" s="1" t="s">
        <v>55</v>
      </c>
      <c r="Q1131" s="1">
        <v>25</v>
      </c>
      <c r="R1131" s="1">
        <v>25</v>
      </c>
      <c r="S1131" s="1">
        <v>0</v>
      </c>
      <c r="T1131" s="1">
        <v>0</v>
      </c>
      <c r="U1131" s="1">
        <v>0</v>
      </c>
      <c r="V1131" s="1" t="str">
        <f t="shared" si="155"/>
        <v>里程返程</v>
      </c>
      <c r="W1131" s="1" t="s">
        <v>35</v>
      </c>
    </row>
    <row r="1132" spans="1:23" x14ac:dyDescent="0.3">
      <c r="A1132" s="1" t="str">
        <f t="shared" si="157"/>
        <v>59825</v>
      </c>
      <c r="B1132" s="1" t="s">
        <v>30</v>
      </c>
      <c r="C1132" s="1" t="s">
        <v>31</v>
      </c>
      <c r="D1132" s="1" t="str">
        <f t="shared" si="153"/>
        <v>9801</v>
      </c>
      <c r="E1132" s="1" t="s">
        <v>25</v>
      </c>
      <c r="F1132" s="1" t="str">
        <f>"1433712640"</f>
        <v>1433712640</v>
      </c>
      <c r="G1132" s="1" t="s">
        <v>33</v>
      </c>
      <c r="H1132" s="1" t="str">
        <f t="shared" si="158"/>
        <v>20220916</v>
      </c>
      <c r="I1132" s="1" t="str">
        <f>"115604"</f>
        <v>115604</v>
      </c>
      <c r="J1132" s="1" t="s">
        <v>28</v>
      </c>
      <c r="K1132" s="1" t="s">
        <v>28</v>
      </c>
      <c r="L1132" s="1" t="str">
        <f t="shared" si="159"/>
        <v>20220916</v>
      </c>
      <c r="M1132" s="1" t="str">
        <f>"122722"</f>
        <v>122722</v>
      </c>
      <c r="N1132" s="1" t="s">
        <v>52</v>
      </c>
      <c r="O1132" s="1" t="s">
        <v>52</v>
      </c>
      <c r="P1132" s="1" t="s">
        <v>55</v>
      </c>
      <c r="Q1132" s="1">
        <v>25</v>
      </c>
      <c r="R1132" s="1">
        <v>25</v>
      </c>
      <c r="S1132" s="1">
        <v>0</v>
      </c>
      <c r="T1132" s="1">
        <v>0</v>
      </c>
      <c r="U1132" s="1">
        <v>0</v>
      </c>
      <c r="V1132" s="1" t="str">
        <f t="shared" si="155"/>
        <v>里程返程</v>
      </c>
      <c r="W1132" s="1" t="s">
        <v>35</v>
      </c>
    </row>
    <row r="1133" spans="1:23" x14ac:dyDescent="0.3">
      <c r="A1133" s="1" t="str">
        <f t="shared" si="157"/>
        <v>59825</v>
      </c>
      <c r="B1133" s="1" t="s">
        <v>30</v>
      </c>
      <c r="C1133" s="1" t="s">
        <v>31</v>
      </c>
      <c r="D1133" s="1" t="str">
        <f t="shared" si="153"/>
        <v>9801</v>
      </c>
      <c r="E1133" s="1" t="s">
        <v>25</v>
      </c>
      <c r="F1133" s="1" t="str">
        <f>"1150378817"</f>
        <v>1150378817</v>
      </c>
      <c r="G1133" s="1" t="s">
        <v>33</v>
      </c>
      <c r="H1133" s="1" t="str">
        <f t="shared" si="158"/>
        <v>20220916</v>
      </c>
      <c r="I1133" s="1" t="str">
        <f>"115608"</f>
        <v>115608</v>
      </c>
      <c r="J1133" s="1" t="s">
        <v>28</v>
      </c>
      <c r="K1133" s="1" t="s">
        <v>28</v>
      </c>
      <c r="L1133" s="1" t="str">
        <f t="shared" si="159"/>
        <v>20220916</v>
      </c>
      <c r="M1133" s="1" t="str">
        <f>"122725"</f>
        <v>122725</v>
      </c>
      <c r="N1133" s="1" t="s">
        <v>52</v>
      </c>
      <c r="O1133" s="1" t="s">
        <v>52</v>
      </c>
      <c r="P1133" s="1" t="s">
        <v>55</v>
      </c>
      <c r="Q1133" s="1">
        <v>25</v>
      </c>
      <c r="R1133" s="1">
        <v>25</v>
      </c>
      <c r="S1133" s="1">
        <v>0</v>
      </c>
      <c r="T1133" s="1">
        <v>0</v>
      </c>
      <c r="U1133" s="1">
        <v>0</v>
      </c>
      <c r="V1133" s="1" t="str">
        <f t="shared" si="155"/>
        <v>里程返程</v>
      </c>
      <c r="W1133" s="1" t="s">
        <v>35</v>
      </c>
    </row>
    <row r="1134" spans="1:23" x14ac:dyDescent="0.3">
      <c r="A1134" s="1" t="str">
        <f t="shared" si="157"/>
        <v>59825</v>
      </c>
      <c r="B1134" s="1" t="s">
        <v>30</v>
      </c>
      <c r="C1134" s="1" t="s">
        <v>31</v>
      </c>
      <c r="D1134" s="1" t="str">
        <f t="shared" si="153"/>
        <v>9801</v>
      </c>
      <c r="E1134" s="1" t="s">
        <v>25</v>
      </c>
      <c r="F1134" s="1" t="str">
        <f>"946859105"</f>
        <v>946859105</v>
      </c>
      <c r="G1134" s="1" t="s">
        <v>33</v>
      </c>
      <c r="H1134" s="1" t="str">
        <f t="shared" si="158"/>
        <v>20220916</v>
      </c>
      <c r="I1134" s="1" t="str">
        <f>"115611"</f>
        <v>115611</v>
      </c>
      <c r="J1134" s="1" t="s">
        <v>28</v>
      </c>
      <c r="K1134" s="1" t="s">
        <v>28</v>
      </c>
      <c r="L1134" s="1" t="str">
        <f t="shared" si="159"/>
        <v>20220916</v>
      </c>
      <c r="M1134" s="1" t="str">
        <f>"122719"</f>
        <v>122719</v>
      </c>
      <c r="N1134" s="1" t="s">
        <v>52</v>
      </c>
      <c r="O1134" s="1" t="s">
        <v>52</v>
      </c>
      <c r="P1134" s="1" t="s">
        <v>55</v>
      </c>
      <c r="Q1134" s="1">
        <v>25</v>
      </c>
      <c r="R1134" s="1">
        <v>25</v>
      </c>
      <c r="S1134" s="1">
        <v>0</v>
      </c>
      <c r="T1134" s="1">
        <v>0</v>
      </c>
      <c r="U1134" s="1">
        <v>0</v>
      </c>
      <c r="V1134" s="1" t="str">
        <f t="shared" si="155"/>
        <v>里程返程</v>
      </c>
      <c r="W1134" s="1" t="s">
        <v>35</v>
      </c>
    </row>
    <row r="1135" spans="1:23" x14ac:dyDescent="0.3">
      <c r="A1135" s="1" t="str">
        <f t="shared" si="157"/>
        <v>59825</v>
      </c>
      <c r="B1135" s="1" t="s">
        <v>30</v>
      </c>
      <c r="C1135" s="1" t="s">
        <v>31</v>
      </c>
      <c r="D1135" s="1" t="str">
        <f t="shared" si="153"/>
        <v>9801</v>
      </c>
      <c r="E1135" s="1" t="s">
        <v>25</v>
      </c>
      <c r="F1135" s="1" t="str">
        <f>"147315445"</f>
        <v>147315445</v>
      </c>
      <c r="G1135" s="1" t="s">
        <v>33</v>
      </c>
      <c r="H1135" s="1" t="str">
        <f t="shared" si="158"/>
        <v>20220916</v>
      </c>
      <c r="I1135" s="1" t="str">
        <f>"115620"</f>
        <v>115620</v>
      </c>
      <c r="J1135" s="1" t="s">
        <v>28</v>
      </c>
      <c r="K1135" s="1" t="s">
        <v>28</v>
      </c>
      <c r="L1135" s="1" t="str">
        <f t="shared" si="159"/>
        <v>20220916</v>
      </c>
      <c r="M1135" s="1" t="str">
        <f>"122714"</f>
        <v>122714</v>
      </c>
      <c r="N1135" s="1" t="s">
        <v>52</v>
      </c>
      <c r="O1135" s="1" t="s">
        <v>52</v>
      </c>
      <c r="P1135" s="1" t="s">
        <v>55</v>
      </c>
      <c r="Q1135" s="1">
        <v>25</v>
      </c>
      <c r="R1135" s="1">
        <v>25</v>
      </c>
      <c r="S1135" s="1">
        <v>0</v>
      </c>
      <c r="T1135" s="1">
        <v>0</v>
      </c>
      <c r="U1135" s="1">
        <v>0</v>
      </c>
      <c r="V1135" s="1" t="str">
        <f t="shared" si="155"/>
        <v>里程返程</v>
      </c>
      <c r="W1135" s="1" t="s">
        <v>35</v>
      </c>
    </row>
    <row r="1136" spans="1:23" x14ac:dyDescent="0.3">
      <c r="A1136" s="1" t="str">
        <f t="shared" si="157"/>
        <v>59825</v>
      </c>
      <c r="B1136" s="1" t="s">
        <v>30</v>
      </c>
      <c r="C1136" s="1" t="s">
        <v>31</v>
      </c>
      <c r="D1136" s="1" t="str">
        <f t="shared" si="153"/>
        <v>9801</v>
      </c>
      <c r="E1136" s="1" t="s">
        <v>25</v>
      </c>
      <c r="F1136" s="1" t="str">
        <f>"1160059717"</f>
        <v>1160059717</v>
      </c>
      <c r="G1136" s="1" t="s">
        <v>33</v>
      </c>
      <c r="H1136" s="1" t="str">
        <f t="shared" si="158"/>
        <v>20220916</v>
      </c>
      <c r="I1136" s="1" t="str">
        <f>"115642"</f>
        <v>115642</v>
      </c>
      <c r="J1136" s="1" t="s">
        <v>28</v>
      </c>
      <c r="K1136" s="1" t="s">
        <v>28</v>
      </c>
      <c r="L1136" s="1" t="str">
        <f t="shared" si="159"/>
        <v>20220916</v>
      </c>
      <c r="M1136" s="1" t="str">
        <f>"121526"</f>
        <v>121526</v>
      </c>
      <c r="N1136" s="1" t="s">
        <v>65</v>
      </c>
      <c r="O1136" s="1" t="s">
        <v>52</v>
      </c>
      <c r="P1136" s="1" t="s">
        <v>55</v>
      </c>
      <c r="Q1136" s="1">
        <v>25</v>
      </c>
      <c r="R1136" s="1">
        <v>25</v>
      </c>
      <c r="S1136" s="1">
        <v>0</v>
      </c>
      <c r="T1136" s="1">
        <v>0</v>
      </c>
      <c r="U1136" s="1">
        <v>0</v>
      </c>
      <c r="V1136" s="1" t="str">
        <f t="shared" si="155"/>
        <v>里程返程</v>
      </c>
      <c r="W1136" s="1" t="s">
        <v>35</v>
      </c>
    </row>
    <row r="1137" spans="1:23" x14ac:dyDescent="0.3">
      <c r="A1137" s="1" t="str">
        <f t="shared" si="157"/>
        <v>59825</v>
      </c>
      <c r="B1137" s="1" t="s">
        <v>30</v>
      </c>
      <c r="C1137" s="1" t="s">
        <v>31</v>
      </c>
      <c r="D1137" s="1" t="str">
        <f t="shared" si="153"/>
        <v>9801</v>
      </c>
      <c r="E1137" s="1" t="s">
        <v>25</v>
      </c>
      <c r="F1137" s="1" t="str">
        <f>"1311662705"</f>
        <v>1311662705</v>
      </c>
      <c r="G1137" s="1" t="s">
        <v>33</v>
      </c>
      <c r="H1137" s="1" t="str">
        <f t="shared" si="158"/>
        <v>20220916</v>
      </c>
      <c r="I1137" s="1" t="str">
        <f>"185250"</f>
        <v>185250</v>
      </c>
      <c r="J1137" s="1" t="s">
        <v>44</v>
      </c>
      <c r="K1137" s="1" t="s">
        <v>45</v>
      </c>
      <c r="L1137" s="1" t="str">
        <f t="shared" si="159"/>
        <v>20220916</v>
      </c>
      <c r="M1137" s="1" t="str">
        <f>"192604"</f>
        <v>192604</v>
      </c>
      <c r="N1137" s="1" t="s">
        <v>28</v>
      </c>
      <c r="O1137" s="1" t="s">
        <v>28</v>
      </c>
      <c r="P1137" s="1" t="s">
        <v>55</v>
      </c>
      <c r="Q1137" s="1">
        <v>25</v>
      </c>
      <c r="R1137" s="1">
        <v>25</v>
      </c>
      <c r="S1137" s="1">
        <v>0</v>
      </c>
      <c r="T1137" s="1">
        <v>0</v>
      </c>
      <c r="U1137" s="1">
        <v>0</v>
      </c>
      <c r="V1137" s="1" t="str">
        <f t="shared" si="155"/>
        <v>里程返程</v>
      </c>
      <c r="W1137" s="1" t="s">
        <v>35</v>
      </c>
    </row>
    <row r="1138" spans="1:23" x14ac:dyDescent="0.3">
      <c r="A1138" s="1" t="str">
        <f t="shared" si="157"/>
        <v>59825</v>
      </c>
      <c r="B1138" s="1" t="s">
        <v>30</v>
      </c>
      <c r="C1138" s="1" t="s">
        <v>31</v>
      </c>
      <c r="D1138" s="1" t="str">
        <f t="shared" si="153"/>
        <v>9801</v>
      </c>
      <c r="E1138" s="1" t="s">
        <v>25</v>
      </c>
      <c r="F1138" s="1" t="str">
        <f>"1278455333"</f>
        <v>1278455333</v>
      </c>
      <c r="G1138" s="1" t="s">
        <v>33</v>
      </c>
      <c r="H1138" s="1" t="str">
        <f t="shared" si="158"/>
        <v>20220916</v>
      </c>
      <c r="I1138" s="1" t="str">
        <f>"185338"</f>
        <v>185338</v>
      </c>
      <c r="J1138" s="1" t="s">
        <v>44</v>
      </c>
      <c r="K1138" s="1" t="s">
        <v>45</v>
      </c>
      <c r="L1138" s="1" t="str">
        <f t="shared" si="159"/>
        <v>20220916</v>
      </c>
      <c r="M1138" s="1" t="str">
        <f>"192607"</f>
        <v>192607</v>
      </c>
      <c r="N1138" s="1" t="s">
        <v>28</v>
      </c>
      <c r="O1138" s="1" t="s">
        <v>28</v>
      </c>
      <c r="P1138" s="1" t="s">
        <v>55</v>
      </c>
      <c r="Q1138" s="1">
        <v>25</v>
      </c>
      <c r="R1138" s="1">
        <v>25</v>
      </c>
      <c r="S1138" s="1">
        <v>0</v>
      </c>
      <c r="T1138" s="1">
        <v>0</v>
      </c>
      <c r="U1138" s="1">
        <v>0</v>
      </c>
      <c r="V1138" s="1" t="str">
        <f t="shared" si="155"/>
        <v>里程返程</v>
      </c>
      <c r="W1138" s="1" t="s">
        <v>35</v>
      </c>
    </row>
    <row r="1139" spans="1:23" x14ac:dyDescent="0.3">
      <c r="A1139" s="1" t="str">
        <f t="shared" ref="A1139:A1171" si="160">"59809"</f>
        <v>59809</v>
      </c>
      <c r="B1139" s="1" t="s">
        <v>42</v>
      </c>
      <c r="C1139" s="1" t="s">
        <v>43</v>
      </c>
      <c r="D1139" s="1" t="str">
        <f t="shared" si="153"/>
        <v>9801</v>
      </c>
      <c r="E1139" s="1" t="s">
        <v>25</v>
      </c>
      <c r="F1139" s="1" t="str">
        <f>"881131265"</f>
        <v>881131265</v>
      </c>
      <c r="G1139" s="1" t="s">
        <v>33</v>
      </c>
      <c r="H1139" s="1" t="str">
        <f t="shared" ref="H1139:H1170" si="161">"20220917"</f>
        <v>20220917</v>
      </c>
      <c r="I1139" s="1" t="str">
        <f>"062100"</f>
        <v>062100</v>
      </c>
      <c r="J1139" s="1" t="s">
        <v>28</v>
      </c>
      <c r="K1139" s="1" t="s">
        <v>28</v>
      </c>
      <c r="L1139" s="1" t="str">
        <f t="shared" ref="L1139:L1170" si="162">"20220917"</f>
        <v>20220917</v>
      </c>
      <c r="M1139" s="1" t="str">
        <f>"065845"</f>
        <v>065845</v>
      </c>
      <c r="N1139" s="1" t="s">
        <v>52</v>
      </c>
      <c r="O1139" s="1" t="s">
        <v>52</v>
      </c>
      <c r="P1139" s="1" t="s">
        <v>55</v>
      </c>
      <c r="Q1139" s="1">
        <v>25</v>
      </c>
      <c r="R1139" s="1">
        <v>25</v>
      </c>
      <c r="S1139" s="1">
        <v>0</v>
      </c>
      <c r="T1139" s="1">
        <v>0</v>
      </c>
      <c r="U1139" s="1">
        <v>0</v>
      </c>
      <c r="V1139" s="1" t="str">
        <f t="shared" si="155"/>
        <v>里程返程</v>
      </c>
      <c r="W1139" s="1" t="s">
        <v>35</v>
      </c>
    </row>
    <row r="1140" spans="1:23" x14ac:dyDescent="0.3">
      <c r="A1140" s="1" t="str">
        <f t="shared" si="160"/>
        <v>59809</v>
      </c>
      <c r="B1140" s="1" t="s">
        <v>42</v>
      </c>
      <c r="C1140" s="1" t="s">
        <v>43</v>
      </c>
      <c r="D1140" s="1" t="str">
        <f t="shared" si="153"/>
        <v>9801</v>
      </c>
      <c r="E1140" s="1" t="s">
        <v>25</v>
      </c>
      <c r="F1140" s="1" t="str">
        <f>"42BCB90245880400C834002000000015"</f>
        <v>42BCB90245880400C834002000000015</v>
      </c>
      <c r="G1140" s="1" t="s">
        <v>26</v>
      </c>
      <c r="H1140" s="1" t="str">
        <f t="shared" si="161"/>
        <v>20220917</v>
      </c>
      <c r="I1140" s="1" t="str">
        <f>"062117"</f>
        <v>062117</v>
      </c>
      <c r="J1140" s="1" t="s">
        <v>28</v>
      </c>
      <c r="K1140" s="1" t="s">
        <v>28</v>
      </c>
      <c r="L1140" s="1" t="str">
        <f t="shared" si="162"/>
        <v>20220917</v>
      </c>
      <c r="M1140" s="1" t="str">
        <f>"064827"</f>
        <v>064827</v>
      </c>
      <c r="N1140" s="1" t="s">
        <v>80</v>
      </c>
      <c r="O1140" s="1" t="s">
        <v>52</v>
      </c>
      <c r="P1140" s="1" t="s">
        <v>68</v>
      </c>
      <c r="Q1140" s="1">
        <v>13</v>
      </c>
      <c r="R1140" s="1">
        <v>0</v>
      </c>
      <c r="S1140" s="1">
        <v>0</v>
      </c>
      <c r="T1140" s="1">
        <v>13</v>
      </c>
      <c r="U1140" s="1">
        <v>0</v>
      </c>
      <c r="V1140" s="1" t="str">
        <f t="shared" si="155"/>
        <v>里程返程</v>
      </c>
      <c r="W1140" s="1" t="s">
        <v>29</v>
      </c>
    </row>
    <row r="1141" spans="1:23" x14ac:dyDescent="0.3">
      <c r="A1141" s="1" t="str">
        <f t="shared" si="160"/>
        <v>59809</v>
      </c>
      <c r="B1141" s="1" t="s">
        <v>42</v>
      </c>
      <c r="C1141" s="1" t="s">
        <v>43</v>
      </c>
      <c r="D1141" s="1" t="str">
        <f t="shared" si="153"/>
        <v>9801</v>
      </c>
      <c r="E1141" s="1" t="s">
        <v>25</v>
      </c>
      <c r="F1141" s="1" t="str">
        <f>"2073901531"</f>
        <v>2073901531</v>
      </c>
      <c r="G1141" s="1" t="s">
        <v>33</v>
      </c>
      <c r="H1141" s="1" t="str">
        <f t="shared" si="161"/>
        <v>20220917</v>
      </c>
      <c r="I1141" s="1" t="str">
        <f>"062438"</f>
        <v>062438</v>
      </c>
      <c r="J1141" s="1" t="s">
        <v>28</v>
      </c>
      <c r="K1141" s="1" t="s">
        <v>28</v>
      </c>
      <c r="L1141" s="1" t="str">
        <f t="shared" si="162"/>
        <v>20220917</v>
      </c>
      <c r="M1141" s="1" t="str">
        <f>"065904"</f>
        <v>065904</v>
      </c>
      <c r="N1141" s="1" t="s">
        <v>52</v>
      </c>
      <c r="O1141" s="1" t="s">
        <v>52</v>
      </c>
      <c r="P1141" s="1" t="s">
        <v>55</v>
      </c>
      <c r="Q1141" s="1">
        <v>25</v>
      </c>
      <c r="R1141" s="1">
        <v>25</v>
      </c>
      <c r="S1141" s="1">
        <v>0</v>
      </c>
      <c r="T1141" s="1">
        <v>0</v>
      </c>
      <c r="U1141" s="1">
        <v>0</v>
      </c>
      <c r="V1141" s="1" t="str">
        <f t="shared" si="155"/>
        <v>里程返程</v>
      </c>
      <c r="W1141" s="1" t="s">
        <v>35</v>
      </c>
    </row>
    <row r="1142" spans="1:23" x14ac:dyDescent="0.3">
      <c r="A1142" s="1" t="str">
        <f t="shared" si="160"/>
        <v>59809</v>
      </c>
      <c r="B1142" s="1" t="s">
        <v>42</v>
      </c>
      <c r="C1142" s="1" t="s">
        <v>43</v>
      </c>
      <c r="D1142" s="1" t="str">
        <f t="shared" si="153"/>
        <v>9801</v>
      </c>
      <c r="E1142" s="1" t="s">
        <v>25</v>
      </c>
      <c r="F1142" s="1" t="str">
        <f>"F282E40195880400C821002000000015"</f>
        <v>F282E40195880400C821002000000015</v>
      </c>
      <c r="G1142" s="1" t="s">
        <v>58</v>
      </c>
      <c r="H1142" s="1" t="str">
        <f t="shared" si="161"/>
        <v>20220917</v>
      </c>
      <c r="I1142" s="1" t="str">
        <f>"062751"</f>
        <v>062751</v>
      </c>
      <c r="J1142" s="1" t="s">
        <v>28</v>
      </c>
      <c r="K1142" s="1" t="s">
        <v>28</v>
      </c>
      <c r="L1142" s="1" t="str">
        <f t="shared" si="162"/>
        <v>20220917</v>
      </c>
      <c r="M1142" s="1" t="str">
        <f>"065144"</f>
        <v>065144</v>
      </c>
      <c r="N1142" s="1" t="s">
        <v>65</v>
      </c>
      <c r="O1142" s="1" t="s">
        <v>52</v>
      </c>
      <c r="P1142" s="1" t="s">
        <v>55</v>
      </c>
      <c r="Q1142" s="1">
        <v>25</v>
      </c>
      <c r="R1142" s="1">
        <v>0</v>
      </c>
      <c r="S1142" s="1">
        <v>25</v>
      </c>
      <c r="T1142" s="1">
        <v>0</v>
      </c>
      <c r="U1142" s="1">
        <v>0</v>
      </c>
      <c r="V1142" s="1" t="str">
        <f t="shared" si="155"/>
        <v>里程返程</v>
      </c>
      <c r="W1142" s="1" t="s">
        <v>29</v>
      </c>
    </row>
    <row r="1143" spans="1:23" x14ac:dyDescent="0.3">
      <c r="A1143" s="1" t="str">
        <f t="shared" si="160"/>
        <v>59809</v>
      </c>
      <c r="B1143" s="1" t="s">
        <v>42</v>
      </c>
      <c r="C1143" s="1" t="s">
        <v>43</v>
      </c>
      <c r="D1143" s="1" t="str">
        <f t="shared" si="153"/>
        <v>9801</v>
      </c>
      <c r="E1143" s="1" t="s">
        <v>25</v>
      </c>
      <c r="F1143" s="1" t="str">
        <f>"1062258245"</f>
        <v>1062258245</v>
      </c>
      <c r="G1143" s="1" t="s">
        <v>26</v>
      </c>
      <c r="H1143" s="1" t="str">
        <f t="shared" si="161"/>
        <v>20220917</v>
      </c>
      <c r="I1143" s="1" t="str">
        <f>"062916"</f>
        <v>062916</v>
      </c>
      <c r="J1143" s="1" t="s">
        <v>28</v>
      </c>
      <c r="K1143" s="1" t="s">
        <v>28</v>
      </c>
      <c r="L1143" s="1" t="str">
        <f t="shared" si="162"/>
        <v>20220917</v>
      </c>
      <c r="M1143" s="1" t="str">
        <f>"065242"</f>
        <v>065242</v>
      </c>
      <c r="N1143" s="1" t="s">
        <v>72</v>
      </c>
      <c r="O1143" s="1" t="s">
        <v>52</v>
      </c>
      <c r="P1143" s="1" t="s">
        <v>55</v>
      </c>
      <c r="Q1143" s="1">
        <v>13</v>
      </c>
      <c r="R1143" s="1">
        <v>13</v>
      </c>
      <c r="S1143" s="1">
        <v>0</v>
      </c>
      <c r="T1143" s="1">
        <v>0</v>
      </c>
      <c r="U1143" s="1">
        <v>0</v>
      </c>
      <c r="V1143" s="1" t="str">
        <f t="shared" si="155"/>
        <v>里程返程</v>
      </c>
      <c r="W1143" s="1" t="s">
        <v>35</v>
      </c>
    </row>
    <row r="1144" spans="1:23" x14ac:dyDescent="0.3">
      <c r="A1144" s="1" t="str">
        <f t="shared" si="160"/>
        <v>59809</v>
      </c>
      <c r="B1144" s="1" t="s">
        <v>42</v>
      </c>
      <c r="C1144" s="1" t="s">
        <v>43</v>
      </c>
      <c r="D1144" s="1" t="str">
        <f t="shared" si="153"/>
        <v>9801</v>
      </c>
      <c r="E1144" s="1" t="s">
        <v>25</v>
      </c>
      <c r="F1144" s="1" t="str">
        <f>"660537722"</f>
        <v>660537722</v>
      </c>
      <c r="G1144" s="1" t="s">
        <v>74</v>
      </c>
      <c r="H1144" s="1" t="str">
        <f t="shared" si="161"/>
        <v>20220917</v>
      </c>
      <c r="I1144" s="1" t="str">
        <f>"071306"</f>
        <v>071306</v>
      </c>
      <c r="J1144" s="1" t="s">
        <v>56</v>
      </c>
      <c r="K1144" s="1" t="s">
        <v>45</v>
      </c>
      <c r="L1144" s="1" t="str">
        <f t="shared" si="162"/>
        <v>20220917</v>
      </c>
      <c r="M1144" s="1" t="str">
        <f>"072321"</f>
        <v>072321</v>
      </c>
      <c r="N1144" s="1" t="s">
        <v>28</v>
      </c>
      <c r="O1144" s="1" t="s">
        <v>28</v>
      </c>
      <c r="P1144" s="1" t="s">
        <v>55</v>
      </c>
      <c r="Q1144" s="1">
        <v>13</v>
      </c>
      <c r="R1144" s="1">
        <v>13</v>
      </c>
      <c r="S1144" s="1">
        <v>0</v>
      </c>
      <c r="T1144" s="1">
        <v>0</v>
      </c>
      <c r="U1144" s="1">
        <v>0</v>
      </c>
      <c r="V1144" s="1" t="str">
        <f t="shared" si="155"/>
        <v>里程返程</v>
      </c>
      <c r="W1144" s="1" t="s">
        <v>35</v>
      </c>
    </row>
    <row r="1145" spans="1:23" x14ac:dyDescent="0.3">
      <c r="A1145" s="1" t="str">
        <f t="shared" si="160"/>
        <v>59809</v>
      </c>
      <c r="B1145" s="1" t="s">
        <v>42</v>
      </c>
      <c r="C1145" s="1" t="s">
        <v>43</v>
      </c>
      <c r="D1145" s="1" t="str">
        <f t="shared" si="153"/>
        <v>9801</v>
      </c>
      <c r="E1145" s="1" t="s">
        <v>25</v>
      </c>
      <c r="F1145" s="1" t="str">
        <f>"D257BD023A880400C834002000000015"</f>
        <v>D257BD023A880400C834002000000015</v>
      </c>
      <c r="G1145" s="1" t="s">
        <v>74</v>
      </c>
      <c r="H1145" s="1" t="str">
        <f t="shared" si="161"/>
        <v>20220917</v>
      </c>
      <c r="I1145" s="1" t="str">
        <f>"072329"</f>
        <v>072329</v>
      </c>
      <c r="J1145" s="1" t="s">
        <v>28</v>
      </c>
      <c r="K1145" s="1" t="s">
        <v>28</v>
      </c>
      <c r="L1145" s="1" t="str">
        <f t="shared" si="162"/>
        <v>20220917</v>
      </c>
      <c r="M1145" s="1" t="str">
        <f>"073139"</f>
        <v>073139</v>
      </c>
      <c r="N1145" s="1" t="s">
        <v>67</v>
      </c>
      <c r="O1145" s="1" t="s">
        <v>52</v>
      </c>
      <c r="P1145" s="1" t="s">
        <v>68</v>
      </c>
      <c r="Q1145" s="1">
        <v>13</v>
      </c>
      <c r="R1145" s="1">
        <v>0</v>
      </c>
      <c r="S1145" s="1">
        <v>0</v>
      </c>
      <c r="T1145" s="1">
        <v>13</v>
      </c>
      <c r="U1145" s="1">
        <v>0</v>
      </c>
      <c r="V1145" s="1" t="str">
        <f t="shared" si="155"/>
        <v>里程返程</v>
      </c>
      <c r="W1145" s="1" t="s">
        <v>29</v>
      </c>
    </row>
    <row r="1146" spans="1:23" x14ac:dyDescent="0.3">
      <c r="A1146" s="1" t="str">
        <f t="shared" si="160"/>
        <v>59809</v>
      </c>
      <c r="B1146" s="1" t="s">
        <v>42</v>
      </c>
      <c r="C1146" s="1" t="s">
        <v>43</v>
      </c>
      <c r="D1146" s="1" t="str">
        <f t="shared" si="153"/>
        <v>9801</v>
      </c>
      <c r="E1146" s="1" t="s">
        <v>25</v>
      </c>
      <c r="F1146" s="1" t="str">
        <f>"800192897"</f>
        <v>800192897</v>
      </c>
      <c r="G1146" s="1" t="s">
        <v>33</v>
      </c>
      <c r="H1146" s="1" t="str">
        <f t="shared" si="161"/>
        <v>20220917</v>
      </c>
      <c r="I1146" s="1" t="str">
        <f>"072333"</f>
        <v>072333</v>
      </c>
      <c r="J1146" s="1" t="s">
        <v>28</v>
      </c>
      <c r="K1146" s="1" t="s">
        <v>28</v>
      </c>
      <c r="L1146" s="1" t="str">
        <f t="shared" si="162"/>
        <v>20220917</v>
      </c>
      <c r="M1146" s="1" t="str">
        <f>"073843"</f>
        <v>073843</v>
      </c>
      <c r="N1146" s="1" t="s">
        <v>80</v>
      </c>
      <c r="O1146" s="1" t="s">
        <v>52</v>
      </c>
      <c r="P1146" s="1" t="s">
        <v>55</v>
      </c>
      <c r="Q1146" s="1">
        <v>25</v>
      </c>
      <c r="R1146" s="1">
        <v>0</v>
      </c>
      <c r="S1146" s="1">
        <v>25</v>
      </c>
      <c r="T1146" s="1">
        <v>0</v>
      </c>
      <c r="U1146" s="1">
        <v>0</v>
      </c>
      <c r="V1146" s="1" t="str">
        <f t="shared" si="155"/>
        <v>里程返程</v>
      </c>
      <c r="W1146" s="1" t="s">
        <v>35</v>
      </c>
    </row>
    <row r="1147" spans="1:23" x14ac:dyDescent="0.3">
      <c r="A1147" s="1" t="str">
        <f t="shared" si="160"/>
        <v>59809</v>
      </c>
      <c r="B1147" s="1" t="s">
        <v>42</v>
      </c>
      <c r="C1147" s="1" t="s">
        <v>43</v>
      </c>
      <c r="D1147" s="1" t="str">
        <f t="shared" si="153"/>
        <v>9801</v>
      </c>
      <c r="E1147" s="1" t="s">
        <v>25</v>
      </c>
      <c r="F1147" s="1" t="str">
        <f>"C7EB943A82280400F700000000000000"</f>
        <v>C7EB943A82280400F700000000000000</v>
      </c>
      <c r="G1147" s="1" t="s">
        <v>58</v>
      </c>
      <c r="H1147" s="1" t="str">
        <f t="shared" si="161"/>
        <v>20220917</v>
      </c>
      <c r="I1147" s="1" t="str">
        <f>"122347"</f>
        <v>122347</v>
      </c>
      <c r="J1147" s="1" t="s">
        <v>44</v>
      </c>
      <c r="K1147" s="1" t="s">
        <v>45</v>
      </c>
      <c r="L1147" s="1" t="str">
        <f t="shared" si="162"/>
        <v>20220917</v>
      </c>
      <c r="M1147" s="1" t="str">
        <f>"125023"</f>
        <v>125023</v>
      </c>
      <c r="N1147" s="1" t="s">
        <v>28</v>
      </c>
      <c r="O1147" s="1" t="s">
        <v>28</v>
      </c>
      <c r="P1147" s="1" t="s">
        <v>55</v>
      </c>
      <c r="Q1147" s="1">
        <v>25</v>
      </c>
      <c r="R1147" s="1">
        <v>25</v>
      </c>
      <c r="S1147" s="1">
        <v>0</v>
      </c>
      <c r="T1147" s="1">
        <v>0</v>
      </c>
      <c r="U1147" s="1">
        <v>0</v>
      </c>
      <c r="V1147" s="1" t="str">
        <f t="shared" si="155"/>
        <v>里程返程</v>
      </c>
      <c r="W1147" s="1" t="s">
        <v>29</v>
      </c>
    </row>
    <row r="1148" spans="1:23" x14ac:dyDescent="0.3">
      <c r="A1148" s="1" t="str">
        <f t="shared" si="160"/>
        <v>59809</v>
      </c>
      <c r="B1148" s="1" t="s">
        <v>42</v>
      </c>
      <c r="C1148" s="1" t="s">
        <v>111</v>
      </c>
      <c r="D1148" s="1" t="str">
        <f t="shared" si="153"/>
        <v>9801</v>
      </c>
      <c r="E1148" s="1" t="s">
        <v>25</v>
      </c>
      <c r="F1148" s="1" t="str">
        <f>"7311150214007183"</f>
        <v>7311150214007183</v>
      </c>
      <c r="G1148" s="1" t="s">
        <v>33</v>
      </c>
      <c r="H1148" s="1" t="str">
        <f t="shared" si="161"/>
        <v>20220917</v>
      </c>
      <c r="I1148" s="1" t="str">
        <f>"123349"</f>
        <v>123349</v>
      </c>
      <c r="J1148" s="1" t="s">
        <v>100</v>
      </c>
      <c r="K1148" s="1" t="s">
        <v>45</v>
      </c>
      <c r="L1148" s="1" t="str">
        <f t="shared" si="162"/>
        <v>20220917</v>
      </c>
      <c r="M1148" s="1" t="str">
        <f>"125020"</f>
        <v>125020</v>
      </c>
      <c r="N1148" s="1" t="s">
        <v>28</v>
      </c>
      <c r="O1148" s="1" t="s">
        <v>28</v>
      </c>
      <c r="P1148" s="1" t="s">
        <v>55</v>
      </c>
      <c r="Q1148" s="1">
        <v>25</v>
      </c>
      <c r="R1148" s="1">
        <v>25</v>
      </c>
      <c r="S1148" s="1">
        <v>0</v>
      </c>
      <c r="T1148" s="1">
        <v>0</v>
      </c>
      <c r="U1148" s="1">
        <v>0</v>
      </c>
      <c r="V1148" s="1" t="str">
        <f t="shared" si="155"/>
        <v>里程返程</v>
      </c>
      <c r="W1148" s="1" t="s">
        <v>109</v>
      </c>
    </row>
    <row r="1149" spans="1:23" x14ac:dyDescent="0.3">
      <c r="A1149" s="1" t="str">
        <f t="shared" si="160"/>
        <v>59809</v>
      </c>
      <c r="B1149" s="1" t="s">
        <v>42</v>
      </c>
      <c r="C1149" s="1" t="s">
        <v>43</v>
      </c>
      <c r="D1149" s="1" t="str">
        <f t="shared" si="153"/>
        <v>9801</v>
      </c>
      <c r="E1149" s="1" t="s">
        <v>25</v>
      </c>
      <c r="F1149" s="1" t="str">
        <f>"1147356277"</f>
        <v>1147356277</v>
      </c>
      <c r="G1149" s="1" t="s">
        <v>26</v>
      </c>
      <c r="H1149" s="1" t="str">
        <f t="shared" si="161"/>
        <v>20220917</v>
      </c>
      <c r="I1149" s="1" t="str">
        <f>"124109"</f>
        <v>124109</v>
      </c>
      <c r="J1149" s="1" t="s">
        <v>61</v>
      </c>
      <c r="K1149" s="1" t="s">
        <v>45</v>
      </c>
      <c r="L1149" s="1" t="str">
        <f t="shared" si="162"/>
        <v>20220917</v>
      </c>
      <c r="M1149" s="1" t="str">
        <f>"125015"</f>
        <v>125015</v>
      </c>
      <c r="N1149" s="1" t="s">
        <v>28</v>
      </c>
      <c r="O1149" s="1" t="s">
        <v>28</v>
      </c>
      <c r="P1149" s="1" t="s">
        <v>55</v>
      </c>
      <c r="Q1149" s="1">
        <v>13</v>
      </c>
      <c r="R1149" s="1">
        <v>13</v>
      </c>
      <c r="S1149" s="1">
        <v>0</v>
      </c>
      <c r="T1149" s="1">
        <v>0</v>
      </c>
      <c r="U1149" s="1">
        <v>0</v>
      </c>
      <c r="V1149" s="1" t="str">
        <f t="shared" si="155"/>
        <v>里程返程</v>
      </c>
      <c r="W1149" s="1" t="s">
        <v>35</v>
      </c>
    </row>
    <row r="1150" spans="1:23" x14ac:dyDescent="0.3">
      <c r="A1150" s="1" t="str">
        <f t="shared" si="160"/>
        <v>59809</v>
      </c>
      <c r="B1150" s="1" t="s">
        <v>42</v>
      </c>
      <c r="C1150" s="1" t="s">
        <v>43</v>
      </c>
      <c r="D1150" s="1" t="str">
        <f t="shared" si="153"/>
        <v>9801</v>
      </c>
      <c r="E1150" s="1" t="s">
        <v>25</v>
      </c>
      <c r="F1150" s="1" t="str">
        <f>"52524D165B880400C814002000000019"</f>
        <v>52524D165B880400C814002000000019</v>
      </c>
      <c r="G1150" s="1" t="s">
        <v>26</v>
      </c>
      <c r="H1150" s="1" t="str">
        <f t="shared" si="161"/>
        <v>20220917</v>
      </c>
      <c r="I1150" s="1" t="str">
        <f>"124425"</f>
        <v>124425</v>
      </c>
      <c r="J1150" s="1" t="s">
        <v>79</v>
      </c>
      <c r="K1150" s="1" t="s">
        <v>45</v>
      </c>
      <c r="L1150" s="1" t="str">
        <f t="shared" si="162"/>
        <v>20220917</v>
      </c>
      <c r="M1150" s="1" t="str">
        <f>"125012"</f>
        <v>125012</v>
      </c>
      <c r="N1150" s="1" t="s">
        <v>28</v>
      </c>
      <c r="O1150" s="1" t="s">
        <v>28</v>
      </c>
      <c r="P1150" s="1" t="s">
        <v>55</v>
      </c>
      <c r="Q1150" s="1">
        <v>13</v>
      </c>
      <c r="R1150" s="1">
        <v>13</v>
      </c>
      <c r="S1150" s="1">
        <v>0</v>
      </c>
      <c r="T1150" s="1">
        <v>0</v>
      </c>
      <c r="U1150" s="1">
        <v>0</v>
      </c>
      <c r="V1150" s="1" t="str">
        <f t="shared" si="155"/>
        <v>里程返程</v>
      </c>
      <c r="W1150" s="1" t="s">
        <v>29</v>
      </c>
    </row>
    <row r="1151" spans="1:23" x14ac:dyDescent="0.3">
      <c r="A1151" s="1" t="str">
        <f t="shared" si="160"/>
        <v>59809</v>
      </c>
      <c r="B1151" s="1" t="s">
        <v>42</v>
      </c>
      <c r="C1151" s="1" t="s">
        <v>43</v>
      </c>
      <c r="D1151" s="1" t="str">
        <f t="shared" si="153"/>
        <v>9801</v>
      </c>
      <c r="E1151" s="1" t="s">
        <v>25</v>
      </c>
      <c r="F1151" s="1" t="str">
        <f>"B211381B80880400C817002000000021"</f>
        <v>B211381B80880400C817002000000021</v>
      </c>
      <c r="G1151" s="1" t="s">
        <v>59</v>
      </c>
      <c r="H1151" s="1" t="str">
        <f t="shared" si="161"/>
        <v>20220917</v>
      </c>
      <c r="I1151" s="1" t="str">
        <f>"125029"</f>
        <v>125029</v>
      </c>
      <c r="J1151" s="1" t="s">
        <v>28</v>
      </c>
      <c r="K1151" s="1" t="s">
        <v>28</v>
      </c>
      <c r="L1151" s="1" t="str">
        <f t="shared" si="162"/>
        <v>20220917</v>
      </c>
      <c r="M1151" s="1" t="str">
        <f>"131528"</f>
        <v>131528</v>
      </c>
      <c r="N1151" s="1" t="s">
        <v>71</v>
      </c>
      <c r="O1151" s="1" t="s">
        <v>52</v>
      </c>
      <c r="P1151" s="1" t="s">
        <v>55</v>
      </c>
      <c r="Q1151" s="1">
        <v>25</v>
      </c>
      <c r="R1151" s="1">
        <v>0</v>
      </c>
      <c r="S1151" s="1">
        <v>25</v>
      </c>
      <c r="T1151" s="1">
        <v>0</v>
      </c>
      <c r="U1151" s="1">
        <v>0</v>
      </c>
      <c r="V1151" s="1" t="str">
        <f t="shared" si="155"/>
        <v>里程返程</v>
      </c>
      <c r="W1151" s="1" t="s">
        <v>29</v>
      </c>
    </row>
    <row r="1152" spans="1:23" x14ac:dyDescent="0.3">
      <c r="A1152" s="1" t="str">
        <f t="shared" si="160"/>
        <v>59809</v>
      </c>
      <c r="B1152" s="1" t="s">
        <v>42</v>
      </c>
      <c r="C1152" s="1" t="s">
        <v>43</v>
      </c>
      <c r="D1152" s="1" t="str">
        <f t="shared" si="153"/>
        <v>9801</v>
      </c>
      <c r="E1152" s="1" t="s">
        <v>25</v>
      </c>
      <c r="F1152" s="1" t="str">
        <f>"52FF35168E880400C814002000000019"</f>
        <v>52FF35168E880400C814002000000019</v>
      </c>
      <c r="G1152" s="1" t="s">
        <v>64</v>
      </c>
      <c r="H1152" s="1" t="str">
        <f t="shared" si="161"/>
        <v>20220917</v>
      </c>
      <c r="I1152" s="1" t="str">
        <f>"125050"</f>
        <v>125050</v>
      </c>
      <c r="J1152" s="1" t="s">
        <v>28</v>
      </c>
      <c r="K1152" s="1" t="s">
        <v>28</v>
      </c>
      <c r="L1152" s="1" t="str">
        <f t="shared" si="162"/>
        <v>20220917</v>
      </c>
      <c r="M1152" s="1" t="str">
        <f>"132235"</f>
        <v>132235</v>
      </c>
      <c r="N1152" s="1" t="s">
        <v>52</v>
      </c>
      <c r="O1152" s="1" t="s">
        <v>52</v>
      </c>
      <c r="P1152" s="1" t="s">
        <v>55</v>
      </c>
      <c r="Q1152" s="1">
        <v>13</v>
      </c>
      <c r="R1152" s="1">
        <v>13</v>
      </c>
      <c r="S1152" s="1">
        <v>0</v>
      </c>
      <c r="T1152" s="1">
        <v>0</v>
      </c>
      <c r="U1152" s="1">
        <v>0</v>
      </c>
      <c r="V1152" s="1" t="str">
        <f t="shared" si="155"/>
        <v>里程返程</v>
      </c>
      <c r="W1152" s="1" t="s">
        <v>29</v>
      </c>
    </row>
    <row r="1153" spans="1:23" x14ac:dyDescent="0.3">
      <c r="A1153" s="1" t="str">
        <f t="shared" si="160"/>
        <v>59809</v>
      </c>
      <c r="B1153" s="1" t="s">
        <v>42</v>
      </c>
      <c r="C1153" s="1" t="s">
        <v>43</v>
      </c>
      <c r="D1153" s="1" t="str">
        <f t="shared" si="153"/>
        <v>9801</v>
      </c>
      <c r="E1153" s="1" t="s">
        <v>25</v>
      </c>
      <c r="F1153" s="1" t="str">
        <f>"A239F5056B880400C838002000000015"</f>
        <v>A239F5056B880400C838002000000015</v>
      </c>
      <c r="G1153" s="1" t="s">
        <v>26</v>
      </c>
      <c r="H1153" s="1" t="str">
        <f t="shared" si="161"/>
        <v>20220917</v>
      </c>
      <c r="I1153" s="1" t="str">
        <f>"130327"</f>
        <v>130327</v>
      </c>
      <c r="J1153" s="1" t="s">
        <v>67</v>
      </c>
      <c r="K1153" s="1" t="s">
        <v>52</v>
      </c>
      <c r="L1153" s="1" t="str">
        <f t="shared" si="162"/>
        <v>20220917</v>
      </c>
      <c r="M1153" s="1" t="str">
        <f>"131946"</f>
        <v>131946</v>
      </c>
      <c r="N1153" s="1" t="s">
        <v>86</v>
      </c>
      <c r="O1153" s="1" t="s">
        <v>52</v>
      </c>
      <c r="P1153" s="1" t="s">
        <v>68</v>
      </c>
      <c r="Q1153" s="1">
        <v>13</v>
      </c>
      <c r="R1153" s="1">
        <v>0</v>
      </c>
      <c r="S1153" s="1">
        <v>0</v>
      </c>
      <c r="T1153" s="1">
        <v>13</v>
      </c>
      <c r="U1153" s="1">
        <v>0</v>
      </c>
      <c r="V1153" s="1" t="str">
        <f t="shared" si="155"/>
        <v>里程返程</v>
      </c>
      <c r="W1153" s="1" t="s">
        <v>29</v>
      </c>
    </row>
    <row r="1154" spans="1:23" x14ac:dyDescent="0.3">
      <c r="A1154" s="1" t="str">
        <f t="shared" si="160"/>
        <v>59809</v>
      </c>
      <c r="B1154" s="1" t="s">
        <v>42</v>
      </c>
      <c r="C1154" s="1" t="s">
        <v>43</v>
      </c>
      <c r="D1154" s="1" t="str">
        <f t="shared" ref="D1154:D1217" si="163">"9801"</f>
        <v>9801</v>
      </c>
      <c r="E1154" s="1" t="s">
        <v>25</v>
      </c>
      <c r="F1154" s="1" t="str">
        <f>"1764161189"</f>
        <v>1764161189</v>
      </c>
      <c r="G1154" s="1" t="s">
        <v>33</v>
      </c>
      <c r="H1154" s="1" t="str">
        <f t="shared" si="161"/>
        <v>20220917</v>
      </c>
      <c r="I1154" s="1" t="str">
        <f>"143205"</f>
        <v>143205</v>
      </c>
      <c r="J1154" s="1" t="s">
        <v>44</v>
      </c>
      <c r="K1154" s="1" t="s">
        <v>45</v>
      </c>
      <c r="L1154" s="1" t="str">
        <f t="shared" si="162"/>
        <v>20220917</v>
      </c>
      <c r="M1154" s="1" t="str">
        <f>"144155"</f>
        <v>144155</v>
      </c>
      <c r="N1154" s="1" t="s">
        <v>45</v>
      </c>
      <c r="O1154" s="1" t="s">
        <v>45</v>
      </c>
      <c r="P1154" s="1" t="s">
        <v>55</v>
      </c>
      <c r="Q1154" s="1">
        <v>25</v>
      </c>
      <c r="R1154" s="1">
        <v>0</v>
      </c>
      <c r="S1154" s="1">
        <v>25</v>
      </c>
      <c r="T1154" s="1">
        <v>0</v>
      </c>
      <c r="U1154" s="1">
        <v>0</v>
      </c>
      <c r="V1154" s="1" t="str">
        <f t="shared" ref="V1154:V1217" si="164">"里程返程"</f>
        <v>里程返程</v>
      </c>
      <c r="W1154" s="1" t="s">
        <v>35</v>
      </c>
    </row>
    <row r="1155" spans="1:23" x14ac:dyDescent="0.3">
      <c r="A1155" s="1" t="str">
        <f t="shared" si="160"/>
        <v>59809</v>
      </c>
      <c r="B1155" s="1" t="s">
        <v>42</v>
      </c>
      <c r="C1155" s="1" t="s">
        <v>43</v>
      </c>
      <c r="D1155" s="1" t="str">
        <f t="shared" si="163"/>
        <v>9801</v>
      </c>
      <c r="E1155" s="1" t="s">
        <v>25</v>
      </c>
      <c r="F1155" s="1" t="str">
        <f>"D204451784880400C814002000000019"</f>
        <v>D204451784880400C814002000000019</v>
      </c>
      <c r="G1155" s="1" t="s">
        <v>58</v>
      </c>
      <c r="H1155" s="1" t="str">
        <f t="shared" si="161"/>
        <v>20220917</v>
      </c>
      <c r="I1155" s="1" t="str">
        <f>"143208"</f>
        <v>143208</v>
      </c>
      <c r="J1155" s="1" t="s">
        <v>44</v>
      </c>
      <c r="K1155" s="1" t="s">
        <v>45</v>
      </c>
      <c r="L1155" s="1" t="str">
        <f t="shared" si="162"/>
        <v>20220917</v>
      </c>
      <c r="M1155" s="1" t="str">
        <f>"144153"</f>
        <v>144153</v>
      </c>
      <c r="N1155" s="1" t="s">
        <v>45</v>
      </c>
      <c r="O1155" s="1" t="s">
        <v>45</v>
      </c>
      <c r="P1155" s="1" t="s">
        <v>55</v>
      </c>
      <c r="Q1155" s="1">
        <v>25</v>
      </c>
      <c r="R1155" s="1">
        <v>0</v>
      </c>
      <c r="S1155" s="1">
        <v>25</v>
      </c>
      <c r="T1155" s="1">
        <v>0</v>
      </c>
      <c r="U1155" s="1">
        <v>0</v>
      </c>
      <c r="V1155" s="1" t="str">
        <f t="shared" si="164"/>
        <v>里程返程</v>
      </c>
      <c r="W1155" s="1" t="s">
        <v>29</v>
      </c>
    </row>
    <row r="1156" spans="1:23" x14ac:dyDescent="0.3">
      <c r="A1156" s="1" t="str">
        <f t="shared" si="160"/>
        <v>59809</v>
      </c>
      <c r="B1156" s="1" t="s">
        <v>42</v>
      </c>
      <c r="C1156" s="1" t="s">
        <v>43</v>
      </c>
      <c r="D1156" s="1" t="str">
        <f t="shared" si="163"/>
        <v>9801</v>
      </c>
      <c r="E1156" s="1" t="s">
        <v>25</v>
      </c>
      <c r="F1156" s="1" t="str">
        <f>"448798945"</f>
        <v>448798945</v>
      </c>
      <c r="G1156" s="1" t="s">
        <v>33</v>
      </c>
      <c r="H1156" s="1" t="str">
        <f t="shared" si="161"/>
        <v>20220917</v>
      </c>
      <c r="I1156" s="1" t="str">
        <f>"143214"</f>
        <v>143214</v>
      </c>
      <c r="J1156" s="1" t="s">
        <v>44</v>
      </c>
      <c r="K1156" s="1" t="s">
        <v>45</v>
      </c>
      <c r="L1156" s="1" t="str">
        <f t="shared" si="162"/>
        <v>20220917</v>
      </c>
      <c r="M1156" s="1" t="str">
        <f>"144955"</f>
        <v>144955</v>
      </c>
      <c r="N1156" s="1" t="s">
        <v>28</v>
      </c>
      <c r="O1156" s="1" t="s">
        <v>28</v>
      </c>
      <c r="P1156" s="1" t="s">
        <v>55</v>
      </c>
      <c r="Q1156" s="1">
        <v>25</v>
      </c>
      <c r="R1156" s="1">
        <v>0</v>
      </c>
      <c r="S1156" s="1">
        <v>25</v>
      </c>
      <c r="T1156" s="1">
        <v>0</v>
      </c>
      <c r="U1156" s="1">
        <v>0</v>
      </c>
      <c r="V1156" s="1" t="str">
        <f t="shared" si="164"/>
        <v>里程返程</v>
      </c>
      <c r="W1156" s="1" t="s">
        <v>35</v>
      </c>
    </row>
    <row r="1157" spans="1:23" x14ac:dyDescent="0.3">
      <c r="A1157" s="1" t="str">
        <f t="shared" si="160"/>
        <v>59809</v>
      </c>
      <c r="B1157" s="1" t="s">
        <v>42</v>
      </c>
      <c r="C1157" s="1" t="s">
        <v>43</v>
      </c>
      <c r="D1157" s="1" t="str">
        <f t="shared" si="163"/>
        <v>9801</v>
      </c>
      <c r="E1157" s="1" t="s">
        <v>25</v>
      </c>
      <c r="F1157" s="1" t="str">
        <f>"1797755489"</f>
        <v>1797755489</v>
      </c>
      <c r="G1157" s="1" t="s">
        <v>33</v>
      </c>
      <c r="H1157" s="1" t="str">
        <f t="shared" si="161"/>
        <v>20220917</v>
      </c>
      <c r="I1157" s="1" t="str">
        <f>"143746"</f>
        <v>143746</v>
      </c>
      <c r="J1157" s="1" t="s">
        <v>75</v>
      </c>
      <c r="K1157" s="1" t="s">
        <v>45</v>
      </c>
      <c r="L1157" s="1" t="str">
        <f t="shared" si="162"/>
        <v>20220917</v>
      </c>
      <c r="M1157" s="1" t="str">
        <f>"144947"</f>
        <v>144947</v>
      </c>
      <c r="N1157" s="1" t="s">
        <v>28</v>
      </c>
      <c r="O1157" s="1" t="s">
        <v>28</v>
      </c>
      <c r="P1157" s="1" t="s">
        <v>55</v>
      </c>
      <c r="Q1157" s="1">
        <v>25</v>
      </c>
      <c r="R1157" s="1">
        <v>0</v>
      </c>
      <c r="S1157" s="1">
        <v>25</v>
      </c>
      <c r="T1157" s="1">
        <v>0</v>
      </c>
      <c r="U1157" s="1">
        <v>0</v>
      </c>
      <c r="V1157" s="1" t="str">
        <f t="shared" si="164"/>
        <v>里程返程</v>
      </c>
      <c r="W1157" s="1" t="s">
        <v>35</v>
      </c>
    </row>
    <row r="1158" spans="1:23" x14ac:dyDescent="0.3">
      <c r="A1158" s="1" t="str">
        <f t="shared" si="160"/>
        <v>59809</v>
      </c>
      <c r="B1158" s="1" t="s">
        <v>42</v>
      </c>
      <c r="C1158" s="1" t="s">
        <v>43</v>
      </c>
      <c r="D1158" s="1" t="str">
        <f t="shared" si="163"/>
        <v>9801</v>
      </c>
      <c r="E1158" s="1" t="s">
        <v>25</v>
      </c>
      <c r="F1158" s="1" t="str">
        <f>"1777612965"</f>
        <v>1777612965</v>
      </c>
      <c r="G1158" s="1" t="s">
        <v>33</v>
      </c>
      <c r="H1158" s="1" t="str">
        <f t="shared" si="161"/>
        <v>20220917</v>
      </c>
      <c r="I1158" s="1" t="str">
        <f>"143749"</f>
        <v>143749</v>
      </c>
      <c r="J1158" s="1" t="s">
        <v>75</v>
      </c>
      <c r="K1158" s="1" t="s">
        <v>45</v>
      </c>
      <c r="L1158" s="1" t="str">
        <f t="shared" si="162"/>
        <v>20220917</v>
      </c>
      <c r="M1158" s="1" t="str">
        <f>"144953"</f>
        <v>144953</v>
      </c>
      <c r="N1158" s="1" t="s">
        <v>28</v>
      </c>
      <c r="O1158" s="1" t="s">
        <v>28</v>
      </c>
      <c r="P1158" s="1" t="s">
        <v>55</v>
      </c>
      <c r="Q1158" s="1">
        <v>25</v>
      </c>
      <c r="R1158" s="1">
        <v>0</v>
      </c>
      <c r="S1158" s="1">
        <v>25</v>
      </c>
      <c r="T1158" s="1">
        <v>0</v>
      </c>
      <c r="U1158" s="1">
        <v>0</v>
      </c>
      <c r="V1158" s="1" t="str">
        <f t="shared" si="164"/>
        <v>里程返程</v>
      </c>
      <c r="W1158" s="1" t="s">
        <v>35</v>
      </c>
    </row>
    <row r="1159" spans="1:23" x14ac:dyDescent="0.3">
      <c r="A1159" s="1" t="str">
        <f t="shared" si="160"/>
        <v>59809</v>
      </c>
      <c r="B1159" s="1" t="s">
        <v>42</v>
      </c>
      <c r="C1159" s="1" t="s">
        <v>43</v>
      </c>
      <c r="D1159" s="1" t="str">
        <f t="shared" si="163"/>
        <v>9801</v>
      </c>
      <c r="E1159" s="1" t="s">
        <v>25</v>
      </c>
      <c r="F1159" s="1" t="str">
        <f>"720364869"</f>
        <v>720364869</v>
      </c>
      <c r="G1159" s="1" t="s">
        <v>33</v>
      </c>
      <c r="H1159" s="1" t="str">
        <f t="shared" si="161"/>
        <v>20220917</v>
      </c>
      <c r="I1159" s="1" t="str">
        <f>"143752"</f>
        <v>143752</v>
      </c>
      <c r="J1159" s="1" t="s">
        <v>75</v>
      </c>
      <c r="K1159" s="1" t="s">
        <v>45</v>
      </c>
      <c r="L1159" s="1" t="str">
        <f t="shared" si="162"/>
        <v>20220917</v>
      </c>
      <c r="M1159" s="1" t="str">
        <f>"144951"</f>
        <v>144951</v>
      </c>
      <c r="N1159" s="1" t="s">
        <v>28</v>
      </c>
      <c r="O1159" s="1" t="s">
        <v>28</v>
      </c>
      <c r="P1159" s="1" t="s">
        <v>55</v>
      </c>
      <c r="Q1159" s="1">
        <v>25</v>
      </c>
      <c r="R1159" s="1">
        <v>0</v>
      </c>
      <c r="S1159" s="1">
        <v>25</v>
      </c>
      <c r="T1159" s="1">
        <v>0</v>
      </c>
      <c r="U1159" s="1">
        <v>0</v>
      </c>
      <c r="V1159" s="1" t="str">
        <f t="shared" si="164"/>
        <v>里程返程</v>
      </c>
      <c r="W1159" s="1" t="s">
        <v>35</v>
      </c>
    </row>
    <row r="1160" spans="1:23" x14ac:dyDescent="0.3">
      <c r="A1160" s="1" t="str">
        <f t="shared" si="160"/>
        <v>59809</v>
      </c>
      <c r="B1160" s="1" t="s">
        <v>42</v>
      </c>
      <c r="C1160" s="1" t="s">
        <v>43</v>
      </c>
      <c r="D1160" s="1" t="str">
        <f t="shared" si="163"/>
        <v>9801</v>
      </c>
      <c r="E1160" s="1" t="s">
        <v>25</v>
      </c>
      <c r="F1160" s="1" t="str">
        <f>"993888817"</f>
        <v>993888817</v>
      </c>
      <c r="G1160" s="1" t="s">
        <v>33</v>
      </c>
      <c r="H1160" s="1" t="str">
        <f t="shared" si="161"/>
        <v>20220917</v>
      </c>
      <c r="I1160" s="1" t="str">
        <f>"145027"</f>
        <v>145027</v>
      </c>
      <c r="J1160" s="1" t="s">
        <v>28</v>
      </c>
      <c r="K1160" s="1" t="s">
        <v>28</v>
      </c>
      <c r="L1160" s="1" t="str">
        <f t="shared" si="162"/>
        <v>20220917</v>
      </c>
      <c r="M1160" s="1" t="str">
        <f>"150730"</f>
        <v>150730</v>
      </c>
      <c r="N1160" s="1" t="s">
        <v>69</v>
      </c>
      <c r="O1160" s="1" t="s">
        <v>52</v>
      </c>
      <c r="P1160" s="1" t="s">
        <v>55</v>
      </c>
      <c r="Q1160" s="1">
        <v>25</v>
      </c>
      <c r="R1160" s="1">
        <v>0</v>
      </c>
      <c r="S1160" s="1">
        <v>25</v>
      </c>
      <c r="T1160" s="1">
        <v>0</v>
      </c>
      <c r="U1160" s="1">
        <v>0</v>
      </c>
      <c r="V1160" s="1" t="str">
        <f t="shared" si="164"/>
        <v>里程返程</v>
      </c>
      <c r="W1160" s="1" t="s">
        <v>35</v>
      </c>
    </row>
    <row r="1161" spans="1:23" x14ac:dyDescent="0.3">
      <c r="A1161" s="1" t="str">
        <f t="shared" si="160"/>
        <v>59809</v>
      </c>
      <c r="B1161" s="1" t="s">
        <v>42</v>
      </c>
      <c r="C1161" s="1" t="s">
        <v>43</v>
      </c>
      <c r="D1161" s="1" t="str">
        <f t="shared" si="163"/>
        <v>9801</v>
      </c>
      <c r="E1161" s="1" t="s">
        <v>25</v>
      </c>
      <c r="F1161" s="1" t="str">
        <f>"11C61656972804001C00000000000000"</f>
        <v>11C61656972804001C00000000000000</v>
      </c>
      <c r="G1161" s="1" t="s">
        <v>58</v>
      </c>
      <c r="H1161" s="1" t="str">
        <f t="shared" si="161"/>
        <v>20220917</v>
      </c>
      <c r="I1161" s="1" t="str">
        <f>"145107"</f>
        <v>145107</v>
      </c>
      <c r="J1161" s="1" t="s">
        <v>28</v>
      </c>
      <c r="K1161" s="1" t="s">
        <v>28</v>
      </c>
      <c r="L1161" s="1" t="str">
        <f t="shared" si="162"/>
        <v>20220917</v>
      </c>
      <c r="M1161" s="1" t="str">
        <f>"152211"</f>
        <v>152211</v>
      </c>
      <c r="N1161" s="1" t="s">
        <v>86</v>
      </c>
      <c r="O1161" s="1" t="s">
        <v>52</v>
      </c>
      <c r="P1161" s="1" t="s">
        <v>55</v>
      </c>
      <c r="Q1161" s="1">
        <v>25</v>
      </c>
      <c r="R1161" s="1">
        <v>25</v>
      </c>
      <c r="S1161" s="1">
        <v>0</v>
      </c>
      <c r="T1161" s="1">
        <v>0</v>
      </c>
      <c r="U1161" s="1">
        <v>0</v>
      </c>
      <c r="V1161" s="1" t="str">
        <f t="shared" si="164"/>
        <v>里程返程</v>
      </c>
      <c r="W1161" s="1" t="s">
        <v>29</v>
      </c>
    </row>
    <row r="1162" spans="1:23" x14ac:dyDescent="0.3">
      <c r="A1162" s="1" t="str">
        <f t="shared" si="160"/>
        <v>59809</v>
      </c>
      <c r="B1162" s="1" t="s">
        <v>42</v>
      </c>
      <c r="C1162" s="1" t="s">
        <v>43</v>
      </c>
      <c r="D1162" s="1" t="str">
        <f t="shared" si="163"/>
        <v>9801</v>
      </c>
      <c r="E1162" s="1" t="s">
        <v>25</v>
      </c>
      <c r="F1162" s="1" t="str">
        <f>"1352916257"</f>
        <v>1352916257</v>
      </c>
      <c r="G1162" s="1" t="s">
        <v>33</v>
      </c>
      <c r="H1162" s="1" t="str">
        <f t="shared" si="161"/>
        <v>20220917</v>
      </c>
      <c r="I1162" s="1" t="str">
        <f>"145110"</f>
        <v>145110</v>
      </c>
      <c r="J1162" s="1" t="s">
        <v>28</v>
      </c>
      <c r="K1162" s="1" t="s">
        <v>28</v>
      </c>
      <c r="L1162" s="1" t="str">
        <f t="shared" si="162"/>
        <v>20220917</v>
      </c>
      <c r="M1162" s="1" t="str">
        <f>"152209"</f>
        <v>152209</v>
      </c>
      <c r="N1162" s="1" t="s">
        <v>86</v>
      </c>
      <c r="O1162" s="1" t="s">
        <v>52</v>
      </c>
      <c r="P1162" s="1" t="s">
        <v>55</v>
      </c>
      <c r="Q1162" s="1">
        <v>25</v>
      </c>
      <c r="R1162" s="1">
        <v>25</v>
      </c>
      <c r="S1162" s="1">
        <v>0</v>
      </c>
      <c r="T1162" s="1">
        <v>0</v>
      </c>
      <c r="U1162" s="1">
        <v>0</v>
      </c>
      <c r="V1162" s="1" t="str">
        <f t="shared" si="164"/>
        <v>里程返程</v>
      </c>
      <c r="W1162" s="1" t="s">
        <v>35</v>
      </c>
    </row>
    <row r="1163" spans="1:23" x14ac:dyDescent="0.3">
      <c r="A1163" s="1" t="str">
        <f t="shared" si="160"/>
        <v>59809</v>
      </c>
      <c r="B1163" s="1" t="s">
        <v>42</v>
      </c>
      <c r="C1163" s="1" t="s">
        <v>43</v>
      </c>
      <c r="D1163" s="1" t="str">
        <f t="shared" si="163"/>
        <v>9801</v>
      </c>
      <c r="E1163" s="1" t="s">
        <v>25</v>
      </c>
      <c r="F1163" s="1" t="str">
        <f>"780393601"</f>
        <v>780393601</v>
      </c>
      <c r="G1163" s="1" t="s">
        <v>33</v>
      </c>
      <c r="H1163" s="1" t="str">
        <f t="shared" si="161"/>
        <v>20220917</v>
      </c>
      <c r="I1163" s="1" t="str">
        <f>"145114"</f>
        <v>145114</v>
      </c>
      <c r="J1163" s="1" t="s">
        <v>28</v>
      </c>
      <c r="K1163" s="1" t="s">
        <v>28</v>
      </c>
      <c r="L1163" s="1" t="str">
        <f t="shared" si="162"/>
        <v>20220917</v>
      </c>
      <c r="M1163" s="1" t="str">
        <f>"152206"</f>
        <v>152206</v>
      </c>
      <c r="N1163" s="1" t="s">
        <v>86</v>
      </c>
      <c r="O1163" s="1" t="s">
        <v>52</v>
      </c>
      <c r="P1163" s="1" t="s">
        <v>55</v>
      </c>
      <c r="Q1163" s="1">
        <v>25</v>
      </c>
      <c r="R1163" s="1">
        <v>25</v>
      </c>
      <c r="S1163" s="1">
        <v>0</v>
      </c>
      <c r="T1163" s="1">
        <v>0</v>
      </c>
      <c r="U1163" s="1">
        <v>0</v>
      </c>
      <c r="V1163" s="1" t="str">
        <f t="shared" si="164"/>
        <v>里程返程</v>
      </c>
      <c r="W1163" s="1" t="s">
        <v>35</v>
      </c>
    </row>
    <row r="1164" spans="1:23" x14ac:dyDescent="0.3">
      <c r="A1164" s="1" t="str">
        <f t="shared" si="160"/>
        <v>59809</v>
      </c>
      <c r="B1164" s="1" t="s">
        <v>42</v>
      </c>
      <c r="C1164" s="1" t="s">
        <v>43</v>
      </c>
      <c r="D1164" s="1" t="str">
        <f t="shared" si="163"/>
        <v>9801</v>
      </c>
      <c r="E1164" s="1" t="s">
        <v>25</v>
      </c>
      <c r="F1164" s="1" t="str">
        <f>"1699395637"</f>
        <v>1699395637</v>
      </c>
      <c r="G1164" s="1" t="s">
        <v>33</v>
      </c>
      <c r="H1164" s="1" t="str">
        <f t="shared" si="161"/>
        <v>20220917</v>
      </c>
      <c r="I1164" s="1" t="str">
        <f>"153621"</f>
        <v>153621</v>
      </c>
      <c r="J1164" s="1" t="s">
        <v>91</v>
      </c>
      <c r="K1164" s="1" t="s">
        <v>45</v>
      </c>
      <c r="L1164" s="1" t="str">
        <f t="shared" si="162"/>
        <v>20220917</v>
      </c>
      <c r="M1164" s="1" t="str">
        <f>"154928"</f>
        <v>154928</v>
      </c>
      <c r="N1164" s="1" t="s">
        <v>28</v>
      </c>
      <c r="O1164" s="1" t="s">
        <v>28</v>
      </c>
      <c r="P1164" s="1" t="s">
        <v>55</v>
      </c>
      <c r="Q1164" s="1">
        <v>25</v>
      </c>
      <c r="R1164" s="1">
        <v>25</v>
      </c>
      <c r="S1164" s="1">
        <v>0</v>
      </c>
      <c r="T1164" s="1">
        <v>0</v>
      </c>
      <c r="U1164" s="1">
        <v>0</v>
      </c>
      <c r="V1164" s="1" t="str">
        <f t="shared" si="164"/>
        <v>里程返程</v>
      </c>
      <c r="W1164" s="1" t="s">
        <v>35</v>
      </c>
    </row>
    <row r="1165" spans="1:23" x14ac:dyDescent="0.3">
      <c r="A1165" s="1" t="str">
        <f t="shared" si="160"/>
        <v>59809</v>
      </c>
      <c r="B1165" s="1" t="s">
        <v>42</v>
      </c>
      <c r="C1165" s="1" t="s">
        <v>43</v>
      </c>
      <c r="D1165" s="1" t="str">
        <f t="shared" si="163"/>
        <v>9801</v>
      </c>
      <c r="E1165" s="1" t="s">
        <v>25</v>
      </c>
      <c r="F1165" s="1" t="str">
        <f>"452063217"</f>
        <v>452063217</v>
      </c>
      <c r="G1165" s="1" t="s">
        <v>33</v>
      </c>
      <c r="H1165" s="1" t="str">
        <f t="shared" si="161"/>
        <v>20220917</v>
      </c>
      <c r="I1165" s="1" t="str">
        <f>"154127"</f>
        <v>154127</v>
      </c>
      <c r="J1165" s="1" t="s">
        <v>45</v>
      </c>
      <c r="K1165" s="1" t="s">
        <v>45</v>
      </c>
      <c r="L1165" s="1" t="str">
        <f t="shared" si="162"/>
        <v>20220917</v>
      </c>
      <c r="M1165" s="1" t="str">
        <f>"154931"</f>
        <v>154931</v>
      </c>
      <c r="N1165" s="1" t="s">
        <v>28</v>
      </c>
      <c r="O1165" s="1" t="s">
        <v>28</v>
      </c>
      <c r="P1165" s="1" t="s">
        <v>55</v>
      </c>
      <c r="Q1165" s="1">
        <v>25</v>
      </c>
      <c r="R1165" s="1">
        <v>25</v>
      </c>
      <c r="S1165" s="1">
        <v>0</v>
      </c>
      <c r="T1165" s="1">
        <v>0</v>
      </c>
      <c r="U1165" s="1">
        <v>0</v>
      </c>
      <c r="V1165" s="1" t="str">
        <f t="shared" si="164"/>
        <v>里程返程</v>
      </c>
      <c r="W1165" s="1" t="s">
        <v>35</v>
      </c>
    </row>
    <row r="1166" spans="1:23" x14ac:dyDescent="0.3">
      <c r="A1166" s="1" t="str">
        <f t="shared" si="160"/>
        <v>59809</v>
      </c>
      <c r="B1166" s="1" t="s">
        <v>42</v>
      </c>
      <c r="C1166" s="1" t="s">
        <v>43</v>
      </c>
      <c r="D1166" s="1" t="str">
        <f t="shared" si="163"/>
        <v>9801</v>
      </c>
      <c r="E1166" s="1" t="s">
        <v>25</v>
      </c>
      <c r="F1166" s="1" t="str">
        <f>"E220D10211880400C834002000000015"</f>
        <v>E220D10211880400C834002000000015</v>
      </c>
      <c r="G1166" s="1" t="s">
        <v>74</v>
      </c>
      <c r="H1166" s="1" t="str">
        <f t="shared" si="161"/>
        <v>20220917</v>
      </c>
      <c r="I1166" s="1" t="str">
        <f>"161009"</f>
        <v>161009</v>
      </c>
      <c r="J1166" s="1" t="s">
        <v>80</v>
      </c>
      <c r="K1166" s="1" t="s">
        <v>52</v>
      </c>
      <c r="L1166" s="1" t="str">
        <f t="shared" si="162"/>
        <v>20220917</v>
      </c>
      <c r="M1166" s="1" t="str">
        <f>"161322"</f>
        <v>161322</v>
      </c>
      <c r="N1166" s="1" t="s">
        <v>65</v>
      </c>
      <c r="O1166" s="1" t="s">
        <v>52</v>
      </c>
      <c r="P1166" s="1" t="s">
        <v>68</v>
      </c>
      <c r="Q1166" s="1">
        <v>13</v>
      </c>
      <c r="R1166" s="1">
        <v>0</v>
      </c>
      <c r="S1166" s="1">
        <v>0</v>
      </c>
      <c r="T1166" s="1">
        <v>13</v>
      </c>
      <c r="U1166" s="1">
        <v>0</v>
      </c>
      <c r="V1166" s="1" t="str">
        <f t="shared" si="164"/>
        <v>里程返程</v>
      </c>
      <c r="W1166" s="1" t="s">
        <v>29</v>
      </c>
    </row>
    <row r="1167" spans="1:23" x14ac:dyDescent="0.3">
      <c r="A1167" s="1" t="str">
        <f t="shared" si="160"/>
        <v>59809</v>
      </c>
      <c r="B1167" s="1" t="s">
        <v>42</v>
      </c>
      <c r="C1167" s="1" t="s">
        <v>43</v>
      </c>
      <c r="D1167" s="1" t="str">
        <f t="shared" si="163"/>
        <v>9801</v>
      </c>
      <c r="E1167" s="1" t="s">
        <v>25</v>
      </c>
      <c r="F1167" s="1" t="str">
        <f>"1737963496"</f>
        <v>1737963496</v>
      </c>
      <c r="G1167" s="1" t="s">
        <v>33</v>
      </c>
      <c r="H1167" s="1" t="str">
        <f t="shared" si="161"/>
        <v>20220917</v>
      </c>
      <c r="I1167" s="1" t="str">
        <f>"163510"</f>
        <v>163510</v>
      </c>
      <c r="J1167" s="1" t="s">
        <v>100</v>
      </c>
      <c r="K1167" s="1" t="s">
        <v>45</v>
      </c>
      <c r="L1167" s="1" t="str">
        <f t="shared" si="162"/>
        <v>20220917</v>
      </c>
      <c r="M1167" s="1" t="str">
        <f>"165420"</f>
        <v>165420</v>
      </c>
      <c r="N1167" s="1" t="s">
        <v>28</v>
      </c>
      <c r="O1167" s="1" t="s">
        <v>28</v>
      </c>
      <c r="P1167" s="1" t="s">
        <v>55</v>
      </c>
      <c r="Q1167" s="1">
        <v>25</v>
      </c>
      <c r="R1167" s="1">
        <v>25</v>
      </c>
      <c r="S1167" s="1">
        <v>0</v>
      </c>
      <c r="T1167" s="1">
        <v>0</v>
      </c>
      <c r="U1167" s="1">
        <v>0</v>
      </c>
      <c r="V1167" s="1" t="str">
        <f t="shared" si="164"/>
        <v>里程返程</v>
      </c>
      <c r="W1167" s="1" t="s">
        <v>35</v>
      </c>
    </row>
    <row r="1168" spans="1:23" x14ac:dyDescent="0.3">
      <c r="A1168" s="1" t="str">
        <f t="shared" si="160"/>
        <v>59809</v>
      </c>
      <c r="B1168" s="1" t="s">
        <v>42</v>
      </c>
      <c r="C1168" s="1" t="s">
        <v>43</v>
      </c>
      <c r="D1168" s="1" t="str">
        <f t="shared" si="163"/>
        <v>9801</v>
      </c>
      <c r="E1168" s="1" t="s">
        <v>25</v>
      </c>
      <c r="F1168" s="1" t="str">
        <f>"612034191"</f>
        <v>612034191</v>
      </c>
      <c r="G1168" s="1" t="s">
        <v>33</v>
      </c>
      <c r="H1168" s="1" t="str">
        <f t="shared" si="161"/>
        <v>20220917</v>
      </c>
      <c r="I1168" s="1" t="str">
        <f>"163739"</f>
        <v>163739</v>
      </c>
      <c r="J1168" s="1" t="s">
        <v>91</v>
      </c>
      <c r="K1168" s="1" t="s">
        <v>45</v>
      </c>
      <c r="L1168" s="1" t="str">
        <f t="shared" si="162"/>
        <v>20220917</v>
      </c>
      <c r="M1168" s="1" t="str">
        <f>"171918"</f>
        <v>171918</v>
      </c>
      <c r="N1168" s="1" t="s">
        <v>86</v>
      </c>
      <c r="O1168" s="1" t="s">
        <v>52</v>
      </c>
      <c r="P1168" s="1" t="s">
        <v>55</v>
      </c>
      <c r="Q1168" s="1">
        <v>50</v>
      </c>
      <c r="R1168" s="1">
        <v>25</v>
      </c>
      <c r="S1168" s="1">
        <v>25</v>
      </c>
      <c r="T1168" s="1">
        <v>0</v>
      </c>
      <c r="U1168" s="1">
        <v>0</v>
      </c>
      <c r="V1168" s="1" t="str">
        <f t="shared" si="164"/>
        <v>里程返程</v>
      </c>
      <c r="W1168" s="1" t="s">
        <v>35</v>
      </c>
    </row>
    <row r="1169" spans="1:23" x14ac:dyDescent="0.3">
      <c r="A1169" s="1" t="str">
        <f t="shared" si="160"/>
        <v>59809</v>
      </c>
      <c r="B1169" s="1" t="s">
        <v>42</v>
      </c>
      <c r="C1169" s="1" t="s">
        <v>43</v>
      </c>
      <c r="D1169" s="1" t="str">
        <f t="shared" si="163"/>
        <v>9801</v>
      </c>
      <c r="E1169" s="1" t="s">
        <v>25</v>
      </c>
      <c r="F1169" s="1" t="str">
        <f>"2122891334"</f>
        <v>2122891334</v>
      </c>
      <c r="G1169" s="1" t="s">
        <v>33</v>
      </c>
      <c r="H1169" s="1" t="str">
        <f t="shared" si="161"/>
        <v>20220917</v>
      </c>
      <c r="I1169" s="1" t="str">
        <f>"163742"</f>
        <v>163742</v>
      </c>
      <c r="J1169" s="1" t="s">
        <v>91</v>
      </c>
      <c r="K1169" s="1" t="s">
        <v>45</v>
      </c>
      <c r="L1169" s="1" t="str">
        <f t="shared" si="162"/>
        <v>20220917</v>
      </c>
      <c r="M1169" s="1" t="str">
        <f>"171923"</f>
        <v>171923</v>
      </c>
      <c r="N1169" s="1" t="s">
        <v>86</v>
      </c>
      <c r="O1169" s="1" t="s">
        <v>52</v>
      </c>
      <c r="P1169" s="1" t="s">
        <v>55</v>
      </c>
      <c r="Q1169" s="1">
        <v>50</v>
      </c>
      <c r="R1169" s="1">
        <v>25</v>
      </c>
      <c r="S1169" s="1">
        <v>25</v>
      </c>
      <c r="T1169" s="1">
        <v>0</v>
      </c>
      <c r="U1169" s="1">
        <v>0</v>
      </c>
      <c r="V1169" s="1" t="str">
        <f t="shared" si="164"/>
        <v>里程返程</v>
      </c>
      <c r="W1169" s="1" t="s">
        <v>35</v>
      </c>
    </row>
    <row r="1170" spans="1:23" x14ac:dyDescent="0.3">
      <c r="A1170" s="1" t="str">
        <f t="shared" si="160"/>
        <v>59809</v>
      </c>
      <c r="B1170" s="1" t="s">
        <v>42</v>
      </c>
      <c r="C1170" s="1" t="s">
        <v>43</v>
      </c>
      <c r="D1170" s="1" t="str">
        <f t="shared" si="163"/>
        <v>9801</v>
      </c>
      <c r="E1170" s="1" t="s">
        <v>25</v>
      </c>
      <c r="F1170" s="1" t="str">
        <f>"1144178677"</f>
        <v>1144178677</v>
      </c>
      <c r="G1170" s="1" t="s">
        <v>33</v>
      </c>
      <c r="H1170" s="1" t="str">
        <f t="shared" si="161"/>
        <v>20220917</v>
      </c>
      <c r="I1170" s="1" t="str">
        <f>"163745"</f>
        <v>163745</v>
      </c>
      <c r="J1170" s="1" t="s">
        <v>91</v>
      </c>
      <c r="K1170" s="1" t="s">
        <v>45</v>
      </c>
      <c r="L1170" s="1" t="str">
        <f t="shared" si="162"/>
        <v>20220917</v>
      </c>
      <c r="M1170" s="1" t="str">
        <f>"171926"</f>
        <v>171926</v>
      </c>
      <c r="N1170" s="1" t="s">
        <v>86</v>
      </c>
      <c r="O1170" s="1" t="s">
        <v>52</v>
      </c>
      <c r="P1170" s="1" t="s">
        <v>55</v>
      </c>
      <c r="Q1170" s="1">
        <v>50</v>
      </c>
      <c r="R1170" s="1">
        <v>25</v>
      </c>
      <c r="S1170" s="1">
        <v>25</v>
      </c>
      <c r="T1170" s="1">
        <v>0</v>
      </c>
      <c r="U1170" s="1">
        <v>0</v>
      </c>
      <c r="V1170" s="1" t="str">
        <f t="shared" si="164"/>
        <v>里程返程</v>
      </c>
      <c r="W1170" s="1" t="s">
        <v>35</v>
      </c>
    </row>
    <row r="1171" spans="1:23" x14ac:dyDescent="0.3">
      <c r="A1171" s="1" t="str">
        <f t="shared" si="160"/>
        <v>59809</v>
      </c>
      <c r="B1171" s="1" t="s">
        <v>42</v>
      </c>
      <c r="C1171" s="1" t="s">
        <v>43</v>
      </c>
      <c r="D1171" s="1" t="str">
        <f t="shared" si="163"/>
        <v>9801</v>
      </c>
      <c r="E1171" s="1" t="s">
        <v>25</v>
      </c>
      <c r="F1171" s="1" t="str">
        <f>"128903873"</f>
        <v>128903873</v>
      </c>
      <c r="G1171" s="1" t="s">
        <v>33</v>
      </c>
      <c r="H1171" s="1" t="str">
        <f t="shared" ref="H1171:H1202" si="165">"20220917"</f>
        <v>20220917</v>
      </c>
      <c r="I1171" s="1" t="str">
        <f>"165441"</f>
        <v>165441</v>
      </c>
      <c r="J1171" s="1" t="s">
        <v>28</v>
      </c>
      <c r="K1171" s="1" t="s">
        <v>28</v>
      </c>
      <c r="L1171" s="1" t="str">
        <f t="shared" ref="L1171:L1202" si="166">"20220917"</f>
        <v>20220917</v>
      </c>
      <c r="M1171" s="1" t="str">
        <f>"170617"</f>
        <v>170617</v>
      </c>
      <c r="N1171" s="1" t="s">
        <v>77</v>
      </c>
      <c r="O1171" s="1" t="s">
        <v>52</v>
      </c>
      <c r="P1171" s="1" t="s">
        <v>55</v>
      </c>
      <c r="Q1171" s="1">
        <v>25</v>
      </c>
      <c r="R1171" s="1">
        <v>25</v>
      </c>
      <c r="S1171" s="1">
        <v>0</v>
      </c>
      <c r="T1171" s="1">
        <v>0</v>
      </c>
      <c r="U1171" s="1">
        <v>0</v>
      </c>
      <c r="V1171" s="1" t="str">
        <f t="shared" si="164"/>
        <v>里程返程</v>
      </c>
      <c r="W1171" s="1" t="s">
        <v>35</v>
      </c>
    </row>
    <row r="1172" spans="1:23" x14ac:dyDescent="0.3">
      <c r="A1172" s="1" t="str">
        <f t="shared" ref="A1172:A1205" si="167">"59825"</f>
        <v>59825</v>
      </c>
      <c r="B1172" s="1" t="s">
        <v>30</v>
      </c>
      <c r="C1172" s="1" t="s">
        <v>31</v>
      </c>
      <c r="D1172" s="1" t="str">
        <f t="shared" si="163"/>
        <v>9801</v>
      </c>
      <c r="E1172" s="1" t="s">
        <v>25</v>
      </c>
      <c r="F1172" s="1" t="str">
        <f>"832913249"</f>
        <v>832913249</v>
      </c>
      <c r="G1172" s="1" t="s">
        <v>33</v>
      </c>
      <c r="H1172" s="1" t="str">
        <f t="shared" si="165"/>
        <v>20220917</v>
      </c>
      <c r="I1172" s="1" t="str">
        <f>"085639"</f>
        <v>085639</v>
      </c>
      <c r="J1172" s="1" t="s">
        <v>28</v>
      </c>
      <c r="K1172" s="1" t="s">
        <v>28</v>
      </c>
      <c r="L1172" s="1" t="str">
        <f t="shared" si="166"/>
        <v>20220917</v>
      </c>
      <c r="M1172" s="1" t="str">
        <f>"090455"</f>
        <v>090455</v>
      </c>
      <c r="N1172" s="1" t="s">
        <v>67</v>
      </c>
      <c r="O1172" s="1" t="s">
        <v>52</v>
      </c>
      <c r="P1172" s="1" t="s">
        <v>55</v>
      </c>
      <c r="Q1172" s="1">
        <v>25</v>
      </c>
      <c r="R1172" s="1">
        <v>25</v>
      </c>
      <c r="S1172" s="1">
        <v>0</v>
      </c>
      <c r="T1172" s="1">
        <v>0</v>
      </c>
      <c r="U1172" s="1">
        <v>0</v>
      </c>
      <c r="V1172" s="1" t="str">
        <f t="shared" si="164"/>
        <v>里程返程</v>
      </c>
      <c r="W1172" s="1" t="s">
        <v>35</v>
      </c>
    </row>
    <row r="1173" spans="1:23" x14ac:dyDescent="0.3">
      <c r="A1173" s="1" t="str">
        <f t="shared" si="167"/>
        <v>59825</v>
      </c>
      <c r="B1173" s="1" t="s">
        <v>30</v>
      </c>
      <c r="C1173" s="1" t="s">
        <v>31</v>
      </c>
      <c r="D1173" s="1" t="str">
        <f t="shared" si="163"/>
        <v>9801</v>
      </c>
      <c r="E1173" s="1" t="s">
        <v>25</v>
      </c>
      <c r="F1173" s="1" t="str">
        <f>"C2E1D306F6880400C838002000000015"</f>
        <v>C2E1D306F6880400C838002000000015</v>
      </c>
      <c r="G1173" s="1" t="s">
        <v>26</v>
      </c>
      <c r="H1173" s="1" t="str">
        <f t="shared" si="165"/>
        <v>20220917</v>
      </c>
      <c r="I1173" s="1" t="str">
        <f>"085646"</f>
        <v>085646</v>
      </c>
      <c r="J1173" s="1" t="s">
        <v>28</v>
      </c>
      <c r="K1173" s="1" t="s">
        <v>28</v>
      </c>
      <c r="L1173" s="1" t="str">
        <f t="shared" si="166"/>
        <v>20220917</v>
      </c>
      <c r="M1173" s="1" t="str">
        <f>"092040"</f>
        <v>092040</v>
      </c>
      <c r="N1173" s="1" t="s">
        <v>60</v>
      </c>
      <c r="O1173" s="1" t="s">
        <v>52</v>
      </c>
      <c r="P1173" s="1" t="s">
        <v>68</v>
      </c>
      <c r="Q1173" s="1">
        <v>13</v>
      </c>
      <c r="R1173" s="1">
        <v>0</v>
      </c>
      <c r="S1173" s="1">
        <v>0</v>
      </c>
      <c r="T1173" s="1">
        <v>13</v>
      </c>
      <c r="U1173" s="1">
        <v>0</v>
      </c>
      <c r="V1173" s="1" t="str">
        <f t="shared" si="164"/>
        <v>里程返程</v>
      </c>
      <c r="W1173" s="1" t="s">
        <v>29</v>
      </c>
    </row>
    <row r="1174" spans="1:23" x14ac:dyDescent="0.3">
      <c r="A1174" s="1" t="str">
        <f t="shared" si="167"/>
        <v>59825</v>
      </c>
      <c r="B1174" s="1" t="s">
        <v>30</v>
      </c>
      <c r="C1174" s="1" t="s">
        <v>31</v>
      </c>
      <c r="D1174" s="1" t="str">
        <f t="shared" si="163"/>
        <v>9801</v>
      </c>
      <c r="E1174" s="1" t="s">
        <v>25</v>
      </c>
      <c r="F1174" s="1" t="str">
        <f>"D2BD0A187D880400C814002000000019"</f>
        <v>D2BD0A187D880400C814002000000019</v>
      </c>
      <c r="G1174" s="1" t="s">
        <v>59</v>
      </c>
      <c r="H1174" s="1" t="str">
        <f t="shared" si="165"/>
        <v>20220917</v>
      </c>
      <c r="I1174" s="1" t="str">
        <f>"092746"</f>
        <v>092746</v>
      </c>
      <c r="J1174" s="1" t="s">
        <v>44</v>
      </c>
      <c r="K1174" s="1" t="s">
        <v>45</v>
      </c>
      <c r="L1174" s="1" t="str">
        <f t="shared" si="166"/>
        <v>20220917</v>
      </c>
      <c r="M1174" s="1" t="str">
        <f>"095501"</f>
        <v>095501</v>
      </c>
      <c r="N1174" s="1" t="s">
        <v>28</v>
      </c>
      <c r="O1174" s="1" t="s">
        <v>28</v>
      </c>
      <c r="P1174" s="1" t="s">
        <v>55</v>
      </c>
      <c r="Q1174" s="1">
        <v>25</v>
      </c>
      <c r="R1174" s="1">
        <v>0</v>
      </c>
      <c r="S1174" s="1">
        <v>25</v>
      </c>
      <c r="T1174" s="1">
        <v>0</v>
      </c>
      <c r="U1174" s="1">
        <v>0</v>
      </c>
      <c r="V1174" s="1" t="str">
        <f t="shared" si="164"/>
        <v>里程返程</v>
      </c>
      <c r="W1174" s="1" t="s">
        <v>29</v>
      </c>
    </row>
    <row r="1175" spans="1:23" x14ac:dyDescent="0.3">
      <c r="A1175" s="1" t="str">
        <f t="shared" si="167"/>
        <v>59825</v>
      </c>
      <c r="B1175" s="1" t="s">
        <v>30</v>
      </c>
      <c r="C1175" s="1" t="s">
        <v>31</v>
      </c>
      <c r="D1175" s="1" t="str">
        <f t="shared" si="163"/>
        <v>9801</v>
      </c>
      <c r="E1175" s="1" t="s">
        <v>25</v>
      </c>
      <c r="F1175" s="1" t="str">
        <f>"22151E173E880400C814002000000019"</f>
        <v>22151E173E880400C814002000000019</v>
      </c>
      <c r="G1175" s="1" t="s">
        <v>58</v>
      </c>
      <c r="H1175" s="1" t="str">
        <f t="shared" si="165"/>
        <v>20220917</v>
      </c>
      <c r="I1175" s="1" t="str">
        <f>"092748"</f>
        <v>092748</v>
      </c>
      <c r="J1175" s="1" t="s">
        <v>44</v>
      </c>
      <c r="K1175" s="1" t="s">
        <v>45</v>
      </c>
      <c r="L1175" s="1" t="str">
        <f t="shared" si="166"/>
        <v>20220917</v>
      </c>
      <c r="M1175" s="1" t="str">
        <f>"095504"</f>
        <v>095504</v>
      </c>
      <c r="N1175" s="1" t="s">
        <v>28</v>
      </c>
      <c r="O1175" s="1" t="s">
        <v>28</v>
      </c>
      <c r="P1175" s="1" t="s">
        <v>55</v>
      </c>
      <c r="Q1175" s="1">
        <v>25</v>
      </c>
      <c r="R1175" s="1">
        <v>0</v>
      </c>
      <c r="S1175" s="1">
        <v>25</v>
      </c>
      <c r="T1175" s="1">
        <v>0</v>
      </c>
      <c r="U1175" s="1">
        <v>0</v>
      </c>
      <c r="V1175" s="1" t="str">
        <f t="shared" si="164"/>
        <v>里程返程</v>
      </c>
      <c r="W1175" s="1" t="s">
        <v>29</v>
      </c>
    </row>
    <row r="1176" spans="1:23" x14ac:dyDescent="0.3">
      <c r="A1176" s="1" t="str">
        <f t="shared" si="167"/>
        <v>59825</v>
      </c>
      <c r="B1176" s="1" t="s">
        <v>30</v>
      </c>
      <c r="C1176" s="1" t="s">
        <v>31</v>
      </c>
      <c r="D1176" s="1" t="str">
        <f t="shared" si="163"/>
        <v>9801</v>
      </c>
      <c r="E1176" s="1" t="s">
        <v>25</v>
      </c>
      <c r="F1176" s="1" t="str">
        <f>"201021253"</f>
        <v>201021253</v>
      </c>
      <c r="G1176" s="1" t="s">
        <v>33</v>
      </c>
      <c r="H1176" s="1" t="str">
        <f t="shared" si="165"/>
        <v>20220917</v>
      </c>
      <c r="I1176" s="1" t="str">
        <f>"092753"</f>
        <v>092753</v>
      </c>
      <c r="J1176" s="1" t="s">
        <v>44</v>
      </c>
      <c r="K1176" s="1" t="s">
        <v>45</v>
      </c>
      <c r="L1176" s="1" t="str">
        <f t="shared" si="166"/>
        <v>20220917</v>
      </c>
      <c r="M1176" s="1" t="str">
        <f>"094455"</f>
        <v>094455</v>
      </c>
      <c r="N1176" s="1" t="s">
        <v>45</v>
      </c>
      <c r="O1176" s="1" t="s">
        <v>45</v>
      </c>
      <c r="P1176" s="1" t="s">
        <v>55</v>
      </c>
      <c r="Q1176" s="1">
        <v>25</v>
      </c>
      <c r="R1176" s="1">
        <v>25</v>
      </c>
      <c r="S1176" s="1">
        <v>0</v>
      </c>
      <c r="T1176" s="1">
        <v>0</v>
      </c>
      <c r="U1176" s="1">
        <v>0</v>
      </c>
      <c r="V1176" s="1" t="str">
        <f t="shared" si="164"/>
        <v>里程返程</v>
      </c>
      <c r="W1176" s="1" t="s">
        <v>35</v>
      </c>
    </row>
    <row r="1177" spans="1:23" x14ac:dyDescent="0.3">
      <c r="A1177" s="1" t="str">
        <f t="shared" si="167"/>
        <v>59825</v>
      </c>
      <c r="B1177" s="1" t="s">
        <v>30</v>
      </c>
      <c r="C1177" s="1" t="s">
        <v>31</v>
      </c>
      <c r="D1177" s="1" t="str">
        <f t="shared" si="163"/>
        <v>9801</v>
      </c>
      <c r="E1177" s="1" t="s">
        <v>25</v>
      </c>
      <c r="F1177" s="1" t="str">
        <f>"780851553"</f>
        <v>780851553</v>
      </c>
      <c r="G1177" s="1" t="s">
        <v>26</v>
      </c>
      <c r="H1177" s="1" t="str">
        <f t="shared" si="165"/>
        <v>20220917</v>
      </c>
      <c r="I1177" s="1" t="str">
        <f>"092757"</f>
        <v>092757</v>
      </c>
      <c r="J1177" s="1" t="s">
        <v>44</v>
      </c>
      <c r="K1177" s="1" t="s">
        <v>45</v>
      </c>
      <c r="L1177" s="1" t="str">
        <f t="shared" si="166"/>
        <v>20220917</v>
      </c>
      <c r="M1177" s="1" t="str">
        <f>"094331"</f>
        <v>094331</v>
      </c>
      <c r="N1177" s="1" t="s">
        <v>45</v>
      </c>
      <c r="O1177" s="1" t="s">
        <v>45</v>
      </c>
      <c r="P1177" s="1" t="s">
        <v>55</v>
      </c>
      <c r="Q1177" s="1">
        <v>13</v>
      </c>
      <c r="R1177" s="1">
        <v>13</v>
      </c>
      <c r="S1177" s="1">
        <v>0</v>
      </c>
      <c r="T1177" s="1">
        <v>0</v>
      </c>
      <c r="U1177" s="1">
        <v>0</v>
      </c>
      <c r="V1177" s="1" t="str">
        <f t="shared" si="164"/>
        <v>里程返程</v>
      </c>
      <c r="W1177" s="1" t="s">
        <v>35</v>
      </c>
    </row>
    <row r="1178" spans="1:23" x14ac:dyDescent="0.3">
      <c r="A1178" s="1" t="str">
        <f t="shared" si="167"/>
        <v>59825</v>
      </c>
      <c r="B1178" s="1" t="s">
        <v>30</v>
      </c>
      <c r="C1178" s="1" t="s">
        <v>31</v>
      </c>
      <c r="D1178" s="1" t="str">
        <f t="shared" si="163"/>
        <v>9801</v>
      </c>
      <c r="E1178" s="1" t="s">
        <v>25</v>
      </c>
      <c r="F1178" s="1" t="str">
        <f>"1745389445"</f>
        <v>1745389445</v>
      </c>
      <c r="G1178" s="1" t="s">
        <v>74</v>
      </c>
      <c r="H1178" s="1" t="str">
        <f t="shared" si="165"/>
        <v>20220917</v>
      </c>
      <c r="I1178" s="1" t="str">
        <f>"092801"</f>
        <v>092801</v>
      </c>
      <c r="J1178" s="1" t="s">
        <v>44</v>
      </c>
      <c r="K1178" s="1" t="s">
        <v>45</v>
      </c>
      <c r="L1178" s="1" t="str">
        <f t="shared" si="166"/>
        <v>20220917</v>
      </c>
      <c r="M1178" s="1" t="str">
        <f>"095506"</f>
        <v>095506</v>
      </c>
      <c r="N1178" s="1" t="s">
        <v>28</v>
      </c>
      <c r="O1178" s="1" t="s">
        <v>28</v>
      </c>
      <c r="P1178" s="1" t="s">
        <v>55</v>
      </c>
      <c r="Q1178" s="1">
        <v>13</v>
      </c>
      <c r="R1178" s="1">
        <v>13</v>
      </c>
      <c r="S1178" s="1">
        <v>0</v>
      </c>
      <c r="T1178" s="1">
        <v>0</v>
      </c>
      <c r="U1178" s="1">
        <v>0</v>
      </c>
      <c r="V1178" s="1" t="str">
        <f t="shared" si="164"/>
        <v>里程返程</v>
      </c>
      <c r="W1178" s="1" t="s">
        <v>35</v>
      </c>
    </row>
    <row r="1179" spans="1:23" x14ac:dyDescent="0.3">
      <c r="A1179" s="1" t="str">
        <f t="shared" si="167"/>
        <v>59825</v>
      </c>
      <c r="B1179" s="1" t="s">
        <v>30</v>
      </c>
      <c r="C1179" s="1" t="s">
        <v>31</v>
      </c>
      <c r="D1179" s="1" t="str">
        <f t="shared" si="163"/>
        <v>9801</v>
      </c>
      <c r="E1179" s="1" t="s">
        <v>25</v>
      </c>
      <c r="F1179" s="1" t="str">
        <f>"F13B475DD08804004325C3F9000E0C0F"</f>
        <v>F13B475DD08804004325C3F9000E0C0F</v>
      </c>
      <c r="G1179" s="1" t="s">
        <v>64</v>
      </c>
      <c r="H1179" s="1" t="str">
        <f t="shared" si="165"/>
        <v>20220917</v>
      </c>
      <c r="I1179" s="1" t="str">
        <f>"095515"</f>
        <v>095515</v>
      </c>
      <c r="J1179" s="1" t="s">
        <v>28</v>
      </c>
      <c r="K1179" s="1" t="s">
        <v>28</v>
      </c>
      <c r="L1179" s="1" t="str">
        <f t="shared" si="166"/>
        <v>20220917</v>
      </c>
      <c r="M1179" s="1" t="str">
        <f>"101714"</f>
        <v>101714</v>
      </c>
      <c r="N1179" s="1" t="s">
        <v>65</v>
      </c>
      <c r="O1179" s="1" t="s">
        <v>52</v>
      </c>
      <c r="P1179" s="1" t="s">
        <v>55</v>
      </c>
      <c r="Q1179" s="1">
        <v>13</v>
      </c>
      <c r="R1179" s="1">
        <v>13</v>
      </c>
      <c r="S1179" s="1">
        <v>0</v>
      </c>
      <c r="T1179" s="1">
        <v>0</v>
      </c>
      <c r="U1179" s="1">
        <v>0</v>
      </c>
      <c r="V1179" s="1" t="str">
        <f t="shared" si="164"/>
        <v>里程返程</v>
      </c>
      <c r="W1179" s="1" t="s">
        <v>29</v>
      </c>
    </row>
    <row r="1180" spans="1:23" x14ac:dyDescent="0.3">
      <c r="A1180" s="1" t="str">
        <f t="shared" si="167"/>
        <v>59825</v>
      </c>
      <c r="B1180" s="1" t="s">
        <v>30</v>
      </c>
      <c r="C1180" s="1" t="s">
        <v>31</v>
      </c>
      <c r="D1180" s="1" t="str">
        <f t="shared" si="163"/>
        <v>9801</v>
      </c>
      <c r="E1180" s="1" t="s">
        <v>25</v>
      </c>
      <c r="F1180" s="1" t="str">
        <f>"92643E18D0880400C819002000000019"</f>
        <v>92643E18D0880400C819002000000019</v>
      </c>
      <c r="G1180" s="1" t="s">
        <v>64</v>
      </c>
      <c r="H1180" s="1" t="str">
        <f t="shared" si="165"/>
        <v>20220917</v>
      </c>
      <c r="I1180" s="1" t="str">
        <f>"095520"</f>
        <v>095520</v>
      </c>
      <c r="J1180" s="1" t="s">
        <v>28</v>
      </c>
      <c r="K1180" s="1" t="s">
        <v>28</v>
      </c>
      <c r="L1180" s="1" t="str">
        <f t="shared" si="166"/>
        <v>20220917</v>
      </c>
      <c r="M1180" s="1" t="str">
        <f>"102348"</f>
        <v>102348</v>
      </c>
      <c r="N1180" s="1" t="s">
        <v>60</v>
      </c>
      <c r="O1180" s="1" t="s">
        <v>52</v>
      </c>
      <c r="P1180" s="1" t="s">
        <v>55</v>
      </c>
      <c r="Q1180" s="1">
        <v>13</v>
      </c>
      <c r="R1180" s="1">
        <v>13</v>
      </c>
      <c r="S1180" s="1">
        <v>0</v>
      </c>
      <c r="T1180" s="1">
        <v>0</v>
      </c>
      <c r="U1180" s="1">
        <v>0</v>
      </c>
      <c r="V1180" s="1" t="str">
        <f t="shared" si="164"/>
        <v>里程返程</v>
      </c>
      <c r="W1180" s="1" t="s">
        <v>29</v>
      </c>
    </row>
    <row r="1181" spans="1:23" x14ac:dyDescent="0.3">
      <c r="A1181" s="1" t="str">
        <f t="shared" si="167"/>
        <v>59825</v>
      </c>
      <c r="B1181" s="1" t="s">
        <v>30</v>
      </c>
      <c r="C1181" s="1" t="s">
        <v>31</v>
      </c>
      <c r="D1181" s="1" t="str">
        <f t="shared" si="163"/>
        <v>9801</v>
      </c>
      <c r="E1181" s="1" t="s">
        <v>25</v>
      </c>
      <c r="F1181" s="1" t="str">
        <f>"8221E70246880400C834002000000015"</f>
        <v>8221E70246880400C834002000000015</v>
      </c>
      <c r="G1181" s="1" t="s">
        <v>74</v>
      </c>
      <c r="H1181" s="1" t="str">
        <f t="shared" si="165"/>
        <v>20220917</v>
      </c>
      <c r="I1181" s="1" t="str">
        <f>"095536"</f>
        <v>095536</v>
      </c>
      <c r="J1181" s="1" t="s">
        <v>28</v>
      </c>
      <c r="K1181" s="1" t="s">
        <v>28</v>
      </c>
      <c r="L1181" s="1" t="str">
        <f t="shared" si="166"/>
        <v>20220917</v>
      </c>
      <c r="M1181" s="1" t="str">
        <f>"102410"</f>
        <v>102410</v>
      </c>
      <c r="N1181" s="1" t="s">
        <v>60</v>
      </c>
      <c r="O1181" s="1" t="s">
        <v>52</v>
      </c>
      <c r="P1181" s="1" t="s">
        <v>68</v>
      </c>
      <c r="Q1181" s="1">
        <v>13</v>
      </c>
      <c r="R1181" s="1">
        <v>0</v>
      </c>
      <c r="S1181" s="1">
        <v>0</v>
      </c>
      <c r="T1181" s="1">
        <v>13</v>
      </c>
      <c r="U1181" s="1">
        <v>0</v>
      </c>
      <c r="V1181" s="1" t="str">
        <f t="shared" si="164"/>
        <v>里程返程</v>
      </c>
      <c r="W1181" s="1" t="s">
        <v>29</v>
      </c>
    </row>
    <row r="1182" spans="1:23" x14ac:dyDescent="0.3">
      <c r="A1182" s="1" t="str">
        <f t="shared" si="167"/>
        <v>59825</v>
      </c>
      <c r="B1182" s="1" t="s">
        <v>30</v>
      </c>
      <c r="C1182" s="1" t="s">
        <v>31</v>
      </c>
      <c r="D1182" s="1" t="str">
        <f t="shared" si="163"/>
        <v>9801</v>
      </c>
      <c r="E1182" s="1" t="s">
        <v>25</v>
      </c>
      <c r="F1182" s="1" t="str">
        <f>"6170065D4A8804004325C3F900040C0F"</f>
        <v>6170065D4A8804004325C3F900040C0F</v>
      </c>
      <c r="G1182" s="1" t="s">
        <v>64</v>
      </c>
      <c r="H1182" s="1" t="str">
        <f t="shared" si="165"/>
        <v>20220917</v>
      </c>
      <c r="I1182" s="1" t="str">
        <f>"095544"</f>
        <v>095544</v>
      </c>
      <c r="J1182" s="1" t="s">
        <v>28</v>
      </c>
      <c r="K1182" s="1" t="s">
        <v>28</v>
      </c>
      <c r="L1182" s="1" t="str">
        <f t="shared" si="166"/>
        <v>20220917</v>
      </c>
      <c r="M1182" s="1" t="str">
        <f>"101135"</f>
        <v>101135</v>
      </c>
      <c r="N1182" s="1" t="s">
        <v>77</v>
      </c>
      <c r="O1182" s="1" t="s">
        <v>52</v>
      </c>
      <c r="P1182" s="1" t="s">
        <v>55</v>
      </c>
      <c r="Q1182" s="1">
        <v>13</v>
      </c>
      <c r="R1182" s="1">
        <v>13</v>
      </c>
      <c r="S1182" s="1">
        <v>0</v>
      </c>
      <c r="T1182" s="1">
        <v>0</v>
      </c>
      <c r="U1182" s="1">
        <v>0</v>
      </c>
      <c r="V1182" s="1" t="str">
        <f t="shared" si="164"/>
        <v>里程返程</v>
      </c>
      <c r="W1182" s="1" t="s">
        <v>29</v>
      </c>
    </row>
    <row r="1183" spans="1:23" x14ac:dyDescent="0.3">
      <c r="A1183" s="1" t="str">
        <f t="shared" si="167"/>
        <v>59825</v>
      </c>
      <c r="B1183" s="1" t="s">
        <v>30</v>
      </c>
      <c r="C1183" s="1" t="s">
        <v>31</v>
      </c>
      <c r="D1183" s="1" t="str">
        <f t="shared" si="163"/>
        <v>9801</v>
      </c>
      <c r="E1183" s="1" t="s">
        <v>25</v>
      </c>
      <c r="F1183" s="1" t="str">
        <f>"C1263F65BD8804004325CC9400040C0F"</f>
        <v>C1263F65BD8804004325CC9400040C0F</v>
      </c>
      <c r="G1183" s="1" t="s">
        <v>64</v>
      </c>
      <c r="H1183" s="1" t="str">
        <f t="shared" si="165"/>
        <v>20220917</v>
      </c>
      <c r="I1183" s="1" t="str">
        <f>"095548"</f>
        <v>095548</v>
      </c>
      <c r="J1183" s="1" t="s">
        <v>28</v>
      </c>
      <c r="K1183" s="1" t="s">
        <v>28</v>
      </c>
      <c r="L1183" s="1" t="str">
        <f t="shared" si="166"/>
        <v>20220917</v>
      </c>
      <c r="M1183" s="1" t="str">
        <f>"101128"</f>
        <v>101128</v>
      </c>
      <c r="N1183" s="1" t="s">
        <v>77</v>
      </c>
      <c r="O1183" s="1" t="s">
        <v>52</v>
      </c>
      <c r="P1183" s="1" t="s">
        <v>55</v>
      </c>
      <c r="Q1183" s="1">
        <v>13</v>
      </c>
      <c r="R1183" s="1">
        <v>13</v>
      </c>
      <c r="S1183" s="1">
        <v>0</v>
      </c>
      <c r="T1183" s="1">
        <v>0</v>
      </c>
      <c r="U1183" s="1">
        <v>0</v>
      </c>
      <c r="V1183" s="1" t="str">
        <f t="shared" si="164"/>
        <v>里程返程</v>
      </c>
      <c r="W1183" s="1" t="s">
        <v>29</v>
      </c>
    </row>
    <row r="1184" spans="1:23" x14ac:dyDescent="0.3">
      <c r="A1184" s="1" t="str">
        <f t="shared" si="167"/>
        <v>59825</v>
      </c>
      <c r="B1184" s="1" t="s">
        <v>30</v>
      </c>
      <c r="C1184" s="1" t="s">
        <v>31</v>
      </c>
      <c r="D1184" s="1" t="str">
        <f t="shared" si="163"/>
        <v>9801</v>
      </c>
      <c r="E1184" s="1" t="s">
        <v>25</v>
      </c>
      <c r="F1184" s="1" t="str">
        <f>"A239F5056B880400C838002000000015"</f>
        <v>A239F5056B880400C838002000000015</v>
      </c>
      <c r="G1184" s="1" t="s">
        <v>26</v>
      </c>
      <c r="H1184" s="1" t="str">
        <f t="shared" si="165"/>
        <v>20220917</v>
      </c>
      <c r="I1184" s="1" t="str">
        <f>"100641"</f>
        <v>100641</v>
      </c>
      <c r="J1184" s="1" t="s">
        <v>67</v>
      </c>
      <c r="K1184" s="1" t="s">
        <v>52</v>
      </c>
      <c r="L1184" s="1" t="str">
        <f t="shared" si="166"/>
        <v>20220917</v>
      </c>
      <c r="M1184" s="1" t="str">
        <f>"102638"</f>
        <v>102638</v>
      </c>
      <c r="N1184" s="1" t="s">
        <v>86</v>
      </c>
      <c r="O1184" s="1" t="s">
        <v>52</v>
      </c>
      <c r="P1184" s="1" t="s">
        <v>68</v>
      </c>
      <c r="Q1184" s="1">
        <v>13</v>
      </c>
      <c r="R1184" s="1">
        <v>0</v>
      </c>
      <c r="S1184" s="1">
        <v>0</v>
      </c>
      <c r="T1184" s="1">
        <v>13</v>
      </c>
      <c r="U1184" s="1">
        <v>0</v>
      </c>
      <c r="V1184" s="1" t="str">
        <f t="shared" si="164"/>
        <v>里程返程</v>
      </c>
      <c r="W1184" s="1" t="s">
        <v>29</v>
      </c>
    </row>
    <row r="1185" spans="1:23" x14ac:dyDescent="0.3">
      <c r="A1185" s="1" t="str">
        <f t="shared" si="167"/>
        <v>59825</v>
      </c>
      <c r="B1185" s="1" t="s">
        <v>30</v>
      </c>
      <c r="C1185" s="1" t="s">
        <v>31</v>
      </c>
      <c r="D1185" s="1" t="str">
        <f t="shared" si="163"/>
        <v>9801</v>
      </c>
      <c r="E1185" s="1" t="s">
        <v>25</v>
      </c>
      <c r="F1185" s="1" t="str">
        <f>"788224705"</f>
        <v>788224705</v>
      </c>
      <c r="G1185" s="1" t="s">
        <v>33</v>
      </c>
      <c r="H1185" s="1" t="str">
        <f t="shared" si="165"/>
        <v>20220917</v>
      </c>
      <c r="I1185" s="1" t="str">
        <f>"103550"</f>
        <v>103550</v>
      </c>
      <c r="J1185" s="1" t="s">
        <v>100</v>
      </c>
      <c r="K1185" s="1" t="s">
        <v>45</v>
      </c>
      <c r="L1185" s="1" t="str">
        <f t="shared" si="166"/>
        <v>20220917</v>
      </c>
      <c r="M1185" s="1" t="str">
        <f>"105346"</f>
        <v>105346</v>
      </c>
      <c r="N1185" s="1" t="s">
        <v>28</v>
      </c>
      <c r="O1185" s="1" t="s">
        <v>28</v>
      </c>
      <c r="P1185" s="1" t="s">
        <v>55</v>
      </c>
      <c r="Q1185" s="1">
        <v>25</v>
      </c>
      <c r="R1185" s="1">
        <v>25</v>
      </c>
      <c r="S1185" s="1">
        <v>0</v>
      </c>
      <c r="T1185" s="1">
        <v>0</v>
      </c>
      <c r="U1185" s="1">
        <v>0</v>
      </c>
      <c r="V1185" s="1" t="str">
        <f t="shared" si="164"/>
        <v>里程返程</v>
      </c>
      <c r="W1185" s="1" t="s">
        <v>35</v>
      </c>
    </row>
    <row r="1186" spans="1:23" x14ac:dyDescent="0.3">
      <c r="A1186" s="1" t="str">
        <f t="shared" si="167"/>
        <v>59825</v>
      </c>
      <c r="B1186" s="1" t="s">
        <v>30</v>
      </c>
      <c r="C1186" s="1" t="s">
        <v>31</v>
      </c>
      <c r="D1186" s="1" t="str">
        <f t="shared" si="163"/>
        <v>9801</v>
      </c>
      <c r="E1186" s="1" t="s">
        <v>25</v>
      </c>
      <c r="F1186" s="1" t="str">
        <f>"E2B89917D4880400C814002000000019"</f>
        <v>E2B89917D4880400C814002000000019</v>
      </c>
      <c r="G1186" s="1" t="s">
        <v>59</v>
      </c>
      <c r="H1186" s="1" t="str">
        <f t="shared" si="165"/>
        <v>20220917</v>
      </c>
      <c r="I1186" s="1" t="str">
        <f>"105353"</f>
        <v>105353</v>
      </c>
      <c r="J1186" s="1" t="s">
        <v>28</v>
      </c>
      <c r="K1186" s="1" t="s">
        <v>28</v>
      </c>
      <c r="L1186" s="1" t="str">
        <f t="shared" si="166"/>
        <v>20220917</v>
      </c>
      <c r="M1186" s="1" t="str">
        <f>"112345"</f>
        <v>112345</v>
      </c>
      <c r="N1186" s="1" t="s">
        <v>52</v>
      </c>
      <c r="O1186" s="1" t="s">
        <v>52</v>
      </c>
      <c r="P1186" s="1" t="s">
        <v>55</v>
      </c>
      <c r="Q1186" s="1">
        <v>25</v>
      </c>
      <c r="R1186" s="1">
        <v>25</v>
      </c>
      <c r="S1186" s="1">
        <v>0</v>
      </c>
      <c r="T1186" s="1">
        <v>0</v>
      </c>
      <c r="U1186" s="1">
        <v>0</v>
      </c>
      <c r="V1186" s="1" t="str">
        <f t="shared" si="164"/>
        <v>里程返程</v>
      </c>
      <c r="W1186" s="1" t="s">
        <v>29</v>
      </c>
    </row>
    <row r="1187" spans="1:23" x14ac:dyDescent="0.3">
      <c r="A1187" s="1" t="str">
        <f t="shared" si="167"/>
        <v>59825</v>
      </c>
      <c r="B1187" s="1" t="s">
        <v>30</v>
      </c>
      <c r="C1187" s="1" t="s">
        <v>31</v>
      </c>
      <c r="D1187" s="1" t="str">
        <f t="shared" si="163"/>
        <v>9801</v>
      </c>
      <c r="E1187" s="1" t="s">
        <v>25</v>
      </c>
      <c r="F1187" s="1" t="str">
        <f>"02B9E6025F880400C834002000000015"</f>
        <v>02B9E6025F880400C834002000000015</v>
      </c>
      <c r="G1187" s="1" t="s">
        <v>74</v>
      </c>
      <c r="H1187" s="1" t="str">
        <f t="shared" si="165"/>
        <v>20220917</v>
      </c>
      <c r="I1187" s="1" t="str">
        <f>"105401"</f>
        <v>105401</v>
      </c>
      <c r="J1187" s="1" t="s">
        <v>28</v>
      </c>
      <c r="K1187" s="1" t="s">
        <v>28</v>
      </c>
      <c r="L1187" s="1" t="str">
        <f t="shared" si="166"/>
        <v>20220917</v>
      </c>
      <c r="M1187" s="1" t="str">
        <f>"112341"</f>
        <v>112341</v>
      </c>
      <c r="N1187" s="1" t="s">
        <v>52</v>
      </c>
      <c r="O1187" s="1" t="s">
        <v>52</v>
      </c>
      <c r="P1187" s="1" t="s">
        <v>68</v>
      </c>
      <c r="Q1187" s="1">
        <v>13</v>
      </c>
      <c r="R1187" s="1">
        <v>0</v>
      </c>
      <c r="S1187" s="1">
        <v>0</v>
      </c>
      <c r="T1187" s="1">
        <v>13</v>
      </c>
      <c r="U1187" s="1">
        <v>0</v>
      </c>
      <c r="V1187" s="1" t="str">
        <f t="shared" si="164"/>
        <v>里程返程</v>
      </c>
      <c r="W1187" s="1" t="s">
        <v>29</v>
      </c>
    </row>
    <row r="1188" spans="1:23" x14ac:dyDescent="0.3">
      <c r="A1188" s="1" t="str">
        <f t="shared" si="167"/>
        <v>59825</v>
      </c>
      <c r="B1188" s="1" t="s">
        <v>30</v>
      </c>
      <c r="C1188" s="1" t="s">
        <v>31</v>
      </c>
      <c r="D1188" s="1" t="str">
        <f t="shared" si="163"/>
        <v>9801</v>
      </c>
      <c r="E1188" s="1" t="s">
        <v>25</v>
      </c>
      <c r="F1188" s="1" t="str">
        <f>"1580264113"</f>
        <v>1580264113</v>
      </c>
      <c r="G1188" s="1" t="s">
        <v>33</v>
      </c>
      <c r="H1188" s="1" t="str">
        <f t="shared" si="165"/>
        <v>20220917</v>
      </c>
      <c r="I1188" s="1" t="str">
        <f>"105455"</f>
        <v>105455</v>
      </c>
      <c r="J1188" s="1" t="s">
        <v>28</v>
      </c>
      <c r="K1188" s="1" t="s">
        <v>28</v>
      </c>
      <c r="L1188" s="1" t="str">
        <f t="shared" si="166"/>
        <v>20220917</v>
      </c>
      <c r="M1188" s="1" t="str">
        <f>"112348"</f>
        <v>112348</v>
      </c>
      <c r="N1188" s="1" t="s">
        <v>52</v>
      </c>
      <c r="O1188" s="1" t="s">
        <v>52</v>
      </c>
      <c r="P1188" s="1" t="s">
        <v>55</v>
      </c>
      <c r="Q1188" s="1">
        <v>25</v>
      </c>
      <c r="R1188" s="1">
        <v>0</v>
      </c>
      <c r="S1188" s="1">
        <v>25</v>
      </c>
      <c r="T1188" s="1">
        <v>0</v>
      </c>
      <c r="U1188" s="1">
        <v>0</v>
      </c>
      <c r="V1188" s="1" t="str">
        <f t="shared" si="164"/>
        <v>里程返程</v>
      </c>
      <c r="W1188" s="1" t="s">
        <v>35</v>
      </c>
    </row>
    <row r="1189" spans="1:23" x14ac:dyDescent="0.3">
      <c r="A1189" s="1" t="str">
        <f t="shared" si="167"/>
        <v>59825</v>
      </c>
      <c r="B1189" s="1" t="s">
        <v>30</v>
      </c>
      <c r="C1189" s="1" t="s">
        <v>31</v>
      </c>
      <c r="D1189" s="1" t="str">
        <f t="shared" si="163"/>
        <v>9801</v>
      </c>
      <c r="E1189" s="1" t="s">
        <v>25</v>
      </c>
      <c r="F1189" s="1" t="str">
        <f>"136278501"</f>
        <v>136278501</v>
      </c>
      <c r="G1189" s="1" t="s">
        <v>33</v>
      </c>
      <c r="H1189" s="1" t="str">
        <f t="shared" si="165"/>
        <v>20220917</v>
      </c>
      <c r="I1189" s="1" t="str">
        <f>"105550"</f>
        <v>105550</v>
      </c>
      <c r="J1189" s="1" t="s">
        <v>28</v>
      </c>
      <c r="K1189" s="1" t="s">
        <v>28</v>
      </c>
      <c r="L1189" s="1" t="str">
        <f t="shared" si="166"/>
        <v>20220917</v>
      </c>
      <c r="M1189" s="1" t="str">
        <f>"112350"</f>
        <v>112350</v>
      </c>
      <c r="N1189" s="1" t="s">
        <v>52</v>
      </c>
      <c r="O1189" s="1" t="s">
        <v>52</v>
      </c>
      <c r="P1189" s="1" t="s">
        <v>55</v>
      </c>
      <c r="Q1189" s="1">
        <v>25</v>
      </c>
      <c r="R1189" s="1">
        <v>0</v>
      </c>
      <c r="S1189" s="1">
        <v>25</v>
      </c>
      <c r="T1189" s="1">
        <v>0</v>
      </c>
      <c r="U1189" s="1">
        <v>0</v>
      </c>
      <c r="V1189" s="1" t="str">
        <f t="shared" si="164"/>
        <v>里程返程</v>
      </c>
      <c r="W1189" s="1" t="s">
        <v>35</v>
      </c>
    </row>
    <row r="1190" spans="1:23" x14ac:dyDescent="0.3">
      <c r="A1190" s="1" t="str">
        <f t="shared" si="167"/>
        <v>59825</v>
      </c>
      <c r="B1190" s="1" t="s">
        <v>30</v>
      </c>
      <c r="C1190" s="1" t="s">
        <v>31</v>
      </c>
      <c r="D1190" s="1" t="str">
        <f t="shared" si="163"/>
        <v>9801</v>
      </c>
      <c r="E1190" s="1" t="s">
        <v>25</v>
      </c>
      <c r="F1190" s="1" t="str">
        <f>"189465861"</f>
        <v>189465861</v>
      </c>
      <c r="G1190" s="1" t="s">
        <v>33</v>
      </c>
      <c r="H1190" s="1" t="str">
        <f t="shared" si="165"/>
        <v>20220917</v>
      </c>
      <c r="I1190" s="1" t="str">
        <f>"105552"</f>
        <v>105552</v>
      </c>
      <c r="J1190" s="1" t="s">
        <v>28</v>
      </c>
      <c r="K1190" s="1" t="s">
        <v>28</v>
      </c>
      <c r="L1190" s="1" t="str">
        <f t="shared" si="166"/>
        <v>20220917</v>
      </c>
      <c r="M1190" s="1" t="str">
        <f>"112353"</f>
        <v>112353</v>
      </c>
      <c r="N1190" s="1" t="s">
        <v>52</v>
      </c>
      <c r="O1190" s="1" t="s">
        <v>52</v>
      </c>
      <c r="P1190" s="1" t="s">
        <v>55</v>
      </c>
      <c r="Q1190" s="1">
        <v>25</v>
      </c>
      <c r="R1190" s="1">
        <v>0</v>
      </c>
      <c r="S1190" s="1">
        <v>25</v>
      </c>
      <c r="T1190" s="1">
        <v>0</v>
      </c>
      <c r="U1190" s="1">
        <v>0</v>
      </c>
      <c r="V1190" s="1" t="str">
        <f t="shared" si="164"/>
        <v>里程返程</v>
      </c>
      <c r="W1190" s="1" t="s">
        <v>35</v>
      </c>
    </row>
    <row r="1191" spans="1:23" x14ac:dyDescent="0.3">
      <c r="A1191" s="1" t="str">
        <f t="shared" si="167"/>
        <v>59825</v>
      </c>
      <c r="B1191" s="1" t="s">
        <v>30</v>
      </c>
      <c r="C1191" s="1" t="s">
        <v>31</v>
      </c>
      <c r="D1191" s="1" t="str">
        <f t="shared" si="163"/>
        <v>9801</v>
      </c>
      <c r="E1191" s="1" t="s">
        <v>25</v>
      </c>
      <c r="F1191" s="1" t="str">
        <f>"92643E18D0880400C819002000000019"</f>
        <v>92643E18D0880400C819002000000019</v>
      </c>
      <c r="G1191" s="1" t="s">
        <v>64</v>
      </c>
      <c r="H1191" s="1" t="str">
        <f t="shared" si="165"/>
        <v>20220917</v>
      </c>
      <c r="I1191" s="1" t="str">
        <f>"112421"</f>
        <v>112421</v>
      </c>
      <c r="J1191" s="1" t="s">
        <v>44</v>
      </c>
      <c r="K1191" s="1" t="s">
        <v>45</v>
      </c>
      <c r="L1191" s="1" t="str">
        <f t="shared" si="166"/>
        <v>20220917</v>
      </c>
      <c r="M1191" s="1" t="str">
        <f>"115323"</f>
        <v>115323</v>
      </c>
      <c r="N1191" s="1" t="s">
        <v>28</v>
      </c>
      <c r="O1191" s="1" t="s">
        <v>28</v>
      </c>
      <c r="P1191" s="1" t="s">
        <v>55</v>
      </c>
      <c r="Q1191" s="1">
        <v>13</v>
      </c>
      <c r="R1191" s="1">
        <v>13</v>
      </c>
      <c r="S1191" s="1">
        <v>0</v>
      </c>
      <c r="T1191" s="1">
        <v>0</v>
      </c>
      <c r="U1191" s="1">
        <v>0</v>
      </c>
      <c r="V1191" s="1" t="str">
        <f t="shared" si="164"/>
        <v>里程返程</v>
      </c>
      <c r="W1191" s="1" t="s">
        <v>29</v>
      </c>
    </row>
    <row r="1192" spans="1:23" x14ac:dyDescent="0.3">
      <c r="A1192" s="1" t="str">
        <f t="shared" si="167"/>
        <v>59825</v>
      </c>
      <c r="B1192" s="1" t="s">
        <v>30</v>
      </c>
      <c r="C1192" s="1" t="s">
        <v>31</v>
      </c>
      <c r="D1192" s="1" t="str">
        <f t="shared" si="163"/>
        <v>9801</v>
      </c>
      <c r="E1192" s="1" t="s">
        <v>25</v>
      </c>
      <c r="F1192" s="1" t="str">
        <f>"32780D0344880400C834002000000015"</f>
        <v>32780D0344880400C834002000000015</v>
      </c>
      <c r="G1192" s="1" t="s">
        <v>26</v>
      </c>
      <c r="H1192" s="1" t="str">
        <f t="shared" si="165"/>
        <v>20220917</v>
      </c>
      <c r="I1192" s="1" t="str">
        <f>"112916"</f>
        <v>112916</v>
      </c>
      <c r="J1192" s="1" t="s">
        <v>44</v>
      </c>
      <c r="K1192" s="1" t="s">
        <v>45</v>
      </c>
      <c r="L1192" s="1" t="str">
        <f t="shared" si="166"/>
        <v>20220917</v>
      </c>
      <c r="M1192" s="1" t="str">
        <f>"115104"</f>
        <v>115104</v>
      </c>
      <c r="N1192" s="1" t="s">
        <v>95</v>
      </c>
      <c r="O1192" s="1" t="s">
        <v>28</v>
      </c>
      <c r="P1192" s="1" t="s">
        <v>68</v>
      </c>
      <c r="Q1192" s="1">
        <v>13</v>
      </c>
      <c r="R1192" s="1">
        <v>0</v>
      </c>
      <c r="S1192" s="1">
        <v>0</v>
      </c>
      <c r="T1192" s="1">
        <v>13</v>
      </c>
      <c r="U1192" s="1">
        <v>0</v>
      </c>
      <c r="V1192" s="1" t="str">
        <f t="shared" si="164"/>
        <v>里程返程</v>
      </c>
      <c r="W1192" s="1" t="s">
        <v>29</v>
      </c>
    </row>
    <row r="1193" spans="1:23" x14ac:dyDescent="0.3">
      <c r="A1193" s="1" t="str">
        <f t="shared" si="167"/>
        <v>59825</v>
      </c>
      <c r="B1193" s="1" t="s">
        <v>30</v>
      </c>
      <c r="C1193" s="1" t="s">
        <v>31</v>
      </c>
      <c r="D1193" s="1" t="str">
        <f t="shared" si="163"/>
        <v>9801</v>
      </c>
      <c r="E1193" s="1" t="s">
        <v>25</v>
      </c>
      <c r="F1193" s="1" t="str">
        <f>"278233073"</f>
        <v>278233073</v>
      </c>
      <c r="G1193" s="1" t="s">
        <v>33</v>
      </c>
      <c r="H1193" s="1" t="str">
        <f t="shared" si="165"/>
        <v>20220917</v>
      </c>
      <c r="I1193" s="1" t="str">
        <f>"113915"</f>
        <v>113915</v>
      </c>
      <c r="J1193" s="1" t="s">
        <v>75</v>
      </c>
      <c r="K1193" s="1" t="s">
        <v>45</v>
      </c>
      <c r="L1193" s="1" t="str">
        <f t="shared" si="166"/>
        <v>20220917</v>
      </c>
      <c r="M1193" s="1" t="str">
        <f>"115327"</f>
        <v>115327</v>
      </c>
      <c r="N1193" s="1" t="s">
        <v>28</v>
      </c>
      <c r="O1193" s="1" t="s">
        <v>28</v>
      </c>
      <c r="P1193" s="1" t="s">
        <v>55</v>
      </c>
      <c r="Q1193" s="1">
        <v>25</v>
      </c>
      <c r="R1193" s="1">
        <v>25</v>
      </c>
      <c r="S1193" s="1">
        <v>0</v>
      </c>
      <c r="T1193" s="1">
        <v>0</v>
      </c>
      <c r="U1193" s="1">
        <v>0</v>
      </c>
      <c r="V1193" s="1" t="str">
        <f t="shared" si="164"/>
        <v>里程返程</v>
      </c>
      <c r="W1193" s="1" t="s">
        <v>35</v>
      </c>
    </row>
    <row r="1194" spans="1:23" x14ac:dyDescent="0.3">
      <c r="A1194" s="1" t="str">
        <f t="shared" si="167"/>
        <v>59825</v>
      </c>
      <c r="B1194" s="1" t="s">
        <v>30</v>
      </c>
      <c r="C1194" s="1" t="s">
        <v>31</v>
      </c>
      <c r="D1194" s="1" t="str">
        <f t="shared" si="163"/>
        <v>9801</v>
      </c>
      <c r="E1194" s="1" t="s">
        <v>25</v>
      </c>
      <c r="F1194" s="1" t="str">
        <f>"81DCC741DB280400F700000000000000"</f>
        <v>81DCC741DB280400F700000000000000</v>
      </c>
      <c r="G1194" s="1" t="s">
        <v>58</v>
      </c>
      <c r="H1194" s="1" t="str">
        <f t="shared" si="165"/>
        <v>20220917</v>
      </c>
      <c r="I1194" s="1" t="str">
        <f>"113924"</f>
        <v>113924</v>
      </c>
      <c r="J1194" s="1" t="s">
        <v>75</v>
      </c>
      <c r="K1194" s="1" t="s">
        <v>45</v>
      </c>
      <c r="L1194" s="1" t="str">
        <f t="shared" si="166"/>
        <v>20220917</v>
      </c>
      <c r="M1194" s="1" t="str">
        <f>"115315"</f>
        <v>115315</v>
      </c>
      <c r="N1194" s="1" t="s">
        <v>28</v>
      </c>
      <c r="O1194" s="1" t="s">
        <v>28</v>
      </c>
      <c r="P1194" s="1" t="s">
        <v>55</v>
      </c>
      <c r="Q1194" s="1">
        <v>25</v>
      </c>
      <c r="R1194" s="1">
        <v>25</v>
      </c>
      <c r="S1194" s="1">
        <v>0</v>
      </c>
      <c r="T1194" s="1">
        <v>0</v>
      </c>
      <c r="U1194" s="1">
        <v>0</v>
      </c>
      <c r="V1194" s="1" t="str">
        <f t="shared" si="164"/>
        <v>里程返程</v>
      </c>
      <c r="W1194" s="1" t="s">
        <v>29</v>
      </c>
    </row>
    <row r="1195" spans="1:23" x14ac:dyDescent="0.3">
      <c r="A1195" s="1" t="str">
        <f t="shared" si="167"/>
        <v>59825</v>
      </c>
      <c r="B1195" s="1" t="s">
        <v>30</v>
      </c>
      <c r="C1195" s="1" t="s">
        <v>31</v>
      </c>
      <c r="D1195" s="1" t="str">
        <f t="shared" si="163"/>
        <v>9801</v>
      </c>
      <c r="E1195" s="1" t="s">
        <v>25</v>
      </c>
      <c r="F1195" s="1" t="str">
        <f>"832216785"</f>
        <v>832216785</v>
      </c>
      <c r="G1195" s="1" t="s">
        <v>33</v>
      </c>
      <c r="H1195" s="1" t="str">
        <f t="shared" si="165"/>
        <v>20220917</v>
      </c>
      <c r="I1195" s="1" t="str">
        <f>"115349"</f>
        <v>115349</v>
      </c>
      <c r="J1195" s="1" t="s">
        <v>28</v>
      </c>
      <c r="K1195" s="1" t="s">
        <v>28</v>
      </c>
      <c r="L1195" s="1" t="str">
        <f t="shared" si="166"/>
        <v>20220917</v>
      </c>
      <c r="M1195" s="1" t="str">
        <f>"123009"</f>
        <v>123009</v>
      </c>
      <c r="N1195" s="1" t="s">
        <v>52</v>
      </c>
      <c r="O1195" s="1" t="s">
        <v>52</v>
      </c>
      <c r="P1195" s="1" t="s">
        <v>55</v>
      </c>
      <c r="Q1195" s="1">
        <v>25</v>
      </c>
      <c r="R1195" s="1">
        <v>25</v>
      </c>
      <c r="S1195" s="1">
        <v>0</v>
      </c>
      <c r="T1195" s="1">
        <v>0</v>
      </c>
      <c r="U1195" s="1">
        <v>0</v>
      </c>
      <c r="V1195" s="1" t="str">
        <f t="shared" si="164"/>
        <v>里程返程</v>
      </c>
      <c r="W1195" s="1" t="s">
        <v>35</v>
      </c>
    </row>
    <row r="1196" spans="1:23" x14ac:dyDescent="0.3">
      <c r="A1196" s="1" t="str">
        <f t="shared" si="167"/>
        <v>59825</v>
      </c>
      <c r="B1196" s="1" t="s">
        <v>30</v>
      </c>
      <c r="C1196" s="1" t="s">
        <v>31</v>
      </c>
      <c r="D1196" s="1" t="str">
        <f t="shared" si="163"/>
        <v>9801</v>
      </c>
      <c r="E1196" s="1" t="s">
        <v>25</v>
      </c>
      <c r="F1196" s="1" t="str">
        <f>"692808005"</f>
        <v>692808005</v>
      </c>
      <c r="G1196" s="1" t="s">
        <v>33</v>
      </c>
      <c r="H1196" s="1" t="str">
        <f t="shared" si="165"/>
        <v>20220917</v>
      </c>
      <c r="I1196" s="1" t="str">
        <f>"115353"</f>
        <v>115353</v>
      </c>
      <c r="J1196" s="1" t="s">
        <v>28</v>
      </c>
      <c r="K1196" s="1" t="s">
        <v>28</v>
      </c>
      <c r="L1196" s="1" t="str">
        <f t="shared" si="166"/>
        <v>20220917</v>
      </c>
      <c r="M1196" s="1" t="str">
        <f>"122946"</f>
        <v>122946</v>
      </c>
      <c r="N1196" s="1" t="s">
        <v>52</v>
      </c>
      <c r="O1196" s="1" t="s">
        <v>52</v>
      </c>
      <c r="P1196" s="1" t="s">
        <v>55</v>
      </c>
      <c r="Q1196" s="1">
        <v>25</v>
      </c>
      <c r="R1196" s="1">
        <v>25</v>
      </c>
      <c r="S1196" s="1">
        <v>0</v>
      </c>
      <c r="T1196" s="1">
        <v>0</v>
      </c>
      <c r="U1196" s="1">
        <v>0</v>
      </c>
      <c r="V1196" s="1" t="str">
        <f t="shared" si="164"/>
        <v>里程返程</v>
      </c>
      <c r="W1196" s="1" t="s">
        <v>35</v>
      </c>
    </row>
    <row r="1197" spans="1:23" x14ac:dyDescent="0.3">
      <c r="A1197" s="1" t="str">
        <f t="shared" si="167"/>
        <v>59825</v>
      </c>
      <c r="B1197" s="1" t="s">
        <v>30</v>
      </c>
      <c r="C1197" s="1" t="s">
        <v>31</v>
      </c>
      <c r="D1197" s="1" t="str">
        <f t="shared" si="163"/>
        <v>9801</v>
      </c>
      <c r="E1197" s="1" t="s">
        <v>25</v>
      </c>
      <c r="F1197" s="1" t="str">
        <f>"E1EFC1408F280400F700000000000000"</f>
        <v>E1EFC1408F280400F700000000000000</v>
      </c>
      <c r="G1197" s="1" t="s">
        <v>58</v>
      </c>
      <c r="H1197" s="1" t="str">
        <f t="shared" si="165"/>
        <v>20220917</v>
      </c>
      <c r="I1197" s="1" t="str">
        <f>"115359"</f>
        <v>115359</v>
      </c>
      <c r="J1197" s="1" t="s">
        <v>28</v>
      </c>
      <c r="K1197" s="1" t="s">
        <v>28</v>
      </c>
      <c r="L1197" s="1" t="str">
        <f t="shared" si="166"/>
        <v>20220917</v>
      </c>
      <c r="M1197" s="1" t="str">
        <f>"120400"</f>
        <v>120400</v>
      </c>
      <c r="N1197" s="1" t="s">
        <v>83</v>
      </c>
      <c r="O1197" s="1" t="s">
        <v>52</v>
      </c>
      <c r="P1197" s="1" t="s">
        <v>55</v>
      </c>
      <c r="Q1197" s="1">
        <v>25</v>
      </c>
      <c r="R1197" s="1">
        <v>25</v>
      </c>
      <c r="S1197" s="1">
        <v>0</v>
      </c>
      <c r="T1197" s="1">
        <v>0</v>
      </c>
      <c r="U1197" s="1">
        <v>0</v>
      </c>
      <c r="V1197" s="1" t="str">
        <f t="shared" si="164"/>
        <v>里程返程</v>
      </c>
      <c r="W1197" s="1" t="s">
        <v>29</v>
      </c>
    </row>
    <row r="1198" spans="1:23" x14ac:dyDescent="0.3">
      <c r="A1198" s="1" t="str">
        <f t="shared" si="167"/>
        <v>59825</v>
      </c>
      <c r="B1198" s="1" t="s">
        <v>30</v>
      </c>
      <c r="C1198" s="1" t="s">
        <v>31</v>
      </c>
      <c r="D1198" s="1" t="str">
        <f t="shared" si="163"/>
        <v>9801</v>
      </c>
      <c r="E1198" s="1" t="s">
        <v>25</v>
      </c>
      <c r="F1198" s="1" t="str">
        <f>"219525765"</f>
        <v>219525765</v>
      </c>
      <c r="G1198" s="1" t="s">
        <v>33</v>
      </c>
      <c r="H1198" s="1" t="str">
        <f t="shared" si="165"/>
        <v>20220917</v>
      </c>
      <c r="I1198" s="1" t="str">
        <f>"115403"</f>
        <v>115403</v>
      </c>
      <c r="J1198" s="1" t="s">
        <v>28</v>
      </c>
      <c r="K1198" s="1" t="s">
        <v>28</v>
      </c>
      <c r="L1198" s="1" t="str">
        <f t="shared" si="166"/>
        <v>20220917</v>
      </c>
      <c r="M1198" s="1" t="str">
        <f>"123003"</f>
        <v>123003</v>
      </c>
      <c r="N1198" s="1" t="s">
        <v>52</v>
      </c>
      <c r="O1198" s="1" t="s">
        <v>52</v>
      </c>
      <c r="P1198" s="1" t="s">
        <v>55</v>
      </c>
      <c r="Q1198" s="1">
        <v>25</v>
      </c>
      <c r="R1198" s="1">
        <v>25</v>
      </c>
      <c r="S1198" s="1">
        <v>0</v>
      </c>
      <c r="T1198" s="1">
        <v>0</v>
      </c>
      <c r="U1198" s="1">
        <v>0</v>
      </c>
      <c r="V1198" s="1" t="str">
        <f t="shared" si="164"/>
        <v>里程返程</v>
      </c>
      <c r="W1198" s="1" t="s">
        <v>35</v>
      </c>
    </row>
    <row r="1199" spans="1:23" x14ac:dyDescent="0.3">
      <c r="A1199" s="1" t="str">
        <f t="shared" si="167"/>
        <v>59825</v>
      </c>
      <c r="B1199" s="1" t="s">
        <v>30</v>
      </c>
      <c r="C1199" s="1" t="s">
        <v>31</v>
      </c>
      <c r="D1199" s="1" t="str">
        <f t="shared" si="163"/>
        <v>9801</v>
      </c>
      <c r="E1199" s="1" t="s">
        <v>25</v>
      </c>
      <c r="F1199" s="1" t="str">
        <f>"599725265"</f>
        <v>599725265</v>
      </c>
      <c r="G1199" s="1" t="s">
        <v>33</v>
      </c>
      <c r="H1199" s="1" t="str">
        <f t="shared" si="165"/>
        <v>20220917</v>
      </c>
      <c r="I1199" s="1" t="str">
        <f>"115406"</f>
        <v>115406</v>
      </c>
      <c r="J1199" s="1" t="s">
        <v>28</v>
      </c>
      <c r="K1199" s="1" t="s">
        <v>28</v>
      </c>
      <c r="L1199" s="1" t="str">
        <f t="shared" si="166"/>
        <v>20220917</v>
      </c>
      <c r="M1199" s="1" t="str">
        <f>"122958"</f>
        <v>122958</v>
      </c>
      <c r="N1199" s="1" t="s">
        <v>52</v>
      </c>
      <c r="O1199" s="1" t="s">
        <v>52</v>
      </c>
      <c r="P1199" s="1" t="s">
        <v>55</v>
      </c>
      <c r="Q1199" s="1">
        <v>25</v>
      </c>
      <c r="R1199" s="1">
        <v>25</v>
      </c>
      <c r="S1199" s="1">
        <v>0</v>
      </c>
      <c r="T1199" s="1">
        <v>0</v>
      </c>
      <c r="U1199" s="1">
        <v>0</v>
      </c>
      <c r="V1199" s="1" t="str">
        <f t="shared" si="164"/>
        <v>里程返程</v>
      </c>
      <c r="W1199" s="1" t="s">
        <v>35</v>
      </c>
    </row>
    <row r="1200" spans="1:23" x14ac:dyDescent="0.3">
      <c r="A1200" s="1" t="str">
        <f t="shared" si="167"/>
        <v>59825</v>
      </c>
      <c r="B1200" s="1" t="s">
        <v>30</v>
      </c>
      <c r="C1200" s="1" t="s">
        <v>31</v>
      </c>
      <c r="D1200" s="1" t="str">
        <f t="shared" si="163"/>
        <v>9801</v>
      </c>
      <c r="E1200" s="1" t="s">
        <v>25</v>
      </c>
      <c r="F1200" s="1" t="str">
        <f>"E2AB7C1A2F880400C816002000000021"</f>
        <v>E2AB7C1A2F880400C816002000000021</v>
      </c>
      <c r="G1200" s="1" t="s">
        <v>64</v>
      </c>
      <c r="H1200" s="1" t="str">
        <f t="shared" si="165"/>
        <v>20220917</v>
      </c>
      <c r="I1200" s="1" t="str">
        <f>"115446"</f>
        <v>115446</v>
      </c>
      <c r="J1200" s="1" t="s">
        <v>28</v>
      </c>
      <c r="K1200" s="1" t="s">
        <v>28</v>
      </c>
      <c r="L1200" s="1" t="str">
        <f t="shared" si="166"/>
        <v>20220917</v>
      </c>
      <c r="M1200" s="1" t="str">
        <f>"122949"</f>
        <v>122949</v>
      </c>
      <c r="N1200" s="1" t="s">
        <v>52</v>
      </c>
      <c r="O1200" s="1" t="s">
        <v>52</v>
      </c>
      <c r="P1200" s="1" t="s">
        <v>55</v>
      </c>
      <c r="Q1200" s="1">
        <v>13</v>
      </c>
      <c r="R1200" s="1">
        <v>13</v>
      </c>
      <c r="S1200" s="1">
        <v>0</v>
      </c>
      <c r="T1200" s="1">
        <v>0</v>
      </c>
      <c r="U1200" s="1">
        <v>0</v>
      </c>
      <c r="V1200" s="1" t="str">
        <f t="shared" si="164"/>
        <v>里程返程</v>
      </c>
      <c r="W1200" s="1" t="s">
        <v>29</v>
      </c>
    </row>
    <row r="1201" spans="1:23" x14ac:dyDescent="0.3">
      <c r="A1201" s="1" t="str">
        <f t="shared" si="167"/>
        <v>59825</v>
      </c>
      <c r="B1201" s="1" t="s">
        <v>30</v>
      </c>
      <c r="C1201" s="1" t="s">
        <v>31</v>
      </c>
      <c r="D1201" s="1" t="str">
        <f t="shared" si="163"/>
        <v>9801</v>
      </c>
      <c r="E1201" s="1" t="s">
        <v>25</v>
      </c>
      <c r="F1201" s="1" t="str">
        <f>"837396997"</f>
        <v>837396997</v>
      </c>
      <c r="G1201" s="1" t="s">
        <v>33</v>
      </c>
      <c r="H1201" s="1" t="str">
        <f t="shared" si="165"/>
        <v>20220917</v>
      </c>
      <c r="I1201" s="1" t="str">
        <f>"115448"</f>
        <v>115448</v>
      </c>
      <c r="J1201" s="1" t="s">
        <v>28</v>
      </c>
      <c r="K1201" s="1" t="s">
        <v>28</v>
      </c>
      <c r="L1201" s="1" t="str">
        <f t="shared" si="166"/>
        <v>20220917</v>
      </c>
      <c r="M1201" s="1" t="str">
        <f>"122953"</f>
        <v>122953</v>
      </c>
      <c r="N1201" s="1" t="s">
        <v>52</v>
      </c>
      <c r="O1201" s="1" t="s">
        <v>52</v>
      </c>
      <c r="P1201" s="1" t="s">
        <v>55</v>
      </c>
      <c r="Q1201" s="1">
        <v>25</v>
      </c>
      <c r="R1201" s="1">
        <v>25</v>
      </c>
      <c r="S1201" s="1">
        <v>0</v>
      </c>
      <c r="T1201" s="1">
        <v>0</v>
      </c>
      <c r="U1201" s="1">
        <v>0</v>
      </c>
      <c r="V1201" s="1" t="str">
        <f t="shared" si="164"/>
        <v>里程返程</v>
      </c>
      <c r="W1201" s="1" t="s">
        <v>35</v>
      </c>
    </row>
    <row r="1202" spans="1:23" x14ac:dyDescent="0.3">
      <c r="A1202" s="1" t="str">
        <f t="shared" si="167"/>
        <v>59825</v>
      </c>
      <c r="B1202" s="1" t="s">
        <v>30</v>
      </c>
      <c r="C1202" s="1" t="s">
        <v>31</v>
      </c>
      <c r="D1202" s="1" t="str">
        <f t="shared" si="163"/>
        <v>9801</v>
      </c>
      <c r="E1202" s="1" t="s">
        <v>25</v>
      </c>
      <c r="F1202" s="1" t="str">
        <f>"6207DB1AA4880400C816002000000021"</f>
        <v>6207DB1AA4880400C816002000000021</v>
      </c>
      <c r="G1202" s="1" t="s">
        <v>58</v>
      </c>
      <c r="H1202" s="1" t="str">
        <f t="shared" si="165"/>
        <v>20220917</v>
      </c>
      <c r="I1202" s="1" t="str">
        <f>"115807"</f>
        <v>115807</v>
      </c>
      <c r="J1202" s="1" t="s">
        <v>41</v>
      </c>
      <c r="K1202" s="1" t="s">
        <v>28</v>
      </c>
      <c r="L1202" s="1" t="str">
        <f t="shared" si="166"/>
        <v>20220917</v>
      </c>
      <c r="M1202" s="1" t="str">
        <f>"122934"</f>
        <v>122934</v>
      </c>
      <c r="N1202" s="1" t="s">
        <v>52</v>
      </c>
      <c r="O1202" s="1" t="s">
        <v>52</v>
      </c>
      <c r="P1202" s="1" t="s">
        <v>55</v>
      </c>
      <c r="Q1202" s="1">
        <v>25</v>
      </c>
      <c r="R1202" s="1">
        <v>25</v>
      </c>
      <c r="S1202" s="1">
        <v>0</v>
      </c>
      <c r="T1202" s="1">
        <v>0</v>
      </c>
      <c r="U1202" s="1">
        <v>0</v>
      </c>
      <c r="V1202" s="1" t="str">
        <f t="shared" si="164"/>
        <v>里程返程</v>
      </c>
      <c r="W1202" s="1" t="s">
        <v>29</v>
      </c>
    </row>
    <row r="1203" spans="1:23" x14ac:dyDescent="0.3">
      <c r="A1203" s="1" t="str">
        <f t="shared" si="167"/>
        <v>59825</v>
      </c>
      <c r="B1203" s="1" t="s">
        <v>30</v>
      </c>
      <c r="C1203" s="1" t="s">
        <v>31</v>
      </c>
      <c r="D1203" s="1" t="str">
        <f t="shared" si="163"/>
        <v>9801</v>
      </c>
      <c r="E1203" s="1" t="s">
        <v>25</v>
      </c>
      <c r="F1203" s="1" t="str">
        <f>"385207976"</f>
        <v>385207976</v>
      </c>
      <c r="G1203" s="1" t="s">
        <v>33</v>
      </c>
      <c r="H1203" s="1" t="str">
        <f t="shared" ref="H1203:H1214" si="168">"20220917"</f>
        <v>20220917</v>
      </c>
      <c r="I1203" s="1" t="str">
        <f>"115833"</f>
        <v>115833</v>
      </c>
      <c r="J1203" s="1" t="s">
        <v>41</v>
      </c>
      <c r="K1203" s="1" t="s">
        <v>28</v>
      </c>
      <c r="L1203" s="1" t="str">
        <f t="shared" ref="L1203:L1214" si="169">"20220917"</f>
        <v>20220917</v>
      </c>
      <c r="M1203" s="1" t="str">
        <f>"122941"</f>
        <v>122941</v>
      </c>
      <c r="N1203" s="1" t="s">
        <v>52</v>
      </c>
      <c r="O1203" s="1" t="s">
        <v>52</v>
      </c>
      <c r="P1203" s="1" t="s">
        <v>55</v>
      </c>
      <c r="Q1203" s="1">
        <v>25</v>
      </c>
      <c r="R1203" s="1">
        <v>25</v>
      </c>
      <c r="S1203" s="1">
        <v>0</v>
      </c>
      <c r="T1203" s="1">
        <v>0</v>
      </c>
      <c r="U1203" s="1">
        <v>0</v>
      </c>
      <c r="V1203" s="1" t="str">
        <f t="shared" si="164"/>
        <v>里程返程</v>
      </c>
      <c r="W1203" s="1" t="s">
        <v>35</v>
      </c>
    </row>
    <row r="1204" spans="1:23" x14ac:dyDescent="0.3">
      <c r="A1204" s="1" t="str">
        <f t="shared" si="167"/>
        <v>59825</v>
      </c>
      <c r="B1204" s="1" t="s">
        <v>30</v>
      </c>
      <c r="C1204" s="1" t="s">
        <v>31</v>
      </c>
      <c r="D1204" s="1" t="str">
        <f t="shared" si="163"/>
        <v>9801</v>
      </c>
      <c r="E1204" s="1" t="s">
        <v>25</v>
      </c>
      <c r="F1204" s="1" t="str">
        <f>"A1F7042F7D88040043288DA200010912"</f>
        <v>A1F7042F7D88040043288DA200010912</v>
      </c>
      <c r="G1204" s="1" t="s">
        <v>82</v>
      </c>
      <c r="H1204" s="1" t="str">
        <f t="shared" si="168"/>
        <v>20220917</v>
      </c>
      <c r="I1204" s="1" t="str">
        <f>"185918"</f>
        <v>185918</v>
      </c>
      <c r="J1204" s="1" t="s">
        <v>44</v>
      </c>
      <c r="K1204" s="1" t="s">
        <v>45</v>
      </c>
      <c r="L1204" s="1" t="str">
        <f t="shared" si="169"/>
        <v>20220917</v>
      </c>
      <c r="M1204" s="1" t="str">
        <f>"192828"</f>
        <v>192828</v>
      </c>
      <c r="N1204" s="1" t="s">
        <v>28</v>
      </c>
      <c r="O1204" s="1" t="s">
        <v>28</v>
      </c>
      <c r="P1204" s="1" t="s">
        <v>55</v>
      </c>
      <c r="Q1204" s="1">
        <v>13</v>
      </c>
      <c r="R1204" s="1">
        <v>0</v>
      </c>
      <c r="S1204" s="1">
        <v>13</v>
      </c>
      <c r="T1204" s="1">
        <v>0</v>
      </c>
      <c r="U1204" s="1">
        <v>0</v>
      </c>
      <c r="V1204" s="1" t="str">
        <f t="shared" si="164"/>
        <v>里程返程</v>
      </c>
      <c r="W1204" s="1" t="s">
        <v>29</v>
      </c>
    </row>
    <row r="1205" spans="1:23" x14ac:dyDescent="0.3">
      <c r="A1205" s="1" t="str">
        <f t="shared" si="167"/>
        <v>59825</v>
      </c>
      <c r="B1205" s="1" t="s">
        <v>30</v>
      </c>
      <c r="C1205" s="1" t="s">
        <v>31</v>
      </c>
      <c r="D1205" s="1" t="str">
        <f t="shared" si="163"/>
        <v>9801</v>
      </c>
      <c r="E1205" s="1" t="s">
        <v>25</v>
      </c>
      <c r="F1205" s="1" t="str">
        <f>"82314219E8880400C821002000000019"</f>
        <v>82314219E8880400C821002000000019</v>
      </c>
      <c r="G1205" s="1" t="s">
        <v>64</v>
      </c>
      <c r="H1205" s="1" t="str">
        <f t="shared" si="168"/>
        <v>20220917</v>
      </c>
      <c r="I1205" s="1" t="str">
        <f>"185920"</f>
        <v>185920</v>
      </c>
      <c r="J1205" s="1" t="s">
        <v>44</v>
      </c>
      <c r="K1205" s="1" t="s">
        <v>45</v>
      </c>
      <c r="L1205" s="1" t="str">
        <f t="shared" si="169"/>
        <v>20220917</v>
      </c>
      <c r="M1205" s="1" t="str">
        <f>"192830"</f>
        <v>192830</v>
      </c>
      <c r="N1205" s="1" t="s">
        <v>28</v>
      </c>
      <c r="O1205" s="1" t="s">
        <v>28</v>
      </c>
      <c r="P1205" s="1" t="s">
        <v>55</v>
      </c>
      <c r="Q1205" s="1">
        <v>13</v>
      </c>
      <c r="R1205" s="1">
        <v>0</v>
      </c>
      <c r="S1205" s="1">
        <v>13</v>
      </c>
      <c r="T1205" s="1">
        <v>0</v>
      </c>
      <c r="U1205" s="1">
        <v>0</v>
      </c>
      <c r="V1205" s="1" t="str">
        <f t="shared" si="164"/>
        <v>里程返程</v>
      </c>
      <c r="W1205" s="1" t="s">
        <v>29</v>
      </c>
    </row>
    <row r="1206" spans="1:23" x14ac:dyDescent="0.3">
      <c r="A1206" s="1" t="str">
        <f t="shared" ref="A1206:A1214" si="170">"59828"</f>
        <v>59828</v>
      </c>
      <c r="B1206" s="1" t="s">
        <v>23</v>
      </c>
      <c r="C1206" s="1" t="s">
        <v>24</v>
      </c>
      <c r="D1206" s="1" t="str">
        <f t="shared" si="163"/>
        <v>9801</v>
      </c>
      <c r="E1206" s="1" t="s">
        <v>25</v>
      </c>
      <c r="F1206" s="1" t="str">
        <f>"985167637"</f>
        <v>985167637</v>
      </c>
      <c r="G1206" s="1" t="s">
        <v>33</v>
      </c>
      <c r="H1206" s="1" t="str">
        <f t="shared" si="168"/>
        <v>20220917</v>
      </c>
      <c r="I1206" s="1" t="str">
        <f>"172647"</f>
        <v>172647</v>
      </c>
      <c r="J1206" s="1" t="s">
        <v>44</v>
      </c>
      <c r="K1206" s="1" t="s">
        <v>45</v>
      </c>
      <c r="L1206" s="1" t="str">
        <f t="shared" si="169"/>
        <v>20220917</v>
      </c>
      <c r="M1206" s="1" t="str">
        <f>"173348"</f>
        <v>173348</v>
      </c>
      <c r="N1206" s="1" t="s">
        <v>100</v>
      </c>
      <c r="O1206" s="1" t="s">
        <v>45</v>
      </c>
      <c r="P1206" s="1" t="s">
        <v>55</v>
      </c>
      <c r="Q1206" s="1">
        <v>25</v>
      </c>
      <c r="R1206" s="1">
        <v>25</v>
      </c>
      <c r="S1206" s="1">
        <v>0</v>
      </c>
      <c r="T1206" s="1">
        <v>0</v>
      </c>
      <c r="U1206" s="1">
        <v>0</v>
      </c>
      <c r="V1206" s="1" t="str">
        <f t="shared" si="164"/>
        <v>里程返程</v>
      </c>
      <c r="W1206" s="1" t="s">
        <v>35</v>
      </c>
    </row>
    <row r="1207" spans="1:23" x14ac:dyDescent="0.3">
      <c r="A1207" s="1" t="str">
        <f t="shared" si="170"/>
        <v>59828</v>
      </c>
      <c r="B1207" s="1" t="s">
        <v>23</v>
      </c>
      <c r="C1207" s="1" t="s">
        <v>24</v>
      </c>
      <c r="D1207" s="1" t="str">
        <f t="shared" si="163"/>
        <v>9801</v>
      </c>
      <c r="E1207" s="1" t="s">
        <v>25</v>
      </c>
      <c r="F1207" s="1" t="str">
        <f>"769E22CC0688040047C114F795002104"</f>
        <v>769E22CC0688040047C114F795002104</v>
      </c>
      <c r="G1207" s="1" t="s">
        <v>58</v>
      </c>
      <c r="H1207" s="1" t="str">
        <f t="shared" si="168"/>
        <v>20220917</v>
      </c>
      <c r="I1207" s="1" t="str">
        <f>"173341"</f>
        <v>173341</v>
      </c>
      <c r="J1207" s="1" t="s">
        <v>100</v>
      </c>
      <c r="K1207" s="1" t="s">
        <v>45</v>
      </c>
      <c r="L1207" s="1" t="str">
        <f t="shared" si="169"/>
        <v>20220917</v>
      </c>
      <c r="M1207" s="1" t="str">
        <f>"175502"</f>
        <v>175502</v>
      </c>
      <c r="N1207" s="1" t="s">
        <v>28</v>
      </c>
      <c r="O1207" s="1" t="s">
        <v>28</v>
      </c>
      <c r="P1207" s="1" t="s">
        <v>55</v>
      </c>
      <c r="Q1207" s="1">
        <v>25</v>
      </c>
      <c r="R1207" s="1">
        <v>25</v>
      </c>
      <c r="S1207" s="1">
        <v>0</v>
      </c>
      <c r="T1207" s="1">
        <v>0</v>
      </c>
      <c r="U1207" s="1">
        <v>0</v>
      </c>
      <c r="V1207" s="1" t="str">
        <f t="shared" si="164"/>
        <v>里程返程</v>
      </c>
      <c r="W1207" s="1" t="s">
        <v>29</v>
      </c>
    </row>
    <row r="1208" spans="1:23" x14ac:dyDescent="0.3">
      <c r="A1208" s="1" t="str">
        <f t="shared" si="170"/>
        <v>59828</v>
      </c>
      <c r="B1208" s="1" t="s">
        <v>23</v>
      </c>
      <c r="C1208" s="1" t="s">
        <v>24</v>
      </c>
      <c r="D1208" s="1" t="str">
        <f t="shared" si="163"/>
        <v>9801</v>
      </c>
      <c r="E1208" s="1" t="s">
        <v>25</v>
      </c>
      <c r="F1208" s="1" t="str">
        <f>"667191281"</f>
        <v>667191281</v>
      </c>
      <c r="G1208" s="1" t="s">
        <v>33</v>
      </c>
      <c r="H1208" s="1" t="str">
        <f t="shared" si="168"/>
        <v>20220917</v>
      </c>
      <c r="I1208" s="1" t="str">
        <f>"175511"</f>
        <v>175511</v>
      </c>
      <c r="J1208" s="1" t="s">
        <v>28</v>
      </c>
      <c r="K1208" s="1" t="s">
        <v>28</v>
      </c>
      <c r="L1208" s="1" t="str">
        <f t="shared" si="169"/>
        <v>20220917</v>
      </c>
      <c r="M1208" s="1" t="str">
        <f>"182407"</f>
        <v>182407</v>
      </c>
      <c r="N1208" s="1" t="s">
        <v>60</v>
      </c>
      <c r="O1208" s="1" t="s">
        <v>52</v>
      </c>
      <c r="P1208" s="1" t="s">
        <v>55</v>
      </c>
      <c r="Q1208" s="1">
        <v>25</v>
      </c>
      <c r="R1208" s="1">
        <v>25</v>
      </c>
      <c r="S1208" s="1">
        <v>0</v>
      </c>
      <c r="T1208" s="1">
        <v>0</v>
      </c>
      <c r="U1208" s="1">
        <v>0</v>
      </c>
      <c r="V1208" s="1" t="str">
        <f t="shared" si="164"/>
        <v>里程返程</v>
      </c>
      <c r="W1208" s="1" t="s">
        <v>35</v>
      </c>
    </row>
    <row r="1209" spans="1:23" x14ac:dyDescent="0.3">
      <c r="A1209" s="1" t="str">
        <f t="shared" si="170"/>
        <v>59828</v>
      </c>
      <c r="B1209" s="1" t="s">
        <v>23</v>
      </c>
      <c r="C1209" s="1" t="s">
        <v>24</v>
      </c>
      <c r="D1209" s="1" t="str">
        <f t="shared" si="163"/>
        <v>9801</v>
      </c>
      <c r="E1209" s="1" t="s">
        <v>25</v>
      </c>
      <c r="F1209" s="1" t="str">
        <f>"A25BBF0046880400C801002000000015"</f>
        <v>A25BBF0046880400C801002000000015</v>
      </c>
      <c r="G1209" s="1" t="s">
        <v>64</v>
      </c>
      <c r="H1209" s="1" t="str">
        <f t="shared" si="168"/>
        <v>20220917</v>
      </c>
      <c r="I1209" s="1" t="str">
        <f>"175522"</f>
        <v>175522</v>
      </c>
      <c r="J1209" s="1" t="s">
        <v>28</v>
      </c>
      <c r="K1209" s="1" t="s">
        <v>28</v>
      </c>
      <c r="L1209" s="1" t="str">
        <f t="shared" si="169"/>
        <v>20220917</v>
      </c>
      <c r="M1209" s="1" t="str">
        <f>"182617"</f>
        <v>182617</v>
      </c>
      <c r="N1209" s="1" t="s">
        <v>86</v>
      </c>
      <c r="O1209" s="1" t="s">
        <v>52</v>
      </c>
      <c r="P1209" s="1" t="s">
        <v>55</v>
      </c>
      <c r="Q1209" s="1">
        <v>13</v>
      </c>
      <c r="R1209" s="1">
        <v>13</v>
      </c>
      <c r="S1209" s="1">
        <v>0</v>
      </c>
      <c r="T1209" s="1">
        <v>0</v>
      </c>
      <c r="U1209" s="1">
        <v>0</v>
      </c>
      <c r="V1209" s="1" t="str">
        <f t="shared" si="164"/>
        <v>里程返程</v>
      </c>
      <c r="W1209" s="1" t="s">
        <v>29</v>
      </c>
    </row>
    <row r="1210" spans="1:23" x14ac:dyDescent="0.3">
      <c r="A1210" s="1" t="str">
        <f t="shared" si="170"/>
        <v>59828</v>
      </c>
      <c r="B1210" s="1" t="s">
        <v>23</v>
      </c>
      <c r="C1210" s="1" t="s">
        <v>24</v>
      </c>
      <c r="D1210" s="1" t="str">
        <f t="shared" si="163"/>
        <v>9801</v>
      </c>
      <c r="E1210" s="1" t="s">
        <v>25</v>
      </c>
      <c r="F1210" s="1" t="str">
        <f>"3023489202"</f>
        <v>3023489202</v>
      </c>
      <c r="G1210" s="1" t="s">
        <v>33</v>
      </c>
      <c r="H1210" s="1" t="str">
        <f t="shared" si="168"/>
        <v>20220917</v>
      </c>
      <c r="I1210" s="1" t="str">
        <f>"175525"</f>
        <v>175525</v>
      </c>
      <c r="J1210" s="1" t="s">
        <v>28</v>
      </c>
      <c r="K1210" s="1" t="s">
        <v>28</v>
      </c>
      <c r="L1210" s="1" t="str">
        <f t="shared" si="169"/>
        <v>20220917</v>
      </c>
      <c r="M1210" s="1" t="str">
        <f>"182619"</f>
        <v>182619</v>
      </c>
      <c r="N1210" s="1" t="s">
        <v>86</v>
      </c>
      <c r="O1210" s="1" t="s">
        <v>52</v>
      </c>
      <c r="P1210" s="1" t="s">
        <v>55</v>
      </c>
      <c r="Q1210" s="1">
        <v>25</v>
      </c>
      <c r="R1210" s="1">
        <v>25</v>
      </c>
      <c r="S1210" s="1">
        <v>0</v>
      </c>
      <c r="T1210" s="1">
        <v>0</v>
      </c>
      <c r="U1210" s="1">
        <v>0</v>
      </c>
      <c r="V1210" s="1" t="str">
        <f t="shared" si="164"/>
        <v>里程返程</v>
      </c>
      <c r="W1210" s="1" t="s">
        <v>35</v>
      </c>
    </row>
    <row r="1211" spans="1:23" x14ac:dyDescent="0.3">
      <c r="A1211" s="1" t="str">
        <f t="shared" si="170"/>
        <v>59828</v>
      </c>
      <c r="B1211" s="1" t="s">
        <v>23</v>
      </c>
      <c r="C1211" s="1" t="s">
        <v>24</v>
      </c>
      <c r="D1211" s="1" t="str">
        <f t="shared" si="163"/>
        <v>9801</v>
      </c>
      <c r="E1211" s="1" t="s">
        <v>25</v>
      </c>
      <c r="F1211" s="1" t="str">
        <f>"1005165685"</f>
        <v>1005165685</v>
      </c>
      <c r="G1211" s="1" t="s">
        <v>33</v>
      </c>
      <c r="H1211" s="1" t="str">
        <f t="shared" si="168"/>
        <v>20220917</v>
      </c>
      <c r="I1211" s="1" t="str">
        <f>"175910"</f>
        <v>175910</v>
      </c>
      <c r="J1211" s="1" t="s">
        <v>85</v>
      </c>
      <c r="K1211" s="1" t="s">
        <v>28</v>
      </c>
      <c r="L1211" s="1" t="str">
        <f t="shared" si="169"/>
        <v>20220917</v>
      </c>
      <c r="M1211" s="1" t="str">
        <f>"182622"</f>
        <v>182622</v>
      </c>
      <c r="N1211" s="1" t="s">
        <v>86</v>
      </c>
      <c r="O1211" s="1" t="s">
        <v>52</v>
      </c>
      <c r="P1211" s="1" t="s">
        <v>55</v>
      </c>
      <c r="Q1211" s="1">
        <v>25</v>
      </c>
      <c r="R1211" s="1">
        <v>25</v>
      </c>
      <c r="S1211" s="1">
        <v>0</v>
      </c>
      <c r="T1211" s="1">
        <v>0</v>
      </c>
      <c r="U1211" s="1">
        <v>0</v>
      </c>
      <c r="V1211" s="1" t="str">
        <f t="shared" si="164"/>
        <v>里程返程</v>
      </c>
      <c r="W1211" s="1" t="s">
        <v>35</v>
      </c>
    </row>
    <row r="1212" spans="1:23" x14ac:dyDescent="0.3">
      <c r="A1212" s="1" t="str">
        <f t="shared" si="170"/>
        <v>59828</v>
      </c>
      <c r="B1212" s="1" t="s">
        <v>23</v>
      </c>
      <c r="C1212" s="1" t="s">
        <v>24</v>
      </c>
      <c r="D1212" s="1" t="str">
        <f t="shared" si="163"/>
        <v>9801</v>
      </c>
      <c r="E1212" s="1" t="s">
        <v>25</v>
      </c>
      <c r="F1212" s="1" t="str">
        <f>"184815969"</f>
        <v>184815969</v>
      </c>
      <c r="G1212" s="1" t="s">
        <v>26</v>
      </c>
      <c r="H1212" s="1" t="str">
        <f t="shared" si="168"/>
        <v>20220917</v>
      </c>
      <c r="I1212" s="1" t="str">
        <f>"185331"</f>
        <v>185331</v>
      </c>
      <c r="J1212" s="1" t="s">
        <v>28</v>
      </c>
      <c r="K1212" s="1" t="s">
        <v>28</v>
      </c>
      <c r="L1212" s="1" t="str">
        <f t="shared" si="169"/>
        <v>20220917</v>
      </c>
      <c r="M1212" s="1" t="str">
        <f>"190338"</f>
        <v>190338</v>
      </c>
      <c r="N1212" s="1" t="s">
        <v>67</v>
      </c>
      <c r="O1212" s="1" t="s">
        <v>52</v>
      </c>
      <c r="P1212" s="1" t="s">
        <v>55</v>
      </c>
      <c r="Q1212" s="1">
        <v>13</v>
      </c>
      <c r="R1212" s="1">
        <v>0</v>
      </c>
      <c r="S1212" s="1">
        <v>13</v>
      </c>
      <c r="T1212" s="1">
        <v>0</v>
      </c>
      <c r="U1212" s="1">
        <v>0</v>
      </c>
      <c r="V1212" s="1" t="str">
        <f t="shared" si="164"/>
        <v>里程返程</v>
      </c>
      <c r="W1212" s="1" t="s">
        <v>35</v>
      </c>
    </row>
    <row r="1213" spans="1:23" x14ac:dyDescent="0.3">
      <c r="A1213" s="1" t="str">
        <f t="shared" si="170"/>
        <v>59828</v>
      </c>
      <c r="B1213" s="1" t="s">
        <v>23</v>
      </c>
      <c r="C1213" s="1" t="s">
        <v>24</v>
      </c>
      <c r="D1213" s="1" t="str">
        <f t="shared" si="163"/>
        <v>9801</v>
      </c>
      <c r="E1213" s="1" t="s">
        <v>25</v>
      </c>
      <c r="F1213" s="1" t="str">
        <f>"1002206673"</f>
        <v>1002206673</v>
      </c>
      <c r="G1213" s="1" t="s">
        <v>33</v>
      </c>
      <c r="H1213" s="1" t="str">
        <f t="shared" si="168"/>
        <v>20220917</v>
      </c>
      <c r="I1213" s="1" t="str">
        <f>"185352"</f>
        <v>185352</v>
      </c>
      <c r="J1213" s="1" t="s">
        <v>28</v>
      </c>
      <c r="K1213" s="1" t="s">
        <v>28</v>
      </c>
      <c r="L1213" s="1" t="str">
        <f t="shared" si="169"/>
        <v>20220917</v>
      </c>
      <c r="M1213" s="1" t="str">
        <f>"192658"</f>
        <v>192658</v>
      </c>
      <c r="N1213" s="1" t="s">
        <v>52</v>
      </c>
      <c r="O1213" s="1" t="s">
        <v>52</v>
      </c>
      <c r="P1213" s="1" t="s">
        <v>55</v>
      </c>
      <c r="Q1213" s="1">
        <v>25</v>
      </c>
      <c r="R1213" s="1">
        <v>25</v>
      </c>
      <c r="S1213" s="1">
        <v>0</v>
      </c>
      <c r="T1213" s="1">
        <v>0</v>
      </c>
      <c r="U1213" s="1">
        <v>0</v>
      </c>
      <c r="V1213" s="1" t="str">
        <f t="shared" si="164"/>
        <v>里程返程</v>
      </c>
      <c r="W1213" s="1" t="s">
        <v>35</v>
      </c>
    </row>
    <row r="1214" spans="1:23" x14ac:dyDescent="0.3">
      <c r="A1214" s="1" t="str">
        <f t="shared" si="170"/>
        <v>59828</v>
      </c>
      <c r="B1214" s="1" t="s">
        <v>23</v>
      </c>
      <c r="C1214" s="1" t="s">
        <v>24</v>
      </c>
      <c r="D1214" s="1" t="str">
        <f t="shared" si="163"/>
        <v>9801</v>
      </c>
      <c r="E1214" s="1" t="s">
        <v>25</v>
      </c>
      <c r="F1214" s="1" t="str">
        <f>"1846258149"</f>
        <v>1846258149</v>
      </c>
      <c r="G1214" s="1" t="s">
        <v>33</v>
      </c>
      <c r="H1214" s="1" t="str">
        <f t="shared" si="168"/>
        <v>20220917</v>
      </c>
      <c r="I1214" s="1" t="str">
        <f>"185353"</f>
        <v>185353</v>
      </c>
      <c r="J1214" s="1" t="s">
        <v>28</v>
      </c>
      <c r="K1214" s="1" t="s">
        <v>28</v>
      </c>
      <c r="L1214" s="1" t="str">
        <f t="shared" si="169"/>
        <v>20220917</v>
      </c>
      <c r="M1214" s="1" t="str">
        <f>"192701"</f>
        <v>192701</v>
      </c>
      <c r="N1214" s="1" t="s">
        <v>52</v>
      </c>
      <c r="O1214" s="1" t="s">
        <v>52</v>
      </c>
      <c r="P1214" s="1" t="s">
        <v>55</v>
      </c>
      <c r="Q1214" s="1">
        <v>25</v>
      </c>
      <c r="R1214" s="1">
        <v>25</v>
      </c>
      <c r="S1214" s="1">
        <v>0</v>
      </c>
      <c r="T1214" s="1">
        <v>0</v>
      </c>
      <c r="U1214" s="1">
        <v>0</v>
      </c>
      <c r="V1214" s="1" t="str">
        <f t="shared" si="164"/>
        <v>里程返程</v>
      </c>
      <c r="W1214" s="1" t="s">
        <v>35</v>
      </c>
    </row>
    <row r="1215" spans="1:23" x14ac:dyDescent="0.3">
      <c r="A1215" s="1" t="str">
        <f t="shared" ref="A1215:A1234" si="171">"59809"</f>
        <v>59809</v>
      </c>
      <c r="B1215" s="1" t="s">
        <v>42</v>
      </c>
      <c r="C1215" s="1" t="s">
        <v>43</v>
      </c>
      <c r="D1215" s="1" t="str">
        <f t="shared" si="163"/>
        <v>9801</v>
      </c>
      <c r="E1215" s="1" t="s">
        <v>25</v>
      </c>
      <c r="F1215" s="1" t="str">
        <f>"1480457519"</f>
        <v>1480457519</v>
      </c>
      <c r="G1215" s="1" t="s">
        <v>33</v>
      </c>
      <c r="H1215" s="1" t="str">
        <f t="shared" ref="H1215:H1260" si="172">"20220918"</f>
        <v>20220918</v>
      </c>
      <c r="I1215" s="1" t="str">
        <f>"070629"</f>
        <v>070629</v>
      </c>
      <c r="J1215" s="1" t="s">
        <v>44</v>
      </c>
      <c r="K1215" s="1" t="s">
        <v>45</v>
      </c>
      <c r="L1215" s="1" t="str">
        <f t="shared" ref="L1215:L1260" si="173">"20220918"</f>
        <v>20220918</v>
      </c>
      <c r="M1215" s="1" t="str">
        <f>"072523"</f>
        <v>072523</v>
      </c>
      <c r="N1215" s="1" t="s">
        <v>28</v>
      </c>
      <c r="O1215" s="1" t="s">
        <v>28</v>
      </c>
      <c r="P1215" s="1" t="s">
        <v>55</v>
      </c>
      <c r="Q1215" s="1">
        <v>25</v>
      </c>
      <c r="R1215" s="1">
        <v>25</v>
      </c>
      <c r="S1215" s="1">
        <v>0</v>
      </c>
      <c r="T1215" s="1">
        <v>0</v>
      </c>
      <c r="U1215" s="1">
        <v>0</v>
      </c>
      <c r="V1215" s="1" t="str">
        <f t="shared" si="164"/>
        <v>里程返程</v>
      </c>
      <c r="W1215" s="1" t="s">
        <v>35</v>
      </c>
    </row>
    <row r="1216" spans="1:23" x14ac:dyDescent="0.3">
      <c r="A1216" s="1" t="str">
        <f t="shared" si="171"/>
        <v>59809</v>
      </c>
      <c r="B1216" s="1" t="s">
        <v>42</v>
      </c>
      <c r="C1216" s="1" t="s">
        <v>43</v>
      </c>
      <c r="D1216" s="1" t="str">
        <f t="shared" si="163"/>
        <v>9801</v>
      </c>
      <c r="E1216" s="1" t="s">
        <v>25</v>
      </c>
      <c r="F1216" s="1" t="str">
        <f>"929BE602ED880400C834002000000015"</f>
        <v>929BE602ED880400C834002000000015</v>
      </c>
      <c r="G1216" s="1" t="s">
        <v>74</v>
      </c>
      <c r="H1216" s="1" t="str">
        <f t="shared" si="172"/>
        <v>20220918</v>
      </c>
      <c r="I1216" s="1" t="str">
        <f>"071747"</f>
        <v>071747</v>
      </c>
      <c r="J1216" s="1" t="s">
        <v>45</v>
      </c>
      <c r="K1216" s="1" t="s">
        <v>45</v>
      </c>
      <c r="L1216" s="1" t="str">
        <f t="shared" si="173"/>
        <v>20220918</v>
      </c>
      <c r="M1216" s="1" t="str">
        <f>"072518"</f>
        <v>072518</v>
      </c>
      <c r="N1216" s="1" t="s">
        <v>28</v>
      </c>
      <c r="O1216" s="1" t="s">
        <v>28</v>
      </c>
      <c r="P1216" s="1" t="s">
        <v>68</v>
      </c>
      <c r="Q1216" s="1">
        <v>13</v>
      </c>
      <c r="R1216" s="1">
        <v>0</v>
      </c>
      <c r="S1216" s="1">
        <v>0</v>
      </c>
      <c r="T1216" s="1">
        <v>13</v>
      </c>
      <c r="U1216" s="1">
        <v>0</v>
      </c>
      <c r="V1216" s="1" t="str">
        <f t="shared" si="164"/>
        <v>里程返程</v>
      </c>
      <c r="W1216" s="1" t="s">
        <v>29</v>
      </c>
    </row>
    <row r="1217" spans="1:23" x14ac:dyDescent="0.3">
      <c r="A1217" s="1" t="str">
        <f t="shared" si="171"/>
        <v>59809</v>
      </c>
      <c r="B1217" s="1" t="s">
        <v>42</v>
      </c>
      <c r="C1217" s="1" t="s">
        <v>43</v>
      </c>
      <c r="D1217" s="1" t="str">
        <f t="shared" si="163"/>
        <v>9801</v>
      </c>
      <c r="E1217" s="1" t="s">
        <v>25</v>
      </c>
      <c r="F1217" s="1" t="str">
        <f>"B17A7F36822804001C00000000000000"</f>
        <v>B17A7F36822804001C00000000000000</v>
      </c>
      <c r="G1217" s="1" t="s">
        <v>58</v>
      </c>
      <c r="H1217" s="1" t="str">
        <f t="shared" si="172"/>
        <v>20220918</v>
      </c>
      <c r="I1217" s="1" t="str">
        <f>"072535"</f>
        <v>072535</v>
      </c>
      <c r="J1217" s="1" t="s">
        <v>28</v>
      </c>
      <c r="K1217" s="1" t="s">
        <v>28</v>
      </c>
      <c r="L1217" s="1" t="str">
        <f t="shared" si="173"/>
        <v>20220918</v>
      </c>
      <c r="M1217" s="1" t="str">
        <f>"074504"</f>
        <v>074504</v>
      </c>
      <c r="N1217" s="1" t="s">
        <v>60</v>
      </c>
      <c r="O1217" s="1" t="s">
        <v>52</v>
      </c>
      <c r="P1217" s="1" t="s">
        <v>55</v>
      </c>
      <c r="Q1217" s="1">
        <v>25</v>
      </c>
      <c r="R1217" s="1">
        <v>25</v>
      </c>
      <c r="S1217" s="1">
        <v>0</v>
      </c>
      <c r="T1217" s="1">
        <v>0</v>
      </c>
      <c r="U1217" s="1">
        <v>0</v>
      </c>
      <c r="V1217" s="1" t="str">
        <f t="shared" si="164"/>
        <v>里程返程</v>
      </c>
      <c r="W1217" s="1" t="s">
        <v>29</v>
      </c>
    </row>
    <row r="1218" spans="1:23" x14ac:dyDescent="0.3">
      <c r="A1218" s="1" t="str">
        <f t="shared" si="171"/>
        <v>59809</v>
      </c>
      <c r="B1218" s="1" t="s">
        <v>42</v>
      </c>
      <c r="C1218" s="1" t="s">
        <v>43</v>
      </c>
      <c r="D1218" s="1" t="str">
        <f t="shared" ref="D1218:D1281" si="174">"9801"</f>
        <v>9801</v>
      </c>
      <c r="E1218" s="1" t="s">
        <v>25</v>
      </c>
      <c r="F1218" s="1" t="str">
        <f>"924713362"</f>
        <v>924713362</v>
      </c>
      <c r="G1218" s="1" t="s">
        <v>33</v>
      </c>
      <c r="H1218" s="1" t="str">
        <f t="shared" si="172"/>
        <v>20220918</v>
      </c>
      <c r="I1218" s="1" t="str">
        <f>"123016"</f>
        <v>123016</v>
      </c>
      <c r="J1218" s="1" t="s">
        <v>44</v>
      </c>
      <c r="K1218" s="1" t="s">
        <v>45</v>
      </c>
      <c r="L1218" s="1" t="str">
        <f t="shared" si="173"/>
        <v>20220918</v>
      </c>
      <c r="M1218" s="1" t="str">
        <f>"125259"</f>
        <v>125259</v>
      </c>
      <c r="N1218" s="1" t="s">
        <v>28</v>
      </c>
      <c r="O1218" s="1" t="s">
        <v>28</v>
      </c>
      <c r="P1218" s="1" t="s">
        <v>55</v>
      </c>
      <c r="Q1218" s="1">
        <v>25</v>
      </c>
      <c r="R1218" s="1">
        <v>0</v>
      </c>
      <c r="S1218" s="1">
        <v>25</v>
      </c>
      <c r="T1218" s="1">
        <v>0</v>
      </c>
      <c r="U1218" s="1">
        <v>0</v>
      </c>
      <c r="V1218" s="1" t="str">
        <f t="shared" ref="V1218:V1281" si="175">"里程返程"</f>
        <v>里程返程</v>
      </c>
      <c r="W1218" s="1" t="s">
        <v>35</v>
      </c>
    </row>
    <row r="1219" spans="1:23" x14ac:dyDescent="0.3">
      <c r="A1219" s="1" t="str">
        <f t="shared" si="171"/>
        <v>59809</v>
      </c>
      <c r="B1219" s="1" t="s">
        <v>42</v>
      </c>
      <c r="C1219" s="1" t="s">
        <v>43</v>
      </c>
      <c r="D1219" s="1" t="str">
        <f t="shared" si="174"/>
        <v>9801</v>
      </c>
      <c r="E1219" s="1" t="s">
        <v>25</v>
      </c>
      <c r="F1219" s="1" t="str">
        <f>"D0DA285D7F880400468F751241202411"</f>
        <v>D0DA285D7F880400468F751241202411</v>
      </c>
      <c r="G1219" s="1" t="s">
        <v>58</v>
      </c>
      <c r="H1219" s="1" t="str">
        <f t="shared" si="172"/>
        <v>20220918</v>
      </c>
      <c r="I1219" s="1" t="str">
        <f>"123019"</f>
        <v>123019</v>
      </c>
      <c r="J1219" s="1" t="s">
        <v>44</v>
      </c>
      <c r="K1219" s="1" t="s">
        <v>45</v>
      </c>
      <c r="L1219" s="1" t="str">
        <f t="shared" si="173"/>
        <v>20220918</v>
      </c>
      <c r="M1219" s="1" t="str">
        <f>"125255"</f>
        <v>125255</v>
      </c>
      <c r="N1219" s="1" t="s">
        <v>28</v>
      </c>
      <c r="O1219" s="1" t="s">
        <v>28</v>
      </c>
      <c r="P1219" s="1" t="s">
        <v>55</v>
      </c>
      <c r="Q1219" s="1">
        <v>25</v>
      </c>
      <c r="R1219" s="1">
        <v>0</v>
      </c>
      <c r="S1219" s="1">
        <v>25</v>
      </c>
      <c r="T1219" s="1">
        <v>0</v>
      </c>
      <c r="U1219" s="1">
        <v>0</v>
      </c>
      <c r="V1219" s="1" t="str">
        <f t="shared" si="175"/>
        <v>里程返程</v>
      </c>
      <c r="W1219" s="1" t="s">
        <v>29</v>
      </c>
    </row>
    <row r="1220" spans="1:23" x14ac:dyDescent="0.3">
      <c r="A1220" s="1" t="str">
        <f t="shared" si="171"/>
        <v>59809</v>
      </c>
      <c r="B1220" s="1" t="s">
        <v>42</v>
      </c>
      <c r="C1220" s="1" t="s">
        <v>43</v>
      </c>
      <c r="D1220" s="1" t="str">
        <f t="shared" si="174"/>
        <v>9801</v>
      </c>
      <c r="E1220" s="1" t="s">
        <v>25</v>
      </c>
      <c r="F1220" s="1" t="str">
        <f>"788291681"</f>
        <v>788291681</v>
      </c>
      <c r="G1220" s="1" t="s">
        <v>33</v>
      </c>
      <c r="H1220" s="1" t="str">
        <f t="shared" si="172"/>
        <v>20220918</v>
      </c>
      <c r="I1220" s="1" t="str">
        <f>"123823"</f>
        <v>123823</v>
      </c>
      <c r="J1220" s="1" t="s">
        <v>75</v>
      </c>
      <c r="K1220" s="1" t="s">
        <v>45</v>
      </c>
      <c r="L1220" s="1" t="str">
        <f t="shared" si="173"/>
        <v>20220918</v>
      </c>
      <c r="M1220" s="1" t="str">
        <f>"125309"</f>
        <v>125309</v>
      </c>
      <c r="N1220" s="1" t="s">
        <v>28</v>
      </c>
      <c r="O1220" s="1" t="s">
        <v>28</v>
      </c>
      <c r="P1220" s="1" t="s">
        <v>55</v>
      </c>
      <c r="Q1220" s="1">
        <v>25</v>
      </c>
      <c r="R1220" s="1">
        <v>25</v>
      </c>
      <c r="S1220" s="1">
        <v>0</v>
      </c>
      <c r="T1220" s="1">
        <v>0</v>
      </c>
      <c r="U1220" s="1">
        <v>0</v>
      </c>
      <c r="V1220" s="1" t="str">
        <f t="shared" si="175"/>
        <v>里程返程</v>
      </c>
      <c r="W1220" s="1" t="s">
        <v>35</v>
      </c>
    </row>
    <row r="1221" spans="1:23" x14ac:dyDescent="0.3">
      <c r="A1221" s="1" t="str">
        <f t="shared" si="171"/>
        <v>59809</v>
      </c>
      <c r="B1221" s="1" t="s">
        <v>42</v>
      </c>
      <c r="C1221" s="1" t="s">
        <v>43</v>
      </c>
      <c r="D1221" s="1" t="str">
        <f t="shared" si="174"/>
        <v>9801</v>
      </c>
      <c r="E1221" s="1" t="s">
        <v>25</v>
      </c>
      <c r="F1221" s="1" t="str">
        <f>"1598579921"</f>
        <v>1598579921</v>
      </c>
      <c r="G1221" s="1" t="s">
        <v>33</v>
      </c>
      <c r="H1221" s="1" t="str">
        <f t="shared" si="172"/>
        <v>20220918</v>
      </c>
      <c r="I1221" s="1" t="str">
        <f>"123828"</f>
        <v>123828</v>
      </c>
      <c r="J1221" s="1" t="s">
        <v>75</v>
      </c>
      <c r="K1221" s="1" t="s">
        <v>45</v>
      </c>
      <c r="L1221" s="1" t="str">
        <f t="shared" si="173"/>
        <v>20220918</v>
      </c>
      <c r="M1221" s="1" t="str">
        <f>"125304"</f>
        <v>125304</v>
      </c>
      <c r="N1221" s="1" t="s">
        <v>28</v>
      </c>
      <c r="O1221" s="1" t="s">
        <v>28</v>
      </c>
      <c r="P1221" s="1" t="s">
        <v>55</v>
      </c>
      <c r="Q1221" s="1">
        <v>25</v>
      </c>
      <c r="R1221" s="1">
        <v>25</v>
      </c>
      <c r="S1221" s="1">
        <v>0</v>
      </c>
      <c r="T1221" s="1">
        <v>0</v>
      </c>
      <c r="U1221" s="1">
        <v>0</v>
      </c>
      <c r="V1221" s="1" t="str">
        <f t="shared" si="175"/>
        <v>里程返程</v>
      </c>
      <c r="W1221" s="1" t="s">
        <v>35</v>
      </c>
    </row>
    <row r="1222" spans="1:23" x14ac:dyDescent="0.3">
      <c r="A1222" s="1" t="str">
        <f t="shared" si="171"/>
        <v>59809</v>
      </c>
      <c r="B1222" s="1" t="s">
        <v>42</v>
      </c>
      <c r="C1222" s="1" t="s">
        <v>43</v>
      </c>
      <c r="D1222" s="1" t="str">
        <f t="shared" si="174"/>
        <v>9801</v>
      </c>
      <c r="E1222" s="1" t="s">
        <v>25</v>
      </c>
      <c r="F1222" s="1" t="str">
        <f>"540097441"</f>
        <v>540097441</v>
      </c>
      <c r="G1222" s="1" t="s">
        <v>26</v>
      </c>
      <c r="H1222" s="1" t="str">
        <f t="shared" si="172"/>
        <v>20220918</v>
      </c>
      <c r="I1222" s="1" t="str">
        <f>"144149"</f>
        <v>144149</v>
      </c>
      <c r="J1222" s="1" t="s">
        <v>45</v>
      </c>
      <c r="K1222" s="1" t="s">
        <v>45</v>
      </c>
      <c r="L1222" s="1" t="str">
        <f t="shared" si="173"/>
        <v>20220918</v>
      </c>
      <c r="M1222" s="1" t="str">
        <f>"145116"</f>
        <v>145116</v>
      </c>
      <c r="N1222" s="1" t="s">
        <v>28</v>
      </c>
      <c r="O1222" s="1" t="s">
        <v>28</v>
      </c>
      <c r="P1222" s="1" t="s">
        <v>55</v>
      </c>
      <c r="Q1222" s="1">
        <v>13</v>
      </c>
      <c r="R1222" s="1">
        <v>0</v>
      </c>
      <c r="S1222" s="1">
        <v>13</v>
      </c>
      <c r="T1222" s="1">
        <v>0</v>
      </c>
      <c r="U1222" s="1">
        <v>0</v>
      </c>
      <c r="V1222" s="1" t="str">
        <f t="shared" si="175"/>
        <v>里程返程</v>
      </c>
      <c r="W1222" s="1" t="s">
        <v>35</v>
      </c>
    </row>
    <row r="1223" spans="1:23" x14ac:dyDescent="0.3">
      <c r="A1223" s="1" t="str">
        <f t="shared" si="171"/>
        <v>59809</v>
      </c>
      <c r="B1223" s="1" t="s">
        <v>42</v>
      </c>
      <c r="C1223" s="1" t="s">
        <v>43</v>
      </c>
      <c r="D1223" s="1" t="str">
        <f t="shared" si="174"/>
        <v>9801</v>
      </c>
      <c r="E1223" s="1" t="s">
        <v>25</v>
      </c>
      <c r="F1223" s="1" t="str">
        <f>"1390089377"</f>
        <v>1390089377</v>
      </c>
      <c r="G1223" s="1" t="s">
        <v>26</v>
      </c>
      <c r="H1223" s="1" t="str">
        <f t="shared" si="172"/>
        <v>20220918</v>
      </c>
      <c r="I1223" s="1" t="str">
        <f>"144152"</f>
        <v>144152</v>
      </c>
      <c r="J1223" s="1" t="s">
        <v>45</v>
      </c>
      <c r="K1223" s="1" t="s">
        <v>45</v>
      </c>
      <c r="L1223" s="1" t="str">
        <f t="shared" si="173"/>
        <v>20220918</v>
      </c>
      <c r="M1223" s="1" t="str">
        <f>"145113"</f>
        <v>145113</v>
      </c>
      <c r="N1223" s="1" t="s">
        <v>28</v>
      </c>
      <c r="O1223" s="1" t="s">
        <v>28</v>
      </c>
      <c r="P1223" s="1" t="s">
        <v>55</v>
      </c>
      <c r="Q1223" s="1">
        <v>13</v>
      </c>
      <c r="R1223" s="1">
        <v>0</v>
      </c>
      <c r="S1223" s="1">
        <v>13</v>
      </c>
      <c r="T1223" s="1">
        <v>0</v>
      </c>
      <c r="U1223" s="1">
        <v>0</v>
      </c>
      <c r="V1223" s="1" t="str">
        <f t="shared" si="175"/>
        <v>里程返程</v>
      </c>
      <c r="W1223" s="1" t="s">
        <v>35</v>
      </c>
    </row>
    <row r="1224" spans="1:23" x14ac:dyDescent="0.3">
      <c r="A1224" s="1" t="str">
        <f t="shared" si="171"/>
        <v>59809</v>
      </c>
      <c r="B1224" s="1" t="s">
        <v>42</v>
      </c>
      <c r="C1224" s="1" t="s">
        <v>43</v>
      </c>
      <c r="D1224" s="1" t="str">
        <f t="shared" si="174"/>
        <v>9801</v>
      </c>
      <c r="E1224" s="1" t="s">
        <v>25</v>
      </c>
      <c r="F1224" s="1" t="str">
        <f>"813804497"</f>
        <v>813804497</v>
      </c>
      <c r="G1224" s="1" t="s">
        <v>33</v>
      </c>
      <c r="H1224" s="1" t="str">
        <f t="shared" si="172"/>
        <v>20220918</v>
      </c>
      <c r="I1224" s="1" t="str">
        <f>"145253"</f>
        <v>145253</v>
      </c>
      <c r="J1224" s="1" t="s">
        <v>28</v>
      </c>
      <c r="K1224" s="1" t="s">
        <v>28</v>
      </c>
      <c r="L1224" s="1" t="str">
        <f t="shared" si="173"/>
        <v>20220918</v>
      </c>
      <c r="M1224" s="1" t="str">
        <f>"152256"</f>
        <v>152256</v>
      </c>
      <c r="N1224" s="1" t="s">
        <v>52</v>
      </c>
      <c r="O1224" s="1" t="s">
        <v>52</v>
      </c>
      <c r="P1224" s="1" t="s">
        <v>55</v>
      </c>
      <c r="Q1224" s="1">
        <v>25</v>
      </c>
      <c r="R1224" s="1">
        <v>25</v>
      </c>
      <c r="S1224" s="1">
        <v>0</v>
      </c>
      <c r="T1224" s="1">
        <v>0</v>
      </c>
      <c r="U1224" s="1">
        <v>0</v>
      </c>
      <c r="V1224" s="1" t="str">
        <f t="shared" si="175"/>
        <v>里程返程</v>
      </c>
      <c r="W1224" s="1" t="s">
        <v>35</v>
      </c>
    </row>
    <row r="1225" spans="1:23" x14ac:dyDescent="0.3">
      <c r="A1225" s="1" t="str">
        <f t="shared" si="171"/>
        <v>59809</v>
      </c>
      <c r="B1225" s="1" t="s">
        <v>42</v>
      </c>
      <c r="C1225" s="1" t="s">
        <v>43</v>
      </c>
      <c r="D1225" s="1" t="str">
        <f t="shared" si="174"/>
        <v>9801</v>
      </c>
      <c r="E1225" s="1" t="s">
        <v>25</v>
      </c>
      <c r="F1225" s="1" t="str">
        <f>"1631444229"</f>
        <v>1631444229</v>
      </c>
      <c r="G1225" s="1" t="s">
        <v>33</v>
      </c>
      <c r="H1225" s="1" t="str">
        <f t="shared" si="172"/>
        <v>20220918</v>
      </c>
      <c r="I1225" s="1" t="str">
        <f>"145255"</f>
        <v>145255</v>
      </c>
      <c r="J1225" s="1" t="s">
        <v>28</v>
      </c>
      <c r="K1225" s="1" t="s">
        <v>28</v>
      </c>
      <c r="L1225" s="1" t="str">
        <f t="shared" si="173"/>
        <v>20220918</v>
      </c>
      <c r="M1225" s="1" t="str">
        <f>"152259"</f>
        <v>152259</v>
      </c>
      <c r="N1225" s="1" t="s">
        <v>52</v>
      </c>
      <c r="O1225" s="1" t="s">
        <v>52</v>
      </c>
      <c r="P1225" s="1" t="s">
        <v>55</v>
      </c>
      <c r="Q1225" s="1">
        <v>25</v>
      </c>
      <c r="R1225" s="1">
        <v>25</v>
      </c>
      <c r="S1225" s="1">
        <v>0</v>
      </c>
      <c r="T1225" s="1">
        <v>0</v>
      </c>
      <c r="U1225" s="1">
        <v>0</v>
      </c>
      <c r="V1225" s="1" t="str">
        <f t="shared" si="175"/>
        <v>里程返程</v>
      </c>
      <c r="W1225" s="1" t="s">
        <v>35</v>
      </c>
    </row>
    <row r="1226" spans="1:23" x14ac:dyDescent="0.3">
      <c r="A1226" s="1" t="str">
        <f t="shared" si="171"/>
        <v>59809</v>
      </c>
      <c r="B1226" s="1" t="s">
        <v>42</v>
      </c>
      <c r="C1226" s="1" t="s">
        <v>43</v>
      </c>
      <c r="D1226" s="1" t="str">
        <f t="shared" si="174"/>
        <v>9801</v>
      </c>
      <c r="E1226" s="1" t="s">
        <v>25</v>
      </c>
      <c r="F1226" s="1" t="str">
        <f>"2010470048"</f>
        <v>2010470048</v>
      </c>
      <c r="G1226" s="1" t="s">
        <v>33</v>
      </c>
      <c r="H1226" s="1" t="str">
        <f t="shared" si="172"/>
        <v>20220918</v>
      </c>
      <c r="I1226" s="1" t="str">
        <f>"145300"</f>
        <v>145300</v>
      </c>
      <c r="J1226" s="1" t="s">
        <v>28</v>
      </c>
      <c r="K1226" s="1" t="s">
        <v>28</v>
      </c>
      <c r="L1226" s="1" t="str">
        <f t="shared" si="173"/>
        <v>20220918</v>
      </c>
      <c r="M1226" s="1" t="str">
        <f>"152251"</f>
        <v>152251</v>
      </c>
      <c r="N1226" s="1" t="s">
        <v>52</v>
      </c>
      <c r="O1226" s="1" t="s">
        <v>52</v>
      </c>
      <c r="P1226" s="1" t="s">
        <v>55</v>
      </c>
      <c r="Q1226" s="1">
        <v>25</v>
      </c>
      <c r="R1226" s="1">
        <v>25</v>
      </c>
      <c r="S1226" s="1">
        <v>0</v>
      </c>
      <c r="T1226" s="1">
        <v>0</v>
      </c>
      <c r="U1226" s="1">
        <v>0</v>
      </c>
      <c r="V1226" s="1" t="str">
        <f t="shared" si="175"/>
        <v>里程返程</v>
      </c>
      <c r="W1226" s="1" t="s">
        <v>35</v>
      </c>
    </row>
    <row r="1227" spans="1:23" x14ac:dyDescent="0.3">
      <c r="A1227" s="1" t="str">
        <f t="shared" si="171"/>
        <v>59809</v>
      </c>
      <c r="B1227" s="1" t="s">
        <v>42</v>
      </c>
      <c r="C1227" s="1" t="s">
        <v>43</v>
      </c>
      <c r="D1227" s="1" t="str">
        <f t="shared" si="174"/>
        <v>9801</v>
      </c>
      <c r="E1227" s="1" t="s">
        <v>25</v>
      </c>
      <c r="F1227" s="1" t="str">
        <f>"95A9AD0A9B180200D200000C22400417"</f>
        <v>95A9AD0A9B180200D200000C22400417</v>
      </c>
      <c r="G1227" s="1" t="s">
        <v>58</v>
      </c>
      <c r="H1227" s="1" t="str">
        <f t="shared" si="172"/>
        <v>20220918</v>
      </c>
      <c r="I1227" s="1" t="str">
        <f>"155031"</f>
        <v>155031</v>
      </c>
      <c r="J1227" s="1" t="s">
        <v>28</v>
      </c>
      <c r="K1227" s="1" t="s">
        <v>28</v>
      </c>
      <c r="L1227" s="1" t="str">
        <f t="shared" si="173"/>
        <v>20220918</v>
      </c>
      <c r="M1227" s="1" t="str">
        <f>"162729"</f>
        <v>162729</v>
      </c>
      <c r="N1227" s="1" t="s">
        <v>52</v>
      </c>
      <c r="O1227" s="1" t="s">
        <v>52</v>
      </c>
      <c r="P1227" s="1" t="s">
        <v>55</v>
      </c>
      <c r="Q1227" s="1">
        <v>25</v>
      </c>
      <c r="R1227" s="1">
        <v>25</v>
      </c>
      <c r="S1227" s="1">
        <v>0</v>
      </c>
      <c r="T1227" s="1">
        <v>0</v>
      </c>
      <c r="U1227" s="1">
        <v>0</v>
      </c>
      <c r="V1227" s="1" t="str">
        <f t="shared" si="175"/>
        <v>里程返程</v>
      </c>
      <c r="W1227" s="1" t="s">
        <v>29</v>
      </c>
    </row>
    <row r="1228" spans="1:23" x14ac:dyDescent="0.3">
      <c r="A1228" s="1" t="str">
        <f t="shared" si="171"/>
        <v>59809</v>
      </c>
      <c r="B1228" s="1" t="s">
        <v>42</v>
      </c>
      <c r="C1228" s="1" t="s">
        <v>43</v>
      </c>
      <c r="D1228" s="1" t="str">
        <f t="shared" si="174"/>
        <v>9801</v>
      </c>
      <c r="E1228" s="1" t="s">
        <v>25</v>
      </c>
      <c r="F1228" s="1" t="str">
        <f>"170D28DCEE880400432537E50019030F"</f>
        <v>170D28DCEE880400432537E50019030F</v>
      </c>
      <c r="G1228" s="1" t="s">
        <v>58</v>
      </c>
      <c r="H1228" s="1" t="str">
        <f t="shared" si="172"/>
        <v>20220918</v>
      </c>
      <c r="I1228" s="1" t="str">
        <f>"155049"</f>
        <v>155049</v>
      </c>
      <c r="J1228" s="1" t="s">
        <v>28</v>
      </c>
      <c r="K1228" s="1" t="s">
        <v>28</v>
      </c>
      <c r="L1228" s="1" t="str">
        <f t="shared" si="173"/>
        <v>20220918</v>
      </c>
      <c r="M1228" s="1" t="str">
        <f>"162110"</f>
        <v>162110</v>
      </c>
      <c r="N1228" s="1" t="s">
        <v>60</v>
      </c>
      <c r="O1228" s="1" t="s">
        <v>52</v>
      </c>
      <c r="P1228" s="1" t="s">
        <v>55</v>
      </c>
      <c r="Q1228" s="1">
        <v>25</v>
      </c>
      <c r="R1228" s="1">
        <v>25</v>
      </c>
      <c r="S1228" s="1">
        <v>0</v>
      </c>
      <c r="T1228" s="1">
        <v>0</v>
      </c>
      <c r="U1228" s="1">
        <v>0</v>
      </c>
      <c r="V1228" s="1" t="str">
        <f t="shared" si="175"/>
        <v>里程返程</v>
      </c>
      <c r="W1228" s="1" t="s">
        <v>29</v>
      </c>
    </row>
    <row r="1229" spans="1:23" x14ac:dyDescent="0.3">
      <c r="A1229" s="1" t="str">
        <f t="shared" si="171"/>
        <v>59809</v>
      </c>
      <c r="B1229" s="1" t="s">
        <v>42</v>
      </c>
      <c r="C1229" s="1" t="s">
        <v>43</v>
      </c>
      <c r="D1229" s="1" t="str">
        <f t="shared" si="174"/>
        <v>9801</v>
      </c>
      <c r="E1229" s="1" t="s">
        <v>25</v>
      </c>
      <c r="F1229" s="1" t="str">
        <f>"1379682689"</f>
        <v>1379682689</v>
      </c>
      <c r="G1229" s="1" t="s">
        <v>33</v>
      </c>
      <c r="H1229" s="1" t="str">
        <f t="shared" si="172"/>
        <v>20220918</v>
      </c>
      <c r="I1229" s="1" t="str">
        <f>"155231"</f>
        <v>155231</v>
      </c>
      <c r="J1229" s="1" t="s">
        <v>28</v>
      </c>
      <c r="K1229" s="1" t="s">
        <v>28</v>
      </c>
      <c r="L1229" s="1" t="str">
        <f t="shared" si="173"/>
        <v>20220918</v>
      </c>
      <c r="M1229" s="1" t="str">
        <f>"162720"</f>
        <v>162720</v>
      </c>
      <c r="N1229" s="1" t="s">
        <v>52</v>
      </c>
      <c r="O1229" s="1" t="s">
        <v>52</v>
      </c>
      <c r="P1229" s="1" t="s">
        <v>55</v>
      </c>
      <c r="Q1229" s="1">
        <v>25</v>
      </c>
      <c r="R1229" s="1">
        <v>25</v>
      </c>
      <c r="S1229" s="1">
        <v>0</v>
      </c>
      <c r="T1229" s="1">
        <v>0</v>
      </c>
      <c r="U1229" s="1">
        <v>0</v>
      </c>
      <c r="V1229" s="1" t="str">
        <f t="shared" si="175"/>
        <v>里程返程</v>
      </c>
      <c r="W1229" s="1" t="s">
        <v>35</v>
      </c>
    </row>
    <row r="1230" spans="1:23" x14ac:dyDescent="0.3">
      <c r="A1230" s="1" t="str">
        <f t="shared" si="171"/>
        <v>59809</v>
      </c>
      <c r="B1230" s="1" t="s">
        <v>42</v>
      </c>
      <c r="C1230" s="1" t="s">
        <v>43</v>
      </c>
      <c r="D1230" s="1" t="str">
        <f t="shared" si="174"/>
        <v>9801</v>
      </c>
      <c r="E1230" s="1" t="s">
        <v>25</v>
      </c>
      <c r="F1230" s="1" t="str">
        <f>"CEF43B363788040047C13517C9002508"</f>
        <v>CEF43B363788040047C13517C9002508</v>
      </c>
      <c r="G1230" s="1" t="s">
        <v>58</v>
      </c>
      <c r="H1230" s="1" t="str">
        <f t="shared" si="172"/>
        <v>20220918</v>
      </c>
      <c r="I1230" s="1" t="str">
        <f>"155628"</f>
        <v>155628</v>
      </c>
      <c r="J1230" s="1" t="s">
        <v>28</v>
      </c>
      <c r="K1230" s="1" t="s">
        <v>28</v>
      </c>
      <c r="L1230" s="1" t="str">
        <f t="shared" si="173"/>
        <v>20220918</v>
      </c>
      <c r="M1230" s="1" t="str">
        <f>"162724"</f>
        <v>162724</v>
      </c>
      <c r="N1230" s="1" t="s">
        <v>52</v>
      </c>
      <c r="O1230" s="1" t="s">
        <v>52</v>
      </c>
      <c r="P1230" s="1" t="s">
        <v>55</v>
      </c>
      <c r="Q1230" s="1">
        <v>25</v>
      </c>
      <c r="R1230" s="1">
        <v>25</v>
      </c>
      <c r="S1230" s="1">
        <v>0</v>
      </c>
      <c r="T1230" s="1">
        <v>0</v>
      </c>
      <c r="U1230" s="1">
        <v>0</v>
      </c>
      <c r="V1230" s="1" t="str">
        <f t="shared" si="175"/>
        <v>里程返程</v>
      </c>
      <c r="W1230" s="1" t="s">
        <v>29</v>
      </c>
    </row>
    <row r="1231" spans="1:23" x14ac:dyDescent="0.3">
      <c r="A1231" s="1" t="str">
        <f t="shared" si="171"/>
        <v>59809</v>
      </c>
      <c r="B1231" s="1" t="s">
        <v>42</v>
      </c>
      <c r="C1231" s="1" t="s">
        <v>43</v>
      </c>
      <c r="D1231" s="1" t="str">
        <f t="shared" si="174"/>
        <v>9801</v>
      </c>
      <c r="E1231" s="1" t="s">
        <v>25</v>
      </c>
      <c r="F1231" s="1" t="str">
        <f>"DD7AC8C2AD8804004885145851504110"</f>
        <v>DD7AC8C2AD8804004885145851504110</v>
      </c>
      <c r="G1231" s="1" t="s">
        <v>58</v>
      </c>
      <c r="H1231" s="1" t="str">
        <f t="shared" si="172"/>
        <v>20220918</v>
      </c>
      <c r="I1231" s="1" t="str">
        <f>"162806"</f>
        <v>162806</v>
      </c>
      <c r="J1231" s="1" t="s">
        <v>44</v>
      </c>
      <c r="K1231" s="1" t="s">
        <v>45</v>
      </c>
      <c r="L1231" s="1" t="str">
        <f t="shared" si="173"/>
        <v>20220918</v>
      </c>
      <c r="M1231" s="1" t="str">
        <f>"164829"</f>
        <v>164829</v>
      </c>
      <c r="N1231" s="1" t="s">
        <v>28</v>
      </c>
      <c r="O1231" s="1" t="s">
        <v>28</v>
      </c>
      <c r="P1231" s="1" t="s">
        <v>55</v>
      </c>
      <c r="Q1231" s="1">
        <v>25</v>
      </c>
      <c r="R1231" s="1">
        <v>25</v>
      </c>
      <c r="S1231" s="1">
        <v>0</v>
      </c>
      <c r="T1231" s="1">
        <v>0</v>
      </c>
      <c r="U1231" s="1">
        <v>0</v>
      </c>
      <c r="V1231" s="1" t="str">
        <f t="shared" si="175"/>
        <v>里程返程</v>
      </c>
      <c r="W1231" s="1" t="s">
        <v>29</v>
      </c>
    </row>
    <row r="1232" spans="1:23" x14ac:dyDescent="0.3">
      <c r="A1232" s="1" t="str">
        <f t="shared" si="171"/>
        <v>59809</v>
      </c>
      <c r="B1232" s="1" t="s">
        <v>42</v>
      </c>
      <c r="C1232" s="1" t="s">
        <v>43</v>
      </c>
      <c r="D1232" s="1" t="str">
        <f t="shared" si="174"/>
        <v>9801</v>
      </c>
      <c r="E1232" s="1" t="s">
        <v>25</v>
      </c>
      <c r="F1232" s="1" t="str">
        <f>"814156593"</f>
        <v>814156593</v>
      </c>
      <c r="G1232" s="1" t="s">
        <v>33</v>
      </c>
      <c r="H1232" s="1" t="str">
        <f t="shared" si="172"/>
        <v>20220918</v>
      </c>
      <c r="I1232" s="1" t="str">
        <f>"163920"</f>
        <v>163920</v>
      </c>
      <c r="J1232" s="1" t="s">
        <v>56</v>
      </c>
      <c r="K1232" s="1" t="s">
        <v>45</v>
      </c>
      <c r="L1232" s="1" t="str">
        <f t="shared" si="173"/>
        <v>20220918</v>
      </c>
      <c r="M1232" s="1" t="str">
        <f>"164804"</f>
        <v>164804</v>
      </c>
      <c r="N1232" s="1" t="s">
        <v>28</v>
      </c>
      <c r="O1232" s="1" t="s">
        <v>28</v>
      </c>
      <c r="P1232" s="1" t="s">
        <v>55</v>
      </c>
      <c r="Q1232" s="1">
        <v>25</v>
      </c>
      <c r="R1232" s="1">
        <v>25</v>
      </c>
      <c r="S1232" s="1">
        <v>0</v>
      </c>
      <c r="T1232" s="1">
        <v>0</v>
      </c>
      <c r="U1232" s="1">
        <v>0</v>
      </c>
      <c r="V1232" s="1" t="str">
        <f t="shared" si="175"/>
        <v>里程返程</v>
      </c>
      <c r="W1232" s="1" t="s">
        <v>35</v>
      </c>
    </row>
    <row r="1233" spans="1:23" x14ac:dyDescent="0.3">
      <c r="A1233" s="1" t="str">
        <f t="shared" si="171"/>
        <v>59809</v>
      </c>
      <c r="B1233" s="1" t="s">
        <v>42</v>
      </c>
      <c r="C1233" s="1" t="s">
        <v>43</v>
      </c>
      <c r="D1233" s="1" t="str">
        <f t="shared" si="174"/>
        <v>9801</v>
      </c>
      <c r="E1233" s="1" t="s">
        <v>25</v>
      </c>
      <c r="F1233" s="1" t="str">
        <f>"226933585"</f>
        <v>226933585</v>
      </c>
      <c r="G1233" s="1" t="s">
        <v>33</v>
      </c>
      <c r="H1233" s="1" t="str">
        <f t="shared" si="172"/>
        <v>20220918</v>
      </c>
      <c r="I1233" s="1" t="str">
        <f>"165439"</f>
        <v>165439</v>
      </c>
      <c r="J1233" s="1" t="s">
        <v>28</v>
      </c>
      <c r="K1233" s="1" t="s">
        <v>28</v>
      </c>
      <c r="L1233" s="1" t="str">
        <f t="shared" si="173"/>
        <v>20220918</v>
      </c>
      <c r="M1233" s="1" t="str">
        <f>"172210"</f>
        <v>172210</v>
      </c>
      <c r="N1233" s="1" t="s">
        <v>52</v>
      </c>
      <c r="O1233" s="1" t="s">
        <v>52</v>
      </c>
      <c r="P1233" s="1" t="s">
        <v>55</v>
      </c>
      <c r="Q1233" s="1">
        <v>25</v>
      </c>
      <c r="R1233" s="1">
        <v>25</v>
      </c>
      <c r="S1233" s="1">
        <v>0</v>
      </c>
      <c r="T1233" s="1">
        <v>0</v>
      </c>
      <c r="U1233" s="1">
        <v>0</v>
      </c>
      <c r="V1233" s="1" t="str">
        <f t="shared" si="175"/>
        <v>里程返程</v>
      </c>
      <c r="W1233" s="1" t="s">
        <v>35</v>
      </c>
    </row>
    <row r="1234" spans="1:23" x14ac:dyDescent="0.3">
      <c r="A1234" s="1" t="str">
        <f t="shared" si="171"/>
        <v>59809</v>
      </c>
      <c r="B1234" s="1" t="s">
        <v>42</v>
      </c>
      <c r="C1234" s="1" t="s">
        <v>43</v>
      </c>
      <c r="D1234" s="1" t="str">
        <f t="shared" si="174"/>
        <v>9801</v>
      </c>
      <c r="E1234" s="1" t="s">
        <v>25</v>
      </c>
      <c r="F1234" s="1" t="str">
        <f>"6280E61A1E880400C817002000000021"</f>
        <v>6280E61A1E880400C817002000000021</v>
      </c>
      <c r="G1234" s="1" t="s">
        <v>58</v>
      </c>
      <c r="H1234" s="1" t="str">
        <f t="shared" si="172"/>
        <v>20220918</v>
      </c>
      <c r="I1234" s="1" t="str">
        <f>"165503"</f>
        <v>165503</v>
      </c>
      <c r="J1234" s="1" t="s">
        <v>28</v>
      </c>
      <c r="K1234" s="1" t="s">
        <v>28</v>
      </c>
      <c r="L1234" s="1" t="str">
        <f t="shared" si="173"/>
        <v>20220918</v>
      </c>
      <c r="M1234" s="1" t="str">
        <f>"172216"</f>
        <v>172216</v>
      </c>
      <c r="N1234" s="1" t="s">
        <v>52</v>
      </c>
      <c r="O1234" s="1" t="s">
        <v>52</v>
      </c>
      <c r="P1234" s="1" t="s">
        <v>55</v>
      </c>
      <c r="Q1234" s="1">
        <v>25</v>
      </c>
      <c r="R1234" s="1">
        <v>0</v>
      </c>
      <c r="S1234" s="1">
        <v>25</v>
      </c>
      <c r="T1234" s="1">
        <v>0</v>
      </c>
      <c r="U1234" s="1">
        <v>0</v>
      </c>
      <c r="V1234" s="1" t="str">
        <f t="shared" si="175"/>
        <v>里程返程</v>
      </c>
      <c r="W1234" s="1" t="s">
        <v>29</v>
      </c>
    </row>
    <row r="1235" spans="1:23" x14ac:dyDescent="0.3">
      <c r="A1235" s="1" t="str">
        <f t="shared" ref="A1235:A1257" si="176">"59825"</f>
        <v>59825</v>
      </c>
      <c r="B1235" s="1" t="s">
        <v>30</v>
      </c>
      <c r="C1235" s="1" t="s">
        <v>31</v>
      </c>
      <c r="D1235" s="1" t="str">
        <f t="shared" si="174"/>
        <v>9801</v>
      </c>
      <c r="E1235" s="1" t="s">
        <v>25</v>
      </c>
      <c r="F1235" s="1" t="str">
        <f>"170272917"</f>
        <v>170272917</v>
      </c>
      <c r="G1235" s="1" t="s">
        <v>33</v>
      </c>
      <c r="H1235" s="1" t="str">
        <f t="shared" si="172"/>
        <v>20220918</v>
      </c>
      <c r="I1235" s="1" t="str">
        <f>"092813"</f>
        <v>092813</v>
      </c>
      <c r="J1235" s="1" t="s">
        <v>44</v>
      </c>
      <c r="K1235" s="1" t="s">
        <v>45</v>
      </c>
      <c r="L1235" s="1" t="str">
        <f t="shared" si="173"/>
        <v>20220918</v>
      </c>
      <c r="M1235" s="1" t="str">
        <f>"095319"</f>
        <v>095319</v>
      </c>
      <c r="N1235" s="1" t="s">
        <v>28</v>
      </c>
      <c r="O1235" s="1" t="s">
        <v>28</v>
      </c>
      <c r="P1235" s="1" t="s">
        <v>55</v>
      </c>
      <c r="Q1235" s="1">
        <v>25</v>
      </c>
      <c r="R1235" s="1">
        <v>25</v>
      </c>
      <c r="S1235" s="1">
        <v>0</v>
      </c>
      <c r="T1235" s="1">
        <v>0</v>
      </c>
      <c r="U1235" s="1">
        <v>0</v>
      </c>
      <c r="V1235" s="1" t="str">
        <f t="shared" si="175"/>
        <v>里程返程</v>
      </c>
      <c r="W1235" s="1" t="s">
        <v>35</v>
      </c>
    </row>
    <row r="1236" spans="1:23" x14ac:dyDescent="0.3">
      <c r="A1236" s="1" t="str">
        <f t="shared" si="176"/>
        <v>59825</v>
      </c>
      <c r="B1236" s="1" t="s">
        <v>30</v>
      </c>
      <c r="C1236" s="1" t="s">
        <v>31</v>
      </c>
      <c r="D1236" s="1" t="str">
        <f t="shared" si="174"/>
        <v>9801</v>
      </c>
      <c r="E1236" s="1" t="s">
        <v>25</v>
      </c>
      <c r="F1236" s="1" t="str">
        <f>"E211F20504880400C838002000000015"</f>
        <v>E211F20504880400C838002000000015</v>
      </c>
      <c r="G1236" s="1" t="s">
        <v>26</v>
      </c>
      <c r="H1236" s="1" t="str">
        <f t="shared" si="172"/>
        <v>20220918</v>
      </c>
      <c r="I1236" s="1" t="str">
        <f>"095341"</f>
        <v>095341</v>
      </c>
      <c r="J1236" s="1" t="s">
        <v>28</v>
      </c>
      <c r="K1236" s="1" t="s">
        <v>28</v>
      </c>
      <c r="L1236" s="1" t="str">
        <f t="shared" si="173"/>
        <v>20220918</v>
      </c>
      <c r="M1236" s="1" t="str">
        <f>"100925"</f>
        <v>100925</v>
      </c>
      <c r="N1236" s="1" t="s">
        <v>77</v>
      </c>
      <c r="O1236" s="1" t="s">
        <v>52</v>
      </c>
      <c r="P1236" s="1" t="s">
        <v>68</v>
      </c>
      <c r="Q1236" s="1">
        <v>13</v>
      </c>
      <c r="R1236" s="1">
        <v>0</v>
      </c>
      <c r="S1236" s="1">
        <v>0</v>
      </c>
      <c r="T1236" s="1">
        <v>13</v>
      </c>
      <c r="U1236" s="1">
        <v>0</v>
      </c>
      <c r="V1236" s="1" t="str">
        <f t="shared" si="175"/>
        <v>里程返程</v>
      </c>
      <c r="W1236" s="1" t="s">
        <v>29</v>
      </c>
    </row>
    <row r="1237" spans="1:23" x14ac:dyDescent="0.3">
      <c r="A1237" s="1" t="str">
        <f t="shared" si="176"/>
        <v>59825</v>
      </c>
      <c r="B1237" s="1" t="s">
        <v>30</v>
      </c>
      <c r="C1237" s="1" t="s">
        <v>31</v>
      </c>
      <c r="D1237" s="1" t="str">
        <f t="shared" si="174"/>
        <v>9801</v>
      </c>
      <c r="E1237" s="1" t="s">
        <v>25</v>
      </c>
      <c r="F1237" s="1" t="str">
        <f>"D156B025128804004328091300060212"</f>
        <v>D156B025128804004328091300060212</v>
      </c>
      <c r="G1237" s="1" t="s">
        <v>58</v>
      </c>
      <c r="H1237" s="1" t="str">
        <f t="shared" si="172"/>
        <v>20220918</v>
      </c>
      <c r="I1237" s="1" t="str">
        <f>"095345"</f>
        <v>095345</v>
      </c>
      <c r="J1237" s="1" t="s">
        <v>28</v>
      </c>
      <c r="K1237" s="1" t="s">
        <v>28</v>
      </c>
      <c r="L1237" s="1" t="str">
        <f t="shared" si="173"/>
        <v>20220918</v>
      </c>
      <c r="M1237" s="1" t="str">
        <f>"102412"</f>
        <v>102412</v>
      </c>
      <c r="N1237" s="1" t="s">
        <v>52</v>
      </c>
      <c r="O1237" s="1" t="s">
        <v>52</v>
      </c>
      <c r="P1237" s="1" t="s">
        <v>55</v>
      </c>
      <c r="Q1237" s="1">
        <v>25</v>
      </c>
      <c r="R1237" s="1">
        <v>25</v>
      </c>
      <c r="S1237" s="1">
        <v>0</v>
      </c>
      <c r="T1237" s="1">
        <v>0</v>
      </c>
      <c r="U1237" s="1">
        <v>0</v>
      </c>
      <c r="V1237" s="1" t="str">
        <f t="shared" si="175"/>
        <v>里程返程</v>
      </c>
      <c r="W1237" s="1" t="s">
        <v>29</v>
      </c>
    </row>
    <row r="1238" spans="1:23" x14ac:dyDescent="0.3">
      <c r="A1238" s="1" t="str">
        <f t="shared" si="176"/>
        <v>59825</v>
      </c>
      <c r="B1238" s="1" t="s">
        <v>30</v>
      </c>
      <c r="C1238" s="1" t="s">
        <v>31</v>
      </c>
      <c r="D1238" s="1" t="str">
        <f t="shared" si="174"/>
        <v>9801</v>
      </c>
      <c r="E1238" s="1" t="s">
        <v>25</v>
      </c>
      <c r="F1238" s="1" t="str">
        <f>"42C16902E8880400C821002000000015"</f>
        <v>42C16902E8880400C821002000000015</v>
      </c>
      <c r="G1238" s="1" t="s">
        <v>58</v>
      </c>
      <c r="H1238" s="1" t="str">
        <f t="shared" si="172"/>
        <v>20220918</v>
      </c>
      <c r="I1238" s="1" t="str">
        <f>"095351"</f>
        <v>095351</v>
      </c>
      <c r="J1238" s="1" t="s">
        <v>28</v>
      </c>
      <c r="K1238" s="1" t="s">
        <v>28</v>
      </c>
      <c r="L1238" s="1" t="str">
        <f t="shared" si="173"/>
        <v>20220918</v>
      </c>
      <c r="M1238" s="1" t="str">
        <f>"102415"</f>
        <v>102415</v>
      </c>
      <c r="N1238" s="1" t="s">
        <v>52</v>
      </c>
      <c r="O1238" s="1" t="s">
        <v>52</v>
      </c>
      <c r="P1238" s="1" t="s">
        <v>55</v>
      </c>
      <c r="Q1238" s="1">
        <v>25</v>
      </c>
      <c r="R1238" s="1">
        <v>25</v>
      </c>
      <c r="S1238" s="1">
        <v>0</v>
      </c>
      <c r="T1238" s="1">
        <v>0</v>
      </c>
      <c r="U1238" s="1">
        <v>0</v>
      </c>
      <c r="V1238" s="1" t="str">
        <f t="shared" si="175"/>
        <v>里程返程</v>
      </c>
      <c r="W1238" s="1" t="s">
        <v>29</v>
      </c>
    </row>
    <row r="1239" spans="1:23" x14ac:dyDescent="0.3">
      <c r="A1239" s="1" t="str">
        <f t="shared" si="176"/>
        <v>59825</v>
      </c>
      <c r="B1239" s="1" t="s">
        <v>30</v>
      </c>
      <c r="C1239" s="1" t="s">
        <v>31</v>
      </c>
      <c r="D1239" s="1" t="str">
        <f t="shared" si="174"/>
        <v>9801</v>
      </c>
      <c r="E1239" s="1" t="s">
        <v>25</v>
      </c>
      <c r="F1239" s="1" t="str">
        <f>"1174552241"</f>
        <v>1174552241</v>
      </c>
      <c r="G1239" s="1" t="s">
        <v>33</v>
      </c>
      <c r="H1239" s="1" t="str">
        <f t="shared" si="172"/>
        <v>20220918</v>
      </c>
      <c r="I1239" s="1" t="str">
        <f>"095441"</f>
        <v>095441</v>
      </c>
      <c r="J1239" s="1" t="s">
        <v>28</v>
      </c>
      <c r="K1239" s="1" t="s">
        <v>28</v>
      </c>
      <c r="L1239" s="1" t="str">
        <f t="shared" si="173"/>
        <v>20220918</v>
      </c>
      <c r="M1239" s="1" t="str">
        <f>"102408"</f>
        <v>102408</v>
      </c>
      <c r="N1239" s="1" t="s">
        <v>52</v>
      </c>
      <c r="O1239" s="1" t="s">
        <v>52</v>
      </c>
      <c r="P1239" s="1" t="s">
        <v>55</v>
      </c>
      <c r="Q1239" s="1">
        <v>25</v>
      </c>
      <c r="R1239" s="1">
        <v>25</v>
      </c>
      <c r="S1239" s="1">
        <v>0</v>
      </c>
      <c r="T1239" s="1">
        <v>0</v>
      </c>
      <c r="U1239" s="1">
        <v>0</v>
      </c>
      <c r="V1239" s="1" t="str">
        <f t="shared" si="175"/>
        <v>里程返程</v>
      </c>
      <c r="W1239" s="1" t="s">
        <v>35</v>
      </c>
    </row>
    <row r="1240" spans="1:23" x14ac:dyDescent="0.3">
      <c r="A1240" s="1" t="str">
        <f t="shared" si="176"/>
        <v>59825</v>
      </c>
      <c r="B1240" s="1" t="s">
        <v>30</v>
      </c>
      <c r="C1240" s="1" t="s">
        <v>31</v>
      </c>
      <c r="D1240" s="1" t="str">
        <f t="shared" si="174"/>
        <v>9801</v>
      </c>
      <c r="E1240" s="1" t="s">
        <v>25</v>
      </c>
      <c r="F1240" s="1" t="str">
        <f>"820020997"</f>
        <v>820020997</v>
      </c>
      <c r="G1240" s="1" t="s">
        <v>33</v>
      </c>
      <c r="H1240" s="1" t="str">
        <f t="shared" si="172"/>
        <v>20220918</v>
      </c>
      <c r="I1240" s="1" t="str">
        <f>"102453"</f>
        <v>102453</v>
      </c>
      <c r="J1240" s="1" t="s">
        <v>44</v>
      </c>
      <c r="K1240" s="1" t="s">
        <v>45</v>
      </c>
      <c r="L1240" s="1" t="str">
        <f t="shared" si="173"/>
        <v>20220918</v>
      </c>
      <c r="M1240" s="1" t="str">
        <f>"104451"</f>
        <v>104451</v>
      </c>
      <c r="N1240" s="1" t="s">
        <v>45</v>
      </c>
      <c r="O1240" s="1" t="s">
        <v>45</v>
      </c>
      <c r="P1240" s="1" t="s">
        <v>55</v>
      </c>
      <c r="Q1240" s="1">
        <v>25</v>
      </c>
      <c r="R1240" s="1">
        <v>25</v>
      </c>
      <c r="S1240" s="1">
        <v>0</v>
      </c>
      <c r="T1240" s="1">
        <v>0</v>
      </c>
      <c r="U1240" s="1">
        <v>0</v>
      </c>
      <c r="V1240" s="1" t="str">
        <f t="shared" si="175"/>
        <v>里程返程</v>
      </c>
      <c r="W1240" s="1" t="s">
        <v>35</v>
      </c>
    </row>
    <row r="1241" spans="1:23" x14ac:dyDescent="0.3">
      <c r="A1241" s="1" t="str">
        <f t="shared" si="176"/>
        <v>59825</v>
      </c>
      <c r="B1241" s="1" t="s">
        <v>30</v>
      </c>
      <c r="C1241" s="1" t="s">
        <v>31</v>
      </c>
      <c r="D1241" s="1" t="str">
        <f t="shared" si="174"/>
        <v>9801</v>
      </c>
      <c r="E1241" s="1" t="s">
        <v>25</v>
      </c>
      <c r="F1241" s="1" t="str">
        <f>"608806689"</f>
        <v>608806689</v>
      </c>
      <c r="G1241" s="1" t="s">
        <v>33</v>
      </c>
      <c r="H1241" s="1" t="str">
        <f t="shared" si="172"/>
        <v>20220918</v>
      </c>
      <c r="I1241" s="1" t="str">
        <f>"102500"</f>
        <v>102500</v>
      </c>
      <c r="J1241" s="1" t="s">
        <v>44</v>
      </c>
      <c r="K1241" s="1" t="s">
        <v>45</v>
      </c>
      <c r="L1241" s="1" t="str">
        <f t="shared" si="173"/>
        <v>20220918</v>
      </c>
      <c r="M1241" s="1" t="str">
        <f>"104454"</f>
        <v>104454</v>
      </c>
      <c r="N1241" s="1" t="s">
        <v>45</v>
      </c>
      <c r="O1241" s="1" t="s">
        <v>45</v>
      </c>
      <c r="P1241" s="1" t="s">
        <v>55</v>
      </c>
      <c r="Q1241" s="1">
        <v>25</v>
      </c>
      <c r="R1241" s="1">
        <v>25</v>
      </c>
      <c r="S1241" s="1">
        <v>0</v>
      </c>
      <c r="T1241" s="1">
        <v>0</v>
      </c>
      <c r="U1241" s="1">
        <v>0</v>
      </c>
      <c r="V1241" s="1" t="str">
        <f t="shared" si="175"/>
        <v>里程返程</v>
      </c>
      <c r="W1241" s="1" t="s">
        <v>35</v>
      </c>
    </row>
    <row r="1242" spans="1:23" x14ac:dyDescent="0.3">
      <c r="A1242" s="1" t="str">
        <f t="shared" si="176"/>
        <v>59825</v>
      </c>
      <c r="B1242" s="1" t="s">
        <v>30</v>
      </c>
      <c r="C1242" s="1" t="s">
        <v>110</v>
      </c>
      <c r="D1242" s="1" t="str">
        <f t="shared" si="174"/>
        <v>9801</v>
      </c>
      <c r="E1242" s="1" t="s">
        <v>25</v>
      </c>
      <c r="F1242" s="1" t="str">
        <f>"7511180856005481"</f>
        <v>7511180856005481</v>
      </c>
      <c r="G1242" s="1" t="s">
        <v>33</v>
      </c>
      <c r="H1242" s="1" t="str">
        <f t="shared" si="172"/>
        <v>20220918</v>
      </c>
      <c r="I1242" s="1" t="str">
        <f>"102514"</f>
        <v>102514</v>
      </c>
      <c r="J1242" s="1" t="s">
        <v>44</v>
      </c>
      <c r="K1242" s="1" t="s">
        <v>45</v>
      </c>
      <c r="L1242" s="1" t="str">
        <f t="shared" si="173"/>
        <v>20220918</v>
      </c>
      <c r="M1242" s="1" t="str">
        <f>"104448"</f>
        <v>104448</v>
      </c>
      <c r="N1242" s="1" t="s">
        <v>45</v>
      </c>
      <c r="O1242" s="1" t="s">
        <v>45</v>
      </c>
      <c r="P1242" s="1" t="s">
        <v>55</v>
      </c>
      <c r="Q1242" s="1">
        <v>25</v>
      </c>
      <c r="R1242" s="1">
        <v>25</v>
      </c>
      <c r="S1242" s="1">
        <v>0</v>
      </c>
      <c r="T1242" s="1">
        <v>0</v>
      </c>
      <c r="U1242" s="1">
        <v>0</v>
      </c>
      <c r="V1242" s="1" t="str">
        <f t="shared" si="175"/>
        <v>里程返程</v>
      </c>
      <c r="W1242" s="1" t="s">
        <v>109</v>
      </c>
    </row>
    <row r="1243" spans="1:23" x14ac:dyDescent="0.3">
      <c r="A1243" s="1" t="str">
        <f t="shared" si="176"/>
        <v>59825</v>
      </c>
      <c r="B1243" s="1" t="s">
        <v>30</v>
      </c>
      <c r="C1243" s="1" t="s">
        <v>31</v>
      </c>
      <c r="D1243" s="1" t="str">
        <f t="shared" si="174"/>
        <v>9801</v>
      </c>
      <c r="E1243" s="1" t="s">
        <v>25</v>
      </c>
      <c r="F1243" s="1" t="str">
        <f>"42720D033E880400C834002000000015"</f>
        <v>42720D033E880400C834002000000015</v>
      </c>
      <c r="G1243" s="1" t="s">
        <v>26</v>
      </c>
      <c r="H1243" s="1" t="str">
        <f t="shared" si="172"/>
        <v>20220918</v>
      </c>
      <c r="I1243" s="1" t="str">
        <f>"102517"</f>
        <v>102517</v>
      </c>
      <c r="J1243" s="1" t="s">
        <v>44</v>
      </c>
      <c r="K1243" s="1" t="s">
        <v>45</v>
      </c>
      <c r="L1243" s="1" t="str">
        <f t="shared" si="173"/>
        <v>20220918</v>
      </c>
      <c r="M1243" s="1" t="str">
        <f>"105059"</f>
        <v>105059</v>
      </c>
      <c r="N1243" s="1" t="s">
        <v>27</v>
      </c>
      <c r="O1243" s="1" t="s">
        <v>28</v>
      </c>
      <c r="P1243" s="1" t="s">
        <v>68</v>
      </c>
      <c r="Q1243" s="1">
        <v>13</v>
      </c>
      <c r="R1243" s="1">
        <v>0</v>
      </c>
      <c r="S1243" s="1">
        <v>0</v>
      </c>
      <c r="T1243" s="1">
        <v>13</v>
      </c>
      <c r="U1243" s="1">
        <v>0</v>
      </c>
      <c r="V1243" s="1" t="str">
        <f t="shared" si="175"/>
        <v>里程返程</v>
      </c>
      <c r="W1243" s="1" t="s">
        <v>29</v>
      </c>
    </row>
    <row r="1244" spans="1:23" x14ac:dyDescent="0.3">
      <c r="A1244" s="1" t="str">
        <f t="shared" si="176"/>
        <v>59825</v>
      </c>
      <c r="B1244" s="1" t="s">
        <v>30</v>
      </c>
      <c r="C1244" s="1" t="s">
        <v>31</v>
      </c>
      <c r="D1244" s="1" t="str">
        <f t="shared" si="174"/>
        <v>9801</v>
      </c>
      <c r="E1244" s="1" t="s">
        <v>25</v>
      </c>
      <c r="F1244" s="1" t="str">
        <f>"1102406645"</f>
        <v>1102406645</v>
      </c>
      <c r="G1244" s="1" t="s">
        <v>33</v>
      </c>
      <c r="H1244" s="1" t="str">
        <f t="shared" si="172"/>
        <v>20220918</v>
      </c>
      <c r="I1244" s="1" t="str">
        <f>"102520"</f>
        <v>102520</v>
      </c>
      <c r="J1244" s="1" t="s">
        <v>44</v>
      </c>
      <c r="K1244" s="1" t="s">
        <v>45</v>
      </c>
      <c r="L1244" s="1" t="str">
        <f t="shared" si="173"/>
        <v>20220918</v>
      </c>
      <c r="M1244" s="1" t="str">
        <f>"104444"</f>
        <v>104444</v>
      </c>
      <c r="N1244" s="1" t="s">
        <v>45</v>
      </c>
      <c r="O1244" s="1" t="s">
        <v>45</v>
      </c>
      <c r="P1244" s="1" t="s">
        <v>55</v>
      </c>
      <c r="Q1244" s="1">
        <v>25</v>
      </c>
      <c r="R1244" s="1">
        <v>25</v>
      </c>
      <c r="S1244" s="1">
        <v>0</v>
      </c>
      <c r="T1244" s="1">
        <v>0</v>
      </c>
      <c r="U1244" s="1">
        <v>0</v>
      </c>
      <c r="V1244" s="1" t="str">
        <f t="shared" si="175"/>
        <v>里程返程</v>
      </c>
      <c r="W1244" s="1" t="s">
        <v>35</v>
      </c>
    </row>
    <row r="1245" spans="1:23" x14ac:dyDescent="0.3">
      <c r="A1245" s="1" t="str">
        <f t="shared" si="176"/>
        <v>59825</v>
      </c>
      <c r="B1245" s="1" t="s">
        <v>30</v>
      </c>
      <c r="C1245" s="1" t="s">
        <v>31</v>
      </c>
      <c r="D1245" s="1" t="str">
        <f t="shared" si="174"/>
        <v>9801</v>
      </c>
      <c r="E1245" s="1" t="s">
        <v>25</v>
      </c>
      <c r="F1245" s="1" t="str">
        <f>"1240765621"</f>
        <v>1240765621</v>
      </c>
      <c r="G1245" s="1" t="s">
        <v>26</v>
      </c>
      <c r="H1245" s="1" t="str">
        <f t="shared" si="172"/>
        <v>20220918</v>
      </c>
      <c r="I1245" s="1" t="str">
        <f>"104150"</f>
        <v>104150</v>
      </c>
      <c r="J1245" s="1" t="s">
        <v>61</v>
      </c>
      <c r="K1245" s="1" t="s">
        <v>45</v>
      </c>
      <c r="L1245" s="1" t="str">
        <f t="shared" si="173"/>
        <v>20220918</v>
      </c>
      <c r="M1245" s="1" t="str">
        <f>"105356"</f>
        <v>105356</v>
      </c>
      <c r="N1245" s="1" t="s">
        <v>84</v>
      </c>
      <c r="O1245" s="1" t="s">
        <v>28</v>
      </c>
      <c r="P1245" s="1" t="s">
        <v>55</v>
      </c>
      <c r="Q1245" s="1">
        <v>13</v>
      </c>
      <c r="R1245" s="1">
        <v>13</v>
      </c>
      <c r="S1245" s="1">
        <v>0</v>
      </c>
      <c r="T1245" s="1">
        <v>0</v>
      </c>
      <c r="U1245" s="1">
        <v>0</v>
      </c>
      <c r="V1245" s="1" t="str">
        <f t="shared" si="175"/>
        <v>里程返程</v>
      </c>
      <c r="W1245" s="1" t="s">
        <v>35</v>
      </c>
    </row>
    <row r="1246" spans="1:23" x14ac:dyDescent="0.3">
      <c r="A1246" s="1" t="str">
        <f t="shared" si="176"/>
        <v>59825</v>
      </c>
      <c r="B1246" s="1" t="s">
        <v>30</v>
      </c>
      <c r="C1246" s="1" t="s">
        <v>31</v>
      </c>
      <c r="D1246" s="1" t="str">
        <f t="shared" si="174"/>
        <v>9801</v>
      </c>
      <c r="E1246" s="1" t="s">
        <v>25</v>
      </c>
      <c r="F1246" s="1" t="str">
        <f>"976682245"</f>
        <v>976682245</v>
      </c>
      <c r="G1246" s="1" t="s">
        <v>33</v>
      </c>
      <c r="H1246" s="1" t="str">
        <f t="shared" si="172"/>
        <v>20220918</v>
      </c>
      <c r="I1246" s="1" t="str">
        <f>"104154"</f>
        <v>104154</v>
      </c>
      <c r="J1246" s="1" t="s">
        <v>61</v>
      </c>
      <c r="K1246" s="1" t="s">
        <v>45</v>
      </c>
      <c r="L1246" s="1" t="str">
        <f t="shared" si="173"/>
        <v>20220918</v>
      </c>
      <c r="M1246" s="1" t="str">
        <f>"105400"</f>
        <v>105400</v>
      </c>
      <c r="N1246" s="1" t="s">
        <v>84</v>
      </c>
      <c r="O1246" s="1" t="s">
        <v>28</v>
      </c>
      <c r="P1246" s="1" t="s">
        <v>55</v>
      </c>
      <c r="Q1246" s="1">
        <v>25</v>
      </c>
      <c r="R1246" s="1">
        <v>25</v>
      </c>
      <c r="S1246" s="1">
        <v>0</v>
      </c>
      <c r="T1246" s="1">
        <v>0</v>
      </c>
      <c r="U1246" s="1">
        <v>0</v>
      </c>
      <c r="V1246" s="1" t="str">
        <f t="shared" si="175"/>
        <v>里程返程</v>
      </c>
      <c r="W1246" s="1" t="s">
        <v>35</v>
      </c>
    </row>
    <row r="1247" spans="1:23" x14ac:dyDescent="0.3">
      <c r="A1247" s="1" t="str">
        <f t="shared" si="176"/>
        <v>59825</v>
      </c>
      <c r="B1247" s="1" t="s">
        <v>30</v>
      </c>
      <c r="C1247" s="1" t="s">
        <v>31</v>
      </c>
      <c r="D1247" s="1" t="str">
        <f t="shared" si="174"/>
        <v>9801</v>
      </c>
      <c r="E1247" s="1" t="s">
        <v>25</v>
      </c>
      <c r="F1247" s="1" t="str">
        <f>"E213BD024E880400C834002000000015"</f>
        <v>E213BD024E880400C834002000000015</v>
      </c>
      <c r="G1247" s="1" t="s">
        <v>74</v>
      </c>
      <c r="H1247" s="1" t="str">
        <f t="shared" si="172"/>
        <v>20220918</v>
      </c>
      <c r="I1247" s="1" t="str">
        <f>"105408"</f>
        <v>105408</v>
      </c>
      <c r="J1247" s="1" t="s">
        <v>85</v>
      </c>
      <c r="K1247" s="1" t="s">
        <v>28</v>
      </c>
      <c r="L1247" s="1" t="str">
        <f t="shared" si="173"/>
        <v>20220918</v>
      </c>
      <c r="M1247" s="1" t="str">
        <f>"111841"</f>
        <v>111841</v>
      </c>
      <c r="N1247" s="1" t="s">
        <v>65</v>
      </c>
      <c r="O1247" s="1" t="s">
        <v>52</v>
      </c>
      <c r="P1247" s="1" t="s">
        <v>68</v>
      </c>
      <c r="Q1247" s="1">
        <v>13</v>
      </c>
      <c r="R1247" s="1">
        <v>0</v>
      </c>
      <c r="S1247" s="1">
        <v>0</v>
      </c>
      <c r="T1247" s="1">
        <v>13</v>
      </c>
      <c r="U1247" s="1">
        <v>0</v>
      </c>
      <c r="V1247" s="1" t="str">
        <f t="shared" si="175"/>
        <v>里程返程</v>
      </c>
      <c r="W1247" s="1" t="s">
        <v>29</v>
      </c>
    </row>
    <row r="1248" spans="1:23" x14ac:dyDescent="0.3">
      <c r="A1248" s="1" t="str">
        <f t="shared" si="176"/>
        <v>59825</v>
      </c>
      <c r="B1248" s="1" t="s">
        <v>30</v>
      </c>
      <c r="C1248" s="1" t="s">
        <v>31</v>
      </c>
      <c r="D1248" s="1" t="str">
        <f t="shared" si="174"/>
        <v>9801</v>
      </c>
      <c r="E1248" s="1" t="s">
        <v>25</v>
      </c>
      <c r="F1248" s="1" t="str">
        <f>"2049879152"</f>
        <v>2049879152</v>
      </c>
      <c r="G1248" s="1" t="s">
        <v>33</v>
      </c>
      <c r="H1248" s="1" t="str">
        <f t="shared" si="172"/>
        <v>20220918</v>
      </c>
      <c r="I1248" s="1" t="str">
        <f>"113646"</f>
        <v>113646</v>
      </c>
      <c r="J1248" s="1" t="s">
        <v>91</v>
      </c>
      <c r="K1248" s="1" t="s">
        <v>45</v>
      </c>
      <c r="L1248" s="1" t="str">
        <f t="shared" si="173"/>
        <v>20220918</v>
      </c>
      <c r="M1248" s="1" t="str">
        <f>"115202"</f>
        <v>115202</v>
      </c>
      <c r="N1248" s="1" t="s">
        <v>28</v>
      </c>
      <c r="O1248" s="1" t="s">
        <v>28</v>
      </c>
      <c r="P1248" s="1" t="s">
        <v>55</v>
      </c>
      <c r="Q1248" s="1">
        <v>25</v>
      </c>
      <c r="R1248" s="1">
        <v>25</v>
      </c>
      <c r="S1248" s="1">
        <v>0</v>
      </c>
      <c r="T1248" s="1">
        <v>0</v>
      </c>
      <c r="U1248" s="1">
        <v>0</v>
      </c>
      <c r="V1248" s="1" t="str">
        <f t="shared" si="175"/>
        <v>里程返程</v>
      </c>
      <c r="W1248" s="1" t="s">
        <v>35</v>
      </c>
    </row>
    <row r="1249" spans="1:23" x14ac:dyDescent="0.3">
      <c r="A1249" s="1" t="str">
        <f t="shared" si="176"/>
        <v>59825</v>
      </c>
      <c r="B1249" s="1" t="s">
        <v>30</v>
      </c>
      <c r="C1249" s="1" t="s">
        <v>31</v>
      </c>
      <c r="D1249" s="1" t="str">
        <f t="shared" si="174"/>
        <v>9801</v>
      </c>
      <c r="E1249" s="1" t="s">
        <v>25</v>
      </c>
      <c r="F1249" s="1" t="str">
        <f>"621778673"</f>
        <v>621778673</v>
      </c>
      <c r="G1249" s="1" t="s">
        <v>33</v>
      </c>
      <c r="H1249" s="1" t="str">
        <f t="shared" si="172"/>
        <v>20220918</v>
      </c>
      <c r="I1249" s="1" t="str">
        <f>"113649"</f>
        <v>113649</v>
      </c>
      <c r="J1249" s="1" t="s">
        <v>91</v>
      </c>
      <c r="K1249" s="1" t="s">
        <v>45</v>
      </c>
      <c r="L1249" s="1" t="str">
        <f t="shared" si="173"/>
        <v>20220918</v>
      </c>
      <c r="M1249" s="1" t="str">
        <f>"115204"</f>
        <v>115204</v>
      </c>
      <c r="N1249" s="1" t="s">
        <v>28</v>
      </c>
      <c r="O1249" s="1" t="s">
        <v>28</v>
      </c>
      <c r="P1249" s="1" t="s">
        <v>55</v>
      </c>
      <c r="Q1249" s="1">
        <v>25</v>
      </c>
      <c r="R1249" s="1">
        <v>25</v>
      </c>
      <c r="S1249" s="1">
        <v>0</v>
      </c>
      <c r="T1249" s="1">
        <v>0</v>
      </c>
      <c r="U1249" s="1">
        <v>0</v>
      </c>
      <c r="V1249" s="1" t="str">
        <f t="shared" si="175"/>
        <v>里程返程</v>
      </c>
      <c r="W1249" s="1" t="s">
        <v>35</v>
      </c>
    </row>
    <row r="1250" spans="1:23" x14ac:dyDescent="0.3">
      <c r="A1250" s="1" t="str">
        <f t="shared" si="176"/>
        <v>59825</v>
      </c>
      <c r="B1250" s="1" t="s">
        <v>30</v>
      </c>
      <c r="C1250" s="1" t="s">
        <v>31</v>
      </c>
      <c r="D1250" s="1" t="str">
        <f t="shared" si="174"/>
        <v>9801</v>
      </c>
      <c r="E1250" s="1" t="s">
        <v>25</v>
      </c>
      <c r="F1250" s="1" t="str">
        <f>"0144DC41D8280400F700000000000000"</f>
        <v>0144DC41D8280400F700000000000000</v>
      </c>
      <c r="G1250" s="1" t="s">
        <v>58</v>
      </c>
      <c r="H1250" s="1" t="str">
        <f t="shared" si="172"/>
        <v>20220918</v>
      </c>
      <c r="I1250" s="1" t="str">
        <f>"115211"</f>
        <v>115211</v>
      </c>
      <c r="J1250" s="1" t="s">
        <v>28</v>
      </c>
      <c r="K1250" s="1" t="s">
        <v>28</v>
      </c>
      <c r="L1250" s="1" t="str">
        <f t="shared" si="173"/>
        <v>20220918</v>
      </c>
      <c r="M1250" s="1" t="str">
        <f>"121828"</f>
        <v>121828</v>
      </c>
      <c r="N1250" s="1" t="s">
        <v>51</v>
      </c>
      <c r="O1250" s="1" t="s">
        <v>52</v>
      </c>
      <c r="P1250" s="1" t="s">
        <v>55</v>
      </c>
      <c r="Q1250" s="1">
        <v>25</v>
      </c>
      <c r="R1250" s="1">
        <v>0</v>
      </c>
      <c r="S1250" s="1">
        <v>25</v>
      </c>
      <c r="T1250" s="1">
        <v>0</v>
      </c>
      <c r="U1250" s="1">
        <v>0</v>
      </c>
      <c r="V1250" s="1" t="str">
        <f t="shared" si="175"/>
        <v>里程返程</v>
      </c>
      <c r="W1250" s="1" t="s">
        <v>29</v>
      </c>
    </row>
    <row r="1251" spans="1:23" x14ac:dyDescent="0.3">
      <c r="A1251" s="1" t="str">
        <f t="shared" si="176"/>
        <v>59825</v>
      </c>
      <c r="B1251" s="1" t="s">
        <v>30</v>
      </c>
      <c r="C1251" s="1" t="s">
        <v>31</v>
      </c>
      <c r="D1251" s="1" t="str">
        <f t="shared" si="174"/>
        <v>9801</v>
      </c>
      <c r="E1251" s="1" t="s">
        <v>25</v>
      </c>
      <c r="F1251" s="1" t="str">
        <f>"6131B94FA62804001C00000000000000"</f>
        <v>6131B94FA62804001C00000000000000</v>
      </c>
      <c r="G1251" s="1" t="s">
        <v>58</v>
      </c>
      <c r="H1251" s="1" t="str">
        <f t="shared" si="172"/>
        <v>20220918</v>
      </c>
      <c r="I1251" s="1" t="str">
        <f>"115219"</f>
        <v>115219</v>
      </c>
      <c r="J1251" s="1" t="s">
        <v>28</v>
      </c>
      <c r="K1251" s="1" t="s">
        <v>28</v>
      </c>
      <c r="L1251" s="1" t="str">
        <f t="shared" si="173"/>
        <v>20220918</v>
      </c>
      <c r="M1251" s="1" t="str">
        <f>"121110"</f>
        <v>121110</v>
      </c>
      <c r="N1251" s="1" t="s">
        <v>77</v>
      </c>
      <c r="O1251" s="1" t="s">
        <v>52</v>
      </c>
      <c r="P1251" s="1" t="s">
        <v>55</v>
      </c>
      <c r="Q1251" s="1">
        <v>25</v>
      </c>
      <c r="R1251" s="1">
        <v>25</v>
      </c>
      <c r="S1251" s="1">
        <v>0</v>
      </c>
      <c r="T1251" s="1">
        <v>0</v>
      </c>
      <c r="U1251" s="1">
        <v>0</v>
      </c>
      <c r="V1251" s="1" t="str">
        <f t="shared" si="175"/>
        <v>里程返程</v>
      </c>
      <c r="W1251" s="1" t="s">
        <v>29</v>
      </c>
    </row>
    <row r="1252" spans="1:23" x14ac:dyDescent="0.3">
      <c r="A1252" s="1" t="str">
        <f t="shared" si="176"/>
        <v>59825</v>
      </c>
      <c r="B1252" s="1" t="s">
        <v>30</v>
      </c>
      <c r="C1252" s="1" t="s">
        <v>31</v>
      </c>
      <c r="D1252" s="1" t="str">
        <f t="shared" si="174"/>
        <v>9801</v>
      </c>
      <c r="E1252" s="1" t="s">
        <v>25</v>
      </c>
      <c r="F1252" s="1" t="str">
        <f>"1257741061"</f>
        <v>1257741061</v>
      </c>
      <c r="G1252" s="1" t="s">
        <v>33</v>
      </c>
      <c r="H1252" s="1" t="str">
        <f t="shared" si="172"/>
        <v>20220918</v>
      </c>
      <c r="I1252" s="1" t="str">
        <f>"115221"</f>
        <v>115221</v>
      </c>
      <c r="J1252" s="1" t="s">
        <v>28</v>
      </c>
      <c r="K1252" s="1" t="s">
        <v>28</v>
      </c>
      <c r="L1252" s="1" t="str">
        <f t="shared" si="173"/>
        <v>20220918</v>
      </c>
      <c r="M1252" s="1" t="str">
        <f>"122435"</f>
        <v>122435</v>
      </c>
      <c r="N1252" s="1" t="s">
        <v>52</v>
      </c>
      <c r="O1252" s="1" t="s">
        <v>52</v>
      </c>
      <c r="P1252" s="1" t="s">
        <v>55</v>
      </c>
      <c r="Q1252" s="1">
        <v>25</v>
      </c>
      <c r="R1252" s="1">
        <v>25</v>
      </c>
      <c r="S1252" s="1">
        <v>0</v>
      </c>
      <c r="T1252" s="1">
        <v>0</v>
      </c>
      <c r="U1252" s="1">
        <v>0</v>
      </c>
      <c r="V1252" s="1" t="str">
        <f t="shared" si="175"/>
        <v>里程返程</v>
      </c>
      <c r="W1252" s="1" t="s">
        <v>35</v>
      </c>
    </row>
    <row r="1253" spans="1:23" x14ac:dyDescent="0.3">
      <c r="A1253" s="1" t="str">
        <f t="shared" si="176"/>
        <v>59825</v>
      </c>
      <c r="B1253" s="1" t="s">
        <v>30</v>
      </c>
      <c r="C1253" s="1" t="s">
        <v>31</v>
      </c>
      <c r="D1253" s="1" t="str">
        <f t="shared" si="174"/>
        <v>9801</v>
      </c>
      <c r="E1253" s="1" t="s">
        <v>25</v>
      </c>
      <c r="F1253" s="1" t="str">
        <f>"1740615365"</f>
        <v>1740615365</v>
      </c>
      <c r="G1253" s="1" t="s">
        <v>33</v>
      </c>
      <c r="H1253" s="1" t="str">
        <f t="shared" si="172"/>
        <v>20220918</v>
      </c>
      <c r="I1253" s="1" t="str">
        <f>"115230"</f>
        <v>115230</v>
      </c>
      <c r="J1253" s="1" t="s">
        <v>28</v>
      </c>
      <c r="K1253" s="1" t="s">
        <v>28</v>
      </c>
      <c r="L1253" s="1" t="str">
        <f t="shared" si="173"/>
        <v>20220918</v>
      </c>
      <c r="M1253" s="1" t="str">
        <f>"122432"</f>
        <v>122432</v>
      </c>
      <c r="N1253" s="1" t="s">
        <v>52</v>
      </c>
      <c r="O1253" s="1" t="s">
        <v>52</v>
      </c>
      <c r="P1253" s="1" t="s">
        <v>55</v>
      </c>
      <c r="Q1253" s="1">
        <v>25</v>
      </c>
      <c r="R1253" s="1">
        <v>0</v>
      </c>
      <c r="S1253" s="1">
        <v>25</v>
      </c>
      <c r="T1253" s="1">
        <v>0</v>
      </c>
      <c r="U1253" s="1">
        <v>0</v>
      </c>
      <c r="V1253" s="1" t="str">
        <f t="shared" si="175"/>
        <v>里程返程</v>
      </c>
      <c r="W1253" s="1" t="s">
        <v>35</v>
      </c>
    </row>
    <row r="1254" spans="1:23" x14ac:dyDescent="0.3">
      <c r="A1254" s="1" t="str">
        <f t="shared" si="176"/>
        <v>59825</v>
      </c>
      <c r="B1254" s="1" t="s">
        <v>30</v>
      </c>
      <c r="C1254" s="1" t="s">
        <v>31</v>
      </c>
      <c r="D1254" s="1" t="str">
        <f t="shared" si="174"/>
        <v>9801</v>
      </c>
      <c r="E1254" s="1" t="s">
        <v>25</v>
      </c>
      <c r="F1254" s="1" t="str">
        <f>"0205220722880400C838002000000015"</f>
        <v>0205220722880400C838002000000015</v>
      </c>
      <c r="G1254" s="1" t="s">
        <v>58</v>
      </c>
      <c r="H1254" s="1" t="str">
        <f t="shared" si="172"/>
        <v>20220918</v>
      </c>
      <c r="I1254" s="1" t="str">
        <f>"115234"</f>
        <v>115234</v>
      </c>
      <c r="J1254" s="1" t="s">
        <v>28</v>
      </c>
      <c r="K1254" s="1" t="s">
        <v>28</v>
      </c>
      <c r="L1254" s="1" t="str">
        <f t="shared" si="173"/>
        <v>20220918</v>
      </c>
      <c r="M1254" s="1" t="str">
        <f>"121418"</f>
        <v>121418</v>
      </c>
      <c r="N1254" s="1" t="s">
        <v>65</v>
      </c>
      <c r="O1254" s="1" t="s">
        <v>52</v>
      </c>
      <c r="P1254" s="1" t="s">
        <v>55</v>
      </c>
      <c r="Q1254" s="1">
        <v>25</v>
      </c>
      <c r="R1254" s="1">
        <v>0</v>
      </c>
      <c r="S1254" s="1">
        <v>25</v>
      </c>
      <c r="T1254" s="1">
        <v>0</v>
      </c>
      <c r="U1254" s="1">
        <v>0</v>
      </c>
      <c r="V1254" s="1" t="str">
        <f t="shared" si="175"/>
        <v>里程返程</v>
      </c>
      <c r="W1254" s="1" t="s">
        <v>29</v>
      </c>
    </row>
    <row r="1255" spans="1:23" x14ac:dyDescent="0.3">
      <c r="A1255" s="1" t="str">
        <f t="shared" si="176"/>
        <v>59825</v>
      </c>
      <c r="B1255" s="1" t="s">
        <v>30</v>
      </c>
      <c r="C1255" s="1" t="s">
        <v>31</v>
      </c>
      <c r="D1255" s="1" t="str">
        <f t="shared" si="174"/>
        <v>9801</v>
      </c>
      <c r="E1255" s="1" t="s">
        <v>25</v>
      </c>
      <c r="F1255" s="1" t="str">
        <f>"1503519329"</f>
        <v>1503519329</v>
      </c>
      <c r="G1255" s="1" t="s">
        <v>33</v>
      </c>
      <c r="H1255" s="1" t="str">
        <f t="shared" si="172"/>
        <v>20220918</v>
      </c>
      <c r="I1255" s="1" t="str">
        <f>"115246"</f>
        <v>115246</v>
      </c>
      <c r="J1255" s="1" t="s">
        <v>28</v>
      </c>
      <c r="K1255" s="1" t="s">
        <v>28</v>
      </c>
      <c r="L1255" s="1" t="str">
        <f t="shared" si="173"/>
        <v>20220918</v>
      </c>
      <c r="M1255" s="1" t="str">
        <f>"121448"</f>
        <v>121448</v>
      </c>
      <c r="N1255" s="1" t="s">
        <v>65</v>
      </c>
      <c r="O1255" s="1" t="s">
        <v>52</v>
      </c>
      <c r="P1255" s="1" t="s">
        <v>55</v>
      </c>
      <c r="Q1255" s="1">
        <v>25</v>
      </c>
      <c r="R1255" s="1">
        <v>25</v>
      </c>
      <c r="S1255" s="1">
        <v>0</v>
      </c>
      <c r="T1255" s="1">
        <v>0</v>
      </c>
      <c r="U1255" s="1">
        <v>0</v>
      </c>
      <c r="V1255" s="1" t="str">
        <f t="shared" si="175"/>
        <v>里程返程</v>
      </c>
      <c r="W1255" s="1" t="s">
        <v>35</v>
      </c>
    </row>
    <row r="1256" spans="1:23" x14ac:dyDescent="0.3">
      <c r="A1256" s="1" t="str">
        <f t="shared" si="176"/>
        <v>59825</v>
      </c>
      <c r="B1256" s="1" t="s">
        <v>30</v>
      </c>
      <c r="C1256" s="1" t="s">
        <v>31</v>
      </c>
      <c r="D1256" s="1" t="str">
        <f t="shared" si="174"/>
        <v>9801</v>
      </c>
      <c r="E1256" s="1" t="s">
        <v>25</v>
      </c>
      <c r="F1256" s="1" t="str">
        <f>"1612397969"</f>
        <v>1612397969</v>
      </c>
      <c r="G1256" s="1" t="s">
        <v>33</v>
      </c>
      <c r="H1256" s="1" t="str">
        <f t="shared" si="172"/>
        <v>20220918</v>
      </c>
      <c r="I1256" s="1" t="str">
        <f>"192505"</f>
        <v>192505</v>
      </c>
      <c r="J1256" s="1" t="s">
        <v>28</v>
      </c>
      <c r="K1256" s="1" t="s">
        <v>28</v>
      </c>
      <c r="L1256" s="1" t="str">
        <f t="shared" si="173"/>
        <v>20220918</v>
      </c>
      <c r="M1256" s="1" t="str">
        <f>"195554"</f>
        <v>195554</v>
      </c>
      <c r="N1256" s="1" t="s">
        <v>52</v>
      </c>
      <c r="O1256" s="1" t="s">
        <v>52</v>
      </c>
      <c r="P1256" s="1" t="s">
        <v>55</v>
      </c>
      <c r="Q1256" s="1">
        <v>25</v>
      </c>
      <c r="R1256" s="1">
        <v>0</v>
      </c>
      <c r="S1256" s="1">
        <v>25</v>
      </c>
      <c r="T1256" s="1">
        <v>0</v>
      </c>
      <c r="U1256" s="1">
        <v>0</v>
      </c>
      <c r="V1256" s="1" t="str">
        <f t="shared" si="175"/>
        <v>里程返程</v>
      </c>
      <c r="W1256" s="1" t="s">
        <v>35</v>
      </c>
    </row>
    <row r="1257" spans="1:23" x14ac:dyDescent="0.3">
      <c r="A1257" s="1" t="str">
        <f t="shared" si="176"/>
        <v>59825</v>
      </c>
      <c r="B1257" s="1" t="s">
        <v>30</v>
      </c>
      <c r="C1257" s="1" t="s">
        <v>31</v>
      </c>
      <c r="D1257" s="1" t="str">
        <f t="shared" si="174"/>
        <v>9801</v>
      </c>
      <c r="E1257" s="1" t="s">
        <v>25</v>
      </c>
      <c r="F1257" s="1" t="str">
        <f>"1129190405"</f>
        <v>1129190405</v>
      </c>
      <c r="G1257" s="1" t="s">
        <v>33</v>
      </c>
      <c r="H1257" s="1" t="str">
        <f t="shared" si="172"/>
        <v>20220918</v>
      </c>
      <c r="I1257" s="1" t="str">
        <f>"193122"</f>
        <v>193122</v>
      </c>
      <c r="J1257" s="1" t="s">
        <v>84</v>
      </c>
      <c r="K1257" s="1" t="s">
        <v>28</v>
      </c>
      <c r="L1257" s="1" t="str">
        <f t="shared" si="173"/>
        <v>20220918</v>
      </c>
      <c r="M1257" s="1" t="str">
        <f>"195550"</f>
        <v>195550</v>
      </c>
      <c r="N1257" s="1" t="s">
        <v>52</v>
      </c>
      <c r="O1257" s="1" t="s">
        <v>52</v>
      </c>
      <c r="P1257" s="1" t="s">
        <v>55</v>
      </c>
      <c r="Q1257" s="1">
        <v>25</v>
      </c>
      <c r="R1257" s="1">
        <v>25</v>
      </c>
      <c r="S1257" s="1">
        <v>0</v>
      </c>
      <c r="T1257" s="1">
        <v>0</v>
      </c>
      <c r="U1257" s="1">
        <v>0</v>
      </c>
      <c r="V1257" s="1" t="str">
        <f t="shared" si="175"/>
        <v>里程返程</v>
      </c>
      <c r="W1257" s="1" t="s">
        <v>35</v>
      </c>
    </row>
    <row r="1258" spans="1:23" x14ac:dyDescent="0.3">
      <c r="A1258" s="1" t="str">
        <f>"59828"</f>
        <v>59828</v>
      </c>
      <c r="B1258" s="1" t="s">
        <v>23</v>
      </c>
      <c r="C1258" s="1" t="s">
        <v>24</v>
      </c>
      <c r="D1258" s="1" t="str">
        <f t="shared" si="174"/>
        <v>9801</v>
      </c>
      <c r="E1258" s="1" t="s">
        <v>25</v>
      </c>
      <c r="F1258" s="1" t="str">
        <f>"1379682689"</f>
        <v>1379682689</v>
      </c>
      <c r="G1258" s="1" t="s">
        <v>33</v>
      </c>
      <c r="H1258" s="1" t="str">
        <f t="shared" si="172"/>
        <v>20220918</v>
      </c>
      <c r="I1258" s="1" t="str">
        <f>"172907"</f>
        <v>172907</v>
      </c>
      <c r="J1258" s="1" t="s">
        <v>44</v>
      </c>
      <c r="K1258" s="1" t="s">
        <v>45</v>
      </c>
      <c r="L1258" s="1" t="str">
        <f t="shared" si="173"/>
        <v>20220918</v>
      </c>
      <c r="M1258" s="1" t="str">
        <f>"174933"</f>
        <v>174933</v>
      </c>
      <c r="N1258" s="1" t="s">
        <v>28</v>
      </c>
      <c r="O1258" s="1" t="s">
        <v>28</v>
      </c>
      <c r="P1258" s="1" t="s">
        <v>55</v>
      </c>
      <c r="Q1258" s="1">
        <v>25</v>
      </c>
      <c r="R1258" s="1">
        <v>25</v>
      </c>
      <c r="S1258" s="1">
        <v>0</v>
      </c>
      <c r="T1258" s="1">
        <v>0</v>
      </c>
      <c r="U1258" s="1">
        <v>0</v>
      </c>
      <c r="V1258" s="1" t="str">
        <f t="shared" si="175"/>
        <v>里程返程</v>
      </c>
      <c r="W1258" s="1" t="s">
        <v>35</v>
      </c>
    </row>
    <row r="1259" spans="1:23" x14ac:dyDescent="0.3">
      <c r="A1259" s="1" t="str">
        <f>"59828"</f>
        <v>59828</v>
      </c>
      <c r="B1259" s="1" t="s">
        <v>23</v>
      </c>
      <c r="C1259" s="1" t="s">
        <v>24</v>
      </c>
      <c r="D1259" s="1" t="str">
        <f t="shared" si="174"/>
        <v>9801</v>
      </c>
      <c r="E1259" s="1" t="s">
        <v>25</v>
      </c>
      <c r="F1259" s="1" t="str">
        <f>"3921423709"</f>
        <v>3921423709</v>
      </c>
      <c r="G1259" s="1" t="s">
        <v>33</v>
      </c>
      <c r="H1259" s="1" t="str">
        <f t="shared" si="172"/>
        <v>20220918</v>
      </c>
      <c r="I1259" s="1" t="str">
        <f>"175049"</f>
        <v>175049</v>
      </c>
      <c r="J1259" s="1" t="s">
        <v>28</v>
      </c>
      <c r="K1259" s="1" t="s">
        <v>28</v>
      </c>
      <c r="L1259" s="1" t="str">
        <f t="shared" si="173"/>
        <v>20220918</v>
      </c>
      <c r="M1259" s="1" t="str">
        <f>"180904"</f>
        <v>180904</v>
      </c>
      <c r="N1259" s="1" t="s">
        <v>77</v>
      </c>
      <c r="O1259" s="1" t="s">
        <v>52</v>
      </c>
      <c r="P1259" s="1" t="s">
        <v>55</v>
      </c>
      <c r="Q1259" s="1">
        <v>25</v>
      </c>
      <c r="R1259" s="1">
        <v>25</v>
      </c>
      <c r="S1259" s="1">
        <v>0</v>
      </c>
      <c r="T1259" s="1">
        <v>0</v>
      </c>
      <c r="U1259" s="1">
        <v>0</v>
      </c>
      <c r="V1259" s="1" t="str">
        <f t="shared" si="175"/>
        <v>里程返程</v>
      </c>
      <c r="W1259" s="1" t="s">
        <v>35</v>
      </c>
    </row>
    <row r="1260" spans="1:23" x14ac:dyDescent="0.3">
      <c r="A1260" s="1" t="str">
        <f>"59828"</f>
        <v>59828</v>
      </c>
      <c r="B1260" s="1" t="s">
        <v>23</v>
      </c>
      <c r="C1260" s="1" t="s">
        <v>24</v>
      </c>
      <c r="D1260" s="1" t="str">
        <f t="shared" si="174"/>
        <v>9801</v>
      </c>
      <c r="E1260" s="1" t="s">
        <v>25</v>
      </c>
      <c r="F1260" s="1" t="str">
        <f>"4251460257880400C821002000000015"</f>
        <v>4251460257880400C821002000000015</v>
      </c>
      <c r="G1260" s="1" t="s">
        <v>26</v>
      </c>
      <c r="H1260" s="1" t="str">
        <f t="shared" si="172"/>
        <v>20220918</v>
      </c>
      <c r="I1260" s="1" t="str">
        <f>"180647"</f>
        <v>180647</v>
      </c>
      <c r="J1260" s="1" t="s">
        <v>69</v>
      </c>
      <c r="K1260" s="1" t="s">
        <v>52</v>
      </c>
      <c r="L1260" s="1" t="str">
        <f t="shared" si="173"/>
        <v>20220918</v>
      </c>
      <c r="M1260" s="1" t="str">
        <f>"181548"</f>
        <v>181548</v>
      </c>
      <c r="N1260" s="1" t="s">
        <v>65</v>
      </c>
      <c r="O1260" s="1" t="s">
        <v>52</v>
      </c>
      <c r="P1260" s="1" t="s">
        <v>68</v>
      </c>
      <c r="Q1260" s="1">
        <v>13</v>
      </c>
      <c r="R1260" s="1">
        <v>0</v>
      </c>
      <c r="S1260" s="1">
        <v>0</v>
      </c>
      <c r="T1260" s="1">
        <v>13</v>
      </c>
      <c r="U1260" s="1">
        <v>0</v>
      </c>
      <c r="V1260" s="1" t="str">
        <f t="shared" si="175"/>
        <v>里程返程</v>
      </c>
      <c r="W1260" s="1" t="s">
        <v>29</v>
      </c>
    </row>
    <row r="1261" spans="1:23" x14ac:dyDescent="0.3">
      <c r="A1261" s="1" t="str">
        <f t="shared" ref="A1261:A1280" si="177">"59809"</f>
        <v>59809</v>
      </c>
      <c r="B1261" s="1" t="s">
        <v>42</v>
      </c>
      <c r="C1261" s="1" t="s">
        <v>43</v>
      </c>
      <c r="D1261" s="1" t="str">
        <f t="shared" si="174"/>
        <v>9801</v>
      </c>
      <c r="E1261" s="1" t="s">
        <v>25</v>
      </c>
      <c r="F1261" s="1" t="str">
        <f>"5C98FF7C478804004751861865104907"</f>
        <v>5C98FF7C478804004751861865104907</v>
      </c>
      <c r="G1261" s="1" t="s">
        <v>82</v>
      </c>
      <c r="H1261" s="1" t="str">
        <f t="shared" ref="H1261:H1294" si="178">"20220919"</f>
        <v>20220919</v>
      </c>
      <c r="I1261" s="1" t="str">
        <f>"055218"</f>
        <v>055218</v>
      </c>
      <c r="J1261" s="1" t="s">
        <v>44</v>
      </c>
      <c r="K1261" s="1" t="s">
        <v>45</v>
      </c>
      <c r="L1261" s="1" t="str">
        <f t="shared" ref="L1261:L1294" si="179">"20220919"</f>
        <v>20220919</v>
      </c>
      <c r="M1261" s="1" t="str">
        <f>"061632"</f>
        <v>061632</v>
      </c>
      <c r="N1261" s="1" t="s">
        <v>28</v>
      </c>
      <c r="O1261" s="1" t="s">
        <v>28</v>
      </c>
      <c r="P1261" s="1" t="s">
        <v>55</v>
      </c>
      <c r="Q1261" s="1">
        <v>13</v>
      </c>
      <c r="R1261" s="1">
        <v>13</v>
      </c>
      <c r="S1261" s="1">
        <v>0</v>
      </c>
      <c r="T1261" s="1">
        <v>0</v>
      </c>
      <c r="U1261" s="1">
        <v>0</v>
      </c>
      <c r="V1261" s="1" t="str">
        <f t="shared" si="175"/>
        <v>里程返程</v>
      </c>
      <c r="W1261" s="1" t="s">
        <v>29</v>
      </c>
    </row>
    <row r="1262" spans="1:23" x14ac:dyDescent="0.3">
      <c r="A1262" s="1" t="str">
        <f t="shared" si="177"/>
        <v>59809</v>
      </c>
      <c r="B1262" s="1" t="s">
        <v>42</v>
      </c>
      <c r="C1262" s="1" t="s">
        <v>43</v>
      </c>
      <c r="D1262" s="1" t="str">
        <f t="shared" si="174"/>
        <v>9801</v>
      </c>
      <c r="E1262" s="1" t="s">
        <v>25</v>
      </c>
      <c r="F1262" s="1" t="str">
        <f>"FE4816369688040047C13517C9002508"</f>
        <v>FE4816369688040047C13517C9002508</v>
      </c>
      <c r="G1262" s="1" t="s">
        <v>58</v>
      </c>
      <c r="H1262" s="1" t="str">
        <f t="shared" si="178"/>
        <v>20220919</v>
      </c>
      <c r="I1262" s="1" t="str">
        <f>"070019"</f>
        <v>070019</v>
      </c>
      <c r="J1262" s="1" t="s">
        <v>44</v>
      </c>
      <c r="K1262" s="1" t="s">
        <v>45</v>
      </c>
      <c r="L1262" s="1" t="str">
        <f t="shared" si="179"/>
        <v>20220919</v>
      </c>
      <c r="M1262" s="1" t="str">
        <f>"071859"</f>
        <v>071859</v>
      </c>
      <c r="N1262" s="1" t="s">
        <v>28</v>
      </c>
      <c r="O1262" s="1" t="s">
        <v>28</v>
      </c>
      <c r="P1262" s="1" t="s">
        <v>55</v>
      </c>
      <c r="Q1262" s="1">
        <v>25</v>
      </c>
      <c r="R1262" s="1">
        <v>25</v>
      </c>
      <c r="S1262" s="1">
        <v>0</v>
      </c>
      <c r="T1262" s="1">
        <v>0</v>
      </c>
      <c r="U1262" s="1">
        <v>0</v>
      </c>
      <c r="V1262" s="1" t="str">
        <f t="shared" si="175"/>
        <v>里程返程</v>
      </c>
      <c r="W1262" s="1" t="s">
        <v>29</v>
      </c>
    </row>
    <row r="1263" spans="1:23" x14ac:dyDescent="0.3">
      <c r="A1263" s="1" t="str">
        <f t="shared" si="177"/>
        <v>59809</v>
      </c>
      <c r="B1263" s="1" t="s">
        <v>42</v>
      </c>
      <c r="C1263" s="1" t="s">
        <v>43</v>
      </c>
      <c r="D1263" s="1" t="str">
        <f t="shared" si="174"/>
        <v>9801</v>
      </c>
      <c r="E1263" s="1" t="s">
        <v>25</v>
      </c>
      <c r="F1263" s="1" t="str">
        <f>"72BFE5022A880400C834002000000015"</f>
        <v>72BFE5022A880400C834002000000015</v>
      </c>
      <c r="G1263" s="1" t="s">
        <v>26</v>
      </c>
      <c r="H1263" s="1" t="str">
        <f t="shared" si="178"/>
        <v>20220919</v>
      </c>
      <c r="I1263" s="1" t="str">
        <f>"070755"</f>
        <v>070755</v>
      </c>
      <c r="J1263" s="1" t="s">
        <v>56</v>
      </c>
      <c r="K1263" s="1" t="s">
        <v>45</v>
      </c>
      <c r="L1263" s="1" t="str">
        <f t="shared" si="179"/>
        <v>20220919</v>
      </c>
      <c r="M1263" s="1" t="str">
        <f>"071853"</f>
        <v>071853</v>
      </c>
      <c r="N1263" s="1" t="s">
        <v>28</v>
      </c>
      <c r="O1263" s="1" t="s">
        <v>28</v>
      </c>
      <c r="P1263" s="1" t="s">
        <v>68</v>
      </c>
      <c r="Q1263" s="1">
        <v>13</v>
      </c>
      <c r="R1263" s="1">
        <v>0</v>
      </c>
      <c r="S1263" s="1">
        <v>0</v>
      </c>
      <c r="T1263" s="1">
        <v>13</v>
      </c>
      <c r="U1263" s="1">
        <v>0</v>
      </c>
      <c r="V1263" s="1" t="str">
        <f t="shared" si="175"/>
        <v>里程返程</v>
      </c>
      <c r="W1263" s="1" t="s">
        <v>29</v>
      </c>
    </row>
    <row r="1264" spans="1:23" x14ac:dyDescent="0.3">
      <c r="A1264" s="1" t="str">
        <f t="shared" si="177"/>
        <v>59809</v>
      </c>
      <c r="B1264" s="1" t="s">
        <v>42</v>
      </c>
      <c r="C1264" s="1" t="s">
        <v>43</v>
      </c>
      <c r="D1264" s="1" t="str">
        <f t="shared" si="174"/>
        <v>9801</v>
      </c>
      <c r="E1264" s="1" t="s">
        <v>25</v>
      </c>
      <c r="F1264" s="1" t="str">
        <f>"895868389"</f>
        <v>895868389</v>
      </c>
      <c r="G1264" s="1" t="s">
        <v>33</v>
      </c>
      <c r="H1264" s="1" t="str">
        <f t="shared" si="178"/>
        <v>20220919</v>
      </c>
      <c r="I1264" s="1" t="str">
        <f>"070759"</f>
        <v>070759</v>
      </c>
      <c r="J1264" s="1" t="s">
        <v>56</v>
      </c>
      <c r="K1264" s="1" t="s">
        <v>45</v>
      </c>
      <c r="L1264" s="1" t="str">
        <f t="shared" si="179"/>
        <v>20220919</v>
      </c>
      <c r="M1264" s="1" t="str">
        <f>"071126"</f>
        <v>071126</v>
      </c>
      <c r="N1264" s="1" t="s">
        <v>79</v>
      </c>
      <c r="O1264" s="1" t="s">
        <v>45</v>
      </c>
      <c r="P1264" s="1" t="s">
        <v>55</v>
      </c>
      <c r="Q1264" s="1">
        <v>25</v>
      </c>
      <c r="R1264" s="1">
        <v>25</v>
      </c>
      <c r="S1264" s="1">
        <v>0</v>
      </c>
      <c r="T1264" s="1">
        <v>0</v>
      </c>
      <c r="U1264" s="1">
        <v>0</v>
      </c>
      <c r="V1264" s="1" t="str">
        <f t="shared" si="175"/>
        <v>里程返程</v>
      </c>
      <c r="W1264" s="1" t="s">
        <v>35</v>
      </c>
    </row>
    <row r="1265" spans="1:23" x14ac:dyDescent="0.3">
      <c r="A1265" s="1" t="str">
        <f t="shared" si="177"/>
        <v>59809</v>
      </c>
      <c r="B1265" s="1" t="s">
        <v>42</v>
      </c>
      <c r="C1265" s="1" t="s">
        <v>43</v>
      </c>
      <c r="D1265" s="1" t="str">
        <f t="shared" si="174"/>
        <v>9801</v>
      </c>
      <c r="E1265" s="1" t="s">
        <v>25</v>
      </c>
      <c r="F1265" s="1" t="str">
        <f>"32780D0344880400C834002000000015"</f>
        <v>32780D0344880400C834002000000015</v>
      </c>
      <c r="G1265" s="1" t="s">
        <v>26</v>
      </c>
      <c r="H1265" s="1" t="str">
        <f t="shared" si="178"/>
        <v>20220919</v>
      </c>
      <c r="I1265" s="1" t="str">
        <f>"072821"</f>
        <v>072821</v>
      </c>
      <c r="J1265" s="1" t="s">
        <v>41</v>
      </c>
      <c r="K1265" s="1" t="s">
        <v>28</v>
      </c>
      <c r="L1265" s="1" t="str">
        <f t="shared" si="179"/>
        <v>20220919</v>
      </c>
      <c r="M1265" s="1" t="str">
        <f>"074431"</f>
        <v>074431</v>
      </c>
      <c r="N1265" s="1" t="s">
        <v>65</v>
      </c>
      <c r="O1265" s="1" t="s">
        <v>52</v>
      </c>
      <c r="P1265" s="1" t="s">
        <v>68</v>
      </c>
      <c r="Q1265" s="1">
        <v>13</v>
      </c>
      <c r="R1265" s="1">
        <v>0</v>
      </c>
      <c r="S1265" s="1">
        <v>0</v>
      </c>
      <c r="T1265" s="1">
        <v>13</v>
      </c>
      <c r="U1265" s="1">
        <v>0</v>
      </c>
      <c r="V1265" s="1" t="str">
        <f t="shared" si="175"/>
        <v>里程返程</v>
      </c>
      <c r="W1265" s="1" t="s">
        <v>29</v>
      </c>
    </row>
    <row r="1266" spans="1:23" x14ac:dyDescent="0.3">
      <c r="A1266" s="1" t="str">
        <f t="shared" si="177"/>
        <v>59809</v>
      </c>
      <c r="B1266" s="1" t="s">
        <v>42</v>
      </c>
      <c r="C1266" s="1" t="s">
        <v>43</v>
      </c>
      <c r="D1266" s="1" t="str">
        <f t="shared" si="174"/>
        <v>9801</v>
      </c>
      <c r="E1266" s="1" t="s">
        <v>25</v>
      </c>
      <c r="F1266" s="1" t="str">
        <f>"E24D370A92880400C810002000000016"</f>
        <v>E24D370A92880400C810002000000016</v>
      </c>
      <c r="G1266" s="1" t="s">
        <v>59</v>
      </c>
      <c r="H1266" s="1" t="str">
        <f t="shared" si="178"/>
        <v>20220919</v>
      </c>
      <c r="I1266" s="1" t="str">
        <f>"073904"</f>
        <v>073904</v>
      </c>
      <c r="J1266" s="1" t="s">
        <v>69</v>
      </c>
      <c r="K1266" s="1" t="s">
        <v>52</v>
      </c>
      <c r="L1266" s="1" t="str">
        <f t="shared" si="179"/>
        <v>20220919</v>
      </c>
      <c r="M1266" s="1" t="str">
        <f>"074357"</f>
        <v>074357</v>
      </c>
      <c r="N1266" s="1" t="s">
        <v>65</v>
      </c>
      <c r="O1266" s="1" t="s">
        <v>52</v>
      </c>
      <c r="P1266" s="1" t="s">
        <v>55</v>
      </c>
      <c r="Q1266" s="1">
        <v>25</v>
      </c>
      <c r="R1266" s="1">
        <v>25</v>
      </c>
      <c r="S1266" s="1">
        <v>0</v>
      </c>
      <c r="T1266" s="1">
        <v>0</v>
      </c>
      <c r="U1266" s="1">
        <v>0</v>
      </c>
      <c r="V1266" s="1" t="str">
        <f t="shared" si="175"/>
        <v>里程返程</v>
      </c>
      <c r="W1266" s="1" t="s">
        <v>29</v>
      </c>
    </row>
    <row r="1267" spans="1:23" x14ac:dyDescent="0.3">
      <c r="A1267" s="1" t="str">
        <f t="shared" si="177"/>
        <v>59809</v>
      </c>
      <c r="B1267" s="1" t="s">
        <v>42</v>
      </c>
      <c r="C1267" s="1" t="s">
        <v>43</v>
      </c>
      <c r="D1267" s="1" t="str">
        <f t="shared" si="174"/>
        <v>9801</v>
      </c>
      <c r="E1267" s="1" t="s">
        <v>25</v>
      </c>
      <c r="F1267" s="1" t="str">
        <f>"D2390E02E7880400C821002000000015"</f>
        <v>D2390E02E7880400C821002000000015</v>
      </c>
      <c r="G1267" s="1" t="s">
        <v>64</v>
      </c>
      <c r="H1267" s="1" t="str">
        <f t="shared" si="178"/>
        <v>20220919</v>
      </c>
      <c r="I1267" s="1" t="str">
        <f>"125033"</f>
        <v>125033</v>
      </c>
      <c r="J1267" s="1" t="s">
        <v>28</v>
      </c>
      <c r="K1267" s="1" t="s">
        <v>28</v>
      </c>
      <c r="L1267" s="1" t="str">
        <f t="shared" si="179"/>
        <v>20220919</v>
      </c>
      <c r="M1267" s="1" t="str">
        <f>"130414"</f>
        <v>130414</v>
      </c>
      <c r="N1267" s="1" t="s">
        <v>83</v>
      </c>
      <c r="O1267" s="1" t="s">
        <v>52</v>
      </c>
      <c r="P1267" s="1" t="s">
        <v>55</v>
      </c>
      <c r="Q1267" s="1">
        <v>13</v>
      </c>
      <c r="R1267" s="1">
        <v>0</v>
      </c>
      <c r="S1267" s="1">
        <v>13</v>
      </c>
      <c r="T1267" s="1">
        <v>0</v>
      </c>
      <c r="U1267" s="1">
        <v>0</v>
      </c>
      <c r="V1267" s="1" t="str">
        <f t="shared" si="175"/>
        <v>里程返程</v>
      </c>
      <c r="W1267" s="1" t="s">
        <v>29</v>
      </c>
    </row>
    <row r="1268" spans="1:23" x14ac:dyDescent="0.3">
      <c r="A1268" s="1" t="str">
        <f t="shared" si="177"/>
        <v>59809</v>
      </c>
      <c r="B1268" s="1" t="s">
        <v>42</v>
      </c>
      <c r="C1268" s="1" t="s">
        <v>43</v>
      </c>
      <c r="D1268" s="1" t="str">
        <f t="shared" si="174"/>
        <v>9801</v>
      </c>
      <c r="E1268" s="1" t="s">
        <v>25</v>
      </c>
      <c r="F1268" s="1" t="str">
        <f>"12D6AB1976880400C824002000000020"</f>
        <v>12D6AB1976880400C824002000000020</v>
      </c>
      <c r="G1268" s="1" t="s">
        <v>64</v>
      </c>
      <c r="H1268" s="1" t="str">
        <f t="shared" si="178"/>
        <v>20220919</v>
      </c>
      <c r="I1268" s="1" t="str">
        <f>"125042"</f>
        <v>125042</v>
      </c>
      <c r="J1268" s="1" t="s">
        <v>28</v>
      </c>
      <c r="K1268" s="1" t="s">
        <v>28</v>
      </c>
      <c r="L1268" s="1" t="str">
        <f t="shared" si="179"/>
        <v>20220919</v>
      </c>
      <c r="M1268" s="1" t="str">
        <f>"130407"</f>
        <v>130407</v>
      </c>
      <c r="N1268" s="1" t="s">
        <v>83</v>
      </c>
      <c r="O1268" s="1" t="s">
        <v>52</v>
      </c>
      <c r="P1268" s="1" t="s">
        <v>55</v>
      </c>
      <c r="Q1268" s="1">
        <v>13</v>
      </c>
      <c r="R1268" s="1">
        <v>0</v>
      </c>
      <c r="S1268" s="1">
        <v>13</v>
      </c>
      <c r="T1268" s="1">
        <v>0</v>
      </c>
      <c r="U1268" s="1">
        <v>0</v>
      </c>
      <c r="V1268" s="1" t="str">
        <f t="shared" si="175"/>
        <v>里程返程</v>
      </c>
      <c r="W1268" s="1" t="s">
        <v>29</v>
      </c>
    </row>
    <row r="1269" spans="1:23" x14ac:dyDescent="0.3">
      <c r="A1269" s="1" t="str">
        <f t="shared" si="177"/>
        <v>59809</v>
      </c>
      <c r="B1269" s="1" t="s">
        <v>42</v>
      </c>
      <c r="C1269" s="1" t="s">
        <v>43</v>
      </c>
      <c r="D1269" s="1" t="str">
        <f t="shared" si="174"/>
        <v>9801</v>
      </c>
      <c r="E1269" s="1" t="s">
        <v>25</v>
      </c>
      <c r="F1269" s="1" t="str">
        <f>"219FE61D45280400F700000000000000"</f>
        <v>219FE61D45280400F700000000000000</v>
      </c>
      <c r="G1269" s="1" t="s">
        <v>58</v>
      </c>
      <c r="H1269" s="1" t="str">
        <f t="shared" si="178"/>
        <v>20220919</v>
      </c>
      <c r="I1269" s="1" t="str">
        <f>"125123"</f>
        <v>125123</v>
      </c>
      <c r="J1269" s="1" t="s">
        <v>28</v>
      </c>
      <c r="K1269" s="1" t="s">
        <v>28</v>
      </c>
      <c r="L1269" s="1" t="str">
        <f t="shared" si="179"/>
        <v>20220919</v>
      </c>
      <c r="M1269" s="1" t="str">
        <f>"131546"</f>
        <v>131546</v>
      </c>
      <c r="N1269" s="1" t="s">
        <v>65</v>
      </c>
      <c r="O1269" s="1" t="s">
        <v>52</v>
      </c>
      <c r="P1269" s="1" t="s">
        <v>55</v>
      </c>
      <c r="Q1269" s="1">
        <v>25</v>
      </c>
      <c r="R1269" s="1">
        <v>25</v>
      </c>
      <c r="S1269" s="1">
        <v>0</v>
      </c>
      <c r="T1269" s="1">
        <v>0</v>
      </c>
      <c r="U1269" s="1">
        <v>0</v>
      </c>
      <c r="V1269" s="1" t="str">
        <f t="shared" si="175"/>
        <v>里程返程</v>
      </c>
      <c r="W1269" s="1" t="s">
        <v>29</v>
      </c>
    </row>
    <row r="1270" spans="1:23" x14ac:dyDescent="0.3">
      <c r="A1270" s="1" t="str">
        <f t="shared" si="177"/>
        <v>59809</v>
      </c>
      <c r="B1270" s="1" t="s">
        <v>42</v>
      </c>
      <c r="C1270" s="1" t="s">
        <v>43</v>
      </c>
      <c r="D1270" s="1" t="str">
        <f t="shared" si="174"/>
        <v>9801</v>
      </c>
      <c r="E1270" s="1" t="s">
        <v>25</v>
      </c>
      <c r="F1270" s="1" t="str">
        <f>"81291869D92804001C00000000000000"</f>
        <v>81291869D92804001C00000000000000</v>
      </c>
      <c r="G1270" s="1" t="s">
        <v>58</v>
      </c>
      <c r="H1270" s="1" t="str">
        <f t="shared" si="178"/>
        <v>20220919</v>
      </c>
      <c r="I1270" s="1" t="str">
        <f>"125234"</f>
        <v>125234</v>
      </c>
      <c r="J1270" s="1" t="s">
        <v>28</v>
      </c>
      <c r="K1270" s="1" t="s">
        <v>28</v>
      </c>
      <c r="L1270" s="1" t="str">
        <f t="shared" si="179"/>
        <v>20220919</v>
      </c>
      <c r="M1270" s="1" t="str">
        <f>"131520"</f>
        <v>131520</v>
      </c>
      <c r="N1270" s="1" t="s">
        <v>65</v>
      </c>
      <c r="O1270" s="1" t="s">
        <v>52</v>
      </c>
      <c r="P1270" s="1" t="s">
        <v>55</v>
      </c>
      <c r="Q1270" s="1">
        <v>25</v>
      </c>
      <c r="R1270" s="1">
        <v>0</v>
      </c>
      <c r="S1270" s="1">
        <v>25</v>
      </c>
      <c r="T1270" s="1">
        <v>0</v>
      </c>
      <c r="U1270" s="1">
        <v>0</v>
      </c>
      <c r="V1270" s="1" t="str">
        <f t="shared" si="175"/>
        <v>里程返程</v>
      </c>
      <c r="W1270" s="1" t="s">
        <v>29</v>
      </c>
    </row>
    <row r="1271" spans="1:23" x14ac:dyDescent="0.3">
      <c r="A1271" s="1" t="str">
        <f t="shared" si="177"/>
        <v>59809</v>
      </c>
      <c r="B1271" s="1" t="s">
        <v>42</v>
      </c>
      <c r="C1271" s="1" t="s">
        <v>43</v>
      </c>
      <c r="D1271" s="1" t="str">
        <f t="shared" si="174"/>
        <v>9801</v>
      </c>
      <c r="E1271" s="1" t="s">
        <v>25</v>
      </c>
      <c r="F1271" s="1" t="str">
        <f>"1708076053"</f>
        <v>1708076053</v>
      </c>
      <c r="G1271" s="1" t="s">
        <v>33</v>
      </c>
      <c r="H1271" s="1" t="str">
        <f t="shared" si="178"/>
        <v>20220919</v>
      </c>
      <c r="I1271" s="1" t="str">
        <f>"125245"</f>
        <v>125245</v>
      </c>
      <c r="J1271" s="1" t="s">
        <v>28</v>
      </c>
      <c r="K1271" s="1" t="s">
        <v>28</v>
      </c>
      <c r="L1271" s="1" t="str">
        <f t="shared" si="179"/>
        <v>20220919</v>
      </c>
      <c r="M1271" s="1" t="str">
        <f>"132100"</f>
        <v>132100</v>
      </c>
      <c r="N1271" s="1" t="s">
        <v>60</v>
      </c>
      <c r="O1271" s="1" t="s">
        <v>52</v>
      </c>
      <c r="P1271" s="1" t="s">
        <v>55</v>
      </c>
      <c r="Q1271" s="1">
        <v>25</v>
      </c>
      <c r="R1271" s="1">
        <v>25</v>
      </c>
      <c r="S1271" s="1">
        <v>0</v>
      </c>
      <c r="T1271" s="1">
        <v>0</v>
      </c>
      <c r="U1271" s="1">
        <v>0</v>
      </c>
      <c r="V1271" s="1" t="str">
        <f t="shared" si="175"/>
        <v>里程返程</v>
      </c>
      <c r="W1271" s="1" t="s">
        <v>35</v>
      </c>
    </row>
    <row r="1272" spans="1:23" x14ac:dyDescent="0.3">
      <c r="A1272" s="1" t="str">
        <f t="shared" si="177"/>
        <v>59809</v>
      </c>
      <c r="B1272" s="1" t="s">
        <v>42</v>
      </c>
      <c r="C1272" s="1" t="s">
        <v>43</v>
      </c>
      <c r="D1272" s="1" t="str">
        <f t="shared" si="174"/>
        <v>9801</v>
      </c>
      <c r="E1272" s="1" t="s">
        <v>25</v>
      </c>
      <c r="F1272" s="1" t="str">
        <f>"904224453"</f>
        <v>904224453</v>
      </c>
      <c r="G1272" s="1" t="s">
        <v>33</v>
      </c>
      <c r="H1272" s="1" t="str">
        <f t="shared" si="178"/>
        <v>20220919</v>
      </c>
      <c r="I1272" s="1" t="str">
        <f>"125421"</f>
        <v>125421</v>
      </c>
      <c r="J1272" s="1" t="s">
        <v>28</v>
      </c>
      <c r="K1272" s="1" t="s">
        <v>28</v>
      </c>
      <c r="L1272" s="1" t="str">
        <f t="shared" si="179"/>
        <v>20220919</v>
      </c>
      <c r="M1272" s="1" t="str">
        <f>"131654"</f>
        <v>131654</v>
      </c>
      <c r="N1272" s="1" t="s">
        <v>72</v>
      </c>
      <c r="O1272" s="1" t="s">
        <v>52</v>
      </c>
      <c r="P1272" s="1" t="s">
        <v>55</v>
      </c>
      <c r="Q1272" s="1">
        <v>25</v>
      </c>
      <c r="R1272" s="1">
        <v>25</v>
      </c>
      <c r="S1272" s="1">
        <v>0</v>
      </c>
      <c r="T1272" s="1">
        <v>0</v>
      </c>
      <c r="U1272" s="1">
        <v>0</v>
      </c>
      <c r="V1272" s="1" t="str">
        <f t="shared" si="175"/>
        <v>里程返程</v>
      </c>
      <c r="W1272" s="1" t="s">
        <v>35</v>
      </c>
    </row>
    <row r="1273" spans="1:23" x14ac:dyDescent="0.3">
      <c r="A1273" s="1" t="str">
        <f t="shared" si="177"/>
        <v>59809</v>
      </c>
      <c r="B1273" s="1" t="s">
        <v>42</v>
      </c>
      <c r="C1273" s="1" t="s">
        <v>43</v>
      </c>
      <c r="D1273" s="1" t="str">
        <f t="shared" si="174"/>
        <v>9801</v>
      </c>
      <c r="E1273" s="1" t="s">
        <v>25</v>
      </c>
      <c r="F1273" s="1" t="str">
        <f>"3853409434"</f>
        <v>3853409434</v>
      </c>
      <c r="G1273" s="1" t="s">
        <v>33</v>
      </c>
      <c r="H1273" s="1" t="str">
        <f t="shared" si="178"/>
        <v>20220919</v>
      </c>
      <c r="I1273" s="1" t="str">
        <f>"125500"</f>
        <v>125500</v>
      </c>
      <c r="J1273" s="1" t="s">
        <v>28</v>
      </c>
      <c r="K1273" s="1" t="s">
        <v>28</v>
      </c>
      <c r="L1273" s="1" t="str">
        <f t="shared" si="179"/>
        <v>20220919</v>
      </c>
      <c r="M1273" s="1" t="str">
        <f>"131702"</f>
        <v>131702</v>
      </c>
      <c r="N1273" s="1" t="s">
        <v>72</v>
      </c>
      <c r="O1273" s="1" t="s">
        <v>52</v>
      </c>
      <c r="P1273" s="1" t="s">
        <v>55</v>
      </c>
      <c r="Q1273" s="1">
        <v>25</v>
      </c>
      <c r="R1273" s="1">
        <v>25</v>
      </c>
      <c r="S1273" s="1">
        <v>0</v>
      </c>
      <c r="T1273" s="1">
        <v>0</v>
      </c>
      <c r="U1273" s="1">
        <v>0</v>
      </c>
      <c r="V1273" s="1" t="str">
        <f t="shared" si="175"/>
        <v>里程返程</v>
      </c>
      <c r="W1273" s="1" t="s">
        <v>35</v>
      </c>
    </row>
    <row r="1274" spans="1:23" x14ac:dyDescent="0.3">
      <c r="A1274" s="1" t="str">
        <f t="shared" si="177"/>
        <v>59809</v>
      </c>
      <c r="B1274" s="1" t="s">
        <v>42</v>
      </c>
      <c r="C1274" s="1" t="s">
        <v>43</v>
      </c>
      <c r="D1274" s="1" t="str">
        <f t="shared" si="174"/>
        <v>9801</v>
      </c>
      <c r="E1274" s="1" t="s">
        <v>25</v>
      </c>
      <c r="F1274" s="1" t="str">
        <f>"82D5FB02AE880400C834002000000015"</f>
        <v>82D5FB02AE880400C834002000000015</v>
      </c>
      <c r="G1274" s="1" t="s">
        <v>26</v>
      </c>
      <c r="H1274" s="1" t="str">
        <f t="shared" si="178"/>
        <v>20220919</v>
      </c>
      <c r="I1274" s="1" t="str">
        <f>"151259"</f>
        <v>151259</v>
      </c>
      <c r="J1274" s="1" t="s">
        <v>72</v>
      </c>
      <c r="K1274" s="1" t="s">
        <v>52</v>
      </c>
      <c r="L1274" s="1" t="str">
        <f t="shared" si="179"/>
        <v>20220919</v>
      </c>
      <c r="M1274" s="1" t="str">
        <f>"151530"</f>
        <v>151530</v>
      </c>
      <c r="N1274" s="1" t="s">
        <v>51</v>
      </c>
      <c r="O1274" s="1" t="s">
        <v>52</v>
      </c>
      <c r="P1274" s="1" t="s">
        <v>68</v>
      </c>
      <c r="Q1274" s="1">
        <v>13</v>
      </c>
      <c r="R1274" s="1">
        <v>0</v>
      </c>
      <c r="S1274" s="1">
        <v>0</v>
      </c>
      <c r="T1274" s="1">
        <v>13</v>
      </c>
      <c r="U1274" s="1">
        <v>0</v>
      </c>
      <c r="V1274" s="1" t="str">
        <f t="shared" si="175"/>
        <v>里程返程</v>
      </c>
      <c r="W1274" s="1" t="s">
        <v>29</v>
      </c>
    </row>
    <row r="1275" spans="1:23" x14ac:dyDescent="0.3">
      <c r="A1275" s="1" t="str">
        <f t="shared" si="177"/>
        <v>59809</v>
      </c>
      <c r="B1275" s="1" t="s">
        <v>42</v>
      </c>
      <c r="C1275" s="1" t="s">
        <v>43</v>
      </c>
      <c r="D1275" s="1" t="str">
        <f t="shared" si="174"/>
        <v>9801</v>
      </c>
      <c r="E1275" s="1" t="s">
        <v>25</v>
      </c>
      <c r="F1275" s="1" t="str">
        <f>"02DD3718F0880400C819002000000019"</f>
        <v>02DD3718F0880400C819002000000019</v>
      </c>
      <c r="G1275" s="1" t="s">
        <v>64</v>
      </c>
      <c r="H1275" s="1" t="str">
        <f t="shared" si="178"/>
        <v>20220919</v>
      </c>
      <c r="I1275" s="1" t="str">
        <f>"154919"</f>
        <v>154919</v>
      </c>
      <c r="J1275" s="1" t="s">
        <v>28</v>
      </c>
      <c r="K1275" s="1" t="s">
        <v>28</v>
      </c>
      <c r="L1275" s="1" t="str">
        <f t="shared" si="179"/>
        <v>20220919</v>
      </c>
      <c r="M1275" s="1" t="str">
        <f>"162710"</f>
        <v>162710</v>
      </c>
      <c r="N1275" s="1" t="s">
        <v>52</v>
      </c>
      <c r="O1275" s="1" t="s">
        <v>52</v>
      </c>
      <c r="P1275" s="1" t="s">
        <v>55</v>
      </c>
      <c r="Q1275" s="1">
        <v>13</v>
      </c>
      <c r="R1275" s="1">
        <v>13</v>
      </c>
      <c r="S1275" s="1">
        <v>0</v>
      </c>
      <c r="T1275" s="1">
        <v>0</v>
      </c>
      <c r="U1275" s="1">
        <v>0</v>
      </c>
      <c r="V1275" s="1" t="str">
        <f t="shared" si="175"/>
        <v>里程返程</v>
      </c>
      <c r="W1275" s="1" t="s">
        <v>29</v>
      </c>
    </row>
    <row r="1276" spans="1:23" x14ac:dyDescent="0.3">
      <c r="A1276" s="1" t="str">
        <f t="shared" si="177"/>
        <v>59809</v>
      </c>
      <c r="B1276" s="1" t="s">
        <v>42</v>
      </c>
      <c r="C1276" s="1" t="s">
        <v>43</v>
      </c>
      <c r="D1276" s="1" t="str">
        <f t="shared" si="174"/>
        <v>9801</v>
      </c>
      <c r="E1276" s="1" t="s">
        <v>25</v>
      </c>
      <c r="F1276" s="1" t="str">
        <f>"4251460257880400C821002000000015"</f>
        <v>4251460257880400C821002000000015</v>
      </c>
      <c r="G1276" s="1" t="s">
        <v>26</v>
      </c>
      <c r="H1276" s="1" t="str">
        <f t="shared" si="178"/>
        <v>20220919</v>
      </c>
      <c r="I1276" s="1" t="str">
        <f>"160056"</f>
        <v>160056</v>
      </c>
      <c r="J1276" s="1" t="s">
        <v>83</v>
      </c>
      <c r="K1276" s="1" t="s">
        <v>52</v>
      </c>
      <c r="L1276" s="1" t="str">
        <f t="shared" si="179"/>
        <v>20220919</v>
      </c>
      <c r="M1276" s="1" t="str">
        <f>"160839"</f>
        <v>160839</v>
      </c>
      <c r="N1276" s="1" t="s">
        <v>69</v>
      </c>
      <c r="O1276" s="1" t="s">
        <v>52</v>
      </c>
      <c r="P1276" s="1" t="s">
        <v>68</v>
      </c>
      <c r="Q1276" s="1">
        <v>13</v>
      </c>
      <c r="R1276" s="1">
        <v>0</v>
      </c>
      <c r="S1276" s="1">
        <v>0</v>
      </c>
      <c r="T1276" s="1">
        <v>13</v>
      </c>
      <c r="U1276" s="1">
        <v>0</v>
      </c>
      <c r="V1276" s="1" t="str">
        <f t="shared" si="175"/>
        <v>里程返程</v>
      </c>
      <c r="W1276" s="1" t="s">
        <v>29</v>
      </c>
    </row>
    <row r="1277" spans="1:23" x14ac:dyDescent="0.3">
      <c r="A1277" s="1" t="str">
        <f t="shared" si="177"/>
        <v>59809</v>
      </c>
      <c r="B1277" s="1" t="s">
        <v>42</v>
      </c>
      <c r="C1277" s="1" t="s">
        <v>43</v>
      </c>
      <c r="D1277" s="1" t="str">
        <f t="shared" si="174"/>
        <v>9801</v>
      </c>
      <c r="E1277" s="1" t="s">
        <v>25</v>
      </c>
      <c r="F1277" s="1" t="str">
        <f>"42AFE60209880400C834002000000015"</f>
        <v>42AFE60209880400C834002000000015</v>
      </c>
      <c r="G1277" s="1" t="s">
        <v>74</v>
      </c>
      <c r="H1277" s="1" t="str">
        <f t="shared" si="178"/>
        <v>20220919</v>
      </c>
      <c r="I1277" s="1" t="str">
        <f>"161328"</f>
        <v>161328</v>
      </c>
      <c r="J1277" s="1" t="s">
        <v>80</v>
      </c>
      <c r="K1277" s="1" t="s">
        <v>52</v>
      </c>
      <c r="L1277" s="1" t="str">
        <f t="shared" si="179"/>
        <v>20220919</v>
      </c>
      <c r="M1277" s="1" t="str">
        <f>"162704"</f>
        <v>162704</v>
      </c>
      <c r="N1277" s="1" t="s">
        <v>52</v>
      </c>
      <c r="O1277" s="1" t="s">
        <v>52</v>
      </c>
      <c r="P1277" s="1" t="s">
        <v>68</v>
      </c>
      <c r="Q1277" s="1">
        <v>13</v>
      </c>
      <c r="R1277" s="1">
        <v>0</v>
      </c>
      <c r="S1277" s="1">
        <v>0</v>
      </c>
      <c r="T1277" s="1">
        <v>13</v>
      </c>
      <c r="U1277" s="1">
        <v>0</v>
      </c>
      <c r="V1277" s="1" t="str">
        <f t="shared" si="175"/>
        <v>里程返程</v>
      </c>
      <c r="W1277" s="1" t="s">
        <v>29</v>
      </c>
    </row>
    <row r="1278" spans="1:23" x14ac:dyDescent="0.3">
      <c r="A1278" s="1" t="str">
        <f t="shared" si="177"/>
        <v>59809</v>
      </c>
      <c r="B1278" s="1" t="s">
        <v>42</v>
      </c>
      <c r="C1278" s="1" t="s">
        <v>43</v>
      </c>
      <c r="D1278" s="1" t="str">
        <f t="shared" si="174"/>
        <v>9801</v>
      </c>
      <c r="E1278" s="1" t="s">
        <v>25</v>
      </c>
      <c r="F1278" s="1" t="str">
        <f>"1732236874"</f>
        <v>1732236874</v>
      </c>
      <c r="G1278" s="1" t="s">
        <v>26</v>
      </c>
      <c r="H1278" s="1" t="str">
        <f t="shared" si="178"/>
        <v>20220919</v>
      </c>
      <c r="I1278" s="1" t="str">
        <f>"165348"</f>
        <v>165348</v>
      </c>
      <c r="J1278" s="1" t="s">
        <v>28</v>
      </c>
      <c r="K1278" s="1" t="s">
        <v>28</v>
      </c>
      <c r="L1278" s="1" t="str">
        <f t="shared" si="179"/>
        <v>20220919</v>
      </c>
      <c r="M1278" s="1" t="str">
        <f>"170506"</f>
        <v>170506</v>
      </c>
      <c r="N1278" s="1" t="s">
        <v>78</v>
      </c>
      <c r="O1278" s="1" t="s">
        <v>52</v>
      </c>
      <c r="P1278" s="1" t="s">
        <v>55</v>
      </c>
      <c r="Q1278" s="1">
        <v>13</v>
      </c>
      <c r="R1278" s="1">
        <v>13</v>
      </c>
      <c r="S1278" s="1">
        <v>0</v>
      </c>
      <c r="T1278" s="1">
        <v>0</v>
      </c>
      <c r="U1278" s="1">
        <v>0</v>
      </c>
      <c r="V1278" s="1" t="str">
        <f t="shared" si="175"/>
        <v>里程返程</v>
      </c>
      <c r="W1278" s="1" t="s">
        <v>35</v>
      </c>
    </row>
    <row r="1279" spans="1:23" x14ac:dyDescent="0.3">
      <c r="A1279" s="1" t="str">
        <f t="shared" si="177"/>
        <v>59809</v>
      </c>
      <c r="B1279" s="1" t="s">
        <v>42</v>
      </c>
      <c r="C1279" s="1" t="s">
        <v>43</v>
      </c>
      <c r="D1279" s="1" t="str">
        <f t="shared" si="174"/>
        <v>9801</v>
      </c>
      <c r="E1279" s="1" t="s">
        <v>25</v>
      </c>
      <c r="F1279" s="1" t="str">
        <f>"1003116805"</f>
        <v>1003116805</v>
      </c>
      <c r="G1279" s="1" t="s">
        <v>33</v>
      </c>
      <c r="H1279" s="1" t="str">
        <f t="shared" si="178"/>
        <v>20220919</v>
      </c>
      <c r="I1279" s="1" t="str">
        <f>"165350"</f>
        <v>165350</v>
      </c>
      <c r="J1279" s="1" t="s">
        <v>28</v>
      </c>
      <c r="K1279" s="1" t="s">
        <v>28</v>
      </c>
      <c r="L1279" s="1" t="str">
        <f t="shared" si="179"/>
        <v>20220919</v>
      </c>
      <c r="M1279" s="1" t="str">
        <f>"170501"</f>
        <v>170501</v>
      </c>
      <c r="N1279" s="1" t="s">
        <v>78</v>
      </c>
      <c r="O1279" s="1" t="s">
        <v>52</v>
      </c>
      <c r="P1279" s="1" t="s">
        <v>55</v>
      </c>
      <c r="Q1279" s="1">
        <v>25</v>
      </c>
      <c r="R1279" s="1">
        <v>25</v>
      </c>
      <c r="S1279" s="1">
        <v>0</v>
      </c>
      <c r="T1279" s="1">
        <v>0</v>
      </c>
      <c r="U1279" s="1">
        <v>0</v>
      </c>
      <c r="V1279" s="1" t="str">
        <f t="shared" si="175"/>
        <v>里程返程</v>
      </c>
      <c r="W1279" s="1" t="s">
        <v>35</v>
      </c>
    </row>
    <row r="1280" spans="1:23" x14ac:dyDescent="0.3">
      <c r="A1280" s="1" t="str">
        <f t="shared" si="177"/>
        <v>59809</v>
      </c>
      <c r="B1280" s="1" t="s">
        <v>42</v>
      </c>
      <c r="C1280" s="1" t="s">
        <v>43</v>
      </c>
      <c r="D1280" s="1" t="str">
        <f t="shared" si="174"/>
        <v>9801</v>
      </c>
      <c r="E1280" s="1" t="s">
        <v>25</v>
      </c>
      <c r="F1280" s="1" t="str">
        <f>"3693775818"</f>
        <v>3693775818</v>
      </c>
      <c r="G1280" s="1" t="s">
        <v>33</v>
      </c>
      <c r="H1280" s="1" t="str">
        <f t="shared" si="178"/>
        <v>20220919</v>
      </c>
      <c r="I1280" s="1" t="str">
        <f>"165353"</f>
        <v>165353</v>
      </c>
      <c r="J1280" s="1" t="s">
        <v>28</v>
      </c>
      <c r="K1280" s="1" t="s">
        <v>28</v>
      </c>
      <c r="L1280" s="1" t="str">
        <f t="shared" si="179"/>
        <v>20220919</v>
      </c>
      <c r="M1280" s="1" t="str">
        <f>"172501"</f>
        <v>172501</v>
      </c>
      <c r="N1280" s="1" t="s">
        <v>52</v>
      </c>
      <c r="O1280" s="1" t="s">
        <v>52</v>
      </c>
      <c r="P1280" s="1" t="s">
        <v>55</v>
      </c>
      <c r="Q1280" s="1">
        <v>25</v>
      </c>
      <c r="R1280" s="1">
        <v>25</v>
      </c>
      <c r="S1280" s="1">
        <v>0</v>
      </c>
      <c r="T1280" s="1">
        <v>0</v>
      </c>
      <c r="U1280" s="1">
        <v>0</v>
      </c>
      <c r="V1280" s="1" t="str">
        <f t="shared" si="175"/>
        <v>里程返程</v>
      </c>
      <c r="W1280" s="1" t="s">
        <v>35</v>
      </c>
    </row>
    <row r="1281" spans="1:23" x14ac:dyDescent="0.3">
      <c r="A1281" s="1" t="str">
        <f>"59828"</f>
        <v>59828</v>
      </c>
      <c r="B1281" s="1" t="s">
        <v>23</v>
      </c>
      <c r="C1281" s="1" t="s">
        <v>24</v>
      </c>
      <c r="D1281" s="1" t="str">
        <f t="shared" si="174"/>
        <v>9801</v>
      </c>
      <c r="E1281" s="1" t="s">
        <v>25</v>
      </c>
      <c r="F1281" s="1" t="str">
        <f>"3693775818"</f>
        <v>3693775818</v>
      </c>
      <c r="G1281" s="1" t="s">
        <v>33</v>
      </c>
      <c r="H1281" s="1" t="str">
        <f t="shared" si="178"/>
        <v>20220919</v>
      </c>
      <c r="I1281" s="1" t="str">
        <f>"172815"</f>
        <v>172815</v>
      </c>
      <c r="J1281" s="1" t="s">
        <v>44</v>
      </c>
      <c r="K1281" s="1" t="s">
        <v>45</v>
      </c>
      <c r="L1281" s="1" t="str">
        <f t="shared" si="179"/>
        <v>20220919</v>
      </c>
      <c r="M1281" s="1" t="str">
        <f>"173321"</f>
        <v>173321</v>
      </c>
      <c r="N1281" s="1" t="s">
        <v>44</v>
      </c>
      <c r="O1281" s="1" t="s">
        <v>45</v>
      </c>
      <c r="P1281" s="1" t="s">
        <v>55</v>
      </c>
      <c r="Q1281" s="1">
        <v>25</v>
      </c>
      <c r="R1281" s="1">
        <v>25</v>
      </c>
      <c r="S1281" s="1">
        <v>0</v>
      </c>
      <c r="T1281" s="1">
        <v>0</v>
      </c>
      <c r="U1281" s="1">
        <v>0</v>
      </c>
      <c r="V1281" s="1" t="str">
        <f t="shared" si="175"/>
        <v>里程返程</v>
      </c>
      <c r="W1281" s="1" t="s">
        <v>35</v>
      </c>
    </row>
    <row r="1282" spans="1:23" x14ac:dyDescent="0.3">
      <c r="A1282" s="1" t="str">
        <f>"59828"</f>
        <v>59828</v>
      </c>
      <c r="B1282" s="1" t="s">
        <v>23</v>
      </c>
      <c r="C1282" s="1" t="s">
        <v>24</v>
      </c>
      <c r="D1282" s="1" t="str">
        <f t="shared" ref="D1282:D1345" si="180">"9801"</f>
        <v>9801</v>
      </c>
      <c r="E1282" s="1" t="s">
        <v>25</v>
      </c>
      <c r="F1282" s="1" t="str">
        <f>"422AE7028D880400C834002000000015"</f>
        <v>422AE7028D880400C834002000000015</v>
      </c>
      <c r="G1282" s="1" t="s">
        <v>74</v>
      </c>
      <c r="H1282" s="1" t="str">
        <f t="shared" si="178"/>
        <v>20220919</v>
      </c>
      <c r="I1282" s="1" t="str">
        <f>"172830"</f>
        <v>172830</v>
      </c>
      <c r="J1282" s="1" t="s">
        <v>44</v>
      </c>
      <c r="K1282" s="1" t="s">
        <v>45</v>
      </c>
      <c r="L1282" s="1" t="str">
        <f t="shared" si="179"/>
        <v>20220919</v>
      </c>
      <c r="M1282" s="1" t="str">
        <f>"175227"</f>
        <v>175227</v>
      </c>
      <c r="N1282" s="1" t="s">
        <v>28</v>
      </c>
      <c r="O1282" s="1" t="s">
        <v>28</v>
      </c>
      <c r="P1282" s="1" t="s">
        <v>68</v>
      </c>
      <c r="Q1282" s="1">
        <v>13</v>
      </c>
      <c r="R1282" s="1">
        <v>0</v>
      </c>
      <c r="S1282" s="1">
        <v>0</v>
      </c>
      <c r="T1282" s="1">
        <v>13</v>
      </c>
      <c r="U1282" s="1">
        <v>0</v>
      </c>
      <c r="V1282" s="1" t="str">
        <f t="shared" ref="V1282:V1345" si="181">"里程返程"</f>
        <v>里程返程</v>
      </c>
      <c r="W1282" s="1" t="s">
        <v>29</v>
      </c>
    </row>
    <row r="1283" spans="1:23" x14ac:dyDescent="0.3">
      <c r="A1283" s="1" t="str">
        <f>"59828"</f>
        <v>59828</v>
      </c>
      <c r="B1283" s="1" t="s">
        <v>23</v>
      </c>
      <c r="C1283" s="1" t="s">
        <v>24</v>
      </c>
      <c r="D1283" s="1" t="str">
        <f t="shared" si="180"/>
        <v>9801</v>
      </c>
      <c r="E1283" s="1" t="s">
        <v>25</v>
      </c>
      <c r="F1283" s="1" t="str">
        <f>"9279870D61880400C848002000000017"</f>
        <v>9279870D61880400C848002000000017</v>
      </c>
      <c r="G1283" s="1" t="s">
        <v>59</v>
      </c>
      <c r="H1283" s="1" t="str">
        <f t="shared" si="178"/>
        <v>20220919</v>
      </c>
      <c r="I1283" s="1" t="str">
        <f>"183002"</f>
        <v>183002</v>
      </c>
      <c r="J1283" s="1" t="s">
        <v>44</v>
      </c>
      <c r="K1283" s="1" t="s">
        <v>45</v>
      </c>
      <c r="L1283" s="1" t="str">
        <f t="shared" si="179"/>
        <v>20220919</v>
      </c>
      <c r="M1283" s="1" t="str">
        <f>"185300"</f>
        <v>185300</v>
      </c>
      <c r="N1283" s="1" t="s">
        <v>28</v>
      </c>
      <c r="O1283" s="1" t="s">
        <v>28</v>
      </c>
      <c r="P1283" s="1" t="s">
        <v>55</v>
      </c>
      <c r="Q1283" s="1">
        <v>25</v>
      </c>
      <c r="R1283" s="1">
        <v>25</v>
      </c>
      <c r="S1283" s="1">
        <v>0</v>
      </c>
      <c r="T1283" s="1">
        <v>0</v>
      </c>
      <c r="U1283" s="1">
        <v>0</v>
      </c>
      <c r="V1283" s="1" t="str">
        <f t="shared" si="181"/>
        <v>里程返程</v>
      </c>
      <c r="W1283" s="1" t="s">
        <v>29</v>
      </c>
    </row>
    <row r="1284" spans="1:23" x14ac:dyDescent="0.3">
      <c r="A1284" s="1" t="str">
        <f>"59828"</f>
        <v>59828</v>
      </c>
      <c r="B1284" s="1" t="s">
        <v>23</v>
      </c>
      <c r="C1284" s="1" t="s">
        <v>24</v>
      </c>
      <c r="D1284" s="1" t="str">
        <f t="shared" si="180"/>
        <v>9801</v>
      </c>
      <c r="E1284" s="1" t="s">
        <v>25</v>
      </c>
      <c r="F1284" s="1" t="str">
        <f>"11990F2FA888040043288DA200020912"</f>
        <v>11990F2FA888040043288DA200020912</v>
      </c>
      <c r="G1284" s="1" t="s">
        <v>58</v>
      </c>
      <c r="H1284" s="1" t="str">
        <f t="shared" si="178"/>
        <v>20220919</v>
      </c>
      <c r="I1284" s="1" t="str">
        <f>"183005"</f>
        <v>183005</v>
      </c>
      <c r="J1284" s="1" t="s">
        <v>44</v>
      </c>
      <c r="K1284" s="1" t="s">
        <v>45</v>
      </c>
      <c r="L1284" s="1" t="str">
        <f t="shared" si="179"/>
        <v>20220919</v>
      </c>
      <c r="M1284" s="1" t="str">
        <f>"185301"</f>
        <v>185301</v>
      </c>
      <c r="N1284" s="1" t="s">
        <v>28</v>
      </c>
      <c r="O1284" s="1" t="s">
        <v>28</v>
      </c>
      <c r="P1284" s="1" t="s">
        <v>55</v>
      </c>
      <c r="Q1284" s="1">
        <v>25</v>
      </c>
      <c r="R1284" s="1">
        <v>25</v>
      </c>
      <c r="S1284" s="1">
        <v>0</v>
      </c>
      <c r="T1284" s="1">
        <v>0</v>
      </c>
      <c r="U1284" s="1">
        <v>0</v>
      </c>
      <c r="V1284" s="1" t="str">
        <f t="shared" si="181"/>
        <v>里程返程</v>
      </c>
      <c r="W1284" s="1" t="s">
        <v>29</v>
      </c>
    </row>
    <row r="1285" spans="1:23" x14ac:dyDescent="0.3">
      <c r="A1285" s="1" t="str">
        <f>"59828"</f>
        <v>59828</v>
      </c>
      <c r="B1285" s="1" t="s">
        <v>23</v>
      </c>
      <c r="C1285" s="1" t="s">
        <v>24</v>
      </c>
      <c r="D1285" s="1" t="str">
        <f t="shared" si="180"/>
        <v>9801</v>
      </c>
      <c r="E1285" s="1" t="s">
        <v>25</v>
      </c>
      <c r="F1285" s="1" t="str">
        <f>"1535779151"</f>
        <v>1535779151</v>
      </c>
      <c r="G1285" s="1" t="s">
        <v>33</v>
      </c>
      <c r="H1285" s="1" t="str">
        <f t="shared" si="178"/>
        <v>20220919</v>
      </c>
      <c r="I1285" s="1" t="str">
        <f>"185317"</f>
        <v>185317</v>
      </c>
      <c r="J1285" s="1" t="s">
        <v>28</v>
      </c>
      <c r="K1285" s="1" t="s">
        <v>28</v>
      </c>
      <c r="L1285" s="1" t="str">
        <f t="shared" si="179"/>
        <v>20220919</v>
      </c>
      <c r="M1285" s="1" t="str">
        <f>"191608"</f>
        <v>191608</v>
      </c>
      <c r="N1285" s="1" t="s">
        <v>65</v>
      </c>
      <c r="O1285" s="1" t="s">
        <v>52</v>
      </c>
      <c r="P1285" s="1" t="s">
        <v>55</v>
      </c>
      <c r="Q1285" s="1">
        <v>25</v>
      </c>
      <c r="R1285" s="1">
        <v>0</v>
      </c>
      <c r="S1285" s="1">
        <v>25</v>
      </c>
      <c r="T1285" s="1">
        <v>0</v>
      </c>
      <c r="U1285" s="1">
        <v>0</v>
      </c>
      <c r="V1285" s="1" t="str">
        <f t="shared" si="181"/>
        <v>里程返程</v>
      </c>
      <c r="W1285" s="1" t="s">
        <v>35</v>
      </c>
    </row>
    <row r="1286" spans="1:23" x14ac:dyDescent="0.3">
      <c r="A1286" s="1" t="str">
        <f t="shared" ref="A1286:A1294" si="182">"59829"</f>
        <v>59829</v>
      </c>
      <c r="B1286" s="1" t="s">
        <v>47</v>
      </c>
      <c r="C1286" s="1" t="s">
        <v>48</v>
      </c>
      <c r="D1286" s="1" t="str">
        <f t="shared" si="180"/>
        <v>9801</v>
      </c>
      <c r="E1286" s="1" t="s">
        <v>25</v>
      </c>
      <c r="F1286" s="1" t="str">
        <f>"F29BD102BA880400C834002000000015"</f>
        <v>F29BD102BA880400C834002000000015</v>
      </c>
      <c r="G1286" s="1" t="s">
        <v>26</v>
      </c>
      <c r="H1286" s="1" t="str">
        <f t="shared" si="178"/>
        <v>20220919</v>
      </c>
      <c r="I1286" s="1" t="str">
        <f>"083224"</f>
        <v>083224</v>
      </c>
      <c r="J1286" s="1" t="s">
        <v>44</v>
      </c>
      <c r="K1286" s="1" t="s">
        <v>45</v>
      </c>
      <c r="L1286" s="1" t="str">
        <f t="shared" si="179"/>
        <v>20220919</v>
      </c>
      <c r="M1286" s="1" t="str">
        <f>"085040"</f>
        <v>085040</v>
      </c>
      <c r="N1286" s="1" t="s">
        <v>95</v>
      </c>
      <c r="O1286" s="1" t="s">
        <v>28</v>
      </c>
      <c r="P1286" s="1" t="s">
        <v>68</v>
      </c>
      <c r="Q1286" s="1">
        <v>13</v>
      </c>
      <c r="R1286" s="1">
        <v>0</v>
      </c>
      <c r="S1286" s="1">
        <v>0</v>
      </c>
      <c r="T1286" s="1">
        <v>13</v>
      </c>
      <c r="U1286" s="1">
        <v>0</v>
      </c>
      <c r="V1286" s="1" t="str">
        <f t="shared" si="181"/>
        <v>里程返程</v>
      </c>
      <c r="W1286" s="1" t="s">
        <v>29</v>
      </c>
    </row>
    <row r="1287" spans="1:23" x14ac:dyDescent="0.3">
      <c r="A1287" s="1" t="str">
        <f t="shared" si="182"/>
        <v>59829</v>
      </c>
      <c r="B1287" s="1" t="s">
        <v>47</v>
      </c>
      <c r="C1287" s="1" t="s">
        <v>48</v>
      </c>
      <c r="D1287" s="1" t="str">
        <f t="shared" si="180"/>
        <v>9801</v>
      </c>
      <c r="E1287" s="1" t="s">
        <v>25</v>
      </c>
      <c r="F1287" s="1" t="str">
        <f>"821C1A0387880400C834002000000015"</f>
        <v>821C1A0387880400C834002000000015</v>
      </c>
      <c r="G1287" s="1" t="s">
        <v>26</v>
      </c>
      <c r="H1287" s="1" t="str">
        <f t="shared" si="178"/>
        <v>20220919</v>
      </c>
      <c r="I1287" s="1" t="str">
        <f>"085131"</f>
        <v>085131</v>
      </c>
      <c r="J1287" s="1" t="s">
        <v>28</v>
      </c>
      <c r="K1287" s="1" t="s">
        <v>28</v>
      </c>
      <c r="L1287" s="1" t="str">
        <f t="shared" si="179"/>
        <v>20220919</v>
      </c>
      <c r="M1287" s="1" t="str">
        <f>"091230"</f>
        <v>091230</v>
      </c>
      <c r="N1287" s="1" t="s">
        <v>80</v>
      </c>
      <c r="O1287" s="1" t="s">
        <v>52</v>
      </c>
      <c r="P1287" s="1" t="s">
        <v>68</v>
      </c>
      <c r="Q1287" s="1">
        <v>13</v>
      </c>
      <c r="R1287" s="1">
        <v>0</v>
      </c>
      <c r="S1287" s="1">
        <v>0</v>
      </c>
      <c r="T1287" s="1">
        <v>13</v>
      </c>
      <c r="U1287" s="1">
        <v>0</v>
      </c>
      <c r="V1287" s="1" t="str">
        <f t="shared" si="181"/>
        <v>里程返程</v>
      </c>
      <c r="W1287" s="1" t="s">
        <v>29</v>
      </c>
    </row>
    <row r="1288" spans="1:23" x14ac:dyDescent="0.3">
      <c r="A1288" s="1" t="str">
        <f t="shared" si="182"/>
        <v>59829</v>
      </c>
      <c r="B1288" s="1" t="s">
        <v>47</v>
      </c>
      <c r="C1288" s="1" t="s">
        <v>48</v>
      </c>
      <c r="D1288" s="1" t="str">
        <f t="shared" si="180"/>
        <v>9801</v>
      </c>
      <c r="E1288" s="1" t="s">
        <v>25</v>
      </c>
      <c r="F1288" s="1" t="str">
        <f>"03A6A9454988040048B994D749703809"</f>
        <v>03A6A9454988040048B994D749703809</v>
      </c>
      <c r="G1288" s="1" t="s">
        <v>64</v>
      </c>
      <c r="H1288" s="1" t="str">
        <f t="shared" si="178"/>
        <v>20220919</v>
      </c>
      <c r="I1288" s="1" t="str">
        <f>"085140"</f>
        <v>085140</v>
      </c>
      <c r="J1288" s="1" t="s">
        <v>28</v>
      </c>
      <c r="K1288" s="1" t="s">
        <v>28</v>
      </c>
      <c r="L1288" s="1" t="str">
        <f t="shared" si="179"/>
        <v>20220919</v>
      </c>
      <c r="M1288" s="1" t="str">
        <f>"090531"</f>
        <v>090531</v>
      </c>
      <c r="N1288" s="1" t="s">
        <v>78</v>
      </c>
      <c r="O1288" s="1" t="s">
        <v>52</v>
      </c>
      <c r="P1288" s="1" t="s">
        <v>55</v>
      </c>
      <c r="Q1288" s="1">
        <v>13</v>
      </c>
      <c r="R1288" s="1">
        <v>13</v>
      </c>
      <c r="S1288" s="1">
        <v>0</v>
      </c>
      <c r="T1288" s="1">
        <v>0</v>
      </c>
      <c r="U1288" s="1">
        <v>0</v>
      </c>
      <c r="V1288" s="1" t="str">
        <f t="shared" si="181"/>
        <v>里程返程</v>
      </c>
      <c r="W1288" s="1" t="s">
        <v>29</v>
      </c>
    </row>
    <row r="1289" spans="1:23" x14ac:dyDescent="0.3">
      <c r="A1289" s="1" t="str">
        <f t="shared" si="182"/>
        <v>59829</v>
      </c>
      <c r="B1289" s="1" t="s">
        <v>47</v>
      </c>
      <c r="C1289" s="1" t="s">
        <v>48</v>
      </c>
      <c r="D1289" s="1" t="str">
        <f t="shared" si="180"/>
        <v>9801</v>
      </c>
      <c r="E1289" s="1" t="s">
        <v>25</v>
      </c>
      <c r="F1289" s="1" t="str">
        <f>"2201E702C6880400C834002000000015"</f>
        <v>2201E702C6880400C834002000000015</v>
      </c>
      <c r="G1289" s="1" t="s">
        <v>74</v>
      </c>
      <c r="H1289" s="1" t="str">
        <f t="shared" si="178"/>
        <v>20220919</v>
      </c>
      <c r="I1289" s="1" t="str">
        <f>"092750"</f>
        <v>092750</v>
      </c>
      <c r="J1289" s="1" t="s">
        <v>44</v>
      </c>
      <c r="K1289" s="1" t="s">
        <v>45</v>
      </c>
      <c r="L1289" s="1" t="str">
        <f t="shared" si="179"/>
        <v>20220919</v>
      </c>
      <c r="M1289" s="1" t="str">
        <f>"093109"</f>
        <v>093109</v>
      </c>
      <c r="N1289" s="1" t="s">
        <v>100</v>
      </c>
      <c r="O1289" s="1" t="s">
        <v>45</v>
      </c>
      <c r="P1289" s="1" t="s">
        <v>68</v>
      </c>
      <c r="Q1289" s="1">
        <v>13</v>
      </c>
      <c r="R1289" s="1">
        <v>0</v>
      </c>
      <c r="S1289" s="1">
        <v>0</v>
      </c>
      <c r="T1289" s="1">
        <v>13</v>
      </c>
      <c r="U1289" s="1">
        <v>0</v>
      </c>
      <c r="V1289" s="1" t="str">
        <f t="shared" si="181"/>
        <v>里程返程</v>
      </c>
      <c r="W1289" s="1" t="s">
        <v>29</v>
      </c>
    </row>
    <row r="1290" spans="1:23" x14ac:dyDescent="0.3">
      <c r="A1290" s="1" t="str">
        <f t="shared" si="182"/>
        <v>59829</v>
      </c>
      <c r="B1290" s="1" t="s">
        <v>47</v>
      </c>
      <c r="C1290" s="1" t="s">
        <v>48</v>
      </c>
      <c r="D1290" s="1" t="str">
        <f t="shared" si="180"/>
        <v>9801</v>
      </c>
      <c r="E1290" s="1" t="s">
        <v>25</v>
      </c>
      <c r="F1290" s="1" t="str">
        <f>"1677253200"</f>
        <v>1677253200</v>
      </c>
      <c r="G1290" s="1" t="s">
        <v>33</v>
      </c>
      <c r="H1290" s="1" t="str">
        <f t="shared" si="178"/>
        <v>20220919</v>
      </c>
      <c r="I1290" s="1" t="str">
        <f>"093617"</f>
        <v>093617</v>
      </c>
      <c r="J1290" s="1" t="s">
        <v>91</v>
      </c>
      <c r="K1290" s="1" t="s">
        <v>45</v>
      </c>
      <c r="L1290" s="1" t="str">
        <f t="shared" si="179"/>
        <v>20220919</v>
      </c>
      <c r="M1290" s="1" t="str">
        <f>"095308"</f>
        <v>095308</v>
      </c>
      <c r="N1290" s="1" t="s">
        <v>28</v>
      </c>
      <c r="O1290" s="1" t="s">
        <v>28</v>
      </c>
      <c r="P1290" s="1" t="s">
        <v>55</v>
      </c>
      <c r="Q1290" s="1">
        <v>25</v>
      </c>
      <c r="R1290" s="1">
        <v>25</v>
      </c>
      <c r="S1290" s="1">
        <v>0</v>
      </c>
      <c r="T1290" s="1">
        <v>0</v>
      </c>
      <c r="U1290" s="1">
        <v>0</v>
      </c>
      <c r="V1290" s="1" t="str">
        <f t="shared" si="181"/>
        <v>里程返程</v>
      </c>
      <c r="W1290" s="1" t="s">
        <v>35</v>
      </c>
    </row>
    <row r="1291" spans="1:23" x14ac:dyDescent="0.3">
      <c r="A1291" s="1" t="str">
        <f t="shared" si="182"/>
        <v>59829</v>
      </c>
      <c r="B1291" s="1" t="s">
        <v>47</v>
      </c>
      <c r="C1291" s="1" t="s">
        <v>48</v>
      </c>
      <c r="D1291" s="1" t="str">
        <f t="shared" si="180"/>
        <v>9801</v>
      </c>
      <c r="E1291" s="1" t="s">
        <v>25</v>
      </c>
      <c r="F1291" s="1" t="str">
        <f>"1705179733"</f>
        <v>1705179733</v>
      </c>
      <c r="G1291" s="1" t="s">
        <v>33</v>
      </c>
      <c r="H1291" s="1" t="str">
        <f t="shared" si="178"/>
        <v>20220919</v>
      </c>
      <c r="I1291" s="1" t="str">
        <f>"105405"</f>
        <v>105405</v>
      </c>
      <c r="J1291" s="1" t="s">
        <v>28</v>
      </c>
      <c r="K1291" s="1" t="s">
        <v>28</v>
      </c>
      <c r="L1291" s="1" t="str">
        <f t="shared" si="179"/>
        <v>20220919</v>
      </c>
      <c r="M1291" s="1" t="str">
        <f>"112529"</f>
        <v>112529</v>
      </c>
      <c r="N1291" s="1" t="s">
        <v>52</v>
      </c>
      <c r="O1291" s="1" t="s">
        <v>52</v>
      </c>
      <c r="P1291" s="1" t="s">
        <v>55</v>
      </c>
      <c r="Q1291" s="1">
        <v>25</v>
      </c>
      <c r="R1291" s="1">
        <v>0</v>
      </c>
      <c r="S1291" s="1">
        <v>25</v>
      </c>
      <c r="T1291" s="1">
        <v>0</v>
      </c>
      <c r="U1291" s="1">
        <v>0</v>
      </c>
      <c r="V1291" s="1" t="str">
        <f t="shared" si="181"/>
        <v>里程返程</v>
      </c>
      <c r="W1291" s="1" t="s">
        <v>35</v>
      </c>
    </row>
    <row r="1292" spans="1:23" x14ac:dyDescent="0.3">
      <c r="A1292" s="1" t="str">
        <f t="shared" si="182"/>
        <v>59829</v>
      </c>
      <c r="B1292" s="1" t="s">
        <v>47</v>
      </c>
      <c r="C1292" s="1" t="s">
        <v>48</v>
      </c>
      <c r="D1292" s="1" t="str">
        <f t="shared" si="180"/>
        <v>9801</v>
      </c>
      <c r="E1292" s="1" t="s">
        <v>25</v>
      </c>
      <c r="F1292" s="1" t="str">
        <f>"7311150202020740"</f>
        <v>7311150202020740</v>
      </c>
      <c r="G1292" s="1" t="s">
        <v>33</v>
      </c>
      <c r="H1292" s="1" t="str">
        <f t="shared" si="178"/>
        <v>20220919</v>
      </c>
      <c r="I1292" s="1" t="str">
        <f>"115251"</f>
        <v>115251</v>
      </c>
      <c r="J1292" s="1" t="s">
        <v>28</v>
      </c>
      <c r="K1292" s="1" t="s">
        <v>28</v>
      </c>
      <c r="L1292" s="1" t="str">
        <f t="shared" si="179"/>
        <v>20220919</v>
      </c>
      <c r="M1292" s="1" t="str">
        <f>"122547"</f>
        <v>122547</v>
      </c>
      <c r="N1292" s="1" t="s">
        <v>52</v>
      </c>
      <c r="O1292" s="1" t="s">
        <v>52</v>
      </c>
      <c r="P1292" s="1" t="s">
        <v>55</v>
      </c>
      <c r="Q1292" s="1">
        <v>25</v>
      </c>
      <c r="R1292" s="1">
        <v>25</v>
      </c>
      <c r="S1292" s="1">
        <v>0</v>
      </c>
      <c r="T1292" s="1">
        <v>0</v>
      </c>
      <c r="U1292" s="1">
        <v>0</v>
      </c>
      <c r="V1292" s="1" t="str">
        <f t="shared" si="181"/>
        <v>里程返程</v>
      </c>
      <c r="W1292" s="1" t="s">
        <v>109</v>
      </c>
    </row>
    <row r="1293" spans="1:23" x14ac:dyDescent="0.3">
      <c r="A1293" s="1" t="str">
        <f t="shared" si="182"/>
        <v>59829</v>
      </c>
      <c r="B1293" s="1" t="s">
        <v>47</v>
      </c>
      <c r="C1293" s="1" t="s">
        <v>48</v>
      </c>
      <c r="D1293" s="1" t="str">
        <f t="shared" si="180"/>
        <v>9801</v>
      </c>
      <c r="E1293" s="1" t="s">
        <v>25</v>
      </c>
      <c r="F1293" s="1" t="str">
        <f>"811406677"</f>
        <v>811406677</v>
      </c>
      <c r="G1293" s="1" t="s">
        <v>26</v>
      </c>
      <c r="H1293" s="1" t="str">
        <f t="shared" si="178"/>
        <v>20220919</v>
      </c>
      <c r="I1293" s="1" t="str">
        <f>"192311"</f>
        <v>192311</v>
      </c>
      <c r="J1293" s="1" t="s">
        <v>28</v>
      </c>
      <c r="K1293" s="1" t="s">
        <v>28</v>
      </c>
      <c r="L1293" s="1" t="str">
        <f t="shared" si="179"/>
        <v>20220919</v>
      </c>
      <c r="M1293" s="1" t="str">
        <f>"195338"</f>
        <v>195338</v>
      </c>
      <c r="N1293" s="1" t="s">
        <v>52</v>
      </c>
      <c r="O1293" s="1" t="s">
        <v>52</v>
      </c>
      <c r="P1293" s="1" t="s">
        <v>55</v>
      </c>
      <c r="Q1293" s="1">
        <v>13</v>
      </c>
      <c r="R1293" s="1">
        <v>0</v>
      </c>
      <c r="S1293" s="1">
        <v>13</v>
      </c>
      <c r="T1293" s="1">
        <v>0</v>
      </c>
      <c r="U1293" s="1">
        <v>0</v>
      </c>
      <c r="V1293" s="1" t="str">
        <f t="shared" si="181"/>
        <v>里程返程</v>
      </c>
      <c r="W1293" s="1" t="s">
        <v>35</v>
      </c>
    </row>
    <row r="1294" spans="1:23" x14ac:dyDescent="0.3">
      <c r="A1294" s="1" t="str">
        <f t="shared" si="182"/>
        <v>59829</v>
      </c>
      <c r="B1294" s="1" t="s">
        <v>47</v>
      </c>
      <c r="C1294" s="1" t="s">
        <v>48</v>
      </c>
      <c r="D1294" s="1" t="str">
        <f t="shared" si="180"/>
        <v>9801</v>
      </c>
      <c r="E1294" s="1" t="s">
        <v>25</v>
      </c>
      <c r="F1294" s="1" t="str">
        <f>"3236564931"</f>
        <v>3236564931</v>
      </c>
      <c r="G1294" s="1" t="s">
        <v>33</v>
      </c>
      <c r="H1294" s="1" t="str">
        <f t="shared" si="178"/>
        <v>20220919</v>
      </c>
      <c r="I1294" s="1" t="str">
        <f>"192315"</f>
        <v>192315</v>
      </c>
      <c r="J1294" s="1" t="s">
        <v>28</v>
      </c>
      <c r="K1294" s="1" t="s">
        <v>28</v>
      </c>
      <c r="L1294" s="1" t="str">
        <f t="shared" si="179"/>
        <v>20220919</v>
      </c>
      <c r="M1294" s="1" t="str">
        <f>"195343"</f>
        <v>195343</v>
      </c>
      <c r="N1294" s="1" t="s">
        <v>52</v>
      </c>
      <c r="O1294" s="1" t="s">
        <v>52</v>
      </c>
      <c r="P1294" s="1" t="s">
        <v>55</v>
      </c>
      <c r="Q1294" s="1">
        <v>25</v>
      </c>
      <c r="R1294" s="1">
        <v>0</v>
      </c>
      <c r="S1294" s="1">
        <v>25</v>
      </c>
      <c r="T1294" s="1">
        <v>0</v>
      </c>
      <c r="U1294" s="1">
        <v>0</v>
      </c>
      <c r="V1294" s="1" t="str">
        <f t="shared" si="181"/>
        <v>里程返程</v>
      </c>
      <c r="W1294" s="1" t="s">
        <v>35</v>
      </c>
    </row>
    <row r="1295" spans="1:23" x14ac:dyDescent="0.3">
      <c r="A1295" s="1" t="str">
        <f t="shared" ref="A1295:A1303" si="183">"59820"</f>
        <v>59820</v>
      </c>
      <c r="B1295" s="1" t="s">
        <v>53</v>
      </c>
      <c r="C1295" s="1" t="s">
        <v>54</v>
      </c>
      <c r="D1295" s="1" t="str">
        <f t="shared" si="180"/>
        <v>9801</v>
      </c>
      <c r="E1295" s="1" t="s">
        <v>25</v>
      </c>
      <c r="F1295" s="1" t="str">
        <f>"E130C75F492804001C00000000000000"</f>
        <v>E130C75F492804001C00000000000000</v>
      </c>
      <c r="G1295" s="1" t="s">
        <v>58</v>
      </c>
      <c r="H1295" s="1" t="str">
        <f t="shared" ref="H1295:H1318" si="184">"20220920"</f>
        <v>20220920</v>
      </c>
      <c r="I1295" s="1" t="str">
        <f>"061427"</f>
        <v>061427</v>
      </c>
      <c r="J1295" s="1" t="s">
        <v>79</v>
      </c>
      <c r="K1295" s="1" t="s">
        <v>45</v>
      </c>
      <c r="L1295" s="1" t="str">
        <f t="shared" ref="L1295:L1318" si="185">"20220920"</f>
        <v>20220920</v>
      </c>
      <c r="M1295" s="1" t="str">
        <f>"062056"</f>
        <v>062056</v>
      </c>
      <c r="N1295" s="1" t="s">
        <v>28</v>
      </c>
      <c r="O1295" s="1" t="s">
        <v>28</v>
      </c>
      <c r="P1295" s="1" t="s">
        <v>55</v>
      </c>
      <c r="Q1295" s="1">
        <v>25</v>
      </c>
      <c r="R1295" s="1">
        <v>25</v>
      </c>
      <c r="S1295" s="1">
        <v>0</v>
      </c>
      <c r="T1295" s="1">
        <v>0</v>
      </c>
      <c r="U1295" s="1">
        <v>0</v>
      </c>
      <c r="V1295" s="1" t="str">
        <f t="shared" si="181"/>
        <v>里程返程</v>
      </c>
      <c r="W1295" s="1" t="s">
        <v>29</v>
      </c>
    </row>
    <row r="1296" spans="1:23" x14ac:dyDescent="0.3">
      <c r="A1296" s="1" t="str">
        <f t="shared" si="183"/>
        <v>59820</v>
      </c>
      <c r="B1296" s="1" t="s">
        <v>53</v>
      </c>
      <c r="C1296" s="1" t="s">
        <v>54</v>
      </c>
      <c r="D1296" s="1" t="str">
        <f t="shared" si="180"/>
        <v>9801</v>
      </c>
      <c r="E1296" s="1" t="s">
        <v>25</v>
      </c>
      <c r="F1296" s="1" t="str">
        <f>"55D2A79CBC88040043265ABE00170710"</f>
        <v>55D2A79CBC88040043265ABE00170710</v>
      </c>
      <c r="G1296" s="1" t="s">
        <v>64</v>
      </c>
      <c r="H1296" s="1" t="str">
        <f t="shared" si="184"/>
        <v>20220920</v>
      </c>
      <c r="I1296" s="1" t="str">
        <f>"130631"</f>
        <v>130631</v>
      </c>
      <c r="J1296" s="1" t="s">
        <v>67</v>
      </c>
      <c r="K1296" s="1" t="s">
        <v>52</v>
      </c>
      <c r="L1296" s="1" t="str">
        <f t="shared" si="185"/>
        <v>20220920</v>
      </c>
      <c r="M1296" s="1" t="str">
        <f>"132201"</f>
        <v>132201</v>
      </c>
      <c r="N1296" s="1" t="s">
        <v>86</v>
      </c>
      <c r="O1296" s="1" t="s">
        <v>52</v>
      </c>
      <c r="P1296" s="1" t="s">
        <v>55</v>
      </c>
      <c r="Q1296" s="1">
        <v>13</v>
      </c>
      <c r="R1296" s="1">
        <v>13</v>
      </c>
      <c r="S1296" s="1">
        <v>0</v>
      </c>
      <c r="T1296" s="1">
        <v>0</v>
      </c>
      <c r="U1296" s="1">
        <v>0</v>
      </c>
      <c r="V1296" s="1" t="str">
        <f t="shared" si="181"/>
        <v>里程返程</v>
      </c>
      <c r="W1296" s="1" t="s">
        <v>29</v>
      </c>
    </row>
    <row r="1297" spans="1:23" x14ac:dyDescent="0.3">
      <c r="A1297" s="1" t="str">
        <f t="shared" si="183"/>
        <v>59820</v>
      </c>
      <c r="B1297" s="1" t="s">
        <v>53</v>
      </c>
      <c r="C1297" s="1" t="s">
        <v>54</v>
      </c>
      <c r="D1297" s="1" t="str">
        <f t="shared" si="180"/>
        <v>9801</v>
      </c>
      <c r="E1297" s="1" t="s">
        <v>25</v>
      </c>
      <c r="F1297" s="1" t="str">
        <f>"E220D10211880400C834002000000015"</f>
        <v>E220D10211880400C834002000000015</v>
      </c>
      <c r="G1297" s="1" t="s">
        <v>74</v>
      </c>
      <c r="H1297" s="1" t="str">
        <f t="shared" si="184"/>
        <v>20220920</v>
      </c>
      <c r="I1297" s="1" t="str">
        <f>"131327"</f>
        <v>131327</v>
      </c>
      <c r="J1297" s="1" t="s">
        <v>97</v>
      </c>
      <c r="K1297" s="1" t="s">
        <v>52</v>
      </c>
      <c r="L1297" s="1" t="str">
        <f t="shared" si="185"/>
        <v>20220920</v>
      </c>
      <c r="M1297" s="1" t="str">
        <f>"131515"</f>
        <v>131515</v>
      </c>
      <c r="N1297" s="1" t="s">
        <v>65</v>
      </c>
      <c r="O1297" s="1" t="s">
        <v>52</v>
      </c>
      <c r="P1297" s="1" t="s">
        <v>68</v>
      </c>
      <c r="Q1297" s="1">
        <v>13</v>
      </c>
      <c r="R1297" s="1">
        <v>0</v>
      </c>
      <c r="S1297" s="1">
        <v>0</v>
      </c>
      <c r="T1297" s="1">
        <v>13</v>
      </c>
      <c r="U1297" s="1">
        <v>0</v>
      </c>
      <c r="V1297" s="1" t="str">
        <f t="shared" si="181"/>
        <v>里程返程</v>
      </c>
      <c r="W1297" s="1" t="s">
        <v>29</v>
      </c>
    </row>
    <row r="1298" spans="1:23" x14ac:dyDescent="0.3">
      <c r="A1298" s="1" t="str">
        <f t="shared" si="183"/>
        <v>59820</v>
      </c>
      <c r="B1298" s="1" t="s">
        <v>53</v>
      </c>
      <c r="C1298" s="1" t="s">
        <v>54</v>
      </c>
      <c r="D1298" s="1" t="str">
        <f t="shared" si="180"/>
        <v>9801</v>
      </c>
      <c r="E1298" s="1" t="s">
        <v>25</v>
      </c>
      <c r="F1298" s="1" t="str">
        <f>"1213097057"</f>
        <v>1213097057</v>
      </c>
      <c r="G1298" s="1" t="s">
        <v>33</v>
      </c>
      <c r="H1298" s="1" t="str">
        <f t="shared" si="184"/>
        <v>20220920</v>
      </c>
      <c r="I1298" s="1" t="str">
        <f>"142520"</f>
        <v>142520</v>
      </c>
      <c r="J1298" s="1" t="s">
        <v>44</v>
      </c>
      <c r="K1298" s="1" t="s">
        <v>45</v>
      </c>
      <c r="L1298" s="1" t="str">
        <f t="shared" si="185"/>
        <v>20220920</v>
      </c>
      <c r="M1298" s="1" t="str">
        <f>"144949"</f>
        <v>144949</v>
      </c>
      <c r="N1298" s="1" t="s">
        <v>28</v>
      </c>
      <c r="O1298" s="1" t="s">
        <v>28</v>
      </c>
      <c r="P1298" s="1" t="s">
        <v>55</v>
      </c>
      <c r="Q1298" s="1">
        <v>25</v>
      </c>
      <c r="R1298" s="1">
        <v>0</v>
      </c>
      <c r="S1298" s="1">
        <v>25</v>
      </c>
      <c r="T1298" s="1">
        <v>0</v>
      </c>
      <c r="U1298" s="1">
        <v>0</v>
      </c>
      <c r="V1298" s="1" t="str">
        <f t="shared" si="181"/>
        <v>里程返程</v>
      </c>
      <c r="W1298" s="1" t="s">
        <v>35</v>
      </c>
    </row>
    <row r="1299" spans="1:23" x14ac:dyDescent="0.3">
      <c r="A1299" s="1" t="str">
        <f t="shared" si="183"/>
        <v>59820</v>
      </c>
      <c r="B1299" s="1" t="s">
        <v>53</v>
      </c>
      <c r="C1299" s="1" t="s">
        <v>54</v>
      </c>
      <c r="D1299" s="1" t="str">
        <f t="shared" si="180"/>
        <v>9801</v>
      </c>
      <c r="E1299" s="1" t="s">
        <v>25</v>
      </c>
      <c r="F1299" s="1" t="str">
        <f>"1213091985"</f>
        <v>1213091985</v>
      </c>
      <c r="G1299" s="1" t="s">
        <v>33</v>
      </c>
      <c r="H1299" s="1" t="str">
        <f t="shared" si="184"/>
        <v>20220920</v>
      </c>
      <c r="I1299" s="1" t="str">
        <f>"142523"</f>
        <v>142523</v>
      </c>
      <c r="J1299" s="1" t="s">
        <v>44</v>
      </c>
      <c r="K1299" s="1" t="s">
        <v>45</v>
      </c>
      <c r="L1299" s="1" t="str">
        <f t="shared" si="185"/>
        <v>20220920</v>
      </c>
      <c r="M1299" s="1" t="str">
        <f>"144955"</f>
        <v>144955</v>
      </c>
      <c r="N1299" s="1" t="s">
        <v>28</v>
      </c>
      <c r="O1299" s="1" t="s">
        <v>28</v>
      </c>
      <c r="P1299" s="1" t="s">
        <v>55</v>
      </c>
      <c r="Q1299" s="1">
        <v>25</v>
      </c>
      <c r="R1299" s="1">
        <v>0</v>
      </c>
      <c r="S1299" s="1">
        <v>25</v>
      </c>
      <c r="T1299" s="1">
        <v>0</v>
      </c>
      <c r="U1299" s="1">
        <v>0</v>
      </c>
      <c r="V1299" s="1" t="str">
        <f t="shared" si="181"/>
        <v>里程返程</v>
      </c>
      <c r="W1299" s="1" t="s">
        <v>35</v>
      </c>
    </row>
    <row r="1300" spans="1:23" x14ac:dyDescent="0.3">
      <c r="A1300" s="1" t="str">
        <f t="shared" si="183"/>
        <v>59820</v>
      </c>
      <c r="B1300" s="1" t="s">
        <v>53</v>
      </c>
      <c r="C1300" s="1" t="s">
        <v>54</v>
      </c>
      <c r="D1300" s="1" t="str">
        <f t="shared" si="180"/>
        <v>9801</v>
      </c>
      <c r="E1300" s="1" t="s">
        <v>25</v>
      </c>
      <c r="F1300" s="1" t="str">
        <f>"D2390E02E7880400C821002000000015"</f>
        <v>D2390E02E7880400C821002000000015</v>
      </c>
      <c r="G1300" s="1" t="s">
        <v>64</v>
      </c>
      <c r="H1300" s="1" t="str">
        <f t="shared" si="184"/>
        <v>20220920</v>
      </c>
      <c r="I1300" s="1" t="str">
        <f>"145012"</f>
        <v>145012</v>
      </c>
      <c r="J1300" s="1" t="s">
        <v>28</v>
      </c>
      <c r="K1300" s="1" t="s">
        <v>28</v>
      </c>
      <c r="L1300" s="1" t="str">
        <f t="shared" si="185"/>
        <v>20220920</v>
      </c>
      <c r="M1300" s="1" t="str">
        <f>"150029"</f>
        <v>150029</v>
      </c>
      <c r="N1300" s="1" t="s">
        <v>83</v>
      </c>
      <c r="O1300" s="1" t="s">
        <v>52</v>
      </c>
      <c r="P1300" s="1" t="s">
        <v>55</v>
      </c>
      <c r="Q1300" s="1">
        <v>13</v>
      </c>
      <c r="R1300" s="1">
        <v>0</v>
      </c>
      <c r="S1300" s="1">
        <v>13</v>
      </c>
      <c r="T1300" s="1">
        <v>0</v>
      </c>
      <c r="U1300" s="1">
        <v>0</v>
      </c>
      <c r="V1300" s="1" t="str">
        <f t="shared" si="181"/>
        <v>里程返程</v>
      </c>
      <c r="W1300" s="1" t="s">
        <v>29</v>
      </c>
    </row>
    <row r="1301" spans="1:23" x14ac:dyDescent="0.3">
      <c r="A1301" s="1" t="str">
        <f t="shared" si="183"/>
        <v>59820</v>
      </c>
      <c r="B1301" s="1" t="s">
        <v>53</v>
      </c>
      <c r="C1301" s="1" t="s">
        <v>54</v>
      </c>
      <c r="D1301" s="1" t="str">
        <f t="shared" si="180"/>
        <v>9801</v>
      </c>
      <c r="E1301" s="1" t="s">
        <v>25</v>
      </c>
      <c r="F1301" s="1" t="str">
        <f>"12D6AB1976880400C824002000000020"</f>
        <v>12D6AB1976880400C824002000000020</v>
      </c>
      <c r="G1301" s="1" t="s">
        <v>64</v>
      </c>
      <c r="H1301" s="1" t="str">
        <f t="shared" si="184"/>
        <v>20220920</v>
      </c>
      <c r="I1301" s="1" t="str">
        <f>"145016"</f>
        <v>145016</v>
      </c>
      <c r="J1301" s="1" t="s">
        <v>28</v>
      </c>
      <c r="K1301" s="1" t="s">
        <v>28</v>
      </c>
      <c r="L1301" s="1" t="str">
        <f t="shared" si="185"/>
        <v>20220920</v>
      </c>
      <c r="M1301" s="1" t="str">
        <f>"150025"</f>
        <v>150025</v>
      </c>
      <c r="N1301" s="1" t="s">
        <v>83</v>
      </c>
      <c r="O1301" s="1" t="s">
        <v>52</v>
      </c>
      <c r="P1301" s="1" t="s">
        <v>55</v>
      </c>
      <c r="Q1301" s="1">
        <v>13</v>
      </c>
      <c r="R1301" s="1">
        <v>0</v>
      </c>
      <c r="S1301" s="1">
        <v>13</v>
      </c>
      <c r="T1301" s="1">
        <v>0</v>
      </c>
      <c r="U1301" s="1">
        <v>0</v>
      </c>
      <c r="V1301" s="1" t="str">
        <f t="shared" si="181"/>
        <v>里程返程</v>
      </c>
      <c r="W1301" s="1" t="s">
        <v>29</v>
      </c>
    </row>
    <row r="1302" spans="1:23" x14ac:dyDescent="0.3">
      <c r="A1302" s="1" t="str">
        <f t="shared" si="183"/>
        <v>59820</v>
      </c>
      <c r="B1302" s="1" t="s">
        <v>53</v>
      </c>
      <c r="C1302" s="1" t="s">
        <v>54</v>
      </c>
      <c r="D1302" s="1" t="str">
        <f t="shared" si="180"/>
        <v>9801</v>
      </c>
      <c r="E1302" s="1" t="s">
        <v>25</v>
      </c>
      <c r="F1302" s="1" t="str">
        <f>"A239F5056B880400C838002000000015"</f>
        <v>A239F5056B880400C838002000000015</v>
      </c>
      <c r="G1302" s="1" t="s">
        <v>26</v>
      </c>
      <c r="H1302" s="1" t="str">
        <f t="shared" si="184"/>
        <v>20220920</v>
      </c>
      <c r="I1302" s="1" t="str">
        <f>"154944"</f>
        <v>154944</v>
      </c>
      <c r="J1302" s="1" t="s">
        <v>28</v>
      </c>
      <c r="K1302" s="1" t="s">
        <v>28</v>
      </c>
      <c r="L1302" s="1" t="str">
        <f t="shared" si="185"/>
        <v>20220920</v>
      </c>
      <c r="M1302" s="1" t="str">
        <f>"160442"</f>
        <v>160442</v>
      </c>
      <c r="N1302" s="1" t="s">
        <v>67</v>
      </c>
      <c r="O1302" s="1" t="s">
        <v>52</v>
      </c>
      <c r="P1302" s="1" t="s">
        <v>68</v>
      </c>
      <c r="Q1302" s="1">
        <v>13</v>
      </c>
      <c r="R1302" s="1">
        <v>0</v>
      </c>
      <c r="S1302" s="1">
        <v>0</v>
      </c>
      <c r="T1302" s="1">
        <v>13</v>
      </c>
      <c r="U1302" s="1">
        <v>0</v>
      </c>
      <c r="V1302" s="1" t="str">
        <f t="shared" si="181"/>
        <v>里程返程</v>
      </c>
      <c r="W1302" s="1" t="s">
        <v>29</v>
      </c>
    </row>
    <row r="1303" spans="1:23" x14ac:dyDescent="0.3">
      <c r="A1303" s="1" t="str">
        <f t="shared" si="183"/>
        <v>59820</v>
      </c>
      <c r="B1303" s="1" t="s">
        <v>53</v>
      </c>
      <c r="C1303" s="1" t="s">
        <v>54</v>
      </c>
      <c r="D1303" s="1" t="str">
        <f t="shared" si="180"/>
        <v>9801</v>
      </c>
      <c r="E1303" s="1" t="s">
        <v>25</v>
      </c>
      <c r="F1303" s="1" t="str">
        <f>"4251460257880400C821002000000015"</f>
        <v>4251460257880400C821002000000015</v>
      </c>
      <c r="G1303" s="1" t="s">
        <v>26</v>
      </c>
      <c r="H1303" s="1" t="str">
        <f t="shared" si="184"/>
        <v>20220920</v>
      </c>
      <c r="I1303" s="1" t="str">
        <f>"160229"</f>
        <v>160229</v>
      </c>
      <c r="J1303" s="1" t="s">
        <v>83</v>
      </c>
      <c r="K1303" s="1" t="s">
        <v>52</v>
      </c>
      <c r="L1303" s="1" t="str">
        <f t="shared" si="185"/>
        <v>20220920</v>
      </c>
      <c r="M1303" s="1" t="str">
        <f>"160813"</f>
        <v>160813</v>
      </c>
      <c r="N1303" s="1" t="s">
        <v>69</v>
      </c>
      <c r="O1303" s="1" t="s">
        <v>52</v>
      </c>
      <c r="P1303" s="1" t="s">
        <v>68</v>
      </c>
      <c r="Q1303" s="1">
        <v>13</v>
      </c>
      <c r="R1303" s="1">
        <v>0</v>
      </c>
      <c r="S1303" s="1">
        <v>0</v>
      </c>
      <c r="T1303" s="1">
        <v>13</v>
      </c>
      <c r="U1303" s="1">
        <v>0</v>
      </c>
      <c r="V1303" s="1" t="str">
        <f t="shared" si="181"/>
        <v>里程返程</v>
      </c>
      <c r="W1303" s="1" t="s">
        <v>29</v>
      </c>
    </row>
    <row r="1304" spans="1:23" x14ac:dyDescent="0.3">
      <c r="A1304" s="1" t="str">
        <f>"59828"</f>
        <v>59828</v>
      </c>
      <c r="B1304" s="1" t="s">
        <v>23</v>
      </c>
      <c r="C1304" s="1" t="s">
        <v>24</v>
      </c>
      <c r="D1304" s="1" t="str">
        <f t="shared" si="180"/>
        <v>9801</v>
      </c>
      <c r="E1304" s="1" t="s">
        <v>25</v>
      </c>
      <c r="F1304" s="1" t="str">
        <f>"422AE7028D880400C834002000000015"</f>
        <v>422AE7028D880400C834002000000015</v>
      </c>
      <c r="G1304" s="1" t="s">
        <v>74</v>
      </c>
      <c r="H1304" s="1" t="str">
        <f t="shared" si="184"/>
        <v>20220920</v>
      </c>
      <c r="I1304" s="1" t="str">
        <f>"172830"</f>
        <v>172830</v>
      </c>
      <c r="J1304" s="1" t="s">
        <v>44</v>
      </c>
      <c r="K1304" s="1" t="s">
        <v>45</v>
      </c>
      <c r="L1304" s="1" t="str">
        <f t="shared" si="185"/>
        <v>20220920</v>
      </c>
      <c r="M1304" s="1" t="str">
        <f>"175229"</f>
        <v>175229</v>
      </c>
      <c r="N1304" s="1" t="s">
        <v>28</v>
      </c>
      <c r="O1304" s="1" t="s">
        <v>28</v>
      </c>
      <c r="P1304" s="1" t="s">
        <v>68</v>
      </c>
      <c r="Q1304" s="1">
        <v>13</v>
      </c>
      <c r="R1304" s="1">
        <v>0</v>
      </c>
      <c r="S1304" s="1">
        <v>0</v>
      </c>
      <c r="T1304" s="1">
        <v>13</v>
      </c>
      <c r="U1304" s="1">
        <v>0</v>
      </c>
      <c r="V1304" s="1" t="str">
        <f t="shared" si="181"/>
        <v>里程返程</v>
      </c>
      <c r="W1304" s="1" t="s">
        <v>29</v>
      </c>
    </row>
    <row r="1305" spans="1:23" x14ac:dyDescent="0.3">
      <c r="A1305" s="1" t="str">
        <f>"59828"</f>
        <v>59828</v>
      </c>
      <c r="B1305" s="1" t="s">
        <v>23</v>
      </c>
      <c r="C1305" s="1" t="s">
        <v>24</v>
      </c>
      <c r="D1305" s="1" t="str">
        <f t="shared" si="180"/>
        <v>9801</v>
      </c>
      <c r="E1305" s="1" t="s">
        <v>25</v>
      </c>
      <c r="F1305" s="1" t="str">
        <f>"55D2A79CBC88040043265ABE00170710"</f>
        <v>55D2A79CBC88040043265ABE00170710</v>
      </c>
      <c r="G1305" s="1" t="s">
        <v>64</v>
      </c>
      <c r="H1305" s="1" t="str">
        <f t="shared" si="184"/>
        <v>20220920</v>
      </c>
      <c r="I1305" s="1" t="str">
        <f>"180648"</f>
        <v>180648</v>
      </c>
      <c r="J1305" s="1" t="s">
        <v>67</v>
      </c>
      <c r="K1305" s="1" t="s">
        <v>52</v>
      </c>
      <c r="L1305" s="1" t="str">
        <f t="shared" si="185"/>
        <v>20220920</v>
      </c>
      <c r="M1305" s="1" t="str">
        <f>"182913"</f>
        <v>182913</v>
      </c>
      <c r="N1305" s="1" t="s">
        <v>86</v>
      </c>
      <c r="O1305" s="1" t="s">
        <v>52</v>
      </c>
      <c r="P1305" s="1" t="s">
        <v>55</v>
      </c>
      <c r="Q1305" s="1">
        <v>13</v>
      </c>
      <c r="R1305" s="1">
        <v>13</v>
      </c>
      <c r="S1305" s="1">
        <v>0</v>
      </c>
      <c r="T1305" s="1">
        <v>0</v>
      </c>
      <c r="U1305" s="1">
        <v>0</v>
      </c>
      <c r="V1305" s="1" t="str">
        <f t="shared" si="181"/>
        <v>里程返程</v>
      </c>
      <c r="W1305" s="1" t="s">
        <v>29</v>
      </c>
    </row>
    <row r="1306" spans="1:23" x14ac:dyDescent="0.3">
      <c r="A1306" s="1" t="str">
        <f t="shared" ref="A1306:A1318" si="186">"59829"</f>
        <v>59829</v>
      </c>
      <c r="B1306" s="1" t="s">
        <v>47</v>
      </c>
      <c r="C1306" s="1" t="s">
        <v>48</v>
      </c>
      <c r="D1306" s="1" t="str">
        <f t="shared" si="180"/>
        <v>9801</v>
      </c>
      <c r="E1306" s="1" t="s">
        <v>25</v>
      </c>
      <c r="F1306" s="1" t="str">
        <f>"841598885"</f>
        <v>841598885</v>
      </c>
      <c r="G1306" s="1" t="s">
        <v>26</v>
      </c>
      <c r="H1306" s="1" t="str">
        <f t="shared" si="184"/>
        <v>20220920</v>
      </c>
      <c r="I1306" s="1" t="str">
        <f>"082835"</f>
        <v>082835</v>
      </c>
      <c r="J1306" s="1" t="s">
        <v>44</v>
      </c>
      <c r="K1306" s="1" t="s">
        <v>45</v>
      </c>
      <c r="L1306" s="1" t="str">
        <f t="shared" si="185"/>
        <v>20220920</v>
      </c>
      <c r="M1306" s="1" t="str">
        <f>"085050"</f>
        <v>085050</v>
      </c>
      <c r="N1306" s="1" t="s">
        <v>28</v>
      </c>
      <c r="O1306" s="1" t="s">
        <v>28</v>
      </c>
      <c r="P1306" s="1" t="s">
        <v>55</v>
      </c>
      <c r="Q1306" s="1">
        <v>13</v>
      </c>
      <c r="R1306" s="1">
        <v>13</v>
      </c>
      <c r="S1306" s="1">
        <v>0</v>
      </c>
      <c r="T1306" s="1">
        <v>0</v>
      </c>
      <c r="U1306" s="1">
        <v>0</v>
      </c>
      <c r="V1306" s="1" t="str">
        <f t="shared" si="181"/>
        <v>里程返程</v>
      </c>
      <c r="W1306" s="1" t="s">
        <v>35</v>
      </c>
    </row>
    <row r="1307" spans="1:23" x14ac:dyDescent="0.3">
      <c r="A1307" s="1" t="str">
        <f t="shared" si="186"/>
        <v>59829</v>
      </c>
      <c r="B1307" s="1" t="s">
        <v>47</v>
      </c>
      <c r="C1307" s="1" t="s">
        <v>48</v>
      </c>
      <c r="D1307" s="1" t="str">
        <f t="shared" si="180"/>
        <v>9801</v>
      </c>
      <c r="E1307" s="1" t="s">
        <v>25</v>
      </c>
      <c r="F1307" s="1" t="str">
        <f>"F29BD102BA880400C834002000000015"</f>
        <v>F29BD102BA880400C834002000000015</v>
      </c>
      <c r="G1307" s="1" t="s">
        <v>26</v>
      </c>
      <c r="H1307" s="1" t="str">
        <f t="shared" si="184"/>
        <v>20220920</v>
      </c>
      <c r="I1307" s="1" t="str">
        <f>"083216"</f>
        <v>083216</v>
      </c>
      <c r="J1307" s="1" t="s">
        <v>44</v>
      </c>
      <c r="K1307" s="1" t="s">
        <v>45</v>
      </c>
      <c r="L1307" s="1" t="str">
        <f t="shared" si="185"/>
        <v>20220920</v>
      </c>
      <c r="M1307" s="1" t="str">
        <f>"085026"</f>
        <v>085026</v>
      </c>
      <c r="N1307" s="1" t="s">
        <v>28</v>
      </c>
      <c r="O1307" s="1" t="s">
        <v>28</v>
      </c>
      <c r="P1307" s="1" t="s">
        <v>68</v>
      </c>
      <c r="Q1307" s="1">
        <v>13</v>
      </c>
      <c r="R1307" s="1">
        <v>0</v>
      </c>
      <c r="S1307" s="1">
        <v>0</v>
      </c>
      <c r="T1307" s="1">
        <v>13</v>
      </c>
      <c r="U1307" s="1">
        <v>0</v>
      </c>
      <c r="V1307" s="1" t="str">
        <f t="shared" si="181"/>
        <v>里程返程</v>
      </c>
      <c r="W1307" s="1" t="s">
        <v>29</v>
      </c>
    </row>
    <row r="1308" spans="1:23" x14ac:dyDescent="0.3">
      <c r="A1308" s="1" t="str">
        <f t="shared" si="186"/>
        <v>59829</v>
      </c>
      <c r="B1308" s="1" t="s">
        <v>47</v>
      </c>
      <c r="C1308" s="1" t="s">
        <v>48</v>
      </c>
      <c r="D1308" s="1" t="str">
        <f t="shared" si="180"/>
        <v>9801</v>
      </c>
      <c r="E1308" s="1" t="s">
        <v>25</v>
      </c>
      <c r="F1308" s="1" t="str">
        <f>"03A6A9454988040048B994D749703809"</f>
        <v>03A6A9454988040048B994D749703809</v>
      </c>
      <c r="G1308" s="1" t="s">
        <v>64</v>
      </c>
      <c r="H1308" s="1" t="str">
        <f t="shared" si="184"/>
        <v>20220920</v>
      </c>
      <c r="I1308" s="1" t="str">
        <f>"085202"</f>
        <v>085202</v>
      </c>
      <c r="J1308" s="1" t="s">
        <v>28</v>
      </c>
      <c r="K1308" s="1" t="s">
        <v>28</v>
      </c>
      <c r="L1308" s="1" t="str">
        <f t="shared" si="185"/>
        <v>20220920</v>
      </c>
      <c r="M1308" s="1" t="str">
        <f>"090323"</f>
        <v>090323</v>
      </c>
      <c r="N1308" s="1" t="s">
        <v>78</v>
      </c>
      <c r="O1308" s="1" t="s">
        <v>52</v>
      </c>
      <c r="P1308" s="1" t="s">
        <v>55</v>
      </c>
      <c r="Q1308" s="1">
        <v>13</v>
      </c>
      <c r="R1308" s="1">
        <v>13</v>
      </c>
      <c r="S1308" s="1">
        <v>0</v>
      </c>
      <c r="T1308" s="1">
        <v>0</v>
      </c>
      <c r="U1308" s="1">
        <v>0</v>
      </c>
      <c r="V1308" s="1" t="str">
        <f t="shared" si="181"/>
        <v>里程返程</v>
      </c>
      <c r="W1308" s="1" t="s">
        <v>29</v>
      </c>
    </row>
    <row r="1309" spans="1:23" x14ac:dyDescent="0.3">
      <c r="A1309" s="1" t="str">
        <f t="shared" si="186"/>
        <v>59829</v>
      </c>
      <c r="B1309" s="1" t="s">
        <v>47</v>
      </c>
      <c r="C1309" s="1" t="s">
        <v>48</v>
      </c>
      <c r="D1309" s="1" t="str">
        <f t="shared" si="180"/>
        <v>9801</v>
      </c>
      <c r="E1309" s="1" t="s">
        <v>25</v>
      </c>
      <c r="F1309" s="1" t="str">
        <f>"E220D10211880400C834002000000015"</f>
        <v>E220D10211880400C834002000000015</v>
      </c>
      <c r="G1309" s="1" t="s">
        <v>74</v>
      </c>
      <c r="H1309" s="1" t="str">
        <f t="shared" si="184"/>
        <v>20220920</v>
      </c>
      <c r="I1309" s="1" t="str">
        <f>"093609"</f>
        <v>093609</v>
      </c>
      <c r="J1309" s="1" t="s">
        <v>91</v>
      </c>
      <c r="K1309" s="1" t="s">
        <v>45</v>
      </c>
      <c r="L1309" s="1" t="str">
        <f t="shared" si="185"/>
        <v>20220920</v>
      </c>
      <c r="M1309" s="1" t="str">
        <f>"094346"</f>
        <v>094346</v>
      </c>
      <c r="N1309" s="1" t="s">
        <v>79</v>
      </c>
      <c r="O1309" s="1" t="s">
        <v>45</v>
      </c>
      <c r="P1309" s="1" t="s">
        <v>68</v>
      </c>
      <c r="Q1309" s="1">
        <v>13</v>
      </c>
      <c r="R1309" s="1">
        <v>0</v>
      </c>
      <c r="S1309" s="1">
        <v>0</v>
      </c>
      <c r="T1309" s="1">
        <v>13</v>
      </c>
      <c r="U1309" s="1">
        <v>0</v>
      </c>
      <c r="V1309" s="1" t="str">
        <f t="shared" si="181"/>
        <v>里程返程</v>
      </c>
      <c r="W1309" s="1" t="s">
        <v>29</v>
      </c>
    </row>
    <row r="1310" spans="1:23" x14ac:dyDescent="0.3">
      <c r="A1310" s="1" t="str">
        <f t="shared" si="186"/>
        <v>59829</v>
      </c>
      <c r="B1310" s="1" t="s">
        <v>47</v>
      </c>
      <c r="C1310" s="1" t="s">
        <v>48</v>
      </c>
      <c r="D1310" s="1" t="str">
        <f t="shared" si="180"/>
        <v>9801</v>
      </c>
      <c r="E1310" s="1" t="s">
        <v>25</v>
      </c>
      <c r="F1310" s="1" t="str">
        <f>"211863265"</f>
        <v>211863265</v>
      </c>
      <c r="G1310" s="1" t="s">
        <v>33</v>
      </c>
      <c r="H1310" s="1" t="str">
        <f t="shared" si="184"/>
        <v>20220920</v>
      </c>
      <c r="I1310" s="1" t="str">
        <f>"095022"</f>
        <v>095022</v>
      </c>
      <c r="J1310" s="1" t="s">
        <v>28</v>
      </c>
      <c r="K1310" s="1" t="s">
        <v>28</v>
      </c>
      <c r="L1310" s="1" t="str">
        <f t="shared" si="185"/>
        <v>20220920</v>
      </c>
      <c r="M1310" s="1" t="str">
        <f>"100200"</f>
        <v>100200</v>
      </c>
      <c r="N1310" s="1" t="s">
        <v>83</v>
      </c>
      <c r="O1310" s="1" t="s">
        <v>52</v>
      </c>
      <c r="P1310" s="1" t="s">
        <v>55</v>
      </c>
      <c r="Q1310" s="1">
        <v>25</v>
      </c>
      <c r="R1310" s="1">
        <v>25</v>
      </c>
      <c r="S1310" s="1">
        <v>0</v>
      </c>
      <c r="T1310" s="1">
        <v>0</v>
      </c>
      <c r="U1310" s="1">
        <v>0</v>
      </c>
      <c r="V1310" s="1" t="str">
        <f t="shared" si="181"/>
        <v>里程返程</v>
      </c>
      <c r="W1310" s="1" t="s">
        <v>35</v>
      </c>
    </row>
    <row r="1311" spans="1:23" x14ac:dyDescent="0.3">
      <c r="A1311" s="1" t="str">
        <f t="shared" si="186"/>
        <v>59829</v>
      </c>
      <c r="B1311" s="1" t="s">
        <v>47</v>
      </c>
      <c r="C1311" s="1" t="s">
        <v>48</v>
      </c>
      <c r="D1311" s="1" t="str">
        <f t="shared" si="180"/>
        <v>9801</v>
      </c>
      <c r="E1311" s="1" t="s">
        <v>25</v>
      </c>
      <c r="F1311" s="1" t="str">
        <f>"FBEF9B2BA488040047C139B2E5003808"</f>
        <v>FBEF9B2BA488040047C139B2E5003808</v>
      </c>
      <c r="G1311" s="1" t="s">
        <v>58</v>
      </c>
      <c r="H1311" s="1" t="str">
        <f t="shared" si="184"/>
        <v>20220920</v>
      </c>
      <c r="I1311" s="1" t="str">
        <f>"095033"</f>
        <v>095033</v>
      </c>
      <c r="J1311" s="1" t="s">
        <v>28</v>
      </c>
      <c r="K1311" s="1" t="s">
        <v>28</v>
      </c>
      <c r="L1311" s="1" t="str">
        <f t="shared" si="185"/>
        <v>20220920</v>
      </c>
      <c r="M1311" s="1" t="str">
        <f>"101456"</f>
        <v>101456</v>
      </c>
      <c r="N1311" s="1" t="s">
        <v>72</v>
      </c>
      <c r="O1311" s="1" t="s">
        <v>52</v>
      </c>
      <c r="P1311" s="1" t="s">
        <v>55</v>
      </c>
      <c r="Q1311" s="1">
        <v>25</v>
      </c>
      <c r="R1311" s="1">
        <v>25</v>
      </c>
      <c r="S1311" s="1">
        <v>0</v>
      </c>
      <c r="T1311" s="1">
        <v>0</v>
      </c>
      <c r="U1311" s="1">
        <v>0</v>
      </c>
      <c r="V1311" s="1" t="str">
        <f t="shared" si="181"/>
        <v>里程返程</v>
      </c>
      <c r="W1311" s="1" t="s">
        <v>29</v>
      </c>
    </row>
    <row r="1312" spans="1:23" x14ac:dyDescent="0.3">
      <c r="A1312" s="1" t="str">
        <f t="shared" si="186"/>
        <v>59829</v>
      </c>
      <c r="B1312" s="1" t="s">
        <v>47</v>
      </c>
      <c r="C1312" s="1" t="s">
        <v>48</v>
      </c>
      <c r="D1312" s="1" t="str">
        <f t="shared" si="180"/>
        <v>9801</v>
      </c>
      <c r="E1312" s="1" t="s">
        <v>25</v>
      </c>
      <c r="F1312" s="1" t="str">
        <f>"12D0BA027A880400C834002000000015"</f>
        <v>12D0BA027A880400C834002000000015</v>
      </c>
      <c r="G1312" s="1" t="s">
        <v>26</v>
      </c>
      <c r="H1312" s="1" t="str">
        <f t="shared" si="184"/>
        <v>20220920</v>
      </c>
      <c r="I1312" s="1" t="str">
        <f>"101854"</f>
        <v>101854</v>
      </c>
      <c r="J1312" s="1" t="s">
        <v>60</v>
      </c>
      <c r="K1312" s="1" t="s">
        <v>52</v>
      </c>
      <c r="L1312" s="1" t="str">
        <f t="shared" si="185"/>
        <v>20220920</v>
      </c>
      <c r="M1312" s="1" t="str">
        <f>"102225"</f>
        <v>102225</v>
      </c>
      <c r="N1312" s="1" t="s">
        <v>52</v>
      </c>
      <c r="O1312" s="1" t="s">
        <v>52</v>
      </c>
      <c r="P1312" s="1" t="s">
        <v>68</v>
      </c>
      <c r="Q1312" s="1">
        <v>13</v>
      </c>
      <c r="R1312" s="1">
        <v>0</v>
      </c>
      <c r="S1312" s="1">
        <v>0</v>
      </c>
      <c r="T1312" s="1">
        <v>13</v>
      </c>
      <c r="U1312" s="1">
        <v>0</v>
      </c>
      <c r="V1312" s="1" t="str">
        <f t="shared" si="181"/>
        <v>里程返程</v>
      </c>
      <c r="W1312" s="1" t="s">
        <v>29</v>
      </c>
    </row>
    <row r="1313" spans="1:23" x14ac:dyDescent="0.3">
      <c r="A1313" s="1" t="str">
        <f t="shared" si="186"/>
        <v>59829</v>
      </c>
      <c r="B1313" s="1" t="s">
        <v>47</v>
      </c>
      <c r="C1313" s="1" t="s">
        <v>48</v>
      </c>
      <c r="D1313" s="1" t="str">
        <f t="shared" si="180"/>
        <v>9801</v>
      </c>
      <c r="E1313" s="1" t="s">
        <v>25</v>
      </c>
      <c r="F1313" s="1" t="str">
        <f>"880763713"</f>
        <v>880763713</v>
      </c>
      <c r="G1313" s="1" t="s">
        <v>33</v>
      </c>
      <c r="H1313" s="1" t="str">
        <f t="shared" si="184"/>
        <v>20220920</v>
      </c>
      <c r="I1313" s="1" t="str">
        <f>"102321"</f>
        <v>102321</v>
      </c>
      <c r="J1313" s="1" t="s">
        <v>44</v>
      </c>
      <c r="K1313" s="1" t="s">
        <v>45</v>
      </c>
      <c r="L1313" s="1" t="str">
        <f t="shared" si="185"/>
        <v>20220920</v>
      </c>
      <c r="M1313" s="1" t="str">
        <f>"105106"</f>
        <v>105106</v>
      </c>
      <c r="N1313" s="1" t="s">
        <v>28</v>
      </c>
      <c r="O1313" s="1" t="s">
        <v>28</v>
      </c>
      <c r="P1313" s="1" t="s">
        <v>55</v>
      </c>
      <c r="Q1313" s="1">
        <v>25</v>
      </c>
      <c r="R1313" s="1">
        <v>25</v>
      </c>
      <c r="S1313" s="1">
        <v>0</v>
      </c>
      <c r="T1313" s="1">
        <v>0</v>
      </c>
      <c r="U1313" s="1">
        <v>0</v>
      </c>
      <c r="V1313" s="1" t="str">
        <f t="shared" si="181"/>
        <v>里程返程</v>
      </c>
      <c r="W1313" s="1" t="s">
        <v>35</v>
      </c>
    </row>
    <row r="1314" spans="1:23" x14ac:dyDescent="0.3">
      <c r="A1314" s="1" t="str">
        <f t="shared" si="186"/>
        <v>59829</v>
      </c>
      <c r="B1314" s="1" t="s">
        <v>47</v>
      </c>
      <c r="C1314" s="1" t="s">
        <v>48</v>
      </c>
      <c r="D1314" s="1" t="str">
        <f t="shared" si="180"/>
        <v>9801</v>
      </c>
      <c r="E1314" s="1" t="s">
        <v>25</v>
      </c>
      <c r="F1314" s="1" t="str">
        <f>"211863265"</f>
        <v>211863265</v>
      </c>
      <c r="G1314" s="1" t="s">
        <v>33</v>
      </c>
      <c r="H1314" s="1" t="str">
        <f t="shared" si="184"/>
        <v>20220920</v>
      </c>
      <c r="I1314" s="1" t="str">
        <f>"110159"</f>
        <v>110159</v>
      </c>
      <c r="J1314" s="1" t="s">
        <v>83</v>
      </c>
      <c r="K1314" s="1" t="s">
        <v>52</v>
      </c>
      <c r="L1314" s="1" t="str">
        <f t="shared" si="185"/>
        <v>20220920</v>
      </c>
      <c r="M1314" s="1" t="str">
        <f>"110934"</f>
        <v>110934</v>
      </c>
      <c r="N1314" s="1" t="s">
        <v>80</v>
      </c>
      <c r="O1314" s="1" t="s">
        <v>52</v>
      </c>
      <c r="P1314" s="1" t="s">
        <v>55</v>
      </c>
      <c r="Q1314" s="1">
        <v>25</v>
      </c>
      <c r="R1314" s="1">
        <v>25</v>
      </c>
      <c r="S1314" s="1">
        <v>0</v>
      </c>
      <c r="T1314" s="1">
        <v>0</v>
      </c>
      <c r="U1314" s="1">
        <v>0</v>
      </c>
      <c r="V1314" s="1" t="str">
        <f t="shared" si="181"/>
        <v>里程返程</v>
      </c>
      <c r="W1314" s="1" t="s">
        <v>35</v>
      </c>
    </row>
    <row r="1315" spans="1:23" x14ac:dyDescent="0.3">
      <c r="A1315" s="1" t="str">
        <f t="shared" si="186"/>
        <v>59829</v>
      </c>
      <c r="B1315" s="1" t="s">
        <v>47</v>
      </c>
      <c r="C1315" s="1" t="s">
        <v>48</v>
      </c>
      <c r="D1315" s="1" t="str">
        <f t="shared" si="180"/>
        <v>9801</v>
      </c>
      <c r="E1315" s="1" t="s">
        <v>25</v>
      </c>
      <c r="F1315" s="1" t="str">
        <f>"687606977"</f>
        <v>687606977</v>
      </c>
      <c r="G1315" s="1" t="s">
        <v>33</v>
      </c>
      <c r="H1315" s="1" t="str">
        <f t="shared" si="184"/>
        <v>20220920</v>
      </c>
      <c r="I1315" s="1" t="str">
        <f>"115456"</f>
        <v>115456</v>
      </c>
      <c r="J1315" s="1" t="s">
        <v>28</v>
      </c>
      <c r="K1315" s="1" t="s">
        <v>28</v>
      </c>
      <c r="L1315" s="1" t="str">
        <f t="shared" si="185"/>
        <v>20220920</v>
      </c>
      <c r="M1315" s="1" t="str">
        <f>"122406"</f>
        <v>122406</v>
      </c>
      <c r="N1315" s="1" t="s">
        <v>60</v>
      </c>
      <c r="O1315" s="1" t="s">
        <v>52</v>
      </c>
      <c r="P1315" s="1" t="s">
        <v>55</v>
      </c>
      <c r="Q1315" s="1">
        <v>25</v>
      </c>
      <c r="R1315" s="1">
        <v>25</v>
      </c>
      <c r="S1315" s="1">
        <v>0</v>
      </c>
      <c r="T1315" s="1">
        <v>0</v>
      </c>
      <c r="U1315" s="1">
        <v>0</v>
      </c>
      <c r="V1315" s="1" t="str">
        <f t="shared" si="181"/>
        <v>里程返程</v>
      </c>
      <c r="W1315" s="1" t="s">
        <v>35</v>
      </c>
    </row>
    <row r="1316" spans="1:23" x14ac:dyDescent="0.3">
      <c r="A1316" s="1" t="str">
        <f t="shared" si="186"/>
        <v>59829</v>
      </c>
      <c r="B1316" s="1" t="s">
        <v>47</v>
      </c>
      <c r="C1316" s="1" t="s">
        <v>48</v>
      </c>
      <c r="D1316" s="1" t="str">
        <f t="shared" si="180"/>
        <v>9801</v>
      </c>
      <c r="E1316" s="1" t="s">
        <v>25</v>
      </c>
      <c r="F1316" s="1" t="str">
        <f>"12814718CC880400C819002000000019"</f>
        <v>12814718CC880400C819002000000019</v>
      </c>
      <c r="G1316" s="1" t="s">
        <v>26</v>
      </c>
      <c r="H1316" s="1" t="str">
        <f t="shared" si="184"/>
        <v>20220920</v>
      </c>
      <c r="I1316" s="1" t="str">
        <f>"115459"</f>
        <v>115459</v>
      </c>
      <c r="J1316" s="1" t="s">
        <v>28</v>
      </c>
      <c r="K1316" s="1" t="s">
        <v>28</v>
      </c>
      <c r="L1316" s="1" t="str">
        <f t="shared" si="185"/>
        <v>20220920</v>
      </c>
      <c r="M1316" s="1" t="str">
        <f>"121811"</f>
        <v>121811</v>
      </c>
      <c r="N1316" s="1" t="s">
        <v>65</v>
      </c>
      <c r="O1316" s="1" t="s">
        <v>52</v>
      </c>
      <c r="P1316" s="1" t="s">
        <v>55</v>
      </c>
      <c r="Q1316" s="1">
        <v>13</v>
      </c>
      <c r="R1316" s="1">
        <v>0</v>
      </c>
      <c r="S1316" s="1">
        <v>13</v>
      </c>
      <c r="T1316" s="1">
        <v>0</v>
      </c>
      <c r="U1316" s="1">
        <v>0</v>
      </c>
      <c r="V1316" s="1" t="str">
        <f t="shared" si="181"/>
        <v>里程返程</v>
      </c>
      <c r="W1316" s="1" t="s">
        <v>29</v>
      </c>
    </row>
    <row r="1317" spans="1:23" x14ac:dyDescent="0.3">
      <c r="A1317" s="1" t="str">
        <f t="shared" si="186"/>
        <v>59829</v>
      </c>
      <c r="B1317" s="1" t="s">
        <v>47</v>
      </c>
      <c r="C1317" s="1" t="s">
        <v>48</v>
      </c>
      <c r="D1317" s="1" t="str">
        <f t="shared" si="180"/>
        <v>9801</v>
      </c>
      <c r="E1317" s="1" t="s">
        <v>25</v>
      </c>
      <c r="F1317" s="1" t="str">
        <f>"1629749189"</f>
        <v>1629749189</v>
      </c>
      <c r="G1317" s="1" t="s">
        <v>33</v>
      </c>
      <c r="H1317" s="1" t="str">
        <f t="shared" si="184"/>
        <v>20220920</v>
      </c>
      <c r="I1317" s="1" t="str">
        <f>"115512"</f>
        <v>115512</v>
      </c>
      <c r="J1317" s="1" t="s">
        <v>28</v>
      </c>
      <c r="K1317" s="1" t="s">
        <v>28</v>
      </c>
      <c r="L1317" s="1" t="str">
        <f t="shared" si="185"/>
        <v>20220920</v>
      </c>
      <c r="M1317" s="1" t="str">
        <f>"121957"</f>
        <v>121957</v>
      </c>
      <c r="N1317" s="1" t="s">
        <v>72</v>
      </c>
      <c r="O1317" s="1" t="s">
        <v>52</v>
      </c>
      <c r="P1317" s="1" t="s">
        <v>55</v>
      </c>
      <c r="Q1317" s="1">
        <v>25</v>
      </c>
      <c r="R1317" s="1">
        <v>0</v>
      </c>
      <c r="S1317" s="1">
        <v>25</v>
      </c>
      <c r="T1317" s="1">
        <v>0</v>
      </c>
      <c r="U1317" s="1">
        <v>0</v>
      </c>
      <c r="V1317" s="1" t="str">
        <f t="shared" si="181"/>
        <v>里程返程</v>
      </c>
      <c r="W1317" s="1" t="s">
        <v>35</v>
      </c>
    </row>
    <row r="1318" spans="1:23" x14ac:dyDescent="0.3">
      <c r="A1318" s="1" t="str">
        <f t="shared" si="186"/>
        <v>59829</v>
      </c>
      <c r="B1318" s="1" t="s">
        <v>47</v>
      </c>
      <c r="C1318" s="1" t="s">
        <v>48</v>
      </c>
      <c r="D1318" s="1" t="str">
        <f t="shared" si="180"/>
        <v>9801</v>
      </c>
      <c r="E1318" s="1" t="s">
        <v>25</v>
      </c>
      <c r="F1318" s="1" t="str">
        <f>"E295E60293880400C834002000000015"</f>
        <v>E295E60293880400C834002000000015</v>
      </c>
      <c r="G1318" s="1" t="s">
        <v>74</v>
      </c>
      <c r="H1318" s="1" t="str">
        <f t="shared" si="184"/>
        <v>20220920</v>
      </c>
      <c r="I1318" s="1" t="str">
        <f>"115514"</f>
        <v>115514</v>
      </c>
      <c r="J1318" s="1" t="s">
        <v>28</v>
      </c>
      <c r="K1318" s="1" t="s">
        <v>28</v>
      </c>
      <c r="L1318" s="1" t="str">
        <f t="shared" si="185"/>
        <v>20220920</v>
      </c>
      <c r="M1318" s="1" t="str">
        <f>"122852"</f>
        <v>122852</v>
      </c>
      <c r="N1318" s="1" t="s">
        <v>52</v>
      </c>
      <c r="O1318" s="1" t="s">
        <v>52</v>
      </c>
      <c r="P1318" s="1" t="s">
        <v>68</v>
      </c>
      <c r="Q1318" s="1">
        <v>13</v>
      </c>
      <c r="R1318" s="1">
        <v>0</v>
      </c>
      <c r="S1318" s="1">
        <v>0</v>
      </c>
      <c r="T1318" s="1">
        <v>13</v>
      </c>
      <c r="U1318" s="1">
        <v>0</v>
      </c>
      <c r="V1318" s="1" t="str">
        <f t="shared" si="181"/>
        <v>里程返程</v>
      </c>
      <c r="W1318" s="1" t="s">
        <v>29</v>
      </c>
    </row>
    <row r="1319" spans="1:23" x14ac:dyDescent="0.3">
      <c r="A1319" s="1" t="str">
        <f t="shared" ref="A1319:A1328" si="187">"59820"</f>
        <v>59820</v>
      </c>
      <c r="B1319" s="1" t="s">
        <v>53</v>
      </c>
      <c r="C1319" s="1" t="s">
        <v>54</v>
      </c>
      <c r="D1319" s="1" t="str">
        <f t="shared" si="180"/>
        <v>9801</v>
      </c>
      <c r="E1319" s="1" t="s">
        <v>25</v>
      </c>
      <c r="F1319" s="1" t="str">
        <f>"03A6A9454988040048B994D749703809"</f>
        <v>03A6A9454988040048B994D749703809</v>
      </c>
      <c r="G1319" s="1" t="s">
        <v>64</v>
      </c>
      <c r="H1319" s="1" t="str">
        <f t="shared" ref="H1319:H1344" si="188">"20220921"</f>
        <v>20220921</v>
      </c>
      <c r="I1319" s="1" t="str">
        <f>"071856"</f>
        <v>071856</v>
      </c>
      <c r="J1319" s="1" t="s">
        <v>28</v>
      </c>
      <c r="K1319" s="1" t="s">
        <v>28</v>
      </c>
      <c r="L1319" s="1" t="str">
        <f t="shared" ref="L1319:L1344" si="189">"20220921"</f>
        <v>20220921</v>
      </c>
      <c r="M1319" s="1" t="str">
        <f>"073242"</f>
        <v>073242</v>
      </c>
      <c r="N1319" s="1" t="s">
        <v>78</v>
      </c>
      <c r="O1319" s="1" t="s">
        <v>52</v>
      </c>
      <c r="P1319" s="1" t="s">
        <v>55</v>
      </c>
      <c r="Q1319" s="1">
        <v>13</v>
      </c>
      <c r="R1319" s="1">
        <v>13</v>
      </c>
      <c r="S1319" s="1">
        <v>0</v>
      </c>
      <c r="T1319" s="1">
        <v>0</v>
      </c>
      <c r="U1319" s="1">
        <v>0</v>
      </c>
      <c r="V1319" s="1" t="str">
        <f t="shared" si="181"/>
        <v>里程返程</v>
      </c>
      <c r="W1319" s="1" t="s">
        <v>29</v>
      </c>
    </row>
    <row r="1320" spans="1:23" x14ac:dyDescent="0.3">
      <c r="A1320" s="1" t="str">
        <f t="shared" si="187"/>
        <v>59820</v>
      </c>
      <c r="B1320" s="1" t="s">
        <v>53</v>
      </c>
      <c r="C1320" s="1" t="s">
        <v>54</v>
      </c>
      <c r="D1320" s="1" t="str">
        <f t="shared" si="180"/>
        <v>9801</v>
      </c>
      <c r="E1320" s="1" t="s">
        <v>25</v>
      </c>
      <c r="F1320" s="1" t="str">
        <f>"1759959808"</f>
        <v>1759959808</v>
      </c>
      <c r="G1320" s="1" t="s">
        <v>33</v>
      </c>
      <c r="H1320" s="1" t="str">
        <f t="shared" si="188"/>
        <v>20220921</v>
      </c>
      <c r="I1320" s="1" t="str">
        <f>"074206"</f>
        <v>074206</v>
      </c>
      <c r="J1320" s="1" t="s">
        <v>80</v>
      </c>
      <c r="K1320" s="1" t="s">
        <v>52</v>
      </c>
      <c r="L1320" s="1" t="str">
        <f t="shared" si="189"/>
        <v>20220921</v>
      </c>
      <c r="M1320" s="1" t="str">
        <f>"075054"</f>
        <v>075054</v>
      </c>
      <c r="N1320" s="1" t="s">
        <v>60</v>
      </c>
      <c r="O1320" s="1" t="s">
        <v>52</v>
      </c>
      <c r="P1320" s="1" t="s">
        <v>55</v>
      </c>
      <c r="Q1320" s="1">
        <v>25</v>
      </c>
      <c r="R1320" s="1">
        <v>25</v>
      </c>
      <c r="S1320" s="1">
        <v>0</v>
      </c>
      <c r="T1320" s="1">
        <v>0</v>
      </c>
      <c r="U1320" s="1">
        <v>0</v>
      </c>
      <c r="V1320" s="1" t="str">
        <f t="shared" si="181"/>
        <v>里程返程</v>
      </c>
      <c r="W1320" s="1" t="s">
        <v>35</v>
      </c>
    </row>
    <row r="1321" spans="1:23" x14ac:dyDescent="0.3">
      <c r="A1321" s="1" t="str">
        <f t="shared" si="187"/>
        <v>59820</v>
      </c>
      <c r="B1321" s="1" t="s">
        <v>53</v>
      </c>
      <c r="C1321" s="1" t="s">
        <v>54</v>
      </c>
      <c r="D1321" s="1" t="str">
        <f t="shared" si="180"/>
        <v>9801</v>
      </c>
      <c r="E1321" s="1" t="s">
        <v>25</v>
      </c>
      <c r="F1321" s="1" t="str">
        <f>"E220D10211880400C834002000000015"</f>
        <v>E220D10211880400C834002000000015</v>
      </c>
      <c r="G1321" s="1" t="s">
        <v>74</v>
      </c>
      <c r="H1321" s="1" t="str">
        <f t="shared" si="188"/>
        <v>20220921</v>
      </c>
      <c r="I1321" s="1" t="str">
        <f>"131003"</f>
        <v>131003</v>
      </c>
      <c r="J1321" s="1" t="s">
        <v>97</v>
      </c>
      <c r="K1321" s="1" t="s">
        <v>52</v>
      </c>
      <c r="L1321" s="1" t="str">
        <f t="shared" si="189"/>
        <v>20220921</v>
      </c>
      <c r="M1321" s="1" t="str">
        <f>"131232"</f>
        <v>131232</v>
      </c>
      <c r="N1321" s="1" t="s">
        <v>65</v>
      </c>
      <c r="O1321" s="1" t="s">
        <v>52</v>
      </c>
      <c r="P1321" s="1" t="s">
        <v>68</v>
      </c>
      <c r="Q1321" s="1">
        <v>13</v>
      </c>
      <c r="R1321" s="1">
        <v>0</v>
      </c>
      <c r="S1321" s="1">
        <v>0</v>
      </c>
      <c r="T1321" s="1">
        <v>13</v>
      </c>
      <c r="U1321" s="1">
        <v>0</v>
      </c>
      <c r="V1321" s="1" t="str">
        <f t="shared" si="181"/>
        <v>里程返程</v>
      </c>
      <c r="W1321" s="1" t="s">
        <v>29</v>
      </c>
    </row>
    <row r="1322" spans="1:23" x14ac:dyDescent="0.3">
      <c r="A1322" s="1" t="str">
        <f t="shared" si="187"/>
        <v>59820</v>
      </c>
      <c r="B1322" s="1" t="s">
        <v>53</v>
      </c>
      <c r="C1322" s="1" t="s">
        <v>54</v>
      </c>
      <c r="D1322" s="1" t="str">
        <f t="shared" si="180"/>
        <v>9801</v>
      </c>
      <c r="E1322" s="1" t="s">
        <v>25</v>
      </c>
      <c r="F1322" s="1" t="str">
        <f>"82D5FB02AE880400C834002000000015"</f>
        <v>82D5FB02AE880400C834002000000015</v>
      </c>
      <c r="G1322" s="1" t="s">
        <v>26</v>
      </c>
      <c r="H1322" s="1" t="str">
        <f t="shared" si="188"/>
        <v>20220921</v>
      </c>
      <c r="I1322" s="1" t="str">
        <f>"131315"</f>
        <v>131315</v>
      </c>
      <c r="J1322" s="1" t="s">
        <v>65</v>
      </c>
      <c r="K1322" s="1" t="s">
        <v>52</v>
      </c>
      <c r="L1322" s="1" t="str">
        <f t="shared" si="189"/>
        <v>20220921</v>
      </c>
      <c r="M1322" s="1" t="str">
        <f>"131657"</f>
        <v>131657</v>
      </c>
      <c r="N1322" s="1" t="s">
        <v>51</v>
      </c>
      <c r="O1322" s="1" t="s">
        <v>52</v>
      </c>
      <c r="P1322" s="1" t="s">
        <v>68</v>
      </c>
      <c r="Q1322" s="1">
        <v>13</v>
      </c>
      <c r="R1322" s="1">
        <v>0</v>
      </c>
      <c r="S1322" s="1">
        <v>0</v>
      </c>
      <c r="T1322" s="1">
        <v>13</v>
      </c>
      <c r="U1322" s="1">
        <v>0</v>
      </c>
      <c r="V1322" s="1" t="str">
        <f t="shared" si="181"/>
        <v>里程返程</v>
      </c>
      <c r="W1322" s="1" t="s">
        <v>29</v>
      </c>
    </row>
    <row r="1323" spans="1:23" x14ac:dyDescent="0.3">
      <c r="A1323" s="1" t="str">
        <f t="shared" si="187"/>
        <v>59820</v>
      </c>
      <c r="B1323" s="1" t="s">
        <v>53</v>
      </c>
      <c r="C1323" s="1" t="s">
        <v>54</v>
      </c>
      <c r="D1323" s="1" t="str">
        <f t="shared" si="180"/>
        <v>9801</v>
      </c>
      <c r="E1323" s="1" t="s">
        <v>25</v>
      </c>
      <c r="F1323" s="1" t="str">
        <f>"029DE6027B880400C834002000000015"</f>
        <v>029DE6027B880400C834002000000015</v>
      </c>
      <c r="G1323" s="1" t="s">
        <v>74</v>
      </c>
      <c r="H1323" s="1" t="str">
        <f t="shared" si="188"/>
        <v>20220921</v>
      </c>
      <c r="I1323" s="1" t="str">
        <f>"131840"</f>
        <v>131840</v>
      </c>
      <c r="J1323" s="1" t="s">
        <v>60</v>
      </c>
      <c r="K1323" s="1" t="s">
        <v>52</v>
      </c>
      <c r="L1323" s="1" t="str">
        <f t="shared" si="189"/>
        <v>20220921</v>
      </c>
      <c r="M1323" s="1" t="str">
        <f>"132243"</f>
        <v>132243</v>
      </c>
      <c r="N1323" s="1" t="s">
        <v>52</v>
      </c>
      <c r="O1323" s="1" t="s">
        <v>52</v>
      </c>
      <c r="P1323" s="1" t="s">
        <v>68</v>
      </c>
      <c r="Q1323" s="1">
        <v>13</v>
      </c>
      <c r="R1323" s="1">
        <v>0</v>
      </c>
      <c r="S1323" s="1">
        <v>0</v>
      </c>
      <c r="T1323" s="1">
        <v>13</v>
      </c>
      <c r="U1323" s="1">
        <v>0</v>
      </c>
      <c r="V1323" s="1" t="str">
        <f t="shared" si="181"/>
        <v>里程返程</v>
      </c>
      <c r="W1323" s="1" t="s">
        <v>29</v>
      </c>
    </row>
    <row r="1324" spans="1:23" x14ac:dyDescent="0.3">
      <c r="A1324" s="1" t="str">
        <f t="shared" si="187"/>
        <v>59820</v>
      </c>
      <c r="B1324" s="1" t="s">
        <v>53</v>
      </c>
      <c r="C1324" s="1" t="s">
        <v>54</v>
      </c>
      <c r="D1324" s="1" t="str">
        <f t="shared" si="180"/>
        <v>9801</v>
      </c>
      <c r="E1324" s="1" t="s">
        <v>25</v>
      </c>
      <c r="F1324" s="1" t="str">
        <f>"1423105809"</f>
        <v>1423105809</v>
      </c>
      <c r="G1324" s="1" t="s">
        <v>33</v>
      </c>
      <c r="H1324" s="1" t="str">
        <f t="shared" si="188"/>
        <v>20220921</v>
      </c>
      <c r="I1324" s="1" t="str">
        <f>"131845"</f>
        <v>131845</v>
      </c>
      <c r="J1324" s="1" t="s">
        <v>60</v>
      </c>
      <c r="K1324" s="1" t="s">
        <v>52</v>
      </c>
      <c r="L1324" s="1" t="str">
        <f t="shared" si="189"/>
        <v>20220921</v>
      </c>
      <c r="M1324" s="1" t="str">
        <f>"132256"</f>
        <v>132256</v>
      </c>
      <c r="N1324" s="1" t="s">
        <v>52</v>
      </c>
      <c r="O1324" s="1" t="s">
        <v>52</v>
      </c>
      <c r="P1324" s="1" t="s">
        <v>55</v>
      </c>
      <c r="Q1324" s="1">
        <v>25</v>
      </c>
      <c r="R1324" s="1">
        <v>25</v>
      </c>
      <c r="S1324" s="1">
        <v>0</v>
      </c>
      <c r="T1324" s="1">
        <v>0</v>
      </c>
      <c r="U1324" s="1">
        <v>0</v>
      </c>
      <c r="V1324" s="1" t="str">
        <f t="shared" si="181"/>
        <v>里程返程</v>
      </c>
      <c r="W1324" s="1" t="s">
        <v>35</v>
      </c>
    </row>
    <row r="1325" spans="1:23" x14ac:dyDescent="0.3">
      <c r="A1325" s="1" t="str">
        <f t="shared" si="187"/>
        <v>59820</v>
      </c>
      <c r="B1325" s="1" t="s">
        <v>53</v>
      </c>
      <c r="C1325" s="1" t="s">
        <v>54</v>
      </c>
      <c r="D1325" s="1" t="str">
        <f t="shared" si="180"/>
        <v>9801</v>
      </c>
      <c r="E1325" s="1" t="s">
        <v>25</v>
      </c>
      <c r="F1325" s="1" t="str">
        <f>"808410421"</f>
        <v>808410421</v>
      </c>
      <c r="G1325" s="1" t="s">
        <v>26</v>
      </c>
      <c r="H1325" s="1" t="str">
        <f t="shared" si="188"/>
        <v>20220921</v>
      </c>
      <c r="I1325" s="1" t="str">
        <f>"152348"</f>
        <v>152348</v>
      </c>
      <c r="J1325" s="1" t="s">
        <v>44</v>
      </c>
      <c r="K1325" s="1" t="s">
        <v>45</v>
      </c>
      <c r="L1325" s="1" t="str">
        <f t="shared" si="189"/>
        <v>20220921</v>
      </c>
      <c r="M1325" s="1" t="str">
        <f>"154925"</f>
        <v>154925</v>
      </c>
      <c r="N1325" s="1" t="s">
        <v>28</v>
      </c>
      <c r="O1325" s="1" t="s">
        <v>28</v>
      </c>
      <c r="P1325" s="1" t="s">
        <v>55</v>
      </c>
      <c r="Q1325" s="1">
        <v>13</v>
      </c>
      <c r="R1325" s="1">
        <v>0</v>
      </c>
      <c r="S1325" s="1">
        <v>13</v>
      </c>
      <c r="T1325" s="1">
        <v>0</v>
      </c>
      <c r="U1325" s="1">
        <v>0</v>
      </c>
      <c r="V1325" s="1" t="str">
        <f t="shared" si="181"/>
        <v>里程返程</v>
      </c>
      <c r="W1325" s="1" t="s">
        <v>35</v>
      </c>
    </row>
    <row r="1326" spans="1:23" x14ac:dyDescent="0.3">
      <c r="A1326" s="1" t="str">
        <f t="shared" si="187"/>
        <v>59820</v>
      </c>
      <c r="B1326" s="1" t="s">
        <v>53</v>
      </c>
      <c r="C1326" s="1" t="s">
        <v>54</v>
      </c>
      <c r="D1326" s="1" t="str">
        <f t="shared" si="180"/>
        <v>9801</v>
      </c>
      <c r="E1326" s="1" t="s">
        <v>25</v>
      </c>
      <c r="F1326" s="1" t="str">
        <f>"4251460257880400C821002000000015"</f>
        <v>4251460257880400C821002000000015</v>
      </c>
      <c r="G1326" s="1" t="s">
        <v>26</v>
      </c>
      <c r="H1326" s="1" t="str">
        <f t="shared" si="188"/>
        <v>20220921</v>
      </c>
      <c r="I1326" s="1" t="str">
        <f>"160057"</f>
        <v>160057</v>
      </c>
      <c r="J1326" s="1" t="s">
        <v>83</v>
      </c>
      <c r="K1326" s="1" t="s">
        <v>52</v>
      </c>
      <c r="L1326" s="1" t="str">
        <f t="shared" si="189"/>
        <v>20220921</v>
      </c>
      <c r="M1326" s="1" t="str">
        <f>"160416"</f>
        <v>160416</v>
      </c>
      <c r="N1326" s="1" t="s">
        <v>69</v>
      </c>
      <c r="O1326" s="1" t="s">
        <v>52</v>
      </c>
      <c r="P1326" s="1" t="s">
        <v>68</v>
      </c>
      <c r="Q1326" s="1">
        <v>13</v>
      </c>
      <c r="R1326" s="1">
        <v>0</v>
      </c>
      <c r="S1326" s="1">
        <v>0</v>
      </c>
      <c r="T1326" s="1">
        <v>13</v>
      </c>
      <c r="U1326" s="1">
        <v>0</v>
      </c>
      <c r="V1326" s="1" t="str">
        <f t="shared" si="181"/>
        <v>里程返程</v>
      </c>
      <c r="W1326" s="1" t="s">
        <v>29</v>
      </c>
    </row>
    <row r="1327" spans="1:23" x14ac:dyDescent="0.3">
      <c r="A1327" s="1" t="str">
        <f t="shared" si="187"/>
        <v>59820</v>
      </c>
      <c r="B1327" s="1" t="s">
        <v>53</v>
      </c>
      <c r="C1327" s="1" t="s">
        <v>54</v>
      </c>
      <c r="D1327" s="1" t="str">
        <f t="shared" si="180"/>
        <v>9801</v>
      </c>
      <c r="E1327" s="1" t="s">
        <v>25</v>
      </c>
      <c r="F1327" s="1" t="str">
        <f>"42AFE60209880400C834002000000015"</f>
        <v>42AFE60209880400C834002000000015</v>
      </c>
      <c r="G1327" s="1" t="s">
        <v>74</v>
      </c>
      <c r="H1327" s="1" t="str">
        <f t="shared" si="188"/>
        <v>20220921</v>
      </c>
      <c r="I1327" s="1" t="str">
        <f>"160840"</f>
        <v>160840</v>
      </c>
      <c r="J1327" s="1" t="s">
        <v>80</v>
      </c>
      <c r="K1327" s="1" t="s">
        <v>52</v>
      </c>
      <c r="L1327" s="1" t="str">
        <f t="shared" si="189"/>
        <v>20220921</v>
      </c>
      <c r="M1327" s="1" t="str">
        <f>"162228"</f>
        <v>162228</v>
      </c>
      <c r="N1327" s="1" t="s">
        <v>52</v>
      </c>
      <c r="O1327" s="1" t="s">
        <v>52</v>
      </c>
      <c r="P1327" s="1" t="s">
        <v>68</v>
      </c>
      <c r="Q1327" s="1">
        <v>13</v>
      </c>
      <c r="R1327" s="1">
        <v>0</v>
      </c>
      <c r="S1327" s="1">
        <v>0</v>
      </c>
      <c r="T1327" s="1">
        <v>13</v>
      </c>
      <c r="U1327" s="1">
        <v>0</v>
      </c>
      <c r="V1327" s="1" t="str">
        <f t="shared" si="181"/>
        <v>里程返程</v>
      </c>
      <c r="W1327" s="1" t="s">
        <v>29</v>
      </c>
    </row>
    <row r="1328" spans="1:23" x14ac:dyDescent="0.3">
      <c r="A1328" s="1" t="str">
        <f t="shared" si="187"/>
        <v>59820</v>
      </c>
      <c r="B1328" s="1" t="s">
        <v>53</v>
      </c>
      <c r="C1328" s="1" t="s">
        <v>54</v>
      </c>
      <c r="D1328" s="1" t="str">
        <f t="shared" si="180"/>
        <v>9801</v>
      </c>
      <c r="E1328" s="1" t="s">
        <v>25</v>
      </c>
      <c r="F1328" s="1" t="str">
        <f>"1503519329"</f>
        <v>1503519329</v>
      </c>
      <c r="G1328" s="1" t="s">
        <v>33</v>
      </c>
      <c r="H1328" s="1" t="str">
        <f t="shared" si="188"/>
        <v>20220921</v>
      </c>
      <c r="I1328" s="1" t="str">
        <f>"163428"</f>
        <v>163428</v>
      </c>
      <c r="J1328" s="1" t="s">
        <v>44</v>
      </c>
      <c r="K1328" s="1" t="s">
        <v>45</v>
      </c>
      <c r="L1328" s="1" t="str">
        <f t="shared" si="189"/>
        <v>20220921</v>
      </c>
      <c r="M1328" s="1" t="str">
        <f>"165251"</f>
        <v>165251</v>
      </c>
      <c r="N1328" s="1" t="s">
        <v>28</v>
      </c>
      <c r="O1328" s="1" t="s">
        <v>28</v>
      </c>
      <c r="P1328" s="1" t="s">
        <v>55</v>
      </c>
      <c r="Q1328" s="1">
        <v>25</v>
      </c>
      <c r="R1328" s="1">
        <v>25</v>
      </c>
      <c r="S1328" s="1">
        <v>0</v>
      </c>
      <c r="T1328" s="1">
        <v>0</v>
      </c>
      <c r="U1328" s="1">
        <v>0</v>
      </c>
      <c r="V1328" s="1" t="str">
        <f t="shared" si="181"/>
        <v>里程返程</v>
      </c>
      <c r="W1328" s="1" t="s">
        <v>35</v>
      </c>
    </row>
    <row r="1329" spans="1:23" x14ac:dyDescent="0.3">
      <c r="A1329" s="1" t="str">
        <f t="shared" ref="A1329:A1334" si="190">"59828"</f>
        <v>59828</v>
      </c>
      <c r="B1329" s="1" t="s">
        <v>23</v>
      </c>
      <c r="C1329" s="1" t="s">
        <v>24</v>
      </c>
      <c r="D1329" s="1" t="str">
        <f t="shared" si="180"/>
        <v>9801</v>
      </c>
      <c r="E1329" s="1" t="s">
        <v>25</v>
      </c>
      <c r="F1329" s="1" t="str">
        <f>"422AE7028D880400C834002000000015"</f>
        <v>422AE7028D880400C834002000000015</v>
      </c>
      <c r="G1329" s="1" t="s">
        <v>74</v>
      </c>
      <c r="H1329" s="1" t="str">
        <f t="shared" si="188"/>
        <v>20220921</v>
      </c>
      <c r="I1329" s="1" t="str">
        <f>"172937"</f>
        <v>172937</v>
      </c>
      <c r="J1329" s="1" t="s">
        <v>44</v>
      </c>
      <c r="K1329" s="1" t="s">
        <v>45</v>
      </c>
      <c r="L1329" s="1" t="str">
        <f t="shared" si="189"/>
        <v>20220921</v>
      </c>
      <c r="M1329" s="1" t="str">
        <f>"175410"</f>
        <v>175410</v>
      </c>
      <c r="N1329" s="1" t="s">
        <v>28</v>
      </c>
      <c r="O1329" s="1" t="s">
        <v>28</v>
      </c>
      <c r="P1329" s="1" t="s">
        <v>68</v>
      </c>
      <c r="Q1329" s="1">
        <v>13</v>
      </c>
      <c r="R1329" s="1">
        <v>0</v>
      </c>
      <c r="S1329" s="1">
        <v>0</v>
      </c>
      <c r="T1329" s="1">
        <v>13</v>
      </c>
      <c r="U1329" s="1">
        <v>0</v>
      </c>
      <c r="V1329" s="1" t="str">
        <f t="shared" si="181"/>
        <v>里程返程</v>
      </c>
      <c r="W1329" s="1" t="s">
        <v>29</v>
      </c>
    </row>
    <row r="1330" spans="1:23" x14ac:dyDescent="0.3">
      <c r="A1330" s="1" t="str">
        <f t="shared" si="190"/>
        <v>59828</v>
      </c>
      <c r="B1330" s="1" t="s">
        <v>23</v>
      </c>
      <c r="C1330" s="1" t="s">
        <v>24</v>
      </c>
      <c r="D1330" s="1" t="str">
        <f t="shared" si="180"/>
        <v>9801</v>
      </c>
      <c r="E1330" s="1" t="s">
        <v>25</v>
      </c>
      <c r="F1330" s="1" t="str">
        <f>"975DC31D148804004324988F0008090E"</f>
        <v>975DC31D148804004324988F0008090E</v>
      </c>
      <c r="G1330" s="1" t="s">
        <v>58</v>
      </c>
      <c r="H1330" s="1" t="str">
        <f t="shared" si="188"/>
        <v>20220921</v>
      </c>
      <c r="I1330" s="1" t="str">
        <f>"175426"</f>
        <v>175426</v>
      </c>
      <c r="J1330" s="1" t="s">
        <v>28</v>
      </c>
      <c r="K1330" s="1" t="s">
        <v>28</v>
      </c>
      <c r="L1330" s="1" t="str">
        <f t="shared" si="189"/>
        <v>20220921</v>
      </c>
      <c r="M1330" s="1" t="str">
        <f>"182908"</f>
        <v>182908</v>
      </c>
      <c r="N1330" s="1" t="s">
        <v>52</v>
      </c>
      <c r="O1330" s="1" t="s">
        <v>52</v>
      </c>
      <c r="P1330" s="1" t="s">
        <v>55</v>
      </c>
      <c r="Q1330" s="1">
        <v>25</v>
      </c>
      <c r="R1330" s="1">
        <v>25</v>
      </c>
      <c r="S1330" s="1">
        <v>0</v>
      </c>
      <c r="T1330" s="1">
        <v>0</v>
      </c>
      <c r="U1330" s="1">
        <v>0</v>
      </c>
      <c r="V1330" s="1" t="str">
        <f t="shared" si="181"/>
        <v>里程返程</v>
      </c>
      <c r="W1330" s="1" t="s">
        <v>29</v>
      </c>
    </row>
    <row r="1331" spans="1:23" x14ac:dyDescent="0.3">
      <c r="A1331" s="1" t="str">
        <f t="shared" si="190"/>
        <v>59828</v>
      </c>
      <c r="B1331" s="1" t="s">
        <v>23</v>
      </c>
      <c r="C1331" s="1" t="s">
        <v>24</v>
      </c>
      <c r="D1331" s="1" t="str">
        <f t="shared" si="180"/>
        <v>9801</v>
      </c>
      <c r="E1331" s="1" t="s">
        <v>25</v>
      </c>
      <c r="F1331" s="1" t="str">
        <f>"3756075971"</f>
        <v>3756075971</v>
      </c>
      <c r="G1331" s="1" t="s">
        <v>33</v>
      </c>
      <c r="H1331" s="1" t="str">
        <f t="shared" si="188"/>
        <v>20220921</v>
      </c>
      <c r="I1331" s="1" t="str">
        <f>"182941"</f>
        <v>182941</v>
      </c>
      <c r="J1331" s="1" t="s">
        <v>44</v>
      </c>
      <c r="K1331" s="1" t="s">
        <v>45</v>
      </c>
      <c r="L1331" s="1" t="str">
        <f t="shared" si="189"/>
        <v>20220921</v>
      </c>
      <c r="M1331" s="1" t="str">
        <f>"183838"</f>
        <v>183838</v>
      </c>
      <c r="N1331" s="1" t="s">
        <v>75</v>
      </c>
      <c r="O1331" s="1" t="s">
        <v>45</v>
      </c>
      <c r="P1331" s="1" t="s">
        <v>55</v>
      </c>
      <c r="Q1331" s="1">
        <v>25</v>
      </c>
      <c r="R1331" s="1">
        <v>25</v>
      </c>
      <c r="S1331" s="1">
        <v>0</v>
      </c>
      <c r="T1331" s="1">
        <v>0</v>
      </c>
      <c r="U1331" s="1">
        <v>0</v>
      </c>
      <c r="V1331" s="1" t="str">
        <f t="shared" si="181"/>
        <v>里程返程</v>
      </c>
      <c r="W1331" s="1" t="s">
        <v>35</v>
      </c>
    </row>
    <row r="1332" spans="1:23" x14ac:dyDescent="0.3">
      <c r="A1332" s="1" t="str">
        <f t="shared" si="190"/>
        <v>59828</v>
      </c>
      <c r="B1332" s="1" t="s">
        <v>23</v>
      </c>
      <c r="C1332" s="1" t="s">
        <v>24</v>
      </c>
      <c r="D1332" s="1" t="str">
        <f t="shared" si="180"/>
        <v>9801</v>
      </c>
      <c r="E1332" s="1" t="s">
        <v>25</v>
      </c>
      <c r="F1332" s="1" t="str">
        <f>"62BCB0117F28040080CEBCD141912418"</f>
        <v>62BCB0117F28040080CEBCD141912418</v>
      </c>
      <c r="G1332" s="1" t="s">
        <v>59</v>
      </c>
      <c r="H1332" s="1" t="str">
        <f t="shared" si="188"/>
        <v>20220921</v>
      </c>
      <c r="I1332" s="1" t="str">
        <f>"183627"</f>
        <v>183627</v>
      </c>
      <c r="J1332" s="1" t="s">
        <v>91</v>
      </c>
      <c r="K1332" s="1" t="s">
        <v>45</v>
      </c>
      <c r="L1332" s="1" t="str">
        <f t="shared" si="189"/>
        <v>20220921</v>
      </c>
      <c r="M1332" s="1" t="str">
        <f>"192147"</f>
        <v>192147</v>
      </c>
      <c r="N1332" s="1" t="s">
        <v>60</v>
      </c>
      <c r="O1332" s="1" t="s">
        <v>52</v>
      </c>
      <c r="P1332" s="1" t="s">
        <v>55</v>
      </c>
      <c r="Q1332" s="1">
        <v>50</v>
      </c>
      <c r="R1332" s="1">
        <v>50</v>
      </c>
      <c r="S1332" s="1">
        <v>0</v>
      </c>
      <c r="T1332" s="1">
        <v>0</v>
      </c>
      <c r="U1332" s="1">
        <v>0</v>
      </c>
      <c r="V1332" s="1" t="str">
        <f t="shared" si="181"/>
        <v>里程返程</v>
      </c>
      <c r="W1332" s="1" t="s">
        <v>29</v>
      </c>
    </row>
    <row r="1333" spans="1:23" x14ac:dyDescent="0.3">
      <c r="A1333" s="1" t="str">
        <f t="shared" si="190"/>
        <v>59828</v>
      </c>
      <c r="B1333" s="1" t="s">
        <v>23</v>
      </c>
      <c r="C1333" s="1" t="s">
        <v>24</v>
      </c>
      <c r="D1333" s="1" t="str">
        <f t="shared" si="180"/>
        <v>9801</v>
      </c>
      <c r="E1333" s="1" t="s">
        <v>25</v>
      </c>
      <c r="F1333" s="1" t="str">
        <f>"2919C50FFA8804004326A4E600070211"</f>
        <v>2919C50FFA8804004326A4E600070211</v>
      </c>
      <c r="G1333" s="1" t="s">
        <v>64</v>
      </c>
      <c r="H1333" s="1" t="str">
        <f t="shared" si="188"/>
        <v>20220921</v>
      </c>
      <c r="I1333" s="1" t="str">
        <f>"185100"</f>
        <v>185100</v>
      </c>
      <c r="J1333" s="1" t="s">
        <v>28</v>
      </c>
      <c r="K1333" s="1" t="s">
        <v>28</v>
      </c>
      <c r="L1333" s="1" t="str">
        <f t="shared" si="189"/>
        <v>20220921</v>
      </c>
      <c r="M1333" s="1" t="str">
        <f>"190452"</f>
        <v>190452</v>
      </c>
      <c r="N1333" s="1" t="s">
        <v>78</v>
      </c>
      <c r="O1333" s="1" t="s">
        <v>52</v>
      </c>
      <c r="P1333" s="1" t="s">
        <v>55</v>
      </c>
      <c r="Q1333" s="1">
        <v>13</v>
      </c>
      <c r="R1333" s="1">
        <v>13</v>
      </c>
      <c r="S1333" s="1">
        <v>0</v>
      </c>
      <c r="T1333" s="1">
        <v>0</v>
      </c>
      <c r="U1333" s="1">
        <v>0</v>
      </c>
      <c r="V1333" s="1" t="str">
        <f t="shared" si="181"/>
        <v>里程返程</v>
      </c>
      <c r="W1333" s="1" t="s">
        <v>29</v>
      </c>
    </row>
    <row r="1334" spans="1:23" x14ac:dyDescent="0.3">
      <c r="A1334" s="1" t="str">
        <f t="shared" si="190"/>
        <v>59828</v>
      </c>
      <c r="B1334" s="1" t="s">
        <v>23</v>
      </c>
      <c r="C1334" s="1" t="s">
        <v>24</v>
      </c>
      <c r="D1334" s="1" t="str">
        <f t="shared" si="180"/>
        <v>9801</v>
      </c>
      <c r="E1334" s="1" t="s">
        <v>25</v>
      </c>
      <c r="F1334" s="1" t="str">
        <f>"1027383246"</f>
        <v>1027383246</v>
      </c>
      <c r="G1334" s="1" t="s">
        <v>33</v>
      </c>
      <c r="H1334" s="1" t="str">
        <f t="shared" si="188"/>
        <v>20220921</v>
      </c>
      <c r="I1334" s="1" t="str">
        <f>"185733"</f>
        <v>185733</v>
      </c>
      <c r="J1334" s="1" t="s">
        <v>85</v>
      </c>
      <c r="K1334" s="1" t="s">
        <v>28</v>
      </c>
      <c r="L1334" s="1" t="str">
        <f t="shared" si="189"/>
        <v>20220921</v>
      </c>
      <c r="M1334" s="1" t="str">
        <f>"191211"</f>
        <v>191211</v>
      </c>
      <c r="N1334" s="1" t="s">
        <v>80</v>
      </c>
      <c r="O1334" s="1" t="s">
        <v>52</v>
      </c>
      <c r="P1334" s="1" t="s">
        <v>55</v>
      </c>
      <c r="Q1334" s="1">
        <v>25</v>
      </c>
      <c r="R1334" s="1">
        <v>0</v>
      </c>
      <c r="S1334" s="1">
        <v>25</v>
      </c>
      <c r="T1334" s="1">
        <v>0</v>
      </c>
      <c r="U1334" s="1">
        <v>0</v>
      </c>
      <c r="V1334" s="1" t="str">
        <f t="shared" si="181"/>
        <v>里程返程</v>
      </c>
      <c r="W1334" s="1" t="s">
        <v>35</v>
      </c>
    </row>
    <row r="1335" spans="1:23" x14ac:dyDescent="0.3">
      <c r="A1335" s="1" t="str">
        <f t="shared" ref="A1335:A1344" si="191">"59829"</f>
        <v>59829</v>
      </c>
      <c r="B1335" s="1" t="s">
        <v>47</v>
      </c>
      <c r="C1335" s="1" t="s">
        <v>48</v>
      </c>
      <c r="D1335" s="1" t="str">
        <f t="shared" si="180"/>
        <v>9801</v>
      </c>
      <c r="E1335" s="1" t="s">
        <v>25</v>
      </c>
      <c r="F1335" s="1" t="str">
        <f>"1611623912"</f>
        <v>1611623912</v>
      </c>
      <c r="G1335" s="1" t="s">
        <v>26</v>
      </c>
      <c r="H1335" s="1" t="str">
        <f t="shared" si="188"/>
        <v>20220921</v>
      </c>
      <c r="I1335" s="1" t="str">
        <f>"084351"</f>
        <v>084351</v>
      </c>
      <c r="J1335" s="1" t="s">
        <v>75</v>
      </c>
      <c r="K1335" s="1" t="s">
        <v>45</v>
      </c>
      <c r="L1335" s="1" t="str">
        <f t="shared" si="189"/>
        <v>20220921</v>
      </c>
      <c r="M1335" s="1" t="str">
        <f>"085219"</f>
        <v>085219</v>
      </c>
      <c r="N1335" s="1" t="s">
        <v>95</v>
      </c>
      <c r="O1335" s="1" t="s">
        <v>28</v>
      </c>
      <c r="P1335" s="1" t="s">
        <v>55</v>
      </c>
      <c r="Q1335" s="1">
        <v>13</v>
      </c>
      <c r="R1335" s="1">
        <v>13</v>
      </c>
      <c r="S1335" s="1">
        <v>0</v>
      </c>
      <c r="T1335" s="1">
        <v>0</v>
      </c>
      <c r="U1335" s="1">
        <v>0</v>
      </c>
      <c r="V1335" s="1" t="str">
        <f t="shared" si="181"/>
        <v>里程返程</v>
      </c>
      <c r="W1335" s="1" t="s">
        <v>35</v>
      </c>
    </row>
    <row r="1336" spans="1:23" x14ac:dyDescent="0.3">
      <c r="A1336" s="1" t="str">
        <f t="shared" si="191"/>
        <v>59829</v>
      </c>
      <c r="B1336" s="1" t="s">
        <v>47</v>
      </c>
      <c r="C1336" s="1" t="s">
        <v>48</v>
      </c>
      <c r="D1336" s="1" t="str">
        <f t="shared" si="180"/>
        <v>9801</v>
      </c>
      <c r="E1336" s="1" t="s">
        <v>25</v>
      </c>
      <c r="F1336" s="1" t="str">
        <f>"997462661"</f>
        <v>997462661</v>
      </c>
      <c r="G1336" s="1" t="s">
        <v>26</v>
      </c>
      <c r="H1336" s="1" t="str">
        <f t="shared" si="188"/>
        <v>20220921</v>
      </c>
      <c r="I1336" s="1" t="str">
        <f>"084356"</f>
        <v>084356</v>
      </c>
      <c r="J1336" s="1" t="s">
        <v>75</v>
      </c>
      <c r="K1336" s="1" t="s">
        <v>45</v>
      </c>
      <c r="L1336" s="1" t="str">
        <f t="shared" si="189"/>
        <v>20220921</v>
      </c>
      <c r="M1336" s="1" t="str">
        <f>"085224"</f>
        <v>085224</v>
      </c>
      <c r="N1336" s="1" t="s">
        <v>95</v>
      </c>
      <c r="O1336" s="1" t="s">
        <v>28</v>
      </c>
      <c r="P1336" s="1" t="s">
        <v>55</v>
      </c>
      <c r="Q1336" s="1">
        <v>13</v>
      </c>
      <c r="R1336" s="1">
        <v>13</v>
      </c>
      <c r="S1336" s="1">
        <v>0</v>
      </c>
      <c r="T1336" s="1">
        <v>0</v>
      </c>
      <c r="U1336" s="1">
        <v>0</v>
      </c>
      <c r="V1336" s="1" t="str">
        <f t="shared" si="181"/>
        <v>里程返程</v>
      </c>
      <c r="W1336" s="1" t="s">
        <v>35</v>
      </c>
    </row>
    <row r="1337" spans="1:23" x14ac:dyDescent="0.3">
      <c r="A1337" s="1" t="str">
        <f t="shared" si="191"/>
        <v>59829</v>
      </c>
      <c r="B1337" s="1" t="s">
        <v>47</v>
      </c>
      <c r="C1337" s="1" t="s">
        <v>48</v>
      </c>
      <c r="D1337" s="1" t="str">
        <f t="shared" si="180"/>
        <v>9801</v>
      </c>
      <c r="E1337" s="1" t="s">
        <v>25</v>
      </c>
      <c r="F1337" s="1" t="str">
        <f>"F29BD102BA880400C834002000000015"</f>
        <v>F29BD102BA880400C834002000000015</v>
      </c>
      <c r="G1337" s="1" t="s">
        <v>26</v>
      </c>
      <c r="H1337" s="1" t="str">
        <f t="shared" si="188"/>
        <v>20220921</v>
      </c>
      <c r="I1337" s="1" t="str">
        <f>"085148"</f>
        <v>085148</v>
      </c>
      <c r="J1337" s="1" t="s">
        <v>27</v>
      </c>
      <c r="K1337" s="1" t="s">
        <v>28</v>
      </c>
      <c r="L1337" s="1" t="str">
        <f t="shared" si="189"/>
        <v>20220921</v>
      </c>
      <c r="M1337" s="1" t="str">
        <f>"085202"</f>
        <v>085202</v>
      </c>
      <c r="N1337" s="1" t="s">
        <v>95</v>
      </c>
      <c r="O1337" s="1" t="s">
        <v>28</v>
      </c>
      <c r="P1337" s="1" t="s">
        <v>68</v>
      </c>
      <c r="Q1337" s="1">
        <v>13</v>
      </c>
      <c r="R1337" s="1">
        <v>0</v>
      </c>
      <c r="S1337" s="1">
        <v>0</v>
      </c>
      <c r="T1337" s="1">
        <v>13</v>
      </c>
      <c r="U1337" s="1">
        <v>0</v>
      </c>
      <c r="V1337" s="1" t="str">
        <f t="shared" si="181"/>
        <v>里程返程</v>
      </c>
      <c r="W1337" s="1" t="s">
        <v>29</v>
      </c>
    </row>
    <row r="1338" spans="1:23" x14ac:dyDescent="0.3">
      <c r="A1338" s="1" t="str">
        <f t="shared" si="191"/>
        <v>59829</v>
      </c>
      <c r="B1338" s="1" t="s">
        <v>47</v>
      </c>
      <c r="C1338" s="1" t="s">
        <v>48</v>
      </c>
      <c r="D1338" s="1" t="str">
        <f t="shared" si="180"/>
        <v>9801</v>
      </c>
      <c r="E1338" s="1" t="s">
        <v>25</v>
      </c>
      <c r="F1338" s="1" t="str">
        <f>"C2884B0908880400C810002000000016"</f>
        <v>C2884B0908880400C810002000000016</v>
      </c>
      <c r="G1338" s="1" t="s">
        <v>58</v>
      </c>
      <c r="H1338" s="1" t="str">
        <f t="shared" si="188"/>
        <v>20220921</v>
      </c>
      <c r="I1338" s="1" t="str">
        <f>"095459"</f>
        <v>095459</v>
      </c>
      <c r="J1338" s="1" t="s">
        <v>28</v>
      </c>
      <c r="K1338" s="1" t="s">
        <v>28</v>
      </c>
      <c r="L1338" s="1" t="str">
        <f t="shared" si="189"/>
        <v>20220921</v>
      </c>
      <c r="M1338" s="1" t="str">
        <f>"101226"</f>
        <v>101226</v>
      </c>
      <c r="N1338" s="1" t="s">
        <v>65</v>
      </c>
      <c r="O1338" s="1" t="s">
        <v>52</v>
      </c>
      <c r="P1338" s="1" t="s">
        <v>55</v>
      </c>
      <c r="Q1338" s="1">
        <v>25</v>
      </c>
      <c r="R1338" s="1">
        <v>25</v>
      </c>
      <c r="S1338" s="1">
        <v>0</v>
      </c>
      <c r="T1338" s="1">
        <v>0</v>
      </c>
      <c r="U1338" s="1">
        <v>0</v>
      </c>
      <c r="V1338" s="1" t="str">
        <f t="shared" si="181"/>
        <v>里程返程</v>
      </c>
      <c r="W1338" s="1" t="s">
        <v>29</v>
      </c>
    </row>
    <row r="1339" spans="1:23" x14ac:dyDescent="0.3">
      <c r="A1339" s="1" t="str">
        <f t="shared" si="191"/>
        <v>59829</v>
      </c>
      <c r="B1339" s="1" t="s">
        <v>47</v>
      </c>
      <c r="C1339" s="1" t="s">
        <v>48</v>
      </c>
      <c r="D1339" s="1" t="str">
        <f t="shared" si="180"/>
        <v>9801</v>
      </c>
      <c r="E1339" s="1" t="s">
        <v>25</v>
      </c>
      <c r="F1339" s="1" t="str">
        <f>"522BF3058F880400C838002000000015"</f>
        <v>522BF3058F880400C838002000000015</v>
      </c>
      <c r="G1339" s="1" t="s">
        <v>26</v>
      </c>
      <c r="H1339" s="1" t="str">
        <f t="shared" si="188"/>
        <v>20220921</v>
      </c>
      <c r="I1339" s="1" t="str">
        <f>"095509"</f>
        <v>095509</v>
      </c>
      <c r="J1339" s="1" t="s">
        <v>28</v>
      </c>
      <c r="K1339" s="1" t="s">
        <v>28</v>
      </c>
      <c r="L1339" s="1" t="str">
        <f t="shared" si="189"/>
        <v>20220921</v>
      </c>
      <c r="M1339" s="1" t="str">
        <f>"101935"</f>
        <v>101935</v>
      </c>
      <c r="N1339" s="1" t="s">
        <v>52</v>
      </c>
      <c r="O1339" s="1" t="s">
        <v>52</v>
      </c>
      <c r="P1339" s="1" t="s">
        <v>68</v>
      </c>
      <c r="Q1339" s="1">
        <v>13</v>
      </c>
      <c r="R1339" s="1">
        <v>0</v>
      </c>
      <c r="S1339" s="1">
        <v>0</v>
      </c>
      <c r="T1339" s="1">
        <v>13</v>
      </c>
      <c r="U1339" s="1">
        <v>0</v>
      </c>
      <c r="V1339" s="1" t="str">
        <f t="shared" si="181"/>
        <v>里程返程</v>
      </c>
      <c r="W1339" s="1" t="s">
        <v>29</v>
      </c>
    </row>
    <row r="1340" spans="1:23" x14ac:dyDescent="0.3">
      <c r="A1340" s="1" t="str">
        <f t="shared" si="191"/>
        <v>59829</v>
      </c>
      <c r="B1340" s="1" t="s">
        <v>47</v>
      </c>
      <c r="C1340" s="1" t="s">
        <v>48</v>
      </c>
      <c r="D1340" s="1" t="str">
        <f t="shared" si="180"/>
        <v>9801</v>
      </c>
      <c r="E1340" s="1" t="s">
        <v>25</v>
      </c>
      <c r="F1340" s="1" t="str">
        <f>"211826053"</f>
        <v>211826053</v>
      </c>
      <c r="G1340" s="1" t="s">
        <v>33</v>
      </c>
      <c r="H1340" s="1" t="str">
        <f t="shared" si="188"/>
        <v>20220921</v>
      </c>
      <c r="I1340" s="1" t="str">
        <f>"103352"</f>
        <v>103352</v>
      </c>
      <c r="J1340" s="1" t="s">
        <v>100</v>
      </c>
      <c r="K1340" s="1" t="s">
        <v>45</v>
      </c>
      <c r="L1340" s="1" t="str">
        <f t="shared" si="189"/>
        <v>20220921</v>
      </c>
      <c r="M1340" s="1" t="str">
        <f>"105058"</f>
        <v>105058</v>
      </c>
      <c r="N1340" s="1" t="s">
        <v>28</v>
      </c>
      <c r="O1340" s="1" t="s">
        <v>28</v>
      </c>
      <c r="P1340" s="1" t="s">
        <v>55</v>
      </c>
      <c r="Q1340" s="1">
        <v>25</v>
      </c>
      <c r="R1340" s="1">
        <v>25</v>
      </c>
      <c r="S1340" s="1">
        <v>0</v>
      </c>
      <c r="T1340" s="1">
        <v>0</v>
      </c>
      <c r="U1340" s="1">
        <v>0</v>
      </c>
      <c r="V1340" s="1" t="str">
        <f t="shared" si="181"/>
        <v>里程返程</v>
      </c>
      <c r="W1340" s="1" t="s">
        <v>35</v>
      </c>
    </row>
    <row r="1341" spans="1:23" x14ac:dyDescent="0.3">
      <c r="A1341" s="1" t="str">
        <f t="shared" si="191"/>
        <v>59829</v>
      </c>
      <c r="B1341" s="1" t="s">
        <v>47</v>
      </c>
      <c r="C1341" s="1" t="s">
        <v>48</v>
      </c>
      <c r="D1341" s="1" t="str">
        <f t="shared" si="180"/>
        <v>9801</v>
      </c>
      <c r="E1341" s="1" t="s">
        <v>25</v>
      </c>
      <c r="F1341" s="1" t="str">
        <f>"1570929745"</f>
        <v>1570929745</v>
      </c>
      <c r="G1341" s="1" t="s">
        <v>33</v>
      </c>
      <c r="H1341" s="1" t="str">
        <f t="shared" si="188"/>
        <v>20220921</v>
      </c>
      <c r="I1341" s="1" t="str">
        <f>"104107"</f>
        <v>104107</v>
      </c>
      <c r="J1341" s="1" t="s">
        <v>56</v>
      </c>
      <c r="K1341" s="1" t="s">
        <v>45</v>
      </c>
      <c r="L1341" s="1" t="str">
        <f t="shared" si="189"/>
        <v>20220921</v>
      </c>
      <c r="M1341" s="1" t="str">
        <f>"105102"</f>
        <v>105102</v>
      </c>
      <c r="N1341" s="1" t="s">
        <v>28</v>
      </c>
      <c r="O1341" s="1" t="s">
        <v>28</v>
      </c>
      <c r="P1341" s="1" t="s">
        <v>55</v>
      </c>
      <c r="Q1341" s="1">
        <v>25</v>
      </c>
      <c r="R1341" s="1">
        <v>25</v>
      </c>
      <c r="S1341" s="1">
        <v>0</v>
      </c>
      <c r="T1341" s="1">
        <v>0</v>
      </c>
      <c r="U1341" s="1">
        <v>0</v>
      </c>
      <c r="V1341" s="1" t="str">
        <f t="shared" si="181"/>
        <v>里程返程</v>
      </c>
      <c r="W1341" s="1" t="s">
        <v>35</v>
      </c>
    </row>
    <row r="1342" spans="1:23" x14ac:dyDescent="0.3">
      <c r="A1342" s="1" t="str">
        <f t="shared" si="191"/>
        <v>59829</v>
      </c>
      <c r="B1342" s="1" t="s">
        <v>47</v>
      </c>
      <c r="C1342" s="1" t="s">
        <v>48</v>
      </c>
      <c r="D1342" s="1" t="str">
        <f t="shared" si="180"/>
        <v>9801</v>
      </c>
      <c r="E1342" s="1" t="s">
        <v>25</v>
      </c>
      <c r="F1342" s="1" t="str">
        <f>"1004582821"</f>
        <v>1004582821</v>
      </c>
      <c r="G1342" s="1" t="s">
        <v>33</v>
      </c>
      <c r="H1342" s="1" t="str">
        <f t="shared" si="188"/>
        <v>20220921</v>
      </c>
      <c r="I1342" s="1" t="str">
        <f>"115448"</f>
        <v>115448</v>
      </c>
      <c r="J1342" s="1" t="s">
        <v>28</v>
      </c>
      <c r="K1342" s="1" t="s">
        <v>28</v>
      </c>
      <c r="L1342" s="1" t="str">
        <f t="shared" si="189"/>
        <v>20220921</v>
      </c>
      <c r="M1342" s="1" t="str">
        <f>"121716"</f>
        <v>121716</v>
      </c>
      <c r="N1342" s="1" t="s">
        <v>65</v>
      </c>
      <c r="O1342" s="1" t="s">
        <v>52</v>
      </c>
      <c r="P1342" s="1" t="s">
        <v>55</v>
      </c>
      <c r="Q1342" s="1">
        <v>25</v>
      </c>
      <c r="R1342" s="1">
        <v>0</v>
      </c>
      <c r="S1342" s="1">
        <v>25</v>
      </c>
      <c r="T1342" s="1">
        <v>0</v>
      </c>
      <c r="U1342" s="1">
        <v>0</v>
      </c>
      <c r="V1342" s="1" t="str">
        <f t="shared" si="181"/>
        <v>里程返程</v>
      </c>
      <c r="W1342" s="1" t="s">
        <v>35</v>
      </c>
    </row>
    <row r="1343" spans="1:23" x14ac:dyDescent="0.3">
      <c r="A1343" s="1" t="str">
        <f t="shared" si="191"/>
        <v>59829</v>
      </c>
      <c r="B1343" s="1" t="s">
        <v>47</v>
      </c>
      <c r="C1343" s="1" t="s">
        <v>48</v>
      </c>
      <c r="D1343" s="1" t="str">
        <f t="shared" si="180"/>
        <v>9801</v>
      </c>
      <c r="E1343" s="1" t="s">
        <v>25</v>
      </c>
      <c r="F1343" s="1" t="str">
        <f>"2373303355"</f>
        <v>2373303355</v>
      </c>
      <c r="G1343" s="1" t="s">
        <v>96</v>
      </c>
      <c r="H1343" s="1" t="str">
        <f t="shared" si="188"/>
        <v>20220921</v>
      </c>
      <c r="I1343" s="1" t="str">
        <f>"115504"</f>
        <v>115504</v>
      </c>
      <c r="J1343" s="1" t="s">
        <v>28</v>
      </c>
      <c r="K1343" s="1" t="s">
        <v>28</v>
      </c>
      <c r="L1343" s="1" t="str">
        <f t="shared" si="189"/>
        <v>20220921</v>
      </c>
      <c r="M1343" s="1" t="str">
        <f>"121247"</f>
        <v>121247</v>
      </c>
      <c r="N1343" s="1" t="s">
        <v>80</v>
      </c>
      <c r="O1343" s="1" t="s">
        <v>52</v>
      </c>
      <c r="P1343" s="1" t="s">
        <v>55</v>
      </c>
      <c r="Q1343" s="1">
        <v>13</v>
      </c>
      <c r="R1343" s="1">
        <v>13</v>
      </c>
      <c r="S1343" s="1">
        <v>0</v>
      </c>
      <c r="T1343" s="1">
        <v>0</v>
      </c>
      <c r="U1343" s="1">
        <v>0</v>
      </c>
      <c r="V1343" s="1" t="str">
        <f t="shared" si="181"/>
        <v>里程返程</v>
      </c>
      <c r="W1343" s="1" t="s">
        <v>35</v>
      </c>
    </row>
    <row r="1344" spans="1:23" x14ac:dyDescent="0.3">
      <c r="A1344" s="1" t="str">
        <f t="shared" si="191"/>
        <v>59829</v>
      </c>
      <c r="B1344" s="1" t="s">
        <v>47</v>
      </c>
      <c r="C1344" s="1" t="s">
        <v>48</v>
      </c>
      <c r="D1344" s="1" t="str">
        <f t="shared" si="180"/>
        <v>9801</v>
      </c>
      <c r="E1344" s="1" t="s">
        <v>25</v>
      </c>
      <c r="F1344" s="1" t="str">
        <f>"323CC116D9880400C814002000000019"</f>
        <v>323CC116D9880400C814002000000019</v>
      </c>
      <c r="G1344" s="1" t="s">
        <v>64</v>
      </c>
      <c r="H1344" s="1" t="str">
        <f t="shared" si="188"/>
        <v>20220921</v>
      </c>
      <c r="I1344" s="1" t="str">
        <f>"115541"</f>
        <v>115541</v>
      </c>
      <c r="J1344" s="1" t="s">
        <v>28</v>
      </c>
      <c r="K1344" s="1" t="s">
        <v>28</v>
      </c>
      <c r="L1344" s="1" t="str">
        <f t="shared" si="189"/>
        <v>20220921</v>
      </c>
      <c r="M1344" s="1" t="str">
        <f>"122528"</f>
        <v>122528</v>
      </c>
      <c r="N1344" s="1" t="s">
        <v>52</v>
      </c>
      <c r="O1344" s="1" t="s">
        <v>52</v>
      </c>
      <c r="P1344" s="1" t="s">
        <v>55</v>
      </c>
      <c r="Q1344" s="1">
        <v>13</v>
      </c>
      <c r="R1344" s="1">
        <v>13</v>
      </c>
      <c r="S1344" s="1">
        <v>0</v>
      </c>
      <c r="T1344" s="1">
        <v>0</v>
      </c>
      <c r="U1344" s="1">
        <v>0</v>
      </c>
      <c r="V1344" s="1" t="str">
        <f t="shared" si="181"/>
        <v>里程返程</v>
      </c>
      <c r="W1344" s="1" t="s">
        <v>29</v>
      </c>
    </row>
    <row r="1345" spans="1:23" x14ac:dyDescent="0.3">
      <c r="A1345" s="1" t="str">
        <f>"59809"</f>
        <v>59809</v>
      </c>
      <c r="B1345" s="1" t="s">
        <v>42</v>
      </c>
      <c r="C1345" s="1" t="s">
        <v>43</v>
      </c>
      <c r="D1345" s="1" t="str">
        <f t="shared" si="180"/>
        <v>9801</v>
      </c>
      <c r="E1345" s="1" t="s">
        <v>25</v>
      </c>
      <c r="F1345" s="1" t="str">
        <f>"422AE7028D880400C834002000000015"</f>
        <v>422AE7028D880400C834002000000015</v>
      </c>
      <c r="G1345" s="1" t="s">
        <v>74</v>
      </c>
      <c r="H1345" s="1" t="str">
        <f t="shared" ref="H1345:H1379" si="192">"20220922"</f>
        <v>20220922</v>
      </c>
      <c r="I1345" s="1" t="str">
        <f>"172639"</f>
        <v>172639</v>
      </c>
      <c r="J1345" s="1" t="s">
        <v>44</v>
      </c>
      <c r="K1345" s="1" t="s">
        <v>45</v>
      </c>
      <c r="L1345" s="1" t="str">
        <f t="shared" ref="L1345:L1373" si="193">"20220922"</f>
        <v>20220922</v>
      </c>
      <c r="M1345" s="1" t="str">
        <f>"174934"</f>
        <v>174934</v>
      </c>
      <c r="N1345" s="1" t="s">
        <v>85</v>
      </c>
      <c r="O1345" s="1" t="s">
        <v>28</v>
      </c>
      <c r="P1345" s="1" t="s">
        <v>68</v>
      </c>
      <c r="Q1345" s="1">
        <v>13</v>
      </c>
      <c r="R1345" s="1">
        <v>0</v>
      </c>
      <c r="S1345" s="1">
        <v>0</v>
      </c>
      <c r="T1345" s="1">
        <v>13</v>
      </c>
      <c r="U1345" s="1">
        <v>0</v>
      </c>
      <c r="V1345" s="1" t="str">
        <f t="shared" si="181"/>
        <v>里程返程</v>
      </c>
      <c r="W1345" s="1" t="s">
        <v>29</v>
      </c>
    </row>
    <row r="1346" spans="1:23" x14ac:dyDescent="0.3">
      <c r="A1346" s="1" t="str">
        <f>"59809"</f>
        <v>59809</v>
      </c>
      <c r="B1346" s="1" t="s">
        <v>42</v>
      </c>
      <c r="C1346" s="1" t="s">
        <v>43</v>
      </c>
      <c r="D1346" s="1" t="str">
        <f t="shared" ref="D1346:D1409" si="194">"9801"</f>
        <v>9801</v>
      </c>
      <c r="E1346" s="1" t="s">
        <v>25</v>
      </c>
      <c r="F1346" s="1" t="str">
        <f>"3822676174"</f>
        <v>3822676174</v>
      </c>
      <c r="G1346" s="1" t="s">
        <v>33</v>
      </c>
      <c r="H1346" s="1" t="str">
        <f t="shared" si="192"/>
        <v>20220922</v>
      </c>
      <c r="I1346" s="1" t="str">
        <f>"185053"</f>
        <v>185053</v>
      </c>
      <c r="J1346" s="1" t="s">
        <v>28</v>
      </c>
      <c r="K1346" s="1" t="s">
        <v>28</v>
      </c>
      <c r="L1346" s="1" t="str">
        <f t="shared" si="193"/>
        <v>20220922</v>
      </c>
      <c r="M1346" s="1" t="str">
        <f>"191225"</f>
        <v>191225</v>
      </c>
      <c r="N1346" s="1" t="s">
        <v>65</v>
      </c>
      <c r="O1346" s="1" t="s">
        <v>52</v>
      </c>
      <c r="P1346" s="1" t="s">
        <v>55</v>
      </c>
      <c r="Q1346" s="1">
        <v>25</v>
      </c>
      <c r="R1346" s="1">
        <v>25</v>
      </c>
      <c r="S1346" s="1">
        <v>0</v>
      </c>
      <c r="T1346" s="1">
        <v>0</v>
      </c>
      <c r="U1346" s="1">
        <v>0</v>
      </c>
      <c r="V1346" s="1" t="str">
        <f t="shared" ref="V1346:V1409" si="195">"里程返程"</f>
        <v>里程返程</v>
      </c>
      <c r="W1346" s="1" t="s">
        <v>35</v>
      </c>
    </row>
    <row r="1347" spans="1:23" x14ac:dyDescent="0.3">
      <c r="A1347" s="1" t="str">
        <f>"59809"</f>
        <v>59809</v>
      </c>
      <c r="B1347" s="1" t="s">
        <v>42</v>
      </c>
      <c r="C1347" s="1" t="s">
        <v>43</v>
      </c>
      <c r="D1347" s="1" t="str">
        <f t="shared" si="194"/>
        <v>9801</v>
      </c>
      <c r="E1347" s="1" t="s">
        <v>25</v>
      </c>
      <c r="F1347" s="1" t="str">
        <f>"836060737"</f>
        <v>836060737</v>
      </c>
      <c r="G1347" s="1" t="s">
        <v>33</v>
      </c>
      <c r="H1347" s="1" t="str">
        <f t="shared" si="192"/>
        <v>20220922</v>
      </c>
      <c r="I1347" s="1" t="str">
        <f>"185225"</f>
        <v>185225</v>
      </c>
      <c r="J1347" s="1" t="s">
        <v>28</v>
      </c>
      <c r="K1347" s="1" t="s">
        <v>28</v>
      </c>
      <c r="L1347" s="1" t="str">
        <f t="shared" si="193"/>
        <v>20220922</v>
      </c>
      <c r="M1347" s="1" t="str">
        <f>"190917"</f>
        <v>190917</v>
      </c>
      <c r="N1347" s="1" t="s">
        <v>80</v>
      </c>
      <c r="O1347" s="1" t="s">
        <v>52</v>
      </c>
      <c r="P1347" s="1" t="s">
        <v>55</v>
      </c>
      <c r="Q1347" s="1">
        <v>25</v>
      </c>
      <c r="R1347" s="1">
        <v>0</v>
      </c>
      <c r="S1347" s="1">
        <v>25</v>
      </c>
      <c r="T1347" s="1">
        <v>0</v>
      </c>
      <c r="U1347" s="1">
        <v>0</v>
      </c>
      <c r="V1347" s="1" t="str">
        <f t="shared" si="195"/>
        <v>里程返程</v>
      </c>
      <c r="W1347" s="1" t="s">
        <v>35</v>
      </c>
    </row>
    <row r="1348" spans="1:23" x14ac:dyDescent="0.3">
      <c r="A1348" s="1" t="str">
        <f t="shared" ref="A1348:A1357" si="196">"59820"</f>
        <v>59820</v>
      </c>
      <c r="B1348" s="1" t="s">
        <v>53</v>
      </c>
      <c r="C1348" s="1" t="s">
        <v>54</v>
      </c>
      <c r="D1348" s="1" t="str">
        <f t="shared" si="194"/>
        <v>9801</v>
      </c>
      <c r="E1348" s="1" t="s">
        <v>25</v>
      </c>
      <c r="F1348" s="1" t="str">
        <f>"1661864789"</f>
        <v>1661864789</v>
      </c>
      <c r="G1348" s="1" t="s">
        <v>33</v>
      </c>
      <c r="H1348" s="1" t="str">
        <f t="shared" si="192"/>
        <v>20220922</v>
      </c>
      <c r="I1348" s="1" t="str">
        <f>"060719"</f>
        <v>060719</v>
      </c>
      <c r="J1348" s="1" t="s">
        <v>75</v>
      </c>
      <c r="K1348" s="1" t="s">
        <v>45</v>
      </c>
      <c r="L1348" s="1" t="str">
        <f t="shared" si="193"/>
        <v>20220922</v>
      </c>
      <c r="M1348" s="1" t="str">
        <f>"061818"</f>
        <v>061818</v>
      </c>
      <c r="N1348" s="1" t="s">
        <v>28</v>
      </c>
      <c r="O1348" s="1" t="s">
        <v>28</v>
      </c>
      <c r="P1348" s="1" t="s">
        <v>55</v>
      </c>
      <c r="Q1348" s="1">
        <v>25</v>
      </c>
      <c r="R1348" s="1">
        <v>25</v>
      </c>
      <c r="S1348" s="1">
        <v>0</v>
      </c>
      <c r="T1348" s="1">
        <v>0</v>
      </c>
      <c r="U1348" s="1">
        <v>0</v>
      </c>
      <c r="V1348" s="1" t="str">
        <f t="shared" si="195"/>
        <v>里程返程</v>
      </c>
      <c r="W1348" s="1" t="s">
        <v>35</v>
      </c>
    </row>
    <row r="1349" spans="1:23" x14ac:dyDescent="0.3">
      <c r="A1349" s="1" t="str">
        <f t="shared" si="196"/>
        <v>59820</v>
      </c>
      <c r="B1349" s="1" t="s">
        <v>53</v>
      </c>
      <c r="C1349" s="1" t="s">
        <v>54</v>
      </c>
      <c r="D1349" s="1" t="str">
        <f t="shared" si="194"/>
        <v>9801</v>
      </c>
      <c r="E1349" s="1" t="s">
        <v>25</v>
      </c>
      <c r="F1349" s="1" t="str">
        <f>"881384469"</f>
        <v>881384469</v>
      </c>
      <c r="G1349" s="1" t="s">
        <v>33</v>
      </c>
      <c r="H1349" s="1" t="str">
        <f t="shared" si="192"/>
        <v>20220922</v>
      </c>
      <c r="I1349" s="1" t="str">
        <f>"060722"</f>
        <v>060722</v>
      </c>
      <c r="J1349" s="1" t="s">
        <v>75</v>
      </c>
      <c r="K1349" s="1" t="s">
        <v>45</v>
      </c>
      <c r="L1349" s="1" t="str">
        <f t="shared" si="193"/>
        <v>20220922</v>
      </c>
      <c r="M1349" s="1" t="str">
        <f>"061821"</f>
        <v>061821</v>
      </c>
      <c r="N1349" s="1" t="s">
        <v>28</v>
      </c>
      <c r="O1349" s="1" t="s">
        <v>28</v>
      </c>
      <c r="P1349" s="1" t="s">
        <v>55</v>
      </c>
      <c r="Q1349" s="1">
        <v>25</v>
      </c>
      <c r="R1349" s="1">
        <v>25</v>
      </c>
      <c r="S1349" s="1">
        <v>0</v>
      </c>
      <c r="T1349" s="1">
        <v>0</v>
      </c>
      <c r="U1349" s="1">
        <v>0</v>
      </c>
      <c r="V1349" s="1" t="str">
        <f t="shared" si="195"/>
        <v>里程返程</v>
      </c>
      <c r="W1349" s="1" t="s">
        <v>35</v>
      </c>
    </row>
    <row r="1350" spans="1:23" x14ac:dyDescent="0.3">
      <c r="A1350" s="1" t="str">
        <f t="shared" si="196"/>
        <v>59820</v>
      </c>
      <c r="B1350" s="1" t="s">
        <v>53</v>
      </c>
      <c r="C1350" s="1" t="s">
        <v>54</v>
      </c>
      <c r="D1350" s="1" t="str">
        <f t="shared" si="194"/>
        <v>9801</v>
      </c>
      <c r="E1350" s="1" t="s">
        <v>25</v>
      </c>
      <c r="F1350" s="1" t="str">
        <f>"1759959808"</f>
        <v>1759959808</v>
      </c>
      <c r="G1350" s="1" t="s">
        <v>33</v>
      </c>
      <c r="H1350" s="1" t="str">
        <f t="shared" si="192"/>
        <v>20220922</v>
      </c>
      <c r="I1350" s="1" t="str">
        <f>"074210"</f>
        <v>074210</v>
      </c>
      <c r="J1350" s="1" t="s">
        <v>80</v>
      </c>
      <c r="K1350" s="1" t="s">
        <v>52</v>
      </c>
      <c r="L1350" s="1" t="str">
        <f t="shared" si="193"/>
        <v>20220922</v>
      </c>
      <c r="M1350" s="1" t="str">
        <f>"075326"</f>
        <v>075326</v>
      </c>
      <c r="N1350" s="1" t="s">
        <v>60</v>
      </c>
      <c r="O1350" s="1" t="s">
        <v>52</v>
      </c>
      <c r="P1350" s="1" t="s">
        <v>55</v>
      </c>
      <c r="Q1350" s="1">
        <v>25</v>
      </c>
      <c r="R1350" s="1">
        <v>25</v>
      </c>
      <c r="S1350" s="1">
        <v>0</v>
      </c>
      <c r="T1350" s="1">
        <v>0</v>
      </c>
      <c r="U1350" s="1">
        <v>0</v>
      </c>
      <c r="V1350" s="1" t="str">
        <f t="shared" si="195"/>
        <v>里程返程</v>
      </c>
      <c r="W1350" s="1" t="s">
        <v>35</v>
      </c>
    </row>
    <row r="1351" spans="1:23" x14ac:dyDescent="0.3">
      <c r="A1351" s="1" t="str">
        <f t="shared" si="196"/>
        <v>59820</v>
      </c>
      <c r="B1351" s="1" t="s">
        <v>53</v>
      </c>
      <c r="C1351" s="1" t="s">
        <v>54</v>
      </c>
      <c r="D1351" s="1" t="str">
        <f t="shared" si="194"/>
        <v>9801</v>
      </c>
      <c r="E1351" s="1" t="s">
        <v>25</v>
      </c>
      <c r="F1351" s="1" t="str">
        <f>"82D5FB02AE880400C834002000000015"</f>
        <v>82D5FB02AE880400C834002000000015</v>
      </c>
      <c r="G1351" s="1" t="s">
        <v>26</v>
      </c>
      <c r="H1351" s="1" t="str">
        <f t="shared" si="192"/>
        <v>20220922</v>
      </c>
      <c r="I1351" s="1" t="str">
        <f>"075054"</f>
        <v>075054</v>
      </c>
      <c r="J1351" s="1" t="s">
        <v>51</v>
      </c>
      <c r="K1351" s="1" t="s">
        <v>52</v>
      </c>
      <c r="L1351" s="1" t="str">
        <f t="shared" si="193"/>
        <v>20220922</v>
      </c>
      <c r="M1351" s="1" t="str">
        <f>"075557"</f>
        <v>075557</v>
      </c>
      <c r="N1351" s="1" t="s">
        <v>86</v>
      </c>
      <c r="O1351" s="1" t="s">
        <v>52</v>
      </c>
      <c r="P1351" s="1" t="s">
        <v>68</v>
      </c>
      <c r="Q1351" s="1">
        <v>13</v>
      </c>
      <c r="R1351" s="1">
        <v>0</v>
      </c>
      <c r="S1351" s="1">
        <v>0</v>
      </c>
      <c r="T1351" s="1">
        <v>13</v>
      </c>
      <c r="U1351" s="1">
        <v>0</v>
      </c>
      <c r="V1351" s="1" t="str">
        <f t="shared" si="195"/>
        <v>里程返程</v>
      </c>
      <c r="W1351" s="1" t="s">
        <v>29</v>
      </c>
    </row>
    <row r="1352" spans="1:23" x14ac:dyDescent="0.3">
      <c r="A1352" s="1" t="str">
        <f t="shared" si="196"/>
        <v>59820</v>
      </c>
      <c r="B1352" s="1" t="s">
        <v>53</v>
      </c>
      <c r="C1352" s="1" t="s">
        <v>54</v>
      </c>
      <c r="D1352" s="1" t="str">
        <f t="shared" si="194"/>
        <v>9801</v>
      </c>
      <c r="E1352" s="1" t="s">
        <v>25</v>
      </c>
      <c r="F1352" s="1" t="str">
        <f>"7220461206880400C824002000000018"</f>
        <v>7220461206880400C824002000000018</v>
      </c>
      <c r="G1352" s="1" t="s">
        <v>58</v>
      </c>
      <c r="H1352" s="1" t="str">
        <f t="shared" si="192"/>
        <v>20220922</v>
      </c>
      <c r="I1352" s="1" t="str">
        <f>"125434"</f>
        <v>125434</v>
      </c>
      <c r="J1352" s="1" t="s">
        <v>28</v>
      </c>
      <c r="K1352" s="1" t="s">
        <v>28</v>
      </c>
      <c r="L1352" s="1" t="str">
        <f t="shared" si="193"/>
        <v>20220922</v>
      </c>
      <c r="M1352" s="1" t="str">
        <f>"132217"</f>
        <v>132217</v>
      </c>
      <c r="N1352" s="1" t="s">
        <v>52</v>
      </c>
      <c r="O1352" s="1" t="s">
        <v>52</v>
      </c>
      <c r="P1352" s="1" t="s">
        <v>55</v>
      </c>
      <c r="Q1352" s="1">
        <v>25</v>
      </c>
      <c r="R1352" s="1">
        <v>25</v>
      </c>
      <c r="S1352" s="1">
        <v>0</v>
      </c>
      <c r="T1352" s="1">
        <v>0</v>
      </c>
      <c r="U1352" s="1">
        <v>0</v>
      </c>
      <c r="V1352" s="1" t="str">
        <f t="shared" si="195"/>
        <v>里程返程</v>
      </c>
      <c r="W1352" s="1" t="s">
        <v>29</v>
      </c>
    </row>
    <row r="1353" spans="1:23" x14ac:dyDescent="0.3">
      <c r="A1353" s="1" t="str">
        <f t="shared" si="196"/>
        <v>59820</v>
      </c>
      <c r="B1353" s="1" t="s">
        <v>53</v>
      </c>
      <c r="C1353" s="1" t="s">
        <v>54</v>
      </c>
      <c r="D1353" s="1" t="str">
        <f t="shared" si="194"/>
        <v>9801</v>
      </c>
      <c r="E1353" s="1" t="s">
        <v>25</v>
      </c>
      <c r="F1353" s="1" t="str">
        <f>"E220D10211880400C834002000000015"</f>
        <v>E220D10211880400C834002000000015</v>
      </c>
      <c r="G1353" s="1" t="s">
        <v>74</v>
      </c>
      <c r="H1353" s="1" t="str">
        <f t="shared" si="192"/>
        <v>20220922</v>
      </c>
      <c r="I1353" s="1" t="str">
        <f>"131021"</f>
        <v>131021</v>
      </c>
      <c r="J1353" s="1" t="s">
        <v>97</v>
      </c>
      <c r="K1353" s="1" t="s">
        <v>52</v>
      </c>
      <c r="L1353" s="1" t="str">
        <f t="shared" si="193"/>
        <v>20220922</v>
      </c>
      <c r="M1353" s="1" t="str">
        <f>"131230"</f>
        <v>131230</v>
      </c>
      <c r="N1353" s="1" t="s">
        <v>65</v>
      </c>
      <c r="O1353" s="1" t="s">
        <v>52</v>
      </c>
      <c r="P1353" s="1" t="s">
        <v>68</v>
      </c>
      <c r="Q1353" s="1">
        <v>13</v>
      </c>
      <c r="R1353" s="1">
        <v>0</v>
      </c>
      <c r="S1353" s="1">
        <v>0</v>
      </c>
      <c r="T1353" s="1">
        <v>13</v>
      </c>
      <c r="U1353" s="1">
        <v>0</v>
      </c>
      <c r="V1353" s="1" t="str">
        <f t="shared" si="195"/>
        <v>里程返程</v>
      </c>
      <c r="W1353" s="1" t="s">
        <v>29</v>
      </c>
    </row>
    <row r="1354" spans="1:23" x14ac:dyDescent="0.3">
      <c r="A1354" s="1" t="str">
        <f t="shared" si="196"/>
        <v>59820</v>
      </c>
      <c r="B1354" s="1" t="s">
        <v>53</v>
      </c>
      <c r="C1354" s="1" t="s">
        <v>54</v>
      </c>
      <c r="D1354" s="1" t="str">
        <f t="shared" si="194"/>
        <v>9801</v>
      </c>
      <c r="E1354" s="1" t="s">
        <v>25</v>
      </c>
      <c r="F1354" s="1" t="str">
        <f>"42720D033E880400C834002000000015"</f>
        <v>42720D033E880400C834002000000015</v>
      </c>
      <c r="G1354" s="1" t="s">
        <v>26</v>
      </c>
      <c r="H1354" s="1" t="str">
        <f t="shared" si="192"/>
        <v>20220922</v>
      </c>
      <c r="I1354" s="1" t="str">
        <f>"142437"</f>
        <v>142437</v>
      </c>
      <c r="J1354" s="1" t="s">
        <v>44</v>
      </c>
      <c r="K1354" s="1" t="s">
        <v>45</v>
      </c>
      <c r="L1354" s="1" t="str">
        <f t="shared" si="193"/>
        <v>20220922</v>
      </c>
      <c r="M1354" s="1" t="str">
        <f>"144931"</f>
        <v>144931</v>
      </c>
      <c r="N1354" s="1" t="s">
        <v>85</v>
      </c>
      <c r="O1354" s="1" t="s">
        <v>28</v>
      </c>
      <c r="P1354" s="1" t="s">
        <v>68</v>
      </c>
      <c r="Q1354" s="1">
        <v>13</v>
      </c>
      <c r="R1354" s="1">
        <v>0</v>
      </c>
      <c r="S1354" s="1">
        <v>0</v>
      </c>
      <c r="T1354" s="1">
        <v>13</v>
      </c>
      <c r="U1354" s="1">
        <v>0</v>
      </c>
      <c r="V1354" s="1" t="str">
        <f t="shared" si="195"/>
        <v>里程返程</v>
      </c>
      <c r="W1354" s="1" t="s">
        <v>29</v>
      </c>
    </row>
    <row r="1355" spans="1:23" x14ac:dyDescent="0.3">
      <c r="A1355" s="1" t="str">
        <f t="shared" si="196"/>
        <v>59820</v>
      </c>
      <c r="B1355" s="1" t="s">
        <v>53</v>
      </c>
      <c r="C1355" s="1" t="s">
        <v>54</v>
      </c>
      <c r="D1355" s="1" t="str">
        <f t="shared" si="194"/>
        <v>9801</v>
      </c>
      <c r="E1355" s="1" t="s">
        <v>25</v>
      </c>
      <c r="F1355" s="1" t="str">
        <f>"32780D0344880400C834002000000015"</f>
        <v>32780D0344880400C834002000000015</v>
      </c>
      <c r="G1355" s="1" t="s">
        <v>26</v>
      </c>
      <c r="H1355" s="1" t="str">
        <f t="shared" si="192"/>
        <v>20220922</v>
      </c>
      <c r="I1355" s="1" t="str">
        <f>"142442"</f>
        <v>142442</v>
      </c>
      <c r="J1355" s="1" t="s">
        <v>44</v>
      </c>
      <c r="K1355" s="1" t="s">
        <v>45</v>
      </c>
      <c r="L1355" s="1" t="str">
        <f t="shared" si="193"/>
        <v>20220922</v>
      </c>
      <c r="M1355" s="1" t="str">
        <f>"145030"</f>
        <v>145030</v>
      </c>
      <c r="N1355" s="1" t="s">
        <v>84</v>
      </c>
      <c r="O1355" s="1" t="s">
        <v>28</v>
      </c>
      <c r="P1355" s="1" t="s">
        <v>68</v>
      </c>
      <c r="Q1355" s="1">
        <v>13</v>
      </c>
      <c r="R1355" s="1">
        <v>0</v>
      </c>
      <c r="S1355" s="1">
        <v>0</v>
      </c>
      <c r="T1355" s="1">
        <v>13</v>
      </c>
      <c r="U1355" s="1">
        <v>0</v>
      </c>
      <c r="V1355" s="1" t="str">
        <f t="shared" si="195"/>
        <v>里程返程</v>
      </c>
      <c r="W1355" s="1" t="s">
        <v>29</v>
      </c>
    </row>
    <row r="1356" spans="1:23" x14ac:dyDescent="0.3">
      <c r="A1356" s="1" t="str">
        <f t="shared" si="196"/>
        <v>59820</v>
      </c>
      <c r="B1356" s="1" t="s">
        <v>53</v>
      </c>
      <c r="C1356" s="1" t="s">
        <v>54</v>
      </c>
      <c r="D1356" s="1" t="str">
        <f t="shared" si="194"/>
        <v>9801</v>
      </c>
      <c r="E1356" s="1" t="s">
        <v>25</v>
      </c>
      <c r="F1356" s="1" t="str">
        <f>"D22FBD0242880400C834002000000015"</f>
        <v>D22FBD0242880400C834002000000015</v>
      </c>
      <c r="G1356" s="1" t="s">
        <v>26</v>
      </c>
      <c r="H1356" s="1" t="str">
        <f t="shared" si="192"/>
        <v>20220922</v>
      </c>
      <c r="I1356" s="1" t="str">
        <f>"155233"</f>
        <v>155233</v>
      </c>
      <c r="J1356" s="1" t="s">
        <v>28</v>
      </c>
      <c r="K1356" s="1" t="s">
        <v>28</v>
      </c>
      <c r="L1356" s="1" t="str">
        <f t="shared" si="193"/>
        <v>20220922</v>
      </c>
      <c r="M1356" s="1" t="str">
        <f>"162155"</f>
        <v>162155</v>
      </c>
      <c r="N1356" s="1" t="s">
        <v>60</v>
      </c>
      <c r="O1356" s="1" t="s">
        <v>52</v>
      </c>
      <c r="P1356" s="1" t="s">
        <v>68</v>
      </c>
      <c r="Q1356" s="1">
        <v>13</v>
      </c>
      <c r="R1356" s="1">
        <v>0</v>
      </c>
      <c r="S1356" s="1">
        <v>0</v>
      </c>
      <c r="T1356" s="1">
        <v>13</v>
      </c>
      <c r="U1356" s="1">
        <v>0</v>
      </c>
      <c r="V1356" s="1" t="str">
        <f t="shared" si="195"/>
        <v>里程返程</v>
      </c>
      <c r="W1356" s="1" t="s">
        <v>29</v>
      </c>
    </row>
    <row r="1357" spans="1:23" x14ac:dyDescent="0.3">
      <c r="A1357" s="1" t="str">
        <f t="shared" si="196"/>
        <v>59820</v>
      </c>
      <c r="B1357" s="1" t="s">
        <v>53</v>
      </c>
      <c r="C1357" s="1" t="s">
        <v>54</v>
      </c>
      <c r="D1357" s="1" t="str">
        <f t="shared" si="194"/>
        <v>9801</v>
      </c>
      <c r="E1357" s="1" t="s">
        <v>25</v>
      </c>
      <c r="F1357" s="1" t="str">
        <f>"C596BF09E5180200D200000C22400417"</f>
        <v>C596BF09E5180200D200000C22400417</v>
      </c>
      <c r="G1357" s="1" t="s">
        <v>58</v>
      </c>
      <c r="H1357" s="1" t="str">
        <f t="shared" si="192"/>
        <v>20220922</v>
      </c>
      <c r="I1357" s="1" t="str">
        <f>"155247"</f>
        <v>155247</v>
      </c>
      <c r="J1357" s="1" t="s">
        <v>28</v>
      </c>
      <c r="K1357" s="1" t="s">
        <v>28</v>
      </c>
      <c r="L1357" s="1" t="str">
        <f t="shared" si="193"/>
        <v>20220922</v>
      </c>
      <c r="M1357" s="1" t="str">
        <f>"161629"</f>
        <v>161629</v>
      </c>
      <c r="N1357" s="1" t="s">
        <v>65</v>
      </c>
      <c r="O1357" s="1" t="s">
        <v>52</v>
      </c>
      <c r="P1357" s="1" t="s">
        <v>55</v>
      </c>
      <c r="Q1357" s="1">
        <v>25</v>
      </c>
      <c r="R1357" s="1">
        <v>25</v>
      </c>
      <c r="S1357" s="1">
        <v>0</v>
      </c>
      <c r="T1357" s="1">
        <v>0</v>
      </c>
      <c r="U1357" s="1">
        <v>0</v>
      </c>
      <c r="V1357" s="1" t="str">
        <f t="shared" si="195"/>
        <v>里程返程</v>
      </c>
      <c r="W1357" s="1" t="s">
        <v>29</v>
      </c>
    </row>
    <row r="1358" spans="1:23" x14ac:dyDescent="0.3">
      <c r="A1358" s="1" t="str">
        <f t="shared" ref="A1358:A1379" si="197">"59829"</f>
        <v>59829</v>
      </c>
      <c r="B1358" s="1" t="s">
        <v>47</v>
      </c>
      <c r="C1358" s="1" t="s">
        <v>48</v>
      </c>
      <c r="D1358" s="1" t="str">
        <f t="shared" si="194"/>
        <v>9801</v>
      </c>
      <c r="E1358" s="1" t="s">
        <v>25</v>
      </c>
      <c r="F1358" s="1" t="str">
        <f>"276899471"</f>
        <v>276899471</v>
      </c>
      <c r="G1358" s="1" t="s">
        <v>33</v>
      </c>
      <c r="H1358" s="1" t="str">
        <f t="shared" si="192"/>
        <v>20220922</v>
      </c>
      <c r="I1358" s="1" t="str">
        <f>"083943"</f>
        <v>083943</v>
      </c>
      <c r="J1358" s="1" t="s">
        <v>56</v>
      </c>
      <c r="K1358" s="1" t="s">
        <v>45</v>
      </c>
      <c r="L1358" s="1" t="str">
        <f t="shared" si="193"/>
        <v>20220922</v>
      </c>
      <c r="M1358" s="1" t="str">
        <f>"085117"</f>
        <v>085117</v>
      </c>
      <c r="N1358" s="1" t="s">
        <v>28</v>
      </c>
      <c r="O1358" s="1" t="s">
        <v>28</v>
      </c>
      <c r="P1358" s="1" t="s">
        <v>55</v>
      </c>
      <c r="Q1358" s="1">
        <v>25</v>
      </c>
      <c r="R1358" s="1">
        <v>25</v>
      </c>
      <c r="S1358" s="1">
        <v>0</v>
      </c>
      <c r="T1358" s="1">
        <v>0</v>
      </c>
      <c r="U1358" s="1">
        <v>0</v>
      </c>
      <c r="V1358" s="1" t="str">
        <f t="shared" si="195"/>
        <v>里程返程</v>
      </c>
      <c r="W1358" s="1" t="s">
        <v>35</v>
      </c>
    </row>
    <row r="1359" spans="1:23" x14ac:dyDescent="0.3">
      <c r="A1359" s="1" t="str">
        <f t="shared" si="197"/>
        <v>59829</v>
      </c>
      <c r="B1359" s="1" t="s">
        <v>47</v>
      </c>
      <c r="C1359" s="1" t="s">
        <v>48</v>
      </c>
      <c r="D1359" s="1" t="str">
        <f t="shared" si="194"/>
        <v>9801</v>
      </c>
      <c r="E1359" s="1" t="s">
        <v>25</v>
      </c>
      <c r="F1359" s="1" t="str">
        <f>"647863665"</f>
        <v>647863665</v>
      </c>
      <c r="G1359" s="1" t="s">
        <v>33</v>
      </c>
      <c r="H1359" s="1" t="str">
        <f t="shared" si="192"/>
        <v>20220922</v>
      </c>
      <c r="I1359" s="1" t="str">
        <f>"083945"</f>
        <v>083945</v>
      </c>
      <c r="J1359" s="1" t="s">
        <v>56</v>
      </c>
      <c r="K1359" s="1" t="s">
        <v>45</v>
      </c>
      <c r="L1359" s="1" t="str">
        <f t="shared" si="193"/>
        <v>20220922</v>
      </c>
      <c r="M1359" s="1" t="str">
        <f>"085113"</f>
        <v>085113</v>
      </c>
      <c r="N1359" s="1" t="s">
        <v>28</v>
      </c>
      <c r="O1359" s="1" t="s">
        <v>28</v>
      </c>
      <c r="P1359" s="1" t="s">
        <v>55</v>
      </c>
      <c r="Q1359" s="1">
        <v>25</v>
      </c>
      <c r="R1359" s="1">
        <v>25</v>
      </c>
      <c r="S1359" s="1">
        <v>0</v>
      </c>
      <c r="T1359" s="1">
        <v>0</v>
      </c>
      <c r="U1359" s="1">
        <v>0</v>
      </c>
      <c r="V1359" s="1" t="str">
        <f t="shared" si="195"/>
        <v>里程返程</v>
      </c>
      <c r="W1359" s="1" t="s">
        <v>35</v>
      </c>
    </row>
    <row r="1360" spans="1:23" x14ac:dyDescent="0.3">
      <c r="A1360" s="1" t="str">
        <f t="shared" si="197"/>
        <v>59829</v>
      </c>
      <c r="B1360" s="1" t="s">
        <v>47</v>
      </c>
      <c r="C1360" s="1" t="s">
        <v>48</v>
      </c>
      <c r="D1360" s="1" t="str">
        <f t="shared" si="194"/>
        <v>9801</v>
      </c>
      <c r="E1360" s="1" t="s">
        <v>25</v>
      </c>
      <c r="F1360" s="1" t="str">
        <f>"108515121"</f>
        <v>108515121</v>
      </c>
      <c r="G1360" s="1" t="s">
        <v>33</v>
      </c>
      <c r="H1360" s="1" t="str">
        <f t="shared" si="192"/>
        <v>20220922</v>
      </c>
      <c r="I1360" s="1" t="str">
        <f>"083948"</f>
        <v>083948</v>
      </c>
      <c r="J1360" s="1" t="s">
        <v>56</v>
      </c>
      <c r="K1360" s="1" t="s">
        <v>45</v>
      </c>
      <c r="L1360" s="1" t="str">
        <f t="shared" si="193"/>
        <v>20220922</v>
      </c>
      <c r="M1360" s="1" t="str">
        <f>"085115"</f>
        <v>085115</v>
      </c>
      <c r="N1360" s="1" t="s">
        <v>28</v>
      </c>
      <c r="O1360" s="1" t="s">
        <v>28</v>
      </c>
      <c r="P1360" s="1" t="s">
        <v>55</v>
      </c>
      <c r="Q1360" s="1">
        <v>25</v>
      </c>
      <c r="R1360" s="1">
        <v>25</v>
      </c>
      <c r="S1360" s="1">
        <v>0</v>
      </c>
      <c r="T1360" s="1">
        <v>0</v>
      </c>
      <c r="U1360" s="1">
        <v>0</v>
      </c>
      <c r="V1360" s="1" t="str">
        <f t="shared" si="195"/>
        <v>里程返程</v>
      </c>
      <c r="W1360" s="1" t="s">
        <v>35</v>
      </c>
    </row>
    <row r="1361" spans="1:23" x14ac:dyDescent="0.3">
      <c r="A1361" s="1" t="str">
        <f t="shared" si="197"/>
        <v>59829</v>
      </c>
      <c r="B1361" s="1" t="s">
        <v>47</v>
      </c>
      <c r="C1361" s="1" t="s">
        <v>48</v>
      </c>
      <c r="D1361" s="1" t="str">
        <f t="shared" si="194"/>
        <v>9801</v>
      </c>
      <c r="E1361" s="1" t="s">
        <v>25</v>
      </c>
      <c r="F1361" s="1" t="str">
        <f>"1725435766"</f>
        <v>1725435766</v>
      </c>
      <c r="G1361" s="1" t="s">
        <v>26</v>
      </c>
      <c r="H1361" s="1" t="str">
        <f t="shared" si="192"/>
        <v>20220922</v>
      </c>
      <c r="I1361" s="1" t="str">
        <f>"090448"</f>
        <v>090448</v>
      </c>
      <c r="J1361" s="1" t="s">
        <v>69</v>
      </c>
      <c r="K1361" s="1" t="s">
        <v>52</v>
      </c>
      <c r="L1361" s="1" t="str">
        <f t="shared" si="193"/>
        <v>20220922</v>
      </c>
      <c r="M1361" s="1" t="str">
        <f>"091533"</f>
        <v>091533</v>
      </c>
      <c r="N1361" s="1" t="s">
        <v>51</v>
      </c>
      <c r="O1361" s="1" t="s">
        <v>52</v>
      </c>
      <c r="P1361" s="1" t="s">
        <v>55</v>
      </c>
      <c r="Q1361" s="1">
        <v>13</v>
      </c>
      <c r="R1361" s="1">
        <v>13</v>
      </c>
      <c r="S1361" s="1">
        <v>0</v>
      </c>
      <c r="T1361" s="1">
        <v>0</v>
      </c>
      <c r="U1361" s="1">
        <v>0</v>
      </c>
      <c r="V1361" s="1" t="str">
        <f t="shared" si="195"/>
        <v>里程返程</v>
      </c>
      <c r="W1361" s="1" t="s">
        <v>35</v>
      </c>
    </row>
    <row r="1362" spans="1:23" x14ac:dyDescent="0.3">
      <c r="A1362" s="1" t="str">
        <f t="shared" si="197"/>
        <v>59829</v>
      </c>
      <c r="B1362" s="1" t="s">
        <v>47</v>
      </c>
      <c r="C1362" s="1" t="s">
        <v>48</v>
      </c>
      <c r="D1362" s="1" t="str">
        <f t="shared" si="194"/>
        <v>9801</v>
      </c>
      <c r="E1362" s="1" t="s">
        <v>25</v>
      </c>
      <c r="F1362" s="1" t="str">
        <f>"1319934977"</f>
        <v>1319934977</v>
      </c>
      <c r="G1362" s="1" t="s">
        <v>33</v>
      </c>
      <c r="H1362" s="1" t="str">
        <f t="shared" si="192"/>
        <v>20220922</v>
      </c>
      <c r="I1362" s="1" t="str">
        <f>"093533"</f>
        <v>093533</v>
      </c>
      <c r="J1362" s="1" t="s">
        <v>100</v>
      </c>
      <c r="K1362" s="1" t="s">
        <v>45</v>
      </c>
      <c r="L1362" s="1" t="str">
        <f t="shared" si="193"/>
        <v>20220922</v>
      </c>
      <c r="M1362" s="1" t="str">
        <f>"095314"</f>
        <v>095314</v>
      </c>
      <c r="N1362" s="1" t="s">
        <v>28</v>
      </c>
      <c r="O1362" s="1" t="s">
        <v>28</v>
      </c>
      <c r="P1362" s="1" t="s">
        <v>55</v>
      </c>
      <c r="Q1362" s="1">
        <v>25</v>
      </c>
      <c r="R1362" s="1">
        <v>25</v>
      </c>
      <c r="S1362" s="1">
        <v>0</v>
      </c>
      <c r="T1362" s="1">
        <v>0</v>
      </c>
      <c r="U1362" s="1">
        <v>0</v>
      </c>
      <c r="V1362" s="1" t="str">
        <f t="shared" si="195"/>
        <v>里程返程</v>
      </c>
      <c r="W1362" s="1" t="s">
        <v>35</v>
      </c>
    </row>
    <row r="1363" spans="1:23" x14ac:dyDescent="0.3">
      <c r="A1363" s="1" t="str">
        <f t="shared" si="197"/>
        <v>59829</v>
      </c>
      <c r="B1363" s="1" t="s">
        <v>47</v>
      </c>
      <c r="C1363" s="1" t="s">
        <v>48</v>
      </c>
      <c r="D1363" s="1" t="str">
        <f t="shared" si="194"/>
        <v>9801</v>
      </c>
      <c r="E1363" s="1" t="s">
        <v>25</v>
      </c>
      <c r="F1363" s="1" t="str">
        <f>"3756075971"</f>
        <v>3756075971</v>
      </c>
      <c r="G1363" s="1" t="s">
        <v>33</v>
      </c>
      <c r="H1363" s="1" t="str">
        <f t="shared" si="192"/>
        <v>20220922</v>
      </c>
      <c r="I1363" s="1" t="str">
        <f>"094034"</f>
        <v>094034</v>
      </c>
      <c r="J1363" s="1" t="s">
        <v>75</v>
      </c>
      <c r="K1363" s="1" t="s">
        <v>45</v>
      </c>
      <c r="L1363" s="1" t="str">
        <f t="shared" si="193"/>
        <v>20220922</v>
      </c>
      <c r="M1363" s="1" t="str">
        <f>"095243"</f>
        <v>095243</v>
      </c>
      <c r="N1363" s="1" t="s">
        <v>28</v>
      </c>
      <c r="O1363" s="1" t="s">
        <v>28</v>
      </c>
      <c r="P1363" s="1" t="s">
        <v>55</v>
      </c>
      <c r="Q1363" s="1">
        <v>25</v>
      </c>
      <c r="R1363" s="1">
        <v>25</v>
      </c>
      <c r="S1363" s="1">
        <v>0</v>
      </c>
      <c r="T1363" s="1">
        <v>0</v>
      </c>
      <c r="U1363" s="1">
        <v>0</v>
      </c>
      <c r="V1363" s="1" t="str">
        <f t="shared" si="195"/>
        <v>里程返程</v>
      </c>
      <c r="W1363" s="1" t="s">
        <v>35</v>
      </c>
    </row>
    <row r="1364" spans="1:23" x14ac:dyDescent="0.3">
      <c r="A1364" s="1" t="str">
        <f t="shared" si="197"/>
        <v>59829</v>
      </c>
      <c r="B1364" s="1" t="s">
        <v>47</v>
      </c>
      <c r="C1364" s="1" t="s">
        <v>48</v>
      </c>
      <c r="D1364" s="1" t="str">
        <f t="shared" si="194"/>
        <v>9801</v>
      </c>
      <c r="E1364" s="1" t="s">
        <v>25</v>
      </c>
      <c r="F1364" s="1" t="str">
        <f>"349628417"</f>
        <v>349628417</v>
      </c>
      <c r="G1364" s="1" t="s">
        <v>33</v>
      </c>
      <c r="H1364" s="1" t="str">
        <f t="shared" si="192"/>
        <v>20220922</v>
      </c>
      <c r="I1364" s="1" t="str">
        <f>"095421"</f>
        <v>095421</v>
      </c>
      <c r="J1364" s="1" t="s">
        <v>28</v>
      </c>
      <c r="K1364" s="1" t="s">
        <v>28</v>
      </c>
      <c r="L1364" s="1" t="str">
        <f t="shared" si="193"/>
        <v>20220922</v>
      </c>
      <c r="M1364" s="1" t="str">
        <f>"102422"</f>
        <v>102422</v>
      </c>
      <c r="N1364" s="1" t="s">
        <v>52</v>
      </c>
      <c r="O1364" s="1" t="s">
        <v>52</v>
      </c>
      <c r="P1364" s="1" t="s">
        <v>55</v>
      </c>
      <c r="Q1364" s="1">
        <v>25</v>
      </c>
      <c r="R1364" s="1">
        <v>25</v>
      </c>
      <c r="S1364" s="1">
        <v>0</v>
      </c>
      <c r="T1364" s="1">
        <v>0</v>
      </c>
      <c r="U1364" s="1">
        <v>0</v>
      </c>
      <c r="V1364" s="1" t="str">
        <f t="shared" si="195"/>
        <v>里程返程</v>
      </c>
      <c r="W1364" s="1" t="s">
        <v>35</v>
      </c>
    </row>
    <row r="1365" spans="1:23" x14ac:dyDescent="0.3">
      <c r="A1365" s="1" t="str">
        <f t="shared" si="197"/>
        <v>59829</v>
      </c>
      <c r="B1365" s="1" t="s">
        <v>47</v>
      </c>
      <c r="C1365" s="1" t="s">
        <v>48</v>
      </c>
      <c r="D1365" s="1" t="str">
        <f t="shared" si="194"/>
        <v>9801</v>
      </c>
      <c r="E1365" s="1" t="s">
        <v>25</v>
      </c>
      <c r="F1365" s="1" t="str">
        <f>"7111170138007184"</f>
        <v>7111170138007184</v>
      </c>
      <c r="G1365" s="1" t="s">
        <v>33</v>
      </c>
      <c r="H1365" s="1" t="str">
        <f t="shared" si="192"/>
        <v>20220922</v>
      </c>
      <c r="I1365" s="1" t="str">
        <f>"115821"</f>
        <v>115821</v>
      </c>
      <c r="J1365" s="1" t="s">
        <v>28</v>
      </c>
      <c r="K1365" s="1" t="s">
        <v>28</v>
      </c>
      <c r="L1365" s="1" t="str">
        <f t="shared" si="193"/>
        <v>20220922</v>
      </c>
      <c r="M1365" s="1" t="str">
        <f>"123016"</f>
        <v>123016</v>
      </c>
      <c r="N1365" s="1" t="s">
        <v>52</v>
      </c>
      <c r="O1365" s="1" t="s">
        <v>52</v>
      </c>
      <c r="P1365" s="1" t="s">
        <v>55</v>
      </c>
      <c r="Q1365" s="1">
        <v>25</v>
      </c>
      <c r="R1365" s="1">
        <v>0</v>
      </c>
      <c r="S1365" s="1">
        <v>25</v>
      </c>
      <c r="T1365" s="1">
        <v>0</v>
      </c>
      <c r="U1365" s="1">
        <v>0</v>
      </c>
      <c r="V1365" s="1" t="str">
        <f t="shared" si="195"/>
        <v>里程返程</v>
      </c>
      <c r="W1365" s="1" t="s">
        <v>109</v>
      </c>
    </row>
    <row r="1366" spans="1:23" x14ac:dyDescent="0.3">
      <c r="A1366" s="1" t="str">
        <f t="shared" si="197"/>
        <v>59829</v>
      </c>
      <c r="B1366" s="1" t="s">
        <v>47</v>
      </c>
      <c r="C1366" s="1" t="s">
        <v>48</v>
      </c>
      <c r="D1366" s="1" t="str">
        <f t="shared" si="194"/>
        <v>9801</v>
      </c>
      <c r="E1366" s="1" t="s">
        <v>25</v>
      </c>
      <c r="F1366" s="1" t="str">
        <f>"7111170696000327"</f>
        <v>7111170696000327</v>
      </c>
      <c r="G1366" s="1" t="s">
        <v>33</v>
      </c>
      <c r="H1366" s="1" t="str">
        <f t="shared" si="192"/>
        <v>20220922</v>
      </c>
      <c r="I1366" s="1" t="str">
        <f>"115823"</f>
        <v>115823</v>
      </c>
      <c r="J1366" s="1" t="s">
        <v>28</v>
      </c>
      <c r="K1366" s="1" t="s">
        <v>28</v>
      </c>
      <c r="L1366" s="1" t="str">
        <f t="shared" si="193"/>
        <v>20220922</v>
      </c>
      <c r="M1366" s="1" t="str">
        <f>"123019"</f>
        <v>123019</v>
      </c>
      <c r="N1366" s="1" t="s">
        <v>52</v>
      </c>
      <c r="O1366" s="1" t="s">
        <v>52</v>
      </c>
      <c r="P1366" s="1" t="s">
        <v>55</v>
      </c>
      <c r="Q1366" s="1">
        <v>25</v>
      </c>
      <c r="R1366" s="1">
        <v>0</v>
      </c>
      <c r="S1366" s="1">
        <v>25</v>
      </c>
      <c r="T1366" s="1">
        <v>0</v>
      </c>
      <c r="U1366" s="1">
        <v>0</v>
      </c>
      <c r="V1366" s="1" t="str">
        <f t="shared" si="195"/>
        <v>里程返程</v>
      </c>
      <c r="W1366" s="1" t="s">
        <v>109</v>
      </c>
    </row>
    <row r="1367" spans="1:23" x14ac:dyDescent="0.3">
      <c r="A1367" s="1" t="str">
        <f t="shared" si="197"/>
        <v>59829</v>
      </c>
      <c r="B1367" s="1" t="s">
        <v>47</v>
      </c>
      <c r="C1367" s="1" t="s">
        <v>48</v>
      </c>
      <c r="D1367" s="1" t="str">
        <f t="shared" si="194"/>
        <v>9801</v>
      </c>
      <c r="E1367" s="1" t="s">
        <v>25</v>
      </c>
      <c r="F1367" s="1" t="str">
        <f>"1203970901"</f>
        <v>1203970901</v>
      </c>
      <c r="G1367" s="1" t="s">
        <v>38</v>
      </c>
      <c r="H1367" s="1" t="str">
        <f t="shared" si="192"/>
        <v>20220922</v>
      </c>
      <c r="I1367" s="1" t="str">
        <f>"115832"</f>
        <v>115832</v>
      </c>
      <c r="J1367" s="1" t="s">
        <v>28</v>
      </c>
      <c r="K1367" s="1" t="s">
        <v>28</v>
      </c>
      <c r="L1367" s="1" t="str">
        <f t="shared" si="193"/>
        <v>20220922</v>
      </c>
      <c r="M1367" s="1" t="str">
        <f>"123022"</f>
        <v>123022</v>
      </c>
      <c r="N1367" s="1" t="s">
        <v>52</v>
      </c>
      <c r="O1367" s="1" t="s">
        <v>52</v>
      </c>
      <c r="P1367" s="1" t="s">
        <v>55</v>
      </c>
      <c r="Q1367" s="1">
        <v>25</v>
      </c>
      <c r="R1367" s="1">
        <v>0</v>
      </c>
      <c r="S1367" s="1">
        <v>25</v>
      </c>
      <c r="T1367" s="1">
        <v>0</v>
      </c>
      <c r="U1367" s="1">
        <v>0</v>
      </c>
      <c r="V1367" s="1" t="str">
        <f t="shared" si="195"/>
        <v>里程返程</v>
      </c>
      <c r="W1367" s="1" t="s">
        <v>35</v>
      </c>
    </row>
    <row r="1368" spans="1:23" x14ac:dyDescent="0.3">
      <c r="A1368" s="1" t="str">
        <f t="shared" si="197"/>
        <v>59829</v>
      </c>
      <c r="B1368" s="1" t="s">
        <v>47</v>
      </c>
      <c r="C1368" s="1" t="s">
        <v>48</v>
      </c>
      <c r="D1368" s="1" t="str">
        <f t="shared" si="194"/>
        <v>9801</v>
      </c>
      <c r="E1368" s="1" t="s">
        <v>25</v>
      </c>
      <c r="F1368" s="1" t="str">
        <f>"946679105"</f>
        <v>946679105</v>
      </c>
      <c r="G1368" s="1" t="s">
        <v>33</v>
      </c>
      <c r="H1368" s="1" t="str">
        <f t="shared" si="192"/>
        <v>20220922</v>
      </c>
      <c r="I1368" s="1" t="str">
        <f>"115847"</f>
        <v>115847</v>
      </c>
      <c r="J1368" s="1" t="s">
        <v>28</v>
      </c>
      <c r="K1368" s="1" t="s">
        <v>28</v>
      </c>
      <c r="L1368" s="1" t="str">
        <f t="shared" si="193"/>
        <v>20220922</v>
      </c>
      <c r="M1368" s="1" t="str">
        <f>"120650"</f>
        <v>120650</v>
      </c>
      <c r="N1368" s="1" t="s">
        <v>83</v>
      </c>
      <c r="O1368" s="1" t="s">
        <v>52</v>
      </c>
      <c r="P1368" s="1" t="s">
        <v>55</v>
      </c>
      <c r="Q1368" s="1">
        <v>25</v>
      </c>
      <c r="R1368" s="1">
        <v>25</v>
      </c>
      <c r="S1368" s="1">
        <v>0</v>
      </c>
      <c r="T1368" s="1">
        <v>0</v>
      </c>
      <c r="U1368" s="1">
        <v>0</v>
      </c>
      <c r="V1368" s="1" t="str">
        <f t="shared" si="195"/>
        <v>里程返程</v>
      </c>
      <c r="W1368" s="1" t="s">
        <v>35</v>
      </c>
    </row>
    <row r="1369" spans="1:23" x14ac:dyDescent="0.3">
      <c r="A1369" s="1" t="str">
        <f t="shared" si="197"/>
        <v>59829</v>
      </c>
      <c r="B1369" s="1" t="s">
        <v>47</v>
      </c>
      <c r="C1369" s="1" t="s">
        <v>48</v>
      </c>
      <c r="D1369" s="1" t="str">
        <f t="shared" si="194"/>
        <v>9801</v>
      </c>
      <c r="E1369" s="1" t="s">
        <v>25</v>
      </c>
      <c r="F1369" s="1" t="str">
        <f>"1773608021"</f>
        <v>1773608021</v>
      </c>
      <c r="G1369" s="1" t="s">
        <v>33</v>
      </c>
      <c r="H1369" s="1" t="str">
        <f t="shared" si="192"/>
        <v>20220922</v>
      </c>
      <c r="I1369" s="1" t="str">
        <f>"115850"</f>
        <v>115850</v>
      </c>
      <c r="J1369" s="1" t="s">
        <v>28</v>
      </c>
      <c r="K1369" s="1" t="s">
        <v>28</v>
      </c>
      <c r="L1369" s="1" t="str">
        <f t="shared" si="193"/>
        <v>20220922</v>
      </c>
      <c r="M1369" s="1" t="str">
        <f>"120647"</f>
        <v>120647</v>
      </c>
      <c r="N1369" s="1" t="s">
        <v>83</v>
      </c>
      <c r="O1369" s="1" t="s">
        <v>52</v>
      </c>
      <c r="P1369" s="1" t="s">
        <v>55</v>
      </c>
      <c r="Q1369" s="1">
        <v>25</v>
      </c>
      <c r="R1369" s="1">
        <v>25</v>
      </c>
      <c r="S1369" s="1">
        <v>0</v>
      </c>
      <c r="T1369" s="1">
        <v>0</v>
      </c>
      <c r="U1369" s="1">
        <v>0</v>
      </c>
      <c r="V1369" s="1" t="str">
        <f t="shared" si="195"/>
        <v>里程返程</v>
      </c>
      <c r="W1369" s="1" t="s">
        <v>35</v>
      </c>
    </row>
    <row r="1370" spans="1:23" x14ac:dyDescent="0.3">
      <c r="A1370" s="1" t="str">
        <f t="shared" si="197"/>
        <v>59829</v>
      </c>
      <c r="B1370" s="1" t="s">
        <v>47</v>
      </c>
      <c r="C1370" s="1" t="s">
        <v>48</v>
      </c>
      <c r="D1370" s="1" t="str">
        <f t="shared" si="194"/>
        <v>9801</v>
      </c>
      <c r="E1370" s="1" t="s">
        <v>25</v>
      </c>
      <c r="F1370" s="1" t="str">
        <f>"689881109"</f>
        <v>689881109</v>
      </c>
      <c r="G1370" s="1" t="s">
        <v>33</v>
      </c>
      <c r="H1370" s="1" t="str">
        <f t="shared" si="192"/>
        <v>20220922</v>
      </c>
      <c r="I1370" s="1" t="str">
        <f>"115856"</f>
        <v>115856</v>
      </c>
      <c r="J1370" s="1" t="s">
        <v>28</v>
      </c>
      <c r="K1370" s="1" t="s">
        <v>28</v>
      </c>
      <c r="L1370" s="1" t="str">
        <f t="shared" si="193"/>
        <v>20220922</v>
      </c>
      <c r="M1370" s="1" t="str">
        <f>"122824"</f>
        <v>122824</v>
      </c>
      <c r="N1370" s="1" t="s">
        <v>86</v>
      </c>
      <c r="O1370" s="1" t="s">
        <v>52</v>
      </c>
      <c r="P1370" s="1" t="s">
        <v>55</v>
      </c>
      <c r="Q1370" s="1">
        <v>25</v>
      </c>
      <c r="R1370" s="1">
        <v>0</v>
      </c>
      <c r="S1370" s="1">
        <v>25</v>
      </c>
      <c r="T1370" s="1">
        <v>0</v>
      </c>
      <c r="U1370" s="1">
        <v>0</v>
      </c>
      <c r="V1370" s="1" t="str">
        <f t="shared" si="195"/>
        <v>里程返程</v>
      </c>
      <c r="W1370" s="1" t="s">
        <v>35</v>
      </c>
    </row>
    <row r="1371" spans="1:23" x14ac:dyDescent="0.3">
      <c r="A1371" s="1" t="str">
        <f t="shared" si="197"/>
        <v>59829</v>
      </c>
      <c r="B1371" s="1" t="s">
        <v>47</v>
      </c>
      <c r="C1371" s="1" t="s">
        <v>48</v>
      </c>
      <c r="D1371" s="1" t="str">
        <f t="shared" si="194"/>
        <v>9801</v>
      </c>
      <c r="E1371" s="1" t="s">
        <v>25</v>
      </c>
      <c r="F1371" s="1" t="str">
        <f>"4080084669"</f>
        <v>4080084669</v>
      </c>
      <c r="G1371" s="1" t="s">
        <v>33</v>
      </c>
      <c r="H1371" s="1" t="str">
        <f t="shared" si="192"/>
        <v>20220922</v>
      </c>
      <c r="I1371" s="1" t="str">
        <f>"185908"</f>
        <v>185908</v>
      </c>
      <c r="J1371" s="1" t="s">
        <v>44</v>
      </c>
      <c r="K1371" s="1" t="s">
        <v>45</v>
      </c>
      <c r="L1371" s="1" t="str">
        <f t="shared" si="193"/>
        <v>20220922</v>
      </c>
      <c r="M1371" s="1" t="str">
        <f>"192032"</f>
        <v>192032</v>
      </c>
      <c r="N1371" s="1" t="s">
        <v>27</v>
      </c>
      <c r="O1371" s="1" t="s">
        <v>28</v>
      </c>
      <c r="P1371" s="1" t="s">
        <v>55</v>
      </c>
      <c r="Q1371" s="1">
        <v>25</v>
      </c>
      <c r="R1371" s="1">
        <v>0</v>
      </c>
      <c r="S1371" s="1">
        <v>25</v>
      </c>
      <c r="T1371" s="1">
        <v>0</v>
      </c>
      <c r="U1371" s="1">
        <v>0</v>
      </c>
      <c r="V1371" s="1" t="str">
        <f t="shared" si="195"/>
        <v>里程返程</v>
      </c>
      <c r="W1371" s="1" t="s">
        <v>35</v>
      </c>
    </row>
    <row r="1372" spans="1:23" x14ac:dyDescent="0.3">
      <c r="A1372" s="1" t="str">
        <f t="shared" si="197"/>
        <v>59829</v>
      </c>
      <c r="B1372" s="1" t="s">
        <v>47</v>
      </c>
      <c r="C1372" s="1" t="s">
        <v>48</v>
      </c>
      <c r="D1372" s="1" t="str">
        <f t="shared" si="194"/>
        <v>9801</v>
      </c>
      <c r="E1372" s="1" t="s">
        <v>25</v>
      </c>
      <c r="F1372" s="1" t="str">
        <f>"832159121"</f>
        <v>832159121</v>
      </c>
      <c r="G1372" s="1" t="s">
        <v>26</v>
      </c>
      <c r="H1372" s="1" t="str">
        <f t="shared" si="192"/>
        <v>20220922</v>
      </c>
      <c r="I1372" s="1" t="str">
        <f>"185910"</f>
        <v>185910</v>
      </c>
      <c r="J1372" s="1" t="s">
        <v>44</v>
      </c>
      <c r="K1372" s="1" t="s">
        <v>45</v>
      </c>
      <c r="L1372" s="1" t="str">
        <f t="shared" si="193"/>
        <v>20220922</v>
      </c>
      <c r="M1372" s="1" t="str">
        <f>"192410"</f>
        <v>192410</v>
      </c>
      <c r="N1372" s="1" t="s">
        <v>28</v>
      </c>
      <c r="O1372" s="1" t="s">
        <v>28</v>
      </c>
      <c r="P1372" s="1" t="s">
        <v>55</v>
      </c>
      <c r="Q1372" s="1">
        <v>13</v>
      </c>
      <c r="R1372" s="1">
        <v>0</v>
      </c>
      <c r="S1372" s="1">
        <v>13</v>
      </c>
      <c r="T1372" s="1">
        <v>0</v>
      </c>
      <c r="U1372" s="1">
        <v>0</v>
      </c>
      <c r="V1372" s="1" t="str">
        <f t="shared" si="195"/>
        <v>里程返程</v>
      </c>
      <c r="W1372" s="1" t="s">
        <v>35</v>
      </c>
    </row>
    <row r="1373" spans="1:23" x14ac:dyDescent="0.3">
      <c r="A1373" s="1" t="str">
        <f t="shared" si="197"/>
        <v>59829</v>
      </c>
      <c r="B1373" s="1" t="s">
        <v>47</v>
      </c>
      <c r="C1373" s="1" t="s">
        <v>48</v>
      </c>
      <c r="D1373" s="1" t="str">
        <f t="shared" si="194"/>
        <v>9801</v>
      </c>
      <c r="E1373" s="1" t="s">
        <v>25</v>
      </c>
      <c r="F1373" s="1" t="str">
        <f>"1304996561"</f>
        <v>1304996561</v>
      </c>
      <c r="G1373" s="1" t="s">
        <v>26</v>
      </c>
      <c r="H1373" s="1" t="str">
        <f t="shared" si="192"/>
        <v>20220922</v>
      </c>
      <c r="I1373" s="1" t="str">
        <f>"185912"</f>
        <v>185912</v>
      </c>
      <c r="J1373" s="1" t="s">
        <v>44</v>
      </c>
      <c r="K1373" s="1" t="s">
        <v>45</v>
      </c>
      <c r="L1373" s="1" t="str">
        <f t="shared" si="193"/>
        <v>20220922</v>
      </c>
      <c r="M1373" s="1" t="str">
        <f>"192406"</f>
        <v>192406</v>
      </c>
      <c r="N1373" s="1" t="s">
        <v>28</v>
      </c>
      <c r="O1373" s="1" t="s">
        <v>28</v>
      </c>
      <c r="P1373" s="1" t="s">
        <v>55</v>
      </c>
      <c r="Q1373" s="1">
        <v>13</v>
      </c>
      <c r="R1373" s="1">
        <v>0</v>
      </c>
      <c r="S1373" s="1">
        <v>13</v>
      </c>
      <c r="T1373" s="1">
        <v>0</v>
      </c>
      <c r="U1373" s="1">
        <v>0</v>
      </c>
      <c r="V1373" s="1" t="str">
        <f t="shared" si="195"/>
        <v>里程返程</v>
      </c>
      <c r="W1373" s="1" t="s">
        <v>35</v>
      </c>
    </row>
    <row r="1374" spans="1:23" x14ac:dyDescent="0.3">
      <c r="A1374" s="1" t="str">
        <f t="shared" si="197"/>
        <v>59829</v>
      </c>
      <c r="B1374" s="1" t="s">
        <v>47</v>
      </c>
      <c r="C1374" s="1" t="s">
        <v>48</v>
      </c>
      <c r="D1374" s="1" t="str">
        <f t="shared" si="194"/>
        <v>9801</v>
      </c>
      <c r="E1374" s="1" t="s">
        <v>25</v>
      </c>
      <c r="F1374" s="1" t="str">
        <f>"1244176296"</f>
        <v>1244176296</v>
      </c>
      <c r="G1374" s="1" t="s">
        <v>26</v>
      </c>
      <c r="H1374" s="1" t="str">
        <f t="shared" si="192"/>
        <v>20220922</v>
      </c>
      <c r="I1374" s="1" t="str">
        <f>"185917"</f>
        <v>185917</v>
      </c>
      <c r="J1374" s="1" t="s">
        <v>44</v>
      </c>
      <c r="K1374" s="1" t="s">
        <v>45</v>
      </c>
      <c r="L1374" s="1" t="str">
        <f>""</f>
        <v/>
      </c>
      <c r="M1374" s="1" t="str">
        <f>""</f>
        <v/>
      </c>
      <c r="P1374" s="1" t="s">
        <v>88</v>
      </c>
      <c r="Q1374" s="1">
        <v>13</v>
      </c>
      <c r="R1374" s="1">
        <v>0</v>
      </c>
      <c r="S1374" s="1">
        <v>13</v>
      </c>
      <c r="T1374" s="1">
        <v>0</v>
      </c>
      <c r="U1374" s="1">
        <v>0</v>
      </c>
      <c r="V1374" s="1" t="str">
        <f t="shared" si="195"/>
        <v>里程返程</v>
      </c>
      <c r="W1374" s="1" t="s">
        <v>35</v>
      </c>
    </row>
    <row r="1375" spans="1:23" x14ac:dyDescent="0.3">
      <c r="A1375" s="1" t="str">
        <f t="shared" si="197"/>
        <v>59829</v>
      </c>
      <c r="B1375" s="1" t="s">
        <v>47</v>
      </c>
      <c r="C1375" s="1" t="s">
        <v>48</v>
      </c>
      <c r="D1375" s="1" t="str">
        <f t="shared" si="194"/>
        <v>9801</v>
      </c>
      <c r="E1375" s="1" t="s">
        <v>25</v>
      </c>
      <c r="F1375" s="1" t="str">
        <f>"1663722117"</f>
        <v>1663722117</v>
      </c>
      <c r="G1375" s="1" t="s">
        <v>33</v>
      </c>
      <c r="H1375" s="1" t="str">
        <f t="shared" si="192"/>
        <v>20220922</v>
      </c>
      <c r="I1375" s="1" t="str">
        <f>"185920"</f>
        <v>185920</v>
      </c>
      <c r="J1375" s="1" t="s">
        <v>44</v>
      </c>
      <c r="K1375" s="1" t="s">
        <v>45</v>
      </c>
      <c r="L1375" s="1" t="str">
        <f>"20220922"</f>
        <v>20220922</v>
      </c>
      <c r="M1375" s="1" t="str">
        <f>"192024"</f>
        <v>192024</v>
      </c>
      <c r="N1375" s="1" t="s">
        <v>27</v>
      </c>
      <c r="O1375" s="1" t="s">
        <v>28</v>
      </c>
      <c r="P1375" s="1" t="s">
        <v>55</v>
      </c>
      <c r="Q1375" s="1">
        <v>25</v>
      </c>
      <c r="R1375" s="1">
        <v>0</v>
      </c>
      <c r="S1375" s="1">
        <v>25</v>
      </c>
      <c r="T1375" s="1">
        <v>0</v>
      </c>
      <c r="U1375" s="1">
        <v>0</v>
      </c>
      <c r="V1375" s="1" t="str">
        <f t="shared" si="195"/>
        <v>里程返程</v>
      </c>
      <c r="W1375" s="1" t="s">
        <v>35</v>
      </c>
    </row>
    <row r="1376" spans="1:23" x14ac:dyDescent="0.3">
      <c r="A1376" s="1" t="str">
        <f t="shared" si="197"/>
        <v>59829</v>
      </c>
      <c r="B1376" s="1" t="s">
        <v>47</v>
      </c>
      <c r="C1376" s="1" t="s">
        <v>48</v>
      </c>
      <c r="D1376" s="1" t="str">
        <f t="shared" si="194"/>
        <v>9801</v>
      </c>
      <c r="E1376" s="1" t="s">
        <v>25</v>
      </c>
      <c r="F1376" s="1" t="str">
        <f>"7311210221013900"</f>
        <v>7311210221013900</v>
      </c>
      <c r="G1376" s="1" t="s">
        <v>33</v>
      </c>
      <c r="H1376" s="1" t="str">
        <f t="shared" si="192"/>
        <v>20220922</v>
      </c>
      <c r="I1376" s="1" t="str">
        <f>"185926"</f>
        <v>185926</v>
      </c>
      <c r="J1376" s="1" t="s">
        <v>44</v>
      </c>
      <c r="K1376" s="1" t="s">
        <v>45</v>
      </c>
      <c r="L1376" s="1" t="str">
        <f>"20220922"</f>
        <v>20220922</v>
      </c>
      <c r="M1376" s="1" t="str">
        <f>"192029"</f>
        <v>192029</v>
      </c>
      <c r="N1376" s="1" t="s">
        <v>27</v>
      </c>
      <c r="O1376" s="1" t="s">
        <v>28</v>
      </c>
      <c r="P1376" s="1" t="s">
        <v>55</v>
      </c>
      <c r="Q1376" s="1">
        <v>25</v>
      </c>
      <c r="R1376" s="1">
        <v>0</v>
      </c>
      <c r="S1376" s="1">
        <v>25</v>
      </c>
      <c r="T1376" s="1">
        <v>0</v>
      </c>
      <c r="U1376" s="1">
        <v>0</v>
      </c>
      <c r="V1376" s="1" t="str">
        <f t="shared" si="195"/>
        <v>里程返程</v>
      </c>
      <c r="W1376" s="1" t="s">
        <v>109</v>
      </c>
    </row>
    <row r="1377" spans="1:23" x14ac:dyDescent="0.3">
      <c r="A1377" s="1" t="str">
        <f t="shared" si="197"/>
        <v>59829</v>
      </c>
      <c r="B1377" s="1" t="s">
        <v>47</v>
      </c>
      <c r="C1377" s="1" t="s">
        <v>48</v>
      </c>
      <c r="D1377" s="1" t="str">
        <f t="shared" si="194"/>
        <v>9801</v>
      </c>
      <c r="E1377" s="1" t="s">
        <v>25</v>
      </c>
      <c r="F1377" s="1" t="str">
        <f>"772446049"</f>
        <v>772446049</v>
      </c>
      <c r="G1377" s="1" t="s">
        <v>33</v>
      </c>
      <c r="H1377" s="1" t="str">
        <f t="shared" si="192"/>
        <v>20220922</v>
      </c>
      <c r="I1377" s="1" t="str">
        <f>"185930"</f>
        <v>185930</v>
      </c>
      <c r="J1377" s="1" t="s">
        <v>44</v>
      </c>
      <c r="K1377" s="1" t="s">
        <v>45</v>
      </c>
      <c r="L1377" s="1" t="str">
        <f>"20220922"</f>
        <v>20220922</v>
      </c>
      <c r="M1377" s="1" t="str">
        <f>"192035"</f>
        <v>192035</v>
      </c>
      <c r="N1377" s="1" t="s">
        <v>27</v>
      </c>
      <c r="O1377" s="1" t="s">
        <v>28</v>
      </c>
      <c r="P1377" s="1" t="s">
        <v>55</v>
      </c>
      <c r="Q1377" s="1">
        <v>25</v>
      </c>
      <c r="R1377" s="1">
        <v>0</v>
      </c>
      <c r="S1377" s="1">
        <v>25</v>
      </c>
      <c r="T1377" s="1">
        <v>0</v>
      </c>
      <c r="U1377" s="1">
        <v>0</v>
      </c>
      <c r="V1377" s="1" t="str">
        <f t="shared" si="195"/>
        <v>里程返程</v>
      </c>
      <c r="W1377" s="1" t="s">
        <v>35</v>
      </c>
    </row>
    <row r="1378" spans="1:23" x14ac:dyDescent="0.3">
      <c r="A1378" s="1" t="str">
        <f t="shared" si="197"/>
        <v>59829</v>
      </c>
      <c r="B1378" s="1" t="s">
        <v>47</v>
      </c>
      <c r="C1378" s="1" t="s">
        <v>48</v>
      </c>
      <c r="D1378" s="1" t="str">
        <f t="shared" si="194"/>
        <v>9801</v>
      </c>
      <c r="E1378" s="1" t="s">
        <v>25</v>
      </c>
      <c r="F1378" s="1" t="str">
        <f>"1129190405"</f>
        <v>1129190405</v>
      </c>
      <c r="G1378" s="1" t="s">
        <v>33</v>
      </c>
      <c r="H1378" s="1" t="str">
        <f t="shared" si="192"/>
        <v>20220922</v>
      </c>
      <c r="I1378" s="1" t="str">
        <f>"191110"</f>
        <v>191110</v>
      </c>
      <c r="J1378" s="1" t="s">
        <v>56</v>
      </c>
      <c r="K1378" s="1" t="s">
        <v>45</v>
      </c>
      <c r="L1378" s="1" t="str">
        <f>"20220922"</f>
        <v>20220922</v>
      </c>
      <c r="M1378" s="1" t="str">
        <f>"193054"</f>
        <v>193054</v>
      </c>
      <c r="N1378" s="1" t="s">
        <v>84</v>
      </c>
      <c r="O1378" s="1" t="s">
        <v>28</v>
      </c>
      <c r="P1378" s="1" t="s">
        <v>55</v>
      </c>
      <c r="Q1378" s="1">
        <v>25</v>
      </c>
      <c r="R1378" s="1">
        <v>0</v>
      </c>
      <c r="S1378" s="1">
        <v>25</v>
      </c>
      <c r="T1378" s="1">
        <v>0</v>
      </c>
      <c r="U1378" s="1">
        <v>0</v>
      </c>
      <c r="V1378" s="1" t="str">
        <f t="shared" si="195"/>
        <v>里程返程</v>
      </c>
      <c r="W1378" s="1" t="s">
        <v>35</v>
      </c>
    </row>
    <row r="1379" spans="1:23" x14ac:dyDescent="0.3">
      <c r="A1379" s="1" t="str">
        <f t="shared" si="197"/>
        <v>59829</v>
      </c>
      <c r="B1379" s="1" t="s">
        <v>47</v>
      </c>
      <c r="C1379" s="1" t="s">
        <v>48</v>
      </c>
      <c r="D1379" s="1" t="str">
        <f t="shared" si="194"/>
        <v>9801</v>
      </c>
      <c r="E1379" s="1" t="s">
        <v>25</v>
      </c>
      <c r="F1379" s="1" t="str">
        <f>"1311182097"</f>
        <v>1311182097</v>
      </c>
      <c r="G1379" s="1" t="s">
        <v>26</v>
      </c>
      <c r="H1379" s="1" t="str">
        <f t="shared" si="192"/>
        <v>20220922</v>
      </c>
      <c r="I1379" s="1" t="str">
        <f>"192426"</f>
        <v>192426</v>
      </c>
      <c r="J1379" s="1" t="s">
        <v>28</v>
      </c>
      <c r="K1379" s="1" t="s">
        <v>28</v>
      </c>
      <c r="L1379" s="1" t="str">
        <f>"20220922"</f>
        <v>20220922</v>
      </c>
      <c r="M1379" s="1" t="str">
        <f>"193750"</f>
        <v>193750</v>
      </c>
      <c r="N1379" s="1" t="s">
        <v>69</v>
      </c>
      <c r="O1379" s="1" t="s">
        <v>52</v>
      </c>
      <c r="P1379" s="1" t="s">
        <v>55</v>
      </c>
      <c r="Q1379" s="1">
        <v>13</v>
      </c>
      <c r="R1379" s="1">
        <v>13</v>
      </c>
      <c r="S1379" s="1">
        <v>0</v>
      </c>
      <c r="T1379" s="1">
        <v>0</v>
      </c>
      <c r="U1379" s="1">
        <v>0</v>
      </c>
      <c r="V1379" s="1" t="str">
        <f t="shared" si="195"/>
        <v>里程返程</v>
      </c>
      <c r="W1379" s="1" t="s">
        <v>35</v>
      </c>
    </row>
    <row r="1380" spans="1:23" x14ac:dyDescent="0.3">
      <c r="A1380" s="1" t="str">
        <f t="shared" ref="A1380:A1387" si="198">"59809"</f>
        <v>59809</v>
      </c>
      <c r="B1380" s="1" t="s">
        <v>42</v>
      </c>
      <c r="C1380" s="1" t="s">
        <v>43</v>
      </c>
      <c r="D1380" s="1" t="str">
        <f t="shared" si="194"/>
        <v>9801</v>
      </c>
      <c r="E1380" s="1" t="s">
        <v>25</v>
      </c>
      <c r="F1380" s="1" t="str">
        <f>"422AE7028D880400C834002000000015"</f>
        <v>422AE7028D880400C834002000000015</v>
      </c>
      <c r="G1380" s="1" t="s">
        <v>74</v>
      </c>
      <c r="H1380" s="1" t="str">
        <f t="shared" ref="H1380:H1418" si="199">"20220923"</f>
        <v>20220923</v>
      </c>
      <c r="I1380" s="1" t="str">
        <f>"172436"</f>
        <v>172436</v>
      </c>
      <c r="J1380" s="1" t="s">
        <v>44</v>
      </c>
      <c r="K1380" s="1" t="s">
        <v>45</v>
      </c>
      <c r="L1380" s="1" t="str">
        <f t="shared" ref="L1380:L1386" si="200">"20220923"</f>
        <v>20220923</v>
      </c>
      <c r="M1380" s="1" t="str">
        <f>"175052"</f>
        <v>175052</v>
      </c>
      <c r="N1380" s="1" t="s">
        <v>28</v>
      </c>
      <c r="O1380" s="1" t="s">
        <v>28</v>
      </c>
      <c r="P1380" s="1" t="s">
        <v>68</v>
      </c>
      <c r="Q1380" s="1">
        <v>13</v>
      </c>
      <c r="R1380" s="1">
        <v>0</v>
      </c>
      <c r="S1380" s="1">
        <v>0</v>
      </c>
      <c r="T1380" s="1">
        <v>13</v>
      </c>
      <c r="U1380" s="1">
        <v>0</v>
      </c>
      <c r="V1380" s="1" t="str">
        <f t="shared" si="195"/>
        <v>里程返程</v>
      </c>
      <c r="W1380" s="1" t="s">
        <v>29</v>
      </c>
    </row>
    <row r="1381" spans="1:23" x14ac:dyDescent="0.3">
      <c r="A1381" s="1" t="str">
        <f t="shared" si="198"/>
        <v>59809</v>
      </c>
      <c r="B1381" s="1" t="s">
        <v>42</v>
      </c>
      <c r="C1381" s="1" t="s">
        <v>43</v>
      </c>
      <c r="D1381" s="1" t="str">
        <f t="shared" si="194"/>
        <v>9801</v>
      </c>
      <c r="E1381" s="1" t="s">
        <v>25</v>
      </c>
      <c r="F1381" s="1" t="str">
        <f>"595029601"</f>
        <v>595029601</v>
      </c>
      <c r="G1381" s="1" t="s">
        <v>33</v>
      </c>
      <c r="H1381" s="1" t="str">
        <f t="shared" si="199"/>
        <v>20220923</v>
      </c>
      <c r="I1381" s="1" t="str">
        <f>"172441"</f>
        <v>172441</v>
      </c>
      <c r="J1381" s="1" t="s">
        <v>44</v>
      </c>
      <c r="K1381" s="1" t="s">
        <v>45</v>
      </c>
      <c r="L1381" s="1" t="str">
        <f t="shared" si="200"/>
        <v>20220923</v>
      </c>
      <c r="M1381" s="1" t="str">
        <f>"175054"</f>
        <v>175054</v>
      </c>
      <c r="N1381" s="1" t="s">
        <v>28</v>
      </c>
      <c r="O1381" s="1" t="s">
        <v>28</v>
      </c>
      <c r="P1381" s="1" t="s">
        <v>55</v>
      </c>
      <c r="Q1381" s="1">
        <v>25</v>
      </c>
      <c r="R1381" s="1">
        <v>25</v>
      </c>
      <c r="S1381" s="1">
        <v>0</v>
      </c>
      <c r="T1381" s="1">
        <v>0</v>
      </c>
      <c r="U1381" s="1">
        <v>0</v>
      </c>
      <c r="V1381" s="1" t="str">
        <f t="shared" si="195"/>
        <v>里程返程</v>
      </c>
      <c r="W1381" s="1" t="s">
        <v>35</v>
      </c>
    </row>
    <row r="1382" spans="1:23" x14ac:dyDescent="0.3">
      <c r="A1382" s="1" t="str">
        <f t="shared" si="198"/>
        <v>59809</v>
      </c>
      <c r="B1382" s="1" t="s">
        <v>42</v>
      </c>
      <c r="C1382" s="1" t="s">
        <v>43</v>
      </c>
      <c r="D1382" s="1" t="str">
        <f t="shared" si="194"/>
        <v>9801</v>
      </c>
      <c r="E1382" s="1" t="s">
        <v>25</v>
      </c>
      <c r="F1382" s="1" t="str">
        <f>"1083934641"</f>
        <v>1083934641</v>
      </c>
      <c r="G1382" s="1" t="s">
        <v>33</v>
      </c>
      <c r="H1382" s="1" t="str">
        <f t="shared" si="199"/>
        <v>20220923</v>
      </c>
      <c r="I1382" s="1" t="str">
        <f>"175105"</f>
        <v>175105</v>
      </c>
      <c r="J1382" s="1" t="s">
        <v>28</v>
      </c>
      <c r="K1382" s="1" t="s">
        <v>28</v>
      </c>
      <c r="L1382" s="1" t="str">
        <f t="shared" si="200"/>
        <v>20220923</v>
      </c>
      <c r="M1382" s="1" t="str">
        <f>"182646"</f>
        <v>182646</v>
      </c>
      <c r="N1382" s="1" t="s">
        <v>51</v>
      </c>
      <c r="O1382" s="1" t="s">
        <v>52</v>
      </c>
      <c r="P1382" s="1" t="s">
        <v>55</v>
      </c>
      <c r="Q1382" s="1">
        <v>25</v>
      </c>
      <c r="R1382" s="1">
        <v>25</v>
      </c>
      <c r="S1382" s="1">
        <v>0</v>
      </c>
      <c r="T1382" s="1">
        <v>0</v>
      </c>
      <c r="U1382" s="1">
        <v>0</v>
      </c>
      <c r="V1382" s="1" t="str">
        <f t="shared" si="195"/>
        <v>里程返程</v>
      </c>
      <c r="W1382" s="1" t="s">
        <v>35</v>
      </c>
    </row>
    <row r="1383" spans="1:23" x14ac:dyDescent="0.3">
      <c r="A1383" s="1" t="str">
        <f t="shared" si="198"/>
        <v>59809</v>
      </c>
      <c r="B1383" s="1" t="s">
        <v>42</v>
      </c>
      <c r="C1383" s="1" t="s">
        <v>43</v>
      </c>
      <c r="D1383" s="1" t="str">
        <f t="shared" si="194"/>
        <v>9801</v>
      </c>
      <c r="E1383" s="1" t="s">
        <v>25</v>
      </c>
      <c r="F1383" s="1" t="str">
        <f>"728910561"</f>
        <v>728910561</v>
      </c>
      <c r="G1383" s="1" t="s">
        <v>33</v>
      </c>
      <c r="H1383" s="1" t="str">
        <f t="shared" si="199"/>
        <v>20220923</v>
      </c>
      <c r="I1383" s="1" t="str">
        <f>"175108"</f>
        <v>175108</v>
      </c>
      <c r="J1383" s="1" t="s">
        <v>28</v>
      </c>
      <c r="K1383" s="1" t="s">
        <v>28</v>
      </c>
      <c r="L1383" s="1" t="str">
        <f t="shared" si="200"/>
        <v>20220923</v>
      </c>
      <c r="M1383" s="1" t="str">
        <f>"182643"</f>
        <v>182643</v>
      </c>
      <c r="N1383" s="1" t="s">
        <v>51</v>
      </c>
      <c r="O1383" s="1" t="s">
        <v>52</v>
      </c>
      <c r="P1383" s="1" t="s">
        <v>55</v>
      </c>
      <c r="Q1383" s="1">
        <v>25</v>
      </c>
      <c r="R1383" s="1">
        <v>25</v>
      </c>
      <c r="S1383" s="1">
        <v>0</v>
      </c>
      <c r="T1383" s="1">
        <v>0</v>
      </c>
      <c r="U1383" s="1">
        <v>0</v>
      </c>
      <c r="V1383" s="1" t="str">
        <f t="shared" si="195"/>
        <v>里程返程</v>
      </c>
      <c r="W1383" s="1" t="s">
        <v>35</v>
      </c>
    </row>
    <row r="1384" spans="1:23" x14ac:dyDescent="0.3">
      <c r="A1384" s="1" t="str">
        <f t="shared" si="198"/>
        <v>59809</v>
      </c>
      <c r="B1384" s="1" t="s">
        <v>42</v>
      </c>
      <c r="C1384" s="1" t="s">
        <v>111</v>
      </c>
      <c r="D1384" s="1" t="str">
        <f t="shared" si="194"/>
        <v>9801</v>
      </c>
      <c r="E1384" s="1" t="s">
        <v>25</v>
      </c>
      <c r="F1384" s="1" t="str">
        <f>"7111211230001246"</f>
        <v>7111211230001246</v>
      </c>
      <c r="G1384" s="1" t="s">
        <v>33</v>
      </c>
      <c r="H1384" s="1" t="str">
        <f t="shared" si="199"/>
        <v>20220923</v>
      </c>
      <c r="I1384" s="1" t="str">
        <f>"183244"</f>
        <v>183244</v>
      </c>
      <c r="J1384" s="1" t="s">
        <v>44</v>
      </c>
      <c r="K1384" s="1" t="s">
        <v>45</v>
      </c>
      <c r="L1384" s="1" t="str">
        <f t="shared" si="200"/>
        <v>20220923</v>
      </c>
      <c r="M1384" s="1" t="str">
        <f>"185452"</f>
        <v>185452</v>
      </c>
      <c r="N1384" s="1" t="s">
        <v>28</v>
      </c>
      <c r="O1384" s="1" t="s">
        <v>28</v>
      </c>
      <c r="P1384" s="1" t="s">
        <v>55</v>
      </c>
      <c r="Q1384" s="1">
        <v>25</v>
      </c>
      <c r="R1384" s="1">
        <v>0</v>
      </c>
      <c r="S1384" s="1">
        <v>25</v>
      </c>
      <c r="T1384" s="1">
        <v>0</v>
      </c>
      <c r="U1384" s="1">
        <v>0</v>
      </c>
      <c r="V1384" s="1" t="str">
        <f t="shared" si="195"/>
        <v>里程返程</v>
      </c>
      <c r="W1384" s="1" t="s">
        <v>109</v>
      </c>
    </row>
    <row r="1385" spans="1:23" x14ac:dyDescent="0.3">
      <c r="A1385" s="1" t="str">
        <f t="shared" si="198"/>
        <v>59809</v>
      </c>
      <c r="B1385" s="1" t="s">
        <v>42</v>
      </c>
      <c r="C1385" s="1" t="s">
        <v>43</v>
      </c>
      <c r="D1385" s="1" t="str">
        <f t="shared" si="194"/>
        <v>9801</v>
      </c>
      <c r="E1385" s="1" t="s">
        <v>25</v>
      </c>
      <c r="F1385" s="1" t="str">
        <f>"60F15464A1880400468F751241302611"</f>
        <v>60F15464A1880400468F751241302611</v>
      </c>
      <c r="G1385" s="1" t="s">
        <v>26</v>
      </c>
      <c r="H1385" s="1" t="str">
        <f t="shared" si="199"/>
        <v>20220923</v>
      </c>
      <c r="I1385" s="1" t="str">
        <f>"185511"</f>
        <v>185511</v>
      </c>
      <c r="J1385" s="1" t="s">
        <v>28</v>
      </c>
      <c r="K1385" s="1" t="s">
        <v>28</v>
      </c>
      <c r="L1385" s="1" t="str">
        <f t="shared" si="200"/>
        <v>20220923</v>
      </c>
      <c r="M1385" s="1" t="str">
        <f>"191808"</f>
        <v>191808</v>
      </c>
      <c r="N1385" s="1" t="s">
        <v>60</v>
      </c>
      <c r="O1385" s="1" t="s">
        <v>52</v>
      </c>
      <c r="P1385" s="1" t="s">
        <v>55</v>
      </c>
      <c r="Q1385" s="1">
        <v>13</v>
      </c>
      <c r="R1385" s="1">
        <v>13</v>
      </c>
      <c r="S1385" s="1">
        <v>0</v>
      </c>
      <c r="T1385" s="1">
        <v>0</v>
      </c>
      <c r="U1385" s="1">
        <v>0</v>
      </c>
      <c r="V1385" s="1" t="str">
        <f t="shared" si="195"/>
        <v>里程返程</v>
      </c>
      <c r="W1385" s="1" t="s">
        <v>29</v>
      </c>
    </row>
    <row r="1386" spans="1:23" x14ac:dyDescent="0.3">
      <c r="A1386" s="1" t="str">
        <f t="shared" si="198"/>
        <v>59809</v>
      </c>
      <c r="B1386" s="1" t="s">
        <v>42</v>
      </c>
      <c r="C1386" s="1" t="s">
        <v>43</v>
      </c>
      <c r="D1386" s="1" t="str">
        <f t="shared" si="194"/>
        <v>9801</v>
      </c>
      <c r="E1386" s="1" t="s">
        <v>25</v>
      </c>
      <c r="F1386" s="1" t="str">
        <f>"82A6BC029A880400C834002000000015"</f>
        <v>82A6BC029A880400C834002000000015</v>
      </c>
      <c r="G1386" s="1" t="s">
        <v>26</v>
      </c>
      <c r="H1386" s="1" t="str">
        <f t="shared" si="199"/>
        <v>20220923</v>
      </c>
      <c r="I1386" s="1" t="str">
        <f>"185521"</f>
        <v>185521</v>
      </c>
      <c r="J1386" s="1" t="s">
        <v>28</v>
      </c>
      <c r="K1386" s="1" t="s">
        <v>28</v>
      </c>
      <c r="L1386" s="1" t="str">
        <f t="shared" si="200"/>
        <v>20220923</v>
      </c>
      <c r="M1386" s="1" t="str">
        <f>"191758"</f>
        <v>191758</v>
      </c>
      <c r="N1386" s="1" t="s">
        <v>60</v>
      </c>
      <c r="O1386" s="1" t="s">
        <v>52</v>
      </c>
      <c r="P1386" s="1" t="s">
        <v>68</v>
      </c>
      <c r="Q1386" s="1">
        <v>13</v>
      </c>
      <c r="R1386" s="1">
        <v>0</v>
      </c>
      <c r="S1386" s="1">
        <v>0</v>
      </c>
      <c r="T1386" s="1">
        <v>13</v>
      </c>
      <c r="U1386" s="1">
        <v>0</v>
      </c>
      <c r="V1386" s="1" t="str">
        <f t="shared" si="195"/>
        <v>里程返程</v>
      </c>
      <c r="W1386" s="1" t="s">
        <v>29</v>
      </c>
    </row>
    <row r="1387" spans="1:23" x14ac:dyDescent="0.3">
      <c r="A1387" s="1" t="str">
        <f t="shared" si="198"/>
        <v>59809</v>
      </c>
      <c r="B1387" s="1" t="s">
        <v>42</v>
      </c>
      <c r="C1387" s="1" t="s">
        <v>43</v>
      </c>
      <c r="D1387" s="1" t="str">
        <f t="shared" si="194"/>
        <v>9801</v>
      </c>
      <c r="E1387" s="1" t="s">
        <v>25</v>
      </c>
      <c r="F1387" s="1" t="str">
        <f>"82D5FB02AE880400C834002000000015"</f>
        <v>82D5FB02AE880400C834002000000015</v>
      </c>
      <c r="G1387" s="1" t="s">
        <v>26</v>
      </c>
      <c r="H1387" s="1" t="str">
        <f t="shared" si="199"/>
        <v>20220923</v>
      </c>
      <c r="I1387" s="1" t="str">
        <f>"191338"</f>
        <v>191338</v>
      </c>
      <c r="J1387" s="1" t="s">
        <v>72</v>
      </c>
      <c r="K1387" s="1" t="s">
        <v>52</v>
      </c>
      <c r="L1387" s="1" t="str">
        <f>""</f>
        <v/>
      </c>
      <c r="M1387" s="1" t="str">
        <f>""</f>
        <v/>
      </c>
      <c r="P1387" s="1" t="s">
        <v>88</v>
      </c>
      <c r="Q1387" s="1">
        <v>13</v>
      </c>
      <c r="R1387" s="1">
        <v>0</v>
      </c>
      <c r="S1387" s="1">
        <v>0</v>
      </c>
      <c r="T1387" s="1">
        <v>13</v>
      </c>
      <c r="U1387" s="1">
        <v>0</v>
      </c>
      <c r="V1387" s="1" t="str">
        <f t="shared" si="195"/>
        <v>里程返程</v>
      </c>
      <c r="W1387" s="1" t="s">
        <v>29</v>
      </c>
    </row>
    <row r="1388" spans="1:23" x14ac:dyDescent="0.3">
      <c r="A1388" s="1" t="str">
        <f t="shared" ref="A1388:A1403" si="201">"59822"</f>
        <v>59822</v>
      </c>
      <c r="B1388" s="1" t="s">
        <v>39</v>
      </c>
      <c r="C1388" s="1" t="s">
        <v>40</v>
      </c>
      <c r="D1388" s="1" t="str">
        <f t="shared" si="194"/>
        <v>9801</v>
      </c>
      <c r="E1388" s="1" t="s">
        <v>25</v>
      </c>
      <c r="F1388" s="1" t="str">
        <f>"D2EDC500FA880400C801002000000015"</f>
        <v>D2EDC500FA880400C801002000000015</v>
      </c>
      <c r="G1388" s="1" t="s">
        <v>58</v>
      </c>
      <c r="H1388" s="1" t="str">
        <f t="shared" si="199"/>
        <v>20220923</v>
      </c>
      <c r="I1388" s="1" t="str">
        <f>"062952"</f>
        <v>062952</v>
      </c>
      <c r="J1388" s="1" t="s">
        <v>28</v>
      </c>
      <c r="K1388" s="1" t="s">
        <v>28</v>
      </c>
      <c r="L1388" s="1" t="str">
        <f t="shared" ref="L1388:L1418" si="202">"20220923"</f>
        <v>20220923</v>
      </c>
      <c r="M1388" s="1" t="str">
        <f>"070034"</f>
        <v>070034</v>
      </c>
      <c r="N1388" s="1" t="s">
        <v>52</v>
      </c>
      <c r="O1388" s="1" t="s">
        <v>52</v>
      </c>
      <c r="P1388" s="1" t="s">
        <v>55</v>
      </c>
      <c r="Q1388" s="1">
        <v>25</v>
      </c>
      <c r="R1388" s="1">
        <v>25</v>
      </c>
      <c r="S1388" s="1">
        <v>0</v>
      </c>
      <c r="T1388" s="1">
        <v>0</v>
      </c>
      <c r="U1388" s="1">
        <v>0</v>
      </c>
      <c r="V1388" s="1" t="str">
        <f t="shared" si="195"/>
        <v>里程返程</v>
      </c>
      <c r="W1388" s="1" t="s">
        <v>29</v>
      </c>
    </row>
    <row r="1389" spans="1:23" x14ac:dyDescent="0.3">
      <c r="A1389" s="1" t="str">
        <f t="shared" si="201"/>
        <v>59822</v>
      </c>
      <c r="B1389" s="1" t="s">
        <v>39</v>
      </c>
      <c r="C1389" s="1" t="s">
        <v>40</v>
      </c>
      <c r="D1389" s="1" t="str">
        <f t="shared" si="194"/>
        <v>9801</v>
      </c>
      <c r="E1389" s="1" t="s">
        <v>25</v>
      </c>
      <c r="F1389" s="1" t="str">
        <f>"B242E70215880400C834002000000015"</f>
        <v>B242E70215880400C834002000000015</v>
      </c>
      <c r="G1389" s="1" t="s">
        <v>74</v>
      </c>
      <c r="H1389" s="1" t="str">
        <f t="shared" si="199"/>
        <v>20220923</v>
      </c>
      <c r="I1389" s="1" t="str">
        <f>"072907"</f>
        <v>072907</v>
      </c>
      <c r="J1389" s="1" t="s">
        <v>84</v>
      </c>
      <c r="K1389" s="1" t="s">
        <v>28</v>
      </c>
      <c r="L1389" s="1" t="str">
        <f t="shared" si="202"/>
        <v>20220923</v>
      </c>
      <c r="M1389" s="1" t="str">
        <f>"074028"</f>
        <v>074028</v>
      </c>
      <c r="N1389" s="1" t="s">
        <v>80</v>
      </c>
      <c r="O1389" s="1" t="s">
        <v>52</v>
      </c>
      <c r="P1389" s="1" t="s">
        <v>68</v>
      </c>
      <c r="Q1389" s="1">
        <v>13</v>
      </c>
      <c r="R1389" s="1">
        <v>0</v>
      </c>
      <c r="S1389" s="1">
        <v>0</v>
      </c>
      <c r="T1389" s="1">
        <v>13</v>
      </c>
      <c r="U1389" s="1">
        <v>0</v>
      </c>
      <c r="V1389" s="1" t="str">
        <f t="shared" si="195"/>
        <v>里程返程</v>
      </c>
      <c r="W1389" s="1" t="s">
        <v>29</v>
      </c>
    </row>
    <row r="1390" spans="1:23" x14ac:dyDescent="0.3">
      <c r="A1390" s="1" t="str">
        <f t="shared" si="201"/>
        <v>59822</v>
      </c>
      <c r="B1390" s="1" t="s">
        <v>39</v>
      </c>
      <c r="C1390" s="1" t="s">
        <v>40</v>
      </c>
      <c r="D1390" s="1" t="str">
        <f t="shared" si="194"/>
        <v>9801</v>
      </c>
      <c r="E1390" s="1" t="s">
        <v>25</v>
      </c>
      <c r="F1390" s="1" t="str">
        <f>"1759959808"</f>
        <v>1759959808</v>
      </c>
      <c r="G1390" s="1" t="s">
        <v>33</v>
      </c>
      <c r="H1390" s="1" t="str">
        <f t="shared" si="199"/>
        <v>20220923</v>
      </c>
      <c r="I1390" s="1" t="str">
        <f>"074034"</f>
        <v>074034</v>
      </c>
      <c r="J1390" s="1" t="s">
        <v>80</v>
      </c>
      <c r="K1390" s="1" t="s">
        <v>52</v>
      </c>
      <c r="L1390" s="1" t="str">
        <f t="shared" si="202"/>
        <v>20220923</v>
      </c>
      <c r="M1390" s="1" t="str">
        <f>"075026"</f>
        <v>075026</v>
      </c>
      <c r="N1390" s="1" t="s">
        <v>60</v>
      </c>
      <c r="O1390" s="1" t="s">
        <v>52</v>
      </c>
      <c r="P1390" s="1" t="s">
        <v>55</v>
      </c>
      <c r="Q1390" s="1">
        <v>25</v>
      </c>
      <c r="R1390" s="1">
        <v>25</v>
      </c>
      <c r="S1390" s="1">
        <v>0</v>
      </c>
      <c r="T1390" s="1">
        <v>0</v>
      </c>
      <c r="U1390" s="1">
        <v>0</v>
      </c>
      <c r="V1390" s="1" t="str">
        <f t="shared" si="195"/>
        <v>里程返程</v>
      </c>
      <c r="W1390" s="1" t="s">
        <v>35</v>
      </c>
    </row>
    <row r="1391" spans="1:23" x14ac:dyDescent="0.3">
      <c r="A1391" s="1" t="str">
        <f t="shared" si="201"/>
        <v>59822</v>
      </c>
      <c r="B1391" s="1" t="s">
        <v>39</v>
      </c>
      <c r="C1391" s="1" t="s">
        <v>40</v>
      </c>
      <c r="D1391" s="1" t="str">
        <f t="shared" si="194"/>
        <v>9801</v>
      </c>
      <c r="E1391" s="1" t="s">
        <v>25</v>
      </c>
      <c r="F1391" s="1" t="str">
        <f>"22D3E50216880400C834002000000015"</f>
        <v>22D3E50216880400C834002000000015</v>
      </c>
      <c r="G1391" s="1" t="s">
        <v>26</v>
      </c>
      <c r="H1391" s="1" t="str">
        <f t="shared" si="199"/>
        <v>20220923</v>
      </c>
      <c r="I1391" s="1" t="str">
        <f>"075050"</f>
        <v>075050</v>
      </c>
      <c r="J1391" s="1" t="s">
        <v>60</v>
      </c>
      <c r="K1391" s="1" t="s">
        <v>52</v>
      </c>
      <c r="L1391" s="1" t="str">
        <f t="shared" si="202"/>
        <v>20220923</v>
      </c>
      <c r="M1391" s="1" t="str">
        <f>"075433"</f>
        <v>075433</v>
      </c>
      <c r="N1391" s="1" t="s">
        <v>52</v>
      </c>
      <c r="O1391" s="1" t="s">
        <v>52</v>
      </c>
      <c r="P1391" s="1" t="s">
        <v>68</v>
      </c>
      <c r="Q1391" s="1">
        <v>13</v>
      </c>
      <c r="R1391" s="1">
        <v>0</v>
      </c>
      <c r="S1391" s="1">
        <v>0</v>
      </c>
      <c r="T1391" s="1">
        <v>13</v>
      </c>
      <c r="U1391" s="1">
        <v>0</v>
      </c>
      <c r="V1391" s="1" t="str">
        <f t="shared" si="195"/>
        <v>里程返程</v>
      </c>
      <c r="W1391" s="1" t="s">
        <v>29</v>
      </c>
    </row>
    <row r="1392" spans="1:23" x14ac:dyDescent="0.3">
      <c r="A1392" s="1" t="str">
        <f t="shared" si="201"/>
        <v>59822</v>
      </c>
      <c r="B1392" s="1" t="s">
        <v>39</v>
      </c>
      <c r="C1392" s="1" t="s">
        <v>40</v>
      </c>
      <c r="D1392" s="1" t="str">
        <f t="shared" si="194"/>
        <v>9801</v>
      </c>
      <c r="E1392" s="1" t="s">
        <v>25</v>
      </c>
      <c r="F1392" s="1" t="str">
        <f>"03A6A9454988040048B994D749703809"</f>
        <v>03A6A9454988040048B994D749703809</v>
      </c>
      <c r="G1392" s="1" t="s">
        <v>64</v>
      </c>
      <c r="H1392" s="1" t="str">
        <f t="shared" si="199"/>
        <v>20220923</v>
      </c>
      <c r="I1392" s="1" t="str">
        <f>"125313"</f>
        <v>125313</v>
      </c>
      <c r="J1392" s="1" t="s">
        <v>28</v>
      </c>
      <c r="K1392" s="1" t="s">
        <v>28</v>
      </c>
      <c r="L1392" s="1" t="str">
        <f t="shared" si="202"/>
        <v>20220923</v>
      </c>
      <c r="M1392" s="1" t="str">
        <f>"130201"</f>
        <v>130201</v>
      </c>
      <c r="N1392" s="1" t="s">
        <v>83</v>
      </c>
      <c r="O1392" s="1" t="s">
        <v>52</v>
      </c>
      <c r="P1392" s="1" t="s">
        <v>55</v>
      </c>
      <c r="Q1392" s="1">
        <v>13</v>
      </c>
      <c r="R1392" s="1">
        <v>0</v>
      </c>
      <c r="S1392" s="1">
        <v>13</v>
      </c>
      <c r="T1392" s="1">
        <v>0</v>
      </c>
      <c r="U1392" s="1">
        <v>0</v>
      </c>
      <c r="V1392" s="1" t="str">
        <f t="shared" si="195"/>
        <v>里程返程</v>
      </c>
      <c r="W1392" s="1" t="s">
        <v>29</v>
      </c>
    </row>
    <row r="1393" spans="1:23" x14ac:dyDescent="0.3">
      <c r="A1393" s="1" t="str">
        <f t="shared" si="201"/>
        <v>59822</v>
      </c>
      <c r="B1393" s="1" t="s">
        <v>39</v>
      </c>
      <c r="C1393" s="1" t="s">
        <v>40</v>
      </c>
      <c r="D1393" s="1" t="str">
        <f t="shared" si="194"/>
        <v>9801</v>
      </c>
      <c r="E1393" s="1" t="s">
        <v>25</v>
      </c>
      <c r="F1393" s="1" t="str">
        <f>"234627749"</f>
        <v>234627749</v>
      </c>
      <c r="G1393" s="1" t="s">
        <v>33</v>
      </c>
      <c r="H1393" s="1" t="str">
        <f t="shared" si="199"/>
        <v>20220923</v>
      </c>
      <c r="I1393" s="1" t="str">
        <f>"125317"</f>
        <v>125317</v>
      </c>
      <c r="J1393" s="1" t="s">
        <v>28</v>
      </c>
      <c r="K1393" s="1" t="s">
        <v>28</v>
      </c>
      <c r="L1393" s="1" t="str">
        <f t="shared" si="202"/>
        <v>20220923</v>
      </c>
      <c r="M1393" s="1" t="str">
        <f>"125806"</f>
        <v>125806</v>
      </c>
      <c r="N1393" s="1" t="s">
        <v>84</v>
      </c>
      <c r="O1393" s="1" t="s">
        <v>28</v>
      </c>
      <c r="P1393" s="1" t="s">
        <v>55</v>
      </c>
      <c r="Q1393" s="1">
        <v>25</v>
      </c>
      <c r="R1393" s="1">
        <v>25</v>
      </c>
      <c r="S1393" s="1">
        <v>0</v>
      </c>
      <c r="T1393" s="1">
        <v>0</v>
      </c>
      <c r="U1393" s="1">
        <v>0</v>
      </c>
      <c r="V1393" s="1" t="str">
        <f t="shared" si="195"/>
        <v>里程返程</v>
      </c>
      <c r="W1393" s="1" t="s">
        <v>35</v>
      </c>
    </row>
    <row r="1394" spans="1:23" x14ac:dyDescent="0.3">
      <c r="A1394" s="1" t="str">
        <f t="shared" si="201"/>
        <v>59822</v>
      </c>
      <c r="B1394" s="1" t="s">
        <v>39</v>
      </c>
      <c r="C1394" s="1" t="s">
        <v>40</v>
      </c>
      <c r="D1394" s="1" t="str">
        <f t="shared" si="194"/>
        <v>9801</v>
      </c>
      <c r="E1394" s="1" t="s">
        <v>25</v>
      </c>
      <c r="F1394" s="1" t="str">
        <f>"821C1A0387880400C834002000000015"</f>
        <v>821C1A0387880400C834002000000015</v>
      </c>
      <c r="G1394" s="1" t="s">
        <v>26</v>
      </c>
      <c r="H1394" s="1" t="str">
        <f t="shared" si="199"/>
        <v>20220923</v>
      </c>
      <c r="I1394" s="1" t="str">
        <f>"130946"</f>
        <v>130946</v>
      </c>
      <c r="J1394" s="1" t="s">
        <v>80</v>
      </c>
      <c r="K1394" s="1" t="s">
        <v>52</v>
      </c>
      <c r="L1394" s="1" t="str">
        <f t="shared" si="202"/>
        <v>20220923</v>
      </c>
      <c r="M1394" s="1" t="str">
        <f>"131812"</f>
        <v>131812</v>
      </c>
      <c r="N1394" s="1" t="s">
        <v>60</v>
      </c>
      <c r="O1394" s="1" t="s">
        <v>52</v>
      </c>
      <c r="P1394" s="1" t="s">
        <v>68</v>
      </c>
      <c r="Q1394" s="1">
        <v>13</v>
      </c>
      <c r="R1394" s="1">
        <v>0</v>
      </c>
      <c r="S1394" s="1">
        <v>0</v>
      </c>
      <c r="T1394" s="1">
        <v>13</v>
      </c>
      <c r="U1394" s="1">
        <v>0</v>
      </c>
      <c r="V1394" s="1" t="str">
        <f t="shared" si="195"/>
        <v>里程返程</v>
      </c>
      <c r="W1394" s="1" t="s">
        <v>29</v>
      </c>
    </row>
    <row r="1395" spans="1:23" x14ac:dyDescent="0.3">
      <c r="A1395" s="1" t="str">
        <f t="shared" si="201"/>
        <v>59822</v>
      </c>
      <c r="B1395" s="1" t="s">
        <v>39</v>
      </c>
      <c r="C1395" s="1" t="s">
        <v>40</v>
      </c>
      <c r="D1395" s="1" t="str">
        <f t="shared" si="194"/>
        <v>9801</v>
      </c>
      <c r="E1395" s="1" t="s">
        <v>25</v>
      </c>
      <c r="F1395" s="1" t="str">
        <f>"E220D10211880400C834002000000015"</f>
        <v>E220D10211880400C834002000000015</v>
      </c>
      <c r="G1395" s="1" t="s">
        <v>74</v>
      </c>
      <c r="H1395" s="1" t="str">
        <f t="shared" si="199"/>
        <v>20220923</v>
      </c>
      <c r="I1395" s="1" t="str">
        <f>"131114"</f>
        <v>131114</v>
      </c>
      <c r="J1395" s="1" t="s">
        <v>97</v>
      </c>
      <c r="K1395" s="1" t="s">
        <v>52</v>
      </c>
      <c r="L1395" s="1" t="str">
        <f t="shared" si="202"/>
        <v>20220923</v>
      </c>
      <c r="M1395" s="1" t="str">
        <f>"131231"</f>
        <v>131231</v>
      </c>
      <c r="N1395" s="1" t="s">
        <v>65</v>
      </c>
      <c r="O1395" s="1" t="s">
        <v>52</v>
      </c>
      <c r="P1395" s="1" t="s">
        <v>68</v>
      </c>
      <c r="Q1395" s="1">
        <v>13</v>
      </c>
      <c r="R1395" s="1">
        <v>0</v>
      </c>
      <c r="S1395" s="1">
        <v>0</v>
      </c>
      <c r="T1395" s="1">
        <v>13</v>
      </c>
      <c r="U1395" s="1">
        <v>0</v>
      </c>
      <c r="V1395" s="1" t="str">
        <f t="shared" si="195"/>
        <v>里程返程</v>
      </c>
      <c r="W1395" s="1" t="s">
        <v>29</v>
      </c>
    </row>
    <row r="1396" spans="1:23" x14ac:dyDescent="0.3">
      <c r="A1396" s="1" t="str">
        <f t="shared" si="201"/>
        <v>59822</v>
      </c>
      <c r="B1396" s="1" t="s">
        <v>39</v>
      </c>
      <c r="C1396" s="1" t="s">
        <v>40</v>
      </c>
      <c r="D1396" s="1" t="str">
        <f t="shared" si="194"/>
        <v>9801</v>
      </c>
      <c r="E1396" s="1" t="s">
        <v>25</v>
      </c>
      <c r="F1396" s="1" t="str">
        <f>"6280E61A1E880400C817002000000021"</f>
        <v>6280E61A1E880400C817002000000021</v>
      </c>
      <c r="G1396" s="1" t="s">
        <v>58</v>
      </c>
      <c r="H1396" s="1" t="str">
        <f t="shared" si="199"/>
        <v>20220923</v>
      </c>
      <c r="I1396" s="1" t="str">
        <f>"153058"</f>
        <v>153058</v>
      </c>
      <c r="J1396" s="1" t="s">
        <v>44</v>
      </c>
      <c r="K1396" s="1" t="s">
        <v>45</v>
      </c>
      <c r="L1396" s="1" t="str">
        <f t="shared" si="202"/>
        <v>20220923</v>
      </c>
      <c r="M1396" s="1" t="str">
        <f>"155029"</f>
        <v>155029</v>
      </c>
      <c r="N1396" s="1" t="s">
        <v>28</v>
      </c>
      <c r="O1396" s="1" t="s">
        <v>28</v>
      </c>
      <c r="P1396" s="1" t="s">
        <v>55</v>
      </c>
      <c r="Q1396" s="1">
        <v>25</v>
      </c>
      <c r="R1396" s="1">
        <v>25</v>
      </c>
      <c r="S1396" s="1">
        <v>0</v>
      </c>
      <c r="T1396" s="1">
        <v>0</v>
      </c>
      <c r="U1396" s="1">
        <v>0</v>
      </c>
      <c r="V1396" s="1" t="str">
        <f t="shared" si="195"/>
        <v>里程返程</v>
      </c>
      <c r="W1396" s="1" t="s">
        <v>29</v>
      </c>
    </row>
    <row r="1397" spans="1:23" x14ac:dyDescent="0.3">
      <c r="A1397" s="1" t="str">
        <f t="shared" si="201"/>
        <v>59822</v>
      </c>
      <c r="B1397" s="1" t="s">
        <v>39</v>
      </c>
      <c r="C1397" s="1" t="s">
        <v>40</v>
      </c>
      <c r="D1397" s="1" t="str">
        <f t="shared" si="194"/>
        <v>9801</v>
      </c>
      <c r="E1397" s="1" t="s">
        <v>25</v>
      </c>
      <c r="F1397" s="1" t="str">
        <f>"32780D0344880400C834002000000015"</f>
        <v>32780D0344880400C834002000000015</v>
      </c>
      <c r="G1397" s="1" t="s">
        <v>26</v>
      </c>
      <c r="H1397" s="1" t="str">
        <f t="shared" si="199"/>
        <v>20220923</v>
      </c>
      <c r="I1397" s="1" t="str">
        <f>"153158"</f>
        <v>153158</v>
      </c>
      <c r="J1397" s="1" t="s">
        <v>44</v>
      </c>
      <c r="K1397" s="1" t="s">
        <v>45</v>
      </c>
      <c r="L1397" s="1" t="str">
        <f t="shared" si="202"/>
        <v>20220923</v>
      </c>
      <c r="M1397" s="1" t="str">
        <f>"154850"</f>
        <v>154850</v>
      </c>
      <c r="N1397" s="1" t="s">
        <v>95</v>
      </c>
      <c r="O1397" s="1" t="s">
        <v>28</v>
      </c>
      <c r="P1397" s="1" t="s">
        <v>68</v>
      </c>
      <c r="Q1397" s="1">
        <v>13</v>
      </c>
      <c r="R1397" s="1">
        <v>0</v>
      </c>
      <c r="S1397" s="1">
        <v>0</v>
      </c>
      <c r="T1397" s="1">
        <v>13</v>
      </c>
      <c r="U1397" s="1">
        <v>0</v>
      </c>
      <c r="V1397" s="1" t="str">
        <f t="shared" si="195"/>
        <v>里程返程</v>
      </c>
      <c r="W1397" s="1" t="s">
        <v>29</v>
      </c>
    </row>
    <row r="1398" spans="1:23" x14ac:dyDescent="0.3">
      <c r="A1398" s="1" t="str">
        <f t="shared" si="201"/>
        <v>59822</v>
      </c>
      <c r="B1398" s="1" t="s">
        <v>39</v>
      </c>
      <c r="C1398" s="1" t="s">
        <v>40</v>
      </c>
      <c r="D1398" s="1" t="str">
        <f t="shared" si="194"/>
        <v>9801</v>
      </c>
      <c r="E1398" s="1" t="s">
        <v>25</v>
      </c>
      <c r="F1398" s="1" t="str">
        <f>"285161633"</f>
        <v>285161633</v>
      </c>
      <c r="G1398" s="1" t="s">
        <v>33</v>
      </c>
      <c r="H1398" s="1" t="str">
        <f t="shared" si="199"/>
        <v>20220923</v>
      </c>
      <c r="I1398" s="1" t="str">
        <f>"155046"</f>
        <v>155046</v>
      </c>
      <c r="J1398" s="1" t="s">
        <v>28</v>
      </c>
      <c r="K1398" s="1" t="s">
        <v>28</v>
      </c>
      <c r="L1398" s="1" t="str">
        <f t="shared" si="202"/>
        <v>20220923</v>
      </c>
      <c r="M1398" s="1" t="str">
        <f>"160445"</f>
        <v>160445</v>
      </c>
      <c r="N1398" s="1" t="s">
        <v>78</v>
      </c>
      <c r="O1398" s="1" t="s">
        <v>52</v>
      </c>
      <c r="P1398" s="1" t="s">
        <v>55</v>
      </c>
      <c r="Q1398" s="1">
        <v>25</v>
      </c>
      <c r="R1398" s="1">
        <v>25</v>
      </c>
      <c r="S1398" s="1">
        <v>0</v>
      </c>
      <c r="T1398" s="1">
        <v>0</v>
      </c>
      <c r="U1398" s="1">
        <v>0</v>
      </c>
      <c r="V1398" s="1" t="str">
        <f t="shared" si="195"/>
        <v>里程返程</v>
      </c>
      <c r="W1398" s="1" t="s">
        <v>35</v>
      </c>
    </row>
    <row r="1399" spans="1:23" x14ac:dyDescent="0.3">
      <c r="A1399" s="1" t="str">
        <f t="shared" si="201"/>
        <v>59822</v>
      </c>
      <c r="B1399" s="1" t="s">
        <v>39</v>
      </c>
      <c r="C1399" s="1" t="s">
        <v>40</v>
      </c>
      <c r="D1399" s="1" t="str">
        <f t="shared" si="194"/>
        <v>9801</v>
      </c>
      <c r="E1399" s="1" t="s">
        <v>25</v>
      </c>
      <c r="F1399" s="1" t="str">
        <f>"660537722"</f>
        <v>660537722</v>
      </c>
      <c r="G1399" s="1" t="s">
        <v>74</v>
      </c>
      <c r="H1399" s="1" t="str">
        <f t="shared" si="199"/>
        <v>20220923</v>
      </c>
      <c r="I1399" s="1" t="str">
        <f>"155454"</f>
        <v>155454</v>
      </c>
      <c r="J1399" s="1" t="s">
        <v>28</v>
      </c>
      <c r="K1399" s="1" t="s">
        <v>28</v>
      </c>
      <c r="L1399" s="1" t="str">
        <f t="shared" si="202"/>
        <v>20220923</v>
      </c>
      <c r="M1399" s="1" t="str">
        <f>"161628"</f>
        <v>161628</v>
      </c>
      <c r="N1399" s="1" t="s">
        <v>97</v>
      </c>
      <c r="O1399" s="1" t="s">
        <v>52</v>
      </c>
      <c r="P1399" s="1" t="s">
        <v>55</v>
      </c>
      <c r="Q1399" s="1">
        <v>13</v>
      </c>
      <c r="R1399" s="1">
        <v>13</v>
      </c>
      <c r="S1399" s="1">
        <v>0</v>
      </c>
      <c r="T1399" s="1">
        <v>0</v>
      </c>
      <c r="U1399" s="1">
        <v>0</v>
      </c>
      <c r="V1399" s="1" t="str">
        <f t="shared" si="195"/>
        <v>里程返程</v>
      </c>
      <c r="W1399" s="1" t="s">
        <v>35</v>
      </c>
    </row>
    <row r="1400" spans="1:23" x14ac:dyDescent="0.3">
      <c r="A1400" s="1" t="str">
        <f t="shared" si="201"/>
        <v>59822</v>
      </c>
      <c r="B1400" s="1" t="s">
        <v>39</v>
      </c>
      <c r="C1400" s="1" t="s">
        <v>40</v>
      </c>
      <c r="D1400" s="1" t="str">
        <f t="shared" si="194"/>
        <v>9801</v>
      </c>
      <c r="E1400" s="1" t="s">
        <v>25</v>
      </c>
      <c r="F1400" s="1" t="str">
        <f>"62C2F51742880400C814002000000019"</f>
        <v>62C2F51742880400C814002000000019</v>
      </c>
      <c r="G1400" s="1" t="s">
        <v>59</v>
      </c>
      <c r="H1400" s="1" t="str">
        <f t="shared" si="199"/>
        <v>20220923</v>
      </c>
      <c r="I1400" s="1" t="str">
        <f>"155544"</f>
        <v>155544</v>
      </c>
      <c r="J1400" s="1" t="s">
        <v>28</v>
      </c>
      <c r="K1400" s="1" t="s">
        <v>28</v>
      </c>
      <c r="L1400" s="1" t="str">
        <f t="shared" si="202"/>
        <v>20220923</v>
      </c>
      <c r="M1400" s="1" t="str">
        <f>"163001"</f>
        <v>163001</v>
      </c>
      <c r="N1400" s="1" t="s">
        <v>86</v>
      </c>
      <c r="O1400" s="1" t="s">
        <v>52</v>
      </c>
      <c r="P1400" s="1" t="s">
        <v>55</v>
      </c>
      <c r="Q1400" s="1">
        <v>25</v>
      </c>
      <c r="R1400" s="1">
        <v>25</v>
      </c>
      <c r="S1400" s="1">
        <v>0</v>
      </c>
      <c r="T1400" s="1">
        <v>0</v>
      </c>
      <c r="U1400" s="1">
        <v>0</v>
      </c>
      <c r="V1400" s="1" t="str">
        <f t="shared" si="195"/>
        <v>里程返程</v>
      </c>
      <c r="W1400" s="1" t="s">
        <v>29</v>
      </c>
    </row>
    <row r="1401" spans="1:23" x14ac:dyDescent="0.3">
      <c r="A1401" s="1" t="str">
        <f t="shared" si="201"/>
        <v>59822</v>
      </c>
      <c r="B1401" s="1" t="s">
        <v>39</v>
      </c>
      <c r="C1401" s="1" t="s">
        <v>40</v>
      </c>
      <c r="D1401" s="1" t="str">
        <f t="shared" si="194"/>
        <v>9801</v>
      </c>
      <c r="E1401" s="1" t="s">
        <v>25</v>
      </c>
      <c r="F1401" s="1" t="str">
        <f>"7227E702B0880400C834002000000015"</f>
        <v>7227E702B0880400C834002000000015</v>
      </c>
      <c r="G1401" s="1" t="s">
        <v>74</v>
      </c>
      <c r="H1401" s="1" t="str">
        <f t="shared" si="199"/>
        <v>20220923</v>
      </c>
      <c r="I1401" s="1" t="str">
        <f>"161502"</f>
        <v>161502</v>
      </c>
      <c r="J1401" s="1" t="s">
        <v>80</v>
      </c>
      <c r="K1401" s="1" t="s">
        <v>52</v>
      </c>
      <c r="L1401" s="1" t="str">
        <f t="shared" si="202"/>
        <v>20220923</v>
      </c>
      <c r="M1401" s="1" t="str">
        <f>"163248"</f>
        <v>163248</v>
      </c>
      <c r="N1401" s="1" t="s">
        <v>52</v>
      </c>
      <c r="O1401" s="1" t="s">
        <v>52</v>
      </c>
      <c r="P1401" s="1" t="s">
        <v>68</v>
      </c>
      <c r="Q1401" s="1">
        <v>13</v>
      </c>
      <c r="R1401" s="1">
        <v>0</v>
      </c>
      <c r="S1401" s="1">
        <v>0</v>
      </c>
      <c r="T1401" s="1">
        <v>13</v>
      </c>
      <c r="U1401" s="1">
        <v>0</v>
      </c>
      <c r="V1401" s="1" t="str">
        <f t="shared" si="195"/>
        <v>里程返程</v>
      </c>
      <c r="W1401" s="1" t="s">
        <v>29</v>
      </c>
    </row>
    <row r="1402" spans="1:23" x14ac:dyDescent="0.3">
      <c r="A1402" s="1" t="str">
        <f t="shared" si="201"/>
        <v>59822</v>
      </c>
      <c r="B1402" s="1" t="s">
        <v>39</v>
      </c>
      <c r="C1402" s="1" t="s">
        <v>40</v>
      </c>
      <c r="D1402" s="1" t="str">
        <f t="shared" si="194"/>
        <v>9801</v>
      </c>
      <c r="E1402" s="1" t="s">
        <v>25</v>
      </c>
      <c r="F1402" s="1" t="str">
        <f>"42AFE60209880400C834002000000015"</f>
        <v>42AFE60209880400C834002000000015</v>
      </c>
      <c r="G1402" s="1" t="s">
        <v>74</v>
      </c>
      <c r="H1402" s="1" t="str">
        <f t="shared" si="199"/>
        <v>20220923</v>
      </c>
      <c r="I1402" s="1" t="str">
        <f>"161505"</f>
        <v>161505</v>
      </c>
      <c r="J1402" s="1" t="s">
        <v>80</v>
      </c>
      <c r="K1402" s="1" t="s">
        <v>52</v>
      </c>
      <c r="L1402" s="1" t="str">
        <f t="shared" si="202"/>
        <v>20220923</v>
      </c>
      <c r="M1402" s="1" t="str">
        <f>"163257"</f>
        <v>163257</v>
      </c>
      <c r="N1402" s="1" t="s">
        <v>52</v>
      </c>
      <c r="O1402" s="1" t="s">
        <v>52</v>
      </c>
      <c r="P1402" s="1" t="s">
        <v>68</v>
      </c>
      <c r="Q1402" s="1">
        <v>13</v>
      </c>
      <c r="R1402" s="1">
        <v>0</v>
      </c>
      <c r="S1402" s="1">
        <v>0</v>
      </c>
      <c r="T1402" s="1">
        <v>13</v>
      </c>
      <c r="U1402" s="1">
        <v>0</v>
      </c>
      <c r="V1402" s="1" t="str">
        <f t="shared" si="195"/>
        <v>里程返程</v>
      </c>
      <c r="W1402" s="1" t="s">
        <v>29</v>
      </c>
    </row>
    <row r="1403" spans="1:23" x14ac:dyDescent="0.3">
      <c r="A1403" s="1" t="str">
        <f t="shared" si="201"/>
        <v>59822</v>
      </c>
      <c r="B1403" s="1" t="s">
        <v>39</v>
      </c>
      <c r="C1403" s="1" t="s">
        <v>40</v>
      </c>
      <c r="D1403" s="1" t="str">
        <f t="shared" si="194"/>
        <v>9801</v>
      </c>
      <c r="E1403" s="1" t="s">
        <v>25</v>
      </c>
      <c r="F1403" s="1" t="str">
        <f>"C596BF09E5180200D200000C22400417"</f>
        <v>C596BF09E5180200D200000C22400417</v>
      </c>
      <c r="G1403" s="1" t="s">
        <v>58</v>
      </c>
      <c r="H1403" s="1" t="str">
        <f t="shared" si="199"/>
        <v>20220923</v>
      </c>
      <c r="I1403" s="1" t="str">
        <f>"165546"</f>
        <v>165546</v>
      </c>
      <c r="J1403" s="1" t="s">
        <v>28</v>
      </c>
      <c r="K1403" s="1" t="s">
        <v>28</v>
      </c>
      <c r="L1403" s="1" t="str">
        <f t="shared" si="202"/>
        <v>20220923</v>
      </c>
      <c r="M1403" s="1" t="str">
        <f>"171658"</f>
        <v>171658</v>
      </c>
      <c r="N1403" s="1" t="s">
        <v>80</v>
      </c>
      <c r="O1403" s="1" t="s">
        <v>52</v>
      </c>
      <c r="P1403" s="1" t="s">
        <v>55</v>
      </c>
      <c r="Q1403" s="1">
        <v>25</v>
      </c>
      <c r="R1403" s="1">
        <v>0</v>
      </c>
      <c r="S1403" s="1">
        <v>25</v>
      </c>
      <c r="T1403" s="1">
        <v>0</v>
      </c>
      <c r="U1403" s="1">
        <v>0</v>
      </c>
      <c r="V1403" s="1" t="str">
        <f t="shared" si="195"/>
        <v>里程返程</v>
      </c>
      <c r="W1403" s="1" t="s">
        <v>29</v>
      </c>
    </row>
    <row r="1404" spans="1:23" x14ac:dyDescent="0.3">
      <c r="A1404" s="1" t="str">
        <f t="shared" ref="A1404:A1418" si="203">"59829"</f>
        <v>59829</v>
      </c>
      <c r="B1404" s="1" t="s">
        <v>47</v>
      </c>
      <c r="C1404" s="1" t="s">
        <v>48</v>
      </c>
      <c r="D1404" s="1" t="str">
        <f t="shared" si="194"/>
        <v>9801</v>
      </c>
      <c r="E1404" s="1" t="s">
        <v>25</v>
      </c>
      <c r="F1404" s="1" t="str">
        <f>"C596BF09E5180200D200000C22400417"</f>
        <v>C596BF09E5180200D200000C22400417</v>
      </c>
      <c r="G1404" s="1" t="s">
        <v>58</v>
      </c>
      <c r="H1404" s="1" t="str">
        <f t="shared" si="199"/>
        <v>20220923</v>
      </c>
      <c r="I1404" s="1" t="str">
        <f>"083228"</f>
        <v>083228</v>
      </c>
      <c r="J1404" s="1" t="s">
        <v>44</v>
      </c>
      <c r="K1404" s="1" t="s">
        <v>45</v>
      </c>
      <c r="L1404" s="1" t="str">
        <f t="shared" si="202"/>
        <v>20220923</v>
      </c>
      <c r="M1404" s="1" t="str">
        <f>"085052"</f>
        <v>085052</v>
      </c>
      <c r="N1404" s="1" t="s">
        <v>28</v>
      </c>
      <c r="O1404" s="1" t="s">
        <v>28</v>
      </c>
      <c r="P1404" s="1" t="s">
        <v>55</v>
      </c>
      <c r="Q1404" s="1">
        <v>25</v>
      </c>
      <c r="R1404" s="1">
        <v>25</v>
      </c>
      <c r="S1404" s="1">
        <v>0</v>
      </c>
      <c r="T1404" s="1">
        <v>0</v>
      </c>
      <c r="U1404" s="1">
        <v>0</v>
      </c>
      <c r="V1404" s="1" t="str">
        <f t="shared" si="195"/>
        <v>里程返程</v>
      </c>
      <c r="W1404" s="1" t="s">
        <v>29</v>
      </c>
    </row>
    <row r="1405" spans="1:23" x14ac:dyDescent="0.3">
      <c r="A1405" s="1" t="str">
        <f t="shared" si="203"/>
        <v>59829</v>
      </c>
      <c r="B1405" s="1" t="s">
        <v>47</v>
      </c>
      <c r="C1405" s="1" t="s">
        <v>48</v>
      </c>
      <c r="D1405" s="1" t="str">
        <f t="shared" si="194"/>
        <v>9801</v>
      </c>
      <c r="E1405" s="1" t="s">
        <v>25</v>
      </c>
      <c r="F1405" s="1" t="str">
        <f>"F29BD102BA880400C834002000000015"</f>
        <v>F29BD102BA880400C834002000000015</v>
      </c>
      <c r="G1405" s="1" t="s">
        <v>26</v>
      </c>
      <c r="H1405" s="1" t="str">
        <f t="shared" si="199"/>
        <v>20220923</v>
      </c>
      <c r="I1405" s="1" t="str">
        <f>"083229"</f>
        <v>083229</v>
      </c>
      <c r="J1405" s="1" t="s">
        <v>44</v>
      </c>
      <c r="K1405" s="1" t="s">
        <v>45</v>
      </c>
      <c r="L1405" s="1" t="str">
        <f t="shared" si="202"/>
        <v>20220923</v>
      </c>
      <c r="M1405" s="1" t="str">
        <f>"085038"</f>
        <v>085038</v>
      </c>
      <c r="N1405" s="1" t="s">
        <v>28</v>
      </c>
      <c r="O1405" s="1" t="s">
        <v>28</v>
      </c>
      <c r="P1405" s="1" t="s">
        <v>68</v>
      </c>
      <c r="Q1405" s="1">
        <v>13</v>
      </c>
      <c r="R1405" s="1">
        <v>0</v>
      </c>
      <c r="S1405" s="1">
        <v>0</v>
      </c>
      <c r="T1405" s="1">
        <v>13</v>
      </c>
      <c r="U1405" s="1">
        <v>0</v>
      </c>
      <c r="V1405" s="1" t="str">
        <f t="shared" si="195"/>
        <v>里程返程</v>
      </c>
      <c r="W1405" s="1" t="s">
        <v>29</v>
      </c>
    </row>
    <row r="1406" spans="1:23" x14ac:dyDescent="0.3">
      <c r="A1406" s="1" t="str">
        <f t="shared" si="203"/>
        <v>59829</v>
      </c>
      <c r="B1406" s="1" t="s">
        <v>47</v>
      </c>
      <c r="C1406" s="1" t="s">
        <v>48</v>
      </c>
      <c r="D1406" s="1" t="str">
        <f t="shared" si="194"/>
        <v>9801</v>
      </c>
      <c r="E1406" s="1" t="s">
        <v>25</v>
      </c>
      <c r="F1406" s="1" t="str">
        <f>"F2F7D002D7880400C834002000000015"</f>
        <v>F2F7D002D7880400C834002000000015</v>
      </c>
      <c r="G1406" s="1" t="s">
        <v>74</v>
      </c>
      <c r="H1406" s="1" t="str">
        <f t="shared" si="199"/>
        <v>20220923</v>
      </c>
      <c r="I1406" s="1" t="str">
        <f>"091844"</f>
        <v>091844</v>
      </c>
      <c r="J1406" s="1" t="s">
        <v>60</v>
      </c>
      <c r="K1406" s="1" t="s">
        <v>52</v>
      </c>
      <c r="L1406" s="1" t="str">
        <f t="shared" si="202"/>
        <v>20220923</v>
      </c>
      <c r="M1406" s="1" t="str">
        <f>"092117"</f>
        <v>092117</v>
      </c>
      <c r="N1406" s="1" t="s">
        <v>86</v>
      </c>
      <c r="O1406" s="1" t="s">
        <v>52</v>
      </c>
      <c r="P1406" s="1" t="s">
        <v>68</v>
      </c>
      <c r="Q1406" s="1">
        <v>13</v>
      </c>
      <c r="R1406" s="1">
        <v>0</v>
      </c>
      <c r="S1406" s="1">
        <v>0</v>
      </c>
      <c r="T1406" s="1">
        <v>13</v>
      </c>
      <c r="U1406" s="1">
        <v>0</v>
      </c>
      <c r="V1406" s="1" t="str">
        <f t="shared" si="195"/>
        <v>里程返程</v>
      </c>
      <c r="W1406" s="1" t="s">
        <v>29</v>
      </c>
    </row>
    <row r="1407" spans="1:23" x14ac:dyDescent="0.3">
      <c r="A1407" s="1" t="str">
        <f t="shared" si="203"/>
        <v>59829</v>
      </c>
      <c r="B1407" s="1" t="s">
        <v>47</v>
      </c>
      <c r="C1407" s="1" t="s">
        <v>48</v>
      </c>
      <c r="D1407" s="1" t="str">
        <f t="shared" si="194"/>
        <v>9801</v>
      </c>
      <c r="E1407" s="1" t="s">
        <v>25</v>
      </c>
      <c r="F1407" s="1" t="str">
        <f>"F2F7D002D7880400C834002000000015"</f>
        <v>F2F7D002D7880400C834002000000015</v>
      </c>
      <c r="G1407" s="1" t="s">
        <v>74</v>
      </c>
      <c r="H1407" s="1" t="str">
        <f t="shared" si="199"/>
        <v>20220923</v>
      </c>
      <c r="I1407" s="1" t="str">
        <f>"092433"</f>
        <v>092433</v>
      </c>
      <c r="J1407" s="1" t="s">
        <v>44</v>
      </c>
      <c r="K1407" s="1" t="s">
        <v>45</v>
      </c>
      <c r="L1407" s="1" t="str">
        <f t="shared" si="202"/>
        <v>20220923</v>
      </c>
      <c r="M1407" s="1" t="str">
        <f>"100438"</f>
        <v>100438</v>
      </c>
      <c r="N1407" s="1" t="s">
        <v>83</v>
      </c>
      <c r="O1407" s="1" t="s">
        <v>52</v>
      </c>
      <c r="P1407" s="1" t="s">
        <v>68</v>
      </c>
      <c r="Q1407" s="1">
        <v>25</v>
      </c>
      <c r="R1407" s="1">
        <v>0</v>
      </c>
      <c r="S1407" s="1">
        <v>0</v>
      </c>
      <c r="T1407" s="1">
        <v>25</v>
      </c>
      <c r="U1407" s="1">
        <v>0</v>
      </c>
      <c r="V1407" s="1" t="str">
        <f t="shared" si="195"/>
        <v>里程返程</v>
      </c>
      <c r="W1407" s="1" t="s">
        <v>29</v>
      </c>
    </row>
    <row r="1408" spans="1:23" x14ac:dyDescent="0.3">
      <c r="A1408" s="1" t="str">
        <f t="shared" si="203"/>
        <v>59829</v>
      </c>
      <c r="B1408" s="1" t="s">
        <v>47</v>
      </c>
      <c r="C1408" s="1" t="s">
        <v>48</v>
      </c>
      <c r="D1408" s="1" t="str">
        <f t="shared" si="194"/>
        <v>9801</v>
      </c>
      <c r="E1408" s="1" t="s">
        <v>25</v>
      </c>
      <c r="F1408" s="1" t="str">
        <f>"071E5DF3B78804004326A03B000D0211"</f>
        <v>071E5DF3B78804004326A03B000D0211</v>
      </c>
      <c r="G1408" s="1" t="s">
        <v>64</v>
      </c>
      <c r="H1408" s="1" t="str">
        <f t="shared" si="199"/>
        <v>20220923</v>
      </c>
      <c r="I1408" s="1" t="str">
        <f>"095100"</f>
        <v>095100</v>
      </c>
      <c r="J1408" s="1" t="s">
        <v>28</v>
      </c>
      <c r="K1408" s="1" t="s">
        <v>28</v>
      </c>
      <c r="L1408" s="1" t="str">
        <f t="shared" si="202"/>
        <v>20220923</v>
      </c>
      <c r="M1408" s="1" t="str">
        <f>"101907"</f>
        <v>101907</v>
      </c>
      <c r="N1408" s="1" t="s">
        <v>65</v>
      </c>
      <c r="O1408" s="1" t="s">
        <v>52</v>
      </c>
      <c r="P1408" s="1" t="s">
        <v>55</v>
      </c>
      <c r="Q1408" s="1">
        <v>13</v>
      </c>
      <c r="R1408" s="1">
        <v>13</v>
      </c>
      <c r="S1408" s="1">
        <v>0</v>
      </c>
      <c r="T1408" s="1">
        <v>0</v>
      </c>
      <c r="U1408" s="1">
        <v>0</v>
      </c>
      <c r="V1408" s="1" t="str">
        <f t="shared" si="195"/>
        <v>里程返程</v>
      </c>
      <c r="W1408" s="1" t="s">
        <v>29</v>
      </c>
    </row>
    <row r="1409" spans="1:23" x14ac:dyDescent="0.3">
      <c r="A1409" s="1" t="str">
        <f t="shared" si="203"/>
        <v>59829</v>
      </c>
      <c r="B1409" s="1" t="s">
        <v>47</v>
      </c>
      <c r="C1409" s="1" t="s">
        <v>48</v>
      </c>
      <c r="D1409" s="1" t="str">
        <f t="shared" si="194"/>
        <v>9801</v>
      </c>
      <c r="E1409" s="1" t="s">
        <v>25</v>
      </c>
      <c r="F1409" s="1" t="str">
        <f>"719F3701D8880400432494C60018080E"</f>
        <v>719F3701D8880400432494C60018080E</v>
      </c>
      <c r="G1409" s="1" t="s">
        <v>64</v>
      </c>
      <c r="H1409" s="1" t="str">
        <f t="shared" si="199"/>
        <v>20220923</v>
      </c>
      <c r="I1409" s="1" t="str">
        <f>"095105"</f>
        <v>095105</v>
      </c>
      <c r="J1409" s="1" t="s">
        <v>28</v>
      </c>
      <c r="K1409" s="1" t="s">
        <v>28</v>
      </c>
      <c r="L1409" s="1" t="str">
        <f t="shared" si="202"/>
        <v>20220923</v>
      </c>
      <c r="M1409" s="1" t="str">
        <f>"101904"</f>
        <v>101904</v>
      </c>
      <c r="N1409" s="1" t="s">
        <v>65</v>
      </c>
      <c r="O1409" s="1" t="s">
        <v>52</v>
      </c>
      <c r="P1409" s="1" t="s">
        <v>55</v>
      </c>
      <c r="Q1409" s="1">
        <v>13</v>
      </c>
      <c r="R1409" s="1">
        <v>13</v>
      </c>
      <c r="S1409" s="1">
        <v>0</v>
      </c>
      <c r="T1409" s="1">
        <v>0</v>
      </c>
      <c r="U1409" s="1">
        <v>0</v>
      </c>
      <c r="V1409" s="1" t="str">
        <f t="shared" si="195"/>
        <v>里程返程</v>
      </c>
      <c r="W1409" s="1" t="s">
        <v>29</v>
      </c>
    </row>
    <row r="1410" spans="1:23" x14ac:dyDescent="0.3">
      <c r="A1410" s="1" t="str">
        <f t="shared" si="203"/>
        <v>59829</v>
      </c>
      <c r="B1410" s="1" t="s">
        <v>47</v>
      </c>
      <c r="C1410" s="1" t="s">
        <v>48</v>
      </c>
      <c r="D1410" s="1" t="str">
        <f t="shared" ref="D1410:D1473" si="204">"9801"</f>
        <v>9801</v>
      </c>
      <c r="E1410" s="1" t="s">
        <v>25</v>
      </c>
      <c r="F1410" s="1" t="str">
        <f>"F263E60275880400C834002000000015"</f>
        <v>F263E60275880400C834002000000015</v>
      </c>
      <c r="G1410" s="1" t="s">
        <v>74</v>
      </c>
      <c r="H1410" s="1" t="str">
        <f t="shared" si="199"/>
        <v>20220923</v>
      </c>
      <c r="I1410" s="1" t="str">
        <f>"102923"</f>
        <v>102923</v>
      </c>
      <c r="J1410" s="1" t="s">
        <v>44</v>
      </c>
      <c r="K1410" s="1" t="s">
        <v>45</v>
      </c>
      <c r="L1410" s="1" t="str">
        <f t="shared" si="202"/>
        <v>20220923</v>
      </c>
      <c r="M1410" s="1" t="str">
        <f>"110334"</f>
        <v>110334</v>
      </c>
      <c r="N1410" s="1" t="s">
        <v>67</v>
      </c>
      <c r="O1410" s="1" t="s">
        <v>52</v>
      </c>
      <c r="P1410" s="1" t="s">
        <v>68</v>
      </c>
      <c r="Q1410" s="1">
        <v>25</v>
      </c>
      <c r="R1410" s="1">
        <v>0</v>
      </c>
      <c r="S1410" s="1">
        <v>0</v>
      </c>
      <c r="T1410" s="1">
        <v>25</v>
      </c>
      <c r="U1410" s="1">
        <v>0</v>
      </c>
      <c r="V1410" s="1" t="str">
        <f t="shared" ref="V1410:V1473" si="205">"里程返程"</f>
        <v>里程返程</v>
      </c>
      <c r="W1410" s="1" t="s">
        <v>29</v>
      </c>
    </row>
    <row r="1411" spans="1:23" x14ac:dyDescent="0.3">
      <c r="A1411" s="1" t="str">
        <f t="shared" si="203"/>
        <v>59829</v>
      </c>
      <c r="B1411" s="1" t="s">
        <v>47</v>
      </c>
      <c r="C1411" s="1" t="s">
        <v>48</v>
      </c>
      <c r="D1411" s="1" t="str">
        <f t="shared" si="204"/>
        <v>9801</v>
      </c>
      <c r="E1411" s="1" t="s">
        <v>25</v>
      </c>
      <c r="F1411" s="1" t="str">
        <f>"F25B1B03B1880400C834002000000015"</f>
        <v>F25B1B03B1880400C834002000000015</v>
      </c>
      <c r="G1411" s="1" t="s">
        <v>26</v>
      </c>
      <c r="H1411" s="1" t="str">
        <f t="shared" si="199"/>
        <v>20220923</v>
      </c>
      <c r="I1411" s="1" t="str">
        <f>"105107"</f>
        <v>105107</v>
      </c>
      <c r="J1411" s="1" t="s">
        <v>28</v>
      </c>
      <c r="K1411" s="1" t="s">
        <v>28</v>
      </c>
      <c r="L1411" s="1" t="str">
        <f t="shared" si="202"/>
        <v>20220923</v>
      </c>
      <c r="M1411" s="1" t="str">
        <f>"112040"</f>
        <v>112040</v>
      </c>
      <c r="N1411" s="1" t="s">
        <v>60</v>
      </c>
      <c r="O1411" s="1" t="s">
        <v>52</v>
      </c>
      <c r="P1411" s="1" t="s">
        <v>68</v>
      </c>
      <c r="Q1411" s="1">
        <v>13</v>
      </c>
      <c r="R1411" s="1">
        <v>0</v>
      </c>
      <c r="S1411" s="1">
        <v>0</v>
      </c>
      <c r="T1411" s="1">
        <v>13</v>
      </c>
      <c r="U1411" s="1">
        <v>0</v>
      </c>
      <c r="V1411" s="1" t="str">
        <f t="shared" si="205"/>
        <v>里程返程</v>
      </c>
      <c r="W1411" s="1" t="s">
        <v>29</v>
      </c>
    </row>
    <row r="1412" spans="1:23" x14ac:dyDescent="0.3">
      <c r="A1412" s="1" t="str">
        <f t="shared" si="203"/>
        <v>59829</v>
      </c>
      <c r="B1412" s="1" t="s">
        <v>47</v>
      </c>
      <c r="C1412" s="1" t="s">
        <v>48</v>
      </c>
      <c r="D1412" s="1" t="str">
        <f t="shared" si="204"/>
        <v>9801</v>
      </c>
      <c r="E1412" s="1" t="s">
        <v>25</v>
      </c>
      <c r="F1412" s="1" t="str">
        <f>"C2081C03D5880400C834002000000015"</f>
        <v>C2081C03D5880400C834002000000015</v>
      </c>
      <c r="G1412" s="1" t="s">
        <v>26</v>
      </c>
      <c r="H1412" s="1" t="str">
        <f t="shared" si="199"/>
        <v>20220923</v>
      </c>
      <c r="I1412" s="1" t="str">
        <f>"112054"</f>
        <v>112054</v>
      </c>
      <c r="J1412" s="1" t="s">
        <v>60</v>
      </c>
      <c r="K1412" s="1" t="s">
        <v>52</v>
      </c>
      <c r="L1412" s="1" t="str">
        <f t="shared" si="202"/>
        <v>20220923</v>
      </c>
      <c r="M1412" s="1" t="str">
        <f>"112543"</f>
        <v>112543</v>
      </c>
      <c r="N1412" s="1" t="s">
        <v>52</v>
      </c>
      <c r="O1412" s="1" t="s">
        <v>52</v>
      </c>
      <c r="P1412" s="1" t="s">
        <v>68</v>
      </c>
      <c r="Q1412" s="1">
        <v>13</v>
      </c>
      <c r="R1412" s="1">
        <v>0</v>
      </c>
      <c r="S1412" s="1">
        <v>0</v>
      </c>
      <c r="T1412" s="1">
        <v>13</v>
      </c>
      <c r="U1412" s="1">
        <v>0</v>
      </c>
      <c r="V1412" s="1" t="str">
        <f t="shared" si="205"/>
        <v>里程返程</v>
      </c>
      <c r="W1412" s="1" t="s">
        <v>29</v>
      </c>
    </row>
    <row r="1413" spans="1:23" x14ac:dyDescent="0.3">
      <c r="A1413" s="1" t="str">
        <f t="shared" si="203"/>
        <v>59829</v>
      </c>
      <c r="B1413" s="1" t="s">
        <v>47</v>
      </c>
      <c r="C1413" s="1" t="s">
        <v>48</v>
      </c>
      <c r="D1413" s="1" t="str">
        <f t="shared" si="204"/>
        <v>9801</v>
      </c>
      <c r="E1413" s="1" t="s">
        <v>25</v>
      </c>
      <c r="F1413" s="1" t="str">
        <f>"595029601"</f>
        <v>595029601</v>
      </c>
      <c r="G1413" s="1" t="s">
        <v>33</v>
      </c>
      <c r="H1413" s="1" t="str">
        <f t="shared" si="199"/>
        <v>20220923</v>
      </c>
      <c r="I1413" s="1" t="str">
        <f>"113557"</f>
        <v>113557</v>
      </c>
      <c r="J1413" s="1" t="s">
        <v>100</v>
      </c>
      <c r="K1413" s="1" t="s">
        <v>45</v>
      </c>
      <c r="L1413" s="1" t="str">
        <f t="shared" si="202"/>
        <v>20220923</v>
      </c>
      <c r="M1413" s="1" t="str">
        <f>"115339"</f>
        <v>115339</v>
      </c>
      <c r="N1413" s="1" t="s">
        <v>28</v>
      </c>
      <c r="O1413" s="1" t="s">
        <v>28</v>
      </c>
      <c r="P1413" s="1" t="s">
        <v>55</v>
      </c>
      <c r="Q1413" s="1">
        <v>25</v>
      </c>
      <c r="R1413" s="1">
        <v>25</v>
      </c>
      <c r="S1413" s="1">
        <v>0</v>
      </c>
      <c r="T1413" s="1">
        <v>0</v>
      </c>
      <c r="U1413" s="1">
        <v>0</v>
      </c>
      <c r="V1413" s="1" t="str">
        <f t="shared" si="205"/>
        <v>里程返程</v>
      </c>
      <c r="W1413" s="1" t="s">
        <v>35</v>
      </c>
    </row>
    <row r="1414" spans="1:23" x14ac:dyDescent="0.3">
      <c r="A1414" s="1" t="str">
        <f t="shared" si="203"/>
        <v>59829</v>
      </c>
      <c r="B1414" s="1" t="s">
        <v>47</v>
      </c>
      <c r="C1414" s="1" t="s">
        <v>48</v>
      </c>
      <c r="D1414" s="1" t="str">
        <f t="shared" si="204"/>
        <v>9801</v>
      </c>
      <c r="E1414" s="1" t="s">
        <v>25</v>
      </c>
      <c r="F1414" s="1" t="str">
        <f>"185173009"</f>
        <v>185173009</v>
      </c>
      <c r="G1414" s="1" t="s">
        <v>26</v>
      </c>
      <c r="H1414" s="1" t="str">
        <f t="shared" si="199"/>
        <v>20220923</v>
      </c>
      <c r="I1414" s="1" t="str">
        <f>"113558"</f>
        <v>113558</v>
      </c>
      <c r="J1414" s="1" t="s">
        <v>100</v>
      </c>
      <c r="K1414" s="1" t="s">
        <v>45</v>
      </c>
      <c r="L1414" s="1" t="str">
        <f t="shared" si="202"/>
        <v>20220923</v>
      </c>
      <c r="M1414" s="1" t="str">
        <f>"115334"</f>
        <v>115334</v>
      </c>
      <c r="N1414" s="1" t="s">
        <v>28</v>
      </c>
      <c r="O1414" s="1" t="s">
        <v>28</v>
      </c>
      <c r="P1414" s="1" t="s">
        <v>55</v>
      </c>
      <c r="Q1414" s="1">
        <v>13</v>
      </c>
      <c r="R1414" s="1">
        <v>13</v>
      </c>
      <c r="S1414" s="1">
        <v>0</v>
      </c>
      <c r="T1414" s="1">
        <v>0</v>
      </c>
      <c r="U1414" s="1">
        <v>0</v>
      </c>
      <c r="V1414" s="1" t="str">
        <f t="shared" si="205"/>
        <v>里程返程</v>
      </c>
      <c r="W1414" s="1" t="s">
        <v>35</v>
      </c>
    </row>
    <row r="1415" spans="1:23" x14ac:dyDescent="0.3">
      <c r="A1415" s="1" t="str">
        <f t="shared" si="203"/>
        <v>59829</v>
      </c>
      <c r="B1415" s="1" t="s">
        <v>47</v>
      </c>
      <c r="C1415" s="1" t="s">
        <v>48</v>
      </c>
      <c r="D1415" s="1" t="str">
        <f t="shared" si="204"/>
        <v>9801</v>
      </c>
      <c r="E1415" s="1" t="s">
        <v>25</v>
      </c>
      <c r="F1415" s="1" t="str">
        <f>"4250229356"</f>
        <v>4250229356</v>
      </c>
      <c r="G1415" s="1" t="s">
        <v>33</v>
      </c>
      <c r="H1415" s="1" t="str">
        <f t="shared" si="199"/>
        <v>20220923</v>
      </c>
      <c r="I1415" s="1" t="str">
        <f>"115356"</f>
        <v>115356</v>
      </c>
      <c r="J1415" s="1" t="s">
        <v>28</v>
      </c>
      <c r="K1415" s="1" t="s">
        <v>28</v>
      </c>
      <c r="L1415" s="1" t="str">
        <f t="shared" si="202"/>
        <v>20220923</v>
      </c>
      <c r="M1415" s="1" t="str">
        <f>"120742"</f>
        <v>120742</v>
      </c>
      <c r="N1415" s="1" t="s">
        <v>69</v>
      </c>
      <c r="O1415" s="1" t="s">
        <v>52</v>
      </c>
      <c r="P1415" s="1" t="s">
        <v>55</v>
      </c>
      <c r="Q1415" s="1">
        <v>25</v>
      </c>
      <c r="R1415" s="1">
        <v>0</v>
      </c>
      <c r="S1415" s="1">
        <v>25</v>
      </c>
      <c r="T1415" s="1">
        <v>0</v>
      </c>
      <c r="U1415" s="1">
        <v>0</v>
      </c>
      <c r="V1415" s="1" t="str">
        <f t="shared" si="205"/>
        <v>里程返程</v>
      </c>
      <c r="W1415" s="1" t="s">
        <v>35</v>
      </c>
    </row>
    <row r="1416" spans="1:23" x14ac:dyDescent="0.3">
      <c r="A1416" s="1" t="str">
        <f t="shared" si="203"/>
        <v>59829</v>
      </c>
      <c r="B1416" s="1" t="s">
        <v>47</v>
      </c>
      <c r="C1416" s="1" t="s">
        <v>48</v>
      </c>
      <c r="D1416" s="1" t="str">
        <f t="shared" si="204"/>
        <v>9801</v>
      </c>
      <c r="E1416" s="1" t="s">
        <v>25</v>
      </c>
      <c r="F1416" s="1" t="str">
        <f>"831611269"</f>
        <v>831611269</v>
      </c>
      <c r="G1416" s="1" t="s">
        <v>33</v>
      </c>
      <c r="H1416" s="1" t="str">
        <f t="shared" si="199"/>
        <v>20220923</v>
      </c>
      <c r="I1416" s="1" t="str">
        <f>"115402"</f>
        <v>115402</v>
      </c>
      <c r="J1416" s="1" t="s">
        <v>28</v>
      </c>
      <c r="K1416" s="1" t="s">
        <v>28</v>
      </c>
      <c r="L1416" s="1" t="str">
        <f t="shared" si="202"/>
        <v>20220923</v>
      </c>
      <c r="M1416" s="1" t="str">
        <f>"120524"</f>
        <v>120524</v>
      </c>
      <c r="N1416" s="1" t="s">
        <v>78</v>
      </c>
      <c r="O1416" s="1" t="s">
        <v>52</v>
      </c>
      <c r="P1416" s="1" t="s">
        <v>55</v>
      </c>
      <c r="Q1416" s="1">
        <v>25</v>
      </c>
      <c r="R1416" s="1">
        <v>25</v>
      </c>
      <c r="S1416" s="1">
        <v>0</v>
      </c>
      <c r="T1416" s="1">
        <v>0</v>
      </c>
      <c r="U1416" s="1">
        <v>0</v>
      </c>
      <c r="V1416" s="1" t="str">
        <f t="shared" si="205"/>
        <v>里程返程</v>
      </c>
      <c r="W1416" s="1" t="s">
        <v>35</v>
      </c>
    </row>
    <row r="1417" spans="1:23" x14ac:dyDescent="0.3">
      <c r="A1417" s="1" t="str">
        <f t="shared" si="203"/>
        <v>59829</v>
      </c>
      <c r="B1417" s="1" t="s">
        <v>47</v>
      </c>
      <c r="C1417" s="1" t="s">
        <v>48</v>
      </c>
      <c r="D1417" s="1" t="str">
        <f t="shared" si="204"/>
        <v>9801</v>
      </c>
      <c r="E1417" s="1" t="s">
        <v>25</v>
      </c>
      <c r="F1417" s="1" t="str">
        <f>"B0FDEB9C3A880400C08E1E9049800113"</f>
        <v>B0FDEB9C3A880400C08E1E9049800113</v>
      </c>
      <c r="G1417" s="1" t="s">
        <v>58</v>
      </c>
      <c r="H1417" s="1" t="str">
        <f t="shared" si="199"/>
        <v>20220923</v>
      </c>
      <c r="I1417" s="1" t="str">
        <f>"115410"</f>
        <v>115410</v>
      </c>
      <c r="J1417" s="1" t="s">
        <v>28</v>
      </c>
      <c r="K1417" s="1" t="s">
        <v>28</v>
      </c>
      <c r="L1417" s="1" t="str">
        <f t="shared" si="202"/>
        <v>20220923</v>
      </c>
      <c r="M1417" s="1" t="str">
        <f>"121444"</f>
        <v>121444</v>
      </c>
      <c r="N1417" s="1" t="s">
        <v>72</v>
      </c>
      <c r="O1417" s="1" t="s">
        <v>52</v>
      </c>
      <c r="P1417" s="1" t="s">
        <v>55</v>
      </c>
      <c r="Q1417" s="1">
        <v>25</v>
      </c>
      <c r="R1417" s="1">
        <v>25</v>
      </c>
      <c r="S1417" s="1">
        <v>0</v>
      </c>
      <c r="T1417" s="1">
        <v>0</v>
      </c>
      <c r="U1417" s="1">
        <v>0</v>
      </c>
      <c r="V1417" s="1" t="str">
        <f t="shared" si="205"/>
        <v>里程返程</v>
      </c>
      <c r="W1417" s="1" t="s">
        <v>29</v>
      </c>
    </row>
    <row r="1418" spans="1:23" x14ac:dyDescent="0.3">
      <c r="A1418" s="1" t="str">
        <f t="shared" si="203"/>
        <v>59829</v>
      </c>
      <c r="B1418" s="1" t="s">
        <v>47</v>
      </c>
      <c r="C1418" s="1" t="s">
        <v>48</v>
      </c>
      <c r="D1418" s="1" t="str">
        <f t="shared" si="204"/>
        <v>9801</v>
      </c>
      <c r="E1418" s="1" t="s">
        <v>25</v>
      </c>
      <c r="F1418" s="1" t="str">
        <f>"71504069"</f>
        <v>71504069</v>
      </c>
      <c r="G1418" s="1" t="s">
        <v>33</v>
      </c>
      <c r="H1418" s="1" t="str">
        <f t="shared" si="199"/>
        <v>20220923</v>
      </c>
      <c r="I1418" s="1" t="str">
        <f>"185420"</f>
        <v>185420</v>
      </c>
      <c r="J1418" s="1" t="s">
        <v>44</v>
      </c>
      <c r="K1418" s="1" t="s">
        <v>45</v>
      </c>
      <c r="L1418" s="1" t="str">
        <f t="shared" si="202"/>
        <v>20220923</v>
      </c>
      <c r="M1418" s="1" t="str">
        <f>"192140"</f>
        <v>192140</v>
      </c>
      <c r="N1418" s="1" t="s">
        <v>28</v>
      </c>
      <c r="O1418" s="1" t="s">
        <v>28</v>
      </c>
      <c r="P1418" s="1" t="s">
        <v>55</v>
      </c>
      <c r="Q1418" s="1">
        <v>25</v>
      </c>
      <c r="R1418" s="1">
        <v>0</v>
      </c>
      <c r="S1418" s="1">
        <v>25</v>
      </c>
      <c r="T1418" s="1">
        <v>0</v>
      </c>
      <c r="U1418" s="1">
        <v>0</v>
      </c>
      <c r="V1418" s="1" t="str">
        <f t="shared" si="205"/>
        <v>里程返程</v>
      </c>
      <c r="W1418" s="1" t="s">
        <v>35</v>
      </c>
    </row>
    <row r="1419" spans="1:23" x14ac:dyDescent="0.3">
      <c r="A1419" s="1" t="str">
        <f t="shared" ref="A1419:A1426" si="206">"59809"</f>
        <v>59809</v>
      </c>
      <c r="B1419" s="1" t="s">
        <v>42</v>
      </c>
      <c r="C1419" s="1" t="s">
        <v>43</v>
      </c>
      <c r="D1419" s="1" t="str">
        <f t="shared" si="204"/>
        <v>9801</v>
      </c>
      <c r="E1419" s="1" t="s">
        <v>25</v>
      </c>
      <c r="F1419" s="1" t="str">
        <f>"7227671624880400C814002000000019"</f>
        <v>7227671624880400C814002000000019</v>
      </c>
      <c r="G1419" s="1" t="s">
        <v>82</v>
      </c>
      <c r="H1419" s="1" t="str">
        <f t="shared" ref="H1419:H1455" si="207">"20220924"</f>
        <v>20220924</v>
      </c>
      <c r="I1419" s="1" t="str">
        <f>"172707"</f>
        <v>172707</v>
      </c>
      <c r="J1419" s="1" t="s">
        <v>44</v>
      </c>
      <c r="K1419" s="1" t="s">
        <v>45</v>
      </c>
      <c r="L1419" s="1" t="str">
        <f t="shared" ref="L1419:L1455" si="208">"20220924"</f>
        <v>20220924</v>
      </c>
      <c r="M1419" s="1" t="str">
        <f>"175054"</f>
        <v>175054</v>
      </c>
      <c r="N1419" s="1" t="s">
        <v>28</v>
      </c>
      <c r="O1419" s="1" t="s">
        <v>28</v>
      </c>
      <c r="P1419" s="1" t="s">
        <v>55</v>
      </c>
      <c r="Q1419" s="1">
        <v>13</v>
      </c>
      <c r="R1419" s="1">
        <v>0</v>
      </c>
      <c r="S1419" s="1">
        <v>13</v>
      </c>
      <c r="T1419" s="1">
        <v>0</v>
      </c>
      <c r="U1419" s="1">
        <v>0</v>
      </c>
      <c r="V1419" s="1" t="str">
        <f t="shared" si="205"/>
        <v>里程返程</v>
      </c>
      <c r="W1419" s="1" t="s">
        <v>29</v>
      </c>
    </row>
    <row r="1420" spans="1:23" x14ac:dyDescent="0.3">
      <c r="A1420" s="1" t="str">
        <f t="shared" si="206"/>
        <v>59809</v>
      </c>
      <c r="B1420" s="1" t="s">
        <v>42</v>
      </c>
      <c r="C1420" s="1" t="s">
        <v>43</v>
      </c>
      <c r="D1420" s="1" t="str">
        <f t="shared" si="204"/>
        <v>9801</v>
      </c>
      <c r="E1420" s="1" t="s">
        <v>25</v>
      </c>
      <c r="F1420" s="1" t="str">
        <f>"0202511647880400C814002000000019"</f>
        <v>0202511647880400C814002000000019</v>
      </c>
      <c r="G1420" s="1" t="s">
        <v>66</v>
      </c>
      <c r="H1420" s="1" t="str">
        <f t="shared" si="207"/>
        <v>20220924</v>
      </c>
      <c r="I1420" s="1" t="str">
        <f>"172710"</f>
        <v>172710</v>
      </c>
      <c r="J1420" s="1" t="s">
        <v>44</v>
      </c>
      <c r="K1420" s="1" t="s">
        <v>45</v>
      </c>
      <c r="L1420" s="1" t="str">
        <f t="shared" si="208"/>
        <v>20220924</v>
      </c>
      <c r="M1420" s="1" t="str">
        <f>"175057"</f>
        <v>175057</v>
      </c>
      <c r="N1420" s="1" t="s">
        <v>28</v>
      </c>
      <c r="O1420" s="1" t="s">
        <v>28</v>
      </c>
      <c r="P1420" s="1" t="s">
        <v>55</v>
      </c>
      <c r="Q1420" s="1">
        <v>13</v>
      </c>
      <c r="R1420" s="1">
        <v>0</v>
      </c>
      <c r="S1420" s="1">
        <v>13</v>
      </c>
      <c r="T1420" s="1">
        <v>0</v>
      </c>
      <c r="U1420" s="1">
        <v>0</v>
      </c>
      <c r="V1420" s="1" t="str">
        <f t="shared" si="205"/>
        <v>里程返程</v>
      </c>
      <c r="W1420" s="1" t="s">
        <v>29</v>
      </c>
    </row>
    <row r="1421" spans="1:23" x14ac:dyDescent="0.3">
      <c r="A1421" s="1" t="str">
        <f t="shared" si="206"/>
        <v>59809</v>
      </c>
      <c r="B1421" s="1" t="s">
        <v>42</v>
      </c>
      <c r="C1421" s="1" t="s">
        <v>43</v>
      </c>
      <c r="D1421" s="1" t="str">
        <f t="shared" si="204"/>
        <v>9801</v>
      </c>
      <c r="E1421" s="1" t="s">
        <v>25</v>
      </c>
      <c r="F1421" s="1" t="str">
        <f>"1601789349"</f>
        <v>1601789349</v>
      </c>
      <c r="G1421" s="1" t="s">
        <v>33</v>
      </c>
      <c r="H1421" s="1" t="str">
        <f t="shared" si="207"/>
        <v>20220924</v>
      </c>
      <c r="I1421" s="1" t="str">
        <f>"172727"</f>
        <v>172727</v>
      </c>
      <c r="J1421" s="1" t="s">
        <v>44</v>
      </c>
      <c r="K1421" s="1" t="s">
        <v>45</v>
      </c>
      <c r="L1421" s="1" t="str">
        <f t="shared" si="208"/>
        <v>20220924</v>
      </c>
      <c r="M1421" s="1" t="str">
        <f>"175106"</f>
        <v>175106</v>
      </c>
      <c r="N1421" s="1" t="s">
        <v>28</v>
      </c>
      <c r="O1421" s="1" t="s">
        <v>28</v>
      </c>
      <c r="P1421" s="1" t="s">
        <v>55</v>
      </c>
      <c r="Q1421" s="1">
        <v>25</v>
      </c>
      <c r="R1421" s="1">
        <v>25</v>
      </c>
      <c r="S1421" s="1">
        <v>0</v>
      </c>
      <c r="T1421" s="1">
        <v>0</v>
      </c>
      <c r="U1421" s="1">
        <v>0</v>
      </c>
      <c r="V1421" s="1" t="str">
        <f t="shared" si="205"/>
        <v>里程返程</v>
      </c>
      <c r="W1421" s="1" t="s">
        <v>35</v>
      </c>
    </row>
    <row r="1422" spans="1:23" x14ac:dyDescent="0.3">
      <c r="A1422" s="1" t="str">
        <f t="shared" si="206"/>
        <v>59809</v>
      </c>
      <c r="B1422" s="1" t="s">
        <v>42</v>
      </c>
      <c r="C1422" s="1" t="s">
        <v>43</v>
      </c>
      <c r="D1422" s="1" t="str">
        <f t="shared" si="204"/>
        <v>9801</v>
      </c>
      <c r="E1422" s="1" t="s">
        <v>25</v>
      </c>
      <c r="F1422" s="1" t="str">
        <f>"1772257061"</f>
        <v>1772257061</v>
      </c>
      <c r="G1422" s="1" t="s">
        <v>33</v>
      </c>
      <c r="H1422" s="1" t="str">
        <f t="shared" si="207"/>
        <v>20220924</v>
      </c>
      <c r="I1422" s="1" t="str">
        <f>"172732"</f>
        <v>172732</v>
      </c>
      <c r="J1422" s="1" t="s">
        <v>44</v>
      </c>
      <c r="K1422" s="1" t="s">
        <v>45</v>
      </c>
      <c r="L1422" s="1" t="str">
        <f t="shared" si="208"/>
        <v>20220924</v>
      </c>
      <c r="M1422" s="1" t="str">
        <f>"175102"</f>
        <v>175102</v>
      </c>
      <c r="N1422" s="1" t="s">
        <v>28</v>
      </c>
      <c r="O1422" s="1" t="s">
        <v>28</v>
      </c>
      <c r="P1422" s="1" t="s">
        <v>55</v>
      </c>
      <c r="Q1422" s="1">
        <v>25</v>
      </c>
      <c r="R1422" s="1">
        <v>25</v>
      </c>
      <c r="S1422" s="1">
        <v>0</v>
      </c>
      <c r="T1422" s="1">
        <v>0</v>
      </c>
      <c r="U1422" s="1">
        <v>0</v>
      </c>
      <c r="V1422" s="1" t="str">
        <f t="shared" si="205"/>
        <v>里程返程</v>
      </c>
      <c r="W1422" s="1" t="s">
        <v>35</v>
      </c>
    </row>
    <row r="1423" spans="1:23" x14ac:dyDescent="0.3">
      <c r="A1423" s="1" t="str">
        <f t="shared" si="206"/>
        <v>59809</v>
      </c>
      <c r="B1423" s="1" t="s">
        <v>42</v>
      </c>
      <c r="C1423" s="1" t="s">
        <v>43</v>
      </c>
      <c r="D1423" s="1" t="str">
        <f t="shared" si="204"/>
        <v>9801</v>
      </c>
      <c r="E1423" s="1" t="s">
        <v>25</v>
      </c>
      <c r="F1423" s="1" t="str">
        <f>"234627749"</f>
        <v>234627749</v>
      </c>
      <c r="G1423" s="1" t="s">
        <v>33</v>
      </c>
      <c r="H1423" s="1" t="str">
        <f t="shared" si="207"/>
        <v>20220924</v>
      </c>
      <c r="I1423" s="1" t="str">
        <f>"182440"</f>
        <v>182440</v>
      </c>
      <c r="J1423" s="1" t="s">
        <v>44</v>
      </c>
      <c r="K1423" s="1" t="s">
        <v>45</v>
      </c>
      <c r="L1423" s="1" t="str">
        <f t="shared" si="208"/>
        <v>20220924</v>
      </c>
      <c r="M1423" s="1" t="str">
        <f>"185032"</f>
        <v>185032</v>
      </c>
      <c r="N1423" s="1" t="s">
        <v>28</v>
      </c>
      <c r="O1423" s="1" t="s">
        <v>28</v>
      </c>
      <c r="P1423" s="1" t="s">
        <v>55</v>
      </c>
      <c r="Q1423" s="1">
        <v>25</v>
      </c>
      <c r="R1423" s="1">
        <v>0</v>
      </c>
      <c r="S1423" s="1">
        <v>25</v>
      </c>
      <c r="T1423" s="1">
        <v>0</v>
      </c>
      <c r="U1423" s="1">
        <v>0</v>
      </c>
      <c r="V1423" s="1" t="str">
        <f t="shared" si="205"/>
        <v>里程返程</v>
      </c>
      <c r="W1423" s="1" t="s">
        <v>35</v>
      </c>
    </row>
    <row r="1424" spans="1:23" x14ac:dyDescent="0.3">
      <c r="A1424" s="1" t="str">
        <f t="shared" si="206"/>
        <v>59809</v>
      </c>
      <c r="B1424" s="1" t="s">
        <v>42</v>
      </c>
      <c r="C1424" s="1" t="s">
        <v>43</v>
      </c>
      <c r="D1424" s="1" t="str">
        <f t="shared" si="204"/>
        <v>9801</v>
      </c>
      <c r="E1424" s="1" t="s">
        <v>25</v>
      </c>
      <c r="F1424" s="1" t="str">
        <f>"3183631402"</f>
        <v>3183631402</v>
      </c>
      <c r="G1424" s="1" t="s">
        <v>33</v>
      </c>
      <c r="H1424" s="1" t="str">
        <f t="shared" si="207"/>
        <v>20220924</v>
      </c>
      <c r="I1424" s="1" t="str">
        <f>"185040"</f>
        <v>185040</v>
      </c>
      <c r="J1424" s="1" t="s">
        <v>28</v>
      </c>
      <c r="K1424" s="1" t="s">
        <v>28</v>
      </c>
      <c r="L1424" s="1" t="str">
        <f t="shared" si="208"/>
        <v>20220924</v>
      </c>
      <c r="M1424" s="1" t="str">
        <f>"192107"</f>
        <v>192107</v>
      </c>
      <c r="N1424" s="1" t="s">
        <v>52</v>
      </c>
      <c r="O1424" s="1" t="s">
        <v>52</v>
      </c>
      <c r="P1424" s="1" t="s">
        <v>55</v>
      </c>
      <c r="Q1424" s="1">
        <v>25</v>
      </c>
      <c r="R1424" s="1">
        <v>25</v>
      </c>
      <c r="S1424" s="1">
        <v>0</v>
      </c>
      <c r="T1424" s="1">
        <v>0</v>
      </c>
      <c r="U1424" s="1">
        <v>0</v>
      </c>
      <c r="V1424" s="1" t="str">
        <f t="shared" si="205"/>
        <v>里程返程</v>
      </c>
      <c r="W1424" s="1" t="s">
        <v>35</v>
      </c>
    </row>
    <row r="1425" spans="1:23" x14ac:dyDescent="0.3">
      <c r="A1425" s="1" t="str">
        <f t="shared" si="206"/>
        <v>59809</v>
      </c>
      <c r="B1425" s="1" t="s">
        <v>42</v>
      </c>
      <c r="C1425" s="1" t="s">
        <v>43</v>
      </c>
      <c r="D1425" s="1" t="str">
        <f t="shared" si="204"/>
        <v>9801</v>
      </c>
      <c r="E1425" s="1" t="s">
        <v>25</v>
      </c>
      <c r="F1425" s="1" t="str">
        <f>"2073901531"</f>
        <v>2073901531</v>
      </c>
      <c r="G1425" s="1" t="s">
        <v>33</v>
      </c>
      <c r="H1425" s="1" t="str">
        <f t="shared" si="207"/>
        <v>20220924</v>
      </c>
      <c r="I1425" s="1" t="str">
        <f>"185052"</f>
        <v>185052</v>
      </c>
      <c r="J1425" s="1" t="s">
        <v>28</v>
      </c>
      <c r="K1425" s="1" t="s">
        <v>28</v>
      </c>
      <c r="L1425" s="1" t="str">
        <f t="shared" si="208"/>
        <v>20220924</v>
      </c>
      <c r="M1425" s="1" t="str">
        <f>"192133"</f>
        <v>192133</v>
      </c>
      <c r="N1425" s="1" t="s">
        <v>52</v>
      </c>
      <c r="O1425" s="1" t="s">
        <v>52</v>
      </c>
      <c r="P1425" s="1" t="s">
        <v>55</v>
      </c>
      <c r="Q1425" s="1">
        <v>25</v>
      </c>
      <c r="R1425" s="1">
        <v>25</v>
      </c>
      <c r="S1425" s="1">
        <v>0</v>
      </c>
      <c r="T1425" s="1">
        <v>0</v>
      </c>
      <c r="U1425" s="1">
        <v>0</v>
      </c>
      <c r="V1425" s="1" t="str">
        <f t="shared" si="205"/>
        <v>里程返程</v>
      </c>
      <c r="W1425" s="1" t="s">
        <v>35</v>
      </c>
    </row>
    <row r="1426" spans="1:23" x14ac:dyDescent="0.3">
      <c r="A1426" s="1" t="str">
        <f t="shared" si="206"/>
        <v>59809</v>
      </c>
      <c r="B1426" s="1" t="s">
        <v>42</v>
      </c>
      <c r="C1426" s="1" t="s">
        <v>43</v>
      </c>
      <c r="D1426" s="1" t="str">
        <f t="shared" si="204"/>
        <v>9801</v>
      </c>
      <c r="E1426" s="1" t="s">
        <v>25</v>
      </c>
      <c r="F1426" s="1" t="str">
        <f>"5227A419C8880400C824002000000020"</f>
        <v>5227A419C8880400C824002000000020</v>
      </c>
      <c r="G1426" s="1" t="s">
        <v>59</v>
      </c>
      <c r="H1426" s="1" t="str">
        <f t="shared" si="207"/>
        <v>20220924</v>
      </c>
      <c r="I1426" s="1" t="str">
        <f>"185103"</f>
        <v>185103</v>
      </c>
      <c r="J1426" s="1" t="s">
        <v>28</v>
      </c>
      <c r="K1426" s="1" t="s">
        <v>28</v>
      </c>
      <c r="L1426" s="1" t="str">
        <f t="shared" si="208"/>
        <v>20220924</v>
      </c>
      <c r="M1426" s="1" t="str">
        <f>"192128"</f>
        <v>192128</v>
      </c>
      <c r="N1426" s="1" t="s">
        <v>52</v>
      </c>
      <c r="O1426" s="1" t="s">
        <v>52</v>
      </c>
      <c r="P1426" s="1" t="s">
        <v>55</v>
      </c>
      <c r="Q1426" s="1">
        <v>25</v>
      </c>
      <c r="R1426" s="1">
        <v>25</v>
      </c>
      <c r="S1426" s="1">
        <v>0</v>
      </c>
      <c r="T1426" s="1">
        <v>0</v>
      </c>
      <c r="U1426" s="1">
        <v>0</v>
      </c>
      <c r="V1426" s="1" t="str">
        <f t="shared" si="205"/>
        <v>里程返程</v>
      </c>
      <c r="W1426" s="1" t="s">
        <v>29</v>
      </c>
    </row>
    <row r="1427" spans="1:23" x14ac:dyDescent="0.3">
      <c r="A1427" s="1" t="str">
        <f t="shared" ref="A1427:A1444" si="209">"59820"</f>
        <v>59820</v>
      </c>
      <c r="B1427" s="1" t="s">
        <v>53</v>
      </c>
      <c r="C1427" s="1" t="s">
        <v>54</v>
      </c>
      <c r="D1427" s="1" t="str">
        <f t="shared" si="204"/>
        <v>9801</v>
      </c>
      <c r="E1427" s="1" t="s">
        <v>25</v>
      </c>
      <c r="F1427" s="1" t="str">
        <f>"C2E1D306F6880400C838002000000015"</f>
        <v>C2E1D306F6880400C838002000000015</v>
      </c>
      <c r="G1427" s="1" t="s">
        <v>26</v>
      </c>
      <c r="H1427" s="1" t="str">
        <f t="shared" si="207"/>
        <v>20220924</v>
      </c>
      <c r="I1427" s="1" t="str">
        <f>"084925"</f>
        <v>084925</v>
      </c>
      <c r="J1427" s="1" t="s">
        <v>28</v>
      </c>
      <c r="K1427" s="1" t="s">
        <v>28</v>
      </c>
      <c r="L1427" s="1" t="str">
        <f t="shared" si="208"/>
        <v>20220924</v>
      </c>
      <c r="M1427" s="1" t="str">
        <f>"092001"</f>
        <v>092001</v>
      </c>
      <c r="N1427" s="1" t="s">
        <v>60</v>
      </c>
      <c r="O1427" s="1" t="s">
        <v>52</v>
      </c>
      <c r="P1427" s="1" t="s">
        <v>68</v>
      </c>
      <c r="Q1427" s="1">
        <v>13</v>
      </c>
      <c r="R1427" s="1">
        <v>0</v>
      </c>
      <c r="S1427" s="1">
        <v>0</v>
      </c>
      <c r="T1427" s="1">
        <v>13</v>
      </c>
      <c r="U1427" s="1">
        <v>0</v>
      </c>
      <c r="V1427" s="1" t="str">
        <f t="shared" si="205"/>
        <v>里程返程</v>
      </c>
      <c r="W1427" s="1" t="s">
        <v>29</v>
      </c>
    </row>
    <row r="1428" spans="1:23" x14ac:dyDescent="0.3">
      <c r="A1428" s="1" t="str">
        <f t="shared" si="209"/>
        <v>59820</v>
      </c>
      <c r="B1428" s="1" t="s">
        <v>53</v>
      </c>
      <c r="C1428" s="1" t="s">
        <v>54</v>
      </c>
      <c r="D1428" s="1" t="str">
        <f t="shared" si="204"/>
        <v>9801</v>
      </c>
      <c r="E1428" s="1" t="s">
        <v>25</v>
      </c>
      <c r="F1428" s="1" t="str">
        <f>"32780D0344880400C834002000000015"</f>
        <v>32780D0344880400C834002000000015</v>
      </c>
      <c r="G1428" s="1" t="s">
        <v>26</v>
      </c>
      <c r="H1428" s="1" t="str">
        <f t="shared" si="207"/>
        <v>20220924</v>
      </c>
      <c r="I1428" s="1" t="str">
        <f>"095627"</f>
        <v>095627</v>
      </c>
      <c r="J1428" s="1" t="s">
        <v>41</v>
      </c>
      <c r="K1428" s="1" t="s">
        <v>28</v>
      </c>
      <c r="L1428" s="1" t="str">
        <f t="shared" si="208"/>
        <v>20220924</v>
      </c>
      <c r="M1428" s="1" t="str">
        <f>"102212"</f>
        <v>102212</v>
      </c>
      <c r="N1428" s="1" t="s">
        <v>52</v>
      </c>
      <c r="O1428" s="1" t="s">
        <v>52</v>
      </c>
      <c r="P1428" s="1" t="s">
        <v>68</v>
      </c>
      <c r="Q1428" s="1">
        <v>13</v>
      </c>
      <c r="R1428" s="1">
        <v>0</v>
      </c>
      <c r="S1428" s="1">
        <v>0</v>
      </c>
      <c r="T1428" s="1">
        <v>13</v>
      </c>
      <c r="U1428" s="1">
        <v>0</v>
      </c>
      <c r="V1428" s="1" t="str">
        <f t="shared" si="205"/>
        <v>里程返程</v>
      </c>
      <c r="W1428" s="1" t="s">
        <v>29</v>
      </c>
    </row>
    <row r="1429" spans="1:23" x14ac:dyDescent="0.3">
      <c r="A1429" s="1" t="str">
        <f t="shared" si="209"/>
        <v>59820</v>
      </c>
      <c r="B1429" s="1" t="s">
        <v>53</v>
      </c>
      <c r="C1429" s="1" t="s">
        <v>54</v>
      </c>
      <c r="D1429" s="1" t="str">
        <f t="shared" si="204"/>
        <v>9801</v>
      </c>
      <c r="E1429" s="1" t="s">
        <v>25</v>
      </c>
      <c r="F1429" s="1" t="str">
        <f>"660537722"</f>
        <v>660537722</v>
      </c>
      <c r="G1429" s="1" t="s">
        <v>74</v>
      </c>
      <c r="H1429" s="1" t="str">
        <f t="shared" si="207"/>
        <v>20220924</v>
      </c>
      <c r="I1429" s="1" t="str">
        <f>"103959"</f>
        <v>103959</v>
      </c>
      <c r="J1429" s="1" t="s">
        <v>56</v>
      </c>
      <c r="K1429" s="1" t="s">
        <v>45</v>
      </c>
      <c r="L1429" s="1" t="str">
        <f t="shared" si="208"/>
        <v>20220924</v>
      </c>
      <c r="M1429" s="1" t="str">
        <f>"105059"</f>
        <v>105059</v>
      </c>
      <c r="N1429" s="1" t="s">
        <v>28</v>
      </c>
      <c r="O1429" s="1" t="s">
        <v>28</v>
      </c>
      <c r="P1429" s="1" t="s">
        <v>55</v>
      </c>
      <c r="Q1429" s="1">
        <v>13</v>
      </c>
      <c r="R1429" s="1">
        <v>13</v>
      </c>
      <c r="S1429" s="1">
        <v>0</v>
      </c>
      <c r="T1429" s="1">
        <v>0</v>
      </c>
      <c r="U1429" s="1">
        <v>0</v>
      </c>
      <c r="V1429" s="1" t="str">
        <f t="shared" si="205"/>
        <v>里程返程</v>
      </c>
      <c r="W1429" s="1" t="s">
        <v>35</v>
      </c>
    </row>
    <row r="1430" spans="1:23" x14ac:dyDescent="0.3">
      <c r="A1430" s="1" t="str">
        <f t="shared" si="209"/>
        <v>59820</v>
      </c>
      <c r="B1430" s="1" t="s">
        <v>53</v>
      </c>
      <c r="C1430" s="1" t="s">
        <v>54</v>
      </c>
      <c r="D1430" s="1" t="str">
        <f t="shared" si="204"/>
        <v>9801</v>
      </c>
      <c r="E1430" s="1" t="s">
        <v>25</v>
      </c>
      <c r="F1430" s="1" t="str">
        <f>"F25B1B03B1880400C834002000000015"</f>
        <v>F25B1B03B1880400C834002000000015</v>
      </c>
      <c r="G1430" s="1" t="s">
        <v>26</v>
      </c>
      <c r="H1430" s="1" t="str">
        <f t="shared" si="207"/>
        <v>20220924</v>
      </c>
      <c r="I1430" s="1" t="str">
        <f>"105122"</f>
        <v>105122</v>
      </c>
      <c r="J1430" s="1" t="s">
        <v>28</v>
      </c>
      <c r="K1430" s="1" t="s">
        <v>28</v>
      </c>
      <c r="L1430" s="1" t="str">
        <f t="shared" si="208"/>
        <v>20220924</v>
      </c>
      <c r="M1430" s="1" t="str">
        <f>"111819"</f>
        <v>111819</v>
      </c>
      <c r="N1430" s="1" t="s">
        <v>60</v>
      </c>
      <c r="O1430" s="1" t="s">
        <v>52</v>
      </c>
      <c r="P1430" s="1" t="s">
        <v>68</v>
      </c>
      <c r="Q1430" s="1">
        <v>13</v>
      </c>
      <c r="R1430" s="1">
        <v>0</v>
      </c>
      <c r="S1430" s="1">
        <v>0</v>
      </c>
      <c r="T1430" s="1">
        <v>13</v>
      </c>
      <c r="U1430" s="1">
        <v>0</v>
      </c>
      <c r="V1430" s="1" t="str">
        <f t="shared" si="205"/>
        <v>里程返程</v>
      </c>
      <c r="W1430" s="1" t="s">
        <v>29</v>
      </c>
    </row>
    <row r="1431" spans="1:23" x14ac:dyDescent="0.3">
      <c r="A1431" s="1" t="str">
        <f t="shared" si="209"/>
        <v>59820</v>
      </c>
      <c r="B1431" s="1" t="s">
        <v>53</v>
      </c>
      <c r="C1431" s="1" t="s">
        <v>54</v>
      </c>
      <c r="D1431" s="1" t="str">
        <f t="shared" si="204"/>
        <v>9801</v>
      </c>
      <c r="E1431" s="1" t="s">
        <v>25</v>
      </c>
      <c r="F1431" s="1" t="str">
        <f>"774923793"</f>
        <v>774923793</v>
      </c>
      <c r="G1431" s="1" t="s">
        <v>33</v>
      </c>
      <c r="H1431" s="1" t="str">
        <f t="shared" si="207"/>
        <v>20220924</v>
      </c>
      <c r="I1431" s="1" t="str">
        <f>"105133"</f>
        <v>105133</v>
      </c>
      <c r="J1431" s="1" t="s">
        <v>28</v>
      </c>
      <c r="K1431" s="1" t="s">
        <v>28</v>
      </c>
      <c r="L1431" s="1" t="str">
        <f t="shared" si="208"/>
        <v>20220924</v>
      </c>
      <c r="M1431" s="1" t="str">
        <f>"111320"</f>
        <v>111320</v>
      </c>
      <c r="N1431" s="1" t="s">
        <v>65</v>
      </c>
      <c r="O1431" s="1" t="s">
        <v>52</v>
      </c>
      <c r="P1431" s="1" t="s">
        <v>55</v>
      </c>
      <c r="Q1431" s="1">
        <v>25</v>
      </c>
      <c r="R1431" s="1">
        <v>25</v>
      </c>
      <c r="S1431" s="1">
        <v>0</v>
      </c>
      <c r="T1431" s="1">
        <v>0</v>
      </c>
      <c r="U1431" s="1">
        <v>0</v>
      </c>
      <c r="V1431" s="1" t="str">
        <f t="shared" si="205"/>
        <v>里程返程</v>
      </c>
      <c r="W1431" s="1" t="s">
        <v>35</v>
      </c>
    </row>
    <row r="1432" spans="1:23" x14ac:dyDescent="0.3">
      <c r="A1432" s="1" t="str">
        <f t="shared" si="209"/>
        <v>59820</v>
      </c>
      <c r="B1432" s="1" t="s">
        <v>53</v>
      </c>
      <c r="C1432" s="1" t="s">
        <v>54</v>
      </c>
      <c r="D1432" s="1" t="str">
        <f t="shared" si="204"/>
        <v>9801</v>
      </c>
      <c r="E1432" s="1" t="s">
        <v>25</v>
      </c>
      <c r="F1432" s="1" t="str">
        <f>"610D5E5B692804001C00000000000000"</f>
        <v>610D5E5B692804001C00000000000000</v>
      </c>
      <c r="G1432" s="1" t="s">
        <v>58</v>
      </c>
      <c r="H1432" s="1" t="str">
        <f t="shared" si="207"/>
        <v>20220924</v>
      </c>
      <c r="I1432" s="1" t="str">
        <f>"105146"</f>
        <v>105146</v>
      </c>
      <c r="J1432" s="1" t="s">
        <v>28</v>
      </c>
      <c r="K1432" s="1" t="s">
        <v>28</v>
      </c>
      <c r="L1432" s="1" t="str">
        <f t="shared" si="208"/>
        <v>20220924</v>
      </c>
      <c r="M1432" s="1" t="str">
        <f>"111318"</f>
        <v>111318</v>
      </c>
      <c r="N1432" s="1" t="s">
        <v>65</v>
      </c>
      <c r="O1432" s="1" t="s">
        <v>52</v>
      </c>
      <c r="P1432" s="1" t="s">
        <v>55</v>
      </c>
      <c r="Q1432" s="1">
        <v>25</v>
      </c>
      <c r="R1432" s="1">
        <v>25</v>
      </c>
      <c r="S1432" s="1">
        <v>0</v>
      </c>
      <c r="T1432" s="1">
        <v>0</v>
      </c>
      <c r="U1432" s="1">
        <v>0</v>
      </c>
      <c r="V1432" s="1" t="str">
        <f t="shared" si="205"/>
        <v>里程返程</v>
      </c>
      <c r="W1432" s="1" t="s">
        <v>29</v>
      </c>
    </row>
    <row r="1433" spans="1:23" x14ac:dyDescent="0.3">
      <c r="A1433" s="1" t="str">
        <f t="shared" si="209"/>
        <v>59820</v>
      </c>
      <c r="B1433" s="1" t="s">
        <v>53</v>
      </c>
      <c r="C1433" s="1" t="s">
        <v>54</v>
      </c>
      <c r="D1433" s="1" t="str">
        <f t="shared" si="204"/>
        <v>9801</v>
      </c>
      <c r="E1433" s="1" t="s">
        <v>25</v>
      </c>
      <c r="F1433" s="1" t="str">
        <f>"82D5FB02AE880400C834002000000015"</f>
        <v>82D5FB02AE880400C834002000000015</v>
      </c>
      <c r="G1433" s="1" t="s">
        <v>26</v>
      </c>
      <c r="H1433" s="1" t="str">
        <f t="shared" si="207"/>
        <v>20220924</v>
      </c>
      <c r="I1433" s="1" t="str">
        <f>"111430"</f>
        <v>111430</v>
      </c>
      <c r="J1433" s="1" t="s">
        <v>72</v>
      </c>
      <c r="K1433" s="1" t="s">
        <v>52</v>
      </c>
      <c r="L1433" s="1" t="str">
        <f t="shared" si="208"/>
        <v>20220924</v>
      </c>
      <c r="M1433" s="1" t="str">
        <f>"111634"</f>
        <v>111634</v>
      </c>
      <c r="N1433" s="1" t="s">
        <v>51</v>
      </c>
      <c r="O1433" s="1" t="s">
        <v>52</v>
      </c>
      <c r="P1433" s="1" t="s">
        <v>68</v>
      </c>
      <c r="Q1433" s="1">
        <v>13</v>
      </c>
      <c r="R1433" s="1">
        <v>0</v>
      </c>
      <c r="S1433" s="1">
        <v>0</v>
      </c>
      <c r="T1433" s="1">
        <v>13</v>
      </c>
      <c r="U1433" s="1">
        <v>0</v>
      </c>
      <c r="V1433" s="1" t="str">
        <f t="shared" si="205"/>
        <v>里程返程</v>
      </c>
      <c r="W1433" s="1" t="s">
        <v>29</v>
      </c>
    </row>
    <row r="1434" spans="1:23" x14ac:dyDescent="0.3">
      <c r="A1434" s="1" t="str">
        <f t="shared" si="209"/>
        <v>59820</v>
      </c>
      <c r="B1434" s="1" t="s">
        <v>53</v>
      </c>
      <c r="C1434" s="1" t="s">
        <v>54</v>
      </c>
      <c r="D1434" s="1" t="str">
        <f t="shared" si="204"/>
        <v>9801</v>
      </c>
      <c r="E1434" s="1" t="s">
        <v>25</v>
      </c>
      <c r="F1434" s="1" t="str">
        <f>"72C1BC111E28040080CEBCD141912418"</f>
        <v>72C1BC111E28040080CEBCD141912418</v>
      </c>
      <c r="G1434" s="1" t="s">
        <v>59</v>
      </c>
      <c r="H1434" s="1" t="str">
        <f t="shared" si="207"/>
        <v>20220924</v>
      </c>
      <c r="I1434" s="1" t="str">
        <f>"112731"</f>
        <v>112731</v>
      </c>
      <c r="J1434" s="1" t="s">
        <v>44</v>
      </c>
      <c r="K1434" s="1" t="s">
        <v>45</v>
      </c>
      <c r="L1434" s="1" t="str">
        <f t="shared" si="208"/>
        <v>20220924</v>
      </c>
      <c r="M1434" s="1" t="str">
        <f>"113450"</f>
        <v>113450</v>
      </c>
      <c r="N1434" s="1" t="s">
        <v>91</v>
      </c>
      <c r="O1434" s="1" t="s">
        <v>45</v>
      </c>
      <c r="P1434" s="1" t="s">
        <v>55</v>
      </c>
      <c r="Q1434" s="1">
        <v>25</v>
      </c>
      <c r="R1434" s="1">
        <v>25</v>
      </c>
      <c r="S1434" s="1">
        <v>0</v>
      </c>
      <c r="T1434" s="1">
        <v>0</v>
      </c>
      <c r="U1434" s="1">
        <v>0</v>
      </c>
      <c r="V1434" s="1" t="str">
        <f t="shared" si="205"/>
        <v>里程返程</v>
      </c>
      <c r="W1434" s="1" t="s">
        <v>29</v>
      </c>
    </row>
    <row r="1435" spans="1:23" x14ac:dyDescent="0.3">
      <c r="A1435" s="1" t="str">
        <f t="shared" si="209"/>
        <v>59820</v>
      </c>
      <c r="B1435" s="1" t="s">
        <v>53</v>
      </c>
      <c r="C1435" s="1" t="s">
        <v>54</v>
      </c>
      <c r="D1435" s="1" t="str">
        <f t="shared" si="204"/>
        <v>9801</v>
      </c>
      <c r="E1435" s="1" t="s">
        <v>25</v>
      </c>
      <c r="F1435" s="1" t="str">
        <f>"32780D0344880400C834002000000015"</f>
        <v>32780D0344880400C834002000000015</v>
      </c>
      <c r="G1435" s="1" t="s">
        <v>26</v>
      </c>
      <c r="H1435" s="1" t="str">
        <f t="shared" si="207"/>
        <v>20220924</v>
      </c>
      <c r="I1435" s="1" t="str">
        <f>"112936"</f>
        <v>112936</v>
      </c>
      <c r="J1435" s="1" t="s">
        <v>44</v>
      </c>
      <c r="K1435" s="1" t="s">
        <v>45</v>
      </c>
      <c r="L1435" s="1" t="str">
        <f t="shared" si="208"/>
        <v>20220924</v>
      </c>
      <c r="M1435" s="1" t="str">
        <f>"114837"</f>
        <v>114837</v>
      </c>
      <c r="N1435" s="1" t="s">
        <v>95</v>
      </c>
      <c r="O1435" s="1" t="s">
        <v>28</v>
      </c>
      <c r="P1435" s="1" t="s">
        <v>68</v>
      </c>
      <c r="Q1435" s="1">
        <v>13</v>
      </c>
      <c r="R1435" s="1">
        <v>0</v>
      </c>
      <c r="S1435" s="1">
        <v>0</v>
      </c>
      <c r="T1435" s="1">
        <v>13</v>
      </c>
      <c r="U1435" s="1">
        <v>0</v>
      </c>
      <c r="V1435" s="1" t="str">
        <f t="shared" si="205"/>
        <v>里程返程</v>
      </c>
      <c r="W1435" s="1" t="s">
        <v>29</v>
      </c>
    </row>
    <row r="1436" spans="1:23" x14ac:dyDescent="0.3">
      <c r="A1436" s="1" t="str">
        <f t="shared" si="209"/>
        <v>59820</v>
      </c>
      <c r="B1436" s="1" t="s">
        <v>53</v>
      </c>
      <c r="C1436" s="1" t="s">
        <v>54</v>
      </c>
      <c r="D1436" s="1" t="str">
        <f t="shared" si="204"/>
        <v>9801</v>
      </c>
      <c r="E1436" s="1" t="s">
        <v>25</v>
      </c>
      <c r="F1436" s="1" t="str">
        <f>"3589896026"</f>
        <v>3589896026</v>
      </c>
      <c r="G1436" s="1" t="s">
        <v>33</v>
      </c>
      <c r="H1436" s="1" t="str">
        <f t="shared" si="207"/>
        <v>20220924</v>
      </c>
      <c r="I1436" s="1" t="str">
        <f>"113858"</f>
        <v>113858</v>
      </c>
      <c r="J1436" s="1" t="s">
        <v>56</v>
      </c>
      <c r="K1436" s="1" t="s">
        <v>45</v>
      </c>
      <c r="L1436" s="1" t="str">
        <f t="shared" si="208"/>
        <v>20220924</v>
      </c>
      <c r="M1436" s="1" t="str">
        <f>"115013"</f>
        <v>115013</v>
      </c>
      <c r="N1436" s="1" t="s">
        <v>28</v>
      </c>
      <c r="O1436" s="1" t="s">
        <v>28</v>
      </c>
      <c r="P1436" s="1" t="s">
        <v>55</v>
      </c>
      <c r="Q1436" s="1">
        <v>25</v>
      </c>
      <c r="R1436" s="1">
        <v>25</v>
      </c>
      <c r="S1436" s="1">
        <v>0</v>
      </c>
      <c r="T1436" s="1">
        <v>0</v>
      </c>
      <c r="U1436" s="1">
        <v>0</v>
      </c>
      <c r="V1436" s="1" t="str">
        <f t="shared" si="205"/>
        <v>里程返程</v>
      </c>
      <c r="W1436" s="1" t="s">
        <v>35</v>
      </c>
    </row>
    <row r="1437" spans="1:23" x14ac:dyDescent="0.3">
      <c r="A1437" s="1" t="str">
        <f t="shared" si="209"/>
        <v>59820</v>
      </c>
      <c r="B1437" s="1" t="s">
        <v>53</v>
      </c>
      <c r="C1437" s="1" t="s">
        <v>54</v>
      </c>
      <c r="D1437" s="1" t="str">
        <f t="shared" si="204"/>
        <v>9801</v>
      </c>
      <c r="E1437" s="1" t="s">
        <v>25</v>
      </c>
      <c r="F1437" s="1" t="str">
        <f>"2395845819"</f>
        <v>2395845819</v>
      </c>
      <c r="G1437" s="1" t="s">
        <v>26</v>
      </c>
      <c r="H1437" s="1" t="str">
        <f t="shared" si="207"/>
        <v>20220924</v>
      </c>
      <c r="I1437" s="1" t="str">
        <f>"113900"</f>
        <v>113900</v>
      </c>
      <c r="J1437" s="1" t="s">
        <v>56</v>
      </c>
      <c r="K1437" s="1" t="s">
        <v>45</v>
      </c>
      <c r="L1437" s="1" t="str">
        <f t="shared" si="208"/>
        <v>20220924</v>
      </c>
      <c r="M1437" s="1" t="str">
        <f>"115011"</f>
        <v>115011</v>
      </c>
      <c r="N1437" s="1" t="s">
        <v>28</v>
      </c>
      <c r="O1437" s="1" t="s">
        <v>28</v>
      </c>
      <c r="P1437" s="1" t="s">
        <v>55</v>
      </c>
      <c r="Q1437" s="1">
        <v>13</v>
      </c>
      <c r="R1437" s="1">
        <v>13</v>
      </c>
      <c r="S1437" s="1">
        <v>0</v>
      </c>
      <c r="T1437" s="1">
        <v>0</v>
      </c>
      <c r="U1437" s="1">
        <v>0</v>
      </c>
      <c r="V1437" s="1" t="str">
        <f t="shared" si="205"/>
        <v>里程返程</v>
      </c>
      <c r="W1437" s="1" t="s">
        <v>35</v>
      </c>
    </row>
    <row r="1438" spans="1:23" x14ac:dyDescent="0.3">
      <c r="A1438" s="1" t="str">
        <f t="shared" si="209"/>
        <v>59820</v>
      </c>
      <c r="B1438" s="1" t="s">
        <v>53</v>
      </c>
      <c r="C1438" s="1" t="s">
        <v>54</v>
      </c>
      <c r="D1438" s="1" t="str">
        <f t="shared" si="204"/>
        <v>9801</v>
      </c>
      <c r="E1438" s="1" t="s">
        <v>25</v>
      </c>
      <c r="F1438" s="1" t="str">
        <f>"5169AC0094880400432494C60002080E"</f>
        <v>5169AC0094880400432494C60002080E</v>
      </c>
      <c r="G1438" s="1" t="s">
        <v>59</v>
      </c>
      <c r="H1438" s="1" t="str">
        <f t="shared" si="207"/>
        <v>20220924</v>
      </c>
      <c r="I1438" s="1" t="str">
        <f>"115045"</f>
        <v>115045</v>
      </c>
      <c r="J1438" s="1" t="s">
        <v>28</v>
      </c>
      <c r="K1438" s="1" t="s">
        <v>28</v>
      </c>
      <c r="L1438" s="1" t="str">
        <f t="shared" si="208"/>
        <v>20220924</v>
      </c>
      <c r="M1438" s="1" t="str">
        <f>"121845"</f>
        <v>121845</v>
      </c>
      <c r="N1438" s="1" t="s">
        <v>51</v>
      </c>
      <c r="O1438" s="1" t="s">
        <v>52</v>
      </c>
      <c r="P1438" s="1" t="s">
        <v>55</v>
      </c>
      <c r="Q1438" s="1">
        <v>25</v>
      </c>
      <c r="R1438" s="1">
        <v>0</v>
      </c>
      <c r="S1438" s="1">
        <v>25</v>
      </c>
      <c r="T1438" s="1">
        <v>0</v>
      </c>
      <c r="U1438" s="1">
        <v>0</v>
      </c>
      <c r="V1438" s="1" t="str">
        <f t="shared" si="205"/>
        <v>里程返程</v>
      </c>
      <c r="W1438" s="1" t="s">
        <v>29</v>
      </c>
    </row>
    <row r="1439" spans="1:23" x14ac:dyDescent="0.3">
      <c r="A1439" s="1" t="str">
        <f t="shared" si="209"/>
        <v>59820</v>
      </c>
      <c r="B1439" s="1" t="s">
        <v>53</v>
      </c>
      <c r="C1439" s="1" t="s">
        <v>54</v>
      </c>
      <c r="D1439" s="1" t="str">
        <f t="shared" si="204"/>
        <v>9801</v>
      </c>
      <c r="E1439" s="1" t="s">
        <v>25</v>
      </c>
      <c r="F1439" s="1" t="str">
        <f>"7111210546003590"</f>
        <v>7111210546003590</v>
      </c>
      <c r="G1439" s="1" t="s">
        <v>33</v>
      </c>
      <c r="H1439" s="1" t="str">
        <f t="shared" si="207"/>
        <v>20220924</v>
      </c>
      <c r="I1439" s="1" t="str">
        <f>"115059"</f>
        <v>115059</v>
      </c>
      <c r="J1439" s="1" t="s">
        <v>28</v>
      </c>
      <c r="K1439" s="1" t="s">
        <v>28</v>
      </c>
      <c r="L1439" s="1" t="str">
        <f t="shared" si="208"/>
        <v>20220924</v>
      </c>
      <c r="M1439" s="1" t="str">
        <f>"121843"</f>
        <v>121843</v>
      </c>
      <c r="N1439" s="1" t="s">
        <v>51</v>
      </c>
      <c r="O1439" s="1" t="s">
        <v>52</v>
      </c>
      <c r="P1439" s="1" t="s">
        <v>55</v>
      </c>
      <c r="Q1439" s="1">
        <v>25</v>
      </c>
      <c r="R1439" s="1">
        <v>25</v>
      </c>
      <c r="S1439" s="1">
        <v>0</v>
      </c>
      <c r="T1439" s="1">
        <v>0</v>
      </c>
      <c r="U1439" s="1">
        <v>0</v>
      </c>
      <c r="V1439" s="1" t="str">
        <f t="shared" si="205"/>
        <v>里程返程</v>
      </c>
      <c r="W1439" s="1" t="s">
        <v>109</v>
      </c>
    </row>
    <row r="1440" spans="1:23" x14ac:dyDescent="0.3">
      <c r="A1440" s="1" t="str">
        <f t="shared" si="209"/>
        <v>59820</v>
      </c>
      <c r="B1440" s="1" t="s">
        <v>53</v>
      </c>
      <c r="C1440" s="1" t="s">
        <v>54</v>
      </c>
      <c r="D1440" s="1" t="str">
        <f t="shared" si="204"/>
        <v>9801</v>
      </c>
      <c r="E1440" s="1" t="s">
        <v>25</v>
      </c>
      <c r="F1440" s="1" t="str">
        <f>"321EF20ED0880400C820002000000018"</f>
        <v>321EF20ED0880400C820002000000018</v>
      </c>
      <c r="G1440" s="1" t="s">
        <v>59</v>
      </c>
      <c r="H1440" s="1" t="str">
        <f t="shared" si="207"/>
        <v>20220924</v>
      </c>
      <c r="I1440" s="1" t="str">
        <f>"115104"</f>
        <v>115104</v>
      </c>
      <c r="J1440" s="1" t="s">
        <v>28</v>
      </c>
      <c r="K1440" s="1" t="s">
        <v>28</v>
      </c>
      <c r="L1440" s="1" t="str">
        <f t="shared" si="208"/>
        <v>20220924</v>
      </c>
      <c r="M1440" s="1" t="str">
        <f>"122147"</f>
        <v>122147</v>
      </c>
      <c r="N1440" s="1" t="s">
        <v>86</v>
      </c>
      <c r="O1440" s="1" t="s">
        <v>52</v>
      </c>
      <c r="P1440" s="1" t="s">
        <v>55</v>
      </c>
      <c r="Q1440" s="1">
        <v>25</v>
      </c>
      <c r="R1440" s="1">
        <v>25</v>
      </c>
      <c r="S1440" s="1">
        <v>0</v>
      </c>
      <c r="T1440" s="1">
        <v>0</v>
      </c>
      <c r="U1440" s="1">
        <v>0</v>
      </c>
      <c r="V1440" s="1" t="str">
        <f t="shared" si="205"/>
        <v>里程返程</v>
      </c>
      <c r="W1440" s="1" t="s">
        <v>29</v>
      </c>
    </row>
    <row r="1441" spans="1:23" x14ac:dyDescent="0.3">
      <c r="A1441" s="1" t="str">
        <f t="shared" si="209"/>
        <v>59820</v>
      </c>
      <c r="B1441" s="1" t="s">
        <v>53</v>
      </c>
      <c r="C1441" s="1" t="s">
        <v>54</v>
      </c>
      <c r="D1441" s="1" t="str">
        <f t="shared" si="204"/>
        <v>9801</v>
      </c>
      <c r="E1441" s="1" t="s">
        <v>25</v>
      </c>
      <c r="F1441" s="1" t="str">
        <f>"F7E6B1822288040043250D550012010F"</f>
        <v>F7E6B1822288040043250D550012010F</v>
      </c>
      <c r="G1441" s="1" t="s">
        <v>58</v>
      </c>
      <c r="H1441" s="1" t="str">
        <f t="shared" si="207"/>
        <v>20220924</v>
      </c>
      <c r="I1441" s="1" t="str">
        <f>"115351"</f>
        <v>115351</v>
      </c>
      <c r="J1441" s="1" t="s">
        <v>28</v>
      </c>
      <c r="K1441" s="1" t="s">
        <v>28</v>
      </c>
      <c r="L1441" s="1" t="str">
        <f t="shared" si="208"/>
        <v>20220924</v>
      </c>
      <c r="M1441" s="1" t="str">
        <f>"121557"</f>
        <v>121557</v>
      </c>
      <c r="N1441" s="1" t="s">
        <v>72</v>
      </c>
      <c r="O1441" s="1" t="s">
        <v>52</v>
      </c>
      <c r="P1441" s="1" t="s">
        <v>55</v>
      </c>
      <c r="Q1441" s="1">
        <v>25</v>
      </c>
      <c r="R1441" s="1">
        <v>0</v>
      </c>
      <c r="S1441" s="1">
        <v>25</v>
      </c>
      <c r="T1441" s="1">
        <v>0</v>
      </c>
      <c r="U1441" s="1">
        <v>0</v>
      </c>
      <c r="V1441" s="1" t="str">
        <f t="shared" si="205"/>
        <v>里程返程</v>
      </c>
      <c r="W1441" s="1" t="s">
        <v>29</v>
      </c>
    </row>
    <row r="1442" spans="1:23" x14ac:dyDescent="0.3">
      <c r="A1442" s="1" t="str">
        <f t="shared" si="209"/>
        <v>59820</v>
      </c>
      <c r="B1442" s="1" t="s">
        <v>53</v>
      </c>
      <c r="C1442" s="1" t="s">
        <v>54</v>
      </c>
      <c r="D1442" s="1" t="str">
        <f t="shared" si="204"/>
        <v>9801</v>
      </c>
      <c r="E1442" s="1" t="s">
        <v>25</v>
      </c>
      <c r="F1442" s="1" t="str">
        <f>"EAD2547D1188040047C1267649000507"</f>
        <v>EAD2547D1188040047C1267649000507</v>
      </c>
      <c r="G1442" s="1" t="s">
        <v>58</v>
      </c>
      <c r="H1442" s="1" t="str">
        <f t="shared" si="207"/>
        <v>20220924</v>
      </c>
      <c r="I1442" s="1" t="str">
        <f>"115353"</f>
        <v>115353</v>
      </c>
      <c r="J1442" s="1" t="s">
        <v>28</v>
      </c>
      <c r="K1442" s="1" t="s">
        <v>28</v>
      </c>
      <c r="L1442" s="1" t="str">
        <f t="shared" si="208"/>
        <v>20220924</v>
      </c>
      <c r="M1442" s="1" t="str">
        <f>"121555"</f>
        <v>121555</v>
      </c>
      <c r="N1442" s="1" t="s">
        <v>72</v>
      </c>
      <c r="O1442" s="1" t="s">
        <v>52</v>
      </c>
      <c r="P1442" s="1" t="s">
        <v>55</v>
      </c>
      <c r="Q1442" s="1">
        <v>25</v>
      </c>
      <c r="R1442" s="1">
        <v>0</v>
      </c>
      <c r="S1442" s="1">
        <v>25</v>
      </c>
      <c r="T1442" s="1">
        <v>0</v>
      </c>
      <c r="U1442" s="1">
        <v>0</v>
      </c>
      <c r="V1442" s="1" t="str">
        <f t="shared" si="205"/>
        <v>里程返程</v>
      </c>
      <c r="W1442" s="1" t="s">
        <v>29</v>
      </c>
    </row>
    <row r="1443" spans="1:23" x14ac:dyDescent="0.3">
      <c r="A1443" s="1" t="str">
        <f t="shared" si="209"/>
        <v>59820</v>
      </c>
      <c r="B1443" s="1" t="s">
        <v>53</v>
      </c>
      <c r="C1443" s="1" t="s">
        <v>54</v>
      </c>
      <c r="D1443" s="1" t="str">
        <f t="shared" si="204"/>
        <v>9801</v>
      </c>
      <c r="E1443" s="1" t="s">
        <v>25</v>
      </c>
      <c r="F1443" s="1" t="str">
        <f>"71B25430A7280400F700000000000000"</f>
        <v>71B25430A7280400F700000000000000</v>
      </c>
      <c r="G1443" s="1" t="s">
        <v>58</v>
      </c>
      <c r="H1443" s="1" t="str">
        <f t="shared" si="207"/>
        <v>20220924</v>
      </c>
      <c r="I1443" s="1" t="str">
        <f>"192214"</f>
        <v>192214</v>
      </c>
      <c r="J1443" s="1" t="s">
        <v>28</v>
      </c>
      <c r="K1443" s="1" t="s">
        <v>28</v>
      </c>
      <c r="L1443" s="1" t="str">
        <f t="shared" si="208"/>
        <v>20220924</v>
      </c>
      <c r="M1443" s="1" t="str">
        <f>"194345"</f>
        <v>194345</v>
      </c>
      <c r="N1443" s="1" t="s">
        <v>65</v>
      </c>
      <c r="O1443" s="1" t="s">
        <v>52</v>
      </c>
      <c r="P1443" s="1" t="s">
        <v>55</v>
      </c>
      <c r="Q1443" s="1">
        <v>25</v>
      </c>
      <c r="R1443" s="1">
        <v>25</v>
      </c>
      <c r="S1443" s="1">
        <v>0</v>
      </c>
      <c r="T1443" s="1">
        <v>0</v>
      </c>
      <c r="U1443" s="1">
        <v>0</v>
      </c>
      <c r="V1443" s="1" t="str">
        <f t="shared" si="205"/>
        <v>里程返程</v>
      </c>
      <c r="W1443" s="1" t="s">
        <v>29</v>
      </c>
    </row>
    <row r="1444" spans="1:23" x14ac:dyDescent="0.3">
      <c r="A1444" s="1" t="str">
        <f t="shared" si="209"/>
        <v>59820</v>
      </c>
      <c r="B1444" s="1" t="s">
        <v>53</v>
      </c>
      <c r="C1444" s="1" t="s">
        <v>54</v>
      </c>
      <c r="D1444" s="1" t="str">
        <f t="shared" si="204"/>
        <v>9801</v>
      </c>
      <c r="E1444" s="1" t="s">
        <v>25</v>
      </c>
      <c r="F1444" s="1" t="str">
        <f>"109547985"</f>
        <v>109547985</v>
      </c>
      <c r="G1444" s="1" t="s">
        <v>26</v>
      </c>
      <c r="H1444" s="1" t="str">
        <f t="shared" si="207"/>
        <v>20220924</v>
      </c>
      <c r="I1444" s="1" t="str">
        <f>"192250"</f>
        <v>192250</v>
      </c>
      <c r="J1444" s="1" t="s">
        <v>28</v>
      </c>
      <c r="K1444" s="1" t="s">
        <v>28</v>
      </c>
      <c r="L1444" s="1" t="str">
        <f t="shared" si="208"/>
        <v>20220924</v>
      </c>
      <c r="M1444" s="1" t="str">
        <f>"195229"</f>
        <v>195229</v>
      </c>
      <c r="N1444" s="1" t="s">
        <v>52</v>
      </c>
      <c r="O1444" s="1" t="s">
        <v>52</v>
      </c>
      <c r="P1444" s="1" t="s">
        <v>55</v>
      </c>
      <c r="Q1444" s="1">
        <v>13</v>
      </c>
      <c r="R1444" s="1">
        <v>13</v>
      </c>
      <c r="S1444" s="1">
        <v>0</v>
      </c>
      <c r="T1444" s="1">
        <v>0</v>
      </c>
      <c r="U1444" s="1">
        <v>0</v>
      </c>
      <c r="V1444" s="1" t="str">
        <f t="shared" si="205"/>
        <v>里程返程</v>
      </c>
      <c r="W1444" s="1" t="s">
        <v>35</v>
      </c>
    </row>
    <row r="1445" spans="1:23" x14ac:dyDescent="0.3">
      <c r="A1445" s="1" t="str">
        <f t="shared" ref="A1445:A1455" si="210">"59822"</f>
        <v>59822</v>
      </c>
      <c r="B1445" s="1" t="s">
        <v>39</v>
      </c>
      <c r="C1445" s="1" t="s">
        <v>40</v>
      </c>
      <c r="D1445" s="1" t="str">
        <f t="shared" si="204"/>
        <v>9801</v>
      </c>
      <c r="E1445" s="1" t="s">
        <v>25</v>
      </c>
      <c r="F1445" s="1" t="str">
        <f>"226769153"</f>
        <v>226769153</v>
      </c>
      <c r="G1445" s="1" t="s">
        <v>33</v>
      </c>
      <c r="H1445" s="1" t="str">
        <f t="shared" si="207"/>
        <v>20220924</v>
      </c>
      <c r="I1445" s="1" t="str">
        <f>"070244"</f>
        <v>070244</v>
      </c>
      <c r="J1445" s="1" t="s">
        <v>100</v>
      </c>
      <c r="K1445" s="1" t="s">
        <v>45</v>
      </c>
      <c r="L1445" s="1" t="str">
        <f t="shared" si="208"/>
        <v>20220924</v>
      </c>
      <c r="M1445" s="1" t="str">
        <f>"071839"</f>
        <v>071839</v>
      </c>
      <c r="N1445" s="1" t="s">
        <v>28</v>
      </c>
      <c r="O1445" s="1" t="s">
        <v>28</v>
      </c>
      <c r="P1445" s="1" t="s">
        <v>55</v>
      </c>
      <c r="Q1445" s="1">
        <v>25</v>
      </c>
      <c r="R1445" s="1">
        <v>25</v>
      </c>
      <c r="S1445" s="1">
        <v>0</v>
      </c>
      <c r="T1445" s="1">
        <v>0</v>
      </c>
      <c r="U1445" s="1">
        <v>0</v>
      </c>
      <c r="V1445" s="1" t="str">
        <f t="shared" si="205"/>
        <v>里程返程</v>
      </c>
      <c r="W1445" s="1" t="s">
        <v>35</v>
      </c>
    </row>
    <row r="1446" spans="1:23" x14ac:dyDescent="0.3">
      <c r="A1446" s="1" t="str">
        <f t="shared" si="210"/>
        <v>59822</v>
      </c>
      <c r="B1446" s="1" t="s">
        <v>39</v>
      </c>
      <c r="C1446" s="1" t="s">
        <v>40</v>
      </c>
      <c r="D1446" s="1" t="str">
        <f t="shared" si="204"/>
        <v>9801</v>
      </c>
      <c r="E1446" s="1" t="s">
        <v>25</v>
      </c>
      <c r="F1446" s="1" t="str">
        <f>"319562223"</f>
        <v>319562223</v>
      </c>
      <c r="G1446" s="1" t="s">
        <v>33</v>
      </c>
      <c r="H1446" s="1" t="str">
        <f t="shared" si="207"/>
        <v>20220924</v>
      </c>
      <c r="I1446" s="1" t="str">
        <f>"123608"</f>
        <v>123608</v>
      </c>
      <c r="J1446" s="1" t="s">
        <v>91</v>
      </c>
      <c r="K1446" s="1" t="s">
        <v>45</v>
      </c>
      <c r="L1446" s="1" t="str">
        <f t="shared" si="208"/>
        <v>20220924</v>
      </c>
      <c r="M1446" s="1" t="str">
        <f>"125004"</f>
        <v>125004</v>
      </c>
      <c r="N1446" s="1" t="s">
        <v>28</v>
      </c>
      <c r="O1446" s="1" t="s">
        <v>28</v>
      </c>
      <c r="P1446" s="1" t="s">
        <v>55</v>
      </c>
      <c r="Q1446" s="1">
        <v>25</v>
      </c>
      <c r="R1446" s="1">
        <v>25</v>
      </c>
      <c r="S1446" s="1">
        <v>0</v>
      </c>
      <c r="T1446" s="1">
        <v>0</v>
      </c>
      <c r="U1446" s="1">
        <v>0</v>
      </c>
      <c r="V1446" s="1" t="str">
        <f t="shared" si="205"/>
        <v>里程返程</v>
      </c>
      <c r="W1446" s="1" t="s">
        <v>35</v>
      </c>
    </row>
    <row r="1447" spans="1:23" x14ac:dyDescent="0.3">
      <c r="A1447" s="1" t="str">
        <f t="shared" si="210"/>
        <v>59822</v>
      </c>
      <c r="B1447" s="1" t="s">
        <v>39</v>
      </c>
      <c r="C1447" s="1" t="s">
        <v>40</v>
      </c>
      <c r="D1447" s="1" t="str">
        <f t="shared" si="204"/>
        <v>9801</v>
      </c>
      <c r="E1447" s="1" t="s">
        <v>25</v>
      </c>
      <c r="F1447" s="1" t="str">
        <f>"72C1BC111E28040080CEBCD141912418"</f>
        <v>72C1BC111E28040080CEBCD141912418</v>
      </c>
      <c r="G1447" s="1" t="s">
        <v>59</v>
      </c>
      <c r="H1447" s="1" t="str">
        <f t="shared" si="207"/>
        <v>20220924</v>
      </c>
      <c r="I1447" s="1" t="str">
        <f>"123611"</f>
        <v>123611</v>
      </c>
      <c r="J1447" s="1" t="s">
        <v>91</v>
      </c>
      <c r="K1447" s="1" t="s">
        <v>45</v>
      </c>
      <c r="L1447" s="1" t="str">
        <f t="shared" si="208"/>
        <v>20220924</v>
      </c>
      <c r="M1447" s="1" t="str">
        <f>"124958"</f>
        <v>124958</v>
      </c>
      <c r="N1447" s="1" t="s">
        <v>28</v>
      </c>
      <c r="O1447" s="1" t="s">
        <v>28</v>
      </c>
      <c r="P1447" s="1" t="s">
        <v>55</v>
      </c>
      <c r="Q1447" s="1">
        <v>25</v>
      </c>
      <c r="R1447" s="1">
        <v>25</v>
      </c>
      <c r="S1447" s="1">
        <v>0</v>
      </c>
      <c r="T1447" s="1">
        <v>0</v>
      </c>
      <c r="U1447" s="1">
        <v>0</v>
      </c>
      <c r="V1447" s="1" t="str">
        <f t="shared" si="205"/>
        <v>里程返程</v>
      </c>
      <c r="W1447" s="1" t="s">
        <v>29</v>
      </c>
    </row>
    <row r="1448" spans="1:23" x14ac:dyDescent="0.3">
      <c r="A1448" s="1" t="str">
        <f t="shared" si="210"/>
        <v>59822</v>
      </c>
      <c r="B1448" s="1" t="s">
        <v>39</v>
      </c>
      <c r="C1448" s="1" t="s">
        <v>40</v>
      </c>
      <c r="D1448" s="1" t="str">
        <f t="shared" si="204"/>
        <v>9801</v>
      </c>
      <c r="E1448" s="1" t="s">
        <v>25</v>
      </c>
      <c r="F1448" s="1" t="str">
        <f>"266724945"</f>
        <v>266724945</v>
      </c>
      <c r="G1448" s="1" t="s">
        <v>33</v>
      </c>
      <c r="H1448" s="1" t="str">
        <f t="shared" si="207"/>
        <v>20220924</v>
      </c>
      <c r="I1448" s="1" t="str">
        <f>"125040"</f>
        <v>125040</v>
      </c>
      <c r="J1448" s="1" t="s">
        <v>28</v>
      </c>
      <c r="K1448" s="1" t="s">
        <v>28</v>
      </c>
      <c r="L1448" s="1" t="str">
        <f t="shared" si="208"/>
        <v>20220924</v>
      </c>
      <c r="M1448" s="1" t="str">
        <f>"132114"</f>
        <v>132114</v>
      </c>
      <c r="N1448" s="1" t="s">
        <v>52</v>
      </c>
      <c r="O1448" s="1" t="s">
        <v>52</v>
      </c>
      <c r="P1448" s="1" t="s">
        <v>55</v>
      </c>
      <c r="Q1448" s="1">
        <v>25</v>
      </c>
      <c r="R1448" s="1">
        <v>25</v>
      </c>
      <c r="S1448" s="1">
        <v>0</v>
      </c>
      <c r="T1448" s="1">
        <v>0</v>
      </c>
      <c r="U1448" s="1">
        <v>0</v>
      </c>
      <c r="V1448" s="1" t="str">
        <f t="shared" si="205"/>
        <v>里程返程</v>
      </c>
      <c r="W1448" s="1" t="s">
        <v>35</v>
      </c>
    </row>
    <row r="1449" spans="1:23" x14ac:dyDescent="0.3">
      <c r="A1449" s="1" t="str">
        <f t="shared" si="210"/>
        <v>59822</v>
      </c>
      <c r="B1449" s="1" t="s">
        <v>39</v>
      </c>
      <c r="C1449" s="1" t="s">
        <v>40</v>
      </c>
      <c r="D1449" s="1" t="str">
        <f t="shared" si="204"/>
        <v>9801</v>
      </c>
      <c r="E1449" s="1" t="s">
        <v>25</v>
      </c>
      <c r="F1449" s="1" t="str">
        <f>"1695708368"</f>
        <v>1695708368</v>
      </c>
      <c r="G1449" s="1" t="s">
        <v>33</v>
      </c>
      <c r="H1449" s="1" t="str">
        <f t="shared" si="207"/>
        <v>20220924</v>
      </c>
      <c r="I1449" s="1" t="str">
        <f>"142635"</f>
        <v>142635</v>
      </c>
      <c r="J1449" s="1" t="s">
        <v>44</v>
      </c>
      <c r="K1449" s="1" t="s">
        <v>45</v>
      </c>
      <c r="L1449" s="1" t="str">
        <f t="shared" si="208"/>
        <v>20220924</v>
      </c>
      <c r="M1449" s="1" t="str">
        <f>"145105"</f>
        <v>145105</v>
      </c>
      <c r="N1449" s="1" t="s">
        <v>28</v>
      </c>
      <c r="O1449" s="1" t="s">
        <v>28</v>
      </c>
      <c r="P1449" s="1" t="s">
        <v>55</v>
      </c>
      <c r="Q1449" s="1">
        <v>25</v>
      </c>
      <c r="R1449" s="1">
        <v>25</v>
      </c>
      <c r="S1449" s="1">
        <v>0</v>
      </c>
      <c r="T1449" s="1">
        <v>0</v>
      </c>
      <c r="U1449" s="1">
        <v>0</v>
      </c>
      <c r="V1449" s="1" t="str">
        <f t="shared" si="205"/>
        <v>里程返程</v>
      </c>
      <c r="W1449" s="1" t="s">
        <v>35</v>
      </c>
    </row>
    <row r="1450" spans="1:23" x14ac:dyDescent="0.3">
      <c r="A1450" s="1" t="str">
        <f t="shared" si="210"/>
        <v>59822</v>
      </c>
      <c r="B1450" s="1" t="s">
        <v>39</v>
      </c>
      <c r="C1450" s="1" t="s">
        <v>40</v>
      </c>
      <c r="D1450" s="1" t="str">
        <f t="shared" si="204"/>
        <v>9801</v>
      </c>
      <c r="E1450" s="1" t="s">
        <v>25</v>
      </c>
      <c r="F1450" s="1" t="str">
        <f>"1028018341"</f>
        <v>1028018341</v>
      </c>
      <c r="G1450" s="1" t="s">
        <v>33</v>
      </c>
      <c r="H1450" s="1" t="str">
        <f t="shared" si="207"/>
        <v>20220924</v>
      </c>
      <c r="I1450" s="1" t="str">
        <f>"143523"</f>
        <v>143523</v>
      </c>
      <c r="J1450" s="1" t="s">
        <v>91</v>
      </c>
      <c r="K1450" s="1" t="s">
        <v>45</v>
      </c>
      <c r="L1450" s="1" t="str">
        <f t="shared" si="208"/>
        <v>20220924</v>
      </c>
      <c r="M1450" s="1" t="str">
        <f>"151643"</f>
        <v>151643</v>
      </c>
      <c r="N1450" s="1" t="s">
        <v>52</v>
      </c>
      <c r="O1450" s="1" t="s">
        <v>52</v>
      </c>
      <c r="P1450" s="1" t="s">
        <v>55</v>
      </c>
      <c r="Q1450" s="1">
        <v>50</v>
      </c>
      <c r="R1450" s="1">
        <v>50</v>
      </c>
      <c r="S1450" s="1">
        <v>0</v>
      </c>
      <c r="T1450" s="1">
        <v>0</v>
      </c>
      <c r="U1450" s="1">
        <v>0</v>
      </c>
      <c r="V1450" s="1" t="str">
        <f t="shared" si="205"/>
        <v>里程返程</v>
      </c>
      <c r="W1450" s="1" t="s">
        <v>35</v>
      </c>
    </row>
    <row r="1451" spans="1:23" x14ac:dyDescent="0.3">
      <c r="A1451" s="1" t="str">
        <f t="shared" si="210"/>
        <v>59822</v>
      </c>
      <c r="B1451" s="1" t="s">
        <v>39</v>
      </c>
      <c r="C1451" s="1" t="s">
        <v>40</v>
      </c>
      <c r="D1451" s="1" t="str">
        <f t="shared" si="204"/>
        <v>9801</v>
      </c>
      <c r="E1451" s="1" t="s">
        <v>25</v>
      </c>
      <c r="F1451" s="1" t="str">
        <f>"236138630"</f>
        <v>236138630</v>
      </c>
      <c r="G1451" s="1" t="s">
        <v>26</v>
      </c>
      <c r="H1451" s="1" t="str">
        <f t="shared" si="207"/>
        <v>20220924</v>
      </c>
      <c r="I1451" s="1" t="str">
        <f>"143532"</f>
        <v>143532</v>
      </c>
      <c r="J1451" s="1" t="s">
        <v>91</v>
      </c>
      <c r="K1451" s="1" t="s">
        <v>45</v>
      </c>
      <c r="L1451" s="1" t="str">
        <f t="shared" si="208"/>
        <v>20220924</v>
      </c>
      <c r="M1451" s="1" t="str">
        <f>"151648"</f>
        <v>151648</v>
      </c>
      <c r="N1451" s="1" t="s">
        <v>52</v>
      </c>
      <c r="O1451" s="1" t="s">
        <v>52</v>
      </c>
      <c r="P1451" s="1" t="s">
        <v>55</v>
      </c>
      <c r="Q1451" s="1">
        <v>25</v>
      </c>
      <c r="R1451" s="1">
        <v>25</v>
      </c>
      <c r="S1451" s="1">
        <v>0</v>
      </c>
      <c r="T1451" s="1">
        <v>0</v>
      </c>
      <c r="U1451" s="1">
        <v>0</v>
      </c>
      <c r="V1451" s="1" t="str">
        <f t="shared" si="205"/>
        <v>里程返程</v>
      </c>
      <c r="W1451" s="1" t="s">
        <v>35</v>
      </c>
    </row>
    <row r="1452" spans="1:23" x14ac:dyDescent="0.3">
      <c r="A1452" s="1" t="str">
        <f t="shared" si="210"/>
        <v>59822</v>
      </c>
      <c r="B1452" s="1" t="s">
        <v>39</v>
      </c>
      <c r="C1452" s="1" t="s">
        <v>40</v>
      </c>
      <c r="D1452" s="1" t="str">
        <f t="shared" si="204"/>
        <v>9801</v>
      </c>
      <c r="E1452" s="1" t="s">
        <v>25</v>
      </c>
      <c r="F1452" s="1" t="str">
        <f>"32780D0344880400C834002000000015"</f>
        <v>32780D0344880400C834002000000015</v>
      </c>
      <c r="G1452" s="1" t="s">
        <v>26</v>
      </c>
      <c r="H1452" s="1" t="str">
        <f t="shared" si="207"/>
        <v>20220924</v>
      </c>
      <c r="I1452" s="1" t="str">
        <f>"152445"</f>
        <v>152445</v>
      </c>
      <c r="J1452" s="1" t="s">
        <v>44</v>
      </c>
      <c r="K1452" s="1" t="s">
        <v>45</v>
      </c>
      <c r="L1452" s="1" t="str">
        <f t="shared" si="208"/>
        <v>20220924</v>
      </c>
      <c r="M1452" s="1" t="str">
        <f>"155128"</f>
        <v>155128</v>
      </c>
      <c r="N1452" s="1" t="s">
        <v>95</v>
      </c>
      <c r="O1452" s="1" t="s">
        <v>28</v>
      </c>
      <c r="P1452" s="1" t="s">
        <v>68</v>
      </c>
      <c r="Q1452" s="1">
        <v>13</v>
      </c>
      <c r="R1452" s="1">
        <v>0</v>
      </c>
      <c r="S1452" s="1">
        <v>0</v>
      </c>
      <c r="T1452" s="1">
        <v>13</v>
      </c>
      <c r="U1452" s="1">
        <v>0</v>
      </c>
      <c r="V1452" s="1" t="str">
        <f t="shared" si="205"/>
        <v>里程返程</v>
      </c>
      <c r="W1452" s="1" t="s">
        <v>29</v>
      </c>
    </row>
    <row r="1453" spans="1:23" x14ac:dyDescent="0.3">
      <c r="A1453" s="1" t="str">
        <f t="shared" si="210"/>
        <v>59822</v>
      </c>
      <c r="B1453" s="1" t="s">
        <v>39</v>
      </c>
      <c r="C1453" s="1" t="s">
        <v>40</v>
      </c>
      <c r="D1453" s="1" t="str">
        <f t="shared" si="204"/>
        <v>9801</v>
      </c>
      <c r="E1453" s="1" t="s">
        <v>25</v>
      </c>
      <c r="F1453" s="1" t="str">
        <f>"1028018341"</f>
        <v>1028018341</v>
      </c>
      <c r="G1453" s="1" t="s">
        <v>33</v>
      </c>
      <c r="H1453" s="1" t="str">
        <f t="shared" si="207"/>
        <v>20220924</v>
      </c>
      <c r="I1453" s="1" t="str">
        <f>"152908"</f>
        <v>152908</v>
      </c>
      <c r="J1453" s="1" t="s">
        <v>44</v>
      </c>
      <c r="K1453" s="1" t="s">
        <v>45</v>
      </c>
      <c r="L1453" s="1" t="str">
        <f t="shared" si="208"/>
        <v>20220924</v>
      </c>
      <c r="M1453" s="1" t="str">
        <f>"153220"</f>
        <v>153220</v>
      </c>
      <c r="N1453" s="1" t="s">
        <v>44</v>
      </c>
      <c r="O1453" s="1" t="s">
        <v>45</v>
      </c>
      <c r="P1453" s="1" t="s">
        <v>55</v>
      </c>
      <c r="Q1453" s="1">
        <v>25</v>
      </c>
      <c r="R1453" s="1">
        <v>25</v>
      </c>
      <c r="S1453" s="1">
        <v>0</v>
      </c>
      <c r="T1453" s="1">
        <v>0</v>
      </c>
      <c r="U1453" s="1">
        <v>0</v>
      </c>
      <c r="V1453" s="1" t="str">
        <f t="shared" si="205"/>
        <v>里程返程</v>
      </c>
      <c r="W1453" s="1" t="s">
        <v>35</v>
      </c>
    </row>
    <row r="1454" spans="1:23" x14ac:dyDescent="0.3">
      <c r="A1454" s="1" t="str">
        <f t="shared" si="210"/>
        <v>59822</v>
      </c>
      <c r="B1454" s="1" t="s">
        <v>39</v>
      </c>
      <c r="C1454" s="1" t="s">
        <v>40</v>
      </c>
      <c r="D1454" s="1" t="str">
        <f t="shared" si="204"/>
        <v>9801</v>
      </c>
      <c r="E1454" s="1" t="s">
        <v>25</v>
      </c>
      <c r="F1454" s="1" t="str">
        <f>"236138630"</f>
        <v>236138630</v>
      </c>
      <c r="G1454" s="1" t="s">
        <v>26</v>
      </c>
      <c r="H1454" s="1" t="str">
        <f t="shared" si="207"/>
        <v>20220924</v>
      </c>
      <c r="I1454" s="1" t="str">
        <f>"152928"</f>
        <v>152928</v>
      </c>
      <c r="J1454" s="1" t="s">
        <v>44</v>
      </c>
      <c r="K1454" s="1" t="s">
        <v>45</v>
      </c>
      <c r="L1454" s="1" t="str">
        <f t="shared" si="208"/>
        <v>20220924</v>
      </c>
      <c r="M1454" s="1" t="str">
        <f>"153232"</f>
        <v>153232</v>
      </c>
      <c r="N1454" s="1" t="s">
        <v>44</v>
      </c>
      <c r="O1454" s="1" t="s">
        <v>45</v>
      </c>
      <c r="P1454" s="1" t="s">
        <v>55</v>
      </c>
      <c r="Q1454" s="1">
        <v>13</v>
      </c>
      <c r="R1454" s="1">
        <v>0</v>
      </c>
      <c r="S1454" s="1">
        <v>13</v>
      </c>
      <c r="T1454" s="1">
        <v>0</v>
      </c>
      <c r="U1454" s="1">
        <v>0</v>
      </c>
      <c r="V1454" s="1" t="str">
        <f t="shared" si="205"/>
        <v>里程返程</v>
      </c>
      <c r="W1454" s="1" t="s">
        <v>35</v>
      </c>
    </row>
    <row r="1455" spans="1:23" x14ac:dyDescent="0.3">
      <c r="A1455" s="1" t="str">
        <f t="shared" si="210"/>
        <v>59822</v>
      </c>
      <c r="B1455" s="1" t="s">
        <v>39</v>
      </c>
      <c r="C1455" s="1" t="s">
        <v>40</v>
      </c>
      <c r="D1455" s="1" t="str">
        <f t="shared" si="204"/>
        <v>9801</v>
      </c>
      <c r="E1455" s="1" t="s">
        <v>25</v>
      </c>
      <c r="F1455" s="1" t="str">
        <f>"2741001316"</f>
        <v>2741001316</v>
      </c>
      <c r="G1455" s="1" t="s">
        <v>33</v>
      </c>
      <c r="H1455" s="1" t="str">
        <f t="shared" si="207"/>
        <v>20220924</v>
      </c>
      <c r="I1455" s="1" t="str">
        <f>"165030"</f>
        <v>165030</v>
      </c>
      <c r="J1455" s="1" t="s">
        <v>28</v>
      </c>
      <c r="K1455" s="1" t="s">
        <v>28</v>
      </c>
      <c r="L1455" s="1" t="str">
        <f t="shared" si="208"/>
        <v>20220924</v>
      </c>
      <c r="M1455" s="1" t="str">
        <f>"170211"</f>
        <v>170211</v>
      </c>
      <c r="N1455" s="1" t="s">
        <v>83</v>
      </c>
      <c r="O1455" s="1" t="s">
        <v>52</v>
      </c>
      <c r="P1455" s="1" t="s">
        <v>55</v>
      </c>
      <c r="Q1455" s="1">
        <v>25</v>
      </c>
      <c r="R1455" s="1">
        <v>25</v>
      </c>
      <c r="S1455" s="1">
        <v>0</v>
      </c>
      <c r="T1455" s="1">
        <v>0</v>
      </c>
      <c r="U1455" s="1">
        <v>0</v>
      </c>
      <c r="V1455" s="1" t="str">
        <f t="shared" si="205"/>
        <v>里程返程</v>
      </c>
      <c r="W1455" s="1" t="s">
        <v>35</v>
      </c>
    </row>
    <row r="1456" spans="1:23" x14ac:dyDescent="0.3">
      <c r="A1456" s="1" t="str">
        <f t="shared" ref="A1456:A1462" si="211">"59809"</f>
        <v>59809</v>
      </c>
      <c r="B1456" s="1" t="s">
        <v>42</v>
      </c>
      <c r="C1456" s="1" t="s">
        <v>43</v>
      </c>
      <c r="D1456" s="1" t="str">
        <f t="shared" si="204"/>
        <v>9801</v>
      </c>
      <c r="E1456" s="1" t="s">
        <v>25</v>
      </c>
      <c r="F1456" s="1" t="str">
        <f>"988756149"</f>
        <v>988756149</v>
      </c>
      <c r="G1456" s="1" t="s">
        <v>33</v>
      </c>
      <c r="H1456" s="1" t="str">
        <f t="shared" ref="H1456:H1501" si="212">"20220925"</f>
        <v>20220925</v>
      </c>
      <c r="I1456" s="1" t="str">
        <f>"175104"</f>
        <v>175104</v>
      </c>
      <c r="J1456" s="1" t="s">
        <v>28</v>
      </c>
      <c r="K1456" s="1" t="s">
        <v>28</v>
      </c>
      <c r="L1456" s="1" t="str">
        <f t="shared" ref="L1456:L1501" si="213">"20220925"</f>
        <v>20220925</v>
      </c>
      <c r="M1456" s="1" t="str">
        <f>"180709"</f>
        <v>180709</v>
      </c>
      <c r="N1456" s="1" t="s">
        <v>69</v>
      </c>
      <c r="O1456" s="1" t="s">
        <v>52</v>
      </c>
      <c r="P1456" s="1" t="s">
        <v>55</v>
      </c>
      <c r="Q1456" s="1">
        <v>25</v>
      </c>
      <c r="R1456" s="1">
        <v>25</v>
      </c>
      <c r="S1456" s="1">
        <v>0</v>
      </c>
      <c r="T1456" s="1">
        <v>0</v>
      </c>
      <c r="U1456" s="1">
        <v>0</v>
      </c>
      <c r="V1456" s="1" t="str">
        <f t="shared" si="205"/>
        <v>里程返程</v>
      </c>
      <c r="W1456" s="1" t="s">
        <v>35</v>
      </c>
    </row>
    <row r="1457" spans="1:23" x14ac:dyDescent="0.3">
      <c r="A1457" s="1" t="str">
        <f t="shared" si="211"/>
        <v>59809</v>
      </c>
      <c r="B1457" s="1" t="s">
        <v>42</v>
      </c>
      <c r="C1457" s="1" t="s">
        <v>43</v>
      </c>
      <c r="D1457" s="1" t="str">
        <f t="shared" si="204"/>
        <v>9801</v>
      </c>
      <c r="E1457" s="1" t="s">
        <v>25</v>
      </c>
      <c r="F1457" s="1" t="str">
        <f>"A295321B1E880400C817002000000021"</f>
        <v>A295321B1E880400C817002000000021</v>
      </c>
      <c r="G1457" s="1" t="s">
        <v>59</v>
      </c>
      <c r="H1457" s="1" t="str">
        <f t="shared" si="212"/>
        <v>20220925</v>
      </c>
      <c r="I1457" s="1" t="str">
        <f>"175113"</f>
        <v>175113</v>
      </c>
      <c r="J1457" s="1" t="s">
        <v>28</v>
      </c>
      <c r="K1457" s="1" t="s">
        <v>28</v>
      </c>
      <c r="L1457" s="1" t="str">
        <f t="shared" si="213"/>
        <v>20220925</v>
      </c>
      <c r="M1457" s="1" t="str">
        <f>"182442"</f>
        <v>182442</v>
      </c>
      <c r="N1457" s="1" t="s">
        <v>52</v>
      </c>
      <c r="O1457" s="1" t="s">
        <v>52</v>
      </c>
      <c r="P1457" s="1" t="s">
        <v>55</v>
      </c>
      <c r="Q1457" s="1">
        <v>25</v>
      </c>
      <c r="R1457" s="1">
        <v>25</v>
      </c>
      <c r="S1457" s="1">
        <v>0</v>
      </c>
      <c r="T1457" s="1">
        <v>0</v>
      </c>
      <c r="U1457" s="1">
        <v>0</v>
      </c>
      <c r="V1457" s="1" t="str">
        <f t="shared" si="205"/>
        <v>里程返程</v>
      </c>
      <c r="W1457" s="1" t="s">
        <v>29</v>
      </c>
    </row>
    <row r="1458" spans="1:23" x14ac:dyDescent="0.3">
      <c r="A1458" s="1" t="str">
        <f t="shared" si="211"/>
        <v>59809</v>
      </c>
      <c r="B1458" s="1" t="s">
        <v>42</v>
      </c>
      <c r="C1458" s="1" t="s">
        <v>43</v>
      </c>
      <c r="D1458" s="1" t="str">
        <f t="shared" si="204"/>
        <v>9801</v>
      </c>
      <c r="E1458" s="1" t="s">
        <v>25</v>
      </c>
      <c r="F1458" s="1" t="str">
        <f>"3013788618"</f>
        <v>3013788618</v>
      </c>
      <c r="G1458" s="1" t="s">
        <v>33</v>
      </c>
      <c r="H1458" s="1" t="str">
        <f t="shared" si="212"/>
        <v>20220925</v>
      </c>
      <c r="I1458" s="1" t="str">
        <f>"175206"</f>
        <v>175206</v>
      </c>
      <c r="J1458" s="1" t="s">
        <v>28</v>
      </c>
      <c r="K1458" s="1" t="s">
        <v>28</v>
      </c>
      <c r="L1458" s="1" t="str">
        <f t="shared" si="213"/>
        <v>20220925</v>
      </c>
      <c r="M1458" s="1" t="str">
        <f>"180524"</f>
        <v>180524</v>
      </c>
      <c r="N1458" s="1" t="s">
        <v>78</v>
      </c>
      <c r="O1458" s="1" t="s">
        <v>52</v>
      </c>
      <c r="P1458" s="1" t="s">
        <v>55</v>
      </c>
      <c r="Q1458" s="1">
        <v>25</v>
      </c>
      <c r="R1458" s="1">
        <v>0</v>
      </c>
      <c r="S1458" s="1">
        <v>25</v>
      </c>
      <c r="T1458" s="1">
        <v>0</v>
      </c>
      <c r="U1458" s="1">
        <v>0</v>
      </c>
      <c r="V1458" s="1" t="str">
        <f t="shared" si="205"/>
        <v>里程返程</v>
      </c>
      <c r="W1458" s="1" t="s">
        <v>35</v>
      </c>
    </row>
    <row r="1459" spans="1:23" x14ac:dyDescent="0.3">
      <c r="A1459" s="1" t="str">
        <f t="shared" si="211"/>
        <v>59809</v>
      </c>
      <c r="B1459" s="1" t="s">
        <v>42</v>
      </c>
      <c r="C1459" s="1" t="s">
        <v>43</v>
      </c>
      <c r="D1459" s="1" t="str">
        <f t="shared" si="204"/>
        <v>9801</v>
      </c>
      <c r="E1459" s="1" t="s">
        <v>25</v>
      </c>
      <c r="F1459" s="1" t="str">
        <f>"41A79F453C280400F700000000000000"</f>
        <v>41A79F453C280400F700000000000000</v>
      </c>
      <c r="G1459" s="1" t="s">
        <v>58</v>
      </c>
      <c r="H1459" s="1" t="str">
        <f t="shared" si="212"/>
        <v>20220925</v>
      </c>
      <c r="I1459" s="1" t="str">
        <f>"175435"</f>
        <v>175435</v>
      </c>
      <c r="J1459" s="1" t="s">
        <v>28</v>
      </c>
      <c r="K1459" s="1" t="s">
        <v>28</v>
      </c>
      <c r="L1459" s="1" t="str">
        <f t="shared" si="213"/>
        <v>20220925</v>
      </c>
      <c r="M1459" s="1" t="str">
        <f>"182445"</f>
        <v>182445</v>
      </c>
      <c r="N1459" s="1" t="s">
        <v>52</v>
      </c>
      <c r="O1459" s="1" t="s">
        <v>52</v>
      </c>
      <c r="P1459" s="1" t="s">
        <v>55</v>
      </c>
      <c r="Q1459" s="1">
        <v>25</v>
      </c>
      <c r="R1459" s="1">
        <v>0</v>
      </c>
      <c r="S1459" s="1">
        <v>25</v>
      </c>
      <c r="T1459" s="1">
        <v>0</v>
      </c>
      <c r="U1459" s="1">
        <v>0</v>
      </c>
      <c r="V1459" s="1" t="str">
        <f t="shared" si="205"/>
        <v>里程返程</v>
      </c>
      <c r="W1459" s="1" t="s">
        <v>29</v>
      </c>
    </row>
    <row r="1460" spans="1:23" x14ac:dyDescent="0.3">
      <c r="A1460" s="1" t="str">
        <f t="shared" si="211"/>
        <v>59809</v>
      </c>
      <c r="B1460" s="1" t="s">
        <v>42</v>
      </c>
      <c r="C1460" s="1" t="s">
        <v>43</v>
      </c>
      <c r="D1460" s="1" t="str">
        <f t="shared" si="204"/>
        <v>9801</v>
      </c>
      <c r="E1460" s="1" t="s">
        <v>25</v>
      </c>
      <c r="F1460" s="1" t="str">
        <f>"589583889"</f>
        <v>589583889</v>
      </c>
      <c r="G1460" s="1" t="s">
        <v>33</v>
      </c>
      <c r="H1460" s="1" t="str">
        <f t="shared" si="212"/>
        <v>20220925</v>
      </c>
      <c r="I1460" s="1" t="str">
        <f>"180351"</f>
        <v>180351</v>
      </c>
      <c r="J1460" s="1" t="s">
        <v>67</v>
      </c>
      <c r="K1460" s="1" t="s">
        <v>52</v>
      </c>
      <c r="L1460" s="1" t="str">
        <f t="shared" si="213"/>
        <v>20220925</v>
      </c>
      <c r="M1460" s="1" t="str">
        <f>"182438"</f>
        <v>182438</v>
      </c>
      <c r="N1460" s="1" t="s">
        <v>52</v>
      </c>
      <c r="O1460" s="1" t="s">
        <v>52</v>
      </c>
      <c r="P1460" s="1" t="s">
        <v>55</v>
      </c>
      <c r="Q1460" s="1">
        <v>25</v>
      </c>
      <c r="R1460" s="1">
        <v>25</v>
      </c>
      <c r="S1460" s="1">
        <v>0</v>
      </c>
      <c r="T1460" s="1">
        <v>0</v>
      </c>
      <c r="U1460" s="1">
        <v>0</v>
      </c>
      <c r="V1460" s="1" t="str">
        <f t="shared" si="205"/>
        <v>里程返程</v>
      </c>
      <c r="W1460" s="1" t="s">
        <v>35</v>
      </c>
    </row>
    <row r="1461" spans="1:23" x14ac:dyDescent="0.3">
      <c r="A1461" s="1" t="str">
        <f t="shared" si="211"/>
        <v>59809</v>
      </c>
      <c r="B1461" s="1" t="s">
        <v>42</v>
      </c>
      <c r="C1461" s="1" t="s">
        <v>43</v>
      </c>
      <c r="D1461" s="1" t="str">
        <f t="shared" si="204"/>
        <v>9801</v>
      </c>
      <c r="E1461" s="1" t="s">
        <v>25</v>
      </c>
      <c r="F1461" s="1" t="str">
        <f>"4251460257880400C821002000000015"</f>
        <v>4251460257880400C821002000000015</v>
      </c>
      <c r="G1461" s="1" t="s">
        <v>26</v>
      </c>
      <c r="H1461" s="1" t="str">
        <f t="shared" si="212"/>
        <v>20220925</v>
      </c>
      <c r="I1461" s="1" t="str">
        <f>"180715"</f>
        <v>180715</v>
      </c>
      <c r="J1461" s="1" t="s">
        <v>69</v>
      </c>
      <c r="K1461" s="1" t="s">
        <v>52</v>
      </c>
      <c r="L1461" s="1" t="str">
        <f t="shared" si="213"/>
        <v>20220925</v>
      </c>
      <c r="M1461" s="1" t="str">
        <f>"181518"</f>
        <v>181518</v>
      </c>
      <c r="N1461" s="1" t="s">
        <v>72</v>
      </c>
      <c r="O1461" s="1" t="s">
        <v>52</v>
      </c>
      <c r="P1461" s="1" t="s">
        <v>68</v>
      </c>
      <c r="Q1461" s="1">
        <v>13</v>
      </c>
      <c r="R1461" s="1">
        <v>0</v>
      </c>
      <c r="S1461" s="1">
        <v>0</v>
      </c>
      <c r="T1461" s="1">
        <v>13</v>
      </c>
      <c r="U1461" s="1">
        <v>0</v>
      </c>
      <c r="V1461" s="1" t="str">
        <f t="shared" si="205"/>
        <v>里程返程</v>
      </c>
      <c r="W1461" s="1" t="s">
        <v>29</v>
      </c>
    </row>
    <row r="1462" spans="1:23" x14ac:dyDescent="0.3">
      <c r="A1462" s="1" t="str">
        <f t="shared" si="211"/>
        <v>59809</v>
      </c>
      <c r="B1462" s="1" t="s">
        <v>42</v>
      </c>
      <c r="C1462" s="1" t="s">
        <v>43</v>
      </c>
      <c r="D1462" s="1" t="str">
        <f t="shared" si="204"/>
        <v>9801</v>
      </c>
      <c r="E1462" s="1" t="s">
        <v>25</v>
      </c>
      <c r="F1462" s="1" t="str">
        <f>"232582417"</f>
        <v>232582417</v>
      </c>
      <c r="G1462" s="1" t="s">
        <v>33</v>
      </c>
      <c r="H1462" s="1" t="str">
        <f t="shared" si="212"/>
        <v>20220925</v>
      </c>
      <c r="I1462" s="1" t="str">
        <f>"185314"</f>
        <v>185314</v>
      </c>
      <c r="J1462" s="1" t="s">
        <v>28</v>
      </c>
      <c r="K1462" s="1" t="s">
        <v>28</v>
      </c>
      <c r="L1462" s="1" t="str">
        <f t="shared" si="213"/>
        <v>20220925</v>
      </c>
      <c r="M1462" s="1" t="str">
        <f>"191625"</f>
        <v>191625</v>
      </c>
      <c r="N1462" s="1" t="s">
        <v>60</v>
      </c>
      <c r="O1462" s="1" t="s">
        <v>52</v>
      </c>
      <c r="P1462" s="1" t="s">
        <v>55</v>
      </c>
      <c r="Q1462" s="1">
        <v>25</v>
      </c>
      <c r="R1462" s="1">
        <v>0</v>
      </c>
      <c r="S1462" s="1">
        <v>25</v>
      </c>
      <c r="T1462" s="1">
        <v>0</v>
      </c>
      <c r="U1462" s="1">
        <v>0</v>
      </c>
      <c r="V1462" s="1" t="str">
        <f t="shared" si="205"/>
        <v>里程返程</v>
      </c>
      <c r="W1462" s="1" t="s">
        <v>35</v>
      </c>
    </row>
    <row r="1463" spans="1:23" x14ac:dyDescent="0.3">
      <c r="A1463" s="1" t="str">
        <f t="shared" ref="A1463:A1484" si="214">"59820"</f>
        <v>59820</v>
      </c>
      <c r="B1463" s="1" t="s">
        <v>53</v>
      </c>
      <c r="C1463" s="1" t="s">
        <v>54</v>
      </c>
      <c r="D1463" s="1" t="str">
        <f t="shared" si="204"/>
        <v>9801</v>
      </c>
      <c r="E1463" s="1" t="s">
        <v>25</v>
      </c>
      <c r="F1463" s="1" t="str">
        <f>"903F7B7AAE880400468F755961003011"</f>
        <v>903F7B7AAE880400468F755961003011</v>
      </c>
      <c r="G1463" s="1" t="s">
        <v>58</v>
      </c>
      <c r="H1463" s="1" t="str">
        <f t="shared" si="212"/>
        <v>20220925</v>
      </c>
      <c r="I1463" s="1" t="str">
        <f>"093944"</f>
        <v>093944</v>
      </c>
      <c r="J1463" s="1" t="s">
        <v>56</v>
      </c>
      <c r="K1463" s="1" t="s">
        <v>45</v>
      </c>
      <c r="L1463" s="1" t="str">
        <f t="shared" si="213"/>
        <v>20220925</v>
      </c>
      <c r="M1463" s="1" t="str">
        <f>"095137"</f>
        <v>095137</v>
      </c>
      <c r="N1463" s="1" t="s">
        <v>28</v>
      </c>
      <c r="O1463" s="1" t="s">
        <v>28</v>
      </c>
      <c r="P1463" s="1" t="s">
        <v>55</v>
      </c>
      <c r="Q1463" s="1">
        <v>25</v>
      </c>
      <c r="R1463" s="1">
        <v>25</v>
      </c>
      <c r="S1463" s="1">
        <v>0</v>
      </c>
      <c r="T1463" s="1">
        <v>0</v>
      </c>
      <c r="U1463" s="1">
        <v>0</v>
      </c>
      <c r="V1463" s="1" t="str">
        <f t="shared" si="205"/>
        <v>里程返程</v>
      </c>
      <c r="W1463" s="1" t="s">
        <v>29</v>
      </c>
    </row>
    <row r="1464" spans="1:23" x14ac:dyDescent="0.3">
      <c r="A1464" s="1" t="str">
        <f t="shared" si="214"/>
        <v>59820</v>
      </c>
      <c r="B1464" s="1" t="s">
        <v>53</v>
      </c>
      <c r="C1464" s="1" t="s">
        <v>54</v>
      </c>
      <c r="D1464" s="1" t="str">
        <f t="shared" si="204"/>
        <v>9801</v>
      </c>
      <c r="E1464" s="1" t="s">
        <v>25</v>
      </c>
      <c r="F1464" s="1" t="str">
        <f>"8A551A4782880400C185149861304312"</f>
        <v>8A551A4782880400C185149861304312</v>
      </c>
      <c r="G1464" s="1" t="s">
        <v>58</v>
      </c>
      <c r="H1464" s="1" t="str">
        <f t="shared" si="212"/>
        <v>20220925</v>
      </c>
      <c r="I1464" s="1" t="str">
        <f>"093952"</f>
        <v>093952</v>
      </c>
      <c r="J1464" s="1" t="s">
        <v>56</v>
      </c>
      <c r="K1464" s="1" t="s">
        <v>45</v>
      </c>
      <c r="L1464" s="1" t="str">
        <f t="shared" si="213"/>
        <v>20220925</v>
      </c>
      <c r="M1464" s="1" t="str">
        <f>"095132"</f>
        <v>095132</v>
      </c>
      <c r="N1464" s="1" t="s">
        <v>28</v>
      </c>
      <c r="O1464" s="1" t="s">
        <v>28</v>
      </c>
      <c r="P1464" s="1" t="s">
        <v>55</v>
      </c>
      <c r="Q1464" s="1">
        <v>25</v>
      </c>
      <c r="R1464" s="1">
        <v>25</v>
      </c>
      <c r="S1464" s="1">
        <v>0</v>
      </c>
      <c r="T1464" s="1">
        <v>0</v>
      </c>
      <c r="U1464" s="1">
        <v>0</v>
      </c>
      <c r="V1464" s="1" t="str">
        <f t="shared" si="205"/>
        <v>里程返程</v>
      </c>
      <c r="W1464" s="1" t="s">
        <v>29</v>
      </c>
    </row>
    <row r="1465" spans="1:23" x14ac:dyDescent="0.3">
      <c r="A1465" s="1" t="str">
        <f t="shared" si="214"/>
        <v>59820</v>
      </c>
      <c r="B1465" s="1" t="s">
        <v>53</v>
      </c>
      <c r="C1465" s="1" t="s">
        <v>54</v>
      </c>
      <c r="D1465" s="1" t="str">
        <f t="shared" si="204"/>
        <v>9801</v>
      </c>
      <c r="E1465" s="1" t="s">
        <v>25</v>
      </c>
      <c r="F1465" s="1" t="str">
        <f>"F13B475DD08804004325C3F9000E0C0F"</f>
        <v>F13B475DD08804004325C3F9000E0C0F</v>
      </c>
      <c r="G1465" s="1" t="s">
        <v>64</v>
      </c>
      <c r="H1465" s="1" t="str">
        <f t="shared" si="212"/>
        <v>20220925</v>
      </c>
      <c r="I1465" s="1" t="str">
        <f>"095145"</f>
        <v>095145</v>
      </c>
      <c r="J1465" s="1" t="s">
        <v>28</v>
      </c>
      <c r="K1465" s="1" t="s">
        <v>28</v>
      </c>
      <c r="L1465" s="1" t="str">
        <f t="shared" si="213"/>
        <v>20220925</v>
      </c>
      <c r="M1465" s="1" t="str">
        <f>"101421"</f>
        <v>101421</v>
      </c>
      <c r="N1465" s="1" t="s">
        <v>65</v>
      </c>
      <c r="O1465" s="1" t="s">
        <v>52</v>
      </c>
      <c r="P1465" s="1" t="s">
        <v>55</v>
      </c>
      <c r="Q1465" s="1">
        <v>13</v>
      </c>
      <c r="R1465" s="1">
        <v>13</v>
      </c>
      <c r="S1465" s="1">
        <v>0</v>
      </c>
      <c r="T1465" s="1">
        <v>0</v>
      </c>
      <c r="U1465" s="1">
        <v>0</v>
      </c>
      <c r="V1465" s="1" t="str">
        <f t="shared" si="205"/>
        <v>里程返程</v>
      </c>
      <c r="W1465" s="1" t="s">
        <v>29</v>
      </c>
    </row>
    <row r="1466" spans="1:23" x14ac:dyDescent="0.3">
      <c r="A1466" s="1" t="str">
        <f t="shared" si="214"/>
        <v>59820</v>
      </c>
      <c r="B1466" s="1" t="s">
        <v>53</v>
      </c>
      <c r="C1466" s="1" t="s">
        <v>54</v>
      </c>
      <c r="D1466" s="1" t="str">
        <f t="shared" si="204"/>
        <v>9801</v>
      </c>
      <c r="E1466" s="1" t="s">
        <v>25</v>
      </c>
      <c r="F1466" s="1" t="str">
        <f>"635703217"</f>
        <v>635703217</v>
      </c>
      <c r="G1466" s="1" t="s">
        <v>33</v>
      </c>
      <c r="H1466" s="1" t="str">
        <f t="shared" si="212"/>
        <v>20220925</v>
      </c>
      <c r="I1466" s="1" t="str">
        <f>"095150"</f>
        <v>095150</v>
      </c>
      <c r="J1466" s="1" t="s">
        <v>28</v>
      </c>
      <c r="K1466" s="1" t="s">
        <v>28</v>
      </c>
      <c r="L1466" s="1" t="str">
        <f t="shared" si="213"/>
        <v>20220925</v>
      </c>
      <c r="M1466" s="1" t="str">
        <f>"100606"</f>
        <v>100606</v>
      </c>
      <c r="N1466" s="1" t="s">
        <v>69</v>
      </c>
      <c r="O1466" s="1" t="s">
        <v>52</v>
      </c>
      <c r="P1466" s="1" t="s">
        <v>55</v>
      </c>
      <c r="Q1466" s="1">
        <v>25</v>
      </c>
      <c r="R1466" s="1">
        <v>25</v>
      </c>
      <c r="S1466" s="1">
        <v>0</v>
      </c>
      <c r="T1466" s="1">
        <v>0</v>
      </c>
      <c r="U1466" s="1">
        <v>0</v>
      </c>
      <c r="V1466" s="1" t="str">
        <f t="shared" si="205"/>
        <v>里程返程</v>
      </c>
      <c r="W1466" s="1" t="s">
        <v>35</v>
      </c>
    </row>
    <row r="1467" spans="1:23" x14ac:dyDescent="0.3">
      <c r="A1467" s="1" t="str">
        <f t="shared" si="214"/>
        <v>59820</v>
      </c>
      <c r="B1467" s="1" t="s">
        <v>53</v>
      </c>
      <c r="C1467" s="1" t="s">
        <v>54</v>
      </c>
      <c r="D1467" s="1" t="str">
        <f t="shared" si="204"/>
        <v>9801</v>
      </c>
      <c r="E1467" s="1" t="s">
        <v>25</v>
      </c>
      <c r="F1467" s="1" t="str">
        <f>"942983973"</f>
        <v>942983973</v>
      </c>
      <c r="G1467" s="1" t="s">
        <v>33</v>
      </c>
      <c r="H1467" s="1" t="str">
        <f t="shared" si="212"/>
        <v>20220925</v>
      </c>
      <c r="I1467" s="1" t="str">
        <f>"095223"</f>
        <v>095223</v>
      </c>
      <c r="J1467" s="1" t="s">
        <v>28</v>
      </c>
      <c r="K1467" s="1" t="s">
        <v>28</v>
      </c>
      <c r="L1467" s="1" t="str">
        <f t="shared" si="213"/>
        <v>20220925</v>
      </c>
      <c r="M1467" s="1" t="str">
        <f>"101529"</f>
        <v>101529</v>
      </c>
      <c r="N1467" s="1" t="s">
        <v>72</v>
      </c>
      <c r="O1467" s="1" t="s">
        <v>52</v>
      </c>
      <c r="P1467" s="1" t="s">
        <v>55</v>
      </c>
      <c r="Q1467" s="1">
        <v>25</v>
      </c>
      <c r="R1467" s="1">
        <v>0</v>
      </c>
      <c r="S1467" s="1">
        <v>25</v>
      </c>
      <c r="T1467" s="1">
        <v>0</v>
      </c>
      <c r="U1467" s="1">
        <v>0</v>
      </c>
      <c r="V1467" s="1" t="str">
        <f t="shared" si="205"/>
        <v>里程返程</v>
      </c>
      <c r="W1467" s="1" t="s">
        <v>35</v>
      </c>
    </row>
    <row r="1468" spans="1:23" x14ac:dyDescent="0.3">
      <c r="A1468" s="1" t="str">
        <f t="shared" si="214"/>
        <v>59820</v>
      </c>
      <c r="B1468" s="1" t="s">
        <v>53</v>
      </c>
      <c r="C1468" s="1" t="s">
        <v>54</v>
      </c>
      <c r="D1468" s="1" t="str">
        <f t="shared" si="204"/>
        <v>9801</v>
      </c>
      <c r="E1468" s="1" t="s">
        <v>25</v>
      </c>
      <c r="F1468" s="1" t="str">
        <f>"848112533"</f>
        <v>848112533</v>
      </c>
      <c r="G1468" s="1" t="s">
        <v>33</v>
      </c>
      <c r="H1468" s="1" t="str">
        <f t="shared" si="212"/>
        <v>20220925</v>
      </c>
      <c r="I1468" s="1" t="str">
        <f>"095225"</f>
        <v>095225</v>
      </c>
      <c r="J1468" s="1" t="s">
        <v>28</v>
      </c>
      <c r="K1468" s="1" t="s">
        <v>28</v>
      </c>
      <c r="L1468" s="1" t="str">
        <f t="shared" si="213"/>
        <v>20220925</v>
      </c>
      <c r="M1468" s="1" t="str">
        <f>"101527"</f>
        <v>101527</v>
      </c>
      <c r="N1468" s="1" t="s">
        <v>72</v>
      </c>
      <c r="O1468" s="1" t="s">
        <v>52</v>
      </c>
      <c r="P1468" s="1" t="s">
        <v>55</v>
      </c>
      <c r="Q1468" s="1">
        <v>25</v>
      </c>
      <c r="R1468" s="1">
        <v>0</v>
      </c>
      <c r="S1468" s="1">
        <v>25</v>
      </c>
      <c r="T1468" s="1">
        <v>0</v>
      </c>
      <c r="U1468" s="1">
        <v>0</v>
      </c>
      <c r="V1468" s="1" t="str">
        <f t="shared" si="205"/>
        <v>里程返程</v>
      </c>
      <c r="W1468" s="1" t="s">
        <v>35</v>
      </c>
    </row>
    <row r="1469" spans="1:23" x14ac:dyDescent="0.3">
      <c r="A1469" s="1" t="str">
        <f t="shared" si="214"/>
        <v>59820</v>
      </c>
      <c r="B1469" s="1" t="s">
        <v>53</v>
      </c>
      <c r="C1469" s="1" t="s">
        <v>54</v>
      </c>
      <c r="D1469" s="1" t="str">
        <f t="shared" si="204"/>
        <v>9801</v>
      </c>
      <c r="E1469" s="1" t="s">
        <v>25</v>
      </c>
      <c r="F1469" s="1" t="str">
        <f>"2754738095"</f>
        <v>2754738095</v>
      </c>
      <c r="G1469" s="1" t="s">
        <v>33</v>
      </c>
      <c r="H1469" s="1" t="str">
        <f t="shared" si="212"/>
        <v>20220925</v>
      </c>
      <c r="I1469" s="1" t="str">
        <f>"095252"</f>
        <v>095252</v>
      </c>
      <c r="J1469" s="1" t="s">
        <v>28</v>
      </c>
      <c r="K1469" s="1" t="s">
        <v>28</v>
      </c>
      <c r="L1469" s="1" t="str">
        <f t="shared" si="213"/>
        <v>20220925</v>
      </c>
      <c r="M1469" s="1" t="str">
        <f>"102401"</f>
        <v>102401</v>
      </c>
      <c r="N1469" s="1" t="s">
        <v>52</v>
      </c>
      <c r="O1469" s="1" t="s">
        <v>52</v>
      </c>
      <c r="P1469" s="1" t="s">
        <v>55</v>
      </c>
      <c r="Q1469" s="1">
        <v>25</v>
      </c>
      <c r="R1469" s="1">
        <v>25</v>
      </c>
      <c r="S1469" s="1">
        <v>0</v>
      </c>
      <c r="T1469" s="1">
        <v>0</v>
      </c>
      <c r="U1469" s="1">
        <v>0</v>
      </c>
      <c r="V1469" s="1" t="str">
        <f t="shared" si="205"/>
        <v>里程返程</v>
      </c>
      <c r="W1469" s="1" t="s">
        <v>35</v>
      </c>
    </row>
    <row r="1470" spans="1:23" x14ac:dyDescent="0.3">
      <c r="A1470" s="1" t="str">
        <f t="shared" si="214"/>
        <v>59820</v>
      </c>
      <c r="B1470" s="1" t="s">
        <v>53</v>
      </c>
      <c r="C1470" s="1" t="s">
        <v>54</v>
      </c>
      <c r="D1470" s="1" t="str">
        <f t="shared" si="204"/>
        <v>9801</v>
      </c>
      <c r="E1470" s="1" t="s">
        <v>25</v>
      </c>
      <c r="F1470" s="1" t="str">
        <f>"F11D4C63C32804001C00000000000000"</f>
        <v>F11D4C63C32804001C00000000000000</v>
      </c>
      <c r="G1470" s="1" t="s">
        <v>58</v>
      </c>
      <c r="H1470" s="1" t="str">
        <f t="shared" si="212"/>
        <v>20220925</v>
      </c>
      <c r="I1470" s="1" t="str">
        <f>"095259"</f>
        <v>095259</v>
      </c>
      <c r="J1470" s="1" t="s">
        <v>28</v>
      </c>
      <c r="K1470" s="1" t="s">
        <v>28</v>
      </c>
      <c r="L1470" s="1" t="str">
        <f t="shared" si="213"/>
        <v>20220925</v>
      </c>
      <c r="M1470" s="1" t="str">
        <f>"102359"</f>
        <v>102359</v>
      </c>
      <c r="N1470" s="1" t="s">
        <v>52</v>
      </c>
      <c r="O1470" s="1" t="s">
        <v>52</v>
      </c>
      <c r="P1470" s="1" t="s">
        <v>55</v>
      </c>
      <c r="Q1470" s="1">
        <v>25</v>
      </c>
      <c r="R1470" s="1">
        <v>25</v>
      </c>
      <c r="S1470" s="1">
        <v>0</v>
      </c>
      <c r="T1470" s="1">
        <v>0</v>
      </c>
      <c r="U1470" s="1">
        <v>0</v>
      </c>
      <c r="V1470" s="1" t="str">
        <f t="shared" si="205"/>
        <v>里程返程</v>
      </c>
      <c r="W1470" s="1" t="s">
        <v>29</v>
      </c>
    </row>
    <row r="1471" spans="1:23" x14ac:dyDescent="0.3">
      <c r="A1471" s="1" t="str">
        <f t="shared" si="214"/>
        <v>59820</v>
      </c>
      <c r="B1471" s="1" t="s">
        <v>53</v>
      </c>
      <c r="C1471" s="1" t="s">
        <v>54</v>
      </c>
      <c r="D1471" s="1" t="str">
        <f t="shared" si="204"/>
        <v>9801</v>
      </c>
      <c r="E1471" s="1" t="s">
        <v>25</v>
      </c>
      <c r="F1471" s="1" t="str">
        <f>"4251460257880400C821002000000015"</f>
        <v>4251460257880400C821002000000015</v>
      </c>
      <c r="G1471" s="1" t="s">
        <v>26</v>
      </c>
      <c r="H1471" s="1" t="str">
        <f t="shared" si="212"/>
        <v>20220925</v>
      </c>
      <c r="I1471" s="1" t="str">
        <f>"104311"</f>
        <v>104311</v>
      </c>
      <c r="J1471" s="1" t="s">
        <v>45</v>
      </c>
      <c r="K1471" s="1" t="s">
        <v>45</v>
      </c>
      <c r="L1471" s="1" t="str">
        <f t="shared" si="213"/>
        <v>20220925</v>
      </c>
      <c r="M1471" s="1" t="str">
        <f>"110603"</f>
        <v>110603</v>
      </c>
      <c r="N1471" s="1" t="s">
        <v>69</v>
      </c>
      <c r="O1471" s="1" t="s">
        <v>52</v>
      </c>
      <c r="P1471" s="1" t="s">
        <v>68</v>
      </c>
      <c r="Q1471" s="1">
        <v>25</v>
      </c>
      <c r="R1471" s="1">
        <v>0</v>
      </c>
      <c r="S1471" s="1">
        <v>0</v>
      </c>
      <c r="T1471" s="1">
        <v>25</v>
      </c>
      <c r="U1471" s="1">
        <v>0</v>
      </c>
      <c r="V1471" s="1" t="str">
        <f t="shared" si="205"/>
        <v>里程返程</v>
      </c>
      <c r="W1471" s="1" t="s">
        <v>29</v>
      </c>
    </row>
    <row r="1472" spans="1:23" x14ac:dyDescent="0.3">
      <c r="A1472" s="1" t="str">
        <f t="shared" si="214"/>
        <v>59820</v>
      </c>
      <c r="B1472" s="1" t="s">
        <v>53</v>
      </c>
      <c r="C1472" s="1" t="s">
        <v>54</v>
      </c>
      <c r="D1472" s="1" t="str">
        <f t="shared" si="204"/>
        <v>9801</v>
      </c>
      <c r="E1472" s="1" t="s">
        <v>25</v>
      </c>
      <c r="F1472" s="1" t="str">
        <f>"82D5FB02AE880400C834002000000015"</f>
        <v>82D5FB02AE880400C834002000000015</v>
      </c>
      <c r="G1472" s="1" t="s">
        <v>26</v>
      </c>
      <c r="H1472" s="1" t="str">
        <f t="shared" si="212"/>
        <v>20220925</v>
      </c>
      <c r="I1472" s="1" t="str">
        <f>"111557"</f>
        <v>111557</v>
      </c>
      <c r="J1472" s="1" t="s">
        <v>72</v>
      </c>
      <c r="K1472" s="1" t="s">
        <v>52</v>
      </c>
      <c r="L1472" s="1" t="str">
        <f t="shared" si="213"/>
        <v>20220925</v>
      </c>
      <c r="M1472" s="1" t="str">
        <f>"111831"</f>
        <v>111831</v>
      </c>
      <c r="N1472" s="1" t="s">
        <v>51</v>
      </c>
      <c r="O1472" s="1" t="s">
        <v>52</v>
      </c>
      <c r="P1472" s="1" t="s">
        <v>68</v>
      </c>
      <c r="Q1472" s="1">
        <v>13</v>
      </c>
      <c r="R1472" s="1">
        <v>0</v>
      </c>
      <c r="S1472" s="1">
        <v>0</v>
      </c>
      <c r="T1472" s="1">
        <v>13</v>
      </c>
      <c r="U1472" s="1">
        <v>0</v>
      </c>
      <c r="V1472" s="1" t="str">
        <f t="shared" si="205"/>
        <v>里程返程</v>
      </c>
      <c r="W1472" s="1" t="s">
        <v>29</v>
      </c>
    </row>
    <row r="1473" spans="1:23" x14ac:dyDescent="0.3">
      <c r="A1473" s="1" t="str">
        <f t="shared" si="214"/>
        <v>59820</v>
      </c>
      <c r="B1473" s="1" t="s">
        <v>53</v>
      </c>
      <c r="C1473" s="1" t="s">
        <v>54</v>
      </c>
      <c r="D1473" s="1" t="str">
        <f t="shared" si="204"/>
        <v>9801</v>
      </c>
      <c r="E1473" s="1" t="s">
        <v>25</v>
      </c>
      <c r="F1473" s="1" t="str">
        <f>"734641205"</f>
        <v>734641205</v>
      </c>
      <c r="G1473" s="1" t="s">
        <v>33</v>
      </c>
      <c r="H1473" s="1" t="str">
        <f t="shared" si="212"/>
        <v>20220925</v>
      </c>
      <c r="I1473" s="1" t="str">
        <f>"115211"</f>
        <v>115211</v>
      </c>
      <c r="J1473" s="1" t="s">
        <v>28</v>
      </c>
      <c r="K1473" s="1" t="s">
        <v>28</v>
      </c>
      <c r="L1473" s="1" t="str">
        <f t="shared" si="213"/>
        <v>20220925</v>
      </c>
      <c r="M1473" s="1" t="str">
        <f>"121401"</f>
        <v>121401</v>
      </c>
      <c r="N1473" s="1" t="s">
        <v>65</v>
      </c>
      <c r="O1473" s="1" t="s">
        <v>52</v>
      </c>
      <c r="P1473" s="1" t="s">
        <v>55</v>
      </c>
      <c r="Q1473" s="1">
        <v>25</v>
      </c>
      <c r="R1473" s="1">
        <v>0</v>
      </c>
      <c r="S1473" s="1">
        <v>25</v>
      </c>
      <c r="T1473" s="1">
        <v>0</v>
      </c>
      <c r="U1473" s="1">
        <v>0</v>
      </c>
      <c r="V1473" s="1" t="str">
        <f t="shared" si="205"/>
        <v>里程返程</v>
      </c>
      <c r="W1473" s="1" t="s">
        <v>35</v>
      </c>
    </row>
    <row r="1474" spans="1:23" x14ac:dyDescent="0.3">
      <c r="A1474" s="1" t="str">
        <f t="shared" si="214"/>
        <v>59820</v>
      </c>
      <c r="B1474" s="1" t="s">
        <v>53</v>
      </c>
      <c r="C1474" s="1" t="s">
        <v>54</v>
      </c>
      <c r="D1474" s="1" t="str">
        <f t="shared" ref="D1474:D1537" si="215">"9801"</f>
        <v>9801</v>
      </c>
      <c r="E1474" s="1" t="s">
        <v>25</v>
      </c>
      <c r="F1474" s="1" t="str">
        <f>"212A65234D8804004328148200120112"</f>
        <v>212A65234D8804004328148200120112</v>
      </c>
      <c r="G1474" s="1" t="s">
        <v>74</v>
      </c>
      <c r="H1474" s="1" t="str">
        <f t="shared" si="212"/>
        <v>20220925</v>
      </c>
      <c r="I1474" s="1" t="str">
        <f>"115220"</f>
        <v>115220</v>
      </c>
      <c r="J1474" s="1" t="s">
        <v>28</v>
      </c>
      <c r="K1474" s="1" t="s">
        <v>28</v>
      </c>
      <c r="L1474" s="1" t="str">
        <f t="shared" si="213"/>
        <v>20220925</v>
      </c>
      <c r="M1474" s="1" t="str">
        <f>"121408"</f>
        <v>121408</v>
      </c>
      <c r="N1474" s="1" t="s">
        <v>65</v>
      </c>
      <c r="O1474" s="1" t="s">
        <v>52</v>
      </c>
      <c r="P1474" s="1" t="s">
        <v>55</v>
      </c>
      <c r="Q1474" s="1">
        <v>13</v>
      </c>
      <c r="R1474" s="1">
        <v>0</v>
      </c>
      <c r="S1474" s="1">
        <v>13</v>
      </c>
      <c r="T1474" s="1">
        <v>0</v>
      </c>
      <c r="U1474" s="1">
        <v>0</v>
      </c>
      <c r="V1474" s="1" t="str">
        <f t="shared" ref="V1474:V1537" si="216">"里程返程"</f>
        <v>里程返程</v>
      </c>
      <c r="W1474" s="1" t="s">
        <v>29</v>
      </c>
    </row>
    <row r="1475" spans="1:23" x14ac:dyDescent="0.3">
      <c r="A1475" s="1" t="str">
        <f t="shared" si="214"/>
        <v>59820</v>
      </c>
      <c r="B1475" s="1" t="s">
        <v>53</v>
      </c>
      <c r="C1475" s="1" t="s">
        <v>54</v>
      </c>
      <c r="D1475" s="1" t="str">
        <f t="shared" si="215"/>
        <v>9801</v>
      </c>
      <c r="E1475" s="1" t="s">
        <v>25</v>
      </c>
      <c r="F1475" s="1" t="str">
        <f>"F172A425028804004328091300040212"</f>
        <v>F172A425028804004328091300040212</v>
      </c>
      <c r="G1475" s="1" t="s">
        <v>102</v>
      </c>
      <c r="H1475" s="1" t="str">
        <f t="shared" si="212"/>
        <v>20220925</v>
      </c>
      <c r="I1475" s="1" t="str">
        <f>"115223"</f>
        <v>115223</v>
      </c>
      <c r="J1475" s="1" t="s">
        <v>28</v>
      </c>
      <c r="K1475" s="1" t="s">
        <v>28</v>
      </c>
      <c r="L1475" s="1" t="str">
        <f t="shared" si="213"/>
        <v>20220925</v>
      </c>
      <c r="M1475" s="1" t="str">
        <f>"121412"</f>
        <v>121412</v>
      </c>
      <c r="N1475" s="1" t="s">
        <v>65</v>
      </c>
      <c r="O1475" s="1" t="s">
        <v>52</v>
      </c>
      <c r="P1475" s="1" t="s">
        <v>55</v>
      </c>
      <c r="Q1475" s="1">
        <v>13</v>
      </c>
      <c r="R1475" s="1">
        <v>0</v>
      </c>
      <c r="S1475" s="1">
        <v>13</v>
      </c>
      <c r="T1475" s="1">
        <v>0</v>
      </c>
      <c r="U1475" s="1">
        <v>0</v>
      </c>
      <c r="V1475" s="1" t="str">
        <f t="shared" si="216"/>
        <v>里程返程</v>
      </c>
      <c r="W1475" s="1" t="s">
        <v>29</v>
      </c>
    </row>
    <row r="1476" spans="1:23" x14ac:dyDescent="0.3">
      <c r="A1476" s="1" t="str">
        <f t="shared" si="214"/>
        <v>59820</v>
      </c>
      <c r="B1476" s="1" t="s">
        <v>53</v>
      </c>
      <c r="C1476" s="1" t="s">
        <v>54</v>
      </c>
      <c r="D1476" s="1" t="str">
        <f t="shared" si="215"/>
        <v>9801</v>
      </c>
      <c r="E1476" s="1" t="s">
        <v>25</v>
      </c>
      <c r="F1476" s="1" t="str">
        <f>"1435122465"</f>
        <v>1435122465</v>
      </c>
      <c r="G1476" s="1" t="s">
        <v>33</v>
      </c>
      <c r="H1476" s="1" t="str">
        <f t="shared" si="212"/>
        <v>20220925</v>
      </c>
      <c r="I1476" s="1" t="str">
        <f>"115230"</f>
        <v>115230</v>
      </c>
      <c r="J1476" s="1" t="s">
        <v>28</v>
      </c>
      <c r="K1476" s="1" t="s">
        <v>28</v>
      </c>
      <c r="L1476" s="1" t="str">
        <f t="shared" si="213"/>
        <v>20220925</v>
      </c>
      <c r="M1476" s="1" t="str">
        <f>"121449"</f>
        <v>121449</v>
      </c>
      <c r="N1476" s="1" t="s">
        <v>65</v>
      </c>
      <c r="O1476" s="1" t="s">
        <v>52</v>
      </c>
      <c r="P1476" s="1" t="s">
        <v>55</v>
      </c>
      <c r="Q1476" s="1">
        <v>25</v>
      </c>
      <c r="R1476" s="1">
        <v>25</v>
      </c>
      <c r="S1476" s="1">
        <v>0</v>
      </c>
      <c r="T1476" s="1">
        <v>0</v>
      </c>
      <c r="U1476" s="1">
        <v>0</v>
      </c>
      <c r="V1476" s="1" t="str">
        <f t="shared" si="216"/>
        <v>里程返程</v>
      </c>
      <c r="W1476" s="1" t="s">
        <v>35</v>
      </c>
    </row>
    <row r="1477" spans="1:23" x14ac:dyDescent="0.3">
      <c r="A1477" s="1" t="str">
        <f t="shared" si="214"/>
        <v>59820</v>
      </c>
      <c r="B1477" s="1" t="s">
        <v>53</v>
      </c>
      <c r="C1477" s="1" t="s">
        <v>54</v>
      </c>
      <c r="D1477" s="1" t="str">
        <f t="shared" si="215"/>
        <v>9801</v>
      </c>
      <c r="E1477" s="1" t="s">
        <v>25</v>
      </c>
      <c r="F1477" s="1" t="str">
        <f>"1740615365"</f>
        <v>1740615365</v>
      </c>
      <c r="G1477" s="1" t="s">
        <v>33</v>
      </c>
      <c r="H1477" s="1" t="str">
        <f t="shared" si="212"/>
        <v>20220925</v>
      </c>
      <c r="I1477" s="1" t="str">
        <f>"115246"</f>
        <v>115246</v>
      </c>
      <c r="J1477" s="1" t="s">
        <v>28</v>
      </c>
      <c r="K1477" s="1" t="s">
        <v>28</v>
      </c>
      <c r="L1477" s="1" t="str">
        <f t="shared" si="213"/>
        <v>20220925</v>
      </c>
      <c r="M1477" s="1" t="str">
        <f>"121452"</f>
        <v>121452</v>
      </c>
      <c r="N1477" s="1" t="s">
        <v>65</v>
      </c>
      <c r="O1477" s="1" t="s">
        <v>52</v>
      </c>
      <c r="P1477" s="1" t="s">
        <v>55</v>
      </c>
      <c r="Q1477" s="1">
        <v>25</v>
      </c>
      <c r="R1477" s="1">
        <v>0</v>
      </c>
      <c r="S1477" s="1">
        <v>25</v>
      </c>
      <c r="T1477" s="1">
        <v>0</v>
      </c>
      <c r="U1477" s="1">
        <v>0</v>
      </c>
      <c r="V1477" s="1" t="str">
        <f t="shared" si="216"/>
        <v>里程返程</v>
      </c>
      <c r="W1477" s="1" t="s">
        <v>35</v>
      </c>
    </row>
    <row r="1478" spans="1:23" x14ac:dyDescent="0.3">
      <c r="A1478" s="1" t="str">
        <f t="shared" si="214"/>
        <v>59820</v>
      </c>
      <c r="B1478" s="1" t="s">
        <v>53</v>
      </c>
      <c r="C1478" s="1" t="s">
        <v>54</v>
      </c>
      <c r="D1478" s="1" t="str">
        <f t="shared" si="215"/>
        <v>9801</v>
      </c>
      <c r="E1478" s="1" t="s">
        <v>25</v>
      </c>
      <c r="F1478" s="1" t="str">
        <f>"0E2821363188040047C13517C9002508"</f>
        <v>0E2821363188040047C13517C9002508</v>
      </c>
      <c r="G1478" s="1" t="s">
        <v>58</v>
      </c>
      <c r="H1478" s="1" t="str">
        <f t="shared" si="212"/>
        <v>20220925</v>
      </c>
      <c r="I1478" s="1" t="str">
        <f>"192144"</f>
        <v>192144</v>
      </c>
      <c r="J1478" s="1" t="s">
        <v>28</v>
      </c>
      <c r="K1478" s="1" t="s">
        <v>28</v>
      </c>
      <c r="L1478" s="1" t="str">
        <f t="shared" si="213"/>
        <v>20220925</v>
      </c>
      <c r="M1478" s="1" t="str">
        <f>"193951"</f>
        <v>193951</v>
      </c>
      <c r="N1478" s="1" t="s">
        <v>77</v>
      </c>
      <c r="O1478" s="1" t="s">
        <v>52</v>
      </c>
      <c r="P1478" s="1" t="s">
        <v>55</v>
      </c>
      <c r="Q1478" s="1">
        <v>25</v>
      </c>
      <c r="R1478" s="1">
        <v>0</v>
      </c>
      <c r="S1478" s="1">
        <v>25</v>
      </c>
      <c r="T1478" s="1">
        <v>0</v>
      </c>
      <c r="U1478" s="1">
        <v>0</v>
      </c>
      <c r="V1478" s="1" t="str">
        <f t="shared" si="216"/>
        <v>里程返程</v>
      </c>
      <c r="W1478" s="1" t="s">
        <v>29</v>
      </c>
    </row>
    <row r="1479" spans="1:23" x14ac:dyDescent="0.3">
      <c r="A1479" s="1" t="str">
        <f t="shared" si="214"/>
        <v>59820</v>
      </c>
      <c r="B1479" s="1" t="s">
        <v>53</v>
      </c>
      <c r="C1479" s="1" t="s">
        <v>54</v>
      </c>
      <c r="D1479" s="1" t="str">
        <f t="shared" si="215"/>
        <v>9801</v>
      </c>
      <c r="E1479" s="1" t="s">
        <v>25</v>
      </c>
      <c r="F1479" s="1" t="str">
        <f>"B211381B80880400C817002000000021"</f>
        <v>B211381B80880400C817002000000021</v>
      </c>
      <c r="G1479" s="1" t="s">
        <v>59</v>
      </c>
      <c r="H1479" s="1" t="str">
        <f t="shared" si="212"/>
        <v>20220925</v>
      </c>
      <c r="I1479" s="1" t="str">
        <f>"192148"</f>
        <v>192148</v>
      </c>
      <c r="J1479" s="1" t="s">
        <v>28</v>
      </c>
      <c r="K1479" s="1" t="s">
        <v>28</v>
      </c>
      <c r="L1479" s="1" t="str">
        <f t="shared" si="213"/>
        <v>20220925</v>
      </c>
      <c r="M1479" s="1" t="str">
        <f>"194709"</f>
        <v>194709</v>
      </c>
      <c r="N1479" s="1" t="s">
        <v>71</v>
      </c>
      <c r="O1479" s="1" t="s">
        <v>52</v>
      </c>
      <c r="P1479" s="1" t="s">
        <v>55</v>
      </c>
      <c r="Q1479" s="1">
        <v>25</v>
      </c>
      <c r="R1479" s="1">
        <v>0</v>
      </c>
      <c r="S1479" s="1">
        <v>25</v>
      </c>
      <c r="T1479" s="1">
        <v>0</v>
      </c>
      <c r="U1479" s="1">
        <v>0</v>
      </c>
      <c r="V1479" s="1" t="str">
        <f t="shared" si="216"/>
        <v>里程返程</v>
      </c>
      <c r="W1479" s="1" t="s">
        <v>29</v>
      </c>
    </row>
    <row r="1480" spans="1:23" x14ac:dyDescent="0.3">
      <c r="A1480" s="1" t="str">
        <f t="shared" si="214"/>
        <v>59820</v>
      </c>
      <c r="B1480" s="1" t="s">
        <v>53</v>
      </c>
      <c r="C1480" s="1" t="s">
        <v>54</v>
      </c>
      <c r="D1480" s="1" t="str">
        <f t="shared" si="215"/>
        <v>9801</v>
      </c>
      <c r="E1480" s="1" t="s">
        <v>25</v>
      </c>
      <c r="F1480" s="1" t="str">
        <f>"927435205"</f>
        <v>927435205</v>
      </c>
      <c r="G1480" s="1" t="s">
        <v>38</v>
      </c>
      <c r="H1480" s="1" t="str">
        <f t="shared" si="212"/>
        <v>20220925</v>
      </c>
      <c r="I1480" s="1" t="str">
        <f>"192152"</f>
        <v>192152</v>
      </c>
      <c r="J1480" s="1" t="s">
        <v>28</v>
      </c>
      <c r="K1480" s="1" t="s">
        <v>28</v>
      </c>
      <c r="L1480" s="1" t="str">
        <f t="shared" si="213"/>
        <v>20220925</v>
      </c>
      <c r="M1480" s="1" t="str">
        <f>"195017"</f>
        <v>195017</v>
      </c>
      <c r="N1480" s="1" t="s">
        <v>60</v>
      </c>
      <c r="O1480" s="1" t="s">
        <v>52</v>
      </c>
      <c r="P1480" s="1" t="s">
        <v>55</v>
      </c>
      <c r="Q1480" s="1">
        <v>25</v>
      </c>
      <c r="R1480" s="1">
        <v>25</v>
      </c>
      <c r="S1480" s="1">
        <v>0</v>
      </c>
      <c r="T1480" s="1">
        <v>0</v>
      </c>
      <c r="U1480" s="1">
        <v>0</v>
      </c>
      <c r="V1480" s="1" t="str">
        <f t="shared" si="216"/>
        <v>里程返程</v>
      </c>
      <c r="W1480" s="1" t="s">
        <v>35</v>
      </c>
    </row>
    <row r="1481" spans="1:23" x14ac:dyDescent="0.3">
      <c r="A1481" s="1" t="str">
        <f t="shared" si="214"/>
        <v>59820</v>
      </c>
      <c r="B1481" s="1" t="s">
        <v>53</v>
      </c>
      <c r="C1481" s="1" t="s">
        <v>54</v>
      </c>
      <c r="D1481" s="1" t="str">
        <f t="shared" si="215"/>
        <v>9801</v>
      </c>
      <c r="E1481" s="1" t="s">
        <v>25</v>
      </c>
      <c r="F1481" s="1" t="str">
        <f>"1080477425"</f>
        <v>1080477425</v>
      </c>
      <c r="G1481" s="1" t="s">
        <v>33</v>
      </c>
      <c r="H1481" s="1" t="str">
        <f t="shared" si="212"/>
        <v>20220925</v>
      </c>
      <c r="I1481" s="1" t="str">
        <f>"192217"</f>
        <v>192217</v>
      </c>
      <c r="J1481" s="1" t="s">
        <v>28</v>
      </c>
      <c r="K1481" s="1" t="s">
        <v>28</v>
      </c>
      <c r="L1481" s="1" t="str">
        <f t="shared" si="213"/>
        <v>20220925</v>
      </c>
      <c r="M1481" s="1" t="str">
        <f>"194943"</f>
        <v>194943</v>
      </c>
      <c r="N1481" s="1" t="s">
        <v>60</v>
      </c>
      <c r="O1481" s="1" t="s">
        <v>52</v>
      </c>
      <c r="P1481" s="1" t="s">
        <v>55</v>
      </c>
      <c r="Q1481" s="1">
        <v>25</v>
      </c>
      <c r="R1481" s="1">
        <v>0</v>
      </c>
      <c r="S1481" s="1">
        <v>25</v>
      </c>
      <c r="T1481" s="1">
        <v>0</v>
      </c>
      <c r="U1481" s="1">
        <v>0</v>
      </c>
      <c r="V1481" s="1" t="str">
        <f t="shared" si="216"/>
        <v>里程返程</v>
      </c>
      <c r="W1481" s="1" t="s">
        <v>35</v>
      </c>
    </row>
    <row r="1482" spans="1:23" x14ac:dyDescent="0.3">
      <c r="A1482" s="1" t="str">
        <f t="shared" si="214"/>
        <v>59820</v>
      </c>
      <c r="B1482" s="1" t="s">
        <v>53</v>
      </c>
      <c r="C1482" s="1" t="s">
        <v>54</v>
      </c>
      <c r="D1482" s="1" t="str">
        <f t="shared" si="215"/>
        <v>9801</v>
      </c>
      <c r="E1482" s="1" t="s">
        <v>25</v>
      </c>
      <c r="F1482" s="1" t="str">
        <f>"923E4D16F7880400C814002000000019"</f>
        <v>923E4D16F7880400C814002000000019</v>
      </c>
      <c r="G1482" s="1" t="s">
        <v>58</v>
      </c>
      <c r="H1482" s="1" t="str">
        <f t="shared" si="212"/>
        <v>20220925</v>
      </c>
      <c r="I1482" s="1" t="str">
        <f>"192223"</f>
        <v>192223</v>
      </c>
      <c r="J1482" s="1" t="s">
        <v>28</v>
      </c>
      <c r="K1482" s="1" t="s">
        <v>28</v>
      </c>
      <c r="L1482" s="1" t="str">
        <f t="shared" si="213"/>
        <v>20220925</v>
      </c>
      <c r="M1482" s="1" t="str">
        <f>"194611"</f>
        <v>194611</v>
      </c>
      <c r="N1482" s="1" t="s">
        <v>72</v>
      </c>
      <c r="O1482" s="1" t="s">
        <v>52</v>
      </c>
      <c r="P1482" s="1" t="s">
        <v>55</v>
      </c>
      <c r="Q1482" s="1">
        <v>25</v>
      </c>
      <c r="R1482" s="1">
        <v>25</v>
      </c>
      <c r="S1482" s="1">
        <v>0</v>
      </c>
      <c r="T1482" s="1">
        <v>0</v>
      </c>
      <c r="U1482" s="1">
        <v>0</v>
      </c>
      <c r="V1482" s="1" t="str">
        <f t="shared" si="216"/>
        <v>里程返程</v>
      </c>
      <c r="W1482" s="1" t="s">
        <v>29</v>
      </c>
    </row>
    <row r="1483" spans="1:23" x14ac:dyDescent="0.3">
      <c r="A1483" s="1" t="str">
        <f t="shared" si="214"/>
        <v>59820</v>
      </c>
      <c r="B1483" s="1" t="s">
        <v>53</v>
      </c>
      <c r="C1483" s="1" t="s">
        <v>54</v>
      </c>
      <c r="D1483" s="1" t="str">
        <f t="shared" si="215"/>
        <v>9801</v>
      </c>
      <c r="E1483" s="1" t="s">
        <v>25</v>
      </c>
      <c r="F1483" s="1" t="str">
        <f>"924653669"</f>
        <v>924653669</v>
      </c>
      <c r="G1483" s="1" t="s">
        <v>33</v>
      </c>
      <c r="H1483" s="1" t="str">
        <f t="shared" si="212"/>
        <v>20220925</v>
      </c>
      <c r="I1483" s="1" t="str">
        <f>"192231"</f>
        <v>192231</v>
      </c>
      <c r="J1483" s="1" t="s">
        <v>28</v>
      </c>
      <c r="K1483" s="1" t="s">
        <v>28</v>
      </c>
      <c r="L1483" s="1" t="str">
        <f t="shared" si="213"/>
        <v>20220925</v>
      </c>
      <c r="M1483" s="1" t="str">
        <f>"195431"</f>
        <v>195431</v>
      </c>
      <c r="N1483" s="1" t="s">
        <v>52</v>
      </c>
      <c r="O1483" s="1" t="s">
        <v>52</v>
      </c>
      <c r="P1483" s="1" t="s">
        <v>55</v>
      </c>
      <c r="Q1483" s="1">
        <v>25</v>
      </c>
      <c r="R1483" s="1">
        <v>25</v>
      </c>
      <c r="S1483" s="1">
        <v>0</v>
      </c>
      <c r="T1483" s="1">
        <v>0</v>
      </c>
      <c r="U1483" s="1">
        <v>0</v>
      </c>
      <c r="V1483" s="1" t="str">
        <f t="shared" si="216"/>
        <v>里程返程</v>
      </c>
      <c r="W1483" s="1" t="s">
        <v>35</v>
      </c>
    </row>
    <row r="1484" spans="1:23" x14ac:dyDescent="0.3">
      <c r="A1484" s="1" t="str">
        <f t="shared" si="214"/>
        <v>59820</v>
      </c>
      <c r="B1484" s="1" t="s">
        <v>53</v>
      </c>
      <c r="C1484" s="1" t="s">
        <v>54</v>
      </c>
      <c r="D1484" s="1" t="str">
        <f t="shared" si="215"/>
        <v>9801</v>
      </c>
      <c r="E1484" s="1" t="s">
        <v>25</v>
      </c>
      <c r="F1484" s="1" t="str">
        <f>"439403761"</f>
        <v>439403761</v>
      </c>
      <c r="G1484" s="1" t="s">
        <v>33</v>
      </c>
      <c r="H1484" s="1" t="str">
        <f t="shared" si="212"/>
        <v>20220925</v>
      </c>
      <c r="I1484" s="1" t="str">
        <f>"192407"</f>
        <v>192407</v>
      </c>
      <c r="J1484" s="1" t="s">
        <v>28</v>
      </c>
      <c r="K1484" s="1" t="s">
        <v>28</v>
      </c>
      <c r="L1484" s="1" t="str">
        <f t="shared" si="213"/>
        <v>20220925</v>
      </c>
      <c r="M1484" s="1" t="str">
        <f>"195423"</f>
        <v>195423</v>
      </c>
      <c r="N1484" s="1" t="s">
        <v>52</v>
      </c>
      <c r="O1484" s="1" t="s">
        <v>52</v>
      </c>
      <c r="P1484" s="1" t="s">
        <v>55</v>
      </c>
      <c r="Q1484" s="1">
        <v>25</v>
      </c>
      <c r="R1484" s="1">
        <v>25</v>
      </c>
      <c r="S1484" s="1">
        <v>0</v>
      </c>
      <c r="T1484" s="1">
        <v>0</v>
      </c>
      <c r="U1484" s="1">
        <v>0</v>
      </c>
      <c r="V1484" s="1" t="str">
        <f t="shared" si="216"/>
        <v>里程返程</v>
      </c>
      <c r="W1484" s="1" t="s">
        <v>35</v>
      </c>
    </row>
    <row r="1485" spans="1:23" x14ac:dyDescent="0.3">
      <c r="A1485" s="1" t="str">
        <f t="shared" ref="A1485:A1501" si="217">"59822"</f>
        <v>59822</v>
      </c>
      <c r="B1485" s="1" t="s">
        <v>39</v>
      </c>
      <c r="C1485" s="1" t="s">
        <v>40</v>
      </c>
      <c r="D1485" s="1" t="str">
        <f t="shared" si="215"/>
        <v>9801</v>
      </c>
      <c r="E1485" s="1" t="s">
        <v>25</v>
      </c>
      <c r="F1485" s="1" t="str">
        <f>"656798351"</f>
        <v>656798351</v>
      </c>
      <c r="G1485" s="1" t="s">
        <v>33</v>
      </c>
      <c r="H1485" s="1" t="str">
        <f t="shared" si="212"/>
        <v>20220925</v>
      </c>
      <c r="I1485" s="1" t="str">
        <f>"070100"</f>
        <v>070100</v>
      </c>
      <c r="J1485" s="1" t="s">
        <v>44</v>
      </c>
      <c r="K1485" s="1" t="s">
        <v>45</v>
      </c>
      <c r="L1485" s="1" t="str">
        <f t="shared" si="213"/>
        <v>20220925</v>
      </c>
      <c r="M1485" s="1" t="str">
        <f>"071837"</f>
        <v>071837</v>
      </c>
      <c r="N1485" s="1" t="s">
        <v>28</v>
      </c>
      <c r="O1485" s="1" t="s">
        <v>28</v>
      </c>
      <c r="P1485" s="1" t="s">
        <v>55</v>
      </c>
      <c r="Q1485" s="1">
        <v>25</v>
      </c>
      <c r="R1485" s="1">
        <v>25</v>
      </c>
      <c r="S1485" s="1">
        <v>0</v>
      </c>
      <c r="T1485" s="1">
        <v>0</v>
      </c>
      <c r="U1485" s="1">
        <v>0</v>
      </c>
      <c r="V1485" s="1" t="str">
        <f t="shared" si="216"/>
        <v>里程返程</v>
      </c>
      <c r="W1485" s="1" t="s">
        <v>35</v>
      </c>
    </row>
    <row r="1486" spans="1:23" x14ac:dyDescent="0.3">
      <c r="A1486" s="1" t="str">
        <f t="shared" si="217"/>
        <v>59822</v>
      </c>
      <c r="B1486" s="1" t="s">
        <v>39</v>
      </c>
      <c r="C1486" s="1" t="s">
        <v>40</v>
      </c>
      <c r="D1486" s="1" t="str">
        <f t="shared" si="215"/>
        <v>9801</v>
      </c>
      <c r="E1486" s="1" t="s">
        <v>25</v>
      </c>
      <c r="F1486" s="1" t="str">
        <f>"775960949"</f>
        <v>775960949</v>
      </c>
      <c r="G1486" s="1" t="s">
        <v>38</v>
      </c>
      <c r="H1486" s="1" t="str">
        <f t="shared" si="212"/>
        <v>20220925</v>
      </c>
      <c r="I1486" s="1" t="str">
        <f>"071133"</f>
        <v>071133</v>
      </c>
      <c r="J1486" s="1" t="s">
        <v>79</v>
      </c>
      <c r="K1486" s="1" t="s">
        <v>45</v>
      </c>
      <c r="L1486" s="1" t="str">
        <f t="shared" si="213"/>
        <v>20220925</v>
      </c>
      <c r="M1486" s="1" t="str">
        <f>"071841"</f>
        <v>071841</v>
      </c>
      <c r="N1486" s="1" t="s">
        <v>28</v>
      </c>
      <c r="O1486" s="1" t="s">
        <v>28</v>
      </c>
      <c r="P1486" s="1" t="s">
        <v>55</v>
      </c>
      <c r="Q1486" s="1">
        <v>25</v>
      </c>
      <c r="R1486" s="1">
        <v>25</v>
      </c>
      <c r="S1486" s="1">
        <v>0</v>
      </c>
      <c r="T1486" s="1">
        <v>0</v>
      </c>
      <c r="U1486" s="1">
        <v>0</v>
      </c>
      <c r="V1486" s="1" t="str">
        <f t="shared" si="216"/>
        <v>里程返程</v>
      </c>
      <c r="W1486" s="1" t="s">
        <v>35</v>
      </c>
    </row>
    <row r="1487" spans="1:23" x14ac:dyDescent="0.3">
      <c r="A1487" s="1" t="str">
        <f t="shared" si="217"/>
        <v>59822</v>
      </c>
      <c r="B1487" s="1" t="s">
        <v>39</v>
      </c>
      <c r="C1487" s="1" t="s">
        <v>40</v>
      </c>
      <c r="D1487" s="1" t="str">
        <f t="shared" si="215"/>
        <v>9801</v>
      </c>
      <c r="E1487" s="1" t="s">
        <v>25</v>
      </c>
      <c r="F1487" s="1" t="str">
        <f>"32780D0344880400C834002000000015"</f>
        <v>32780D0344880400C834002000000015</v>
      </c>
      <c r="G1487" s="1" t="s">
        <v>26</v>
      </c>
      <c r="H1487" s="1" t="str">
        <f t="shared" si="212"/>
        <v>20220925</v>
      </c>
      <c r="I1487" s="1" t="str">
        <f>"072752"</f>
        <v>072752</v>
      </c>
      <c r="J1487" s="1" t="s">
        <v>85</v>
      </c>
      <c r="K1487" s="1" t="s">
        <v>28</v>
      </c>
      <c r="L1487" s="1" t="str">
        <f t="shared" si="213"/>
        <v>20220925</v>
      </c>
      <c r="M1487" s="1" t="str">
        <f>"075227"</f>
        <v>075227</v>
      </c>
      <c r="N1487" s="1" t="s">
        <v>52</v>
      </c>
      <c r="O1487" s="1" t="s">
        <v>52</v>
      </c>
      <c r="P1487" s="1" t="s">
        <v>68</v>
      </c>
      <c r="Q1487" s="1">
        <v>13</v>
      </c>
      <c r="R1487" s="1">
        <v>0</v>
      </c>
      <c r="S1487" s="1">
        <v>0</v>
      </c>
      <c r="T1487" s="1">
        <v>13</v>
      </c>
      <c r="U1487" s="1">
        <v>0</v>
      </c>
      <c r="V1487" s="1" t="str">
        <f t="shared" si="216"/>
        <v>里程返程</v>
      </c>
      <c r="W1487" s="1" t="s">
        <v>29</v>
      </c>
    </row>
    <row r="1488" spans="1:23" x14ac:dyDescent="0.3">
      <c r="A1488" s="1" t="str">
        <f t="shared" si="217"/>
        <v>59822</v>
      </c>
      <c r="B1488" s="1" t="s">
        <v>39</v>
      </c>
      <c r="C1488" s="1" t="s">
        <v>40</v>
      </c>
      <c r="D1488" s="1" t="str">
        <f t="shared" si="215"/>
        <v>9801</v>
      </c>
      <c r="E1488" s="1" t="s">
        <v>25</v>
      </c>
      <c r="F1488" s="1" t="str">
        <f>"42720D033E880400C834002000000015"</f>
        <v>42720D033E880400C834002000000015</v>
      </c>
      <c r="G1488" s="1" t="s">
        <v>26</v>
      </c>
      <c r="H1488" s="1" t="str">
        <f t="shared" si="212"/>
        <v>20220925</v>
      </c>
      <c r="I1488" s="1" t="str">
        <f>"072753"</f>
        <v>072753</v>
      </c>
      <c r="J1488" s="1" t="s">
        <v>85</v>
      </c>
      <c r="K1488" s="1" t="s">
        <v>28</v>
      </c>
      <c r="L1488" s="1" t="str">
        <f t="shared" si="213"/>
        <v>20220925</v>
      </c>
      <c r="M1488" s="1" t="str">
        <f>"075230"</f>
        <v>075230</v>
      </c>
      <c r="N1488" s="1" t="s">
        <v>52</v>
      </c>
      <c r="O1488" s="1" t="s">
        <v>52</v>
      </c>
      <c r="P1488" s="1" t="s">
        <v>68</v>
      </c>
      <c r="Q1488" s="1">
        <v>13</v>
      </c>
      <c r="R1488" s="1">
        <v>0</v>
      </c>
      <c r="S1488" s="1">
        <v>0</v>
      </c>
      <c r="T1488" s="1">
        <v>13</v>
      </c>
      <c r="U1488" s="1">
        <v>0</v>
      </c>
      <c r="V1488" s="1" t="str">
        <f t="shared" si="216"/>
        <v>里程返程</v>
      </c>
      <c r="W1488" s="1" t="s">
        <v>29</v>
      </c>
    </row>
    <row r="1489" spans="1:23" x14ac:dyDescent="0.3">
      <c r="A1489" s="1" t="str">
        <f t="shared" si="217"/>
        <v>59822</v>
      </c>
      <c r="B1489" s="1" t="s">
        <v>39</v>
      </c>
      <c r="C1489" s="1" t="s">
        <v>40</v>
      </c>
      <c r="D1489" s="1" t="str">
        <f t="shared" si="215"/>
        <v>9801</v>
      </c>
      <c r="E1489" s="1" t="s">
        <v>25</v>
      </c>
      <c r="F1489" s="1" t="str">
        <f>"E08803711A880400468F745955402811"</f>
        <v>E08803711A880400468F745955402811</v>
      </c>
      <c r="G1489" s="1" t="s">
        <v>59</v>
      </c>
      <c r="H1489" s="1" t="str">
        <f t="shared" si="212"/>
        <v>20220925</v>
      </c>
      <c r="I1489" s="1" t="str">
        <f>"125527"</f>
        <v>125527</v>
      </c>
      <c r="J1489" s="1" t="s">
        <v>28</v>
      </c>
      <c r="K1489" s="1" t="s">
        <v>28</v>
      </c>
      <c r="L1489" s="1" t="str">
        <f t="shared" si="213"/>
        <v>20220925</v>
      </c>
      <c r="M1489" s="1" t="str">
        <f>"130615"</f>
        <v>130615</v>
      </c>
      <c r="N1489" s="1" t="s">
        <v>67</v>
      </c>
      <c r="O1489" s="1" t="s">
        <v>52</v>
      </c>
      <c r="P1489" s="1" t="s">
        <v>55</v>
      </c>
      <c r="Q1489" s="1">
        <v>25</v>
      </c>
      <c r="R1489" s="1">
        <v>0</v>
      </c>
      <c r="S1489" s="1">
        <v>25</v>
      </c>
      <c r="T1489" s="1">
        <v>0</v>
      </c>
      <c r="U1489" s="1">
        <v>0</v>
      </c>
      <c r="V1489" s="1" t="str">
        <f t="shared" si="216"/>
        <v>里程返程</v>
      </c>
      <c r="W1489" s="1" t="s">
        <v>29</v>
      </c>
    </row>
    <row r="1490" spans="1:23" x14ac:dyDescent="0.3">
      <c r="A1490" s="1" t="str">
        <f t="shared" si="217"/>
        <v>59822</v>
      </c>
      <c r="B1490" s="1" t="s">
        <v>39</v>
      </c>
      <c r="C1490" s="1" t="s">
        <v>40</v>
      </c>
      <c r="D1490" s="1" t="str">
        <f t="shared" si="215"/>
        <v>9801</v>
      </c>
      <c r="E1490" s="1" t="s">
        <v>25</v>
      </c>
      <c r="F1490" s="1" t="str">
        <f>"E220D10211880400C834002000000015"</f>
        <v>E220D10211880400C834002000000015</v>
      </c>
      <c r="G1490" s="1" t="s">
        <v>74</v>
      </c>
      <c r="H1490" s="1" t="str">
        <f t="shared" si="212"/>
        <v>20220925</v>
      </c>
      <c r="I1490" s="1" t="str">
        <f>"131315"</f>
        <v>131315</v>
      </c>
      <c r="J1490" s="1" t="s">
        <v>97</v>
      </c>
      <c r="K1490" s="1" t="s">
        <v>52</v>
      </c>
      <c r="L1490" s="1" t="str">
        <f t="shared" si="213"/>
        <v>20220925</v>
      </c>
      <c r="M1490" s="1" t="str">
        <f>"131555"</f>
        <v>131555</v>
      </c>
      <c r="N1490" s="1" t="s">
        <v>65</v>
      </c>
      <c r="O1490" s="1" t="s">
        <v>52</v>
      </c>
      <c r="P1490" s="1" t="s">
        <v>68</v>
      </c>
      <c r="Q1490" s="1">
        <v>13</v>
      </c>
      <c r="R1490" s="1">
        <v>0</v>
      </c>
      <c r="S1490" s="1">
        <v>0</v>
      </c>
      <c r="T1490" s="1">
        <v>13</v>
      </c>
      <c r="U1490" s="1">
        <v>0</v>
      </c>
      <c r="V1490" s="1" t="str">
        <f t="shared" si="216"/>
        <v>里程返程</v>
      </c>
      <c r="W1490" s="1" t="s">
        <v>29</v>
      </c>
    </row>
    <row r="1491" spans="1:23" x14ac:dyDescent="0.3">
      <c r="A1491" s="1" t="str">
        <f t="shared" si="217"/>
        <v>59822</v>
      </c>
      <c r="B1491" s="1" t="s">
        <v>39</v>
      </c>
      <c r="C1491" s="1" t="s">
        <v>40</v>
      </c>
      <c r="D1491" s="1" t="str">
        <f t="shared" si="215"/>
        <v>9801</v>
      </c>
      <c r="E1491" s="1" t="s">
        <v>25</v>
      </c>
      <c r="F1491" s="1" t="str">
        <f>"3183631402"</f>
        <v>3183631402</v>
      </c>
      <c r="G1491" s="1" t="s">
        <v>33</v>
      </c>
      <c r="H1491" s="1" t="str">
        <f t="shared" si="212"/>
        <v>20220925</v>
      </c>
      <c r="I1491" s="1" t="str">
        <f>"142921"</f>
        <v>142921</v>
      </c>
      <c r="J1491" s="1" t="s">
        <v>44</v>
      </c>
      <c r="K1491" s="1" t="s">
        <v>45</v>
      </c>
      <c r="L1491" s="1" t="str">
        <f t="shared" si="213"/>
        <v>20220925</v>
      </c>
      <c r="M1491" s="1" t="str">
        <f>"145301"</f>
        <v>145301</v>
      </c>
      <c r="N1491" s="1" t="s">
        <v>28</v>
      </c>
      <c r="O1491" s="1" t="s">
        <v>28</v>
      </c>
      <c r="P1491" s="1" t="s">
        <v>55</v>
      </c>
      <c r="Q1491" s="1">
        <v>25</v>
      </c>
      <c r="R1491" s="1">
        <v>0</v>
      </c>
      <c r="S1491" s="1">
        <v>25</v>
      </c>
      <c r="T1491" s="1">
        <v>0</v>
      </c>
      <c r="U1491" s="1">
        <v>0</v>
      </c>
      <c r="V1491" s="1" t="str">
        <f t="shared" si="216"/>
        <v>里程返程</v>
      </c>
      <c r="W1491" s="1" t="s">
        <v>35</v>
      </c>
    </row>
    <row r="1492" spans="1:23" x14ac:dyDescent="0.3">
      <c r="A1492" s="1" t="str">
        <f t="shared" si="217"/>
        <v>59822</v>
      </c>
      <c r="B1492" s="1" t="s">
        <v>39</v>
      </c>
      <c r="C1492" s="1" t="s">
        <v>40</v>
      </c>
      <c r="D1492" s="1" t="str">
        <f t="shared" si="215"/>
        <v>9801</v>
      </c>
      <c r="E1492" s="1" t="s">
        <v>25</v>
      </c>
      <c r="F1492" s="1" t="str">
        <f>"636904207"</f>
        <v>636904207</v>
      </c>
      <c r="G1492" s="1" t="s">
        <v>33</v>
      </c>
      <c r="H1492" s="1" t="str">
        <f t="shared" si="212"/>
        <v>20220925</v>
      </c>
      <c r="I1492" s="1" t="str">
        <f>"151639"</f>
        <v>151639</v>
      </c>
      <c r="J1492" s="1" t="s">
        <v>60</v>
      </c>
      <c r="K1492" s="1" t="s">
        <v>52</v>
      </c>
      <c r="L1492" s="1" t="str">
        <f t="shared" si="213"/>
        <v>20220925</v>
      </c>
      <c r="M1492" s="1" t="str">
        <f>"152128"</f>
        <v>152128</v>
      </c>
      <c r="N1492" s="1" t="s">
        <v>52</v>
      </c>
      <c r="O1492" s="1" t="s">
        <v>52</v>
      </c>
      <c r="P1492" s="1" t="s">
        <v>55</v>
      </c>
      <c r="Q1492" s="1">
        <v>25</v>
      </c>
      <c r="R1492" s="1">
        <v>25</v>
      </c>
      <c r="S1492" s="1">
        <v>0</v>
      </c>
      <c r="T1492" s="1">
        <v>0</v>
      </c>
      <c r="U1492" s="1">
        <v>0</v>
      </c>
      <c r="V1492" s="1" t="str">
        <f t="shared" si="216"/>
        <v>里程返程</v>
      </c>
      <c r="W1492" s="1" t="s">
        <v>35</v>
      </c>
    </row>
    <row r="1493" spans="1:23" x14ac:dyDescent="0.3">
      <c r="A1493" s="1" t="str">
        <f t="shared" si="217"/>
        <v>59822</v>
      </c>
      <c r="B1493" s="1" t="s">
        <v>39</v>
      </c>
      <c r="C1493" s="1" t="s">
        <v>40</v>
      </c>
      <c r="D1493" s="1" t="str">
        <f t="shared" si="215"/>
        <v>9801</v>
      </c>
      <c r="E1493" s="1" t="s">
        <v>25</v>
      </c>
      <c r="F1493" s="1" t="str">
        <f>"636904207"</f>
        <v>636904207</v>
      </c>
      <c r="G1493" s="1" t="s">
        <v>33</v>
      </c>
      <c r="H1493" s="1" t="str">
        <f t="shared" si="212"/>
        <v>20220925</v>
      </c>
      <c r="I1493" s="1" t="str">
        <f>"152155"</f>
        <v>152155</v>
      </c>
      <c r="J1493" s="1" t="s">
        <v>44</v>
      </c>
      <c r="K1493" s="1" t="s">
        <v>45</v>
      </c>
      <c r="L1493" s="1" t="str">
        <f t="shared" si="213"/>
        <v>20220925</v>
      </c>
      <c r="M1493" s="1" t="str">
        <f>"153614"</f>
        <v>153614</v>
      </c>
      <c r="N1493" s="1" t="s">
        <v>91</v>
      </c>
      <c r="O1493" s="1" t="s">
        <v>45</v>
      </c>
      <c r="P1493" s="1" t="s">
        <v>55</v>
      </c>
      <c r="Q1493" s="1">
        <v>25</v>
      </c>
      <c r="R1493" s="1">
        <v>25</v>
      </c>
      <c r="S1493" s="1">
        <v>0</v>
      </c>
      <c r="T1493" s="1">
        <v>0</v>
      </c>
      <c r="U1493" s="1">
        <v>0</v>
      </c>
      <c r="V1493" s="1" t="str">
        <f t="shared" si="216"/>
        <v>里程返程</v>
      </c>
      <c r="W1493" s="1" t="s">
        <v>35</v>
      </c>
    </row>
    <row r="1494" spans="1:23" x14ac:dyDescent="0.3">
      <c r="A1494" s="1" t="str">
        <f t="shared" si="217"/>
        <v>59822</v>
      </c>
      <c r="B1494" s="1" t="s">
        <v>39</v>
      </c>
      <c r="C1494" s="1" t="s">
        <v>40</v>
      </c>
      <c r="D1494" s="1" t="str">
        <f t="shared" si="215"/>
        <v>9801</v>
      </c>
      <c r="E1494" s="1" t="s">
        <v>25</v>
      </c>
      <c r="F1494" s="1" t="str">
        <f>"4119043B67280400F700000000000000"</f>
        <v>4119043B67280400F700000000000000</v>
      </c>
      <c r="G1494" s="1" t="s">
        <v>58</v>
      </c>
      <c r="H1494" s="1" t="str">
        <f t="shared" si="212"/>
        <v>20220925</v>
      </c>
      <c r="I1494" s="1" t="str">
        <f>"152253"</f>
        <v>152253</v>
      </c>
      <c r="J1494" s="1" t="s">
        <v>44</v>
      </c>
      <c r="K1494" s="1" t="s">
        <v>45</v>
      </c>
      <c r="L1494" s="1" t="str">
        <f t="shared" si="213"/>
        <v>20220925</v>
      </c>
      <c r="M1494" s="1" t="str">
        <f>"155210"</f>
        <v>155210</v>
      </c>
      <c r="N1494" s="1" t="s">
        <v>28</v>
      </c>
      <c r="O1494" s="1" t="s">
        <v>28</v>
      </c>
      <c r="P1494" s="1" t="s">
        <v>55</v>
      </c>
      <c r="Q1494" s="1">
        <v>25</v>
      </c>
      <c r="R1494" s="1">
        <v>0</v>
      </c>
      <c r="S1494" s="1">
        <v>25</v>
      </c>
      <c r="T1494" s="1">
        <v>0</v>
      </c>
      <c r="U1494" s="1">
        <v>0</v>
      </c>
      <c r="V1494" s="1" t="str">
        <f t="shared" si="216"/>
        <v>里程返程</v>
      </c>
      <c r="W1494" s="1" t="s">
        <v>29</v>
      </c>
    </row>
    <row r="1495" spans="1:23" x14ac:dyDescent="0.3">
      <c r="A1495" s="1" t="str">
        <f t="shared" si="217"/>
        <v>59822</v>
      </c>
      <c r="B1495" s="1" t="s">
        <v>39</v>
      </c>
      <c r="C1495" s="1" t="s">
        <v>40</v>
      </c>
      <c r="D1495" s="1" t="str">
        <f t="shared" si="215"/>
        <v>9801</v>
      </c>
      <c r="E1495" s="1" t="s">
        <v>25</v>
      </c>
      <c r="F1495" s="1" t="str">
        <f>"4232953804"</f>
        <v>4232953804</v>
      </c>
      <c r="G1495" s="1" t="s">
        <v>33</v>
      </c>
      <c r="H1495" s="1" t="str">
        <f t="shared" si="212"/>
        <v>20220925</v>
      </c>
      <c r="I1495" s="1" t="str">
        <f>"152257"</f>
        <v>152257</v>
      </c>
      <c r="J1495" s="1" t="s">
        <v>44</v>
      </c>
      <c r="K1495" s="1" t="s">
        <v>45</v>
      </c>
      <c r="L1495" s="1" t="str">
        <f t="shared" si="213"/>
        <v>20220925</v>
      </c>
      <c r="M1495" s="1" t="str">
        <f>"155212"</f>
        <v>155212</v>
      </c>
      <c r="N1495" s="1" t="s">
        <v>28</v>
      </c>
      <c r="O1495" s="1" t="s">
        <v>28</v>
      </c>
      <c r="P1495" s="1" t="s">
        <v>55</v>
      </c>
      <c r="Q1495" s="1">
        <v>25</v>
      </c>
      <c r="R1495" s="1">
        <v>0</v>
      </c>
      <c r="S1495" s="1">
        <v>25</v>
      </c>
      <c r="T1495" s="1">
        <v>0</v>
      </c>
      <c r="U1495" s="1">
        <v>0</v>
      </c>
      <c r="V1495" s="1" t="str">
        <f t="shared" si="216"/>
        <v>里程返程</v>
      </c>
      <c r="W1495" s="1" t="s">
        <v>35</v>
      </c>
    </row>
    <row r="1496" spans="1:23" x14ac:dyDescent="0.3">
      <c r="A1496" s="1" t="str">
        <f t="shared" si="217"/>
        <v>59822</v>
      </c>
      <c r="B1496" s="1" t="s">
        <v>39</v>
      </c>
      <c r="C1496" s="1" t="s">
        <v>40</v>
      </c>
      <c r="D1496" s="1" t="str">
        <f t="shared" si="215"/>
        <v>9801</v>
      </c>
      <c r="E1496" s="1" t="s">
        <v>25</v>
      </c>
      <c r="F1496" s="1" t="str">
        <f>"32E4D00107880400C818002000000015"</f>
        <v>32E4D00107880400C818002000000015</v>
      </c>
      <c r="G1496" s="1" t="s">
        <v>58</v>
      </c>
      <c r="H1496" s="1" t="str">
        <f t="shared" si="212"/>
        <v>20220925</v>
      </c>
      <c r="I1496" s="1" t="str">
        <f>"154318"</f>
        <v>154318</v>
      </c>
      <c r="J1496" s="1" t="s">
        <v>45</v>
      </c>
      <c r="K1496" s="1" t="s">
        <v>45</v>
      </c>
      <c r="L1496" s="1" t="str">
        <f t="shared" si="213"/>
        <v>20220925</v>
      </c>
      <c r="M1496" s="1" t="str">
        <f>"161929"</f>
        <v>161929</v>
      </c>
      <c r="N1496" s="1" t="s">
        <v>86</v>
      </c>
      <c r="O1496" s="1" t="s">
        <v>52</v>
      </c>
      <c r="P1496" s="1" t="s">
        <v>55</v>
      </c>
      <c r="Q1496" s="1">
        <v>50</v>
      </c>
      <c r="R1496" s="1">
        <v>25</v>
      </c>
      <c r="S1496" s="1">
        <v>25</v>
      </c>
      <c r="T1496" s="1">
        <v>0</v>
      </c>
      <c r="U1496" s="1">
        <v>0</v>
      </c>
      <c r="V1496" s="1" t="str">
        <f t="shared" si="216"/>
        <v>里程返程</v>
      </c>
      <c r="W1496" s="1" t="s">
        <v>29</v>
      </c>
    </row>
    <row r="1497" spans="1:23" x14ac:dyDescent="0.3">
      <c r="A1497" s="1" t="str">
        <f t="shared" si="217"/>
        <v>59822</v>
      </c>
      <c r="B1497" s="1" t="s">
        <v>39</v>
      </c>
      <c r="C1497" s="1" t="s">
        <v>40</v>
      </c>
      <c r="D1497" s="1" t="str">
        <f t="shared" si="215"/>
        <v>9801</v>
      </c>
      <c r="E1497" s="1" t="s">
        <v>25</v>
      </c>
      <c r="F1497" s="1" t="str">
        <f>"72AE480296880400C821002000000015"</f>
        <v>72AE480296880400C821002000000015</v>
      </c>
      <c r="G1497" s="1" t="s">
        <v>26</v>
      </c>
      <c r="H1497" s="1" t="str">
        <f t="shared" si="212"/>
        <v>20220925</v>
      </c>
      <c r="I1497" s="1" t="str">
        <f>"155222"</f>
        <v>155222</v>
      </c>
      <c r="J1497" s="1" t="s">
        <v>28</v>
      </c>
      <c r="K1497" s="1" t="s">
        <v>28</v>
      </c>
      <c r="L1497" s="1" t="str">
        <f t="shared" si="213"/>
        <v>20220925</v>
      </c>
      <c r="M1497" s="1" t="str">
        <f>"160634"</f>
        <v>160634</v>
      </c>
      <c r="N1497" s="1" t="s">
        <v>69</v>
      </c>
      <c r="O1497" s="1" t="s">
        <v>52</v>
      </c>
      <c r="P1497" s="1" t="s">
        <v>68</v>
      </c>
      <c r="Q1497" s="1">
        <v>13</v>
      </c>
      <c r="R1497" s="1">
        <v>0</v>
      </c>
      <c r="S1497" s="1">
        <v>0</v>
      </c>
      <c r="T1497" s="1">
        <v>13</v>
      </c>
      <c r="U1497" s="1">
        <v>0</v>
      </c>
      <c r="V1497" s="1" t="str">
        <f t="shared" si="216"/>
        <v>里程返程</v>
      </c>
      <c r="W1497" s="1" t="s">
        <v>29</v>
      </c>
    </row>
    <row r="1498" spans="1:23" x14ac:dyDescent="0.3">
      <c r="A1498" s="1" t="str">
        <f t="shared" si="217"/>
        <v>59822</v>
      </c>
      <c r="B1498" s="1" t="s">
        <v>39</v>
      </c>
      <c r="C1498" s="1" t="s">
        <v>40</v>
      </c>
      <c r="D1498" s="1" t="str">
        <f t="shared" si="215"/>
        <v>9801</v>
      </c>
      <c r="E1498" s="1" t="s">
        <v>25</v>
      </c>
      <c r="F1498" s="1" t="str">
        <f>"460978337"</f>
        <v>460978337</v>
      </c>
      <c r="G1498" s="1" t="s">
        <v>26</v>
      </c>
      <c r="H1498" s="1" t="str">
        <f t="shared" si="212"/>
        <v>20220925</v>
      </c>
      <c r="I1498" s="1" t="str">
        <f>"162314"</f>
        <v>162314</v>
      </c>
      <c r="J1498" s="1" t="s">
        <v>44</v>
      </c>
      <c r="K1498" s="1" t="s">
        <v>45</v>
      </c>
      <c r="L1498" s="1" t="str">
        <f t="shared" si="213"/>
        <v>20220925</v>
      </c>
      <c r="M1498" s="1" t="str">
        <f>"164946"</f>
        <v>164946</v>
      </c>
      <c r="N1498" s="1" t="s">
        <v>28</v>
      </c>
      <c r="O1498" s="1" t="s">
        <v>28</v>
      </c>
      <c r="P1498" s="1" t="s">
        <v>55</v>
      </c>
      <c r="Q1498" s="1">
        <v>13</v>
      </c>
      <c r="R1498" s="1">
        <v>0</v>
      </c>
      <c r="S1498" s="1">
        <v>13</v>
      </c>
      <c r="T1498" s="1">
        <v>0</v>
      </c>
      <c r="U1498" s="1">
        <v>0</v>
      </c>
      <c r="V1498" s="1" t="str">
        <f t="shared" si="216"/>
        <v>里程返程</v>
      </c>
      <c r="W1498" s="1" t="s">
        <v>35</v>
      </c>
    </row>
    <row r="1499" spans="1:23" x14ac:dyDescent="0.3">
      <c r="A1499" s="1" t="str">
        <f t="shared" si="217"/>
        <v>59822</v>
      </c>
      <c r="B1499" s="1" t="s">
        <v>39</v>
      </c>
      <c r="C1499" s="1" t="s">
        <v>40</v>
      </c>
      <c r="D1499" s="1" t="str">
        <f t="shared" si="215"/>
        <v>9801</v>
      </c>
      <c r="E1499" s="1" t="s">
        <v>25</v>
      </c>
      <c r="F1499" s="1" t="str">
        <f>"2016810456"</f>
        <v>2016810456</v>
      </c>
      <c r="G1499" s="1" t="s">
        <v>33</v>
      </c>
      <c r="H1499" s="1" t="str">
        <f t="shared" si="212"/>
        <v>20220925</v>
      </c>
      <c r="I1499" s="1" t="str">
        <f>"162318"</f>
        <v>162318</v>
      </c>
      <c r="J1499" s="1" t="s">
        <v>44</v>
      </c>
      <c r="K1499" s="1" t="s">
        <v>45</v>
      </c>
      <c r="L1499" s="1" t="str">
        <f t="shared" si="213"/>
        <v>20220925</v>
      </c>
      <c r="M1499" s="1" t="str">
        <f>"164943"</f>
        <v>164943</v>
      </c>
      <c r="N1499" s="1" t="s">
        <v>28</v>
      </c>
      <c r="O1499" s="1" t="s">
        <v>28</v>
      </c>
      <c r="P1499" s="1" t="s">
        <v>55</v>
      </c>
      <c r="Q1499" s="1">
        <v>25</v>
      </c>
      <c r="R1499" s="1">
        <v>25</v>
      </c>
      <c r="S1499" s="1">
        <v>0</v>
      </c>
      <c r="T1499" s="1">
        <v>0</v>
      </c>
      <c r="U1499" s="1">
        <v>0</v>
      </c>
      <c r="V1499" s="1" t="str">
        <f t="shared" si="216"/>
        <v>里程返程</v>
      </c>
      <c r="W1499" s="1" t="s">
        <v>35</v>
      </c>
    </row>
    <row r="1500" spans="1:23" x14ac:dyDescent="0.3">
      <c r="A1500" s="1" t="str">
        <f t="shared" si="217"/>
        <v>59822</v>
      </c>
      <c r="B1500" s="1" t="s">
        <v>39</v>
      </c>
      <c r="C1500" s="1" t="s">
        <v>40</v>
      </c>
      <c r="D1500" s="1" t="str">
        <f t="shared" si="215"/>
        <v>9801</v>
      </c>
      <c r="E1500" s="1" t="s">
        <v>25</v>
      </c>
      <c r="F1500" s="1" t="str">
        <f>"1526871937"</f>
        <v>1526871937</v>
      </c>
      <c r="G1500" s="1" t="s">
        <v>33</v>
      </c>
      <c r="H1500" s="1" t="str">
        <f t="shared" si="212"/>
        <v>20220925</v>
      </c>
      <c r="I1500" s="1" t="str">
        <f>"165008"</f>
        <v>165008</v>
      </c>
      <c r="J1500" s="1" t="s">
        <v>28</v>
      </c>
      <c r="K1500" s="1" t="s">
        <v>28</v>
      </c>
      <c r="L1500" s="1" t="str">
        <f t="shared" si="213"/>
        <v>20220925</v>
      </c>
      <c r="M1500" s="1" t="str">
        <f>"170355"</f>
        <v>170355</v>
      </c>
      <c r="N1500" s="1" t="s">
        <v>67</v>
      </c>
      <c r="O1500" s="1" t="s">
        <v>52</v>
      </c>
      <c r="P1500" s="1" t="s">
        <v>55</v>
      </c>
      <c r="Q1500" s="1">
        <v>25</v>
      </c>
      <c r="R1500" s="1">
        <v>25</v>
      </c>
      <c r="S1500" s="1">
        <v>0</v>
      </c>
      <c r="T1500" s="1">
        <v>0</v>
      </c>
      <c r="U1500" s="1">
        <v>0</v>
      </c>
      <c r="V1500" s="1" t="str">
        <f t="shared" si="216"/>
        <v>里程返程</v>
      </c>
      <c r="W1500" s="1" t="s">
        <v>35</v>
      </c>
    </row>
    <row r="1501" spans="1:23" x14ac:dyDescent="0.3">
      <c r="A1501" s="1" t="str">
        <f t="shared" si="217"/>
        <v>59822</v>
      </c>
      <c r="B1501" s="1" t="s">
        <v>39</v>
      </c>
      <c r="C1501" s="1" t="s">
        <v>40</v>
      </c>
      <c r="D1501" s="1" t="str">
        <f t="shared" si="215"/>
        <v>9801</v>
      </c>
      <c r="E1501" s="1" t="s">
        <v>25</v>
      </c>
      <c r="F1501" s="1" t="str">
        <f>"4251460257880400C821002000000015"</f>
        <v>4251460257880400C821002000000015</v>
      </c>
      <c r="G1501" s="1" t="s">
        <v>26</v>
      </c>
      <c r="H1501" s="1" t="str">
        <f t="shared" si="212"/>
        <v>20220925</v>
      </c>
      <c r="I1501" s="1" t="str">
        <f>"170016"</f>
        <v>170016</v>
      </c>
      <c r="J1501" s="1" t="s">
        <v>84</v>
      </c>
      <c r="K1501" s="1" t="s">
        <v>28</v>
      </c>
      <c r="L1501" s="1" t="str">
        <f t="shared" si="213"/>
        <v>20220925</v>
      </c>
      <c r="M1501" s="1" t="str">
        <f>"170637"</f>
        <v>170637</v>
      </c>
      <c r="N1501" s="1" t="s">
        <v>69</v>
      </c>
      <c r="O1501" s="1" t="s">
        <v>52</v>
      </c>
      <c r="P1501" s="1" t="s">
        <v>68</v>
      </c>
      <c r="Q1501" s="1">
        <v>13</v>
      </c>
      <c r="R1501" s="1">
        <v>0</v>
      </c>
      <c r="S1501" s="1">
        <v>0</v>
      </c>
      <c r="T1501" s="1">
        <v>13</v>
      </c>
      <c r="U1501" s="1">
        <v>0</v>
      </c>
      <c r="V1501" s="1" t="str">
        <f t="shared" si="216"/>
        <v>里程返程</v>
      </c>
      <c r="W1501" s="1" t="s">
        <v>29</v>
      </c>
    </row>
    <row r="1502" spans="1:23" x14ac:dyDescent="0.3">
      <c r="A1502" s="1" t="str">
        <f t="shared" ref="A1502:A1513" si="218">"59820"</f>
        <v>59820</v>
      </c>
      <c r="B1502" s="1" t="s">
        <v>53</v>
      </c>
      <c r="C1502" s="1" t="s">
        <v>54</v>
      </c>
      <c r="D1502" s="1" t="str">
        <f t="shared" si="215"/>
        <v>9801</v>
      </c>
      <c r="E1502" s="1" t="s">
        <v>25</v>
      </c>
      <c r="F1502" s="1" t="str">
        <f>"03A6A9454988040048B994D749703809"</f>
        <v>03A6A9454988040048B994D749703809</v>
      </c>
      <c r="G1502" s="1" t="s">
        <v>64</v>
      </c>
      <c r="H1502" s="1" t="str">
        <f t="shared" ref="H1502:H1541" si="219">"20220926"</f>
        <v>20220926</v>
      </c>
      <c r="I1502" s="1" t="str">
        <f>"085115"</f>
        <v>085115</v>
      </c>
      <c r="J1502" s="1" t="s">
        <v>28</v>
      </c>
      <c r="K1502" s="1" t="s">
        <v>28</v>
      </c>
      <c r="L1502" s="1" t="str">
        <f t="shared" ref="L1502:L1541" si="220">"20220926"</f>
        <v>20220926</v>
      </c>
      <c r="M1502" s="1" t="str">
        <f>"090455"</f>
        <v>090455</v>
      </c>
      <c r="N1502" s="1" t="s">
        <v>78</v>
      </c>
      <c r="O1502" s="1" t="s">
        <v>52</v>
      </c>
      <c r="P1502" s="1" t="s">
        <v>55</v>
      </c>
      <c r="Q1502" s="1">
        <v>13</v>
      </c>
      <c r="R1502" s="1">
        <v>13</v>
      </c>
      <c r="S1502" s="1">
        <v>0</v>
      </c>
      <c r="T1502" s="1">
        <v>0</v>
      </c>
      <c r="U1502" s="1">
        <v>0</v>
      </c>
      <c r="V1502" s="1" t="str">
        <f t="shared" si="216"/>
        <v>里程返程</v>
      </c>
      <c r="W1502" s="1" t="s">
        <v>29</v>
      </c>
    </row>
    <row r="1503" spans="1:23" x14ac:dyDescent="0.3">
      <c r="A1503" s="1" t="str">
        <f t="shared" si="218"/>
        <v>59820</v>
      </c>
      <c r="B1503" s="1" t="s">
        <v>53</v>
      </c>
      <c r="C1503" s="1" t="s">
        <v>54</v>
      </c>
      <c r="D1503" s="1" t="str">
        <f t="shared" si="215"/>
        <v>9801</v>
      </c>
      <c r="E1503" s="1" t="s">
        <v>25</v>
      </c>
      <c r="F1503" s="1" t="str">
        <f>"2691632207"</f>
        <v>2691632207</v>
      </c>
      <c r="G1503" s="1" t="s">
        <v>33</v>
      </c>
      <c r="H1503" s="1" t="str">
        <f t="shared" si="219"/>
        <v>20220926</v>
      </c>
      <c r="I1503" s="1" t="str">
        <f>"095056"</f>
        <v>095056</v>
      </c>
      <c r="J1503" s="1" t="s">
        <v>28</v>
      </c>
      <c r="K1503" s="1" t="s">
        <v>28</v>
      </c>
      <c r="L1503" s="1" t="str">
        <f t="shared" si="220"/>
        <v>20220926</v>
      </c>
      <c r="M1503" s="1" t="str">
        <f>"102246"</f>
        <v>102246</v>
      </c>
      <c r="N1503" s="1" t="s">
        <v>52</v>
      </c>
      <c r="O1503" s="1" t="s">
        <v>52</v>
      </c>
      <c r="P1503" s="1" t="s">
        <v>55</v>
      </c>
      <c r="Q1503" s="1">
        <v>25</v>
      </c>
      <c r="R1503" s="1">
        <v>25</v>
      </c>
      <c r="S1503" s="1">
        <v>0</v>
      </c>
      <c r="T1503" s="1">
        <v>0</v>
      </c>
      <c r="U1503" s="1">
        <v>0</v>
      </c>
      <c r="V1503" s="1" t="str">
        <f t="shared" si="216"/>
        <v>里程返程</v>
      </c>
      <c r="W1503" s="1" t="s">
        <v>35</v>
      </c>
    </row>
    <row r="1504" spans="1:23" x14ac:dyDescent="0.3">
      <c r="A1504" s="1" t="str">
        <f t="shared" si="218"/>
        <v>59820</v>
      </c>
      <c r="B1504" s="1" t="s">
        <v>53</v>
      </c>
      <c r="C1504" s="1" t="s">
        <v>54</v>
      </c>
      <c r="D1504" s="1" t="str">
        <f t="shared" si="215"/>
        <v>9801</v>
      </c>
      <c r="E1504" s="1" t="s">
        <v>25</v>
      </c>
      <c r="F1504" s="1" t="str">
        <f>"848555937"</f>
        <v>848555937</v>
      </c>
      <c r="G1504" s="1" t="s">
        <v>33</v>
      </c>
      <c r="H1504" s="1" t="str">
        <f t="shared" si="219"/>
        <v>20220926</v>
      </c>
      <c r="I1504" s="1" t="str">
        <f>"095059"</f>
        <v>095059</v>
      </c>
      <c r="J1504" s="1" t="s">
        <v>28</v>
      </c>
      <c r="K1504" s="1" t="s">
        <v>28</v>
      </c>
      <c r="L1504" s="1" t="str">
        <f t="shared" si="220"/>
        <v>20220926</v>
      </c>
      <c r="M1504" s="1" t="str">
        <f>"102243"</f>
        <v>102243</v>
      </c>
      <c r="N1504" s="1" t="s">
        <v>52</v>
      </c>
      <c r="O1504" s="1" t="s">
        <v>52</v>
      </c>
      <c r="P1504" s="1" t="s">
        <v>55</v>
      </c>
      <c r="Q1504" s="1">
        <v>25</v>
      </c>
      <c r="R1504" s="1">
        <v>25</v>
      </c>
      <c r="S1504" s="1">
        <v>0</v>
      </c>
      <c r="T1504" s="1">
        <v>0</v>
      </c>
      <c r="U1504" s="1">
        <v>0</v>
      </c>
      <c r="V1504" s="1" t="str">
        <f t="shared" si="216"/>
        <v>里程返程</v>
      </c>
      <c r="W1504" s="1" t="s">
        <v>35</v>
      </c>
    </row>
    <row r="1505" spans="1:23" x14ac:dyDescent="0.3">
      <c r="A1505" s="1" t="str">
        <f t="shared" si="218"/>
        <v>59820</v>
      </c>
      <c r="B1505" s="1" t="s">
        <v>53</v>
      </c>
      <c r="C1505" s="1" t="s">
        <v>54</v>
      </c>
      <c r="D1505" s="1" t="str">
        <f t="shared" si="215"/>
        <v>9801</v>
      </c>
      <c r="E1505" s="1" t="s">
        <v>25</v>
      </c>
      <c r="F1505" s="1" t="str">
        <f>"1869833489"</f>
        <v>1869833489</v>
      </c>
      <c r="G1505" s="1" t="s">
        <v>33</v>
      </c>
      <c r="H1505" s="1" t="str">
        <f t="shared" si="219"/>
        <v>20220926</v>
      </c>
      <c r="I1505" s="1" t="str">
        <f>"095106"</f>
        <v>095106</v>
      </c>
      <c r="J1505" s="1" t="s">
        <v>28</v>
      </c>
      <c r="K1505" s="1" t="s">
        <v>28</v>
      </c>
      <c r="L1505" s="1" t="str">
        <f t="shared" si="220"/>
        <v>20220926</v>
      </c>
      <c r="M1505" s="1" t="str">
        <f>"102237"</f>
        <v>102237</v>
      </c>
      <c r="N1505" s="1" t="s">
        <v>52</v>
      </c>
      <c r="O1505" s="1" t="s">
        <v>52</v>
      </c>
      <c r="P1505" s="1" t="s">
        <v>55</v>
      </c>
      <c r="Q1505" s="1">
        <v>25</v>
      </c>
      <c r="R1505" s="1">
        <v>25</v>
      </c>
      <c r="S1505" s="1">
        <v>0</v>
      </c>
      <c r="T1505" s="1">
        <v>0</v>
      </c>
      <c r="U1505" s="1">
        <v>0</v>
      </c>
      <c r="V1505" s="1" t="str">
        <f t="shared" si="216"/>
        <v>里程返程</v>
      </c>
      <c r="W1505" s="1" t="s">
        <v>35</v>
      </c>
    </row>
    <row r="1506" spans="1:23" x14ac:dyDescent="0.3">
      <c r="A1506" s="1" t="str">
        <f t="shared" si="218"/>
        <v>59820</v>
      </c>
      <c r="B1506" s="1" t="s">
        <v>53</v>
      </c>
      <c r="C1506" s="1" t="s">
        <v>54</v>
      </c>
      <c r="D1506" s="1" t="str">
        <f t="shared" si="215"/>
        <v>9801</v>
      </c>
      <c r="E1506" s="1" t="s">
        <v>25</v>
      </c>
      <c r="F1506" s="1" t="str">
        <f>"261093809"</f>
        <v>261093809</v>
      </c>
      <c r="G1506" s="1" t="s">
        <v>33</v>
      </c>
      <c r="H1506" s="1" t="str">
        <f t="shared" si="219"/>
        <v>20220926</v>
      </c>
      <c r="I1506" s="1" t="str">
        <f>"095119"</f>
        <v>095119</v>
      </c>
      <c r="J1506" s="1" t="s">
        <v>28</v>
      </c>
      <c r="K1506" s="1" t="s">
        <v>28</v>
      </c>
      <c r="L1506" s="1" t="str">
        <f t="shared" si="220"/>
        <v>20220926</v>
      </c>
      <c r="M1506" s="1" t="str">
        <f>"102232"</f>
        <v>102232</v>
      </c>
      <c r="N1506" s="1" t="s">
        <v>52</v>
      </c>
      <c r="O1506" s="1" t="s">
        <v>52</v>
      </c>
      <c r="P1506" s="1" t="s">
        <v>55</v>
      </c>
      <c r="Q1506" s="1">
        <v>25</v>
      </c>
      <c r="R1506" s="1">
        <v>25</v>
      </c>
      <c r="S1506" s="1">
        <v>0</v>
      </c>
      <c r="T1506" s="1">
        <v>0</v>
      </c>
      <c r="U1506" s="1">
        <v>0</v>
      </c>
      <c r="V1506" s="1" t="str">
        <f t="shared" si="216"/>
        <v>里程返程</v>
      </c>
      <c r="W1506" s="1" t="s">
        <v>35</v>
      </c>
    </row>
    <row r="1507" spans="1:23" x14ac:dyDescent="0.3">
      <c r="A1507" s="1" t="str">
        <f t="shared" si="218"/>
        <v>59820</v>
      </c>
      <c r="B1507" s="1" t="s">
        <v>53</v>
      </c>
      <c r="C1507" s="1" t="s">
        <v>54</v>
      </c>
      <c r="D1507" s="1" t="str">
        <f t="shared" si="215"/>
        <v>9801</v>
      </c>
      <c r="E1507" s="1" t="s">
        <v>25</v>
      </c>
      <c r="F1507" s="1" t="str">
        <f>"F25B1B03B1880400C834002000000015"</f>
        <v>F25B1B03B1880400C834002000000015</v>
      </c>
      <c r="G1507" s="1" t="s">
        <v>26</v>
      </c>
      <c r="H1507" s="1" t="str">
        <f t="shared" si="219"/>
        <v>20220926</v>
      </c>
      <c r="I1507" s="1" t="str">
        <f>"105244"</f>
        <v>105244</v>
      </c>
      <c r="J1507" s="1" t="s">
        <v>28</v>
      </c>
      <c r="K1507" s="1" t="s">
        <v>28</v>
      </c>
      <c r="L1507" s="1" t="str">
        <f t="shared" si="220"/>
        <v>20220926</v>
      </c>
      <c r="M1507" s="1" t="str">
        <f>"112026"</f>
        <v>112026</v>
      </c>
      <c r="N1507" s="1" t="s">
        <v>60</v>
      </c>
      <c r="O1507" s="1" t="s">
        <v>52</v>
      </c>
      <c r="P1507" s="1" t="s">
        <v>68</v>
      </c>
      <c r="Q1507" s="1">
        <v>13</v>
      </c>
      <c r="R1507" s="1">
        <v>0</v>
      </c>
      <c r="S1507" s="1">
        <v>0</v>
      </c>
      <c r="T1507" s="1">
        <v>13</v>
      </c>
      <c r="U1507" s="1">
        <v>0</v>
      </c>
      <c r="V1507" s="1" t="str">
        <f t="shared" si="216"/>
        <v>里程返程</v>
      </c>
      <c r="W1507" s="1" t="s">
        <v>29</v>
      </c>
    </row>
    <row r="1508" spans="1:23" x14ac:dyDescent="0.3">
      <c r="A1508" s="1" t="str">
        <f t="shared" si="218"/>
        <v>59820</v>
      </c>
      <c r="B1508" s="1" t="s">
        <v>53</v>
      </c>
      <c r="C1508" s="1" t="s">
        <v>54</v>
      </c>
      <c r="D1508" s="1" t="str">
        <f t="shared" si="215"/>
        <v>9801</v>
      </c>
      <c r="E1508" s="1" t="s">
        <v>25</v>
      </c>
      <c r="F1508" s="1" t="str">
        <f>"DA5276C8368804004759245051803107"</f>
        <v>DA5276C8368804004759245051803107</v>
      </c>
      <c r="G1508" s="1" t="s">
        <v>58</v>
      </c>
      <c r="H1508" s="1" t="str">
        <f t="shared" si="219"/>
        <v>20220926</v>
      </c>
      <c r="I1508" s="1" t="str">
        <f>"115156"</f>
        <v>115156</v>
      </c>
      <c r="J1508" s="1" t="s">
        <v>28</v>
      </c>
      <c r="K1508" s="1" t="s">
        <v>28</v>
      </c>
      <c r="L1508" s="1" t="str">
        <f t="shared" si="220"/>
        <v>20220926</v>
      </c>
      <c r="M1508" s="1" t="str">
        <f>"122356"</f>
        <v>122356</v>
      </c>
      <c r="N1508" s="1" t="s">
        <v>52</v>
      </c>
      <c r="O1508" s="1" t="s">
        <v>52</v>
      </c>
      <c r="P1508" s="1" t="s">
        <v>55</v>
      </c>
      <c r="Q1508" s="1">
        <v>25</v>
      </c>
      <c r="R1508" s="1">
        <v>0</v>
      </c>
      <c r="S1508" s="1">
        <v>25</v>
      </c>
      <c r="T1508" s="1">
        <v>0</v>
      </c>
      <c r="U1508" s="1">
        <v>0</v>
      </c>
      <c r="V1508" s="1" t="str">
        <f t="shared" si="216"/>
        <v>里程返程</v>
      </c>
      <c r="W1508" s="1" t="s">
        <v>29</v>
      </c>
    </row>
    <row r="1509" spans="1:23" x14ac:dyDescent="0.3">
      <c r="A1509" s="1" t="str">
        <f t="shared" si="218"/>
        <v>59820</v>
      </c>
      <c r="B1509" s="1" t="s">
        <v>53</v>
      </c>
      <c r="C1509" s="1" t="s">
        <v>54</v>
      </c>
      <c r="D1509" s="1" t="str">
        <f t="shared" si="215"/>
        <v>9801</v>
      </c>
      <c r="E1509" s="1" t="s">
        <v>25</v>
      </c>
      <c r="F1509" s="1" t="str">
        <f>"70E26643B78804004885149345002111"</f>
        <v>70E26643B78804004885149345002111</v>
      </c>
      <c r="G1509" s="1" t="s">
        <v>58</v>
      </c>
      <c r="H1509" s="1" t="str">
        <f t="shared" si="219"/>
        <v>20220926</v>
      </c>
      <c r="I1509" s="1" t="str">
        <f>"115201"</f>
        <v>115201</v>
      </c>
      <c r="J1509" s="1" t="s">
        <v>28</v>
      </c>
      <c r="K1509" s="1" t="s">
        <v>28</v>
      </c>
      <c r="L1509" s="1" t="str">
        <f t="shared" si="220"/>
        <v>20220926</v>
      </c>
      <c r="M1509" s="1" t="str">
        <f>"122353"</f>
        <v>122353</v>
      </c>
      <c r="N1509" s="1" t="s">
        <v>52</v>
      </c>
      <c r="O1509" s="1" t="s">
        <v>52</v>
      </c>
      <c r="P1509" s="1" t="s">
        <v>55</v>
      </c>
      <c r="Q1509" s="1">
        <v>25</v>
      </c>
      <c r="R1509" s="1">
        <v>0</v>
      </c>
      <c r="S1509" s="1">
        <v>25</v>
      </c>
      <c r="T1509" s="1">
        <v>0</v>
      </c>
      <c r="U1509" s="1">
        <v>0</v>
      </c>
      <c r="V1509" s="1" t="str">
        <f t="shared" si="216"/>
        <v>里程返程</v>
      </c>
      <c r="W1509" s="1" t="s">
        <v>29</v>
      </c>
    </row>
    <row r="1510" spans="1:23" x14ac:dyDescent="0.3">
      <c r="A1510" s="1" t="str">
        <f t="shared" si="218"/>
        <v>59820</v>
      </c>
      <c r="B1510" s="1" t="s">
        <v>53</v>
      </c>
      <c r="C1510" s="1" t="s">
        <v>54</v>
      </c>
      <c r="D1510" s="1" t="str">
        <f t="shared" si="215"/>
        <v>9801</v>
      </c>
      <c r="E1510" s="1" t="s">
        <v>25</v>
      </c>
      <c r="F1510" s="1" t="str">
        <f>"1257754053"</f>
        <v>1257754053</v>
      </c>
      <c r="G1510" s="1" t="s">
        <v>33</v>
      </c>
      <c r="H1510" s="1" t="str">
        <f t="shared" si="219"/>
        <v>20220926</v>
      </c>
      <c r="I1510" s="1" t="str">
        <f>"115348"</f>
        <v>115348</v>
      </c>
      <c r="J1510" s="1" t="s">
        <v>28</v>
      </c>
      <c r="K1510" s="1" t="s">
        <v>28</v>
      </c>
      <c r="L1510" s="1" t="str">
        <f t="shared" si="220"/>
        <v>20220926</v>
      </c>
      <c r="M1510" s="1" t="str">
        <f>"122359"</f>
        <v>122359</v>
      </c>
      <c r="N1510" s="1" t="s">
        <v>52</v>
      </c>
      <c r="O1510" s="1" t="s">
        <v>52</v>
      </c>
      <c r="P1510" s="1" t="s">
        <v>55</v>
      </c>
      <c r="Q1510" s="1">
        <v>25</v>
      </c>
      <c r="R1510" s="1">
        <v>25</v>
      </c>
      <c r="S1510" s="1">
        <v>0</v>
      </c>
      <c r="T1510" s="1">
        <v>0</v>
      </c>
      <c r="U1510" s="1">
        <v>0</v>
      </c>
      <c r="V1510" s="1" t="str">
        <f t="shared" si="216"/>
        <v>里程返程</v>
      </c>
      <c r="W1510" s="1" t="s">
        <v>35</v>
      </c>
    </row>
    <row r="1511" spans="1:23" x14ac:dyDescent="0.3">
      <c r="A1511" s="1" t="str">
        <f t="shared" si="218"/>
        <v>59820</v>
      </c>
      <c r="B1511" s="1" t="s">
        <v>53</v>
      </c>
      <c r="C1511" s="1" t="s">
        <v>54</v>
      </c>
      <c r="D1511" s="1" t="str">
        <f t="shared" si="215"/>
        <v>9801</v>
      </c>
      <c r="E1511" s="1" t="s">
        <v>25</v>
      </c>
      <c r="F1511" s="1" t="str">
        <f>"994316549"</f>
        <v>994316549</v>
      </c>
      <c r="G1511" s="1" t="s">
        <v>26</v>
      </c>
      <c r="H1511" s="1" t="str">
        <f t="shared" si="219"/>
        <v>20220926</v>
      </c>
      <c r="I1511" s="1" t="str">
        <f>"185742"</f>
        <v>185742</v>
      </c>
      <c r="J1511" s="1" t="s">
        <v>44</v>
      </c>
      <c r="K1511" s="1" t="s">
        <v>45</v>
      </c>
      <c r="L1511" s="1" t="str">
        <f t="shared" si="220"/>
        <v>20220926</v>
      </c>
      <c r="M1511" s="1" t="str">
        <f>"192139"</f>
        <v>192139</v>
      </c>
      <c r="N1511" s="1" t="s">
        <v>28</v>
      </c>
      <c r="O1511" s="1" t="s">
        <v>28</v>
      </c>
      <c r="P1511" s="1" t="s">
        <v>55</v>
      </c>
      <c r="Q1511" s="1">
        <v>13</v>
      </c>
      <c r="R1511" s="1">
        <v>0</v>
      </c>
      <c r="S1511" s="1">
        <v>13</v>
      </c>
      <c r="T1511" s="1">
        <v>0</v>
      </c>
      <c r="U1511" s="1">
        <v>0</v>
      </c>
      <c r="V1511" s="1" t="str">
        <f t="shared" si="216"/>
        <v>里程返程</v>
      </c>
      <c r="W1511" s="1" t="s">
        <v>35</v>
      </c>
    </row>
    <row r="1512" spans="1:23" x14ac:dyDescent="0.3">
      <c r="A1512" s="1" t="str">
        <f t="shared" si="218"/>
        <v>59820</v>
      </c>
      <c r="B1512" s="1" t="s">
        <v>53</v>
      </c>
      <c r="C1512" s="1" t="s">
        <v>54</v>
      </c>
      <c r="D1512" s="1" t="str">
        <f t="shared" si="215"/>
        <v>9801</v>
      </c>
      <c r="E1512" s="1" t="s">
        <v>25</v>
      </c>
      <c r="F1512" s="1" t="str">
        <f>"1737283381"</f>
        <v>1737283381</v>
      </c>
      <c r="G1512" s="1" t="s">
        <v>33</v>
      </c>
      <c r="H1512" s="1" t="str">
        <f t="shared" si="219"/>
        <v>20220926</v>
      </c>
      <c r="I1512" s="1" t="str">
        <f>"185745"</f>
        <v>185745</v>
      </c>
      <c r="J1512" s="1" t="s">
        <v>44</v>
      </c>
      <c r="K1512" s="1" t="s">
        <v>45</v>
      </c>
      <c r="L1512" s="1" t="str">
        <f t="shared" si="220"/>
        <v>20220926</v>
      </c>
      <c r="M1512" s="1" t="str">
        <f>"192146"</f>
        <v>192146</v>
      </c>
      <c r="N1512" s="1" t="s">
        <v>28</v>
      </c>
      <c r="O1512" s="1" t="s">
        <v>28</v>
      </c>
      <c r="P1512" s="1" t="s">
        <v>55</v>
      </c>
      <c r="Q1512" s="1">
        <v>25</v>
      </c>
      <c r="R1512" s="1">
        <v>0</v>
      </c>
      <c r="S1512" s="1">
        <v>25</v>
      </c>
      <c r="T1512" s="1">
        <v>0</v>
      </c>
      <c r="U1512" s="1">
        <v>0</v>
      </c>
      <c r="V1512" s="1" t="str">
        <f t="shared" si="216"/>
        <v>里程返程</v>
      </c>
      <c r="W1512" s="1" t="s">
        <v>35</v>
      </c>
    </row>
    <row r="1513" spans="1:23" x14ac:dyDescent="0.3">
      <c r="A1513" s="1" t="str">
        <f t="shared" si="218"/>
        <v>59820</v>
      </c>
      <c r="B1513" s="1" t="s">
        <v>53</v>
      </c>
      <c r="C1513" s="1" t="s">
        <v>54</v>
      </c>
      <c r="D1513" s="1" t="str">
        <f t="shared" si="215"/>
        <v>9801</v>
      </c>
      <c r="E1513" s="1" t="s">
        <v>25</v>
      </c>
      <c r="F1513" s="1" t="str">
        <f>"1241063925"</f>
        <v>1241063925</v>
      </c>
      <c r="G1513" s="1" t="s">
        <v>26</v>
      </c>
      <c r="H1513" s="1" t="str">
        <f t="shared" si="219"/>
        <v>20220926</v>
      </c>
      <c r="I1513" s="1" t="str">
        <f>"185750"</f>
        <v>185750</v>
      </c>
      <c r="J1513" s="1" t="s">
        <v>44</v>
      </c>
      <c r="K1513" s="1" t="s">
        <v>45</v>
      </c>
      <c r="L1513" s="1" t="str">
        <f t="shared" si="220"/>
        <v>20220926</v>
      </c>
      <c r="M1513" s="1" t="str">
        <f>"192143"</f>
        <v>192143</v>
      </c>
      <c r="N1513" s="1" t="s">
        <v>28</v>
      </c>
      <c r="O1513" s="1" t="s">
        <v>28</v>
      </c>
      <c r="P1513" s="1" t="s">
        <v>55</v>
      </c>
      <c r="Q1513" s="1">
        <v>13</v>
      </c>
      <c r="R1513" s="1">
        <v>0</v>
      </c>
      <c r="S1513" s="1">
        <v>13</v>
      </c>
      <c r="T1513" s="1">
        <v>0</v>
      </c>
      <c r="U1513" s="1">
        <v>0</v>
      </c>
      <c r="V1513" s="1" t="str">
        <f t="shared" si="216"/>
        <v>里程返程</v>
      </c>
      <c r="W1513" s="1" t="s">
        <v>35</v>
      </c>
    </row>
    <row r="1514" spans="1:23" x14ac:dyDescent="0.3">
      <c r="A1514" s="1" t="str">
        <f t="shared" ref="A1514:A1536" si="221">"59822"</f>
        <v>59822</v>
      </c>
      <c r="B1514" s="1" t="s">
        <v>39</v>
      </c>
      <c r="C1514" s="1" t="s">
        <v>40</v>
      </c>
      <c r="D1514" s="1" t="str">
        <f t="shared" si="215"/>
        <v>9801</v>
      </c>
      <c r="E1514" s="1" t="s">
        <v>25</v>
      </c>
      <c r="F1514" s="1" t="str">
        <f>"D2EDC500FA880400C801002000000015"</f>
        <v>D2EDC500FA880400C801002000000015</v>
      </c>
      <c r="G1514" s="1" t="s">
        <v>58</v>
      </c>
      <c r="H1514" s="1" t="str">
        <f t="shared" si="219"/>
        <v>20220926</v>
      </c>
      <c r="I1514" s="1" t="str">
        <f>"063026"</f>
        <v>063026</v>
      </c>
      <c r="J1514" s="1" t="s">
        <v>28</v>
      </c>
      <c r="K1514" s="1" t="s">
        <v>28</v>
      </c>
      <c r="L1514" s="1" t="str">
        <f t="shared" si="220"/>
        <v>20220926</v>
      </c>
      <c r="M1514" s="1" t="str">
        <f>"070423"</f>
        <v>070423</v>
      </c>
      <c r="N1514" s="1" t="s">
        <v>52</v>
      </c>
      <c r="O1514" s="1" t="s">
        <v>52</v>
      </c>
      <c r="P1514" s="1" t="s">
        <v>55</v>
      </c>
      <c r="Q1514" s="1">
        <v>25</v>
      </c>
      <c r="R1514" s="1">
        <v>25</v>
      </c>
      <c r="S1514" s="1">
        <v>0</v>
      </c>
      <c r="T1514" s="1">
        <v>0</v>
      </c>
      <c r="U1514" s="1">
        <v>0</v>
      </c>
      <c r="V1514" s="1" t="str">
        <f t="shared" si="216"/>
        <v>里程返程</v>
      </c>
      <c r="W1514" s="1" t="s">
        <v>29</v>
      </c>
    </row>
    <row r="1515" spans="1:23" x14ac:dyDescent="0.3">
      <c r="A1515" s="1" t="str">
        <f t="shared" si="221"/>
        <v>59822</v>
      </c>
      <c r="B1515" s="1" t="s">
        <v>39</v>
      </c>
      <c r="C1515" s="1" t="s">
        <v>40</v>
      </c>
      <c r="D1515" s="1" t="str">
        <f t="shared" si="215"/>
        <v>9801</v>
      </c>
      <c r="E1515" s="1" t="s">
        <v>25</v>
      </c>
      <c r="F1515" s="1" t="str">
        <f>"619F1761882804001C00000000000000"</f>
        <v>619F1761882804001C00000000000000</v>
      </c>
      <c r="G1515" s="1" t="s">
        <v>58</v>
      </c>
      <c r="H1515" s="1" t="str">
        <f t="shared" si="219"/>
        <v>20220926</v>
      </c>
      <c r="I1515" s="1" t="str">
        <f>"063519"</f>
        <v>063519</v>
      </c>
      <c r="J1515" s="1" t="s">
        <v>28</v>
      </c>
      <c r="K1515" s="1" t="s">
        <v>28</v>
      </c>
      <c r="L1515" s="1" t="str">
        <f t="shared" si="220"/>
        <v>20220926</v>
      </c>
      <c r="M1515" s="1" t="str">
        <f>"065457"</f>
        <v>065457</v>
      </c>
      <c r="N1515" s="1" t="s">
        <v>65</v>
      </c>
      <c r="O1515" s="1" t="s">
        <v>52</v>
      </c>
      <c r="P1515" s="1" t="s">
        <v>55</v>
      </c>
      <c r="Q1515" s="1">
        <v>25</v>
      </c>
      <c r="R1515" s="1">
        <v>0</v>
      </c>
      <c r="S1515" s="1">
        <v>25</v>
      </c>
      <c r="T1515" s="1">
        <v>0</v>
      </c>
      <c r="U1515" s="1">
        <v>0</v>
      </c>
      <c r="V1515" s="1" t="str">
        <f t="shared" si="216"/>
        <v>里程返程</v>
      </c>
      <c r="W1515" s="1" t="s">
        <v>29</v>
      </c>
    </row>
    <row r="1516" spans="1:23" x14ac:dyDescent="0.3">
      <c r="A1516" s="1" t="str">
        <f t="shared" si="221"/>
        <v>59822</v>
      </c>
      <c r="B1516" s="1" t="s">
        <v>39</v>
      </c>
      <c r="C1516" s="1" t="s">
        <v>40</v>
      </c>
      <c r="D1516" s="1" t="str">
        <f t="shared" si="215"/>
        <v>9801</v>
      </c>
      <c r="E1516" s="1" t="s">
        <v>25</v>
      </c>
      <c r="F1516" s="1" t="str">
        <f>"026A101860880400C814002000000019"</f>
        <v>026A101860880400C814002000000019</v>
      </c>
      <c r="G1516" s="1" t="s">
        <v>59</v>
      </c>
      <c r="H1516" s="1" t="str">
        <f t="shared" si="219"/>
        <v>20220926</v>
      </c>
      <c r="I1516" s="1" t="str">
        <f>"063522"</f>
        <v>063522</v>
      </c>
      <c r="J1516" s="1" t="s">
        <v>28</v>
      </c>
      <c r="K1516" s="1" t="s">
        <v>28</v>
      </c>
      <c r="L1516" s="1" t="str">
        <f t="shared" si="220"/>
        <v>20220926</v>
      </c>
      <c r="M1516" s="1" t="str">
        <f>"065614"</f>
        <v>065614</v>
      </c>
      <c r="N1516" s="1" t="s">
        <v>71</v>
      </c>
      <c r="O1516" s="1" t="s">
        <v>52</v>
      </c>
      <c r="P1516" s="1" t="s">
        <v>55</v>
      </c>
      <c r="Q1516" s="1">
        <v>25</v>
      </c>
      <c r="R1516" s="1">
        <v>0</v>
      </c>
      <c r="S1516" s="1">
        <v>25</v>
      </c>
      <c r="T1516" s="1">
        <v>0</v>
      </c>
      <c r="U1516" s="1">
        <v>0</v>
      </c>
      <c r="V1516" s="1" t="str">
        <f t="shared" si="216"/>
        <v>里程返程</v>
      </c>
      <c r="W1516" s="1" t="s">
        <v>29</v>
      </c>
    </row>
    <row r="1517" spans="1:23" x14ac:dyDescent="0.3">
      <c r="A1517" s="1" t="str">
        <f t="shared" si="221"/>
        <v>59822</v>
      </c>
      <c r="B1517" s="1" t="s">
        <v>39</v>
      </c>
      <c r="C1517" s="1" t="s">
        <v>40</v>
      </c>
      <c r="D1517" s="1" t="str">
        <f t="shared" si="215"/>
        <v>9801</v>
      </c>
      <c r="E1517" s="1" t="s">
        <v>25</v>
      </c>
      <c r="F1517" s="1" t="str">
        <f>"E2191918FA880400C819002000000019"</f>
        <v>E2191918FA880400C819002000000019</v>
      </c>
      <c r="G1517" s="1" t="s">
        <v>59</v>
      </c>
      <c r="H1517" s="1" t="str">
        <f t="shared" si="219"/>
        <v>20220926</v>
      </c>
      <c r="I1517" s="1" t="str">
        <f>"063526"</f>
        <v>063526</v>
      </c>
      <c r="J1517" s="1" t="s">
        <v>28</v>
      </c>
      <c r="K1517" s="1" t="s">
        <v>28</v>
      </c>
      <c r="L1517" s="1" t="str">
        <f t="shared" si="220"/>
        <v>20220926</v>
      </c>
      <c r="M1517" s="1" t="str">
        <f>"065611"</f>
        <v>065611</v>
      </c>
      <c r="N1517" s="1" t="s">
        <v>71</v>
      </c>
      <c r="O1517" s="1" t="s">
        <v>52</v>
      </c>
      <c r="P1517" s="1" t="s">
        <v>55</v>
      </c>
      <c r="Q1517" s="1">
        <v>25</v>
      </c>
      <c r="R1517" s="1">
        <v>0</v>
      </c>
      <c r="S1517" s="1">
        <v>25</v>
      </c>
      <c r="T1517" s="1">
        <v>0</v>
      </c>
      <c r="U1517" s="1">
        <v>0</v>
      </c>
      <c r="V1517" s="1" t="str">
        <f t="shared" si="216"/>
        <v>里程返程</v>
      </c>
      <c r="W1517" s="1" t="s">
        <v>29</v>
      </c>
    </row>
    <row r="1518" spans="1:23" x14ac:dyDescent="0.3">
      <c r="A1518" s="1" t="str">
        <f t="shared" si="221"/>
        <v>59822</v>
      </c>
      <c r="B1518" s="1" t="s">
        <v>39</v>
      </c>
      <c r="C1518" s="1" t="s">
        <v>40</v>
      </c>
      <c r="D1518" s="1" t="str">
        <f t="shared" si="215"/>
        <v>9801</v>
      </c>
      <c r="E1518" s="1" t="s">
        <v>25</v>
      </c>
      <c r="F1518" s="1" t="str">
        <f>"2893653869"</f>
        <v>2893653869</v>
      </c>
      <c r="G1518" s="1" t="s">
        <v>33</v>
      </c>
      <c r="H1518" s="1" t="str">
        <f t="shared" si="219"/>
        <v>20220926</v>
      </c>
      <c r="I1518" s="1" t="str">
        <f>"070706"</f>
        <v>070706</v>
      </c>
      <c r="J1518" s="1" t="s">
        <v>100</v>
      </c>
      <c r="K1518" s="1" t="s">
        <v>45</v>
      </c>
      <c r="L1518" s="1" t="str">
        <f t="shared" si="220"/>
        <v>20220926</v>
      </c>
      <c r="M1518" s="1" t="str">
        <f>"072518"</f>
        <v>072518</v>
      </c>
      <c r="N1518" s="1" t="s">
        <v>28</v>
      </c>
      <c r="O1518" s="1" t="s">
        <v>28</v>
      </c>
      <c r="P1518" s="1" t="s">
        <v>55</v>
      </c>
      <c r="Q1518" s="1">
        <v>25</v>
      </c>
      <c r="R1518" s="1">
        <v>25</v>
      </c>
      <c r="S1518" s="1">
        <v>0</v>
      </c>
      <c r="T1518" s="1">
        <v>0</v>
      </c>
      <c r="U1518" s="1">
        <v>0</v>
      </c>
      <c r="V1518" s="1" t="str">
        <f t="shared" si="216"/>
        <v>里程返程</v>
      </c>
      <c r="W1518" s="1" t="s">
        <v>35</v>
      </c>
    </row>
    <row r="1519" spans="1:23" x14ac:dyDescent="0.3">
      <c r="A1519" s="1" t="str">
        <f t="shared" si="221"/>
        <v>59822</v>
      </c>
      <c r="B1519" s="1" t="s">
        <v>39</v>
      </c>
      <c r="C1519" s="1" t="s">
        <v>40</v>
      </c>
      <c r="D1519" s="1" t="str">
        <f t="shared" si="215"/>
        <v>9801</v>
      </c>
      <c r="E1519" s="1" t="s">
        <v>25</v>
      </c>
      <c r="F1519" s="1" t="str">
        <f>"72BFE5022A880400C834002000000015"</f>
        <v>72BFE5022A880400C834002000000015</v>
      </c>
      <c r="G1519" s="1" t="s">
        <v>26</v>
      </c>
      <c r="H1519" s="1" t="str">
        <f t="shared" si="219"/>
        <v>20220926</v>
      </c>
      <c r="I1519" s="1" t="str">
        <f>"071435"</f>
        <v>071435</v>
      </c>
      <c r="J1519" s="1" t="s">
        <v>56</v>
      </c>
      <c r="K1519" s="1" t="s">
        <v>45</v>
      </c>
      <c r="L1519" s="1" t="str">
        <f t="shared" si="220"/>
        <v>20220926</v>
      </c>
      <c r="M1519" s="1" t="str">
        <f>"072510"</f>
        <v>072510</v>
      </c>
      <c r="N1519" s="1" t="s">
        <v>28</v>
      </c>
      <c r="O1519" s="1" t="s">
        <v>28</v>
      </c>
      <c r="P1519" s="1" t="s">
        <v>68</v>
      </c>
      <c r="Q1519" s="1">
        <v>13</v>
      </c>
      <c r="R1519" s="1">
        <v>0</v>
      </c>
      <c r="S1519" s="1">
        <v>0</v>
      </c>
      <c r="T1519" s="1">
        <v>13</v>
      </c>
      <c r="U1519" s="1">
        <v>0</v>
      </c>
      <c r="V1519" s="1" t="str">
        <f t="shared" si="216"/>
        <v>里程返程</v>
      </c>
      <c r="W1519" s="1" t="s">
        <v>29</v>
      </c>
    </row>
    <row r="1520" spans="1:23" x14ac:dyDescent="0.3">
      <c r="A1520" s="1" t="str">
        <f t="shared" si="221"/>
        <v>59822</v>
      </c>
      <c r="B1520" s="1" t="s">
        <v>39</v>
      </c>
      <c r="C1520" s="1" t="s">
        <v>40</v>
      </c>
      <c r="D1520" s="1" t="str">
        <f t="shared" si="215"/>
        <v>9801</v>
      </c>
      <c r="E1520" s="1" t="s">
        <v>25</v>
      </c>
      <c r="F1520" s="1" t="str">
        <f>"82730F18E6880400C814002000000019"</f>
        <v>82730F18E6880400C814002000000019</v>
      </c>
      <c r="G1520" s="1" t="s">
        <v>59</v>
      </c>
      <c r="H1520" s="1" t="str">
        <f t="shared" si="219"/>
        <v>20220926</v>
      </c>
      <c r="I1520" s="1" t="str">
        <f>"072524"</f>
        <v>072524</v>
      </c>
      <c r="J1520" s="1" t="s">
        <v>28</v>
      </c>
      <c r="K1520" s="1" t="s">
        <v>28</v>
      </c>
      <c r="L1520" s="1" t="str">
        <f t="shared" si="220"/>
        <v>20220926</v>
      </c>
      <c r="M1520" s="1" t="str">
        <f>"074454"</f>
        <v>074454</v>
      </c>
      <c r="N1520" s="1" t="s">
        <v>72</v>
      </c>
      <c r="O1520" s="1" t="s">
        <v>52</v>
      </c>
      <c r="P1520" s="1" t="s">
        <v>55</v>
      </c>
      <c r="Q1520" s="1">
        <v>25</v>
      </c>
      <c r="R1520" s="1">
        <v>0</v>
      </c>
      <c r="S1520" s="1">
        <v>25</v>
      </c>
      <c r="T1520" s="1">
        <v>0</v>
      </c>
      <c r="U1520" s="1">
        <v>0</v>
      </c>
      <c r="V1520" s="1" t="str">
        <f t="shared" si="216"/>
        <v>里程返程</v>
      </c>
      <c r="W1520" s="1" t="s">
        <v>29</v>
      </c>
    </row>
    <row r="1521" spans="1:23" x14ac:dyDescent="0.3">
      <c r="A1521" s="1" t="str">
        <f t="shared" si="221"/>
        <v>59822</v>
      </c>
      <c r="B1521" s="1" t="s">
        <v>39</v>
      </c>
      <c r="C1521" s="1" t="s">
        <v>40</v>
      </c>
      <c r="D1521" s="1" t="str">
        <f t="shared" si="215"/>
        <v>9801</v>
      </c>
      <c r="E1521" s="1" t="s">
        <v>25</v>
      </c>
      <c r="F1521" s="1" t="str">
        <f>"62F00B1881880400C814002000000019"</f>
        <v>62F00B1881880400C814002000000019</v>
      </c>
      <c r="G1521" s="1" t="s">
        <v>59</v>
      </c>
      <c r="H1521" s="1" t="str">
        <f t="shared" si="219"/>
        <v>20220926</v>
      </c>
      <c r="I1521" s="1" t="str">
        <f>"072526"</f>
        <v>072526</v>
      </c>
      <c r="J1521" s="1" t="s">
        <v>28</v>
      </c>
      <c r="K1521" s="1" t="s">
        <v>28</v>
      </c>
      <c r="L1521" s="1" t="str">
        <f t="shared" si="220"/>
        <v>20220926</v>
      </c>
      <c r="M1521" s="1" t="str">
        <f>"074457"</f>
        <v>074457</v>
      </c>
      <c r="N1521" s="1" t="s">
        <v>72</v>
      </c>
      <c r="O1521" s="1" t="s">
        <v>52</v>
      </c>
      <c r="P1521" s="1" t="s">
        <v>55</v>
      </c>
      <c r="Q1521" s="1">
        <v>25</v>
      </c>
      <c r="R1521" s="1">
        <v>0</v>
      </c>
      <c r="S1521" s="1">
        <v>25</v>
      </c>
      <c r="T1521" s="1">
        <v>0</v>
      </c>
      <c r="U1521" s="1">
        <v>0</v>
      </c>
      <c r="V1521" s="1" t="str">
        <f t="shared" si="216"/>
        <v>里程返程</v>
      </c>
      <c r="W1521" s="1" t="s">
        <v>29</v>
      </c>
    </row>
    <row r="1522" spans="1:23" x14ac:dyDescent="0.3">
      <c r="A1522" s="1" t="str">
        <f t="shared" si="221"/>
        <v>59822</v>
      </c>
      <c r="B1522" s="1" t="s">
        <v>39</v>
      </c>
      <c r="C1522" s="1" t="s">
        <v>40</v>
      </c>
      <c r="D1522" s="1" t="str">
        <f t="shared" si="215"/>
        <v>9801</v>
      </c>
      <c r="E1522" s="1" t="s">
        <v>25</v>
      </c>
      <c r="F1522" s="1" t="str">
        <f>"1204061808880400C814002000000019"</f>
        <v>1204061808880400C814002000000019</v>
      </c>
      <c r="G1522" s="1" t="s">
        <v>59</v>
      </c>
      <c r="H1522" s="1" t="str">
        <f t="shared" si="219"/>
        <v>20220926</v>
      </c>
      <c r="I1522" s="1" t="str">
        <f>"072530"</f>
        <v>072530</v>
      </c>
      <c r="J1522" s="1" t="s">
        <v>28</v>
      </c>
      <c r="K1522" s="1" t="s">
        <v>28</v>
      </c>
      <c r="L1522" s="1" t="str">
        <f t="shared" si="220"/>
        <v>20220926</v>
      </c>
      <c r="M1522" s="1" t="str">
        <f>"074451"</f>
        <v>074451</v>
      </c>
      <c r="N1522" s="1" t="s">
        <v>72</v>
      </c>
      <c r="O1522" s="1" t="s">
        <v>52</v>
      </c>
      <c r="P1522" s="1" t="s">
        <v>55</v>
      </c>
      <c r="Q1522" s="1">
        <v>25</v>
      </c>
      <c r="R1522" s="1">
        <v>0</v>
      </c>
      <c r="S1522" s="1">
        <v>25</v>
      </c>
      <c r="T1522" s="1">
        <v>0</v>
      </c>
      <c r="U1522" s="1">
        <v>0</v>
      </c>
      <c r="V1522" s="1" t="str">
        <f t="shared" si="216"/>
        <v>里程返程</v>
      </c>
      <c r="W1522" s="1" t="s">
        <v>29</v>
      </c>
    </row>
    <row r="1523" spans="1:23" x14ac:dyDescent="0.3">
      <c r="A1523" s="1" t="str">
        <f t="shared" si="221"/>
        <v>59822</v>
      </c>
      <c r="B1523" s="1" t="s">
        <v>39</v>
      </c>
      <c r="C1523" s="1" t="s">
        <v>40</v>
      </c>
      <c r="D1523" s="1" t="str">
        <f t="shared" si="215"/>
        <v>9801</v>
      </c>
      <c r="E1523" s="1" t="s">
        <v>25</v>
      </c>
      <c r="F1523" s="1" t="str">
        <f>"825D0C18CB880400C814002000000019"</f>
        <v>825D0C18CB880400C814002000000019</v>
      </c>
      <c r="G1523" s="1" t="s">
        <v>59</v>
      </c>
      <c r="H1523" s="1" t="str">
        <f t="shared" si="219"/>
        <v>20220926</v>
      </c>
      <c r="I1523" s="1" t="str">
        <f>"072533"</f>
        <v>072533</v>
      </c>
      <c r="J1523" s="1" t="s">
        <v>28</v>
      </c>
      <c r="K1523" s="1" t="s">
        <v>28</v>
      </c>
      <c r="L1523" s="1" t="str">
        <f t="shared" si="220"/>
        <v>20220926</v>
      </c>
      <c r="M1523" s="1" t="str">
        <f>"075240"</f>
        <v>075240</v>
      </c>
      <c r="N1523" s="1" t="s">
        <v>52</v>
      </c>
      <c r="O1523" s="1" t="s">
        <v>52</v>
      </c>
      <c r="P1523" s="1" t="s">
        <v>55</v>
      </c>
      <c r="Q1523" s="1">
        <v>25</v>
      </c>
      <c r="R1523" s="1">
        <v>0</v>
      </c>
      <c r="S1523" s="1">
        <v>25</v>
      </c>
      <c r="T1523" s="1">
        <v>0</v>
      </c>
      <c r="U1523" s="1">
        <v>0</v>
      </c>
      <c r="V1523" s="1" t="str">
        <f t="shared" si="216"/>
        <v>里程返程</v>
      </c>
      <c r="W1523" s="1" t="s">
        <v>29</v>
      </c>
    </row>
    <row r="1524" spans="1:23" x14ac:dyDescent="0.3">
      <c r="A1524" s="1" t="str">
        <f t="shared" si="221"/>
        <v>59822</v>
      </c>
      <c r="B1524" s="1" t="s">
        <v>39</v>
      </c>
      <c r="C1524" s="1" t="s">
        <v>40</v>
      </c>
      <c r="D1524" s="1" t="str">
        <f t="shared" si="215"/>
        <v>9801</v>
      </c>
      <c r="E1524" s="1" t="s">
        <v>25</v>
      </c>
      <c r="F1524" s="1" t="str">
        <f>"72CEE3124D28040080CEBCD765212818"</f>
        <v>72CEE3124D28040080CEBCD765212818</v>
      </c>
      <c r="G1524" s="1" t="s">
        <v>58</v>
      </c>
      <c r="H1524" s="1" t="str">
        <f t="shared" si="219"/>
        <v>20220926</v>
      </c>
      <c r="I1524" s="1" t="str">
        <f>"072537"</f>
        <v>072537</v>
      </c>
      <c r="J1524" s="1" t="s">
        <v>28</v>
      </c>
      <c r="K1524" s="1" t="s">
        <v>28</v>
      </c>
      <c r="L1524" s="1" t="str">
        <f t="shared" si="220"/>
        <v>20220926</v>
      </c>
      <c r="M1524" s="1" t="str">
        <f>"074409"</f>
        <v>074409</v>
      </c>
      <c r="N1524" s="1" t="s">
        <v>65</v>
      </c>
      <c r="O1524" s="1" t="s">
        <v>52</v>
      </c>
      <c r="P1524" s="1" t="s">
        <v>55</v>
      </c>
      <c r="Q1524" s="1">
        <v>25</v>
      </c>
      <c r="R1524" s="1">
        <v>0</v>
      </c>
      <c r="S1524" s="1">
        <v>25</v>
      </c>
      <c r="T1524" s="1">
        <v>0</v>
      </c>
      <c r="U1524" s="1">
        <v>0</v>
      </c>
      <c r="V1524" s="1" t="str">
        <f t="shared" si="216"/>
        <v>里程返程</v>
      </c>
      <c r="W1524" s="1" t="s">
        <v>29</v>
      </c>
    </row>
    <row r="1525" spans="1:23" x14ac:dyDescent="0.3">
      <c r="A1525" s="1" t="str">
        <f t="shared" si="221"/>
        <v>59822</v>
      </c>
      <c r="B1525" s="1" t="s">
        <v>39</v>
      </c>
      <c r="C1525" s="1" t="s">
        <v>40</v>
      </c>
      <c r="D1525" s="1" t="str">
        <f t="shared" si="215"/>
        <v>9801</v>
      </c>
      <c r="E1525" s="1" t="s">
        <v>25</v>
      </c>
      <c r="F1525" s="1" t="str">
        <f>"1324246865"</f>
        <v>1324246865</v>
      </c>
      <c r="G1525" s="1" t="s">
        <v>33</v>
      </c>
      <c r="H1525" s="1" t="str">
        <f t="shared" si="219"/>
        <v>20220926</v>
      </c>
      <c r="I1525" s="1" t="str">
        <f>"072755"</f>
        <v>072755</v>
      </c>
      <c r="J1525" s="1" t="s">
        <v>85</v>
      </c>
      <c r="K1525" s="1" t="s">
        <v>28</v>
      </c>
      <c r="L1525" s="1" t="str">
        <f t="shared" si="220"/>
        <v>20220926</v>
      </c>
      <c r="M1525" s="1" t="str">
        <f>"074156"</f>
        <v>074156</v>
      </c>
      <c r="N1525" s="1" t="s">
        <v>97</v>
      </c>
      <c r="O1525" s="1" t="s">
        <v>52</v>
      </c>
      <c r="P1525" s="1" t="s">
        <v>55</v>
      </c>
      <c r="Q1525" s="1">
        <v>25</v>
      </c>
      <c r="R1525" s="1">
        <v>25</v>
      </c>
      <c r="S1525" s="1">
        <v>0</v>
      </c>
      <c r="T1525" s="1">
        <v>0</v>
      </c>
      <c r="U1525" s="1">
        <v>0</v>
      </c>
      <c r="V1525" s="1" t="str">
        <f t="shared" si="216"/>
        <v>里程返程</v>
      </c>
      <c r="W1525" s="1" t="s">
        <v>35</v>
      </c>
    </row>
    <row r="1526" spans="1:23" x14ac:dyDescent="0.3">
      <c r="A1526" s="1" t="str">
        <f t="shared" si="221"/>
        <v>59822</v>
      </c>
      <c r="B1526" s="1" t="s">
        <v>39</v>
      </c>
      <c r="C1526" s="1" t="s">
        <v>40</v>
      </c>
      <c r="D1526" s="1" t="str">
        <f t="shared" si="215"/>
        <v>9801</v>
      </c>
      <c r="E1526" s="1" t="s">
        <v>25</v>
      </c>
      <c r="F1526" s="1" t="str">
        <f>"32780D0344880400C834002000000015"</f>
        <v>32780D0344880400C834002000000015</v>
      </c>
      <c r="G1526" s="1" t="s">
        <v>26</v>
      </c>
      <c r="H1526" s="1" t="str">
        <f t="shared" si="219"/>
        <v>20220926</v>
      </c>
      <c r="I1526" s="1" t="str">
        <f>"072757"</f>
        <v>072757</v>
      </c>
      <c r="J1526" s="1" t="s">
        <v>85</v>
      </c>
      <c r="K1526" s="1" t="s">
        <v>28</v>
      </c>
      <c r="L1526" s="1" t="str">
        <f t="shared" si="220"/>
        <v>20220926</v>
      </c>
      <c r="M1526" s="1" t="str">
        <f>"074414"</f>
        <v>074414</v>
      </c>
      <c r="N1526" s="1" t="s">
        <v>65</v>
      </c>
      <c r="O1526" s="1" t="s">
        <v>52</v>
      </c>
      <c r="P1526" s="1" t="s">
        <v>68</v>
      </c>
      <c r="Q1526" s="1">
        <v>13</v>
      </c>
      <c r="R1526" s="1">
        <v>0</v>
      </c>
      <c r="S1526" s="1">
        <v>0</v>
      </c>
      <c r="T1526" s="1">
        <v>13</v>
      </c>
      <c r="U1526" s="1">
        <v>0</v>
      </c>
      <c r="V1526" s="1" t="str">
        <f t="shared" si="216"/>
        <v>里程返程</v>
      </c>
      <c r="W1526" s="1" t="s">
        <v>29</v>
      </c>
    </row>
    <row r="1527" spans="1:23" x14ac:dyDescent="0.3">
      <c r="A1527" s="1" t="str">
        <f t="shared" si="221"/>
        <v>59822</v>
      </c>
      <c r="B1527" s="1" t="s">
        <v>39</v>
      </c>
      <c r="C1527" s="1" t="s">
        <v>40</v>
      </c>
      <c r="D1527" s="1" t="str">
        <f t="shared" si="215"/>
        <v>9801</v>
      </c>
      <c r="E1527" s="1" t="s">
        <v>25</v>
      </c>
      <c r="F1527" s="1" t="str">
        <f>"1759959808"</f>
        <v>1759959808</v>
      </c>
      <c r="G1527" s="1" t="s">
        <v>33</v>
      </c>
      <c r="H1527" s="1" t="str">
        <f t="shared" si="219"/>
        <v>20220926</v>
      </c>
      <c r="I1527" s="1" t="str">
        <f>"074041"</f>
        <v>074041</v>
      </c>
      <c r="J1527" s="1" t="s">
        <v>80</v>
      </c>
      <c r="K1527" s="1" t="s">
        <v>52</v>
      </c>
      <c r="L1527" s="1" t="str">
        <f t="shared" si="220"/>
        <v>20220926</v>
      </c>
      <c r="M1527" s="1" t="str">
        <f>"074818"</f>
        <v>074818</v>
      </c>
      <c r="N1527" s="1" t="s">
        <v>60</v>
      </c>
      <c r="O1527" s="1" t="s">
        <v>52</v>
      </c>
      <c r="P1527" s="1" t="s">
        <v>55</v>
      </c>
      <c r="Q1527" s="1">
        <v>25</v>
      </c>
      <c r="R1527" s="1">
        <v>25</v>
      </c>
      <c r="S1527" s="1">
        <v>0</v>
      </c>
      <c r="T1527" s="1">
        <v>0</v>
      </c>
      <c r="U1527" s="1">
        <v>0</v>
      </c>
      <c r="V1527" s="1" t="str">
        <f t="shared" si="216"/>
        <v>里程返程</v>
      </c>
      <c r="W1527" s="1" t="s">
        <v>35</v>
      </c>
    </row>
    <row r="1528" spans="1:23" x14ac:dyDescent="0.3">
      <c r="A1528" s="1" t="str">
        <f t="shared" si="221"/>
        <v>59822</v>
      </c>
      <c r="B1528" s="1" t="s">
        <v>39</v>
      </c>
      <c r="C1528" s="1" t="s">
        <v>40</v>
      </c>
      <c r="D1528" s="1" t="str">
        <f t="shared" si="215"/>
        <v>9801</v>
      </c>
      <c r="E1528" s="1" t="s">
        <v>25</v>
      </c>
      <c r="F1528" s="1" t="str">
        <f>"3022637810"</f>
        <v>3022637810</v>
      </c>
      <c r="G1528" s="1" t="s">
        <v>33</v>
      </c>
      <c r="H1528" s="1" t="str">
        <f t="shared" si="219"/>
        <v>20220926</v>
      </c>
      <c r="I1528" s="1" t="str">
        <f>"123508"</f>
        <v>123508</v>
      </c>
      <c r="J1528" s="1" t="s">
        <v>100</v>
      </c>
      <c r="K1528" s="1" t="s">
        <v>45</v>
      </c>
      <c r="L1528" s="1" t="str">
        <f t="shared" si="220"/>
        <v>20220926</v>
      </c>
      <c r="M1528" s="1" t="str">
        <f>"125431"</f>
        <v>125431</v>
      </c>
      <c r="N1528" s="1" t="s">
        <v>28</v>
      </c>
      <c r="O1528" s="1" t="s">
        <v>28</v>
      </c>
      <c r="P1528" s="1" t="s">
        <v>55</v>
      </c>
      <c r="Q1528" s="1">
        <v>25</v>
      </c>
      <c r="R1528" s="1">
        <v>25</v>
      </c>
      <c r="S1528" s="1">
        <v>0</v>
      </c>
      <c r="T1528" s="1">
        <v>0</v>
      </c>
      <c r="U1528" s="1">
        <v>0</v>
      </c>
      <c r="V1528" s="1" t="str">
        <f t="shared" si="216"/>
        <v>里程返程</v>
      </c>
      <c r="W1528" s="1" t="s">
        <v>35</v>
      </c>
    </row>
    <row r="1529" spans="1:23" x14ac:dyDescent="0.3">
      <c r="A1529" s="1" t="str">
        <f t="shared" si="221"/>
        <v>59822</v>
      </c>
      <c r="B1529" s="1" t="s">
        <v>39</v>
      </c>
      <c r="C1529" s="1" t="s">
        <v>40</v>
      </c>
      <c r="D1529" s="1" t="str">
        <f t="shared" si="215"/>
        <v>9801</v>
      </c>
      <c r="E1529" s="1" t="s">
        <v>25</v>
      </c>
      <c r="F1529" s="1" t="str">
        <f>"3606748307"</f>
        <v>3606748307</v>
      </c>
      <c r="G1529" s="1" t="s">
        <v>33</v>
      </c>
      <c r="H1529" s="1" t="str">
        <f t="shared" si="219"/>
        <v>20220926</v>
      </c>
      <c r="I1529" s="1" t="str">
        <f>"125504"</f>
        <v>125504</v>
      </c>
      <c r="J1529" s="1" t="s">
        <v>28</v>
      </c>
      <c r="K1529" s="1" t="s">
        <v>28</v>
      </c>
      <c r="L1529" s="1" t="str">
        <f t="shared" si="220"/>
        <v>20220926</v>
      </c>
      <c r="M1529" s="1" t="str">
        <f>"132001"</f>
        <v>132001</v>
      </c>
      <c r="N1529" s="1" t="s">
        <v>60</v>
      </c>
      <c r="O1529" s="1" t="s">
        <v>52</v>
      </c>
      <c r="P1529" s="1" t="s">
        <v>55</v>
      </c>
      <c r="Q1529" s="1">
        <v>25</v>
      </c>
      <c r="R1529" s="1">
        <v>25</v>
      </c>
      <c r="S1529" s="1">
        <v>0</v>
      </c>
      <c r="T1529" s="1">
        <v>0</v>
      </c>
      <c r="U1529" s="1">
        <v>0</v>
      </c>
      <c r="V1529" s="1" t="str">
        <f t="shared" si="216"/>
        <v>里程返程</v>
      </c>
      <c r="W1529" s="1" t="s">
        <v>35</v>
      </c>
    </row>
    <row r="1530" spans="1:23" x14ac:dyDescent="0.3">
      <c r="A1530" s="1" t="str">
        <f t="shared" si="221"/>
        <v>59822</v>
      </c>
      <c r="B1530" s="1" t="s">
        <v>39</v>
      </c>
      <c r="C1530" s="1" t="s">
        <v>40</v>
      </c>
      <c r="D1530" s="1" t="str">
        <f t="shared" si="215"/>
        <v>9801</v>
      </c>
      <c r="E1530" s="1" t="s">
        <v>25</v>
      </c>
      <c r="F1530" s="1" t="str">
        <f>"E220D10211880400C834002000000015"</f>
        <v>E220D10211880400C834002000000015</v>
      </c>
      <c r="G1530" s="1" t="s">
        <v>74</v>
      </c>
      <c r="H1530" s="1" t="str">
        <f t="shared" si="219"/>
        <v>20220926</v>
      </c>
      <c r="I1530" s="1" t="str">
        <f>"131318"</f>
        <v>131318</v>
      </c>
      <c r="J1530" s="1" t="s">
        <v>97</v>
      </c>
      <c r="K1530" s="1" t="s">
        <v>52</v>
      </c>
      <c r="L1530" s="1" t="str">
        <f t="shared" si="220"/>
        <v>20220926</v>
      </c>
      <c r="M1530" s="1" t="str">
        <f>"131544"</f>
        <v>131544</v>
      </c>
      <c r="N1530" s="1" t="s">
        <v>65</v>
      </c>
      <c r="O1530" s="1" t="s">
        <v>52</v>
      </c>
      <c r="P1530" s="1" t="s">
        <v>68</v>
      </c>
      <c r="Q1530" s="1">
        <v>13</v>
      </c>
      <c r="R1530" s="1">
        <v>0</v>
      </c>
      <c r="S1530" s="1">
        <v>0</v>
      </c>
      <c r="T1530" s="1">
        <v>13</v>
      </c>
      <c r="U1530" s="1">
        <v>0</v>
      </c>
      <c r="V1530" s="1" t="str">
        <f t="shared" si="216"/>
        <v>里程返程</v>
      </c>
      <c r="W1530" s="1" t="s">
        <v>29</v>
      </c>
    </row>
    <row r="1531" spans="1:23" x14ac:dyDescent="0.3">
      <c r="A1531" s="1" t="str">
        <f t="shared" si="221"/>
        <v>59822</v>
      </c>
      <c r="B1531" s="1" t="s">
        <v>39</v>
      </c>
      <c r="C1531" s="1" t="s">
        <v>40</v>
      </c>
      <c r="D1531" s="1" t="str">
        <f t="shared" si="215"/>
        <v>9801</v>
      </c>
      <c r="E1531" s="1" t="s">
        <v>25</v>
      </c>
      <c r="F1531" s="1" t="str">
        <f>"250709398"</f>
        <v>250709398</v>
      </c>
      <c r="G1531" s="1" t="s">
        <v>33</v>
      </c>
      <c r="H1531" s="1" t="str">
        <f t="shared" si="219"/>
        <v>20220926</v>
      </c>
      <c r="I1531" s="1" t="str">
        <f>"143944"</f>
        <v>143944</v>
      </c>
      <c r="J1531" s="1" t="s">
        <v>56</v>
      </c>
      <c r="K1531" s="1" t="s">
        <v>45</v>
      </c>
      <c r="L1531" s="1" t="str">
        <f t="shared" si="220"/>
        <v>20220926</v>
      </c>
      <c r="M1531" s="1" t="str">
        <f>"145110"</f>
        <v>145110</v>
      </c>
      <c r="N1531" s="1" t="s">
        <v>28</v>
      </c>
      <c r="O1531" s="1" t="s">
        <v>28</v>
      </c>
      <c r="P1531" s="1" t="s">
        <v>55</v>
      </c>
      <c r="Q1531" s="1">
        <v>25</v>
      </c>
      <c r="R1531" s="1">
        <v>25</v>
      </c>
      <c r="S1531" s="1">
        <v>0</v>
      </c>
      <c r="T1531" s="1">
        <v>0</v>
      </c>
      <c r="U1531" s="1">
        <v>0</v>
      </c>
      <c r="V1531" s="1" t="str">
        <f t="shared" si="216"/>
        <v>里程返程</v>
      </c>
      <c r="W1531" s="1" t="s">
        <v>35</v>
      </c>
    </row>
    <row r="1532" spans="1:23" x14ac:dyDescent="0.3">
      <c r="A1532" s="1" t="str">
        <f t="shared" si="221"/>
        <v>59822</v>
      </c>
      <c r="B1532" s="1" t="s">
        <v>39</v>
      </c>
      <c r="C1532" s="1" t="s">
        <v>40</v>
      </c>
      <c r="D1532" s="1" t="str">
        <f t="shared" si="215"/>
        <v>9801</v>
      </c>
      <c r="E1532" s="1" t="s">
        <v>25</v>
      </c>
      <c r="F1532" s="1" t="str">
        <f>"1413974212"</f>
        <v>1413974212</v>
      </c>
      <c r="G1532" s="1" t="s">
        <v>33</v>
      </c>
      <c r="H1532" s="1" t="str">
        <f t="shared" si="219"/>
        <v>20220926</v>
      </c>
      <c r="I1532" s="1" t="str">
        <f>"145121"</f>
        <v>145121</v>
      </c>
      <c r="J1532" s="1" t="s">
        <v>28</v>
      </c>
      <c r="K1532" s="1" t="s">
        <v>28</v>
      </c>
      <c r="L1532" s="1" t="str">
        <f t="shared" si="220"/>
        <v>20220926</v>
      </c>
      <c r="M1532" s="1" t="str">
        <f>"151144"</f>
        <v>151144</v>
      </c>
      <c r="N1532" s="1" t="s">
        <v>65</v>
      </c>
      <c r="O1532" s="1" t="s">
        <v>52</v>
      </c>
      <c r="P1532" s="1" t="s">
        <v>55</v>
      </c>
      <c r="Q1532" s="1">
        <v>25</v>
      </c>
      <c r="R1532" s="1">
        <v>0</v>
      </c>
      <c r="S1532" s="1">
        <v>25</v>
      </c>
      <c r="T1532" s="1">
        <v>0</v>
      </c>
      <c r="U1532" s="1">
        <v>0</v>
      </c>
      <c r="V1532" s="1" t="str">
        <f t="shared" si="216"/>
        <v>里程返程</v>
      </c>
      <c r="W1532" s="1" t="s">
        <v>35</v>
      </c>
    </row>
    <row r="1533" spans="1:23" x14ac:dyDescent="0.3">
      <c r="A1533" s="1" t="str">
        <f t="shared" si="221"/>
        <v>59822</v>
      </c>
      <c r="B1533" s="1" t="s">
        <v>39</v>
      </c>
      <c r="C1533" s="1" t="s">
        <v>40</v>
      </c>
      <c r="D1533" s="1" t="str">
        <f t="shared" si="215"/>
        <v>9801</v>
      </c>
      <c r="E1533" s="1" t="s">
        <v>25</v>
      </c>
      <c r="F1533" s="1" t="str">
        <f>"A2B41A030F880400C834002000000015"</f>
        <v>A2B41A030F880400C834002000000015</v>
      </c>
      <c r="G1533" s="1" t="s">
        <v>26</v>
      </c>
      <c r="H1533" s="1" t="str">
        <f t="shared" si="219"/>
        <v>20220926</v>
      </c>
      <c r="I1533" s="1" t="str">
        <f>"151719"</f>
        <v>151719</v>
      </c>
      <c r="J1533" s="1" t="s">
        <v>60</v>
      </c>
      <c r="K1533" s="1" t="s">
        <v>52</v>
      </c>
      <c r="L1533" s="1" t="str">
        <f t="shared" si="220"/>
        <v>20220926</v>
      </c>
      <c r="M1533" s="1" t="str">
        <f>"152047"</f>
        <v>152047</v>
      </c>
      <c r="N1533" s="1" t="s">
        <v>52</v>
      </c>
      <c r="O1533" s="1" t="s">
        <v>52</v>
      </c>
      <c r="P1533" s="1" t="s">
        <v>68</v>
      </c>
      <c r="Q1533" s="1">
        <v>13</v>
      </c>
      <c r="R1533" s="1">
        <v>0</v>
      </c>
      <c r="S1533" s="1">
        <v>0</v>
      </c>
      <c r="T1533" s="1">
        <v>13</v>
      </c>
      <c r="U1533" s="1">
        <v>0</v>
      </c>
      <c r="V1533" s="1" t="str">
        <f t="shared" si="216"/>
        <v>里程返程</v>
      </c>
      <c r="W1533" s="1" t="s">
        <v>29</v>
      </c>
    </row>
    <row r="1534" spans="1:23" x14ac:dyDescent="0.3">
      <c r="A1534" s="1" t="str">
        <f t="shared" si="221"/>
        <v>59822</v>
      </c>
      <c r="B1534" s="1" t="s">
        <v>39</v>
      </c>
      <c r="C1534" s="1" t="s">
        <v>40</v>
      </c>
      <c r="D1534" s="1" t="str">
        <f t="shared" si="215"/>
        <v>9801</v>
      </c>
      <c r="E1534" s="1" t="s">
        <v>25</v>
      </c>
      <c r="F1534" s="1" t="str">
        <f>"42AFE60209880400C834002000000015"</f>
        <v>42AFE60209880400C834002000000015</v>
      </c>
      <c r="G1534" s="1" t="s">
        <v>74</v>
      </c>
      <c r="H1534" s="1" t="str">
        <f t="shared" si="219"/>
        <v>20220926</v>
      </c>
      <c r="I1534" s="1" t="str">
        <f>"161140"</f>
        <v>161140</v>
      </c>
      <c r="J1534" s="1" t="s">
        <v>80</v>
      </c>
      <c r="K1534" s="1" t="s">
        <v>52</v>
      </c>
      <c r="L1534" s="1" t="str">
        <f t="shared" si="220"/>
        <v>20220926</v>
      </c>
      <c r="M1534" s="1" t="str">
        <f>"162532"</f>
        <v>162532</v>
      </c>
      <c r="N1534" s="1" t="s">
        <v>52</v>
      </c>
      <c r="O1534" s="1" t="s">
        <v>52</v>
      </c>
      <c r="P1534" s="1" t="s">
        <v>68</v>
      </c>
      <c r="Q1534" s="1">
        <v>13</v>
      </c>
      <c r="R1534" s="1">
        <v>0</v>
      </c>
      <c r="S1534" s="1">
        <v>0</v>
      </c>
      <c r="T1534" s="1">
        <v>13</v>
      </c>
      <c r="U1534" s="1">
        <v>0</v>
      </c>
      <c r="V1534" s="1" t="str">
        <f t="shared" si="216"/>
        <v>里程返程</v>
      </c>
      <c r="W1534" s="1" t="s">
        <v>29</v>
      </c>
    </row>
    <row r="1535" spans="1:23" x14ac:dyDescent="0.3">
      <c r="A1535" s="1" t="str">
        <f t="shared" si="221"/>
        <v>59822</v>
      </c>
      <c r="B1535" s="1" t="s">
        <v>39</v>
      </c>
      <c r="C1535" s="1" t="s">
        <v>40</v>
      </c>
      <c r="D1535" s="1" t="str">
        <f t="shared" si="215"/>
        <v>9801</v>
      </c>
      <c r="E1535" s="1" t="s">
        <v>25</v>
      </c>
      <c r="F1535" s="1" t="str">
        <f>"313215665"</f>
        <v>313215665</v>
      </c>
      <c r="G1535" s="1" t="s">
        <v>33</v>
      </c>
      <c r="H1535" s="1" t="str">
        <f t="shared" si="219"/>
        <v>20220926</v>
      </c>
      <c r="I1535" s="1" t="str">
        <f>"170016"</f>
        <v>170016</v>
      </c>
      <c r="J1535" s="1" t="s">
        <v>84</v>
      </c>
      <c r="K1535" s="1" t="s">
        <v>28</v>
      </c>
      <c r="L1535" s="1" t="str">
        <f t="shared" si="220"/>
        <v>20220926</v>
      </c>
      <c r="M1535" s="1" t="str">
        <f>"171414"</f>
        <v>171414</v>
      </c>
      <c r="N1535" s="1" t="s">
        <v>77</v>
      </c>
      <c r="O1535" s="1" t="s">
        <v>52</v>
      </c>
      <c r="P1535" s="1" t="s">
        <v>55</v>
      </c>
      <c r="Q1535" s="1">
        <v>25</v>
      </c>
      <c r="R1535" s="1">
        <v>0</v>
      </c>
      <c r="S1535" s="1">
        <v>25</v>
      </c>
      <c r="T1535" s="1">
        <v>0</v>
      </c>
      <c r="U1535" s="1">
        <v>0</v>
      </c>
      <c r="V1535" s="1" t="str">
        <f t="shared" si="216"/>
        <v>里程返程</v>
      </c>
      <c r="W1535" s="1" t="s">
        <v>35</v>
      </c>
    </row>
    <row r="1536" spans="1:23" x14ac:dyDescent="0.3">
      <c r="A1536" s="1" t="str">
        <f t="shared" si="221"/>
        <v>59822</v>
      </c>
      <c r="B1536" s="1" t="s">
        <v>39</v>
      </c>
      <c r="C1536" s="1" t="s">
        <v>40</v>
      </c>
      <c r="D1536" s="1" t="str">
        <f t="shared" si="215"/>
        <v>9801</v>
      </c>
      <c r="E1536" s="1" t="s">
        <v>25</v>
      </c>
      <c r="F1536" s="1" t="str">
        <f>"7227E702B0880400C834002000000015"</f>
        <v>7227E702B0880400C834002000000015</v>
      </c>
      <c r="G1536" s="1" t="s">
        <v>74</v>
      </c>
      <c r="H1536" s="1" t="str">
        <f t="shared" si="219"/>
        <v>20220926</v>
      </c>
      <c r="I1536" s="1" t="str">
        <f>"171515"</f>
        <v>171515</v>
      </c>
      <c r="J1536" s="1" t="s">
        <v>80</v>
      </c>
      <c r="K1536" s="1" t="s">
        <v>52</v>
      </c>
      <c r="L1536" s="1" t="str">
        <f t="shared" si="220"/>
        <v>20220926</v>
      </c>
      <c r="M1536" s="1" t="str">
        <f>"173016"</f>
        <v>173016</v>
      </c>
      <c r="N1536" s="1" t="s">
        <v>52</v>
      </c>
      <c r="O1536" s="1" t="s">
        <v>52</v>
      </c>
      <c r="P1536" s="1" t="s">
        <v>68</v>
      </c>
      <c r="Q1536" s="1">
        <v>13</v>
      </c>
      <c r="R1536" s="1">
        <v>0</v>
      </c>
      <c r="S1536" s="1">
        <v>0</v>
      </c>
      <c r="T1536" s="1">
        <v>13</v>
      </c>
      <c r="U1536" s="1">
        <v>0</v>
      </c>
      <c r="V1536" s="1" t="str">
        <f t="shared" si="216"/>
        <v>里程返程</v>
      </c>
      <c r="W1536" s="1" t="s">
        <v>29</v>
      </c>
    </row>
    <row r="1537" spans="1:23" x14ac:dyDescent="0.3">
      <c r="A1537" s="1" t="str">
        <f>"59829"</f>
        <v>59829</v>
      </c>
      <c r="B1537" s="1" t="s">
        <v>47</v>
      </c>
      <c r="C1537" s="1" t="s">
        <v>31</v>
      </c>
      <c r="D1537" s="1" t="str">
        <f t="shared" si="215"/>
        <v>9801</v>
      </c>
      <c r="E1537" s="1" t="s">
        <v>25</v>
      </c>
      <c r="F1537" s="1" t="str">
        <f>"026A101860880400C814002000000019"</f>
        <v>026A101860880400C814002000000019</v>
      </c>
      <c r="G1537" s="1" t="s">
        <v>59</v>
      </c>
      <c r="H1537" s="1" t="str">
        <f t="shared" si="219"/>
        <v>20220926</v>
      </c>
      <c r="I1537" s="1" t="str">
        <f>"172731"</f>
        <v>172731</v>
      </c>
      <c r="J1537" s="1" t="s">
        <v>44</v>
      </c>
      <c r="K1537" s="1" t="s">
        <v>45</v>
      </c>
      <c r="L1537" s="1" t="str">
        <f t="shared" si="220"/>
        <v>20220926</v>
      </c>
      <c r="M1537" s="1" t="str">
        <f>"175416"</f>
        <v>175416</v>
      </c>
      <c r="N1537" s="1" t="s">
        <v>28</v>
      </c>
      <c r="O1537" s="1" t="s">
        <v>28</v>
      </c>
      <c r="P1537" s="1" t="s">
        <v>55</v>
      </c>
      <c r="Q1537" s="1">
        <v>25</v>
      </c>
      <c r="R1537" s="1">
        <v>25</v>
      </c>
      <c r="S1537" s="1">
        <v>0</v>
      </c>
      <c r="T1537" s="1">
        <v>0</v>
      </c>
      <c r="U1537" s="1">
        <v>0</v>
      </c>
      <c r="V1537" s="1" t="str">
        <f t="shared" si="216"/>
        <v>里程返程</v>
      </c>
      <c r="W1537" s="1" t="s">
        <v>29</v>
      </c>
    </row>
    <row r="1538" spans="1:23" x14ac:dyDescent="0.3">
      <c r="A1538" s="1" t="str">
        <f>"59829"</f>
        <v>59829</v>
      </c>
      <c r="B1538" s="1" t="s">
        <v>47</v>
      </c>
      <c r="C1538" s="1" t="s">
        <v>31</v>
      </c>
      <c r="D1538" s="1" t="str">
        <f t="shared" ref="D1538:D1601" si="222">"9801"</f>
        <v>9801</v>
      </c>
      <c r="E1538" s="1" t="s">
        <v>25</v>
      </c>
      <c r="F1538" s="1" t="str">
        <f>"E2191918FA880400C819002000000019"</f>
        <v>E2191918FA880400C819002000000019</v>
      </c>
      <c r="G1538" s="1" t="s">
        <v>59</v>
      </c>
      <c r="H1538" s="1" t="str">
        <f t="shared" si="219"/>
        <v>20220926</v>
      </c>
      <c r="I1538" s="1" t="str">
        <f>"172734"</f>
        <v>172734</v>
      </c>
      <c r="J1538" s="1" t="s">
        <v>44</v>
      </c>
      <c r="K1538" s="1" t="s">
        <v>45</v>
      </c>
      <c r="L1538" s="1" t="str">
        <f t="shared" si="220"/>
        <v>20220926</v>
      </c>
      <c r="M1538" s="1" t="str">
        <f>"175413"</f>
        <v>175413</v>
      </c>
      <c r="N1538" s="1" t="s">
        <v>28</v>
      </c>
      <c r="O1538" s="1" t="s">
        <v>28</v>
      </c>
      <c r="P1538" s="1" t="s">
        <v>55</v>
      </c>
      <c r="Q1538" s="1">
        <v>25</v>
      </c>
      <c r="R1538" s="1">
        <v>25</v>
      </c>
      <c r="S1538" s="1">
        <v>0</v>
      </c>
      <c r="T1538" s="1">
        <v>0</v>
      </c>
      <c r="U1538" s="1">
        <v>0</v>
      </c>
      <c r="V1538" s="1" t="str">
        <f t="shared" ref="V1538:V1601" si="223">"里程返程"</f>
        <v>里程返程</v>
      </c>
      <c r="W1538" s="1" t="s">
        <v>29</v>
      </c>
    </row>
    <row r="1539" spans="1:23" x14ac:dyDescent="0.3">
      <c r="A1539" s="1" t="str">
        <f>"59829"</f>
        <v>59829</v>
      </c>
      <c r="B1539" s="1" t="s">
        <v>47</v>
      </c>
      <c r="C1539" s="1" t="s">
        <v>31</v>
      </c>
      <c r="D1539" s="1" t="str">
        <f t="shared" si="222"/>
        <v>9801</v>
      </c>
      <c r="E1539" s="1" t="s">
        <v>25</v>
      </c>
      <c r="F1539" s="1" t="str">
        <f>"422AE7028D880400C834002000000015"</f>
        <v>422AE7028D880400C834002000000015</v>
      </c>
      <c r="G1539" s="1" t="s">
        <v>74</v>
      </c>
      <c r="H1539" s="1" t="str">
        <f t="shared" si="219"/>
        <v>20220926</v>
      </c>
      <c r="I1539" s="1" t="str">
        <f>"172749"</f>
        <v>172749</v>
      </c>
      <c r="J1539" s="1" t="s">
        <v>44</v>
      </c>
      <c r="K1539" s="1" t="s">
        <v>45</v>
      </c>
      <c r="L1539" s="1" t="str">
        <f t="shared" si="220"/>
        <v>20220926</v>
      </c>
      <c r="M1539" s="1" t="str">
        <f>"175411"</f>
        <v>175411</v>
      </c>
      <c r="N1539" s="1" t="s">
        <v>28</v>
      </c>
      <c r="O1539" s="1" t="s">
        <v>28</v>
      </c>
      <c r="P1539" s="1" t="s">
        <v>68</v>
      </c>
      <c r="Q1539" s="1">
        <v>13</v>
      </c>
      <c r="R1539" s="1">
        <v>0</v>
      </c>
      <c r="S1539" s="1">
        <v>0</v>
      </c>
      <c r="T1539" s="1">
        <v>13</v>
      </c>
      <c r="U1539" s="1">
        <v>0</v>
      </c>
      <c r="V1539" s="1" t="str">
        <f t="shared" si="223"/>
        <v>里程返程</v>
      </c>
      <c r="W1539" s="1" t="s">
        <v>29</v>
      </c>
    </row>
    <row r="1540" spans="1:23" x14ac:dyDescent="0.3">
      <c r="A1540" s="1" t="str">
        <f>"59829"</f>
        <v>59829</v>
      </c>
      <c r="B1540" s="1" t="s">
        <v>47</v>
      </c>
      <c r="C1540" s="1" t="s">
        <v>31</v>
      </c>
      <c r="D1540" s="1" t="str">
        <f t="shared" si="222"/>
        <v>9801</v>
      </c>
      <c r="E1540" s="1" t="s">
        <v>25</v>
      </c>
      <c r="F1540" s="1" t="str">
        <f>"7227E702B0880400C834002000000015"</f>
        <v>7227E702B0880400C834002000000015</v>
      </c>
      <c r="G1540" s="1" t="s">
        <v>74</v>
      </c>
      <c r="H1540" s="1" t="str">
        <f t="shared" si="219"/>
        <v>20220926</v>
      </c>
      <c r="I1540" s="1" t="str">
        <f>"173030"</f>
        <v>173030</v>
      </c>
      <c r="J1540" s="1" t="s">
        <v>44</v>
      </c>
      <c r="K1540" s="1" t="s">
        <v>45</v>
      </c>
      <c r="L1540" s="1" t="str">
        <f t="shared" si="220"/>
        <v>20220926</v>
      </c>
      <c r="M1540" s="1" t="str">
        <f>"173932"</f>
        <v>173932</v>
      </c>
      <c r="N1540" s="1" t="s">
        <v>75</v>
      </c>
      <c r="O1540" s="1" t="s">
        <v>45</v>
      </c>
      <c r="P1540" s="1" t="s">
        <v>68</v>
      </c>
      <c r="Q1540" s="1">
        <v>13</v>
      </c>
      <c r="R1540" s="1">
        <v>0</v>
      </c>
      <c r="S1540" s="1">
        <v>0</v>
      </c>
      <c r="T1540" s="1">
        <v>13</v>
      </c>
      <c r="U1540" s="1">
        <v>0</v>
      </c>
      <c r="V1540" s="1" t="str">
        <f t="shared" si="223"/>
        <v>里程返程</v>
      </c>
      <c r="W1540" s="1" t="s">
        <v>29</v>
      </c>
    </row>
    <row r="1541" spans="1:23" x14ac:dyDescent="0.3">
      <c r="A1541" s="1" t="str">
        <f>"59829"</f>
        <v>59829</v>
      </c>
      <c r="B1541" s="1" t="s">
        <v>47</v>
      </c>
      <c r="C1541" s="1" t="s">
        <v>31</v>
      </c>
      <c r="D1541" s="1" t="str">
        <f t="shared" si="222"/>
        <v>9801</v>
      </c>
      <c r="E1541" s="1" t="s">
        <v>25</v>
      </c>
      <c r="F1541" s="1" t="str">
        <f>"D207D10206880400C834002000000015"</f>
        <v>D207D10206880400C834002000000015</v>
      </c>
      <c r="G1541" s="1" t="s">
        <v>74</v>
      </c>
      <c r="H1541" s="1" t="str">
        <f t="shared" si="219"/>
        <v>20220926</v>
      </c>
      <c r="I1541" s="1" t="str">
        <f>"185531"</f>
        <v>185531</v>
      </c>
      <c r="J1541" s="1" t="s">
        <v>28</v>
      </c>
      <c r="K1541" s="1" t="s">
        <v>28</v>
      </c>
      <c r="L1541" s="1" t="str">
        <f t="shared" si="220"/>
        <v>20220926</v>
      </c>
      <c r="M1541" s="1" t="str">
        <f>"191627"</f>
        <v>191627</v>
      </c>
      <c r="N1541" s="1" t="s">
        <v>51</v>
      </c>
      <c r="O1541" s="1" t="s">
        <v>52</v>
      </c>
      <c r="P1541" s="1" t="s">
        <v>68</v>
      </c>
      <c r="Q1541" s="1">
        <v>13</v>
      </c>
      <c r="R1541" s="1">
        <v>0</v>
      </c>
      <c r="S1541" s="1">
        <v>0</v>
      </c>
      <c r="T1541" s="1">
        <v>13</v>
      </c>
      <c r="U1541" s="1">
        <v>0</v>
      </c>
      <c r="V1541" s="1" t="str">
        <f t="shared" si="223"/>
        <v>里程返程</v>
      </c>
      <c r="W1541" s="1" t="s">
        <v>29</v>
      </c>
    </row>
    <row r="1542" spans="1:23" x14ac:dyDescent="0.3">
      <c r="A1542" s="1" t="str">
        <f t="shared" ref="A1542:A1566" si="224">"59822"</f>
        <v>59822</v>
      </c>
      <c r="B1542" s="1" t="s">
        <v>39</v>
      </c>
      <c r="C1542" s="1" t="s">
        <v>40</v>
      </c>
      <c r="D1542" s="1" t="str">
        <f t="shared" si="222"/>
        <v>9801</v>
      </c>
      <c r="E1542" s="1" t="s">
        <v>25</v>
      </c>
      <c r="F1542" s="1" t="str">
        <f>"3592043907"</f>
        <v>3592043907</v>
      </c>
      <c r="G1542" s="1" t="s">
        <v>33</v>
      </c>
      <c r="H1542" s="1" t="str">
        <f t="shared" ref="H1542:H1584" si="225">"20220927"</f>
        <v>20220927</v>
      </c>
      <c r="I1542" s="1" t="str">
        <f>"060118"</f>
        <v>060118</v>
      </c>
      <c r="J1542" s="1" t="s">
        <v>44</v>
      </c>
      <c r="K1542" s="1" t="s">
        <v>45</v>
      </c>
      <c r="L1542" s="1" t="str">
        <f t="shared" ref="L1542:L1584" si="226">"20220927"</f>
        <v>20220927</v>
      </c>
      <c r="M1542" s="1" t="str">
        <f>"062055"</f>
        <v>062055</v>
      </c>
      <c r="N1542" s="1" t="s">
        <v>28</v>
      </c>
      <c r="O1542" s="1" t="s">
        <v>28</v>
      </c>
      <c r="P1542" s="1" t="s">
        <v>55</v>
      </c>
      <c r="Q1542" s="1">
        <v>25</v>
      </c>
      <c r="R1542" s="1">
        <v>25</v>
      </c>
      <c r="S1542" s="1">
        <v>0</v>
      </c>
      <c r="T1542" s="1">
        <v>0</v>
      </c>
      <c r="U1542" s="1">
        <v>0</v>
      </c>
      <c r="V1542" s="1" t="str">
        <f t="shared" si="223"/>
        <v>里程返程</v>
      </c>
      <c r="W1542" s="1" t="s">
        <v>35</v>
      </c>
    </row>
    <row r="1543" spans="1:23" x14ac:dyDescent="0.3">
      <c r="A1543" s="1" t="str">
        <f t="shared" si="224"/>
        <v>59822</v>
      </c>
      <c r="B1543" s="1" t="s">
        <v>39</v>
      </c>
      <c r="C1543" s="1" t="s">
        <v>40</v>
      </c>
      <c r="D1543" s="1" t="str">
        <f t="shared" si="222"/>
        <v>9801</v>
      </c>
      <c r="E1543" s="1" t="s">
        <v>25</v>
      </c>
      <c r="F1543" s="1" t="str">
        <f>"D2EDC500FA880400C801002000000015"</f>
        <v>D2EDC500FA880400C801002000000015</v>
      </c>
      <c r="G1543" s="1" t="s">
        <v>58</v>
      </c>
      <c r="H1543" s="1" t="str">
        <f t="shared" si="225"/>
        <v>20220927</v>
      </c>
      <c r="I1543" s="1" t="str">
        <f>"062319"</f>
        <v>062319</v>
      </c>
      <c r="J1543" s="1" t="s">
        <v>28</v>
      </c>
      <c r="K1543" s="1" t="s">
        <v>28</v>
      </c>
      <c r="L1543" s="1" t="str">
        <f t="shared" si="226"/>
        <v>20220927</v>
      </c>
      <c r="M1543" s="1" t="str">
        <f>"070137"</f>
        <v>070137</v>
      </c>
      <c r="N1543" s="1" t="s">
        <v>52</v>
      </c>
      <c r="O1543" s="1" t="s">
        <v>52</v>
      </c>
      <c r="P1543" s="1" t="s">
        <v>55</v>
      </c>
      <c r="Q1543" s="1">
        <v>25</v>
      </c>
      <c r="R1543" s="1">
        <v>25</v>
      </c>
      <c r="S1543" s="1">
        <v>0</v>
      </c>
      <c r="T1543" s="1">
        <v>0</v>
      </c>
      <c r="U1543" s="1">
        <v>0</v>
      </c>
      <c r="V1543" s="1" t="str">
        <f t="shared" si="223"/>
        <v>里程返程</v>
      </c>
      <c r="W1543" s="1" t="s">
        <v>29</v>
      </c>
    </row>
    <row r="1544" spans="1:23" x14ac:dyDescent="0.3">
      <c r="A1544" s="1" t="str">
        <f t="shared" si="224"/>
        <v>59822</v>
      </c>
      <c r="B1544" s="1" t="s">
        <v>39</v>
      </c>
      <c r="C1544" s="1" t="s">
        <v>40</v>
      </c>
      <c r="D1544" s="1" t="str">
        <f t="shared" si="222"/>
        <v>9801</v>
      </c>
      <c r="E1544" s="1" t="s">
        <v>25</v>
      </c>
      <c r="F1544" s="1" t="str">
        <f>"619F1761882804001C00000000000000"</f>
        <v>619F1761882804001C00000000000000</v>
      </c>
      <c r="G1544" s="1" t="s">
        <v>58</v>
      </c>
      <c r="H1544" s="1" t="str">
        <f t="shared" si="225"/>
        <v>20220927</v>
      </c>
      <c r="I1544" s="1" t="str">
        <f>"062954"</f>
        <v>062954</v>
      </c>
      <c r="J1544" s="1" t="s">
        <v>28</v>
      </c>
      <c r="K1544" s="1" t="s">
        <v>28</v>
      </c>
      <c r="L1544" s="1" t="str">
        <f t="shared" si="226"/>
        <v>20220927</v>
      </c>
      <c r="M1544" s="1" t="str">
        <f>"065355"</f>
        <v>065355</v>
      </c>
      <c r="N1544" s="1" t="s">
        <v>72</v>
      </c>
      <c r="O1544" s="1" t="s">
        <v>52</v>
      </c>
      <c r="P1544" s="1" t="s">
        <v>55</v>
      </c>
      <c r="Q1544" s="1">
        <v>25</v>
      </c>
      <c r="R1544" s="1">
        <v>0</v>
      </c>
      <c r="S1544" s="1">
        <v>25</v>
      </c>
      <c r="T1544" s="1">
        <v>0</v>
      </c>
      <c r="U1544" s="1">
        <v>0</v>
      </c>
      <c r="V1544" s="1" t="str">
        <f t="shared" si="223"/>
        <v>里程返程</v>
      </c>
      <c r="W1544" s="1" t="s">
        <v>29</v>
      </c>
    </row>
    <row r="1545" spans="1:23" x14ac:dyDescent="0.3">
      <c r="A1545" s="1" t="str">
        <f t="shared" si="224"/>
        <v>59822</v>
      </c>
      <c r="B1545" s="1" t="s">
        <v>39</v>
      </c>
      <c r="C1545" s="1" t="s">
        <v>40</v>
      </c>
      <c r="D1545" s="1" t="str">
        <f t="shared" si="222"/>
        <v>9801</v>
      </c>
      <c r="E1545" s="1" t="s">
        <v>25</v>
      </c>
      <c r="F1545" s="1" t="str">
        <f>"D2203818D2880400C819002000000019"</f>
        <v>D2203818D2880400C819002000000019</v>
      </c>
      <c r="G1545" s="1" t="s">
        <v>64</v>
      </c>
      <c r="H1545" s="1" t="str">
        <f t="shared" si="225"/>
        <v>20220927</v>
      </c>
      <c r="I1545" s="1" t="str">
        <f>"063023"</f>
        <v>063023</v>
      </c>
      <c r="J1545" s="1" t="s">
        <v>28</v>
      </c>
      <c r="K1545" s="1" t="s">
        <v>28</v>
      </c>
      <c r="L1545" s="1" t="str">
        <f t="shared" si="226"/>
        <v>20220927</v>
      </c>
      <c r="M1545" s="1" t="str">
        <f>"065517"</f>
        <v>065517</v>
      </c>
      <c r="N1545" s="1" t="s">
        <v>51</v>
      </c>
      <c r="O1545" s="1" t="s">
        <v>52</v>
      </c>
      <c r="P1545" s="1" t="s">
        <v>55</v>
      </c>
      <c r="Q1545" s="1">
        <v>13</v>
      </c>
      <c r="R1545" s="1">
        <v>0</v>
      </c>
      <c r="S1545" s="1">
        <v>13</v>
      </c>
      <c r="T1545" s="1">
        <v>0</v>
      </c>
      <c r="U1545" s="1">
        <v>0</v>
      </c>
      <c r="V1545" s="1" t="str">
        <f t="shared" si="223"/>
        <v>里程返程</v>
      </c>
      <c r="W1545" s="1" t="s">
        <v>29</v>
      </c>
    </row>
    <row r="1546" spans="1:23" x14ac:dyDescent="0.3">
      <c r="A1546" s="1" t="str">
        <f t="shared" si="224"/>
        <v>59822</v>
      </c>
      <c r="B1546" s="1" t="s">
        <v>39</v>
      </c>
      <c r="C1546" s="1" t="s">
        <v>40</v>
      </c>
      <c r="D1546" s="1" t="str">
        <f t="shared" si="222"/>
        <v>9801</v>
      </c>
      <c r="E1546" s="1" t="s">
        <v>25</v>
      </c>
      <c r="F1546" s="1" t="str">
        <f>"026A101860880400C814002000000019"</f>
        <v>026A101860880400C814002000000019</v>
      </c>
      <c r="G1546" s="1" t="s">
        <v>59</v>
      </c>
      <c r="H1546" s="1" t="str">
        <f t="shared" si="225"/>
        <v>20220927</v>
      </c>
      <c r="I1546" s="1" t="str">
        <f>"063321"</f>
        <v>063321</v>
      </c>
      <c r="J1546" s="1" t="s">
        <v>28</v>
      </c>
      <c r="K1546" s="1" t="s">
        <v>28</v>
      </c>
      <c r="L1546" s="1" t="str">
        <f t="shared" si="226"/>
        <v>20220927</v>
      </c>
      <c r="M1546" s="1" t="str">
        <f>"065407"</f>
        <v>065407</v>
      </c>
      <c r="N1546" s="1" t="s">
        <v>72</v>
      </c>
      <c r="O1546" s="1" t="s">
        <v>52</v>
      </c>
      <c r="P1546" s="1" t="s">
        <v>55</v>
      </c>
      <c r="Q1546" s="1">
        <v>25</v>
      </c>
      <c r="R1546" s="1">
        <v>0</v>
      </c>
      <c r="S1546" s="1">
        <v>25</v>
      </c>
      <c r="T1546" s="1">
        <v>0</v>
      </c>
      <c r="U1546" s="1">
        <v>0</v>
      </c>
      <c r="V1546" s="1" t="str">
        <f t="shared" si="223"/>
        <v>里程返程</v>
      </c>
      <c r="W1546" s="1" t="s">
        <v>29</v>
      </c>
    </row>
    <row r="1547" spans="1:23" x14ac:dyDescent="0.3">
      <c r="A1547" s="1" t="str">
        <f t="shared" si="224"/>
        <v>59822</v>
      </c>
      <c r="B1547" s="1" t="s">
        <v>39</v>
      </c>
      <c r="C1547" s="1" t="s">
        <v>40</v>
      </c>
      <c r="D1547" s="1" t="str">
        <f t="shared" si="222"/>
        <v>9801</v>
      </c>
      <c r="E1547" s="1" t="s">
        <v>25</v>
      </c>
      <c r="F1547" s="1" t="str">
        <f>"E2191918FA880400C819002000000019"</f>
        <v>E2191918FA880400C819002000000019</v>
      </c>
      <c r="G1547" s="1" t="s">
        <v>59</v>
      </c>
      <c r="H1547" s="1" t="str">
        <f t="shared" si="225"/>
        <v>20220927</v>
      </c>
      <c r="I1547" s="1" t="str">
        <f>"063324"</f>
        <v>063324</v>
      </c>
      <c r="J1547" s="1" t="s">
        <v>28</v>
      </c>
      <c r="K1547" s="1" t="s">
        <v>28</v>
      </c>
      <c r="L1547" s="1" t="str">
        <f t="shared" si="226"/>
        <v>20220927</v>
      </c>
      <c r="M1547" s="1" t="str">
        <f>"065405"</f>
        <v>065405</v>
      </c>
      <c r="N1547" s="1" t="s">
        <v>72</v>
      </c>
      <c r="O1547" s="1" t="s">
        <v>52</v>
      </c>
      <c r="P1547" s="1" t="s">
        <v>55</v>
      </c>
      <c r="Q1547" s="1">
        <v>25</v>
      </c>
      <c r="R1547" s="1">
        <v>0</v>
      </c>
      <c r="S1547" s="1">
        <v>25</v>
      </c>
      <c r="T1547" s="1">
        <v>0</v>
      </c>
      <c r="U1547" s="1">
        <v>0</v>
      </c>
      <c r="V1547" s="1" t="str">
        <f t="shared" si="223"/>
        <v>里程返程</v>
      </c>
      <c r="W1547" s="1" t="s">
        <v>29</v>
      </c>
    </row>
    <row r="1548" spans="1:23" x14ac:dyDescent="0.3">
      <c r="A1548" s="1" t="str">
        <f t="shared" si="224"/>
        <v>59822</v>
      </c>
      <c r="B1548" s="1" t="s">
        <v>39</v>
      </c>
      <c r="C1548" s="1" t="s">
        <v>40</v>
      </c>
      <c r="D1548" s="1" t="str">
        <f t="shared" si="222"/>
        <v>9801</v>
      </c>
      <c r="E1548" s="1" t="s">
        <v>25</v>
      </c>
      <c r="F1548" s="1" t="str">
        <f>"62F00B1881880400C814002000000019"</f>
        <v>62F00B1881880400C814002000000019</v>
      </c>
      <c r="G1548" s="1" t="s">
        <v>59</v>
      </c>
      <c r="H1548" s="1" t="str">
        <f t="shared" si="225"/>
        <v>20220927</v>
      </c>
      <c r="I1548" s="1" t="str">
        <f>"072146"</f>
        <v>072146</v>
      </c>
      <c r="J1548" s="1" t="s">
        <v>28</v>
      </c>
      <c r="K1548" s="1" t="s">
        <v>28</v>
      </c>
      <c r="L1548" s="1" t="str">
        <f t="shared" si="226"/>
        <v>20220927</v>
      </c>
      <c r="M1548" s="1" t="str">
        <f>"074458"</f>
        <v>074458</v>
      </c>
      <c r="N1548" s="1" t="s">
        <v>72</v>
      </c>
      <c r="O1548" s="1" t="s">
        <v>52</v>
      </c>
      <c r="P1548" s="1" t="s">
        <v>55</v>
      </c>
      <c r="Q1548" s="1">
        <v>25</v>
      </c>
      <c r="R1548" s="1">
        <v>0</v>
      </c>
      <c r="S1548" s="1">
        <v>25</v>
      </c>
      <c r="T1548" s="1">
        <v>0</v>
      </c>
      <c r="U1548" s="1">
        <v>0</v>
      </c>
      <c r="V1548" s="1" t="str">
        <f t="shared" si="223"/>
        <v>里程返程</v>
      </c>
      <c r="W1548" s="1" t="s">
        <v>29</v>
      </c>
    </row>
    <row r="1549" spans="1:23" x14ac:dyDescent="0.3">
      <c r="A1549" s="1" t="str">
        <f t="shared" si="224"/>
        <v>59822</v>
      </c>
      <c r="B1549" s="1" t="s">
        <v>39</v>
      </c>
      <c r="C1549" s="1" t="s">
        <v>40</v>
      </c>
      <c r="D1549" s="1" t="str">
        <f t="shared" si="222"/>
        <v>9801</v>
      </c>
      <c r="E1549" s="1" t="s">
        <v>25</v>
      </c>
      <c r="F1549" s="1" t="str">
        <f>"82730F18E6880400C814002000000019"</f>
        <v>82730F18E6880400C814002000000019</v>
      </c>
      <c r="G1549" s="1" t="s">
        <v>59</v>
      </c>
      <c r="H1549" s="1" t="str">
        <f t="shared" si="225"/>
        <v>20220927</v>
      </c>
      <c r="I1549" s="1" t="str">
        <f>"072149"</f>
        <v>072149</v>
      </c>
      <c r="J1549" s="1" t="s">
        <v>28</v>
      </c>
      <c r="K1549" s="1" t="s">
        <v>28</v>
      </c>
      <c r="L1549" s="1" t="str">
        <f t="shared" si="226"/>
        <v>20220927</v>
      </c>
      <c r="M1549" s="1" t="str">
        <f>"074456"</f>
        <v>074456</v>
      </c>
      <c r="N1549" s="1" t="s">
        <v>72</v>
      </c>
      <c r="O1549" s="1" t="s">
        <v>52</v>
      </c>
      <c r="P1549" s="1" t="s">
        <v>55</v>
      </c>
      <c r="Q1549" s="1">
        <v>25</v>
      </c>
      <c r="R1549" s="1">
        <v>0</v>
      </c>
      <c r="S1549" s="1">
        <v>25</v>
      </c>
      <c r="T1549" s="1">
        <v>0</v>
      </c>
      <c r="U1549" s="1">
        <v>0</v>
      </c>
      <c r="V1549" s="1" t="str">
        <f t="shared" si="223"/>
        <v>里程返程</v>
      </c>
      <c r="W1549" s="1" t="s">
        <v>29</v>
      </c>
    </row>
    <row r="1550" spans="1:23" x14ac:dyDescent="0.3">
      <c r="A1550" s="1" t="str">
        <f t="shared" si="224"/>
        <v>59822</v>
      </c>
      <c r="B1550" s="1" t="s">
        <v>39</v>
      </c>
      <c r="C1550" s="1" t="s">
        <v>40</v>
      </c>
      <c r="D1550" s="1" t="str">
        <f t="shared" si="222"/>
        <v>9801</v>
      </c>
      <c r="E1550" s="1" t="s">
        <v>25</v>
      </c>
      <c r="F1550" s="1" t="str">
        <f>"825D0C18CB880400C814002000000019"</f>
        <v>825D0C18CB880400C814002000000019</v>
      </c>
      <c r="G1550" s="1" t="s">
        <v>59</v>
      </c>
      <c r="H1550" s="1" t="str">
        <f t="shared" si="225"/>
        <v>20220927</v>
      </c>
      <c r="I1550" s="1" t="str">
        <f>"072152"</f>
        <v>072152</v>
      </c>
      <c r="J1550" s="1" t="s">
        <v>28</v>
      </c>
      <c r="K1550" s="1" t="s">
        <v>28</v>
      </c>
      <c r="L1550" s="1" t="str">
        <f t="shared" si="226"/>
        <v>20220927</v>
      </c>
      <c r="M1550" s="1" t="str">
        <f>"075443"</f>
        <v>075443</v>
      </c>
      <c r="N1550" s="1" t="s">
        <v>52</v>
      </c>
      <c r="O1550" s="1" t="s">
        <v>52</v>
      </c>
      <c r="P1550" s="1" t="s">
        <v>55</v>
      </c>
      <c r="Q1550" s="1">
        <v>25</v>
      </c>
      <c r="R1550" s="1">
        <v>0</v>
      </c>
      <c r="S1550" s="1">
        <v>25</v>
      </c>
      <c r="T1550" s="1">
        <v>0</v>
      </c>
      <c r="U1550" s="1">
        <v>0</v>
      </c>
      <c r="V1550" s="1" t="str">
        <f t="shared" si="223"/>
        <v>里程返程</v>
      </c>
      <c r="W1550" s="1" t="s">
        <v>29</v>
      </c>
    </row>
    <row r="1551" spans="1:23" x14ac:dyDescent="0.3">
      <c r="A1551" s="1" t="str">
        <f t="shared" si="224"/>
        <v>59822</v>
      </c>
      <c r="B1551" s="1" t="s">
        <v>39</v>
      </c>
      <c r="C1551" s="1" t="s">
        <v>40</v>
      </c>
      <c r="D1551" s="1" t="str">
        <f t="shared" si="222"/>
        <v>9801</v>
      </c>
      <c r="E1551" s="1" t="s">
        <v>25</v>
      </c>
      <c r="F1551" s="1" t="str">
        <f>"1204061808880400C814002000000019"</f>
        <v>1204061808880400C814002000000019</v>
      </c>
      <c r="G1551" s="1" t="s">
        <v>59</v>
      </c>
      <c r="H1551" s="1" t="str">
        <f t="shared" si="225"/>
        <v>20220927</v>
      </c>
      <c r="I1551" s="1" t="str">
        <f>"072237"</f>
        <v>072237</v>
      </c>
      <c r="J1551" s="1" t="s">
        <v>28</v>
      </c>
      <c r="K1551" s="1" t="s">
        <v>28</v>
      </c>
      <c r="L1551" s="1" t="str">
        <f t="shared" si="226"/>
        <v>20220927</v>
      </c>
      <c r="M1551" s="1" t="str">
        <f>"074502"</f>
        <v>074502</v>
      </c>
      <c r="N1551" s="1" t="s">
        <v>72</v>
      </c>
      <c r="O1551" s="1" t="s">
        <v>52</v>
      </c>
      <c r="P1551" s="1" t="s">
        <v>55</v>
      </c>
      <c r="Q1551" s="1">
        <v>25</v>
      </c>
      <c r="R1551" s="1">
        <v>0</v>
      </c>
      <c r="S1551" s="1">
        <v>25</v>
      </c>
      <c r="T1551" s="1">
        <v>0</v>
      </c>
      <c r="U1551" s="1">
        <v>0</v>
      </c>
      <c r="V1551" s="1" t="str">
        <f t="shared" si="223"/>
        <v>里程返程</v>
      </c>
      <c r="W1551" s="1" t="s">
        <v>29</v>
      </c>
    </row>
    <row r="1552" spans="1:23" x14ac:dyDescent="0.3">
      <c r="A1552" s="1" t="str">
        <f t="shared" si="224"/>
        <v>59822</v>
      </c>
      <c r="B1552" s="1" t="s">
        <v>39</v>
      </c>
      <c r="C1552" s="1" t="s">
        <v>40</v>
      </c>
      <c r="D1552" s="1" t="str">
        <f t="shared" si="222"/>
        <v>9801</v>
      </c>
      <c r="E1552" s="1" t="s">
        <v>25</v>
      </c>
      <c r="F1552" s="1" t="str">
        <f>"1759959808"</f>
        <v>1759959808</v>
      </c>
      <c r="G1552" s="1" t="s">
        <v>33</v>
      </c>
      <c r="H1552" s="1" t="str">
        <f t="shared" si="225"/>
        <v>20220927</v>
      </c>
      <c r="I1552" s="1" t="str">
        <f>"074043"</f>
        <v>074043</v>
      </c>
      <c r="J1552" s="1" t="s">
        <v>80</v>
      </c>
      <c r="K1552" s="1" t="s">
        <v>52</v>
      </c>
      <c r="L1552" s="1" t="str">
        <f t="shared" si="226"/>
        <v>20220927</v>
      </c>
      <c r="M1552" s="1" t="str">
        <f>"075037"</f>
        <v>075037</v>
      </c>
      <c r="N1552" s="1" t="s">
        <v>60</v>
      </c>
      <c r="O1552" s="1" t="s">
        <v>52</v>
      </c>
      <c r="P1552" s="1" t="s">
        <v>55</v>
      </c>
      <c r="Q1552" s="1">
        <v>25</v>
      </c>
      <c r="R1552" s="1">
        <v>25</v>
      </c>
      <c r="S1552" s="1">
        <v>0</v>
      </c>
      <c r="T1552" s="1">
        <v>0</v>
      </c>
      <c r="U1552" s="1">
        <v>0</v>
      </c>
      <c r="V1552" s="1" t="str">
        <f t="shared" si="223"/>
        <v>里程返程</v>
      </c>
      <c r="W1552" s="1" t="s">
        <v>35</v>
      </c>
    </row>
    <row r="1553" spans="1:23" x14ac:dyDescent="0.3">
      <c r="A1553" s="1" t="str">
        <f t="shared" si="224"/>
        <v>59822</v>
      </c>
      <c r="B1553" s="1" t="s">
        <v>39</v>
      </c>
      <c r="C1553" s="1" t="s">
        <v>40</v>
      </c>
      <c r="D1553" s="1" t="str">
        <f t="shared" si="222"/>
        <v>9801</v>
      </c>
      <c r="E1553" s="1" t="s">
        <v>25</v>
      </c>
      <c r="F1553" s="1" t="str">
        <f>"82D5FB02AE880400C834002000000015"</f>
        <v>82D5FB02AE880400C834002000000015</v>
      </c>
      <c r="G1553" s="1" t="s">
        <v>26</v>
      </c>
      <c r="H1553" s="1" t="str">
        <f t="shared" si="225"/>
        <v>20220927</v>
      </c>
      <c r="I1553" s="1" t="str">
        <f>"074839"</f>
        <v>074839</v>
      </c>
      <c r="J1553" s="1" t="s">
        <v>51</v>
      </c>
      <c r="K1553" s="1" t="s">
        <v>52</v>
      </c>
      <c r="L1553" s="1" t="str">
        <f t="shared" si="226"/>
        <v>20220927</v>
      </c>
      <c r="M1553" s="1" t="str">
        <f>"075240"</f>
        <v>075240</v>
      </c>
      <c r="N1553" s="1" t="s">
        <v>86</v>
      </c>
      <c r="O1553" s="1" t="s">
        <v>52</v>
      </c>
      <c r="P1553" s="1" t="s">
        <v>68</v>
      </c>
      <c r="Q1553" s="1">
        <v>13</v>
      </c>
      <c r="R1553" s="1">
        <v>0</v>
      </c>
      <c r="S1553" s="1">
        <v>0</v>
      </c>
      <c r="T1553" s="1">
        <v>13</v>
      </c>
      <c r="U1553" s="1">
        <v>0</v>
      </c>
      <c r="V1553" s="1" t="str">
        <f t="shared" si="223"/>
        <v>里程返程</v>
      </c>
      <c r="W1553" s="1" t="s">
        <v>29</v>
      </c>
    </row>
    <row r="1554" spans="1:23" x14ac:dyDescent="0.3">
      <c r="A1554" s="1" t="str">
        <f t="shared" si="224"/>
        <v>59822</v>
      </c>
      <c r="B1554" s="1" t="s">
        <v>39</v>
      </c>
      <c r="C1554" s="1" t="s">
        <v>40</v>
      </c>
      <c r="D1554" s="1" t="str">
        <f t="shared" si="222"/>
        <v>9801</v>
      </c>
      <c r="E1554" s="1" t="s">
        <v>25</v>
      </c>
      <c r="F1554" s="1" t="str">
        <f>"D2203818D2880400C819002000000019"</f>
        <v>D2203818D2880400C819002000000019</v>
      </c>
      <c r="G1554" s="1" t="s">
        <v>64</v>
      </c>
      <c r="H1554" s="1" t="str">
        <f t="shared" si="225"/>
        <v>20220927</v>
      </c>
      <c r="I1554" s="1" t="str">
        <f>"074909"</f>
        <v>074909</v>
      </c>
      <c r="J1554" s="1" t="s">
        <v>51</v>
      </c>
      <c r="K1554" s="1" t="s">
        <v>52</v>
      </c>
      <c r="L1554" s="1" t="str">
        <f t="shared" si="226"/>
        <v>20220927</v>
      </c>
      <c r="M1554" s="1" t="str">
        <f>"075358"</f>
        <v>075358</v>
      </c>
      <c r="N1554" s="1" t="s">
        <v>52</v>
      </c>
      <c r="O1554" s="1" t="s">
        <v>52</v>
      </c>
      <c r="P1554" s="1" t="s">
        <v>55</v>
      </c>
      <c r="Q1554" s="1">
        <v>13</v>
      </c>
      <c r="R1554" s="1">
        <v>13</v>
      </c>
      <c r="S1554" s="1">
        <v>0</v>
      </c>
      <c r="T1554" s="1">
        <v>0</v>
      </c>
      <c r="U1554" s="1">
        <v>0</v>
      </c>
      <c r="V1554" s="1" t="str">
        <f t="shared" si="223"/>
        <v>里程返程</v>
      </c>
      <c r="W1554" s="1" t="s">
        <v>29</v>
      </c>
    </row>
    <row r="1555" spans="1:23" x14ac:dyDescent="0.3">
      <c r="A1555" s="1" t="str">
        <f t="shared" si="224"/>
        <v>59822</v>
      </c>
      <c r="B1555" s="1" t="s">
        <v>39</v>
      </c>
      <c r="C1555" s="1" t="s">
        <v>40</v>
      </c>
      <c r="D1555" s="1" t="str">
        <f t="shared" si="222"/>
        <v>9801</v>
      </c>
      <c r="E1555" s="1" t="s">
        <v>25</v>
      </c>
      <c r="F1555" s="1" t="str">
        <f>"55D2A79CBC88040043265ABE00170710"</f>
        <v>55D2A79CBC88040043265ABE00170710</v>
      </c>
      <c r="G1555" s="1" t="s">
        <v>64</v>
      </c>
      <c r="H1555" s="1" t="str">
        <f t="shared" si="225"/>
        <v>20220927</v>
      </c>
      <c r="I1555" s="1" t="str">
        <f>"130624"</f>
        <v>130624</v>
      </c>
      <c r="J1555" s="1" t="s">
        <v>67</v>
      </c>
      <c r="K1555" s="1" t="s">
        <v>52</v>
      </c>
      <c r="L1555" s="1" t="str">
        <f t="shared" si="226"/>
        <v>20220927</v>
      </c>
      <c r="M1555" s="1" t="str">
        <f>"132107"</f>
        <v>132107</v>
      </c>
      <c r="N1555" s="1" t="s">
        <v>86</v>
      </c>
      <c r="O1555" s="1" t="s">
        <v>52</v>
      </c>
      <c r="P1555" s="1" t="s">
        <v>55</v>
      </c>
      <c r="Q1555" s="1">
        <v>13</v>
      </c>
      <c r="R1555" s="1">
        <v>13</v>
      </c>
      <c r="S1555" s="1">
        <v>0</v>
      </c>
      <c r="T1555" s="1">
        <v>0</v>
      </c>
      <c r="U1555" s="1">
        <v>0</v>
      </c>
      <c r="V1555" s="1" t="str">
        <f t="shared" si="223"/>
        <v>里程返程</v>
      </c>
      <c r="W1555" s="1" t="s">
        <v>29</v>
      </c>
    </row>
    <row r="1556" spans="1:23" x14ac:dyDescent="0.3">
      <c r="A1556" s="1" t="str">
        <f t="shared" si="224"/>
        <v>59822</v>
      </c>
      <c r="B1556" s="1" t="s">
        <v>39</v>
      </c>
      <c r="C1556" s="1" t="s">
        <v>40</v>
      </c>
      <c r="D1556" s="1" t="str">
        <f t="shared" si="222"/>
        <v>9801</v>
      </c>
      <c r="E1556" s="1" t="s">
        <v>25</v>
      </c>
      <c r="F1556" s="1" t="str">
        <f>"E220D10211880400C834002000000015"</f>
        <v>E220D10211880400C834002000000015</v>
      </c>
      <c r="G1556" s="1" t="s">
        <v>74</v>
      </c>
      <c r="H1556" s="1" t="str">
        <f t="shared" si="225"/>
        <v>20220927</v>
      </c>
      <c r="I1556" s="1" t="str">
        <f>"131314"</f>
        <v>131314</v>
      </c>
      <c r="J1556" s="1" t="s">
        <v>97</v>
      </c>
      <c r="K1556" s="1" t="s">
        <v>52</v>
      </c>
      <c r="L1556" s="1" t="str">
        <f t="shared" si="226"/>
        <v>20220927</v>
      </c>
      <c r="M1556" s="1" t="str">
        <f>"131519"</f>
        <v>131519</v>
      </c>
      <c r="N1556" s="1" t="s">
        <v>65</v>
      </c>
      <c r="O1556" s="1" t="s">
        <v>52</v>
      </c>
      <c r="P1556" s="1" t="s">
        <v>68</v>
      </c>
      <c r="Q1556" s="1">
        <v>13</v>
      </c>
      <c r="R1556" s="1">
        <v>0</v>
      </c>
      <c r="S1556" s="1">
        <v>0</v>
      </c>
      <c r="T1556" s="1">
        <v>13</v>
      </c>
      <c r="U1556" s="1">
        <v>0</v>
      </c>
      <c r="V1556" s="1" t="str">
        <f t="shared" si="223"/>
        <v>里程返程</v>
      </c>
      <c r="W1556" s="1" t="s">
        <v>29</v>
      </c>
    </row>
    <row r="1557" spans="1:23" x14ac:dyDescent="0.3">
      <c r="A1557" s="1" t="str">
        <f t="shared" si="224"/>
        <v>59822</v>
      </c>
      <c r="B1557" s="1" t="s">
        <v>39</v>
      </c>
      <c r="C1557" s="1" t="s">
        <v>40</v>
      </c>
      <c r="D1557" s="1" t="str">
        <f t="shared" si="222"/>
        <v>9801</v>
      </c>
      <c r="E1557" s="1" t="s">
        <v>25</v>
      </c>
      <c r="F1557" s="1" t="str">
        <f>"3907804618"</f>
        <v>3907804618</v>
      </c>
      <c r="G1557" s="1" t="s">
        <v>33</v>
      </c>
      <c r="H1557" s="1" t="str">
        <f t="shared" si="225"/>
        <v>20220927</v>
      </c>
      <c r="I1557" s="1" t="str">
        <f>"145210"</f>
        <v>145210</v>
      </c>
      <c r="J1557" s="1" t="s">
        <v>41</v>
      </c>
      <c r="K1557" s="1" t="s">
        <v>28</v>
      </c>
      <c r="L1557" s="1" t="str">
        <f t="shared" si="226"/>
        <v>20220927</v>
      </c>
      <c r="M1557" s="1" t="str">
        <f>"151752"</f>
        <v>151752</v>
      </c>
      <c r="N1557" s="1" t="s">
        <v>60</v>
      </c>
      <c r="O1557" s="1" t="s">
        <v>52</v>
      </c>
      <c r="P1557" s="1" t="s">
        <v>55</v>
      </c>
      <c r="Q1557" s="1">
        <v>25</v>
      </c>
      <c r="R1557" s="1">
        <v>25</v>
      </c>
      <c r="S1557" s="1">
        <v>0</v>
      </c>
      <c r="T1557" s="1">
        <v>0</v>
      </c>
      <c r="U1557" s="1">
        <v>0</v>
      </c>
      <c r="V1557" s="1" t="str">
        <f t="shared" si="223"/>
        <v>里程返程</v>
      </c>
      <c r="W1557" s="1" t="s">
        <v>35</v>
      </c>
    </row>
    <row r="1558" spans="1:23" x14ac:dyDescent="0.3">
      <c r="A1558" s="1" t="str">
        <f t="shared" si="224"/>
        <v>59822</v>
      </c>
      <c r="B1558" s="1" t="s">
        <v>39</v>
      </c>
      <c r="C1558" s="1" t="s">
        <v>40</v>
      </c>
      <c r="D1558" s="1" t="str">
        <f t="shared" si="222"/>
        <v>9801</v>
      </c>
      <c r="E1558" s="1" t="s">
        <v>25</v>
      </c>
      <c r="F1558" s="1" t="str">
        <f>"A4122553C0280400D200000100000000"</f>
        <v>A4122553C0280400D200000100000000</v>
      </c>
      <c r="G1558" s="1" t="s">
        <v>58</v>
      </c>
      <c r="H1558" s="1" t="str">
        <f t="shared" si="225"/>
        <v>20220927</v>
      </c>
      <c r="I1558" s="1" t="str">
        <f>"155241"</f>
        <v>155241</v>
      </c>
      <c r="J1558" s="1" t="s">
        <v>28</v>
      </c>
      <c r="K1558" s="1" t="s">
        <v>28</v>
      </c>
      <c r="L1558" s="1" t="str">
        <f t="shared" si="226"/>
        <v>20220927</v>
      </c>
      <c r="M1558" s="1" t="str">
        <f>"161626"</f>
        <v>161626</v>
      </c>
      <c r="N1558" s="1" t="s">
        <v>65</v>
      </c>
      <c r="O1558" s="1" t="s">
        <v>52</v>
      </c>
      <c r="P1558" s="1" t="s">
        <v>55</v>
      </c>
      <c r="Q1558" s="1">
        <v>25</v>
      </c>
      <c r="R1558" s="1">
        <v>0</v>
      </c>
      <c r="S1558" s="1">
        <v>25</v>
      </c>
      <c r="T1558" s="1">
        <v>0</v>
      </c>
      <c r="U1558" s="1">
        <v>0</v>
      </c>
      <c r="V1558" s="1" t="str">
        <f t="shared" si="223"/>
        <v>里程返程</v>
      </c>
      <c r="W1558" s="1" t="s">
        <v>29</v>
      </c>
    </row>
    <row r="1559" spans="1:23" x14ac:dyDescent="0.3">
      <c r="A1559" s="1" t="str">
        <f t="shared" si="224"/>
        <v>59822</v>
      </c>
      <c r="B1559" s="1" t="s">
        <v>39</v>
      </c>
      <c r="C1559" s="1" t="s">
        <v>40</v>
      </c>
      <c r="D1559" s="1" t="str">
        <f t="shared" si="222"/>
        <v>9801</v>
      </c>
      <c r="E1559" s="1" t="s">
        <v>25</v>
      </c>
      <c r="F1559" s="1" t="str">
        <f>"F215D20237880400C834002000000015"</f>
        <v>F215D20237880400C834002000000015</v>
      </c>
      <c r="G1559" s="1" t="s">
        <v>26</v>
      </c>
      <c r="H1559" s="1" t="str">
        <f t="shared" si="225"/>
        <v>20220927</v>
      </c>
      <c r="I1559" s="1" t="str">
        <f>"155245"</f>
        <v>155245</v>
      </c>
      <c r="J1559" s="1" t="s">
        <v>28</v>
      </c>
      <c r="K1559" s="1" t="s">
        <v>28</v>
      </c>
      <c r="L1559" s="1" t="str">
        <f t="shared" si="226"/>
        <v>20220927</v>
      </c>
      <c r="M1559" s="1" t="str">
        <f>"162248"</f>
        <v>162248</v>
      </c>
      <c r="N1559" s="1" t="s">
        <v>51</v>
      </c>
      <c r="O1559" s="1" t="s">
        <v>52</v>
      </c>
      <c r="P1559" s="1" t="s">
        <v>68</v>
      </c>
      <c r="Q1559" s="1">
        <v>13</v>
      </c>
      <c r="R1559" s="1">
        <v>0</v>
      </c>
      <c r="S1559" s="1">
        <v>0</v>
      </c>
      <c r="T1559" s="1">
        <v>13</v>
      </c>
      <c r="U1559" s="1">
        <v>0</v>
      </c>
      <c r="V1559" s="1" t="str">
        <f t="shared" si="223"/>
        <v>里程返程</v>
      </c>
      <c r="W1559" s="1" t="s">
        <v>29</v>
      </c>
    </row>
    <row r="1560" spans="1:23" x14ac:dyDescent="0.3">
      <c r="A1560" s="1" t="str">
        <f t="shared" si="224"/>
        <v>59822</v>
      </c>
      <c r="B1560" s="1" t="s">
        <v>39</v>
      </c>
      <c r="C1560" s="1" t="s">
        <v>40</v>
      </c>
      <c r="D1560" s="1" t="str">
        <f t="shared" si="222"/>
        <v>9801</v>
      </c>
      <c r="E1560" s="1" t="s">
        <v>25</v>
      </c>
      <c r="F1560" s="1" t="str">
        <f>"1079982709"</f>
        <v>1079982709</v>
      </c>
      <c r="G1560" s="1" t="s">
        <v>33</v>
      </c>
      <c r="H1560" s="1" t="str">
        <f t="shared" si="225"/>
        <v>20220927</v>
      </c>
      <c r="I1560" s="1" t="str">
        <f>"155412"</f>
        <v>155412</v>
      </c>
      <c r="J1560" s="1" t="s">
        <v>28</v>
      </c>
      <c r="K1560" s="1" t="s">
        <v>28</v>
      </c>
      <c r="L1560" s="1" t="str">
        <f t="shared" si="226"/>
        <v>20220927</v>
      </c>
      <c r="M1560" s="1" t="str">
        <f>"161633"</f>
        <v>161633</v>
      </c>
      <c r="N1560" s="1" t="s">
        <v>65</v>
      </c>
      <c r="O1560" s="1" t="s">
        <v>52</v>
      </c>
      <c r="P1560" s="1" t="s">
        <v>55</v>
      </c>
      <c r="Q1560" s="1">
        <v>25</v>
      </c>
      <c r="R1560" s="1">
        <v>0</v>
      </c>
      <c r="S1560" s="1">
        <v>25</v>
      </c>
      <c r="T1560" s="1">
        <v>0</v>
      </c>
      <c r="U1560" s="1">
        <v>0</v>
      </c>
      <c r="V1560" s="1" t="str">
        <f t="shared" si="223"/>
        <v>里程返程</v>
      </c>
      <c r="W1560" s="1" t="s">
        <v>35</v>
      </c>
    </row>
    <row r="1561" spans="1:23" x14ac:dyDescent="0.3">
      <c r="A1561" s="1" t="str">
        <f t="shared" si="224"/>
        <v>59822</v>
      </c>
      <c r="B1561" s="1" t="s">
        <v>39</v>
      </c>
      <c r="C1561" s="1" t="s">
        <v>40</v>
      </c>
      <c r="D1561" s="1" t="str">
        <f t="shared" si="222"/>
        <v>9801</v>
      </c>
      <c r="E1561" s="1" t="s">
        <v>25</v>
      </c>
      <c r="F1561" s="1" t="str">
        <f>"990368069"</f>
        <v>990368069</v>
      </c>
      <c r="G1561" s="1" t="s">
        <v>26</v>
      </c>
      <c r="H1561" s="1" t="str">
        <f t="shared" si="225"/>
        <v>20220927</v>
      </c>
      <c r="I1561" s="1" t="str">
        <f>"155415"</f>
        <v>155415</v>
      </c>
      <c r="J1561" s="1" t="s">
        <v>28</v>
      </c>
      <c r="K1561" s="1" t="s">
        <v>28</v>
      </c>
      <c r="L1561" s="1" t="str">
        <f t="shared" si="226"/>
        <v>20220927</v>
      </c>
      <c r="M1561" s="1" t="str">
        <f>"161630"</f>
        <v>161630</v>
      </c>
      <c r="N1561" s="1" t="s">
        <v>65</v>
      </c>
      <c r="O1561" s="1" t="s">
        <v>52</v>
      </c>
      <c r="P1561" s="1" t="s">
        <v>55</v>
      </c>
      <c r="Q1561" s="1">
        <v>13</v>
      </c>
      <c r="R1561" s="1">
        <v>0</v>
      </c>
      <c r="S1561" s="1">
        <v>13</v>
      </c>
      <c r="T1561" s="1">
        <v>0</v>
      </c>
      <c r="U1561" s="1">
        <v>0</v>
      </c>
      <c r="V1561" s="1" t="str">
        <f t="shared" si="223"/>
        <v>里程返程</v>
      </c>
      <c r="W1561" s="1" t="s">
        <v>35</v>
      </c>
    </row>
    <row r="1562" spans="1:23" x14ac:dyDescent="0.3">
      <c r="A1562" s="1" t="str">
        <f t="shared" si="224"/>
        <v>59822</v>
      </c>
      <c r="B1562" s="1" t="s">
        <v>39</v>
      </c>
      <c r="C1562" s="1" t="s">
        <v>40</v>
      </c>
      <c r="D1562" s="1" t="str">
        <f t="shared" si="222"/>
        <v>9801</v>
      </c>
      <c r="E1562" s="1" t="s">
        <v>25</v>
      </c>
      <c r="F1562" s="1" t="str">
        <f>"894153189"</f>
        <v>894153189</v>
      </c>
      <c r="G1562" s="1" t="s">
        <v>33</v>
      </c>
      <c r="H1562" s="1" t="str">
        <f t="shared" si="225"/>
        <v>20220927</v>
      </c>
      <c r="I1562" s="1" t="str">
        <f>"164004"</f>
        <v>164004</v>
      </c>
      <c r="J1562" s="1" t="s">
        <v>56</v>
      </c>
      <c r="K1562" s="1" t="s">
        <v>45</v>
      </c>
      <c r="L1562" s="1" t="str">
        <f t="shared" si="226"/>
        <v>20220927</v>
      </c>
      <c r="M1562" s="1" t="str">
        <f>"164948"</f>
        <v>164948</v>
      </c>
      <c r="N1562" s="1" t="s">
        <v>28</v>
      </c>
      <c r="O1562" s="1" t="s">
        <v>28</v>
      </c>
      <c r="P1562" s="1" t="s">
        <v>55</v>
      </c>
      <c r="Q1562" s="1">
        <v>25</v>
      </c>
      <c r="R1562" s="1">
        <v>25</v>
      </c>
      <c r="S1562" s="1">
        <v>0</v>
      </c>
      <c r="T1562" s="1">
        <v>0</v>
      </c>
      <c r="U1562" s="1">
        <v>0</v>
      </c>
      <c r="V1562" s="1" t="str">
        <f t="shared" si="223"/>
        <v>里程返程</v>
      </c>
      <c r="W1562" s="1" t="s">
        <v>35</v>
      </c>
    </row>
    <row r="1563" spans="1:23" x14ac:dyDescent="0.3">
      <c r="A1563" s="1" t="str">
        <f t="shared" si="224"/>
        <v>59822</v>
      </c>
      <c r="B1563" s="1" t="s">
        <v>39</v>
      </c>
      <c r="C1563" s="1" t="s">
        <v>40</v>
      </c>
      <c r="D1563" s="1" t="str">
        <f t="shared" si="222"/>
        <v>9801</v>
      </c>
      <c r="E1563" s="1" t="s">
        <v>25</v>
      </c>
      <c r="F1563" s="1" t="str">
        <f>"42FC4602FA880400C821002000000015"</f>
        <v>42FC4602FA880400C821002000000015</v>
      </c>
      <c r="G1563" s="1" t="s">
        <v>26</v>
      </c>
      <c r="H1563" s="1" t="str">
        <f t="shared" si="225"/>
        <v>20220927</v>
      </c>
      <c r="I1563" s="1" t="str">
        <f>"164018"</f>
        <v>164018</v>
      </c>
      <c r="J1563" s="1" t="s">
        <v>56</v>
      </c>
      <c r="K1563" s="1" t="s">
        <v>45</v>
      </c>
      <c r="L1563" s="1" t="str">
        <f t="shared" si="226"/>
        <v>20220927</v>
      </c>
      <c r="M1563" s="1" t="str">
        <f>"164958"</f>
        <v>164958</v>
      </c>
      <c r="N1563" s="1" t="s">
        <v>28</v>
      </c>
      <c r="O1563" s="1" t="s">
        <v>28</v>
      </c>
      <c r="P1563" s="1" t="s">
        <v>68</v>
      </c>
      <c r="Q1563" s="1">
        <v>13</v>
      </c>
      <c r="R1563" s="1">
        <v>0</v>
      </c>
      <c r="S1563" s="1">
        <v>0</v>
      </c>
      <c r="T1563" s="1">
        <v>13</v>
      </c>
      <c r="U1563" s="1">
        <v>0</v>
      </c>
      <c r="V1563" s="1" t="str">
        <f t="shared" si="223"/>
        <v>里程返程</v>
      </c>
      <c r="W1563" s="1" t="s">
        <v>29</v>
      </c>
    </row>
    <row r="1564" spans="1:23" x14ac:dyDescent="0.3">
      <c r="A1564" s="1" t="str">
        <f t="shared" si="224"/>
        <v>59822</v>
      </c>
      <c r="B1564" s="1" t="s">
        <v>39</v>
      </c>
      <c r="C1564" s="1" t="s">
        <v>40</v>
      </c>
      <c r="D1564" s="1" t="str">
        <f t="shared" si="222"/>
        <v>9801</v>
      </c>
      <c r="E1564" s="1" t="s">
        <v>25</v>
      </c>
      <c r="F1564" s="1" t="str">
        <f>"E293E60295880400C834002000000015"</f>
        <v>E293E60295880400C834002000000015</v>
      </c>
      <c r="G1564" s="1" t="s">
        <v>74</v>
      </c>
      <c r="H1564" s="1" t="str">
        <f t="shared" si="225"/>
        <v>20220927</v>
      </c>
      <c r="I1564" s="1" t="str">
        <f>"171222"</f>
        <v>171222</v>
      </c>
      <c r="J1564" s="1" t="s">
        <v>80</v>
      </c>
      <c r="K1564" s="1" t="s">
        <v>52</v>
      </c>
      <c r="L1564" s="1" t="str">
        <f t="shared" si="226"/>
        <v>20220927</v>
      </c>
      <c r="M1564" s="1" t="str">
        <f>"171449"</f>
        <v>171449</v>
      </c>
      <c r="N1564" s="1" t="s">
        <v>65</v>
      </c>
      <c r="O1564" s="1" t="s">
        <v>52</v>
      </c>
      <c r="P1564" s="1" t="s">
        <v>68</v>
      </c>
      <c r="Q1564" s="1">
        <v>13</v>
      </c>
      <c r="R1564" s="1">
        <v>0</v>
      </c>
      <c r="S1564" s="1">
        <v>0</v>
      </c>
      <c r="T1564" s="1">
        <v>13</v>
      </c>
      <c r="U1564" s="1">
        <v>0</v>
      </c>
      <c r="V1564" s="1" t="str">
        <f t="shared" si="223"/>
        <v>里程返程</v>
      </c>
      <c r="W1564" s="1" t="s">
        <v>29</v>
      </c>
    </row>
    <row r="1565" spans="1:23" x14ac:dyDescent="0.3">
      <c r="A1565" s="1" t="str">
        <f t="shared" si="224"/>
        <v>59822</v>
      </c>
      <c r="B1565" s="1" t="s">
        <v>39</v>
      </c>
      <c r="C1565" s="1" t="s">
        <v>40</v>
      </c>
      <c r="D1565" s="1" t="str">
        <f t="shared" si="222"/>
        <v>9801</v>
      </c>
      <c r="E1565" s="1" t="s">
        <v>25</v>
      </c>
      <c r="F1565" s="1" t="str">
        <f>"C2C219031A880400C834002000000015"</f>
        <v>C2C219031A880400C834002000000015</v>
      </c>
      <c r="G1565" s="1" t="s">
        <v>74</v>
      </c>
      <c r="H1565" s="1" t="str">
        <f t="shared" si="225"/>
        <v>20220927</v>
      </c>
      <c r="I1565" s="1" t="str">
        <f>"171226"</f>
        <v>171226</v>
      </c>
      <c r="J1565" s="1" t="s">
        <v>80</v>
      </c>
      <c r="K1565" s="1" t="s">
        <v>52</v>
      </c>
      <c r="L1565" s="1" t="str">
        <f t="shared" si="226"/>
        <v>20220927</v>
      </c>
      <c r="M1565" s="1" t="str">
        <f>"171447"</f>
        <v>171447</v>
      </c>
      <c r="N1565" s="1" t="s">
        <v>65</v>
      </c>
      <c r="O1565" s="1" t="s">
        <v>52</v>
      </c>
      <c r="P1565" s="1" t="s">
        <v>68</v>
      </c>
      <c r="Q1565" s="1">
        <v>13</v>
      </c>
      <c r="R1565" s="1">
        <v>0</v>
      </c>
      <c r="S1565" s="1">
        <v>0</v>
      </c>
      <c r="T1565" s="1">
        <v>13</v>
      </c>
      <c r="U1565" s="1">
        <v>0</v>
      </c>
      <c r="V1565" s="1" t="str">
        <f t="shared" si="223"/>
        <v>里程返程</v>
      </c>
      <c r="W1565" s="1" t="s">
        <v>29</v>
      </c>
    </row>
    <row r="1566" spans="1:23" x14ac:dyDescent="0.3">
      <c r="A1566" s="1" t="str">
        <f t="shared" si="224"/>
        <v>59822</v>
      </c>
      <c r="B1566" s="1" t="s">
        <v>39</v>
      </c>
      <c r="C1566" s="1" t="s">
        <v>40</v>
      </c>
      <c r="D1566" s="1" t="str">
        <f t="shared" si="222"/>
        <v>9801</v>
      </c>
      <c r="E1566" s="1" t="s">
        <v>25</v>
      </c>
      <c r="F1566" s="1" t="str">
        <f>"278534608"</f>
        <v>278534608</v>
      </c>
      <c r="G1566" s="1" t="s">
        <v>33</v>
      </c>
      <c r="H1566" s="1" t="str">
        <f t="shared" si="225"/>
        <v>20220927</v>
      </c>
      <c r="I1566" s="1" t="str">
        <f>"172310"</f>
        <v>172310</v>
      </c>
      <c r="J1566" s="1" t="s">
        <v>60</v>
      </c>
      <c r="K1566" s="1" t="s">
        <v>52</v>
      </c>
      <c r="L1566" s="1" t="str">
        <f t="shared" si="226"/>
        <v>20220927</v>
      </c>
      <c r="M1566" s="1" t="str">
        <f>"172633"</f>
        <v>172633</v>
      </c>
      <c r="N1566" s="1" t="s">
        <v>52</v>
      </c>
      <c r="O1566" s="1" t="s">
        <v>52</v>
      </c>
      <c r="P1566" s="1" t="s">
        <v>55</v>
      </c>
      <c r="Q1566" s="1">
        <v>25</v>
      </c>
      <c r="R1566" s="1">
        <v>25</v>
      </c>
      <c r="S1566" s="1">
        <v>0</v>
      </c>
      <c r="T1566" s="1">
        <v>0</v>
      </c>
      <c r="U1566" s="1">
        <v>0</v>
      </c>
      <c r="V1566" s="1" t="str">
        <f t="shared" si="223"/>
        <v>里程返程</v>
      </c>
      <c r="W1566" s="1" t="s">
        <v>35</v>
      </c>
    </row>
    <row r="1567" spans="1:23" x14ac:dyDescent="0.3">
      <c r="A1567" s="1" t="str">
        <f t="shared" ref="A1567:A1578" si="227">"59825"</f>
        <v>59825</v>
      </c>
      <c r="B1567" s="1" t="s">
        <v>30</v>
      </c>
      <c r="C1567" s="1" t="s">
        <v>31</v>
      </c>
      <c r="D1567" s="1" t="str">
        <f t="shared" si="222"/>
        <v>9801</v>
      </c>
      <c r="E1567" s="1" t="s">
        <v>25</v>
      </c>
      <c r="F1567" s="1" t="str">
        <f>"F29BD102BA880400C834002000000015"</f>
        <v>F29BD102BA880400C834002000000015</v>
      </c>
      <c r="G1567" s="1" t="s">
        <v>26</v>
      </c>
      <c r="H1567" s="1" t="str">
        <f t="shared" si="225"/>
        <v>20220927</v>
      </c>
      <c r="I1567" s="1" t="str">
        <f>"083215"</f>
        <v>083215</v>
      </c>
      <c r="J1567" s="1" t="s">
        <v>44</v>
      </c>
      <c r="K1567" s="1" t="s">
        <v>45</v>
      </c>
      <c r="L1567" s="1" t="str">
        <f t="shared" si="226"/>
        <v>20220927</v>
      </c>
      <c r="M1567" s="1" t="str">
        <f>"085405"</f>
        <v>085405</v>
      </c>
      <c r="N1567" s="1" t="s">
        <v>28</v>
      </c>
      <c r="O1567" s="1" t="s">
        <v>28</v>
      </c>
      <c r="P1567" s="1" t="s">
        <v>68</v>
      </c>
      <c r="Q1567" s="1">
        <v>13</v>
      </c>
      <c r="R1567" s="1">
        <v>0</v>
      </c>
      <c r="S1567" s="1">
        <v>0</v>
      </c>
      <c r="T1567" s="1">
        <v>13</v>
      </c>
      <c r="U1567" s="1">
        <v>0</v>
      </c>
      <c r="V1567" s="1" t="str">
        <f t="shared" si="223"/>
        <v>里程返程</v>
      </c>
      <c r="W1567" s="1" t="s">
        <v>29</v>
      </c>
    </row>
    <row r="1568" spans="1:23" x14ac:dyDescent="0.3">
      <c r="A1568" s="1" t="str">
        <f t="shared" si="227"/>
        <v>59825</v>
      </c>
      <c r="B1568" s="1" t="s">
        <v>30</v>
      </c>
      <c r="C1568" s="1" t="s">
        <v>31</v>
      </c>
      <c r="D1568" s="1" t="str">
        <f t="shared" si="222"/>
        <v>9801</v>
      </c>
      <c r="E1568" s="1" t="s">
        <v>25</v>
      </c>
      <c r="F1568" s="1" t="str">
        <f>"03A6A9454988040048B994D749703809"</f>
        <v>03A6A9454988040048B994D749703809</v>
      </c>
      <c r="G1568" s="1" t="s">
        <v>64</v>
      </c>
      <c r="H1568" s="1" t="str">
        <f t="shared" si="225"/>
        <v>20220927</v>
      </c>
      <c r="I1568" s="1" t="str">
        <f>"085435"</f>
        <v>085435</v>
      </c>
      <c r="J1568" s="1" t="s">
        <v>28</v>
      </c>
      <c r="K1568" s="1" t="s">
        <v>28</v>
      </c>
      <c r="L1568" s="1" t="str">
        <f t="shared" si="226"/>
        <v>20220927</v>
      </c>
      <c r="M1568" s="1" t="str">
        <f>"090625"</f>
        <v>090625</v>
      </c>
      <c r="N1568" s="1" t="s">
        <v>78</v>
      </c>
      <c r="O1568" s="1" t="s">
        <v>52</v>
      </c>
      <c r="P1568" s="1" t="s">
        <v>55</v>
      </c>
      <c r="Q1568" s="1">
        <v>13</v>
      </c>
      <c r="R1568" s="1">
        <v>13</v>
      </c>
      <c r="S1568" s="1">
        <v>0</v>
      </c>
      <c r="T1568" s="1">
        <v>0</v>
      </c>
      <c r="U1568" s="1">
        <v>0</v>
      </c>
      <c r="V1568" s="1" t="str">
        <f t="shared" si="223"/>
        <v>里程返程</v>
      </c>
      <c r="W1568" s="1" t="s">
        <v>29</v>
      </c>
    </row>
    <row r="1569" spans="1:23" x14ac:dyDescent="0.3">
      <c r="A1569" s="1" t="str">
        <f t="shared" si="227"/>
        <v>59825</v>
      </c>
      <c r="B1569" s="1" t="s">
        <v>30</v>
      </c>
      <c r="C1569" s="1" t="s">
        <v>31</v>
      </c>
      <c r="D1569" s="1" t="str">
        <f t="shared" si="222"/>
        <v>9801</v>
      </c>
      <c r="E1569" s="1" t="s">
        <v>25</v>
      </c>
      <c r="F1569" s="1" t="str">
        <f>"F2C64D0E77880400C806002000000018"</f>
        <v>F2C64D0E77880400C806002000000018</v>
      </c>
      <c r="G1569" s="1" t="s">
        <v>58</v>
      </c>
      <c r="H1569" s="1" t="str">
        <f t="shared" si="225"/>
        <v>20220927</v>
      </c>
      <c r="I1569" s="1" t="str">
        <f>"095319"</f>
        <v>095319</v>
      </c>
      <c r="J1569" s="1" t="s">
        <v>28</v>
      </c>
      <c r="K1569" s="1" t="s">
        <v>28</v>
      </c>
      <c r="L1569" s="1" t="str">
        <f t="shared" si="226"/>
        <v>20220927</v>
      </c>
      <c r="M1569" s="1" t="str">
        <f>"101103"</f>
        <v>101103</v>
      </c>
      <c r="N1569" s="1" t="s">
        <v>80</v>
      </c>
      <c r="O1569" s="1" t="s">
        <v>52</v>
      </c>
      <c r="P1569" s="1" t="s">
        <v>55</v>
      </c>
      <c r="Q1569" s="1">
        <v>25</v>
      </c>
      <c r="R1569" s="1">
        <v>25</v>
      </c>
      <c r="S1569" s="1">
        <v>0</v>
      </c>
      <c r="T1569" s="1">
        <v>0</v>
      </c>
      <c r="U1569" s="1">
        <v>0</v>
      </c>
      <c r="V1569" s="1" t="str">
        <f t="shared" si="223"/>
        <v>里程返程</v>
      </c>
      <c r="W1569" s="1" t="s">
        <v>29</v>
      </c>
    </row>
    <row r="1570" spans="1:23" x14ac:dyDescent="0.3">
      <c r="A1570" s="1" t="str">
        <f t="shared" si="227"/>
        <v>59825</v>
      </c>
      <c r="B1570" s="1" t="s">
        <v>30</v>
      </c>
      <c r="C1570" s="1" t="s">
        <v>31</v>
      </c>
      <c r="D1570" s="1" t="str">
        <f t="shared" si="222"/>
        <v>9801</v>
      </c>
      <c r="E1570" s="1" t="s">
        <v>25</v>
      </c>
      <c r="F1570" s="1" t="str">
        <f>"1664180097"</f>
        <v>1664180097</v>
      </c>
      <c r="G1570" s="1" t="s">
        <v>33</v>
      </c>
      <c r="H1570" s="1" t="str">
        <f t="shared" si="225"/>
        <v>20220927</v>
      </c>
      <c r="I1570" s="1" t="str">
        <f>"095344"</f>
        <v>095344</v>
      </c>
      <c r="J1570" s="1" t="s">
        <v>28</v>
      </c>
      <c r="K1570" s="1" t="s">
        <v>28</v>
      </c>
      <c r="L1570" s="1" t="str">
        <f t="shared" si="226"/>
        <v>20220927</v>
      </c>
      <c r="M1570" s="1" t="str">
        <f>"101222"</f>
        <v>101222</v>
      </c>
      <c r="N1570" s="1" t="s">
        <v>97</v>
      </c>
      <c r="O1570" s="1" t="s">
        <v>52</v>
      </c>
      <c r="P1570" s="1" t="s">
        <v>55</v>
      </c>
      <c r="Q1570" s="1">
        <v>25</v>
      </c>
      <c r="R1570" s="1">
        <v>25</v>
      </c>
      <c r="S1570" s="1">
        <v>0</v>
      </c>
      <c r="T1570" s="1">
        <v>0</v>
      </c>
      <c r="U1570" s="1">
        <v>0</v>
      </c>
      <c r="V1570" s="1" t="str">
        <f t="shared" si="223"/>
        <v>里程返程</v>
      </c>
      <c r="W1570" s="1" t="s">
        <v>35</v>
      </c>
    </row>
    <row r="1571" spans="1:23" x14ac:dyDescent="0.3">
      <c r="A1571" s="1" t="str">
        <f t="shared" si="227"/>
        <v>59825</v>
      </c>
      <c r="B1571" s="1" t="s">
        <v>30</v>
      </c>
      <c r="C1571" s="1" t="s">
        <v>31</v>
      </c>
      <c r="D1571" s="1" t="str">
        <f t="shared" si="222"/>
        <v>9801</v>
      </c>
      <c r="E1571" s="1" t="s">
        <v>25</v>
      </c>
      <c r="F1571" s="1" t="str">
        <f>"3590070259"</f>
        <v>3590070259</v>
      </c>
      <c r="G1571" s="1" t="s">
        <v>33</v>
      </c>
      <c r="H1571" s="1" t="str">
        <f t="shared" si="225"/>
        <v>20220927</v>
      </c>
      <c r="I1571" s="1" t="str">
        <f>"095419"</f>
        <v>095419</v>
      </c>
      <c r="J1571" s="1" t="s">
        <v>28</v>
      </c>
      <c r="K1571" s="1" t="s">
        <v>28</v>
      </c>
      <c r="L1571" s="1" t="str">
        <f t="shared" si="226"/>
        <v>20220927</v>
      </c>
      <c r="M1571" s="1" t="str">
        <f>"102409"</f>
        <v>102409</v>
      </c>
      <c r="N1571" s="1" t="s">
        <v>52</v>
      </c>
      <c r="O1571" s="1" t="s">
        <v>52</v>
      </c>
      <c r="P1571" s="1" t="s">
        <v>55</v>
      </c>
      <c r="Q1571" s="1">
        <v>25</v>
      </c>
      <c r="R1571" s="1">
        <v>25</v>
      </c>
      <c r="S1571" s="1">
        <v>0</v>
      </c>
      <c r="T1571" s="1">
        <v>0</v>
      </c>
      <c r="U1571" s="1">
        <v>0</v>
      </c>
      <c r="V1571" s="1" t="str">
        <f t="shared" si="223"/>
        <v>里程返程</v>
      </c>
      <c r="W1571" s="1" t="s">
        <v>35</v>
      </c>
    </row>
    <row r="1572" spans="1:23" x14ac:dyDescent="0.3">
      <c r="A1572" s="1" t="str">
        <f t="shared" si="227"/>
        <v>59825</v>
      </c>
      <c r="B1572" s="1" t="s">
        <v>30</v>
      </c>
      <c r="C1572" s="1" t="s">
        <v>31</v>
      </c>
      <c r="D1572" s="1" t="str">
        <f t="shared" si="222"/>
        <v>9801</v>
      </c>
      <c r="E1572" s="1" t="s">
        <v>25</v>
      </c>
      <c r="F1572" s="1" t="str">
        <f>"310498817"</f>
        <v>310498817</v>
      </c>
      <c r="G1572" s="1" t="s">
        <v>74</v>
      </c>
      <c r="H1572" s="1" t="str">
        <f t="shared" si="225"/>
        <v>20220927</v>
      </c>
      <c r="I1572" s="1" t="str">
        <f>"102009"</f>
        <v>102009</v>
      </c>
      <c r="J1572" s="1" t="s">
        <v>60</v>
      </c>
      <c r="K1572" s="1" t="s">
        <v>52</v>
      </c>
      <c r="L1572" s="1" t="str">
        <f t="shared" si="226"/>
        <v>20220927</v>
      </c>
      <c r="M1572" s="1" t="str">
        <f>"102403"</f>
        <v>102403</v>
      </c>
      <c r="N1572" s="1" t="s">
        <v>52</v>
      </c>
      <c r="O1572" s="1" t="s">
        <v>52</v>
      </c>
      <c r="P1572" s="1" t="s">
        <v>55</v>
      </c>
      <c r="Q1572" s="1">
        <v>13</v>
      </c>
      <c r="R1572" s="1">
        <v>13</v>
      </c>
      <c r="S1572" s="1">
        <v>0</v>
      </c>
      <c r="T1572" s="1">
        <v>0</v>
      </c>
      <c r="U1572" s="1">
        <v>0</v>
      </c>
      <c r="V1572" s="1" t="str">
        <f t="shared" si="223"/>
        <v>里程返程</v>
      </c>
      <c r="W1572" s="1" t="s">
        <v>35</v>
      </c>
    </row>
    <row r="1573" spans="1:23" x14ac:dyDescent="0.3">
      <c r="A1573" s="1" t="str">
        <f t="shared" si="227"/>
        <v>59825</v>
      </c>
      <c r="B1573" s="1" t="s">
        <v>30</v>
      </c>
      <c r="C1573" s="1" t="s">
        <v>31</v>
      </c>
      <c r="D1573" s="1" t="str">
        <f t="shared" si="222"/>
        <v>9801</v>
      </c>
      <c r="E1573" s="1" t="s">
        <v>25</v>
      </c>
      <c r="F1573" s="1" t="str">
        <f>"F25B1B03B1880400C834002000000015"</f>
        <v>F25B1B03B1880400C834002000000015</v>
      </c>
      <c r="G1573" s="1" t="s">
        <v>26</v>
      </c>
      <c r="H1573" s="1" t="str">
        <f t="shared" si="225"/>
        <v>20220927</v>
      </c>
      <c r="I1573" s="1" t="str">
        <f>"105539"</f>
        <v>105539</v>
      </c>
      <c r="J1573" s="1" t="s">
        <v>28</v>
      </c>
      <c r="K1573" s="1" t="s">
        <v>28</v>
      </c>
      <c r="L1573" s="1" t="str">
        <f t="shared" si="226"/>
        <v>20220927</v>
      </c>
      <c r="M1573" s="1" t="str">
        <f>"111953"</f>
        <v>111953</v>
      </c>
      <c r="N1573" s="1" t="s">
        <v>60</v>
      </c>
      <c r="O1573" s="1" t="s">
        <v>52</v>
      </c>
      <c r="P1573" s="1" t="s">
        <v>68</v>
      </c>
      <c r="Q1573" s="1">
        <v>13</v>
      </c>
      <c r="R1573" s="1">
        <v>0</v>
      </c>
      <c r="S1573" s="1">
        <v>0</v>
      </c>
      <c r="T1573" s="1">
        <v>13</v>
      </c>
      <c r="U1573" s="1">
        <v>0</v>
      </c>
      <c r="V1573" s="1" t="str">
        <f t="shared" si="223"/>
        <v>里程返程</v>
      </c>
      <c r="W1573" s="1" t="s">
        <v>29</v>
      </c>
    </row>
    <row r="1574" spans="1:23" x14ac:dyDescent="0.3">
      <c r="A1574" s="1" t="str">
        <f t="shared" si="227"/>
        <v>59825</v>
      </c>
      <c r="B1574" s="1" t="s">
        <v>30</v>
      </c>
      <c r="C1574" s="1" t="s">
        <v>31</v>
      </c>
      <c r="D1574" s="1" t="str">
        <f t="shared" si="222"/>
        <v>9801</v>
      </c>
      <c r="E1574" s="1" t="s">
        <v>25</v>
      </c>
      <c r="F1574" s="1" t="str">
        <f>"22F5470292880400C821002000000015"</f>
        <v>22F5470292880400C821002000000015</v>
      </c>
      <c r="G1574" s="1" t="s">
        <v>26</v>
      </c>
      <c r="H1574" s="1" t="str">
        <f t="shared" si="225"/>
        <v>20220927</v>
      </c>
      <c r="I1574" s="1" t="str">
        <f>"115346"</f>
        <v>115346</v>
      </c>
      <c r="J1574" s="1" t="s">
        <v>28</v>
      </c>
      <c r="K1574" s="1" t="s">
        <v>28</v>
      </c>
      <c r="L1574" s="1" t="str">
        <f t="shared" si="226"/>
        <v>20220927</v>
      </c>
      <c r="M1574" s="1" t="str">
        <f>"120806"</f>
        <v>120806</v>
      </c>
      <c r="N1574" s="1" t="s">
        <v>77</v>
      </c>
      <c r="O1574" s="1" t="s">
        <v>52</v>
      </c>
      <c r="P1574" s="1" t="s">
        <v>68</v>
      </c>
      <c r="Q1574" s="1">
        <v>13</v>
      </c>
      <c r="R1574" s="1">
        <v>0</v>
      </c>
      <c r="S1574" s="1">
        <v>0</v>
      </c>
      <c r="T1574" s="1">
        <v>13</v>
      </c>
      <c r="U1574" s="1">
        <v>0</v>
      </c>
      <c r="V1574" s="1" t="str">
        <f t="shared" si="223"/>
        <v>里程返程</v>
      </c>
      <c r="W1574" s="1" t="s">
        <v>29</v>
      </c>
    </row>
    <row r="1575" spans="1:23" x14ac:dyDescent="0.3">
      <c r="A1575" s="1" t="str">
        <f t="shared" si="227"/>
        <v>59825</v>
      </c>
      <c r="B1575" s="1" t="s">
        <v>30</v>
      </c>
      <c r="C1575" s="1" t="s">
        <v>31</v>
      </c>
      <c r="D1575" s="1" t="str">
        <f t="shared" si="222"/>
        <v>9801</v>
      </c>
      <c r="E1575" s="1" t="s">
        <v>25</v>
      </c>
      <c r="F1575" s="1" t="str">
        <f>"62BADF1B1C880400C822002000000021"</f>
        <v>62BADF1B1C880400C822002000000021</v>
      </c>
      <c r="G1575" s="1" t="s">
        <v>58</v>
      </c>
      <c r="H1575" s="1" t="str">
        <f t="shared" si="225"/>
        <v>20220927</v>
      </c>
      <c r="I1575" s="1" t="str">
        <f>"115353"</f>
        <v>115353</v>
      </c>
      <c r="J1575" s="1" t="s">
        <v>28</v>
      </c>
      <c r="K1575" s="1" t="s">
        <v>28</v>
      </c>
      <c r="L1575" s="1" t="str">
        <f t="shared" si="226"/>
        <v>20220927</v>
      </c>
      <c r="M1575" s="1" t="str">
        <f>"122105"</f>
        <v>122105</v>
      </c>
      <c r="N1575" s="1" t="s">
        <v>52</v>
      </c>
      <c r="O1575" s="1" t="s">
        <v>52</v>
      </c>
      <c r="P1575" s="1" t="s">
        <v>55</v>
      </c>
      <c r="Q1575" s="1">
        <v>25</v>
      </c>
      <c r="R1575" s="1">
        <v>25</v>
      </c>
      <c r="S1575" s="1">
        <v>0</v>
      </c>
      <c r="T1575" s="1">
        <v>0</v>
      </c>
      <c r="U1575" s="1">
        <v>0</v>
      </c>
      <c r="V1575" s="1" t="str">
        <f t="shared" si="223"/>
        <v>里程返程</v>
      </c>
      <c r="W1575" s="1" t="s">
        <v>29</v>
      </c>
    </row>
    <row r="1576" spans="1:23" x14ac:dyDescent="0.3">
      <c r="A1576" s="1" t="str">
        <f t="shared" si="227"/>
        <v>59825</v>
      </c>
      <c r="B1576" s="1" t="s">
        <v>30</v>
      </c>
      <c r="C1576" s="1" t="s">
        <v>31</v>
      </c>
      <c r="D1576" s="1" t="str">
        <f t="shared" si="222"/>
        <v>9801</v>
      </c>
      <c r="E1576" s="1" t="s">
        <v>25</v>
      </c>
      <c r="F1576" s="1" t="str">
        <f>"F2C64D0E77880400C806002000000018"</f>
        <v>F2C64D0E77880400C806002000000018</v>
      </c>
      <c r="G1576" s="1" t="s">
        <v>58</v>
      </c>
      <c r="H1576" s="1" t="str">
        <f t="shared" si="225"/>
        <v>20220927</v>
      </c>
      <c r="I1576" s="1" t="str">
        <f>"120930"</f>
        <v>120930</v>
      </c>
      <c r="J1576" s="1" t="s">
        <v>80</v>
      </c>
      <c r="K1576" s="1" t="s">
        <v>52</v>
      </c>
      <c r="L1576" s="1" t="str">
        <f t="shared" si="226"/>
        <v>20220927</v>
      </c>
      <c r="M1576" s="1" t="str">
        <f>"121628"</f>
        <v>121628</v>
      </c>
      <c r="N1576" s="1" t="s">
        <v>60</v>
      </c>
      <c r="O1576" s="1" t="s">
        <v>52</v>
      </c>
      <c r="P1576" s="1" t="s">
        <v>55</v>
      </c>
      <c r="Q1576" s="1">
        <v>25</v>
      </c>
      <c r="R1576" s="1">
        <v>25</v>
      </c>
      <c r="S1576" s="1">
        <v>0</v>
      </c>
      <c r="T1576" s="1">
        <v>0</v>
      </c>
      <c r="U1576" s="1">
        <v>0</v>
      </c>
      <c r="V1576" s="1" t="str">
        <f t="shared" si="223"/>
        <v>里程返程</v>
      </c>
      <c r="W1576" s="1" t="s">
        <v>29</v>
      </c>
    </row>
    <row r="1577" spans="1:23" x14ac:dyDescent="0.3">
      <c r="A1577" s="1" t="str">
        <f t="shared" si="227"/>
        <v>59825</v>
      </c>
      <c r="B1577" s="1" t="s">
        <v>30</v>
      </c>
      <c r="C1577" s="1" t="s">
        <v>31</v>
      </c>
      <c r="D1577" s="1" t="str">
        <f t="shared" si="222"/>
        <v>9801</v>
      </c>
      <c r="E1577" s="1" t="s">
        <v>25</v>
      </c>
      <c r="F1577" s="1" t="str">
        <f>"A2F71B034D880400C834002000000015"</f>
        <v>A2F71B034D880400C834002000000015</v>
      </c>
      <c r="G1577" s="1" t="s">
        <v>26</v>
      </c>
      <c r="H1577" s="1" t="str">
        <f t="shared" si="225"/>
        <v>20220927</v>
      </c>
      <c r="I1577" s="1" t="str">
        <f>"121643"</f>
        <v>121643</v>
      </c>
      <c r="J1577" s="1" t="s">
        <v>60</v>
      </c>
      <c r="K1577" s="1" t="s">
        <v>52</v>
      </c>
      <c r="L1577" s="1" t="str">
        <f t="shared" si="226"/>
        <v>20220927</v>
      </c>
      <c r="M1577" s="1" t="str">
        <f>"122102"</f>
        <v>122102</v>
      </c>
      <c r="N1577" s="1" t="s">
        <v>52</v>
      </c>
      <c r="O1577" s="1" t="s">
        <v>52</v>
      </c>
      <c r="P1577" s="1" t="s">
        <v>68</v>
      </c>
      <c r="Q1577" s="1">
        <v>13</v>
      </c>
      <c r="R1577" s="1">
        <v>0</v>
      </c>
      <c r="S1577" s="1">
        <v>0</v>
      </c>
      <c r="T1577" s="1">
        <v>13</v>
      </c>
      <c r="U1577" s="1">
        <v>0</v>
      </c>
      <c r="V1577" s="1" t="str">
        <f t="shared" si="223"/>
        <v>里程返程</v>
      </c>
      <c r="W1577" s="1" t="s">
        <v>29</v>
      </c>
    </row>
    <row r="1578" spans="1:23" x14ac:dyDescent="0.3">
      <c r="A1578" s="1" t="str">
        <f t="shared" si="227"/>
        <v>59825</v>
      </c>
      <c r="B1578" s="1" t="s">
        <v>30</v>
      </c>
      <c r="C1578" s="1" t="s">
        <v>31</v>
      </c>
      <c r="D1578" s="1" t="str">
        <f t="shared" si="222"/>
        <v>9801</v>
      </c>
      <c r="E1578" s="1" t="s">
        <v>25</v>
      </c>
      <c r="F1578" s="1" t="str">
        <f>"2823854504"</f>
        <v>2823854504</v>
      </c>
      <c r="G1578" s="1" t="s">
        <v>33</v>
      </c>
      <c r="H1578" s="1" t="str">
        <f t="shared" si="225"/>
        <v>20220927</v>
      </c>
      <c r="I1578" s="1" t="str">
        <f>"190243"</f>
        <v>190243</v>
      </c>
      <c r="J1578" s="1" t="s">
        <v>44</v>
      </c>
      <c r="K1578" s="1" t="s">
        <v>45</v>
      </c>
      <c r="L1578" s="1" t="str">
        <f t="shared" si="226"/>
        <v>20220927</v>
      </c>
      <c r="M1578" s="1" t="str">
        <f>"192141"</f>
        <v>192141</v>
      </c>
      <c r="N1578" s="1" t="s">
        <v>28</v>
      </c>
      <c r="O1578" s="1" t="s">
        <v>28</v>
      </c>
      <c r="P1578" s="1" t="s">
        <v>55</v>
      </c>
      <c r="Q1578" s="1">
        <v>25</v>
      </c>
      <c r="R1578" s="1">
        <v>0</v>
      </c>
      <c r="S1578" s="1">
        <v>25</v>
      </c>
      <c r="T1578" s="1">
        <v>0</v>
      </c>
      <c r="U1578" s="1">
        <v>0</v>
      </c>
      <c r="V1578" s="1" t="str">
        <f t="shared" si="223"/>
        <v>里程返程</v>
      </c>
      <c r="W1578" s="1" t="s">
        <v>35</v>
      </c>
    </row>
    <row r="1579" spans="1:23" x14ac:dyDescent="0.3">
      <c r="A1579" s="1" t="str">
        <f t="shared" ref="A1579:A1584" si="228">"59829"</f>
        <v>59829</v>
      </c>
      <c r="B1579" s="1" t="s">
        <v>47</v>
      </c>
      <c r="C1579" s="1" t="s">
        <v>48</v>
      </c>
      <c r="D1579" s="1" t="str">
        <f t="shared" si="222"/>
        <v>9801</v>
      </c>
      <c r="E1579" s="1" t="s">
        <v>25</v>
      </c>
      <c r="F1579" s="1" t="str">
        <f>"E2191918FA880400C819002000000019"</f>
        <v>E2191918FA880400C819002000000019</v>
      </c>
      <c r="G1579" s="1" t="s">
        <v>59</v>
      </c>
      <c r="H1579" s="1" t="str">
        <f t="shared" si="225"/>
        <v>20220927</v>
      </c>
      <c r="I1579" s="1" t="str">
        <f>"173009"</f>
        <v>173009</v>
      </c>
      <c r="J1579" s="1" t="s">
        <v>44</v>
      </c>
      <c r="K1579" s="1" t="s">
        <v>45</v>
      </c>
      <c r="L1579" s="1" t="str">
        <f t="shared" si="226"/>
        <v>20220927</v>
      </c>
      <c r="M1579" s="1" t="str">
        <f>"175220"</f>
        <v>175220</v>
      </c>
      <c r="N1579" s="1" t="s">
        <v>28</v>
      </c>
      <c r="O1579" s="1" t="s">
        <v>28</v>
      </c>
      <c r="P1579" s="1" t="s">
        <v>55</v>
      </c>
      <c r="Q1579" s="1">
        <v>25</v>
      </c>
      <c r="R1579" s="1">
        <v>25</v>
      </c>
      <c r="S1579" s="1">
        <v>0</v>
      </c>
      <c r="T1579" s="1">
        <v>0</v>
      </c>
      <c r="U1579" s="1">
        <v>0</v>
      </c>
      <c r="V1579" s="1" t="str">
        <f t="shared" si="223"/>
        <v>里程返程</v>
      </c>
      <c r="W1579" s="1" t="s">
        <v>29</v>
      </c>
    </row>
    <row r="1580" spans="1:23" x14ac:dyDescent="0.3">
      <c r="A1580" s="1" t="str">
        <f t="shared" si="228"/>
        <v>59829</v>
      </c>
      <c r="B1580" s="1" t="s">
        <v>47</v>
      </c>
      <c r="C1580" s="1" t="s">
        <v>48</v>
      </c>
      <c r="D1580" s="1" t="str">
        <f t="shared" si="222"/>
        <v>9801</v>
      </c>
      <c r="E1580" s="1" t="s">
        <v>25</v>
      </c>
      <c r="F1580" s="1" t="str">
        <f>"5270B90A91880400C810002000000016"</f>
        <v>5270B90A91880400C810002000000016</v>
      </c>
      <c r="G1580" s="1" t="s">
        <v>59</v>
      </c>
      <c r="H1580" s="1" t="str">
        <f t="shared" si="225"/>
        <v>20220927</v>
      </c>
      <c r="I1580" s="1" t="str">
        <f>"173012"</f>
        <v>173012</v>
      </c>
      <c r="J1580" s="1" t="s">
        <v>44</v>
      </c>
      <c r="K1580" s="1" t="s">
        <v>45</v>
      </c>
      <c r="L1580" s="1" t="str">
        <f t="shared" si="226"/>
        <v>20220927</v>
      </c>
      <c r="M1580" s="1" t="str">
        <f>"175223"</f>
        <v>175223</v>
      </c>
      <c r="N1580" s="1" t="s">
        <v>28</v>
      </c>
      <c r="O1580" s="1" t="s">
        <v>28</v>
      </c>
      <c r="P1580" s="1" t="s">
        <v>55</v>
      </c>
      <c r="Q1580" s="1">
        <v>25</v>
      </c>
      <c r="R1580" s="1">
        <v>25</v>
      </c>
      <c r="S1580" s="1">
        <v>0</v>
      </c>
      <c r="T1580" s="1">
        <v>0</v>
      </c>
      <c r="U1580" s="1">
        <v>0</v>
      </c>
      <c r="V1580" s="1" t="str">
        <f t="shared" si="223"/>
        <v>里程返程</v>
      </c>
      <c r="W1580" s="1" t="s">
        <v>29</v>
      </c>
    </row>
    <row r="1581" spans="1:23" x14ac:dyDescent="0.3">
      <c r="A1581" s="1" t="str">
        <f t="shared" si="228"/>
        <v>59829</v>
      </c>
      <c r="B1581" s="1" t="s">
        <v>47</v>
      </c>
      <c r="C1581" s="1" t="s">
        <v>48</v>
      </c>
      <c r="D1581" s="1" t="str">
        <f t="shared" si="222"/>
        <v>9801</v>
      </c>
      <c r="E1581" s="1" t="s">
        <v>25</v>
      </c>
      <c r="F1581" s="1" t="str">
        <f>"1225599509"</f>
        <v>1225599509</v>
      </c>
      <c r="G1581" s="1" t="s">
        <v>33</v>
      </c>
      <c r="H1581" s="1" t="str">
        <f t="shared" si="225"/>
        <v>20220927</v>
      </c>
      <c r="I1581" s="1" t="str">
        <f>"173015"</f>
        <v>173015</v>
      </c>
      <c r="J1581" s="1" t="s">
        <v>44</v>
      </c>
      <c r="K1581" s="1" t="s">
        <v>45</v>
      </c>
      <c r="L1581" s="1" t="str">
        <f t="shared" si="226"/>
        <v>20220927</v>
      </c>
      <c r="M1581" s="1" t="str">
        <f>"175226"</f>
        <v>175226</v>
      </c>
      <c r="N1581" s="1" t="s">
        <v>28</v>
      </c>
      <c r="O1581" s="1" t="s">
        <v>28</v>
      </c>
      <c r="P1581" s="1" t="s">
        <v>55</v>
      </c>
      <c r="Q1581" s="1">
        <v>25</v>
      </c>
      <c r="R1581" s="1">
        <v>25</v>
      </c>
      <c r="S1581" s="1">
        <v>0</v>
      </c>
      <c r="T1581" s="1">
        <v>0</v>
      </c>
      <c r="U1581" s="1">
        <v>0</v>
      </c>
      <c r="V1581" s="1" t="str">
        <f t="shared" si="223"/>
        <v>里程返程</v>
      </c>
      <c r="W1581" s="1" t="s">
        <v>35</v>
      </c>
    </row>
    <row r="1582" spans="1:23" x14ac:dyDescent="0.3">
      <c r="A1582" s="1" t="str">
        <f t="shared" si="228"/>
        <v>59829</v>
      </c>
      <c r="B1582" s="1" t="s">
        <v>47</v>
      </c>
      <c r="C1582" s="1" t="s">
        <v>48</v>
      </c>
      <c r="D1582" s="1" t="str">
        <f t="shared" si="222"/>
        <v>9801</v>
      </c>
      <c r="E1582" s="1" t="s">
        <v>25</v>
      </c>
      <c r="F1582" s="1" t="str">
        <f>"026A101860880400C814002000000019"</f>
        <v>026A101860880400C814002000000019</v>
      </c>
      <c r="G1582" s="1" t="s">
        <v>59</v>
      </c>
      <c r="H1582" s="1" t="str">
        <f t="shared" si="225"/>
        <v>20220927</v>
      </c>
      <c r="I1582" s="1" t="str">
        <f>"173018"</f>
        <v>173018</v>
      </c>
      <c r="J1582" s="1" t="s">
        <v>44</v>
      </c>
      <c r="K1582" s="1" t="s">
        <v>45</v>
      </c>
      <c r="L1582" s="1" t="str">
        <f t="shared" si="226"/>
        <v>20220927</v>
      </c>
      <c r="M1582" s="1" t="str">
        <f>"175229"</f>
        <v>175229</v>
      </c>
      <c r="N1582" s="1" t="s">
        <v>28</v>
      </c>
      <c r="O1582" s="1" t="s">
        <v>28</v>
      </c>
      <c r="P1582" s="1" t="s">
        <v>55</v>
      </c>
      <c r="Q1582" s="1">
        <v>25</v>
      </c>
      <c r="R1582" s="1">
        <v>25</v>
      </c>
      <c r="S1582" s="1">
        <v>0</v>
      </c>
      <c r="T1582" s="1">
        <v>0</v>
      </c>
      <c r="U1582" s="1">
        <v>0</v>
      </c>
      <c r="V1582" s="1" t="str">
        <f t="shared" si="223"/>
        <v>里程返程</v>
      </c>
      <c r="W1582" s="1" t="s">
        <v>29</v>
      </c>
    </row>
    <row r="1583" spans="1:23" x14ac:dyDescent="0.3">
      <c r="A1583" s="1" t="str">
        <f t="shared" si="228"/>
        <v>59829</v>
      </c>
      <c r="B1583" s="1" t="s">
        <v>47</v>
      </c>
      <c r="C1583" s="1" t="s">
        <v>48</v>
      </c>
      <c r="D1583" s="1" t="str">
        <f t="shared" si="222"/>
        <v>9801</v>
      </c>
      <c r="E1583" s="1" t="s">
        <v>25</v>
      </c>
      <c r="F1583" s="1" t="str">
        <f>"422AE7028D880400C834002000000015"</f>
        <v>422AE7028D880400C834002000000015</v>
      </c>
      <c r="G1583" s="1" t="s">
        <v>74</v>
      </c>
      <c r="H1583" s="1" t="str">
        <f t="shared" si="225"/>
        <v>20220927</v>
      </c>
      <c r="I1583" s="1" t="str">
        <f>"173022"</f>
        <v>173022</v>
      </c>
      <c r="J1583" s="1" t="s">
        <v>44</v>
      </c>
      <c r="K1583" s="1" t="s">
        <v>45</v>
      </c>
      <c r="L1583" s="1" t="str">
        <f t="shared" si="226"/>
        <v>20220927</v>
      </c>
      <c r="M1583" s="1" t="str">
        <f>"175235"</f>
        <v>175235</v>
      </c>
      <c r="N1583" s="1" t="s">
        <v>28</v>
      </c>
      <c r="O1583" s="1" t="s">
        <v>28</v>
      </c>
      <c r="P1583" s="1" t="s">
        <v>68</v>
      </c>
      <c r="Q1583" s="1">
        <v>13</v>
      </c>
      <c r="R1583" s="1">
        <v>0</v>
      </c>
      <c r="S1583" s="1">
        <v>0</v>
      </c>
      <c r="T1583" s="1">
        <v>13</v>
      </c>
      <c r="U1583" s="1">
        <v>0</v>
      </c>
      <c r="V1583" s="1" t="str">
        <f t="shared" si="223"/>
        <v>里程返程</v>
      </c>
      <c r="W1583" s="1" t="s">
        <v>29</v>
      </c>
    </row>
    <row r="1584" spans="1:23" x14ac:dyDescent="0.3">
      <c r="A1584" s="1" t="str">
        <f t="shared" si="228"/>
        <v>59829</v>
      </c>
      <c r="B1584" s="1" t="s">
        <v>47</v>
      </c>
      <c r="C1584" s="1" t="s">
        <v>48</v>
      </c>
      <c r="D1584" s="1" t="str">
        <f t="shared" si="222"/>
        <v>9801</v>
      </c>
      <c r="E1584" s="1" t="s">
        <v>25</v>
      </c>
      <c r="F1584" s="1" t="str">
        <f>"5AA00F31C4880400C08E1E565D904012"</f>
        <v>5AA00F31C4880400C08E1E565D904012</v>
      </c>
      <c r="G1584" s="1" t="s">
        <v>58</v>
      </c>
      <c r="H1584" s="1" t="str">
        <f t="shared" si="225"/>
        <v>20220927</v>
      </c>
      <c r="I1584" s="1" t="str">
        <f>"185041"</f>
        <v>185041</v>
      </c>
      <c r="J1584" s="1" t="s">
        <v>28</v>
      </c>
      <c r="K1584" s="1" t="s">
        <v>28</v>
      </c>
      <c r="L1584" s="1" t="str">
        <f t="shared" si="226"/>
        <v>20220927</v>
      </c>
      <c r="M1584" s="1" t="str">
        <f>"191803"</f>
        <v>191803</v>
      </c>
      <c r="N1584" s="1" t="s">
        <v>60</v>
      </c>
      <c r="O1584" s="1" t="s">
        <v>52</v>
      </c>
      <c r="P1584" s="1" t="s">
        <v>55</v>
      </c>
      <c r="Q1584" s="1">
        <v>25</v>
      </c>
      <c r="R1584" s="1">
        <v>25</v>
      </c>
      <c r="S1584" s="1">
        <v>0</v>
      </c>
      <c r="T1584" s="1">
        <v>0</v>
      </c>
      <c r="U1584" s="1">
        <v>0</v>
      </c>
      <c r="V1584" s="1" t="str">
        <f t="shared" si="223"/>
        <v>里程返程</v>
      </c>
      <c r="W1584" s="1" t="s">
        <v>29</v>
      </c>
    </row>
    <row r="1585" spans="1:23" x14ac:dyDescent="0.3">
      <c r="A1585" s="1" t="str">
        <f t="shared" ref="A1585:A1602" si="229">"59825"</f>
        <v>59825</v>
      </c>
      <c r="B1585" s="1" t="s">
        <v>30</v>
      </c>
      <c r="C1585" s="1" t="s">
        <v>31</v>
      </c>
      <c r="D1585" s="1" t="str">
        <f t="shared" si="222"/>
        <v>9801</v>
      </c>
      <c r="E1585" s="1" t="s">
        <v>25</v>
      </c>
      <c r="F1585" s="1" t="str">
        <f>"1079982709"</f>
        <v>1079982709</v>
      </c>
      <c r="G1585" s="1" t="s">
        <v>33</v>
      </c>
      <c r="H1585" s="1" t="str">
        <f t="shared" ref="H1585:H1626" si="230">"20220928"</f>
        <v>20220928</v>
      </c>
      <c r="I1585" s="1" t="str">
        <f>"082627"</f>
        <v>082627</v>
      </c>
      <c r="J1585" s="1" t="s">
        <v>44</v>
      </c>
      <c r="K1585" s="1" t="s">
        <v>45</v>
      </c>
      <c r="L1585" s="1" t="str">
        <f t="shared" ref="L1585:L1626" si="231">"20220928"</f>
        <v>20220928</v>
      </c>
      <c r="M1585" s="1" t="str">
        <f>"085420"</f>
        <v>085420</v>
      </c>
      <c r="N1585" s="1" t="s">
        <v>28</v>
      </c>
      <c r="O1585" s="1" t="s">
        <v>28</v>
      </c>
      <c r="P1585" s="1" t="s">
        <v>55</v>
      </c>
      <c r="Q1585" s="1">
        <v>25</v>
      </c>
      <c r="R1585" s="1">
        <v>25</v>
      </c>
      <c r="S1585" s="1">
        <v>0</v>
      </c>
      <c r="T1585" s="1">
        <v>0</v>
      </c>
      <c r="U1585" s="1">
        <v>0</v>
      </c>
      <c r="V1585" s="1" t="str">
        <f t="shared" si="223"/>
        <v>里程返程</v>
      </c>
      <c r="W1585" s="1" t="s">
        <v>35</v>
      </c>
    </row>
    <row r="1586" spans="1:23" x14ac:dyDescent="0.3">
      <c r="A1586" s="1" t="str">
        <f t="shared" si="229"/>
        <v>59825</v>
      </c>
      <c r="B1586" s="1" t="s">
        <v>30</v>
      </c>
      <c r="C1586" s="1" t="s">
        <v>31</v>
      </c>
      <c r="D1586" s="1" t="str">
        <f t="shared" si="222"/>
        <v>9801</v>
      </c>
      <c r="E1586" s="1" t="s">
        <v>25</v>
      </c>
      <c r="F1586" s="1" t="str">
        <f>"990368069"</f>
        <v>990368069</v>
      </c>
      <c r="G1586" s="1" t="s">
        <v>26</v>
      </c>
      <c r="H1586" s="1" t="str">
        <f t="shared" si="230"/>
        <v>20220928</v>
      </c>
      <c r="I1586" s="1" t="str">
        <f>"082629"</f>
        <v>082629</v>
      </c>
      <c r="J1586" s="1" t="s">
        <v>44</v>
      </c>
      <c r="K1586" s="1" t="s">
        <v>45</v>
      </c>
      <c r="L1586" s="1" t="str">
        <f t="shared" si="231"/>
        <v>20220928</v>
      </c>
      <c r="M1586" s="1" t="str">
        <f>"085417"</f>
        <v>085417</v>
      </c>
      <c r="N1586" s="1" t="s">
        <v>28</v>
      </c>
      <c r="O1586" s="1" t="s">
        <v>28</v>
      </c>
      <c r="P1586" s="1" t="s">
        <v>55</v>
      </c>
      <c r="Q1586" s="1">
        <v>13</v>
      </c>
      <c r="R1586" s="1">
        <v>13</v>
      </c>
      <c r="S1586" s="1">
        <v>0</v>
      </c>
      <c r="T1586" s="1">
        <v>0</v>
      </c>
      <c r="U1586" s="1">
        <v>0</v>
      </c>
      <c r="V1586" s="1" t="str">
        <f t="shared" si="223"/>
        <v>里程返程</v>
      </c>
      <c r="W1586" s="1" t="s">
        <v>35</v>
      </c>
    </row>
    <row r="1587" spans="1:23" x14ac:dyDescent="0.3">
      <c r="A1587" s="1" t="str">
        <f t="shared" si="229"/>
        <v>59825</v>
      </c>
      <c r="B1587" s="1" t="s">
        <v>30</v>
      </c>
      <c r="C1587" s="1" t="s">
        <v>31</v>
      </c>
      <c r="D1587" s="1" t="str">
        <f t="shared" si="222"/>
        <v>9801</v>
      </c>
      <c r="E1587" s="1" t="s">
        <v>25</v>
      </c>
      <c r="F1587" s="1" t="str">
        <f>"F29BD102BA880400C834002000000015"</f>
        <v>F29BD102BA880400C834002000000015</v>
      </c>
      <c r="G1587" s="1" t="s">
        <v>26</v>
      </c>
      <c r="H1587" s="1" t="str">
        <f t="shared" si="230"/>
        <v>20220928</v>
      </c>
      <c r="I1587" s="1" t="str">
        <f>"083506"</f>
        <v>083506</v>
      </c>
      <c r="J1587" s="1" t="s">
        <v>44</v>
      </c>
      <c r="K1587" s="1" t="s">
        <v>45</v>
      </c>
      <c r="L1587" s="1" t="str">
        <f t="shared" si="231"/>
        <v>20220928</v>
      </c>
      <c r="M1587" s="1" t="str">
        <f>"085356"</f>
        <v>085356</v>
      </c>
      <c r="N1587" s="1" t="s">
        <v>28</v>
      </c>
      <c r="O1587" s="1" t="s">
        <v>28</v>
      </c>
      <c r="P1587" s="1" t="s">
        <v>68</v>
      </c>
      <c r="Q1587" s="1">
        <v>13</v>
      </c>
      <c r="R1587" s="1">
        <v>0</v>
      </c>
      <c r="S1587" s="1">
        <v>0</v>
      </c>
      <c r="T1587" s="1">
        <v>13</v>
      </c>
      <c r="U1587" s="1">
        <v>0</v>
      </c>
      <c r="V1587" s="1" t="str">
        <f t="shared" si="223"/>
        <v>里程返程</v>
      </c>
      <c r="W1587" s="1" t="s">
        <v>29</v>
      </c>
    </row>
    <row r="1588" spans="1:23" x14ac:dyDescent="0.3">
      <c r="A1588" s="1" t="str">
        <f t="shared" si="229"/>
        <v>59825</v>
      </c>
      <c r="B1588" s="1" t="s">
        <v>30</v>
      </c>
      <c r="C1588" s="1" t="s">
        <v>31</v>
      </c>
      <c r="D1588" s="1" t="str">
        <f t="shared" si="222"/>
        <v>9801</v>
      </c>
      <c r="E1588" s="1" t="s">
        <v>25</v>
      </c>
      <c r="F1588" s="1" t="str">
        <f>"7227E702B0880400C834002000000015"</f>
        <v>7227E702B0880400C834002000000015</v>
      </c>
      <c r="G1588" s="1" t="s">
        <v>74</v>
      </c>
      <c r="H1588" s="1" t="str">
        <f t="shared" si="230"/>
        <v>20220928</v>
      </c>
      <c r="I1588" s="1" t="str">
        <f>"083643"</f>
        <v>083643</v>
      </c>
      <c r="J1588" s="1" t="s">
        <v>100</v>
      </c>
      <c r="K1588" s="1" t="s">
        <v>45</v>
      </c>
      <c r="L1588" s="1" t="str">
        <f t="shared" si="231"/>
        <v>20220928</v>
      </c>
      <c r="M1588" s="1" t="str">
        <f>"091329"</f>
        <v>091329</v>
      </c>
      <c r="N1588" s="1" t="s">
        <v>77</v>
      </c>
      <c r="O1588" s="1" t="s">
        <v>52</v>
      </c>
      <c r="P1588" s="1" t="s">
        <v>68</v>
      </c>
      <c r="Q1588" s="1">
        <v>25</v>
      </c>
      <c r="R1588" s="1">
        <v>0</v>
      </c>
      <c r="S1588" s="1">
        <v>0</v>
      </c>
      <c r="T1588" s="1">
        <v>25</v>
      </c>
      <c r="U1588" s="1">
        <v>0</v>
      </c>
      <c r="V1588" s="1" t="str">
        <f t="shared" si="223"/>
        <v>里程返程</v>
      </c>
      <c r="W1588" s="1" t="s">
        <v>29</v>
      </c>
    </row>
    <row r="1589" spans="1:23" x14ac:dyDescent="0.3">
      <c r="A1589" s="1" t="str">
        <f t="shared" si="229"/>
        <v>59825</v>
      </c>
      <c r="B1589" s="1" t="s">
        <v>30</v>
      </c>
      <c r="C1589" s="1" t="s">
        <v>31</v>
      </c>
      <c r="D1589" s="1" t="str">
        <f t="shared" si="222"/>
        <v>9801</v>
      </c>
      <c r="E1589" s="1" t="s">
        <v>25</v>
      </c>
      <c r="F1589" s="1" t="str">
        <f>"D27CFD1645880400C814002000000019"</f>
        <v>D27CFD1645880400C814002000000019</v>
      </c>
      <c r="G1589" s="1" t="s">
        <v>59</v>
      </c>
      <c r="H1589" s="1" t="str">
        <f t="shared" si="230"/>
        <v>20220928</v>
      </c>
      <c r="I1589" s="1" t="str">
        <f>"083652"</f>
        <v>083652</v>
      </c>
      <c r="J1589" s="1" t="s">
        <v>100</v>
      </c>
      <c r="K1589" s="1" t="s">
        <v>45</v>
      </c>
      <c r="L1589" s="1" t="str">
        <f t="shared" si="231"/>
        <v>20220928</v>
      </c>
      <c r="M1589" s="1" t="str">
        <f>"085415"</f>
        <v>085415</v>
      </c>
      <c r="N1589" s="1" t="s">
        <v>28</v>
      </c>
      <c r="O1589" s="1" t="s">
        <v>28</v>
      </c>
      <c r="P1589" s="1" t="s">
        <v>55</v>
      </c>
      <c r="Q1589" s="1">
        <v>25</v>
      </c>
      <c r="R1589" s="1">
        <v>25</v>
      </c>
      <c r="S1589" s="1">
        <v>0</v>
      </c>
      <c r="T1589" s="1">
        <v>0</v>
      </c>
      <c r="U1589" s="1">
        <v>0</v>
      </c>
      <c r="V1589" s="1" t="str">
        <f t="shared" si="223"/>
        <v>里程返程</v>
      </c>
      <c r="W1589" s="1" t="s">
        <v>29</v>
      </c>
    </row>
    <row r="1590" spans="1:23" x14ac:dyDescent="0.3">
      <c r="A1590" s="1" t="str">
        <f t="shared" si="229"/>
        <v>59825</v>
      </c>
      <c r="B1590" s="1" t="s">
        <v>30</v>
      </c>
      <c r="C1590" s="1" t="s">
        <v>31</v>
      </c>
      <c r="D1590" s="1" t="str">
        <f t="shared" si="222"/>
        <v>9801</v>
      </c>
      <c r="E1590" s="1" t="s">
        <v>25</v>
      </c>
      <c r="F1590" s="1" t="str">
        <f>"03A6A9454988040048B994D749703809"</f>
        <v>03A6A9454988040048B994D749703809</v>
      </c>
      <c r="G1590" s="1" t="s">
        <v>64</v>
      </c>
      <c r="H1590" s="1" t="str">
        <f t="shared" si="230"/>
        <v>20220928</v>
      </c>
      <c r="I1590" s="1" t="str">
        <f>"085437"</f>
        <v>085437</v>
      </c>
      <c r="J1590" s="1" t="s">
        <v>28</v>
      </c>
      <c r="K1590" s="1" t="s">
        <v>28</v>
      </c>
      <c r="L1590" s="1" t="str">
        <f t="shared" si="231"/>
        <v>20220928</v>
      </c>
      <c r="M1590" s="1" t="str">
        <f>"090624"</f>
        <v>090624</v>
      </c>
      <c r="N1590" s="1" t="s">
        <v>78</v>
      </c>
      <c r="O1590" s="1" t="s">
        <v>52</v>
      </c>
      <c r="P1590" s="1" t="s">
        <v>55</v>
      </c>
      <c r="Q1590" s="1">
        <v>13</v>
      </c>
      <c r="R1590" s="1">
        <v>13</v>
      </c>
      <c r="S1590" s="1">
        <v>0</v>
      </c>
      <c r="T1590" s="1">
        <v>0</v>
      </c>
      <c r="U1590" s="1">
        <v>0</v>
      </c>
      <c r="V1590" s="1" t="str">
        <f t="shared" si="223"/>
        <v>里程返程</v>
      </c>
      <c r="W1590" s="1" t="s">
        <v>29</v>
      </c>
    </row>
    <row r="1591" spans="1:23" x14ac:dyDescent="0.3">
      <c r="A1591" s="1" t="str">
        <f t="shared" si="229"/>
        <v>59825</v>
      </c>
      <c r="B1591" s="1" t="s">
        <v>30</v>
      </c>
      <c r="C1591" s="1" t="s">
        <v>31</v>
      </c>
      <c r="D1591" s="1" t="str">
        <f t="shared" si="222"/>
        <v>9801</v>
      </c>
      <c r="E1591" s="1" t="s">
        <v>25</v>
      </c>
      <c r="F1591" s="1" t="str">
        <f>"D24FF80065880400C806002000000015"</f>
        <v>D24FF80065880400C806002000000015</v>
      </c>
      <c r="G1591" s="1" t="s">
        <v>58</v>
      </c>
      <c r="H1591" s="1" t="str">
        <f t="shared" si="230"/>
        <v>20220928</v>
      </c>
      <c r="I1591" s="1" t="str">
        <f>"095353"</f>
        <v>095353</v>
      </c>
      <c r="J1591" s="1" t="s">
        <v>28</v>
      </c>
      <c r="K1591" s="1" t="s">
        <v>28</v>
      </c>
      <c r="L1591" s="1" t="str">
        <f t="shared" si="231"/>
        <v>20220928</v>
      </c>
      <c r="M1591" s="1" t="str">
        <f>"100300"</f>
        <v>100300</v>
      </c>
      <c r="N1591" s="1" t="s">
        <v>84</v>
      </c>
      <c r="O1591" s="1" t="s">
        <v>28</v>
      </c>
      <c r="P1591" s="1" t="s">
        <v>55</v>
      </c>
      <c r="Q1591" s="1">
        <v>25</v>
      </c>
      <c r="R1591" s="1">
        <v>25</v>
      </c>
      <c r="S1591" s="1">
        <v>0</v>
      </c>
      <c r="T1591" s="1">
        <v>0</v>
      </c>
      <c r="U1591" s="1">
        <v>0</v>
      </c>
      <c r="V1591" s="1" t="str">
        <f t="shared" si="223"/>
        <v>里程返程</v>
      </c>
      <c r="W1591" s="1" t="s">
        <v>29</v>
      </c>
    </row>
    <row r="1592" spans="1:23" x14ac:dyDescent="0.3">
      <c r="A1592" s="1" t="str">
        <f t="shared" si="229"/>
        <v>59825</v>
      </c>
      <c r="B1592" s="1" t="s">
        <v>30</v>
      </c>
      <c r="C1592" s="1" t="s">
        <v>31</v>
      </c>
      <c r="D1592" s="1" t="str">
        <f t="shared" si="222"/>
        <v>9801</v>
      </c>
      <c r="E1592" s="1" t="s">
        <v>25</v>
      </c>
      <c r="F1592" s="1" t="str">
        <f>"892975925"</f>
        <v>892975925</v>
      </c>
      <c r="G1592" s="1" t="s">
        <v>33</v>
      </c>
      <c r="H1592" s="1" t="str">
        <f t="shared" si="230"/>
        <v>20220928</v>
      </c>
      <c r="I1592" s="1" t="str">
        <f>"095403"</f>
        <v>095403</v>
      </c>
      <c r="J1592" s="1" t="s">
        <v>28</v>
      </c>
      <c r="K1592" s="1" t="s">
        <v>28</v>
      </c>
      <c r="L1592" s="1" t="str">
        <f t="shared" si="231"/>
        <v>20220928</v>
      </c>
      <c r="M1592" s="1" t="str">
        <f>"101904"</f>
        <v>101904</v>
      </c>
      <c r="N1592" s="1" t="s">
        <v>65</v>
      </c>
      <c r="O1592" s="1" t="s">
        <v>52</v>
      </c>
      <c r="P1592" s="1" t="s">
        <v>55</v>
      </c>
      <c r="Q1592" s="1">
        <v>25</v>
      </c>
      <c r="R1592" s="1">
        <v>25</v>
      </c>
      <c r="S1592" s="1">
        <v>0</v>
      </c>
      <c r="T1592" s="1">
        <v>0</v>
      </c>
      <c r="U1592" s="1">
        <v>0</v>
      </c>
      <c r="V1592" s="1" t="str">
        <f t="shared" si="223"/>
        <v>里程返程</v>
      </c>
      <c r="W1592" s="1" t="s">
        <v>35</v>
      </c>
    </row>
    <row r="1593" spans="1:23" x14ac:dyDescent="0.3">
      <c r="A1593" s="1" t="str">
        <f t="shared" si="229"/>
        <v>59825</v>
      </c>
      <c r="B1593" s="1" t="s">
        <v>30</v>
      </c>
      <c r="C1593" s="1" t="s">
        <v>31</v>
      </c>
      <c r="D1593" s="1" t="str">
        <f t="shared" si="222"/>
        <v>9801</v>
      </c>
      <c r="E1593" s="1" t="s">
        <v>25</v>
      </c>
      <c r="F1593" s="1" t="str">
        <f>"A28DCF14F4880400C840002000000018"</f>
        <v>A28DCF14F4880400C840002000000018</v>
      </c>
      <c r="G1593" s="1" t="s">
        <v>64</v>
      </c>
      <c r="H1593" s="1" t="str">
        <f t="shared" si="230"/>
        <v>20220928</v>
      </c>
      <c r="I1593" s="1" t="str">
        <f>"102824"</f>
        <v>102824</v>
      </c>
      <c r="J1593" s="1" t="s">
        <v>44</v>
      </c>
      <c r="K1593" s="1" t="s">
        <v>45</v>
      </c>
      <c r="L1593" s="1" t="str">
        <f t="shared" si="231"/>
        <v>20220928</v>
      </c>
      <c r="M1593" s="1" t="str">
        <f>"104336"</f>
        <v>104336</v>
      </c>
      <c r="N1593" s="1" t="s">
        <v>45</v>
      </c>
      <c r="O1593" s="1" t="s">
        <v>45</v>
      </c>
      <c r="P1593" s="1" t="s">
        <v>55</v>
      </c>
      <c r="Q1593" s="1">
        <v>13</v>
      </c>
      <c r="R1593" s="1">
        <v>0</v>
      </c>
      <c r="S1593" s="1">
        <v>13</v>
      </c>
      <c r="T1593" s="1">
        <v>0</v>
      </c>
      <c r="U1593" s="1">
        <v>0</v>
      </c>
      <c r="V1593" s="1" t="str">
        <f t="shared" si="223"/>
        <v>里程返程</v>
      </c>
      <c r="W1593" s="1" t="s">
        <v>29</v>
      </c>
    </row>
    <row r="1594" spans="1:23" x14ac:dyDescent="0.3">
      <c r="A1594" s="1" t="str">
        <f t="shared" si="229"/>
        <v>59825</v>
      </c>
      <c r="B1594" s="1" t="s">
        <v>30</v>
      </c>
      <c r="C1594" s="1" t="s">
        <v>31</v>
      </c>
      <c r="D1594" s="1" t="str">
        <f t="shared" si="222"/>
        <v>9801</v>
      </c>
      <c r="E1594" s="1" t="s">
        <v>25</v>
      </c>
      <c r="F1594" s="1" t="str">
        <f>"F1FF345D678804004325C3F9000B0C0F"</f>
        <v>F1FF345D678804004325C3F9000B0C0F</v>
      </c>
      <c r="G1594" s="1" t="s">
        <v>64</v>
      </c>
      <c r="H1594" s="1" t="str">
        <f t="shared" si="230"/>
        <v>20220928</v>
      </c>
      <c r="I1594" s="1" t="str">
        <f>"102827"</f>
        <v>102827</v>
      </c>
      <c r="J1594" s="1" t="s">
        <v>44</v>
      </c>
      <c r="K1594" s="1" t="s">
        <v>45</v>
      </c>
      <c r="L1594" s="1" t="str">
        <f t="shared" si="231"/>
        <v>20220928</v>
      </c>
      <c r="M1594" s="1" t="str">
        <f>"104329"</f>
        <v>104329</v>
      </c>
      <c r="N1594" s="1" t="s">
        <v>45</v>
      </c>
      <c r="O1594" s="1" t="s">
        <v>45</v>
      </c>
      <c r="P1594" s="1" t="s">
        <v>55</v>
      </c>
      <c r="Q1594" s="1">
        <v>13</v>
      </c>
      <c r="R1594" s="1">
        <v>0</v>
      </c>
      <c r="S1594" s="1">
        <v>13</v>
      </c>
      <c r="T1594" s="1">
        <v>0</v>
      </c>
      <c r="U1594" s="1">
        <v>0</v>
      </c>
      <c r="V1594" s="1" t="str">
        <f t="shared" si="223"/>
        <v>里程返程</v>
      </c>
      <c r="W1594" s="1" t="s">
        <v>29</v>
      </c>
    </row>
    <row r="1595" spans="1:23" x14ac:dyDescent="0.3">
      <c r="A1595" s="1" t="str">
        <f t="shared" si="229"/>
        <v>59825</v>
      </c>
      <c r="B1595" s="1" t="s">
        <v>30</v>
      </c>
      <c r="C1595" s="1" t="s">
        <v>31</v>
      </c>
      <c r="D1595" s="1" t="str">
        <f t="shared" si="222"/>
        <v>9801</v>
      </c>
      <c r="E1595" s="1" t="s">
        <v>25</v>
      </c>
      <c r="F1595" s="1" t="str">
        <f>"72BAFC182C880400C821002000000019"</f>
        <v>72BAFC182C880400C821002000000019</v>
      </c>
      <c r="G1595" s="1" t="s">
        <v>64</v>
      </c>
      <c r="H1595" s="1" t="str">
        <f t="shared" si="230"/>
        <v>20220928</v>
      </c>
      <c r="I1595" s="1" t="str">
        <f>"102840"</f>
        <v>102840</v>
      </c>
      <c r="J1595" s="1" t="s">
        <v>44</v>
      </c>
      <c r="K1595" s="1" t="s">
        <v>45</v>
      </c>
      <c r="L1595" s="1" t="str">
        <f t="shared" si="231"/>
        <v>20220928</v>
      </c>
      <c r="M1595" s="1" t="str">
        <f>"104339"</f>
        <v>104339</v>
      </c>
      <c r="N1595" s="1" t="s">
        <v>45</v>
      </c>
      <c r="O1595" s="1" t="s">
        <v>45</v>
      </c>
      <c r="P1595" s="1" t="s">
        <v>55</v>
      </c>
      <c r="Q1595" s="1">
        <v>13</v>
      </c>
      <c r="R1595" s="1">
        <v>0</v>
      </c>
      <c r="S1595" s="1">
        <v>13</v>
      </c>
      <c r="T1595" s="1">
        <v>0</v>
      </c>
      <c r="U1595" s="1">
        <v>0</v>
      </c>
      <c r="V1595" s="1" t="str">
        <f t="shared" si="223"/>
        <v>里程返程</v>
      </c>
      <c r="W1595" s="1" t="s">
        <v>29</v>
      </c>
    </row>
    <row r="1596" spans="1:23" x14ac:dyDescent="0.3">
      <c r="A1596" s="1" t="str">
        <f t="shared" si="229"/>
        <v>59825</v>
      </c>
      <c r="B1596" s="1" t="s">
        <v>30</v>
      </c>
      <c r="C1596" s="1" t="s">
        <v>31</v>
      </c>
      <c r="D1596" s="1" t="str">
        <f t="shared" si="222"/>
        <v>9801</v>
      </c>
      <c r="E1596" s="1" t="s">
        <v>25</v>
      </c>
      <c r="F1596" s="1" t="str">
        <f>"F5B7459C9B88040043265ABE00070710"</f>
        <v>F5B7459C9B88040043265ABE00070710</v>
      </c>
      <c r="G1596" s="1" t="s">
        <v>64</v>
      </c>
      <c r="H1596" s="1" t="str">
        <f t="shared" si="230"/>
        <v>20220928</v>
      </c>
      <c r="I1596" s="1" t="str">
        <f>"102853"</f>
        <v>102853</v>
      </c>
      <c r="J1596" s="1" t="s">
        <v>44</v>
      </c>
      <c r="K1596" s="1" t="s">
        <v>45</v>
      </c>
      <c r="L1596" s="1" t="str">
        <f t="shared" si="231"/>
        <v>20220928</v>
      </c>
      <c r="M1596" s="1" t="str">
        <f>"104344"</f>
        <v>104344</v>
      </c>
      <c r="N1596" s="1" t="s">
        <v>45</v>
      </c>
      <c r="O1596" s="1" t="s">
        <v>45</v>
      </c>
      <c r="P1596" s="1" t="s">
        <v>55</v>
      </c>
      <c r="Q1596" s="1">
        <v>13</v>
      </c>
      <c r="R1596" s="1">
        <v>0</v>
      </c>
      <c r="S1596" s="1">
        <v>13</v>
      </c>
      <c r="T1596" s="1">
        <v>0</v>
      </c>
      <c r="U1596" s="1">
        <v>0</v>
      </c>
      <c r="V1596" s="1" t="str">
        <f t="shared" si="223"/>
        <v>里程返程</v>
      </c>
      <c r="W1596" s="1" t="s">
        <v>29</v>
      </c>
    </row>
    <row r="1597" spans="1:23" x14ac:dyDescent="0.3">
      <c r="A1597" s="1" t="str">
        <f t="shared" si="229"/>
        <v>59825</v>
      </c>
      <c r="B1597" s="1" t="s">
        <v>30</v>
      </c>
      <c r="C1597" s="1" t="s">
        <v>31</v>
      </c>
      <c r="D1597" s="1" t="str">
        <f t="shared" si="222"/>
        <v>9801</v>
      </c>
      <c r="E1597" s="1" t="s">
        <v>25</v>
      </c>
      <c r="F1597" s="1" t="str">
        <f>"43C52369CC88040046B9951049404009"</f>
        <v>43C52369CC88040046B9951049404009</v>
      </c>
      <c r="G1597" s="1" t="s">
        <v>64</v>
      </c>
      <c r="H1597" s="1" t="str">
        <f t="shared" si="230"/>
        <v>20220928</v>
      </c>
      <c r="I1597" s="1" t="str">
        <f>"102904"</f>
        <v>102904</v>
      </c>
      <c r="J1597" s="1" t="s">
        <v>44</v>
      </c>
      <c r="K1597" s="1" t="s">
        <v>45</v>
      </c>
      <c r="L1597" s="1" t="str">
        <f t="shared" si="231"/>
        <v>20220928</v>
      </c>
      <c r="M1597" s="1" t="str">
        <f>"104352"</f>
        <v>104352</v>
      </c>
      <c r="N1597" s="1" t="s">
        <v>45</v>
      </c>
      <c r="O1597" s="1" t="s">
        <v>45</v>
      </c>
      <c r="P1597" s="1" t="s">
        <v>55</v>
      </c>
      <c r="Q1597" s="1">
        <v>13</v>
      </c>
      <c r="R1597" s="1">
        <v>0</v>
      </c>
      <c r="S1597" s="1">
        <v>13</v>
      </c>
      <c r="T1597" s="1">
        <v>0</v>
      </c>
      <c r="U1597" s="1">
        <v>0</v>
      </c>
      <c r="V1597" s="1" t="str">
        <f t="shared" si="223"/>
        <v>里程返程</v>
      </c>
      <c r="W1597" s="1" t="s">
        <v>29</v>
      </c>
    </row>
    <row r="1598" spans="1:23" x14ac:dyDescent="0.3">
      <c r="A1598" s="1" t="str">
        <f t="shared" si="229"/>
        <v>59825</v>
      </c>
      <c r="B1598" s="1" t="s">
        <v>30</v>
      </c>
      <c r="C1598" s="1" t="s">
        <v>31</v>
      </c>
      <c r="D1598" s="1" t="str">
        <f t="shared" si="222"/>
        <v>9801</v>
      </c>
      <c r="E1598" s="1" t="s">
        <v>25</v>
      </c>
      <c r="F1598" s="1" t="str">
        <f>"B1F4AB25CB8804004328091300050212"</f>
        <v>B1F4AB25CB8804004328091300050212</v>
      </c>
      <c r="G1598" s="1" t="s">
        <v>26</v>
      </c>
      <c r="H1598" s="1" t="str">
        <f t="shared" si="230"/>
        <v>20220928</v>
      </c>
      <c r="I1598" s="1" t="str">
        <f>"102915"</f>
        <v>102915</v>
      </c>
      <c r="J1598" s="1" t="s">
        <v>44</v>
      </c>
      <c r="K1598" s="1" t="s">
        <v>45</v>
      </c>
      <c r="L1598" s="1" t="str">
        <f t="shared" si="231"/>
        <v>20220928</v>
      </c>
      <c r="M1598" s="1" t="str">
        <f>"104348"</f>
        <v>104348</v>
      </c>
      <c r="N1598" s="1" t="s">
        <v>45</v>
      </c>
      <c r="O1598" s="1" t="s">
        <v>45</v>
      </c>
      <c r="P1598" s="1" t="s">
        <v>55</v>
      </c>
      <c r="Q1598" s="1">
        <v>13</v>
      </c>
      <c r="R1598" s="1">
        <v>0</v>
      </c>
      <c r="S1598" s="1">
        <v>13</v>
      </c>
      <c r="T1598" s="1">
        <v>0</v>
      </c>
      <c r="U1598" s="1">
        <v>0</v>
      </c>
      <c r="V1598" s="1" t="str">
        <f t="shared" si="223"/>
        <v>里程返程</v>
      </c>
      <c r="W1598" s="1" t="s">
        <v>29</v>
      </c>
    </row>
    <row r="1599" spans="1:23" x14ac:dyDescent="0.3">
      <c r="A1599" s="1" t="str">
        <f t="shared" si="229"/>
        <v>59825</v>
      </c>
      <c r="B1599" s="1" t="s">
        <v>30</v>
      </c>
      <c r="C1599" s="1" t="s">
        <v>31</v>
      </c>
      <c r="D1599" s="1" t="str">
        <f t="shared" si="222"/>
        <v>9801</v>
      </c>
      <c r="E1599" s="1" t="s">
        <v>25</v>
      </c>
      <c r="F1599" s="1" t="str">
        <f>"52CDD0145B880400C840002000000018"</f>
        <v>52CDD0145B880400C840002000000018</v>
      </c>
      <c r="G1599" s="1" t="s">
        <v>64</v>
      </c>
      <c r="H1599" s="1" t="str">
        <f t="shared" si="230"/>
        <v>20220928</v>
      </c>
      <c r="I1599" s="1" t="str">
        <f>"115406"</f>
        <v>115406</v>
      </c>
      <c r="J1599" s="1" t="s">
        <v>28</v>
      </c>
      <c r="K1599" s="1" t="s">
        <v>28</v>
      </c>
      <c r="L1599" s="1" t="str">
        <f t="shared" si="231"/>
        <v>20220928</v>
      </c>
      <c r="M1599" s="1" t="str">
        <f>"121406"</f>
        <v>121406</v>
      </c>
      <c r="N1599" s="1" t="s">
        <v>80</v>
      </c>
      <c r="O1599" s="1" t="s">
        <v>52</v>
      </c>
      <c r="P1599" s="1" t="s">
        <v>55</v>
      </c>
      <c r="Q1599" s="1">
        <v>13</v>
      </c>
      <c r="R1599" s="1">
        <v>13</v>
      </c>
      <c r="S1599" s="1">
        <v>0</v>
      </c>
      <c r="T1599" s="1">
        <v>0</v>
      </c>
      <c r="U1599" s="1">
        <v>0</v>
      </c>
      <c r="V1599" s="1" t="str">
        <f t="shared" si="223"/>
        <v>里程返程</v>
      </c>
      <c r="W1599" s="1" t="s">
        <v>29</v>
      </c>
    </row>
    <row r="1600" spans="1:23" x14ac:dyDescent="0.3">
      <c r="A1600" s="1" t="str">
        <f t="shared" si="229"/>
        <v>59825</v>
      </c>
      <c r="B1600" s="1" t="s">
        <v>30</v>
      </c>
      <c r="C1600" s="1" t="s">
        <v>31</v>
      </c>
      <c r="D1600" s="1" t="str">
        <f t="shared" si="222"/>
        <v>9801</v>
      </c>
      <c r="E1600" s="1" t="s">
        <v>25</v>
      </c>
      <c r="F1600" s="1" t="str">
        <f>"1847493125"</f>
        <v>1847493125</v>
      </c>
      <c r="G1600" s="1" t="s">
        <v>26</v>
      </c>
      <c r="H1600" s="1" t="str">
        <f t="shared" si="230"/>
        <v>20220928</v>
      </c>
      <c r="I1600" s="1" t="str">
        <f>"115519"</f>
        <v>115519</v>
      </c>
      <c r="J1600" s="1" t="s">
        <v>28</v>
      </c>
      <c r="K1600" s="1" t="s">
        <v>28</v>
      </c>
      <c r="L1600" s="1" t="str">
        <f t="shared" si="231"/>
        <v>20220928</v>
      </c>
      <c r="M1600" s="1" t="str">
        <f>"122542"</f>
        <v>122542</v>
      </c>
      <c r="N1600" s="1" t="s">
        <v>52</v>
      </c>
      <c r="O1600" s="1" t="s">
        <v>52</v>
      </c>
      <c r="P1600" s="1" t="s">
        <v>55</v>
      </c>
      <c r="Q1600" s="1">
        <v>13</v>
      </c>
      <c r="R1600" s="1">
        <v>13</v>
      </c>
      <c r="S1600" s="1">
        <v>0</v>
      </c>
      <c r="T1600" s="1">
        <v>0</v>
      </c>
      <c r="U1600" s="1">
        <v>0</v>
      </c>
      <c r="V1600" s="1" t="str">
        <f t="shared" si="223"/>
        <v>里程返程</v>
      </c>
      <c r="W1600" s="1" t="s">
        <v>35</v>
      </c>
    </row>
    <row r="1601" spans="1:23" x14ac:dyDescent="0.3">
      <c r="A1601" s="1" t="str">
        <f t="shared" si="229"/>
        <v>59825</v>
      </c>
      <c r="B1601" s="1" t="s">
        <v>30</v>
      </c>
      <c r="C1601" s="1" t="s">
        <v>31</v>
      </c>
      <c r="D1601" s="1" t="str">
        <f t="shared" si="222"/>
        <v>9801</v>
      </c>
      <c r="E1601" s="1" t="s">
        <v>25</v>
      </c>
      <c r="F1601" s="1" t="str">
        <f>"1892873755"</f>
        <v>1892873755</v>
      </c>
      <c r="G1601" s="1" t="s">
        <v>33</v>
      </c>
      <c r="H1601" s="1" t="str">
        <f t="shared" si="230"/>
        <v>20220928</v>
      </c>
      <c r="I1601" s="1" t="str">
        <f>"115527"</f>
        <v>115527</v>
      </c>
      <c r="J1601" s="1" t="s">
        <v>28</v>
      </c>
      <c r="K1601" s="1" t="s">
        <v>28</v>
      </c>
      <c r="L1601" s="1" t="str">
        <f t="shared" si="231"/>
        <v>20220928</v>
      </c>
      <c r="M1601" s="1" t="str">
        <f>"121459"</f>
        <v>121459</v>
      </c>
      <c r="N1601" s="1" t="s">
        <v>97</v>
      </c>
      <c r="O1601" s="1" t="s">
        <v>52</v>
      </c>
      <c r="P1601" s="1" t="s">
        <v>55</v>
      </c>
      <c r="Q1601" s="1">
        <v>25</v>
      </c>
      <c r="R1601" s="1">
        <v>25</v>
      </c>
      <c r="S1601" s="1">
        <v>0</v>
      </c>
      <c r="T1601" s="1">
        <v>0</v>
      </c>
      <c r="U1601" s="1">
        <v>0</v>
      </c>
      <c r="V1601" s="1" t="str">
        <f t="shared" si="223"/>
        <v>里程返程</v>
      </c>
      <c r="W1601" s="1" t="s">
        <v>35</v>
      </c>
    </row>
    <row r="1602" spans="1:23" x14ac:dyDescent="0.3">
      <c r="A1602" s="1" t="str">
        <f t="shared" si="229"/>
        <v>59825</v>
      </c>
      <c r="B1602" s="1" t="s">
        <v>30</v>
      </c>
      <c r="C1602" s="1" t="s">
        <v>31</v>
      </c>
      <c r="D1602" s="1" t="str">
        <f t="shared" ref="D1602:D1665" si="232">"9801"</f>
        <v>9801</v>
      </c>
      <c r="E1602" s="1" t="s">
        <v>25</v>
      </c>
      <c r="F1602" s="1" t="str">
        <f>"A239F5056B880400C838002000000015"</f>
        <v>A239F5056B880400C838002000000015</v>
      </c>
      <c r="G1602" s="1" t="s">
        <v>26</v>
      </c>
      <c r="H1602" s="1" t="str">
        <f t="shared" si="230"/>
        <v>20220928</v>
      </c>
      <c r="I1602" s="1" t="str">
        <f>"192202"</f>
        <v>192202</v>
      </c>
      <c r="J1602" s="1" t="s">
        <v>28</v>
      </c>
      <c r="K1602" s="1" t="s">
        <v>28</v>
      </c>
      <c r="L1602" s="1" t="str">
        <f t="shared" si="231"/>
        <v>20220928</v>
      </c>
      <c r="M1602" s="1" t="str">
        <f>"193506"</f>
        <v>193506</v>
      </c>
      <c r="N1602" s="1" t="s">
        <v>67</v>
      </c>
      <c r="O1602" s="1" t="s">
        <v>52</v>
      </c>
      <c r="P1602" s="1" t="s">
        <v>68</v>
      </c>
      <c r="Q1602" s="1">
        <v>13</v>
      </c>
      <c r="R1602" s="1">
        <v>0</v>
      </c>
      <c r="S1602" s="1">
        <v>0</v>
      </c>
      <c r="T1602" s="1">
        <v>13</v>
      </c>
      <c r="U1602" s="1">
        <v>0</v>
      </c>
      <c r="V1602" s="1" t="str">
        <f t="shared" ref="V1602:V1665" si="233">"里程返程"</f>
        <v>里程返程</v>
      </c>
      <c r="W1602" s="1" t="s">
        <v>29</v>
      </c>
    </row>
    <row r="1603" spans="1:23" x14ac:dyDescent="0.3">
      <c r="A1603" s="1" t="str">
        <f t="shared" ref="A1603:A1623" si="234">"59828"</f>
        <v>59828</v>
      </c>
      <c r="B1603" s="1" t="s">
        <v>23</v>
      </c>
      <c r="C1603" s="1" t="s">
        <v>24</v>
      </c>
      <c r="D1603" s="1" t="str">
        <f t="shared" si="232"/>
        <v>9801</v>
      </c>
      <c r="E1603" s="1" t="s">
        <v>25</v>
      </c>
      <c r="F1603" s="1" t="str">
        <f>"619F1761882804001C00000000000000"</f>
        <v>619F1761882804001C00000000000000</v>
      </c>
      <c r="G1603" s="1" t="s">
        <v>58</v>
      </c>
      <c r="H1603" s="1" t="str">
        <f t="shared" si="230"/>
        <v>20220928</v>
      </c>
      <c r="I1603" s="1" t="str">
        <f>"063401"</f>
        <v>063401</v>
      </c>
      <c r="J1603" s="1" t="s">
        <v>28</v>
      </c>
      <c r="K1603" s="1" t="s">
        <v>28</v>
      </c>
      <c r="L1603" s="1" t="str">
        <f t="shared" si="231"/>
        <v>20220928</v>
      </c>
      <c r="M1603" s="1" t="str">
        <f>"065125"</f>
        <v>065125</v>
      </c>
      <c r="N1603" s="1" t="s">
        <v>72</v>
      </c>
      <c r="O1603" s="1" t="s">
        <v>52</v>
      </c>
      <c r="P1603" s="1" t="s">
        <v>55</v>
      </c>
      <c r="Q1603" s="1">
        <v>25</v>
      </c>
      <c r="R1603" s="1">
        <v>0</v>
      </c>
      <c r="S1603" s="1">
        <v>25</v>
      </c>
      <c r="T1603" s="1">
        <v>0</v>
      </c>
      <c r="U1603" s="1">
        <v>0</v>
      </c>
      <c r="V1603" s="1" t="str">
        <f t="shared" si="233"/>
        <v>里程返程</v>
      </c>
      <c r="W1603" s="1" t="s">
        <v>29</v>
      </c>
    </row>
    <row r="1604" spans="1:23" x14ac:dyDescent="0.3">
      <c r="A1604" s="1" t="str">
        <f t="shared" si="234"/>
        <v>59828</v>
      </c>
      <c r="B1604" s="1" t="s">
        <v>23</v>
      </c>
      <c r="C1604" s="1" t="s">
        <v>24</v>
      </c>
      <c r="D1604" s="1" t="str">
        <f t="shared" si="232"/>
        <v>9801</v>
      </c>
      <c r="E1604" s="1" t="s">
        <v>25</v>
      </c>
      <c r="F1604" s="1" t="str">
        <f>"026A101860880400C814002000000019"</f>
        <v>026A101860880400C814002000000019</v>
      </c>
      <c r="G1604" s="1" t="s">
        <v>59</v>
      </c>
      <c r="H1604" s="1" t="str">
        <f t="shared" si="230"/>
        <v>20220928</v>
      </c>
      <c r="I1604" s="1" t="str">
        <f>"063418"</f>
        <v>063418</v>
      </c>
      <c r="J1604" s="1" t="s">
        <v>28</v>
      </c>
      <c r="K1604" s="1" t="s">
        <v>28</v>
      </c>
      <c r="L1604" s="1" t="str">
        <f t="shared" si="231"/>
        <v>20220928</v>
      </c>
      <c r="M1604" s="1" t="str">
        <f>"065224"</f>
        <v>065224</v>
      </c>
      <c r="N1604" s="1" t="s">
        <v>71</v>
      </c>
      <c r="O1604" s="1" t="s">
        <v>52</v>
      </c>
      <c r="P1604" s="1" t="s">
        <v>55</v>
      </c>
      <c r="Q1604" s="1">
        <v>25</v>
      </c>
      <c r="R1604" s="1">
        <v>0</v>
      </c>
      <c r="S1604" s="1">
        <v>25</v>
      </c>
      <c r="T1604" s="1">
        <v>0</v>
      </c>
      <c r="U1604" s="1">
        <v>0</v>
      </c>
      <c r="V1604" s="1" t="str">
        <f t="shared" si="233"/>
        <v>里程返程</v>
      </c>
      <c r="W1604" s="1" t="s">
        <v>29</v>
      </c>
    </row>
    <row r="1605" spans="1:23" x14ac:dyDescent="0.3">
      <c r="A1605" s="1" t="str">
        <f t="shared" si="234"/>
        <v>59828</v>
      </c>
      <c r="B1605" s="1" t="s">
        <v>23</v>
      </c>
      <c r="C1605" s="1" t="s">
        <v>24</v>
      </c>
      <c r="D1605" s="1" t="str">
        <f t="shared" si="232"/>
        <v>9801</v>
      </c>
      <c r="E1605" s="1" t="s">
        <v>25</v>
      </c>
      <c r="F1605" s="1" t="str">
        <f>"1107493349"</f>
        <v>1107493349</v>
      </c>
      <c r="G1605" s="1" t="s">
        <v>38</v>
      </c>
      <c r="H1605" s="1" t="str">
        <f t="shared" si="230"/>
        <v>20220928</v>
      </c>
      <c r="I1605" s="1" t="str">
        <f>"071135"</f>
        <v>071135</v>
      </c>
      <c r="J1605" s="1" t="s">
        <v>79</v>
      </c>
      <c r="K1605" s="1" t="s">
        <v>45</v>
      </c>
      <c r="L1605" s="1" t="str">
        <f t="shared" si="231"/>
        <v>20220928</v>
      </c>
      <c r="M1605" s="1" t="str">
        <f>"071906"</f>
        <v>071906</v>
      </c>
      <c r="N1605" s="1" t="s">
        <v>28</v>
      </c>
      <c r="O1605" s="1" t="s">
        <v>28</v>
      </c>
      <c r="P1605" s="1" t="s">
        <v>55</v>
      </c>
      <c r="Q1605" s="1">
        <v>25</v>
      </c>
      <c r="R1605" s="1">
        <v>25</v>
      </c>
      <c r="S1605" s="1">
        <v>0</v>
      </c>
      <c r="T1605" s="1">
        <v>0</v>
      </c>
      <c r="U1605" s="1">
        <v>0</v>
      </c>
      <c r="V1605" s="1" t="str">
        <f t="shared" si="233"/>
        <v>里程返程</v>
      </c>
      <c r="W1605" s="1" t="s">
        <v>35</v>
      </c>
    </row>
    <row r="1606" spans="1:23" x14ac:dyDescent="0.3">
      <c r="A1606" s="1" t="str">
        <f t="shared" si="234"/>
        <v>59828</v>
      </c>
      <c r="B1606" s="1" t="s">
        <v>23</v>
      </c>
      <c r="C1606" s="1" t="s">
        <v>24</v>
      </c>
      <c r="D1606" s="1" t="str">
        <f t="shared" si="232"/>
        <v>9801</v>
      </c>
      <c r="E1606" s="1" t="s">
        <v>25</v>
      </c>
      <c r="F1606" s="1" t="str">
        <f>"F282E40195880400C821002000000015"</f>
        <v>F282E40195880400C821002000000015</v>
      </c>
      <c r="G1606" s="1" t="s">
        <v>58</v>
      </c>
      <c r="H1606" s="1" t="str">
        <f t="shared" si="230"/>
        <v>20220928</v>
      </c>
      <c r="I1606" s="1" t="str">
        <f>"071916"</f>
        <v>071916</v>
      </c>
      <c r="J1606" s="1" t="s">
        <v>28</v>
      </c>
      <c r="K1606" s="1" t="s">
        <v>28</v>
      </c>
      <c r="L1606" s="1" t="str">
        <f t="shared" si="231"/>
        <v>20220928</v>
      </c>
      <c r="M1606" s="1" t="str">
        <f>"074753"</f>
        <v>074753</v>
      </c>
      <c r="N1606" s="1" t="s">
        <v>65</v>
      </c>
      <c r="O1606" s="1" t="s">
        <v>52</v>
      </c>
      <c r="P1606" s="1" t="s">
        <v>55</v>
      </c>
      <c r="Q1606" s="1">
        <v>25</v>
      </c>
      <c r="R1606" s="1">
        <v>0</v>
      </c>
      <c r="S1606" s="1">
        <v>25</v>
      </c>
      <c r="T1606" s="1">
        <v>0</v>
      </c>
      <c r="U1606" s="1">
        <v>0</v>
      </c>
      <c r="V1606" s="1" t="str">
        <f t="shared" si="233"/>
        <v>里程返程</v>
      </c>
      <c r="W1606" s="1" t="s">
        <v>29</v>
      </c>
    </row>
    <row r="1607" spans="1:23" x14ac:dyDescent="0.3">
      <c r="A1607" s="1" t="str">
        <f t="shared" si="234"/>
        <v>59828</v>
      </c>
      <c r="B1607" s="1" t="s">
        <v>23</v>
      </c>
      <c r="C1607" s="1" t="s">
        <v>24</v>
      </c>
      <c r="D1607" s="1" t="str">
        <f t="shared" si="232"/>
        <v>9801</v>
      </c>
      <c r="E1607" s="1" t="s">
        <v>25</v>
      </c>
      <c r="F1607" s="1" t="str">
        <f>"62F00B1881880400C814002000000019"</f>
        <v>62F00B1881880400C814002000000019</v>
      </c>
      <c r="G1607" s="1" t="s">
        <v>59</v>
      </c>
      <c r="H1607" s="1" t="str">
        <f t="shared" si="230"/>
        <v>20220928</v>
      </c>
      <c r="I1607" s="1" t="str">
        <f>"071921"</f>
        <v>071921</v>
      </c>
      <c r="J1607" s="1" t="s">
        <v>28</v>
      </c>
      <c r="K1607" s="1" t="s">
        <v>28</v>
      </c>
      <c r="L1607" s="1" t="str">
        <f t="shared" si="231"/>
        <v>20220928</v>
      </c>
      <c r="M1607" s="1" t="str">
        <f>"075121"</f>
        <v>075121</v>
      </c>
      <c r="N1607" s="1" t="s">
        <v>71</v>
      </c>
      <c r="O1607" s="1" t="s">
        <v>52</v>
      </c>
      <c r="P1607" s="1" t="s">
        <v>55</v>
      </c>
      <c r="Q1607" s="1">
        <v>25</v>
      </c>
      <c r="R1607" s="1">
        <v>0</v>
      </c>
      <c r="S1607" s="1">
        <v>25</v>
      </c>
      <c r="T1607" s="1">
        <v>0</v>
      </c>
      <c r="U1607" s="1">
        <v>0</v>
      </c>
      <c r="V1607" s="1" t="str">
        <f t="shared" si="233"/>
        <v>里程返程</v>
      </c>
      <c r="W1607" s="1" t="s">
        <v>29</v>
      </c>
    </row>
    <row r="1608" spans="1:23" x14ac:dyDescent="0.3">
      <c r="A1608" s="1" t="str">
        <f t="shared" si="234"/>
        <v>59828</v>
      </c>
      <c r="B1608" s="1" t="s">
        <v>23</v>
      </c>
      <c r="C1608" s="1" t="s">
        <v>24</v>
      </c>
      <c r="D1608" s="1" t="str">
        <f t="shared" si="232"/>
        <v>9801</v>
      </c>
      <c r="E1608" s="1" t="s">
        <v>25</v>
      </c>
      <c r="F1608" s="1" t="str">
        <f>"825D0C18CB880400C814002000000019"</f>
        <v>825D0C18CB880400C814002000000019</v>
      </c>
      <c r="G1608" s="1" t="s">
        <v>59</v>
      </c>
      <c r="H1608" s="1" t="str">
        <f t="shared" si="230"/>
        <v>20220928</v>
      </c>
      <c r="I1608" s="1" t="str">
        <f>"071924"</f>
        <v>071924</v>
      </c>
      <c r="J1608" s="1" t="s">
        <v>28</v>
      </c>
      <c r="K1608" s="1" t="s">
        <v>28</v>
      </c>
      <c r="L1608" s="1" t="str">
        <f t="shared" si="231"/>
        <v>20220928</v>
      </c>
      <c r="M1608" s="1" t="str">
        <f>"080045"</f>
        <v>080045</v>
      </c>
      <c r="N1608" s="1" t="s">
        <v>52</v>
      </c>
      <c r="O1608" s="1" t="s">
        <v>52</v>
      </c>
      <c r="P1608" s="1" t="s">
        <v>55</v>
      </c>
      <c r="Q1608" s="1">
        <v>25</v>
      </c>
      <c r="R1608" s="1">
        <v>0</v>
      </c>
      <c r="S1608" s="1">
        <v>25</v>
      </c>
      <c r="T1608" s="1">
        <v>0</v>
      </c>
      <c r="U1608" s="1">
        <v>0</v>
      </c>
      <c r="V1608" s="1" t="str">
        <f t="shared" si="233"/>
        <v>里程返程</v>
      </c>
      <c r="W1608" s="1" t="s">
        <v>29</v>
      </c>
    </row>
    <row r="1609" spans="1:23" x14ac:dyDescent="0.3">
      <c r="A1609" s="1" t="str">
        <f t="shared" si="234"/>
        <v>59828</v>
      </c>
      <c r="B1609" s="1" t="s">
        <v>23</v>
      </c>
      <c r="C1609" s="1" t="s">
        <v>24</v>
      </c>
      <c r="D1609" s="1" t="str">
        <f t="shared" si="232"/>
        <v>9801</v>
      </c>
      <c r="E1609" s="1" t="s">
        <v>25</v>
      </c>
      <c r="F1609" s="1" t="str">
        <f>"72E04602D6880400C821002000000015"</f>
        <v>72E04602D6880400C821002000000015</v>
      </c>
      <c r="G1609" s="1" t="s">
        <v>26</v>
      </c>
      <c r="H1609" s="1" t="str">
        <f t="shared" si="230"/>
        <v>20220928</v>
      </c>
      <c r="I1609" s="1" t="str">
        <f>"071932"</f>
        <v>071932</v>
      </c>
      <c r="J1609" s="1" t="s">
        <v>28</v>
      </c>
      <c r="K1609" s="1" t="s">
        <v>28</v>
      </c>
      <c r="L1609" s="1" t="str">
        <f t="shared" si="231"/>
        <v>20220928</v>
      </c>
      <c r="M1609" s="1" t="str">
        <f>"074750"</f>
        <v>074750</v>
      </c>
      <c r="N1609" s="1" t="s">
        <v>65</v>
      </c>
      <c r="O1609" s="1" t="s">
        <v>52</v>
      </c>
      <c r="P1609" s="1" t="s">
        <v>68</v>
      </c>
      <c r="Q1609" s="1">
        <v>13</v>
      </c>
      <c r="R1609" s="1">
        <v>0</v>
      </c>
      <c r="S1609" s="1">
        <v>0</v>
      </c>
      <c r="T1609" s="1">
        <v>13</v>
      </c>
      <c r="U1609" s="1">
        <v>0</v>
      </c>
      <c r="V1609" s="1" t="str">
        <f t="shared" si="233"/>
        <v>里程返程</v>
      </c>
      <c r="W1609" s="1" t="s">
        <v>29</v>
      </c>
    </row>
    <row r="1610" spans="1:23" x14ac:dyDescent="0.3">
      <c r="A1610" s="1" t="str">
        <f t="shared" si="234"/>
        <v>59828</v>
      </c>
      <c r="B1610" s="1" t="s">
        <v>23</v>
      </c>
      <c r="C1610" s="1" t="s">
        <v>24</v>
      </c>
      <c r="D1610" s="1" t="str">
        <f t="shared" si="232"/>
        <v>9801</v>
      </c>
      <c r="E1610" s="1" t="s">
        <v>25</v>
      </c>
      <c r="F1610" s="1" t="str">
        <f>"E2FD4F134328040080CED99861013018"</f>
        <v>E2FD4F134328040080CED99861013018</v>
      </c>
      <c r="G1610" s="1" t="s">
        <v>58</v>
      </c>
      <c r="H1610" s="1" t="str">
        <f t="shared" si="230"/>
        <v>20220928</v>
      </c>
      <c r="I1610" s="1" t="str">
        <f>"071935"</f>
        <v>071935</v>
      </c>
      <c r="J1610" s="1" t="s">
        <v>28</v>
      </c>
      <c r="K1610" s="1" t="s">
        <v>28</v>
      </c>
      <c r="L1610" s="1" t="str">
        <f t="shared" si="231"/>
        <v>20220928</v>
      </c>
      <c r="M1610" s="1" t="str">
        <f>"074746"</f>
        <v>074746</v>
      </c>
      <c r="N1610" s="1" t="s">
        <v>65</v>
      </c>
      <c r="O1610" s="1" t="s">
        <v>52</v>
      </c>
      <c r="P1610" s="1" t="s">
        <v>55</v>
      </c>
      <c r="Q1610" s="1">
        <v>25</v>
      </c>
      <c r="R1610" s="1">
        <v>25</v>
      </c>
      <c r="S1610" s="1">
        <v>0</v>
      </c>
      <c r="T1610" s="1">
        <v>0</v>
      </c>
      <c r="U1610" s="1">
        <v>0</v>
      </c>
      <c r="V1610" s="1" t="str">
        <f t="shared" si="233"/>
        <v>里程返程</v>
      </c>
      <c r="W1610" s="1" t="s">
        <v>29</v>
      </c>
    </row>
    <row r="1611" spans="1:23" x14ac:dyDescent="0.3">
      <c r="A1611" s="1" t="str">
        <f t="shared" si="234"/>
        <v>59828</v>
      </c>
      <c r="B1611" s="1" t="s">
        <v>23</v>
      </c>
      <c r="C1611" s="1" t="s">
        <v>24</v>
      </c>
      <c r="D1611" s="1" t="str">
        <f t="shared" si="232"/>
        <v>9801</v>
      </c>
      <c r="E1611" s="1" t="s">
        <v>25</v>
      </c>
      <c r="F1611" s="1" t="str">
        <f>"1204061808880400C814002000000019"</f>
        <v>1204061808880400C814002000000019</v>
      </c>
      <c r="G1611" s="1" t="s">
        <v>59</v>
      </c>
      <c r="H1611" s="1" t="str">
        <f t="shared" si="230"/>
        <v>20220928</v>
      </c>
      <c r="I1611" s="1" t="str">
        <f>"072115"</f>
        <v>072115</v>
      </c>
      <c r="J1611" s="1" t="s">
        <v>28</v>
      </c>
      <c r="K1611" s="1" t="s">
        <v>28</v>
      </c>
      <c r="L1611" s="1" t="str">
        <f t="shared" si="231"/>
        <v>20220928</v>
      </c>
      <c r="M1611" s="1" t="str">
        <f>"075123"</f>
        <v>075123</v>
      </c>
      <c r="N1611" s="1" t="s">
        <v>71</v>
      </c>
      <c r="O1611" s="1" t="s">
        <v>52</v>
      </c>
      <c r="P1611" s="1" t="s">
        <v>55</v>
      </c>
      <c r="Q1611" s="1">
        <v>25</v>
      </c>
      <c r="R1611" s="1">
        <v>0</v>
      </c>
      <c r="S1611" s="1">
        <v>25</v>
      </c>
      <c r="T1611" s="1">
        <v>0</v>
      </c>
      <c r="U1611" s="1">
        <v>0</v>
      </c>
      <c r="V1611" s="1" t="str">
        <f t="shared" si="233"/>
        <v>里程返程</v>
      </c>
      <c r="W1611" s="1" t="s">
        <v>29</v>
      </c>
    </row>
    <row r="1612" spans="1:23" x14ac:dyDescent="0.3">
      <c r="A1612" s="1" t="str">
        <f t="shared" si="234"/>
        <v>59828</v>
      </c>
      <c r="B1612" s="1" t="s">
        <v>23</v>
      </c>
      <c r="C1612" s="1" t="s">
        <v>24</v>
      </c>
      <c r="D1612" s="1" t="str">
        <f t="shared" si="232"/>
        <v>9801</v>
      </c>
      <c r="E1612" s="1" t="s">
        <v>25</v>
      </c>
      <c r="F1612" s="1" t="str">
        <f>"42F7E50252880400C834002000000015"</f>
        <v>42F7E50252880400C834002000000015</v>
      </c>
      <c r="G1612" s="1" t="s">
        <v>26</v>
      </c>
      <c r="H1612" s="1" t="str">
        <f t="shared" si="230"/>
        <v>20220928</v>
      </c>
      <c r="I1612" s="1" t="str">
        <f>"072322"</f>
        <v>072322</v>
      </c>
      <c r="J1612" s="1" t="s">
        <v>28</v>
      </c>
      <c r="K1612" s="1" t="s">
        <v>28</v>
      </c>
      <c r="L1612" s="1" t="str">
        <f t="shared" si="231"/>
        <v>20220928</v>
      </c>
      <c r="M1612" s="1" t="str">
        <f>"080037"</f>
        <v>080037</v>
      </c>
      <c r="N1612" s="1" t="s">
        <v>52</v>
      </c>
      <c r="O1612" s="1" t="s">
        <v>52</v>
      </c>
      <c r="P1612" s="1" t="s">
        <v>68</v>
      </c>
      <c r="Q1612" s="1">
        <v>13</v>
      </c>
      <c r="R1612" s="1">
        <v>0</v>
      </c>
      <c r="S1612" s="1">
        <v>0</v>
      </c>
      <c r="T1612" s="1">
        <v>13</v>
      </c>
      <c r="U1612" s="1">
        <v>0</v>
      </c>
      <c r="V1612" s="1" t="str">
        <f t="shared" si="233"/>
        <v>里程返程</v>
      </c>
      <c r="W1612" s="1" t="s">
        <v>29</v>
      </c>
    </row>
    <row r="1613" spans="1:23" x14ac:dyDescent="0.3">
      <c r="A1613" s="1" t="str">
        <f t="shared" si="234"/>
        <v>59828</v>
      </c>
      <c r="B1613" s="1" t="s">
        <v>23</v>
      </c>
      <c r="C1613" s="1" t="s">
        <v>24</v>
      </c>
      <c r="D1613" s="1" t="str">
        <f t="shared" si="232"/>
        <v>9801</v>
      </c>
      <c r="E1613" s="1" t="s">
        <v>25</v>
      </c>
      <c r="F1613" s="1" t="str">
        <f>"1759959808"</f>
        <v>1759959808</v>
      </c>
      <c r="G1613" s="1" t="s">
        <v>33</v>
      </c>
      <c r="H1613" s="1" t="str">
        <f t="shared" si="230"/>
        <v>20220928</v>
      </c>
      <c r="I1613" s="1" t="str">
        <f>"074341"</f>
        <v>074341</v>
      </c>
      <c r="J1613" s="1" t="s">
        <v>80</v>
      </c>
      <c r="K1613" s="1" t="s">
        <v>52</v>
      </c>
      <c r="L1613" s="1" t="str">
        <f t="shared" si="231"/>
        <v>20220928</v>
      </c>
      <c r="M1613" s="1" t="str">
        <f>"075553"</f>
        <v>075553</v>
      </c>
      <c r="N1613" s="1" t="s">
        <v>60</v>
      </c>
      <c r="O1613" s="1" t="s">
        <v>52</v>
      </c>
      <c r="P1613" s="1" t="s">
        <v>55</v>
      </c>
      <c r="Q1613" s="1">
        <v>25</v>
      </c>
      <c r="R1613" s="1">
        <v>25</v>
      </c>
      <c r="S1613" s="1">
        <v>0</v>
      </c>
      <c r="T1613" s="1">
        <v>0</v>
      </c>
      <c r="U1613" s="1">
        <v>0</v>
      </c>
      <c r="V1613" s="1" t="str">
        <f t="shared" si="233"/>
        <v>里程返程</v>
      </c>
      <c r="W1613" s="1" t="s">
        <v>35</v>
      </c>
    </row>
    <row r="1614" spans="1:23" x14ac:dyDescent="0.3">
      <c r="A1614" s="1" t="str">
        <f t="shared" si="234"/>
        <v>59828</v>
      </c>
      <c r="B1614" s="1" t="s">
        <v>23</v>
      </c>
      <c r="C1614" s="1" t="s">
        <v>24</v>
      </c>
      <c r="D1614" s="1" t="str">
        <f t="shared" si="232"/>
        <v>9801</v>
      </c>
      <c r="E1614" s="1" t="s">
        <v>25</v>
      </c>
      <c r="F1614" s="1" t="str">
        <f>"E220D10211880400C834002000000015"</f>
        <v>E220D10211880400C834002000000015</v>
      </c>
      <c r="G1614" s="1" t="s">
        <v>74</v>
      </c>
      <c r="H1614" s="1" t="str">
        <f t="shared" si="230"/>
        <v>20220928</v>
      </c>
      <c r="I1614" s="1" t="str">
        <f>"131326"</f>
        <v>131326</v>
      </c>
      <c r="J1614" s="1" t="s">
        <v>97</v>
      </c>
      <c r="K1614" s="1" t="s">
        <v>52</v>
      </c>
      <c r="L1614" s="1" t="str">
        <f t="shared" si="231"/>
        <v>20220928</v>
      </c>
      <c r="M1614" s="1" t="str">
        <f>"131525"</f>
        <v>131525</v>
      </c>
      <c r="N1614" s="1" t="s">
        <v>65</v>
      </c>
      <c r="O1614" s="1" t="s">
        <v>52</v>
      </c>
      <c r="P1614" s="1" t="s">
        <v>68</v>
      </c>
      <c r="Q1614" s="1">
        <v>13</v>
      </c>
      <c r="R1614" s="1">
        <v>0</v>
      </c>
      <c r="S1614" s="1">
        <v>0</v>
      </c>
      <c r="T1614" s="1">
        <v>13</v>
      </c>
      <c r="U1614" s="1">
        <v>0</v>
      </c>
      <c r="V1614" s="1" t="str">
        <f t="shared" si="233"/>
        <v>里程返程</v>
      </c>
      <c r="W1614" s="1" t="s">
        <v>29</v>
      </c>
    </row>
    <row r="1615" spans="1:23" x14ac:dyDescent="0.3">
      <c r="A1615" s="1" t="str">
        <f t="shared" si="234"/>
        <v>59828</v>
      </c>
      <c r="B1615" s="1" t="s">
        <v>23</v>
      </c>
      <c r="C1615" s="1" t="s">
        <v>24</v>
      </c>
      <c r="D1615" s="1" t="str">
        <f t="shared" si="232"/>
        <v>9801</v>
      </c>
      <c r="E1615" s="1" t="s">
        <v>25</v>
      </c>
      <c r="F1615" s="1" t="str">
        <f>"1401889921"</f>
        <v>1401889921</v>
      </c>
      <c r="G1615" s="1" t="s">
        <v>33</v>
      </c>
      <c r="H1615" s="1" t="str">
        <f t="shared" si="230"/>
        <v>20220928</v>
      </c>
      <c r="I1615" s="1" t="str">
        <f>"132015"</f>
        <v>132015</v>
      </c>
      <c r="J1615" s="1" t="s">
        <v>60</v>
      </c>
      <c r="K1615" s="1" t="s">
        <v>52</v>
      </c>
      <c r="L1615" s="1" t="str">
        <f t="shared" si="231"/>
        <v>20220928</v>
      </c>
      <c r="M1615" s="1" t="str">
        <f>"132414"</f>
        <v>132414</v>
      </c>
      <c r="N1615" s="1" t="s">
        <v>52</v>
      </c>
      <c r="O1615" s="1" t="s">
        <v>52</v>
      </c>
      <c r="P1615" s="1" t="s">
        <v>55</v>
      </c>
      <c r="Q1615" s="1">
        <v>25</v>
      </c>
      <c r="R1615" s="1">
        <v>0</v>
      </c>
      <c r="S1615" s="1">
        <v>25</v>
      </c>
      <c r="T1615" s="1">
        <v>0</v>
      </c>
      <c r="U1615" s="1">
        <v>0</v>
      </c>
      <c r="V1615" s="1" t="str">
        <f t="shared" si="233"/>
        <v>里程返程</v>
      </c>
      <c r="W1615" s="1" t="s">
        <v>35</v>
      </c>
    </row>
    <row r="1616" spans="1:23" x14ac:dyDescent="0.3">
      <c r="A1616" s="1" t="str">
        <f t="shared" si="234"/>
        <v>59828</v>
      </c>
      <c r="B1616" s="1" t="s">
        <v>23</v>
      </c>
      <c r="C1616" s="1" t="s">
        <v>24</v>
      </c>
      <c r="D1616" s="1" t="str">
        <f t="shared" si="232"/>
        <v>9801</v>
      </c>
      <c r="E1616" s="1" t="s">
        <v>25</v>
      </c>
      <c r="F1616" s="1" t="str">
        <f>"129A8D191C880400C824002000000020"</f>
        <v>129A8D191C880400C824002000000020</v>
      </c>
      <c r="G1616" s="1" t="s">
        <v>59</v>
      </c>
      <c r="H1616" s="1" t="str">
        <f t="shared" si="230"/>
        <v>20220928</v>
      </c>
      <c r="I1616" s="1" t="str">
        <f>"145353"</f>
        <v>145353</v>
      </c>
      <c r="J1616" s="1" t="s">
        <v>28</v>
      </c>
      <c r="K1616" s="1" t="s">
        <v>28</v>
      </c>
      <c r="L1616" s="1" t="str">
        <f t="shared" si="231"/>
        <v>20220928</v>
      </c>
      <c r="M1616" s="1" t="str">
        <f>"152236"</f>
        <v>152236</v>
      </c>
      <c r="N1616" s="1" t="s">
        <v>86</v>
      </c>
      <c r="O1616" s="1" t="s">
        <v>52</v>
      </c>
      <c r="P1616" s="1" t="s">
        <v>55</v>
      </c>
      <c r="Q1616" s="1">
        <v>25</v>
      </c>
      <c r="R1616" s="1">
        <v>0</v>
      </c>
      <c r="S1616" s="1">
        <v>25</v>
      </c>
      <c r="T1616" s="1">
        <v>0</v>
      </c>
      <c r="U1616" s="1">
        <v>0</v>
      </c>
      <c r="V1616" s="1" t="str">
        <f t="shared" si="233"/>
        <v>里程返程</v>
      </c>
      <c r="W1616" s="1" t="s">
        <v>29</v>
      </c>
    </row>
    <row r="1617" spans="1:23" x14ac:dyDescent="0.3">
      <c r="A1617" s="1" t="str">
        <f t="shared" si="234"/>
        <v>59828</v>
      </c>
      <c r="B1617" s="1" t="s">
        <v>23</v>
      </c>
      <c r="C1617" s="1" t="s">
        <v>24</v>
      </c>
      <c r="D1617" s="1" t="str">
        <f t="shared" si="232"/>
        <v>9801</v>
      </c>
      <c r="E1617" s="1" t="s">
        <v>25</v>
      </c>
      <c r="F1617" s="1" t="str">
        <f>"A2590C03F4880400C834002000000015"</f>
        <v>A2590C03F4880400C834002000000015</v>
      </c>
      <c r="G1617" s="1" t="s">
        <v>26</v>
      </c>
      <c r="H1617" s="1" t="str">
        <f t="shared" si="230"/>
        <v>20220928</v>
      </c>
      <c r="I1617" s="1" t="str">
        <f>"154944"</f>
        <v>154944</v>
      </c>
      <c r="J1617" s="1" t="s">
        <v>28</v>
      </c>
      <c r="K1617" s="1" t="s">
        <v>28</v>
      </c>
      <c r="L1617" s="1" t="str">
        <f t="shared" si="231"/>
        <v>20220928</v>
      </c>
      <c r="M1617" s="1" t="str">
        <f>"160221"</f>
        <v>160221</v>
      </c>
      <c r="N1617" s="1" t="s">
        <v>83</v>
      </c>
      <c r="O1617" s="1" t="s">
        <v>52</v>
      </c>
      <c r="P1617" s="1" t="s">
        <v>68</v>
      </c>
      <c r="Q1617" s="1">
        <v>13</v>
      </c>
      <c r="R1617" s="1">
        <v>0</v>
      </c>
      <c r="S1617" s="1">
        <v>0</v>
      </c>
      <c r="T1617" s="1">
        <v>13</v>
      </c>
      <c r="U1617" s="1">
        <v>0</v>
      </c>
      <c r="V1617" s="1" t="str">
        <f t="shared" si="233"/>
        <v>里程返程</v>
      </c>
      <c r="W1617" s="1" t="s">
        <v>29</v>
      </c>
    </row>
    <row r="1618" spans="1:23" x14ac:dyDescent="0.3">
      <c r="A1618" s="1" t="str">
        <f t="shared" si="234"/>
        <v>59828</v>
      </c>
      <c r="B1618" s="1" t="s">
        <v>23</v>
      </c>
      <c r="C1618" s="1" t="s">
        <v>24</v>
      </c>
      <c r="D1618" s="1" t="str">
        <f t="shared" si="232"/>
        <v>9801</v>
      </c>
      <c r="E1618" s="1" t="s">
        <v>25</v>
      </c>
      <c r="F1618" s="1" t="str">
        <f>"42AFE60209880400C834002000000015"</f>
        <v>42AFE60209880400C834002000000015</v>
      </c>
      <c r="G1618" s="1" t="s">
        <v>74</v>
      </c>
      <c r="H1618" s="1" t="str">
        <f t="shared" si="230"/>
        <v>20220928</v>
      </c>
      <c r="I1618" s="1" t="str">
        <f>"161332"</f>
        <v>161332</v>
      </c>
      <c r="J1618" s="1" t="s">
        <v>80</v>
      </c>
      <c r="K1618" s="1" t="s">
        <v>52</v>
      </c>
      <c r="L1618" s="1" t="str">
        <f t="shared" si="231"/>
        <v>20220928</v>
      </c>
      <c r="M1618" s="1" t="str">
        <f>"162604"</f>
        <v>162604</v>
      </c>
      <c r="N1618" s="1" t="s">
        <v>52</v>
      </c>
      <c r="O1618" s="1" t="s">
        <v>52</v>
      </c>
      <c r="P1618" s="1" t="s">
        <v>68</v>
      </c>
      <c r="Q1618" s="1">
        <v>13</v>
      </c>
      <c r="R1618" s="1">
        <v>0</v>
      </c>
      <c r="S1618" s="1">
        <v>0</v>
      </c>
      <c r="T1618" s="1">
        <v>13</v>
      </c>
      <c r="U1618" s="1">
        <v>0</v>
      </c>
      <c r="V1618" s="1" t="str">
        <f t="shared" si="233"/>
        <v>里程返程</v>
      </c>
      <c r="W1618" s="1" t="s">
        <v>29</v>
      </c>
    </row>
    <row r="1619" spans="1:23" x14ac:dyDescent="0.3">
      <c r="A1619" s="1" t="str">
        <f t="shared" si="234"/>
        <v>59828</v>
      </c>
      <c r="B1619" s="1" t="s">
        <v>23</v>
      </c>
      <c r="C1619" s="1" t="s">
        <v>24</v>
      </c>
      <c r="D1619" s="1" t="str">
        <f t="shared" si="232"/>
        <v>9801</v>
      </c>
      <c r="E1619" s="1" t="s">
        <v>25</v>
      </c>
      <c r="F1619" s="1" t="str">
        <f>"7227E702B0880400C834002000000015"</f>
        <v>7227E702B0880400C834002000000015</v>
      </c>
      <c r="G1619" s="1" t="s">
        <v>74</v>
      </c>
      <c r="H1619" s="1" t="str">
        <f t="shared" si="230"/>
        <v>20220928</v>
      </c>
      <c r="I1619" s="1" t="str">
        <f>"161339"</f>
        <v>161339</v>
      </c>
      <c r="J1619" s="1" t="s">
        <v>80</v>
      </c>
      <c r="K1619" s="1" t="s">
        <v>52</v>
      </c>
      <c r="L1619" s="1" t="str">
        <f t="shared" si="231"/>
        <v>20220928</v>
      </c>
      <c r="M1619" s="1" t="str">
        <f>"162559"</f>
        <v>162559</v>
      </c>
      <c r="N1619" s="1" t="s">
        <v>52</v>
      </c>
      <c r="O1619" s="1" t="s">
        <v>52</v>
      </c>
      <c r="P1619" s="1" t="s">
        <v>68</v>
      </c>
      <c r="Q1619" s="1">
        <v>13</v>
      </c>
      <c r="R1619" s="1">
        <v>0</v>
      </c>
      <c r="S1619" s="1">
        <v>0</v>
      </c>
      <c r="T1619" s="1">
        <v>13</v>
      </c>
      <c r="U1619" s="1">
        <v>0</v>
      </c>
      <c r="V1619" s="1" t="str">
        <f t="shared" si="233"/>
        <v>里程返程</v>
      </c>
      <c r="W1619" s="1" t="s">
        <v>29</v>
      </c>
    </row>
    <row r="1620" spans="1:23" x14ac:dyDescent="0.3">
      <c r="A1620" s="1" t="str">
        <f t="shared" si="234"/>
        <v>59828</v>
      </c>
      <c r="B1620" s="1" t="s">
        <v>23</v>
      </c>
      <c r="C1620" s="1" t="s">
        <v>24</v>
      </c>
      <c r="D1620" s="1" t="str">
        <f t="shared" si="232"/>
        <v>9801</v>
      </c>
      <c r="E1620" s="1" t="s">
        <v>25</v>
      </c>
      <c r="F1620" s="1" t="str">
        <f>"F26F0D0393880400C834002000000015"</f>
        <v>F26F0D0393880400C834002000000015</v>
      </c>
      <c r="G1620" s="1" t="s">
        <v>26</v>
      </c>
      <c r="H1620" s="1" t="str">
        <f t="shared" si="230"/>
        <v>20220928</v>
      </c>
      <c r="I1620" s="1" t="str">
        <f>"162816"</f>
        <v>162816</v>
      </c>
      <c r="J1620" s="1" t="s">
        <v>44</v>
      </c>
      <c r="K1620" s="1" t="s">
        <v>45</v>
      </c>
      <c r="L1620" s="1" t="str">
        <f t="shared" si="231"/>
        <v>20220928</v>
      </c>
      <c r="M1620" s="1" t="str">
        <f>"165002"</f>
        <v>165002</v>
      </c>
      <c r="N1620" s="1" t="s">
        <v>28</v>
      </c>
      <c r="O1620" s="1" t="s">
        <v>28</v>
      </c>
      <c r="P1620" s="1" t="s">
        <v>68</v>
      </c>
      <c r="Q1620" s="1">
        <v>13</v>
      </c>
      <c r="R1620" s="1">
        <v>0</v>
      </c>
      <c r="S1620" s="1">
        <v>0</v>
      </c>
      <c r="T1620" s="1">
        <v>13</v>
      </c>
      <c r="U1620" s="1">
        <v>0</v>
      </c>
      <c r="V1620" s="1" t="str">
        <f t="shared" si="233"/>
        <v>里程返程</v>
      </c>
      <c r="W1620" s="1" t="s">
        <v>29</v>
      </c>
    </row>
    <row r="1621" spans="1:23" x14ac:dyDescent="0.3">
      <c r="A1621" s="1" t="str">
        <f t="shared" si="234"/>
        <v>59828</v>
      </c>
      <c r="B1621" s="1" t="s">
        <v>23</v>
      </c>
      <c r="C1621" s="1" t="s">
        <v>24</v>
      </c>
      <c r="D1621" s="1" t="str">
        <f t="shared" si="232"/>
        <v>9801</v>
      </c>
      <c r="E1621" s="1" t="s">
        <v>25</v>
      </c>
      <c r="F1621" s="1" t="str">
        <f>"1894224283"</f>
        <v>1894224283</v>
      </c>
      <c r="G1621" s="1" t="s">
        <v>33</v>
      </c>
      <c r="H1621" s="1" t="str">
        <f t="shared" si="230"/>
        <v>20220928</v>
      </c>
      <c r="I1621" s="1" t="str">
        <f>"164014"</f>
        <v>164014</v>
      </c>
      <c r="J1621" s="1" t="s">
        <v>56</v>
      </c>
      <c r="K1621" s="1" t="s">
        <v>45</v>
      </c>
      <c r="L1621" s="1" t="str">
        <f t="shared" si="231"/>
        <v>20220928</v>
      </c>
      <c r="M1621" s="1" t="str">
        <f>"164954"</f>
        <v>164954</v>
      </c>
      <c r="N1621" s="1" t="s">
        <v>28</v>
      </c>
      <c r="O1621" s="1" t="s">
        <v>28</v>
      </c>
      <c r="P1621" s="1" t="s">
        <v>55</v>
      </c>
      <c r="Q1621" s="1">
        <v>25</v>
      </c>
      <c r="R1621" s="1">
        <v>0</v>
      </c>
      <c r="S1621" s="1">
        <v>25</v>
      </c>
      <c r="T1621" s="1">
        <v>0</v>
      </c>
      <c r="U1621" s="1">
        <v>0</v>
      </c>
      <c r="V1621" s="1" t="str">
        <f t="shared" si="233"/>
        <v>里程返程</v>
      </c>
      <c r="W1621" s="1" t="s">
        <v>35</v>
      </c>
    </row>
    <row r="1622" spans="1:23" x14ac:dyDescent="0.3">
      <c r="A1622" s="1" t="str">
        <f t="shared" si="234"/>
        <v>59828</v>
      </c>
      <c r="B1622" s="1" t="s">
        <v>23</v>
      </c>
      <c r="C1622" s="1" t="s">
        <v>24</v>
      </c>
      <c r="D1622" s="1" t="str">
        <f t="shared" si="232"/>
        <v>9801</v>
      </c>
      <c r="E1622" s="1" t="s">
        <v>25</v>
      </c>
      <c r="F1622" s="1" t="str">
        <f>"1107063045"</f>
        <v>1107063045</v>
      </c>
      <c r="G1622" s="1" t="s">
        <v>33</v>
      </c>
      <c r="H1622" s="1" t="str">
        <f t="shared" si="230"/>
        <v>20220928</v>
      </c>
      <c r="I1622" s="1" t="str">
        <f>"165017"</f>
        <v>165017</v>
      </c>
      <c r="J1622" s="1" t="s">
        <v>28</v>
      </c>
      <c r="K1622" s="1" t="s">
        <v>28</v>
      </c>
      <c r="L1622" s="1" t="str">
        <f t="shared" si="231"/>
        <v>20220928</v>
      </c>
      <c r="M1622" s="1" t="str">
        <f>"172308"</f>
        <v>172308</v>
      </c>
      <c r="N1622" s="1" t="s">
        <v>51</v>
      </c>
      <c r="O1622" s="1" t="s">
        <v>52</v>
      </c>
      <c r="P1622" s="1" t="s">
        <v>55</v>
      </c>
      <c r="Q1622" s="1">
        <v>25</v>
      </c>
      <c r="R1622" s="1">
        <v>25</v>
      </c>
      <c r="S1622" s="1">
        <v>0</v>
      </c>
      <c r="T1622" s="1">
        <v>0</v>
      </c>
      <c r="U1622" s="1">
        <v>0</v>
      </c>
      <c r="V1622" s="1" t="str">
        <f t="shared" si="233"/>
        <v>里程返程</v>
      </c>
      <c r="W1622" s="1" t="s">
        <v>35</v>
      </c>
    </row>
    <row r="1623" spans="1:23" x14ac:dyDescent="0.3">
      <c r="A1623" s="1" t="str">
        <f t="shared" si="234"/>
        <v>59828</v>
      </c>
      <c r="B1623" s="1" t="s">
        <v>23</v>
      </c>
      <c r="C1623" s="1" t="s">
        <v>24</v>
      </c>
      <c r="D1623" s="1" t="str">
        <f t="shared" si="232"/>
        <v>9801</v>
      </c>
      <c r="E1623" s="1" t="s">
        <v>25</v>
      </c>
      <c r="F1623" s="1" t="str">
        <f>"1002132609"</f>
        <v>1002132609</v>
      </c>
      <c r="G1623" s="1" t="s">
        <v>33</v>
      </c>
      <c r="H1623" s="1" t="str">
        <f t="shared" si="230"/>
        <v>20220928</v>
      </c>
      <c r="I1623" s="1" t="str">
        <f>"165020"</f>
        <v>165020</v>
      </c>
      <c r="J1623" s="1" t="s">
        <v>28</v>
      </c>
      <c r="K1623" s="1" t="s">
        <v>28</v>
      </c>
      <c r="L1623" s="1" t="str">
        <f t="shared" si="231"/>
        <v>20220928</v>
      </c>
      <c r="M1623" s="1" t="str">
        <f>"172305"</f>
        <v>172305</v>
      </c>
      <c r="N1623" s="1" t="s">
        <v>51</v>
      </c>
      <c r="O1623" s="1" t="s">
        <v>52</v>
      </c>
      <c r="P1623" s="1" t="s">
        <v>55</v>
      </c>
      <c r="Q1623" s="1">
        <v>25</v>
      </c>
      <c r="R1623" s="1">
        <v>25</v>
      </c>
      <c r="S1623" s="1">
        <v>0</v>
      </c>
      <c r="T1623" s="1">
        <v>0</v>
      </c>
      <c r="U1623" s="1">
        <v>0</v>
      </c>
      <c r="V1623" s="1" t="str">
        <f t="shared" si="233"/>
        <v>里程返程</v>
      </c>
      <c r="W1623" s="1" t="s">
        <v>35</v>
      </c>
    </row>
    <row r="1624" spans="1:23" x14ac:dyDescent="0.3">
      <c r="A1624" s="1" t="str">
        <f>"59829"</f>
        <v>59829</v>
      </c>
      <c r="B1624" s="1" t="s">
        <v>47</v>
      </c>
      <c r="C1624" s="1" t="s">
        <v>48</v>
      </c>
      <c r="D1624" s="1" t="str">
        <f t="shared" si="232"/>
        <v>9801</v>
      </c>
      <c r="E1624" s="1" t="s">
        <v>25</v>
      </c>
      <c r="F1624" s="1" t="str">
        <f>"1189801733"</f>
        <v>1189801733</v>
      </c>
      <c r="G1624" s="1" t="s">
        <v>26</v>
      </c>
      <c r="H1624" s="1" t="str">
        <f t="shared" si="230"/>
        <v>20220928</v>
      </c>
      <c r="I1624" s="1" t="str">
        <f>"172841"</f>
        <v>172841</v>
      </c>
      <c r="J1624" s="1" t="s">
        <v>44</v>
      </c>
      <c r="K1624" s="1" t="s">
        <v>45</v>
      </c>
      <c r="L1624" s="1" t="str">
        <f t="shared" si="231"/>
        <v>20220928</v>
      </c>
      <c r="M1624" s="1" t="str">
        <f>"175707"</f>
        <v>175707</v>
      </c>
      <c r="N1624" s="1" t="s">
        <v>41</v>
      </c>
      <c r="O1624" s="1" t="s">
        <v>28</v>
      </c>
      <c r="P1624" s="1" t="s">
        <v>55</v>
      </c>
      <c r="Q1624" s="1">
        <v>13</v>
      </c>
      <c r="R1624" s="1">
        <v>0</v>
      </c>
      <c r="S1624" s="1">
        <v>13</v>
      </c>
      <c r="T1624" s="1">
        <v>0</v>
      </c>
      <c r="U1624" s="1">
        <v>0</v>
      </c>
      <c r="V1624" s="1" t="str">
        <f t="shared" si="233"/>
        <v>里程返程</v>
      </c>
      <c r="W1624" s="1" t="s">
        <v>35</v>
      </c>
    </row>
    <row r="1625" spans="1:23" x14ac:dyDescent="0.3">
      <c r="A1625" s="1" t="str">
        <f>"59829"</f>
        <v>59829</v>
      </c>
      <c r="B1625" s="1" t="s">
        <v>47</v>
      </c>
      <c r="C1625" s="1" t="s">
        <v>48</v>
      </c>
      <c r="D1625" s="1" t="str">
        <f t="shared" si="232"/>
        <v>9801</v>
      </c>
      <c r="E1625" s="1" t="s">
        <v>25</v>
      </c>
      <c r="F1625" s="1" t="str">
        <f>"1750007845"</f>
        <v>1750007845</v>
      </c>
      <c r="G1625" s="1" t="s">
        <v>26</v>
      </c>
      <c r="H1625" s="1" t="str">
        <f t="shared" si="230"/>
        <v>20220928</v>
      </c>
      <c r="I1625" s="1" t="str">
        <f>"172844"</f>
        <v>172844</v>
      </c>
      <c r="J1625" s="1" t="s">
        <v>44</v>
      </c>
      <c r="K1625" s="1" t="s">
        <v>45</v>
      </c>
      <c r="L1625" s="1" t="str">
        <f t="shared" si="231"/>
        <v>20220928</v>
      </c>
      <c r="M1625" s="1" t="str">
        <f>"175704"</f>
        <v>175704</v>
      </c>
      <c r="N1625" s="1" t="s">
        <v>41</v>
      </c>
      <c r="O1625" s="1" t="s">
        <v>28</v>
      </c>
      <c r="P1625" s="1" t="s">
        <v>55</v>
      </c>
      <c r="Q1625" s="1">
        <v>13</v>
      </c>
      <c r="R1625" s="1">
        <v>0</v>
      </c>
      <c r="S1625" s="1">
        <v>13</v>
      </c>
      <c r="T1625" s="1">
        <v>0</v>
      </c>
      <c r="U1625" s="1">
        <v>0</v>
      </c>
      <c r="V1625" s="1" t="str">
        <f t="shared" si="233"/>
        <v>里程返程</v>
      </c>
      <c r="W1625" s="1" t="s">
        <v>35</v>
      </c>
    </row>
    <row r="1626" spans="1:23" x14ac:dyDescent="0.3">
      <c r="A1626" s="1" t="str">
        <f>"59829"</f>
        <v>59829</v>
      </c>
      <c r="B1626" s="1" t="s">
        <v>47</v>
      </c>
      <c r="C1626" s="1" t="s">
        <v>48</v>
      </c>
      <c r="D1626" s="1" t="str">
        <f t="shared" si="232"/>
        <v>9801</v>
      </c>
      <c r="E1626" s="1" t="s">
        <v>25</v>
      </c>
      <c r="F1626" s="1" t="str">
        <f>"892975925"</f>
        <v>892975925</v>
      </c>
      <c r="G1626" s="1" t="s">
        <v>33</v>
      </c>
      <c r="H1626" s="1" t="str">
        <f t="shared" si="230"/>
        <v>20220928</v>
      </c>
      <c r="I1626" s="1" t="str">
        <f>"184419"</f>
        <v>184419</v>
      </c>
      <c r="J1626" s="1" t="s">
        <v>56</v>
      </c>
      <c r="K1626" s="1" t="s">
        <v>45</v>
      </c>
      <c r="L1626" s="1" t="str">
        <f t="shared" si="231"/>
        <v>20220928</v>
      </c>
      <c r="M1626" s="1" t="str">
        <f>"185501"</f>
        <v>185501</v>
      </c>
      <c r="N1626" s="1" t="s">
        <v>28</v>
      </c>
      <c r="O1626" s="1" t="s">
        <v>28</v>
      </c>
      <c r="P1626" s="1" t="s">
        <v>55</v>
      </c>
      <c r="Q1626" s="1">
        <v>25</v>
      </c>
      <c r="R1626" s="1">
        <v>25</v>
      </c>
      <c r="S1626" s="1">
        <v>0</v>
      </c>
      <c r="T1626" s="1">
        <v>0</v>
      </c>
      <c r="U1626" s="1">
        <v>0</v>
      </c>
      <c r="V1626" s="1" t="str">
        <f t="shared" si="233"/>
        <v>里程返程</v>
      </c>
      <c r="W1626" s="1" t="s">
        <v>35</v>
      </c>
    </row>
    <row r="1627" spans="1:23" x14ac:dyDescent="0.3">
      <c r="A1627" s="1" t="str">
        <f t="shared" ref="A1627:A1643" si="235">"59825"</f>
        <v>59825</v>
      </c>
      <c r="B1627" s="1" t="s">
        <v>30</v>
      </c>
      <c r="C1627" s="1" t="s">
        <v>31</v>
      </c>
      <c r="D1627" s="1" t="str">
        <f t="shared" si="232"/>
        <v>9801</v>
      </c>
      <c r="E1627" s="1" t="s">
        <v>25</v>
      </c>
      <c r="F1627" s="1" t="str">
        <f>"459398481"</f>
        <v>459398481</v>
      </c>
      <c r="G1627" s="1" t="s">
        <v>26</v>
      </c>
      <c r="H1627" s="1" t="str">
        <f t="shared" ref="H1627:H1670" si="236">"20220929"</f>
        <v>20220929</v>
      </c>
      <c r="I1627" s="1" t="str">
        <f>"082313"</f>
        <v>082313</v>
      </c>
      <c r="J1627" s="1" t="s">
        <v>44</v>
      </c>
      <c r="K1627" s="1" t="s">
        <v>45</v>
      </c>
      <c r="L1627" s="1" t="str">
        <f t="shared" ref="L1627:L1670" si="237">"20220929"</f>
        <v>20220929</v>
      </c>
      <c r="M1627" s="1" t="str">
        <f>"085432"</f>
        <v>085432</v>
      </c>
      <c r="N1627" s="1" t="s">
        <v>28</v>
      </c>
      <c r="O1627" s="1" t="s">
        <v>28</v>
      </c>
      <c r="P1627" s="1" t="s">
        <v>55</v>
      </c>
      <c r="Q1627" s="1">
        <v>13</v>
      </c>
      <c r="R1627" s="1">
        <v>13</v>
      </c>
      <c r="S1627" s="1">
        <v>0</v>
      </c>
      <c r="T1627" s="1">
        <v>0</v>
      </c>
      <c r="U1627" s="1">
        <v>0</v>
      </c>
      <c r="V1627" s="1" t="str">
        <f t="shared" si="233"/>
        <v>里程返程</v>
      </c>
      <c r="W1627" s="1" t="s">
        <v>35</v>
      </c>
    </row>
    <row r="1628" spans="1:23" x14ac:dyDescent="0.3">
      <c r="A1628" s="1" t="str">
        <f t="shared" si="235"/>
        <v>59825</v>
      </c>
      <c r="B1628" s="1" t="s">
        <v>30</v>
      </c>
      <c r="C1628" s="1" t="s">
        <v>31</v>
      </c>
      <c r="D1628" s="1" t="str">
        <f t="shared" si="232"/>
        <v>9801</v>
      </c>
      <c r="E1628" s="1" t="s">
        <v>25</v>
      </c>
      <c r="F1628" s="1" t="str">
        <f>"F29BD102BA880400C834002000000015"</f>
        <v>F29BD102BA880400C834002000000015</v>
      </c>
      <c r="G1628" s="1" t="s">
        <v>26</v>
      </c>
      <c r="H1628" s="1" t="str">
        <f t="shared" si="236"/>
        <v>20220929</v>
      </c>
      <c r="I1628" s="1" t="str">
        <f>"083514"</f>
        <v>083514</v>
      </c>
      <c r="J1628" s="1" t="s">
        <v>100</v>
      </c>
      <c r="K1628" s="1" t="s">
        <v>45</v>
      </c>
      <c r="L1628" s="1" t="str">
        <f t="shared" si="237"/>
        <v>20220929</v>
      </c>
      <c r="M1628" s="1" t="str">
        <f>"085429"</f>
        <v>085429</v>
      </c>
      <c r="N1628" s="1" t="s">
        <v>28</v>
      </c>
      <c r="O1628" s="1" t="s">
        <v>28</v>
      </c>
      <c r="P1628" s="1" t="s">
        <v>68</v>
      </c>
      <c r="Q1628" s="1">
        <v>13</v>
      </c>
      <c r="R1628" s="1">
        <v>0</v>
      </c>
      <c r="S1628" s="1">
        <v>0</v>
      </c>
      <c r="T1628" s="1">
        <v>13</v>
      </c>
      <c r="U1628" s="1">
        <v>0</v>
      </c>
      <c r="V1628" s="1" t="str">
        <f t="shared" si="233"/>
        <v>里程返程</v>
      </c>
      <c r="W1628" s="1" t="s">
        <v>29</v>
      </c>
    </row>
    <row r="1629" spans="1:23" x14ac:dyDescent="0.3">
      <c r="A1629" s="1" t="str">
        <f t="shared" si="235"/>
        <v>59825</v>
      </c>
      <c r="B1629" s="1" t="s">
        <v>30</v>
      </c>
      <c r="C1629" s="1" t="s">
        <v>31</v>
      </c>
      <c r="D1629" s="1" t="str">
        <f t="shared" si="232"/>
        <v>9801</v>
      </c>
      <c r="E1629" s="1" t="s">
        <v>25</v>
      </c>
      <c r="F1629" s="1" t="str">
        <f>"32780D0344880400C834002000000015"</f>
        <v>32780D0344880400C834002000000015</v>
      </c>
      <c r="G1629" s="1" t="s">
        <v>26</v>
      </c>
      <c r="H1629" s="1" t="str">
        <f t="shared" si="236"/>
        <v>20220929</v>
      </c>
      <c r="I1629" s="1" t="str">
        <f>"085702"</f>
        <v>085702</v>
      </c>
      <c r="J1629" s="1" t="s">
        <v>41</v>
      </c>
      <c r="K1629" s="1" t="s">
        <v>28</v>
      </c>
      <c r="L1629" s="1" t="str">
        <f t="shared" si="237"/>
        <v>20220929</v>
      </c>
      <c r="M1629" s="1" t="str">
        <f>"092538"</f>
        <v>092538</v>
      </c>
      <c r="N1629" s="1" t="s">
        <v>52</v>
      </c>
      <c r="O1629" s="1" t="s">
        <v>52</v>
      </c>
      <c r="P1629" s="1" t="s">
        <v>68</v>
      </c>
      <c r="Q1629" s="1">
        <v>13</v>
      </c>
      <c r="R1629" s="1">
        <v>0</v>
      </c>
      <c r="S1629" s="1">
        <v>0</v>
      </c>
      <c r="T1629" s="1">
        <v>13</v>
      </c>
      <c r="U1629" s="1">
        <v>0</v>
      </c>
      <c r="V1629" s="1" t="str">
        <f t="shared" si="233"/>
        <v>里程返程</v>
      </c>
      <c r="W1629" s="1" t="s">
        <v>29</v>
      </c>
    </row>
    <row r="1630" spans="1:23" x14ac:dyDescent="0.3">
      <c r="A1630" s="1" t="str">
        <f t="shared" si="235"/>
        <v>59825</v>
      </c>
      <c r="B1630" s="1" t="s">
        <v>30</v>
      </c>
      <c r="C1630" s="1" t="s">
        <v>31</v>
      </c>
      <c r="D1630" s="1" t="str">
        <f t="shared" si="232"/>
        <v>9801</v>
      </c>
      <c r="E1630" s="1" t="s">
        <v>25</v>
      </c>
      <c r="F1630" s="1" t="str">
        <f>"8141933B68280400F700000000000000"</f>
        <v>8141933B68280400F700000000000000</v>
      </c>
      <c r="G1630" s="1" t="s">
        <v>58</v>
      </c>
      <c r="H1630" s="1" t="str">
        <f t="shared" si="236"/>
        <v>20220929</v>
      </c>
      <c r="I1630" s="1" t="str">
        <f>"095522"</f>
        <v>095522</v>
      </c>
      <c r="J1630" s="1" t="s">
        <v>28</v>
      </c>
      <c r="K1630" s="1" t="s">
        <v>28</v>
      </c>
      <c r="L1630" s="1" t="str">
        <f t="shared" si="237"/>
        <v>20220929</v>
      </c>
      <c r="M1630" s="1" t="str">
        <f>"103030"</f>
        <v>103030</v>
      </c>
      <c r="N1630" s="1" t="s">
        <v>52</v>
      </c>
      <c r="O1630" s="1" t="s">
        <v>52</v>
      </c>
      <c r="P1630" s="1" t="s">
        <v>55</v>
      </c>
      <c r="Q1630" s="1">
        <v>25</v>
      </c>
      <c r="R1630" s="1">
        <v>25</v>
      </c>
      <c r="S1630" s="1">
        <v>0</v>
      </c>
      <c r="T1630" s="1">
        <v>0</v>
      </c>
      <c r="U1630" s="1">
        <v>0</v>
      </c>
      <c r="V1630" s="1" t="str">
        <f t="shared" si="233"/>
        <v>里程返程</v>
      </c>
      <c r="W1630" s="1" t="s">
        <v>29</v>
      </c>
    </row>
    <row r="1631" spans="1:23" x14ac:dyDescent="0.3">
      <c r="A1631" s="1" t="str">
        <f t="shared" si="235"/>
        <v>59825</v>
      </c>
      <c r="B1631" s="1" t="s">
        <v>30</v>
      </c>
      <c r="C1631" s="1" t="s">
        <v>31</v>
      </c>
      <c r="D1631" s="1" t="str">
        <f t="shared" si="232"/>
        <v>9801</v>
      </c>
      <c r="E1631" s="1" t="s">
        <v>25</v>
      </c>
      <c r="F1631" s="1" t="str">
        <f>"1144970565"</f>
        <v>1144970565</v>
      </c>
      <c r="G1631" s="1" t="s">
        <v>33</v>
      </c>
      <c r="H1631" s="1" t="str">
        <f t="shared" si="236"/>
        <v>20220929</v>
      </c>
      <c r="I1631" s="1" t="str">
        <f>"095532"</f>
        <v>095532</v>
      </c>
      <c r="J1631" s="1" t="s">
        <v>28</v>
      </c>
      <c r="K1631" s="1" t="s">
        <v>28</v>
      </c>
      <c r="L1631" s="1" t="str">
        <f t="shared" si="237"/>
        <v>20220929</v>
      </c>
      <c r="M1631" s="1" t="str">
        <f>"101928"</f>
        <v>101928</v>
      </c>
      <c r="N1631" s="1" t="s">
        <v>65</v>
      </c>
      <c r="O1631" s="1" t="s">
        <v>52</v>
      </c>
      <c r="P1631" s="1" t="s">
        <v>55</v>
      </c>
      <c r="Q1631" s="1">
        <v>25</v>
      </c>
      <c r="R1631" s="1">
        <v>25</v>
      </c>
      <c r="S1631" s="1">
        <v>0</v>
      </c>
      <c r="T1631" s="1">
        <v>0</v>
      </c>
      <c r="U1631" s="1">
        <v>0</v>
      </c>
      <c r="V1631" s="1" t="str">
        <f t="shared" si="233"/>
        <v>里程返程</v>
      </c>
      <c r="W1631" s="1" t="s">
        <v>35</v>
      </c>
    </row>
    <row r="1632" spans="1:23" x14ac:dyDescent="0.3">
      <c r="A1632" s="1" t="str">
        <f t="shared" si="235"/>
        <v>59825</v>
      </c>
      <c r="B1632" s="1" t="s">
        <v>30</v>
      </c>
      <c r="C1632" s="1" t="s">
        <v>31</v>
      </c>
      <c r="D1632" s="1" t="str">
        <f t="shared" si="232"/>
        <v>9801</v>
      </c>
      <c r="E1632" s="1" t="s">
        <v>25</v>
      </c>
      <c r="F1632" s="1" t="str">
        <f>"3130B941F9280400F700000000000000"</f>
        <v>3130B941F9280400F700000000000000</v>
      </c>
      <c r="G1632" s="1" t="s">
        <v>58</v>
      </c>
      <c r="H1632" s="1" t="str">
        <f t="shared" si="236"/>
        <v>20220929</v>
      </c>
      <c r="I1632" s="1" t="str">
        <f>"095540"</f>
        <v>095540</v>
      </c>
      <c r="J1632" s="1" t="s">
        <v>28</v>
      </c>
      <c r="K1632" s="1" t="s">
        <v>28</v>
      </c>
      <c r="L1632" s="1" t="str">
        <f t="shared" si="237"/>
        <v>20220929</v>
      </c>
      <c r="M1632" s="1" t="str">
        <f>"103028"</f>
        <v>103028</v>
      </c>
      <c r="N1632" s="1" t="s">
        <v>52</v>
      </c>
      <c r="O1632" s="1" t="s">
        <v>52</v>
      </c>
      <c r="P1632" s="1" t="s">
        <v>55</v>
      </c>
      <c r="Q1632" s="1">
        <v>25</v>
      </c>
      <c r="R1632" s="1">
        <v>25</v>
      </c>
      <c r="S1632" s="1">
        <v>0</v>
      </c>
      <c r="T1632" s="1">
        <v>0</v>
      </c>
      <c r="U1632" s="1">
        <v>0</v>
      </c>
      <c r="V1632" s="1" t="str">
        <f t="shared" si="233"/>
        <v>里程返程</v>
      </c>
      <c r="W1632" s="1" t="s">
        <v>29</v>
      </c>
    </row>
    <row r="1633" spans="1:23" x14ac:dyDescent="0.3">
      <c r="A1633" s="1" t="str">
        <f t="shared" si="235"/>
        <v>59825</v>
      </c>
      <c r="B1633" s="1" t="s">
        <v>30</v>
      </c>
      <c r="C1633" s="1" t="s">
        <v>31</v>
      </c>
      <c r="D1633" s="1" t="str">
        <f t="shared" si="232"/>
        <v>9801</v>
      </c>
      <c r="E1633" s="1" t="s">
        <v>25</v>
      </c>
      <c r="F1633" s="1" t="str">
        <f>"1107022357"</f>
        <v>1107022357</v>
      </c>
      <c r="G1633" s="1" t="s">
        <v>33</v>
      </c>
      <c r="H1633" s="1" t="str">
        <f t="shared" si="236"/>
        <v>20220929</v>
      </c>
      <c r="I1633" s="1" t="str">
        <f>"095544"</f>
        <v>095544</v>
      </c>
      <c r="J1633" s="1" t="s">
        <v>28</v>
      </c>
      <c r="K1633" s="1" t="s">
        <v>28</v>
      </c>
      <c r="L1633" s="1" t="str">
        <f t="shared" si="237"/>
        <v>20220929</v>
      </c>
      <c r="M1633" s="1" t="str">
        <f>"101938"</f>
        <v>101938</v>
      </c>
      <c r="N1633" s="1" t="s">
        <v>65</v>
      </c>
      <c r="O1633" s="1" t="s">
        <v>52</v>
      </c>
      <c r="P1633" s="1" t="s">
        <v>55</v>
      </c>
      <c r="Q1633" s="1">
        <v>25</v>
      </c>
      <c r="R1633" s="1">
        <v>25</v>
      </c>
      <c r="S1633" s="1">
        <v>0</v>
      </c>
      <c r="T1633" s="1">
        <v>0</v>
      </c>
      <c r="U1633" s="1">
        <v>0</v>
      </c>
      <c r="V1633" s="1" t="str">
        <f t="shared" si="233"/>
        <v>里程返程</v>
      </c>
      <c r="W1633" s="1" t="s">
        <v>35</v>
      </c>
    </row>
    <row r="1634" spans="1:23" x14ac:dyDescent="0.3">
      <c r="A1634" s="1" t="str">
        <f t="shared" si="235"/>
        <v>59825</v>
      </c>
      <c r="B1634" s="1" t="s">
        <v>30</v>
      </c>
      <c r="C1634" s="1" t="s">
        <v>31</v>
      </c>
      <c r="D1634" s="1" t="str">
        <f t="shared" si="232"/>
        <v>9801</v>
      </c>
      <c r="E1634" s="1" t="s">
        <v>25</v>
      </c>
      <c r="F1634" s="1" t="str">
        <f>"1279584657"</f>
        <v>1279584657</v>
      </c>
      <c r="G1634" s="1" t="s">
        <v>33</v>
      </c>
      <c r="H1634" s="1" t="str">
        <f t="shared" si="236"/>
        <v>20220929</v>
      </c>
      <c r="I1634" s="1" t="str">
        <f>"095553"</f>
        <v>095553</v>
      </c>
      <c r="J1634" s="1" t="s">
        <v>28</v>
      </c>
      <c r="K1634" s="1" t="s">
        <v>28</v>
      </c>
      <c r="L1634" s="1" t="str">
        <f t="shared" si="237"/>
        <v>20220929</v>
      </c>
      <c r="M1634" s="1" t="str">
        <f>"101538"</f>
        <v>101538</v>
      </c>
      <c r="N1634" s="1" t="s">
        <v>80</v>
      </c>
      <c r="O1634" s="1" t="s">
        <v>52</v>
      </c>
      <c r="P1634" s="1" t="s">
        <v>55</v>
      </c>
      <c r="Q1634" s="1">
        <v>25</v>
      </c>
      <c r="R1634" s="1">
        <v>25</v>
      </c>
      <c r="S1634" s="1">
        <v>0</v>
      </c>
      <c r="T1634" s="1">
        <v>0</v>
      </c>
      <c r="U1634" s="1">
        <v>0</v>
      </c>
      <c r="V1634" s="1" t="str">
        <f t="shared" si="233"/>
        <v>里程返程</v>
      </c>
      <c r="W1634" s="1" t="s">
        <v>35</v>
      </c>
    </row>
    <row r="1635" spans="1:23" x14ac:dyDescent="0.3">
      <c r="A1635" s="1" t="str">
        <f t="shared" si="235"/>
        <v>59825</v>
      </c>
      <c r="B1635" s="1" t="s">
        <v>30</v>
      </c>
      <c r="C1635" s="1" t="s">
        <v>31</v>
      </c>
      <c r="D1635" s="1" t="str">
        <f t="shared" si="232"/>
        <v>9801</v>
      </c>
      <c r="E1635" s="1" t="s">
        <v>25</v>
      </c>
      <c r="F1635" s="1" t="str">
        <f>"0153F902A988040043252B4B0008050F"</f>
        <v>0153F902A988040043252B4B0008050F</v>
      </c>
      <c r="G1635" s="1" t="s">
        <v>64</v>
      </c>
      <c r="H1635" s="1" t="str">
        <f t="shared" si="236"/>
        <v>20220929</v>
      </c>
      <c r="I1635" s="1" t="str">
        <f>"095600"</f>
        <v>095600</v>
      </c>
      <c r="J1635" s="1" t="s">
        <v>28</v>
      </c>
      <c r="K1635" s="1" t="s">
        <v>28</v>
      </c>
      <c r="L1635" s="1" t="str">
        <f t="shared" si="237"/>
        <v>20220929</v>
      </c>
      <c r="M1635" s="1" t="str">
        <f>"101916"</f>
        <v>101916</v>
      </c>
      <c r="N1635" s="1" t="s">
        <v>65</v>
      </c>
      <c r="O1635" s="1" t="s">
        <v>52</v>
      </c>
      <c r="P1635" s="1" t="s">
        <v>55</v>
      </c>
      <c r="Q1635" s="1">
        <v>13</v>
      </c>
      <c r="R1635" s="1">
        <v>13</v>
      </c>
      <c r="S1635" s="1">
        <v>0</v>
      </c>
      <c r="T1635" s="1">
        <v>0</v>
      </c>
      <c r="U1635" s="1">
        <v>0</v>
      </c>
      <c r="V1635" s="1" t="str">
        <f t="shared" si="233"/>
        <v>里程返程</v>
      </c>
      <c r="W1635" s="1" t="s">
        <v>29</v>
      </c>
    </row>
    <row r="1636" spans="1:23" x14ac:dyDescent="0.3">
      <c r="A1636" s="1" t="str">
        <f t="shared" si="235"/>
        <v>59825</v>
      </c>
      <c r="B1636" s="1" t="s">
        <v>30</v>
      </c>
      <c r="C1636" s="1" t="s">
        <v>31</v>
      </c>
      <c r="D1636" s="1" t="str">
        <f t="shared" si="232"/>
        <v>9801</v>
      </c>
      <c r="E1636" s="1" t="s">
        <v>25</v>
      </c>
      <c r="F1636" s="1" t="str">
        <f>"DEBFE7AF2988040047BA14534D301610"</f>
        <v>DEBFE7AF2988040047BA14534D301610</v>
      </c>
      <c r="G1636" s="1" t="s">
        <v>58</v>
      </c>
      <c r="H1636" s="1" t="str">
        <f t="shared" si="236"/>
        <v>20220929</v>
      </c>
      <c r="I1636" s="1" t="str">
        <f>"095605"</f>
        <v>095605</v>
      </c>
      <c r="J1636" s="1" t="s">
        <v>28</v>
      </c>
      <c r="K1636" s="1" t="s">
        <v>28</v>
      </c>
      <c r="L1636" s="1" t="str">
        <f t="shared" si="237"/>
        <v>20220929</v>
      </c>
      <c r="M1636" s="1" t="str">
        <f>"101913"</f>
        <v>101913</v>
      </c>
      <c r="N1636" s="1" t="s">
        <v>65</v>
      </c>
      <c r="O1636" s="1" t="s">
        <v>52</v>
      </c>
      <c r="P1636" s="1" t="s">
        <v>55</v>
      </c>
      <c r="Q1636" s="1">
        <v>25</v>
      </c>
      <c r="R1636" s="1">
        <v>25</v>
      </c>
      <c r="S1636" s="1">
        <v>0</v>
      </c>
      <c r="T1636" s="1">
        <v>0</v>
      </c>
      <c r="U1636" s="1">
        <v>0</v>
      </c>
      <c r="V1636" s="1" t="str">
        <f t="shared" si="233"/>
        <v>里程返程</v>
      </c>
      <c r="W1636" s="1" t="s">
        <v>29</v>
      </c>
    </row>
    <row r="1637" spans="1:23" x14ac:dyDescent="0.3">
      <c r="A1637" s="1" t="str">
        <f t="shared" si="235"/>
        <v>59825</v>
      </c>
      <c r="B1637" s="1" t="s">
        <v>30</v>
      </c>
      <c r="C1637" s="1" t="s">
        <v>31</v>
      </c>
      <c r="D1637" s="1" t="str">
        <f t="shared" si="232"/>
        <v>9801</v>
      </c>
      <c r="E1637" s="1" t="s">
        <v>25</v>
      </c>
      <c r="F1637" s="1" t="str">
        <f>"555B234A6728040081996114000E3620"</f>
        <v>555B234A6728040081996114000E3620</v>
      </c>
      <c r="G1637" s="1" t="s">
        <v>58</v>
      </c>
      <c r="H1637" s="1" t="str">
        <f t="shared" si="236"/>
        <v>20220929</v>
      </c>
      <c r="I1637" s="1" t="str">
        <f>"095709"</f>
        <v>095709</v>
      </c>
      <c r="J1637" s="1" t="s">
        <v>28</v>
      </c>
      <c r="K1637" s="1" t="s">
        <v>28</v>
      </c>
      <c r="L1637" s="1" t="str">
        <f t="shared" si="237"/>
        <v>20220929</v>
      </c>
      <c r="M1637" s="1" t="str">
        <f>"103025"</f>
        <v>103025</v>
      </c>
      <c r="N1637" s="1" t="s">
        <v>52</v>
      </c>
      <c r="O1637" s="1" t="s">
        <v>52</v>
      </c>
      <c r="P1637" s="1" t="s">
        <v>55</v>
      </c>
      <c r="Q1637" s="1">
        <v>25</v>
      </c>
      <c r="R1637" s="1">
        <v>25</v>
      </c>
      <c r="S1637" s="1">
        <v>0</v>
      </c>
      <c r="T1637" s="1">
        <v>0</v>
      </c>
      <c r="U1637" s="1">
        <v>0</v>
      </c>
      <c r="V1637" s="1" t="str">
        <f t="shared" si="233"/>
        <v>里程返程</v>
      </c>
      <c r="W1637" s="1" t="s">
        <v>29</v>
      </c>
    </row>
    <row r="1638" spans="1:23" x14ac:dyDescent="0.3">
      <c r="A1638" s="1" t="str">
        <f t="shared" si="235"/>
        <v>59825</v>
      </c>
      <c r="B1638" s="1" t="s">
        <v>30</v>
      </c>
      <c r="C1638" s="1" t="s">
        <v>31</v>
      </c>
      <c r="D1638" s="1" t="str">
        <f t="shared" si="232"/>
        <v>9801</v>
      </c>
      <c r="E1638" s="1" t="s">
        <v>25</v>
      </c>
      <c r="F1638" s="1" t="str">
        <f>"41A4F551412804001C00000000000000"</f>
        <v>41A4F551412804001C00000000000000</v>
      </c>
      <c r="G1638" s="1" t="s">
        <v>58</v>
      </c>
      <c r="H1638" s="1" t="str">
        <f t="shared" si="236"/>
        <v>20220929</v>
      </c>
      <c r="I1638" s="1" t="str">
        <f>"095711"</f>
        <v>095711</v>
      </c>
      <c r="J1638" s="1" t="s">
        <v>28</v>
      </c>
      <c r="K1638" s="1" t="s">
        <v>28</v>
      </c>
      <c r="L1638" s="1" t="str">
        <f t="shared" si="237"/>
        <v>20220929</v>
      </c>
      <c r="M1638" s="1" t="str">
        <f>"103021"</f>
        <v>103021</v>
      </c>
      <c r="N1638" s="1" t="s">
        <v>52</v>
      </c>
      <c r="O1638" s="1" t="s">
        <v>52</v>
      </c>
      <c r="P1638" s="1" t="s">
        <v>55</v>
      </c>
      <c r="Q1638" s="1">
        <v>25</v>
      </c>
      <c r="R1638" s="1">
        <v>25</v>
      </c>
      <c r="S1638" s="1">
        <v>0</v>
      </c>
      <c r="T1638" s="1">
        <v>0</v>
      </c>
      <c r="U1638" s="1">
        <v>0</v>
      </c>
      <c r="V1638" s="1" t="str">
        <f t="shared" si="233"/>
        <v>里程返程</v>
      </c>
      <c r="W1638" s="1" t="s">
        <v>29</v>
      </c>
    </row>
    <row r="1639" spans="1:23" x14ac:dyDescent="0.3">
      <c r="A1639" s="1" t="str">
        <f t="shared" si="235"/>
        <v>59825</v>
      </c>
      <c r="B1639" s="1" t="s">
        <v>30</v>
      </c>
      <c r="C1639" s="1" t="s">
        <v>31</v>
      </c>
      <c r="D1639" s="1" t="str">
        <f t="shared" si="232"/>
        <v>9801</v>
      </c>
      <c r="E1639" s="1" t="s">
        <v>25</v>
      </c>
      <c r="F1639" s="1" t="str">
        <f>"F25B1B03B1880400C834002000000015"</f>
        <v>F25B1B03B1880400C834002000000015</v>
      </c>
      <c r="G1639" s="1" t="s">
        <v>26</v>
      </c>
      <c r="H1639" s="1" t="str">
        <f t="shared" si="236"/>
        <v>20220929</v>
      </c>
      <c r="I1639" s="1" t="str">
        <f>"105418"</f>
        <v>105418</v>
      </c>
      <c r="J1639" s="1" t="s">
        <v>28</v>
      </c>
      <c r="K1639" s="1" t="s">
        <v>28</v>
      </c>
      <c r="L1639" s="1" t="str">
        <f t="shared" si="237"/>
        <v>20220929</v>
      </c>
      <c r="M1639" s="1" t="str">
        <f>"112219"</f>
        <v>112219</v>
      </c>
      <c r="N1639" s="1" t="s">
        <v>60</v>
      </c>
      <c r="O1639" s="1" t="s">
        <v>52</v>
      </c>
      <c r="P1639" s="1" t="s">
        <v>68</v>
      </c>
      <c r="Q1639" s="1">
        <v>13</v>
      </c>
      <c r="R1639" s="1">
        <v>0</v>
      </c>
      <c r="S1639" s="1">
        <v>0</v>
      </c>
      <c r="T1639" s="1">
        <v>13</v>
      </c>
      <c r="U1639" s="1">
        <v>0</v>
      </c>
      <c r="V1639" s="1" t="str">
        <f t="shared" si="233"/>
        <v>里程返程</v>
      </c>
      <c r="W1639" s="1" t="s">
        <v>29</v>
      </c>
    </row>
    <row r="1640" spans="1:23" x14ac:dyDescent="0.3">
      <c r="A1640" s="1" t="str">
        <f t="shared" si="235"/>
        <v>59825</v>
      </c>
      <c r="B1640" s="1" t="s">
        <v>30</v>
      </c>
      <c r="C1640" s="1" t="s">
        <v>31</v>
      </c>
      <c r="D1640" s="1" t="str">
        <f t="shared" si="232"/>
        <v>9801</v>
      </c>
      <c r="E1640" s="1" t="s">
        <v>25</v>
      </c>
      <c r="F1640" s="1" t="str">
        <f>"528167681"</f>
        <v>528167681</v>
      </c>
      <c r="G1640" s="1" t="s">
        <v>33</v>
      </c>
      <c r="H1640" s="1" t="str">
        <f t="shared" si="236"/>
        <v>20220929</v>
      </c>
      <c r="I1640" s="1" t="str">
        <f>"114322"</f>
        <v>114322</v>
      </c>
      <c r="J1640" s="1" t="s">
        <v>56</v>
      </c>
      <c r="K1640" s="1" t="s">
        <v>45</v>
      </c>
      <c r="L1640" s="1" t="str">
        <f t="shared" si="237"/>
        <v>20220929</v>
      </c>
      <c r="M1640" s="1" t="str">
        <f>"115441"</f>
        <v>115441</v>
      </c>
      <c r="N1640" s="1" t="s">
        <v>28</v>
      </c>
      <c r="O1640" s="1" t="s">
        <v>28</v>
      </c>
      <c r="P1640" s="1" t="s">
        <v>55</v>
      </c>
      <c r="Q1640" s="1">
        <v>25</v>
      </c>
      <c r="R1640" s="1">
        <v>25</v>
      </c>
      <c r="S1640" s="1">
        <v>0</v>
      </c>
      <c r="T1640" s="1">
        <v>0</v>
      </c>
      <c r="U1640" s="1">
        <v>0</v>
      </c>
      <c r="V1640" s="1" t="str">
        <f t="shared" si="233"/>
        <v>里程返程</v>
      </c>
      <c r="W1640" s="1" t="s">
        <v>35</v>
      </c>
    </row>
    <row r="1641" spans="1:23" x14ac:dyDescent="0.3">
      <c r="A1641" s="1" t="str">
        <f t="shared" si="235"/>
        <v>59825</v>
      </c>
      <c r="B1641" s="1" t="s">
        <v>30</v>
      </c>
      <c r="C1641" s="1" t="s">
        <v>31</v>
      </c>
      <c r="D1641" s="1" t="str">
        <f t="shared" si="232"/>
        <v>9801</v>
      </c>
      <c r="E1641" s="1" t="s">
        <v>25</v>
      </c>
      <c r="F1641" s="1" t="str">
        <f>"32780D0344880400C834002000000015"</f>
        <v>32780D0344880400C834002000000015</v>
      </c>
      <c r="G1641" s="1" t="s">
        <v>26</v>
      </c>
      <c r="H1641" s="1" t="str">
        <f t="shared" si="236"/>
        <v>20220929</v>
      </c>
      <c r="I1641" s="1" t="str">
        <f>"114325"</f>
        <v>114325</v>
      </c>
      <c r="J1641" s="1" t="s">
        <v>56</v>
      </c>
      <c r="K1641" s="1" t="s">
        <v>45</v>
      </c>
      <c r="L1641" s="1" t="str">
        <f t="shared" si="237"/>
        <v>20220929</v>
      </c>
      <c r="M1641" s="1" t="str">
        <f>"115244"</f>
        <v>115244</v>
      </c>
      <c r="N1641" s="1" t="s">
        <v>95</v>
      </c>
      <c r="O1641" s="1" t="s">
        <v>28</v>
      </c>
      <c r="P1641" s="1" t="s">
        <v>68</v>
      </c>
      <c r="Q1641" s="1">
        <v>13</v>
      </c>
      <c r="R1641" s="1">
        <v>0</v>
      </c>
      <c r="S1641" s="1">
        <v>0</v>
      </c>
      <c r="T1641" s="1">
        <v>13</v>
      </c>
      <c r="U1641" s="1">
        <v>0</v>
      </c>
      <c r="V1641" s="1" t="str">
        <f t="shared" si="233"/>
        <v>里程返程</v>
      </c>
      <c r="W1641" s="1" t="s">
        <v>29</v>
      </c>
    </row>
    <row r="1642" spans="1:23" x14ac:dyDescent="0.3">
      <c r="A1642" s="1" t="str">
        <f t="shared" si="235"/>
        <v>59825</v>
      </c>
      <c r="B1642" s="1" t="s">
        <v>30</v>
      </c>
      <c r="C1642" s="1" t="s">
        <v>31</v>
      </c>
      <c r="D1642" s="1" t="str">
        <f t="shared" si="232"/>
        <v>9801</v>
      </c>
      <c r="E1642" s="1" t="s">
        <v>25</v>
      </c>
      <c r="F1642" s="1" t="str">
        <f>"880913185"</f>
        <v>880913185</v>
      </c>
      <c r="G1642" s="1" t="s">
        <v>33</v>
      </c>
      <c r="H1642" s="1" t="str">
        <f t="shared" si="236"/>
        <v>20220929</v>
      </c>
      <c r="I1642" s="1" t="str">
        <f>"192616"</f>
        <v>192616</v>
      </c>
      <c r="J1642" s="1" t="s">
        <v>28</v>
      </c>
      <c r="K1642" s="1" t="s">
        <v>28</v>
      </c>
      <c r="L1642" s="1" t="str">
        <f t="shared" si="237"/>
        <v>20220929</v>
      </c>
      <c r="M1642" s="1" t="str">
        <f>"194458"</f>
        <v>194458</v>
      </c>
      <c r="N1642" s="1" t="s">
        <v>65</v>
      </c>
      <c r="O1642" s="1" t="s">
        <v>52</v>
      </c>
      <c r="P1642" s="1" t="s">
        <v>55</v>
      </c>
      <c r="Q1642" s="1">
        <v>25</v>
      </c>
      <c r="R1642" s="1">
        <v>0</v>
      </c>
      <c r="S1642" s="1">
        <v>25</v>
      </c>
      <c r="T1642" s="1">
        <v>0</v>
      </c>
      <c r="U1642" s="1">
        <v>0</v>
      </c>
      <c r="V1642" s="1" t="str">
        <f t="shared" si="233"/>
        <v>里程返程</v>
      </c>
      <c r="W1642" s="1" t="s">
        <v>35</v>
      </c>
    </row>
    <row r="1643" spans="1:23" x14ac:dyDescent="0.3">
      <c r="A1643" s="1" t="str">
        <f t="shared" si="235"/>
        <v>59825</v>
      </c>
      <c r="B1643" s="1" t="s">
        <v>30</v>
      </c>
      <c r="C1643" s="1" t="s">
        <v>31</v>
      </c>
      <c r="D1643" s="1" t="str">
        <f t="shared" si="232"/>
        <v>9801</v>
      </c>
      <c r="E1643" s="1" t="s">
        <v>25</v>
      </c>
      <c r="F1643" s="1" t="str">
        <f>"418A823E77280400F700000000000000"</f>
        <v>418A823E77280400F700000000000000</v>
      </c>
      <c r="G1643" s="1" t="s">
        <v>58</v>
      </c>
      <c r="H1643" s="1" t="str">
        <f t="shared" si="236"/>
        <v>20220929</v>
      </c>
      <c r="I1643" s="1" t="str">
        <f>"192618"</f>
        <v>192618</v>
      </c>
      <c r="J1643" s="1" t="s">
        <v>28</v>
      </c>
      <c r="K1643" s="1" t="s">
        <v>28</v>
      </c>
      <c r="L1643" s="1" t="str">
        <f t="shared" si="237"/>
        <v>20220929</v>
      </c>
      <c r="M1643" s="1" t="str">
        <f>"194449"</f>
        <v>194449</v>
      </c>
      <c r="N1643" s="1" t="s">
        <v>65</v>
      </c>
      <c r="O1643" s="1" t="s">
        <v>52</v>
      </c>
      <c r="P1643" s="1" t="s">
        <v>55</v>
      </c>
      <c r="Q1643" s="1">
        <v>25</v>
      </c>
      <c r="R1643" s="1">
        <v>25</v>
      </c>
      <c r="S1643" s="1">
        <v>0</v>
      </c>
      <c r="T1643" s="1">
        <v>0</v>
      </c>
      <c r="U1643" s="1">
        <v>0</v>
      </c>
      <c r="V1643" s="1" t="str">
        <f t="shared" si="233"/>
        <v>里程返程</v>
      </c>
      <c r="W1643" s="1" t="s">
        <v>29</v>
      </c>
    </row>
    <row r="1644" spans="1:23" x14ac:dyDescent="0.3">
      <c r="A1644" s="1" t="str">
        <f t="shared" ref="A1644:A1662" si="238">"59828"</f>
        <v>59828</v>
      </c>
      <c r="B1644" s="1" t="s">
        <v>23</v>
      </c>
      <c r="C1644" s="1" t="s">
        <v>24</v>
      </c>
      <c r="D1644" s="1" t="str">
        <f t="shared" si="232"/>
        <v>9801</v>
      </c>
      <c r="E1644" s="1" t="s">
        <v>25</v>
      </c>
      <c r="F1644" s="1" t="str">
        <f>"1752749445"</f>
        <v>1752749445</v>
      </c>
      <c r="G1644" s="1" t="s">
        <v>33</v>
      </c>
      <c r="H1644" s="1" t="str">
        <f t="shared" si="236"/>
        <v>20220929</v>
      </c>
      <c r="I1644" s="1" t="str">
        <f>"063405"</f>
        <v>063405</v>
      </c>
      <c r="J1644" s="1" t="s">
        <v>28</v>
      </c>
      <c r="K1644" s="1" t="s">
        <v>28</v>
      </c>
      <c r="L1644" s="1" t="str">
        <f t="shared" si="237"/>
        <v>20220929</v>
      </c>
      <c r="M1644" s="1" t="str">
        <f>"065540"</f>
        <v>065540</v>
      </c>
      <c r="N1644" s="1" t="s">
        <v>72</v>
      </c>
      <c r="O1644" s="1" t="s">
        <v>52</v>
      </c>
      <c r="P1644" s="1" t="s">
        <v>55</v>
      </c>
      <c r="Q1644" s="1">
        <v>25</v>
      </c>
      <c r="R1644" s="1">
        <v>0</v>
      </c>
      <c r="S1644" s="1">
        <v>25</v>
      </c>
      <c r="T1644" s="1">
        <v>0</v>
      </c>
      <c r="U1644" s="1">
        <v>0</v>
      </c>
      <c r="V1644" s="1" t="str">
        <f t="shared" si="233"/>
        <v>里程返程</v>
      </c>
      <c r="W1644" s="1" t="s">
        <v>35</v>
      </c>
    </row>
    <row r="1645" spans="1:23" x14ac:dyDescent="0.3">
      <c r="A1645" s="1" t="str">
        <f t="shared" si="238"/>
        <v>59828</v>
      </c>
      <c r="B1645" s="1" t="s">
        <v>23</v>
      </c>
      <c r="C1645" s="1" t="s">
        <v>24</v>
      </c>
      <c r="D1645" s="1" t="str">
        <f t="shared" si="232"/>
        <v>9801</v>
      </c>
      <c r="E1645" s="1" t="s">
        <v>25</v>
      </c>
      <c r="F1645" s="1" t="str">
        <f>"026A101860880400C814002000000019"</f>
        <v>026A101860880400C814002000000019</v>
      </c>
      <c r="G1645" s="1" t="s">
        <v>59</v>
      </c>
      <c r="H1645" s="1" t="str">
        <f t="shared" si="236"/>
        <v>20220929</v>
      </c>
      <c r="I1645" s="1" t="str">
        <f>"063501"</f>
        <v>063501</v>
      </c>
      <c r="J1645" s="1" t="s">
        <v>28</v>
      </c>
      <c r="K1645" s="1" t="s">
        <v>28</v>
      </c>
      <c r="L1645" s="1" t="str">
        <f t="shared" si="237"/>
        <v>20220929</v>
      </c>
      <c r="M1645" s="1" t="str">
        <f>"065628"</f>
        <v>065628</v>
      </c>
      <c r="N1645" s="1" t="s">
        <v>71</v>
      </c>
      <c r="O1645" s="1" t="s">
        <v>52</v>
      </c>
      <c r="P1645" s="1" t="s">
        <v>55</v>
      </c>
      <c r="Q1645" s="1">
        <v>25</v>
      </c>
      <c r="R1645" s="1">
        <v>0</v>
      </c>
      <c r="S1645" s="1">
        <v>25</v>
      </c>
      <c r="T1645" s="1">
        <v>0</v>
      </c>
      <c r="U1645" s="1">
        <v>0</v>
      </c>
      <c r="V1645" s="1" t="str">
        <f t="shared" si="233"/>
        <v>里程返程</v>
      </c>
      <c r="W1645" s="1" t="s">
        <v>29</v>
      </c>
    </row>
    <row r="1646" spans="1:23" x14ac:dyDescent="0.3">
      <c r="A1646" s="1" t="str">
        <f t="shared" si="238"/>
        <v>59828</v>
      </c>
      <c r="B1646" s="1" t="s">
        <v>23</v>
      </c>
      <c r="C1646" s="1" t="s">
        <v>24</v>
      </c>
      <c r="D1646" s="1" t="str">
        <f t="shared" si="232"/>
        <v>9801</v>
      </c>
      <c r="E1646" s="1" t="s">
        <v>25</v>
      </c>
      <c r="F1646" s="1" t="str">
        <f>"F282E40195880400C821002000000015"</f>
        <v>F282E40195880400C821002000000015</v>
      </c>
      <c r="G1646" s="1" t="s">
        <v>58</v>
      </c>
      <c r="H1646" s="1" t="str">
        <f t="shared" si="236"/>
        <v>20220929</v>
      </c>
      <c r="I1646" s="1" t="str">
        <f>"072150"</f>
        <v>072150</v>
      </c>
      <c r="J1646" s="1" t="s">
        <v>28</v>
      </c>
      <c r="K1646" s="1" t="s">
        <v>28</v>
      </c>
      <c r="L1646" s="1" t="str">
        <f t="shared" si="237"/>
        <v>20220929</v>
      </c>
      <c r="M1646" s="1" t="str">
        <f>"074758"</f>
        <v>074758</v>
      </c>
      <c r="N1646" s="1" t="s">
        <v>65</v>
      </c>
      <c r="O1646" s="1" t="s">
        <v>52</v>
      </c>
      <c r="P1646" s="1" t="s">
        <v>55</v>
      </c>
      <c r="Q1646" s="1">
        <v>25</v>
      </c>
      <c r="R1646" s="1">
        <v>0</v>
      </c>
      <c r="S1646" s="1">
        <v>25</v>
      </c>
      <c r="T1646" s="1">
        <v>0</v>
      </c>
      <c r="U1646" s="1">
        <v>0</v>
      </c>
      <c r="V1646" s="1" t="str">
        <f t="shared" si="233"/>
        <v>里程返程</v>
      </c>
      <c r="W1646" s="1" t="s">
        <v>29</v>
      </c>
    </row>
    <row r="1647" spans="1:23" x14ac:dyDescent="0.3">
      <c r="A1647" s="1" t="str">
        <f t="shared" si="238"/>
        <v>59828</v>
      </c>
      <c r="B1647" s="1" t="s">
        <v>23</v>
      </c>
      <c r="C1647" s="1" t="s">
        <v>24</v>
      </c>
      <c r="D1647" s="1" t="str">
        <f t="shared" si="232"/>
        <v>9801</v>
      </c>
      <c r="E1647" s="1" t="s">
        <v>25</v>
      </c>
      <c r="F1647" s="1" t="str">
        <f>"3592043907"</f>
        <v>3592043907</v>
      </c>
      <c r="G1647" s="1" t="s">
        <v>33</v>
      </c>
      <c r="H1647" s="1" t="str">
        <f t="shared" si="236"/>
        <v>20220929</v>
      </c>
      <c r="I1647" s="1" t="str">
        <f>"072155"</f>
        <v>072155</v>
      </c>
      <c r="J1647" s="1" t="s">
        <v>28</v>
      </c>
      <c r="K1647" s="1" t="s">
        <v>28</v>
      </c>
      <c r="L1647" s="1" t="str">
        <f t="shared" si="237"/>
        <v>20220929</v>
      </c>
      <c r="M1647" s="1" t="str">
        <f>"074801"</f>
        <v>074801</v>
      </c>
      <c r="N1647" s="1" t="s">
        <v>65</v>
      </c>
      <c r="O1647" s="1" t="s">
        <v>52</v>
      </c>
      <c r="P1647" s="1" t="s">
        <v>55</v>
      </c>
      <c r="Q1647" s="1">
        <v>25</v>
      </c>
      <c r="R1647" s="1">
        <v>0</v>
      </c>
      <c r="S1647" s="1">
        <v>25</v>
      </c>
      <c r="T1647" s="1">
        <v>0</v>
      </c>
      <c r="U1647" s="1">
        <v>0</v>
      </c>
      <c r="V1647" s="1" t="str">
        <f t="shared" si="233"/>
        <v>里程返程</v>
      </c>
      <c r="W1647" s="1" t="s">
        <v>35</v>
      </c>
    </row>
    <row r="1648" spans="1:23" x14ac:dyDescent="0.3">
      <c r="A1648" s="1" t="str">
        <f t="shared" si="238"/>
        <v>59828</v>
      </c>
      <c r="B1648" s="1" t="s">
        <v>23</v>
      </c>
      <c r="C1648" s="1" t="s">
        <v>24</v>
      </c>
      <c r="D1648" s="1" t="str">
        <f t="shared" si="232"/>
        <v>9801</v>
      </c>
      <c r="E1648" s="1" t="s">
        <v>25</v>
      </c>
      <c r="F1648" s="1" t="str">
        <f>"62F00B1881880400C814002000000019"</f>
        <v>62F00B1881880400C814002000000019</v>
      </c>
      <c r="G1648" s="1" t="s">
        <v>59</v>
      </c>
      <c r="H1648" s="1" t="str">
        <f t="shared" si="236"/>
        <v>20220929</v>
      </c>
      <c r="I1648" s="1" t="str">
        <f>"072158"</f>
        <v>072158</v>
      </c>
      <c r="J1648" s="1" t="s">
        <v>28</v>
      </c>
      <c r="K1648" s="1" t="s">
        <v>28</v>
      </c>
      <c r="L1648" s="1" t="str">
        <f t="shared" si="237"/>
        <v>20220929</v>
      </c>
      <c r="M1648" s="1" t="str">
        <f>"075013"</f>
        <v>075013</v>
      </c>
      <c r="N1648" s="1" t="s">
        <v>72</v>
      </c>
      <c r="O1648" s="1" t="s">
        <v>52</v>
      </c>
      <c r="P1648" s="1" t="s">
        <v>55</v>
      </c>
      <c r="Q1648" s="1">
        <v>25</v>
      </c>
      <c r="R1648" s="1">
        <v>0</v>
      </c>
      <c r="S1648" s="1">
        <v>25</v>
      </c>
      <c r="T1648" s="1">
        <v>0</v>
      </c>
      <c r="U1648" s="1">
        <v>0</v>
      </c>
      <c r="V1648" s="1" t="str">
        <f t="shared" si="233"/>
        <v>里程返程</v>
      </c>
      <c r="W1648" s="1" t="s">
        <v>29</v>
      </c>
    </row>
    <row r="1649" spans="1:23" x14ac:dyDescent="0.3">
      <c r="A1649" s="1" t="str">
        <f t="shared" si="238"/>
        <v>59828</v>
      </c>
      <c r="B1649" s="1" t="s">
        <v>23</v>
      </c>
      <c r="C1649" s="1" t="s">
        <v>24</v>
      </c>
      <c r="D1649" s="1" t="str">
        <f t="shared" si="232"/>
        <v>9801</v>
      </c>
      <c r="E1649" s="1" t="s">
        <v>25</v>
      </c>
      <c r="F1649" s="1" t="str">
        <f>"825D0C18CB880400C814002000000019"</f>
        <v>825D0C18CB880400C814002000000019</v>
      </c>
      <c r="G1649" s="1" t="s">
        <v>59</v>
      </c>
      <c r="H1649" s="1" t="str">
        <f t="shared" si="236"/>
        <v>20220929</v>
      </c>
      <c r="I1649" s="1" t="str">
        <f>"072201"</f>
        <v>072201</v>
      </c>
      <c r="J1649" s="1" t="s">
        <v>28</v>
      </c>
      <c r="K1649" s="1" t="s">
        <v>28</v>
      </c>
      <c r="L1649" s="1" t="str">
        <f t="shared" si="237"/>
        <v>20220929</v>
      </c>
      <c r="M1649" s="1" t="str">
        <f>"080024"</f>
        <v>080024</v>
      </c>
      <c r="N1649" s="1" t="s">
        <v>52</v>
      </c>
      <c r="O1649" s="1" t="s">
        <v>52</v>
      </c>
      <c r="P1649" s="1" t="s">
        <v>55</v>
      </c>
      <c r="Q1649" s="1">
        <v>25</v>
      </c>
      <c r="R1649" s="1">
        <v>0</v>
      </c>
      <c r="S1649" s="1">
        <v>25</v>
      </c>
      <c r="T1649" s="1">
        <v>0</v>
      </c>
      <c r="U1649" s="1">
        <v>0</v>
      </c>
      <c r="V1649" s="1" t="str">
        <f t="shared" si="233"/>
        <v>里程返程</v>
      </c>
      <c r="W1649" s="1" t="s">
        <v>29</v>
      </c>
    </row>
    <row r="1650" spans="1:23" x14ac:dyDescent="0.3">
      <c r="A1650" s="1" t="str">
        <f t="shared" si="238"/>
        <v>59828</v>
      </c>
      <c r="B1650" s="1" t="s">
        <v>23</v>
      </c>
      <c r="C1650" s="1" t="s">
        <v>24</v>
      </c>
      <c r="D1650" s="1" t="str">
        <f t="shared" si="232"/>
        <v>9801</v>
      </c>
      <c r="E1650" s="1" t="s">
        <v>25</v>
      </c>
      <c r="F1650" s="1" t="str">
        <f>"82730F18E6880400C814002000000019"</f>
        <v>82730F18E6880400C814002000000019</v>
      </c>
      <c r="G1650" s="1" t="s">
        <v>59</v>
      </c>
      <c r="H1650" s="1" t="str">
        <f t="shared" si="236"/>
        <v>20220929</v>
      </c>
      <c r="I1650" s="1" t="str">
        <f>"072204"</f>
        <v>072204</v>
      </c>
      <c r="J1650" s="1" t="s">
        <v>28</v>
      </c>
      <c r="K1650" s="1" t="s">
        <v>28</v>
      </c>
      <c r="L1650" s="1" t="str">
        <f t="shared" si="237"/>
        <v>20220929</v>
      </c>
      <c r="M1650" s="1" t="str">
        <f>"075011"</f>
        <v>075011</v>
      </c>
      <c r="N1650" s="1" t="s">
        <v>72</v>
      </c>
      <c r="O1650" s="1" t="s">
        <v>52</v>
      </c>
      <c r="P1650" s="1" t="s">
        <v>55</v>
      </c>
      <c r="Q1650" s="1">
        <v>25</v>
      </c>
      <c r="R1650" s="1">
        <v>0</v>
      </c>
      <c r="S1650" s="1">
        <v>25</v>
      </c>
      <c r="T1650" s="1">
        <v>0</v>
      </c>
      <c r="U1650" s="1">
        <v>0</v>
      </c>
      <c r="V1650" s="1" t="str">
        <f t="shared" si="233"/>
        <v>里程返程</v>
      </c>
      <c r="W1650" s="1" t="s">
        <v>29</v>
      </c>
    </row>
    <row r="1651" spans="1:23" x14ac:dyDescent="0.3">
      <c r="A1651" s="1" t="str">
        <f t="shared" si="238"/>
        <v>59828</v>
      </c>
      <c r="B1651" s="1" t="s">
        <v>23</v>
      </c>
      <c r="C1651" s="1" t="s">
        <v>24</v>
      </c>
      <c r="D1651" s="1" t="str">
        <f t="shared" si="232"/>
        <v>9801</v>
      </c>
      <c r="E1651" s="1" t="s">
        <v>25</v>
      </c>
      <c r="F1651" s="1" t="str">
        <f>"1204061808880400C814002000000019"</f>
        <v>1204061808880400C814002000000019</v>
      </c>
      <c r="G1651" s="1" t="s">
        <v>59</v>
      </c>
      <c r="H1651" s="1" t="str">
        <f t="shared" si="236"/>
        <v>20220929</v>
      </c>
      <c r="I1651" s="1" t="str">
        <f>"072207"</f>
        <v>072207</v>
      </c>
      <c r="J1651" s="1" t="s">
        <v>28</v>
      </c>
      <c r="K1651" s="1" t="s">
        <v>28</v>
      </c>
      <c r="L1651" s="1" t="str">
        <f t="shared" si="237"/>
        <v>20220929</v>
      </c>
      <c r="M1651" s="1" t="str">
        <f>"075009"</f>
        <v>075009</v>
      </c>
      <c r="N1651" s="1" t="s">
        <v>72</v>
      </c>
      <c r="O1651" s="1" t="s">
        <v>52</v>
      </c>
      <c r="P1651" s="1" t="s">
        <v>55</v>
      </c>
      <c r="Q1651" s="1">
        <v>25</v>
      </c>
      <c r="R1651" s="1">
        <v>0</v>
      </c>
      <c r="S1651" s="1">
        <v>25</v>
      </c>
      <c r="T1651" s="1">
        <v>0</v>
      </c>
      <c r="U1651" s="1">
        <v>0</v>
      </c>
      <c r="V1651" s="1" t="str">
        <f t="shared" si="233"/>
        <v>里程返程</v>
      </c>
      <c r="W1651" s="1" t="s">
        <v>29</v>
      </c>
    </row>
    <row r="1652" spans="1:23" x14ac:dyDescent="0.3">
      <c r="A1652" s="1" t="str">
        <f t="shared" si="238"/>
        <v>59828</v>
      </c>
      <c r="B1652" s="1" t="s">
        <v>23</v>
      </c>
      <c r="C1652" s="1" t="s">
        <v>24</v>
      </c>
      <c r="D1652" s="1" t="str">
        <f t="shared" si="232"/>
        <v>9801</v>
      </c>
      <c r="E1652" s="1" t="s">
        <v>25</v>
      </c>
      <c r="F1652" s="1" t="str">
        <f>"1725435766"</f>
        <v>1725435766</v>
      </c>
      <c r="G1652" s="1" t="s">
        <v>26</v>
      </c>
      <c r="H1652" s="1" t="str">
        <f t="shared" si="236"/>
        <v>20220929</v>
      </c>
      <c r="I1652" s="1" t="str">
        <f>"073551"</f>
        <v>073551</v>
      </c>
      <c r="J1652" s="1" t="s">
        <v>69</v>
      </c>
      <c r="K1652" s="1" t="s">
        <v>52</v>
      </c>
      <c r="L1652" s="1" t="str">
        <f t="shared" si="237"/>
        <v>20220929</v>
      </c>
      <c r="M1652" s="1" t="str">
        <f>"075210"</f>
        <v>075210</v>
      </c>
      <c r="N1652" s="1" t="s">
        <v>51</v>
      </c>
      <c r="O1652" s="1" t="s">
        <v>52</v>
      </c>
      <c r="P1652" s="1" t="s">
        <v>55</v>
      </c>
      <c r="Q1652" s="1">
        <v>13</v>
      </c>
      <c r="R1652" s="1">
        <v>13</v>
      </c>
      <c r="S1652" s="1">
        <v>0</v>
      </c>
      <c r="T1652" s="1">
        <v>0</v>
      </c>
      <c r="U1652" s="1">
        <v>0</v>
      </c>
      <c r="V1652" s="1" t="str">
        <f t="shared" si="233"/>
        <v>里程返程</v>
      </c>
      <c r="W1652" s="1" t="s">
        <v>35</v>
      </c>
    </row>
    <row r="1653" spans="1:23" x14ac:dyDescent="0.3">
      <c r="A1653" s="1" t="str">
        <f t="shared" si="238"/>
        <v>59828</v>
      </c>
      <c r="B1653" s="1" t="s">
        <v>23</v>
      </c>
      <c r="C1653" s="1" t="s">
        <v>24</v>
      </c>
      <c r="D1653" s="1" t="str">
        <f t="shared" si="232"/>
        <v>9801</v>
      </c>
      <c r="E1653" s="1" t="s">
        <v>25</v>
      </c>
      <c r="F1653" s="1" t="str">
        <f>"1759959808"</f>
        <v>1759959808</v>
      </c>
      <c r="G1653" s="1" t="s">
        <v>33</v>
      </c>
      <c r="H1653" s="1" t="str">
        <f t="shared" si="236"/>
        <v>20220929</v>
      </c>
      <c r="I1653" s="1" t="str">
        <f>"074326"</f>
        <v>074326</v>
      </c>
      <c r="J1653" s="1" t="s">
        <v>80</v>
      </c>
      <c r="K1653" s="1" t="s">
        <v>52</v>
      </c>
      <c r="L1653" s="1" t="str">
        <f t="shared" si="237"/>
        <v>20220929</v>
      </c>
      <c r="M1653" s="1" t="str">
        <f>"075549"</f>
        <v>075549</v>
      </c>
      <c r="N1653" s="1" t="s">
        <v>60</v>
      </c>
      <c r="O1653" s="1" t="s">
        <v>52</v>
      </c>
      <c r="P1653" s="1" t="s">
        <v>55</v>
      </c>
      <c r="Q1653" s="1">
        <v>25</v>
      </c>
      <c r="R1653" s="1">
        <v>25</v>
      </c>
      <c r="S1653" s="1">
        <v>0</v>
      </c>
      <c r="T1653" s="1">
        <v>0</v>
      </c>
      <c r="U1653" s="1">
        <v>0</v>
      </c>
      <c r="V1653" s="1" t="str">
        <f t="shared" si="233"/>
        <v>里程返程</v>
      </c>
      <c r="W1653" s="1" t="s">
        <v>35</v>
      </c>
    </row>
    <row r="1654" spans="1:23" x14ac:dyDescent="0.3">
      <c r="A1654" s="1" t="str">
        <f t="shared" si="238"/>
        <v>59828</v>
      </c>
      <c r="B1654" s="1" t="s">
        <v>23</v>
      </c>
      <c r="C1654" s="1" t="s">
        <v>24</v>
      </c>
      <c r="D1654" s="1" t="str">
        <f t="shared" si="232"/>
        <v>9801</v>
      </c>
      <c r="E1654" s="1" t="s">
        <v>25</v>
      </c>
      <c r="F1654" s="1" t="str">
        <f>"021F1C1415880400C831002000000018"</f>
        <v>021F1C1415880400C831002000000018</v>
      </c>
      <c r="G1654" s="1" t="s">
        <v>26</v>
      </c>
      <c r="H1654" s="1" t="str">
        <f t="shared" si="236"/>
        <v>20220929</v>
      </c>
      <c r="I1654" s="1" t="str">
        <f>"125252"</f>
        <v>125252</v>
      </c>
      <c r="J1654" s="1" t="s">
        <v>28</v>
      </c>
      <c r="K1654" s="1" t="s">
        <v>28</v>
      </c>
      <c r="L1654" s="1" t="str">
        <f t="shared" si="237"/>
        <v>20220929</v>
      </c>
      <c r="M1654" s="1" t="str">
        <f>"132230"</f>
        <v>132230</v>
      </c>
      <c r="N1654" s="1" t="s">
        <v>52</v>
      </c>
      <c r="O1654" s="1" t="s">
        <v>52</v>
      </c>
      <c r="P1654" s="1" t="s">
        <v>55</v>
      </c>
      <c r="Q1654" s="1">
        <v>13</v>
      </c>
      <c r="R1654" s="1">
        <v>13</v>
      </c>
      <c r="S1654" s="1">
        <v>0</v>
      </c>
      <c r="T1654" s="1">
        <v>0</v>
      </c>
      <c r="U1654" s="1">
        <v>0</v>
      </c>
      <c r="V1654" s="1" t="str">
        <f t="shared" si="233"/>
        <v>里程返程</v>
      </c>
      <c r="W1654" s="1" t="s">
        <v>29</v>
      </c>
    </row>
    <row r="1655" spans="1:23" x14ac:dyDescent="0.3">
      <c r="A1655" s="1" t="str">
        <f t="shared" si="238"/>
        <v>59828</v>
      </c>
      <c r="B1655" s="1" t="s">
        <v>23</v>
      </c>
      <c r="C1655" s="1" t="s">
        <v>24</v>
      </c>
      <c r="D1655" s="1" t="str">
        <f t="shared" si="232"/>
        <v>9801</v>
      </c>
      <c r="E1655" s="1" t="s">
        <v>25</v>
      </c>
      <c r="F1655" s="1" t="str">
        <f>"E220D10211880400C834002000000015"</f>
        <v>E220D10211880400C834002000000015</v>
      </c>
      <c r="G1655" s="1" t="s">
        <v>74</v>
      </c>
      <c r="H1655" s="1" t="str">
        <f t="shared" si="236"/>
        <v>20220929</v>
      </c>
      <c r="I1655" s="1" t="str">
        <f>"131037"</f>
        <v>131037</v>
      </c>
      <c r="J1655" s="1" t="s">
        <v>97</v>
      </c>
      <c r="K1655" s="1" t="s">
        <v>52</v>
      </c>
      <c r="L1655" s="1" t="str">
        <f t="shared" si="237"/>
        <v>20220929</v>
      </c>
      <c r="M1655" s="1" t="str">
        <f>"131234"</f>
        <v>131234</v>
      </c>
      <c r="N1655" s="1" t="s">
        <v>65</v>
      </c>
      <c r="O1655" s="1" t="s">
        <v>52</v>
      </c>
      <c r="P1655" s="1" t="s">
        <v>68</v>
      </c>
      <c r="Q1655" s="1">
        <v>13</v>
      </c>
      <c r="R1655" s="1">
        <v>0</v>
      </c>
      <c r="S1655" s="1">
        <v>0</v>
      </c>
      <c r="T1655" s="1">
        <v>13</v>
      </c>
      <c r="U1655" s="1">
        <v>0</v>
      </c>
      <c r="V1655" s="1" t="str">
        <f t="shared" si="233"/>
        <v>里程返程</v>
      </c>
      <c r="W1655" s="1" t="s">
        <v>29</v>
      </c>
    </row>
    <row r="1656" spans="1:23" x14ac:dyDescent="0.3">
      <c r="A1656" s="1" t="str">
        <f t="shared" si="238"/>
        <v>59828</v>
      </c>
      <c r="B1656" s="1" t="s">
        <v>23</v>
      </c>
      <c r="C1656" s="1" t="s">
        <v>24</v>
      </c>
      <c r="D1656" s="1" t="str">
        <f t="shared" si="232"/>
        <v>9801</v>
      </c>
      <c r="E1656" s="1" t="s">
        <v>25</v>
      </c>
      <c r="F1656" s="1" t="str">
        <f>"1699467377"</f>
        <v>1699467377</v>
      </c>
      <c r="G1656" s="1" t="s">
        <v>33</v>
      </c>
      <c r="H1656" s="1" t="str">
        <f t="shared" si="236"/>
        <v>20220929</v>
      </c>
      <c r="I1656" s="1" t="str">
        <f>"145146"</f>
        <v>145146</v>
      </c>
      <c r="J1656" s="1" t="s">
        <v>28</v>
      </c>
      <c r="K1656" s="1" t="s">
        <v>28</v>
      </c>
      <c r="L1656" s="1" t="str">
        <f t="shared" si="237"/>
        <v>20220929</v>
      </c>
      <c r="M1656" s="1" t="str">
        <f>"152547"</f>
        <v>152547</v>
      </c>
      <c r="N1656" s="1" t="s">
        <v>52</v>
      </c>
      <c r="O1656" s="1" t="s">
        <v>52</v>
      </c>
      <c r="P1656" s="1" t="s">
        <v>55</v>
      </c>
      <c r="Q1656" s="1">
        <v>25</v>
      </c>
      <c r="R1656" s="1">
        <v>25</v>
      </c>
      <c r="S1656" s="1">
        <v>0</v>
      </c>
      <c r="T1656" s="1">
        <v>0</v>
      </c>
      <c r="U1656" s="1">
        <v>0</v>
      </c>
      <c r="V1656" s="1" t="str">
        <f t="shared" si="233"/>
        <v>里程返程</v>
      </c>
      <c r="W1656" s="1" t="s">
        <v>35</v>
      </c>
    </row>
    <row r="1657" spans="1:23" x14ac:dyDescent="0.3">
      <c r="A1657" s="1" t="str">
        <f t="shared" si="238"/>
        <v>59828</v>
      </c>
      <c r="B1657" s="1" t="s">
        <v>23</v>
      </c>
      <c r="C1657" s="1" t="s">
        <v>24</v>
      </c>
      <c r="D1657" s="1" t="str">
        <f t="shared" si="232"/>
        <v>9801</v>
      </c>
      <c r="E1657" s="1" t="s">
        <v>25</v>
      </c>
      <c r="F1657" s="1" t="str">
        <f>"B126CE6A332804001C00000000000000"</f>
        <v>B126CE6A332804001C00000000000000</v>
      </c>
      <c r="G1657" s="1" t="s">
        <v>58</v>
      </c>
      <c r="H1657" s="1" t="str">
        <f t="shared" si="236"/>
        <v>20220929</v>
      </c>
      <c r="I1657" s="1" t="str">
        <f>"145918"</f>
        <v>145918</v>
      </c>
      <c r="J1657" s="1" t="s">
        <v>84</v>
      </c>
      <c r="K1657" s="1" t="s">
        <v>28</v>
      </c>
      <c r="L1657" s="1" t="str">
        <f t="shared" si="237"/>
        <v>20220929</v>
      </c>
      <c r="M1657" s="1" t="str">
        <f>"150219"</f>
        <v>150219</v>
      </c>
      <c r="N1657" s="1" t="s">
        <v>83</v>
      </c>
      <c r="O1657" s="1" t="s">
        <v>52</v>
      </c>
      <c r="P1657" s="1" t="s">
        <v>55</v>
      </c>
      <c r="Q1657" s="1">
        <v>25</v>
      </c>
      <c r="R1657" s="1">
        <v>0</v>
      </c>
      <c r="S1657" s="1">
        <v>25</v>
      </c>
      <c r="T1657" s="1">
        <v>0</v>
      </c>
      <c r="U1657" s="1">
        <v>0</v>
      </c>
      <c r="V1657" s="1" t="str">
        <f t="shared" si="233"/>
        <v>里程返程</v>
      </c>
      <c r="W1657" s="1" t="s">
        <v>29</v>
      </c>
    </row>
    <row r="1658" spans="1:23" x14ac:dyDescent="0.3">
      <c r="A1658" s="1" t="str">
        <f t="shared" si="238"/>
        <v>59828</v>
      </c>
      <c r="B1658" s="1" t="s">
        <v>23</v>
      </c>
      <c r="C1658" s="1" t="s">
        <v>24</v>
      </c>
      <c r="D1658" s="1" t="str">
        <f t="shared" si="232"/>
        <v>9801</v>
      </c>
      <c r="E1658" s="1" t="s">
        <v>25</v>
      </c>
      <c r="F1658" s="1" t="str">
        <f>"D5C2F29B7E8804004327BBD200180B07"</f>
        <v>D5C2F29B7E8804004327BBD200180B07</v>
      </c>
      <c r="G1658" s="1" t="s">
        <v>59</v>
      </c>
      <c r="H1658" s="1" t="str">
        <f t="shared" si="236"/>
        <v>20220929</v>
      </c>
      <c r="I1658" s="1" t="str">
        <f>"155034"</f>
        <v>155034</v>
      </c>
      <c r="J1658" s="1" t="s">
        <v>28</v>
      </c>
      <c r="K1658" s="1" t="s">
        <v>28</v>
      </c>
      <c r="L1658" s="1" t="str">
        <f t="shared" si="237"/>
        <v>20220929</v>
      </c>
      <c r="M1658" s="1" t="str">
        <f>"160832"</f>
        <v>160832</v>
      </c>
      <c r="N1658" s="1" t="s">
        <v>69</v>
      </c>
      <c r="O1658" s="1" t="s">
        <v>52</v>
      </c>
      <c r="P1658" s="1" t="s">
        <v>55</v>
      </c>
      <c r="Q1658" s="1">
        <v>25</v>
      </c>
      <c r="R1658" s="1">
        <v>0</v>
      </c>
      <c r="S1658" s="1">
        <v>25</v>
      </c>
      <c r="T1658" s="1">
        <v>0</v>
      </c>
      <c r="U1658" s="1">
        <v>0</v>
      </c>
      <c r="V1658" s="1" t="str">
        <f t="shared" si="233"/>
        <v>里程返程</v>
      </c>
      <c r="W1658" s="1" t="s">
        <v>29</v>
      </c>
    </row>
    <row r="1659" spans="1:23" x14ac:dyDescent="0.3">
      <c r="A1659" s="1" t="str">
        <f t="shared" si="238"/>
        <v>59828</v>
      </c>
      <c r="B1659" s="1" t="s">
        <v>23</v>
      </c>
      <c r="C1659" s="1" t="s">
        <v>24</v>
      </c>
      <c r="D1659" s="1" t="str">
        <f t="shared" si="232"/>
        <v>9801</v>
      </c>
      <c r="E1659" s="1" t="s">
        <v>25</v>
      </c>
      <c r="F1659" s="1" t="str">
        <f>"82D5FB02AE880400C834002000000015"</f>
        <v>82D5FB02AE880400C834002000000015</v>
      </c>
      <c r="G1659" s="1" t="s">
        <v>26</v>
      </c>
      <c r="H1659" s="1" t="str">
        <f t="shared" si="236"/>
        <v>20220929</v>
      </c>
      <c r="I1659" s="1" t="str">
        <f>"161731"</f>
        <v>161731</v>
      </c>
      <c r="J1659" s="1" t="s">
        <v>72</v>
      </c>
      <c r="K1659" s="1" t="s">
        <v>52</v>
      </c>
      <c r="L1659" s="1" t="str">
        <f t="shared" si="237"/>
        <v>20220929</v>
      </c>
      <c r="M1659" s="1" t="str">
        <f>"162120"</f>
        <v>162120</v>
      </c>
      <c r="N1659" s="1" t="s">
        <v>51</v>
      </c>
      <c r="O1659" s="1" t="s">
        <v>52</v>
      </c>
      <c r="P1659" s="1" t="s">
        <v>68</v>
      </c>
      <c r="Q1659" s="1">
        <v>13</v>
      </c>
      <c r="R1659" s="1">
        <v>0</v>
      </c>
      <c r="S1659" s="1">
        <v>0</v>
      </c>
      <c r="T1659" s="1">
        <v>13</v>
      </c>
      <c r="U1659" s="1">
        <v>0</v>
      </c>
      <c r="V1659" s="1" t="str">
        <f t="shared" si="233"/>
        <v>里程返程</v>
      </c>
      <c r="W1659" s="1" t="s">
        <v>29</v>
      </c>
    </row>
    <row r="1660" spans="1:23" x14ac:dyDescent="0.3">
      <c r="A1660" s="1" t="str">
        <f t="shared" si="238"/>
        <v>59828</v>
      </c>
      <c r="B1660" s="1" t="s">
        <v>23</v>
      </c>
      <c r="C1660" s="1" t="s">
        <v>24</v>
      </c>
      <c r="D1660" s="1" t="str">
        <f t="shared" si="232"/>
        <v>9801</v>
      </c>
      <c r="E1660" s="1" t="s">
        <v>25</v>
      </c>
      <c r="F1660" s="1" t="str">
        <f>"7227E702B0880400C834002000000015"</f>
        <v>7227E702B0880400C834002000000015</v>
      </c>
      <c r="G1660" s="1" t="s">
        <v>74</v>
      </c>
      <c r="H1660" s="1" t="str">
        <f t="shared" si="236"/>
        <v>20220929</v>
      </c>
      <c r="I1660" s="1" t="str">
        <f>"161915"</f>
        <v>161915</v>
      </c>
      <c r="J1660" s="1" t="s">
        <v>71</v>
      </c>
      <c r="K1660" s="1" t="s">
        <v>52</v>
      </c>
      <c r="L1660" s="1" t="str">
        <f t="shared" si="237"/>
        <v>20220929</v>
      </c>
      <c r="M1660" s="1" t="str">
        <f>"162705"</f>
        <v>162705</v>
      </c>
      <c r="N1660" s="1" t="s">
        <v>52</v>
      </c>
      <c r="O1660" s="1" t="s">
        <v>52</v>
      </c>
      <c r="P1660" s="1" t="s">
        <v>68</v>
      </c>
      <c r="Q1660" s="1">
        <v>13</v>
      </c>
      <c r="R1660" s="1">
        <v>0</v>
      </c>
      <c r="S1660" s="1">
        <v>0</v>
      </c>
      <c r="T1660" s="1">
        <v>13</v>
      </c>
      <c r="U1660" s="1">
        <v>0</v>
      </c>
      <c r="V1660" s="1" t="str">
        <f t="shared" si="233"/>
        <v>里程返程</v>
      </c>
      <c r="W1660" s="1" t="s">
        <v>29</v>
      </c>
    </row>
    <row r="1661" spans="1:23" x14ac:dyDescent="0.3">
      <c r="A1661" s="1" t="str">
        <f t="shared" si="238"/>
        <v>59828</v>
      </c>
      <c r="B1661" s="1" t="s">
        <v>23</v>
      </c>
      <c r="C1661" s="1" t="s">
        <v>24</v>
      </c>
      <c r="D1661" s="1" t="str">
        <f t="shared" si="232"/>
        <v>9801</v>
      </c>
      <c r="E1661" s="1" t="s">
        <v>25</v>
      </c>
      <c r="F1661" s="1" t="str">
        <f>"1695105317"</f>
        <v>1695105317</v>
      </c>
      <c r="G1661" s="1" t="s">
        <v>33</v>
      </c>
      <c r="H1661" s="1" t="str">
        <f t="shared" si="236"/>
        <v>20220929</v>
      </c>
      <c r="I1661" s="1" t="str">
        <f>"162811"</f>
        <v>162811</v>
      </c>
      <c r="J1661" s="1" t="s">
        <v>44</v>
      </c>
      <c r="K1661" s="1" t="s">
        <v>45</v>
      </c>
      <c r="L1661" s="1" t="str">
        <f t="shared" si="237"/>
        <v>20220929</v>
      </c>
      <c r="M1661" s="1" t="str">
        <f>"164955"</f>
        <v>164955</v>
      </c>
      <c r="N1661" s="1" t="s">
        <v>28</v>
      </c>
      <c r="O1661" s="1" t="s">
        <v>28</v>
      </c>
      <c r="P1661" s="1" t="s">
        <v>55</v>
      </c>
      <c r="Q1661" s="1">
        <v>25</v>
      </c>
      <c r="R1661" s="1">
        <v>25</v>
      </c>
      <c r="S1661" s="1">
        <v>0</v>
      </c>
      <c r="T1661" s="1">
        <v>0</v>
      </c>
      <c r="U1661" s="1">
        <v>0</v>
      </c>
      <c r="V1661" s="1" t="str">
        <f t="shared" si="233"/>
        <v>里程返程</v>
      </c>
      <c r="W1661" s="1" t="s">
        <v>35</v>
      </c>
    </row>
    <row r="1662" spans="1:23" x14ac:dyDescent="0.3">
      <c r="A1662" s="1" t="str">
        <f t="shared" si="238"/>
        <v>59828</v>
      </c>
      <c r="B1662" s="1" t="s">
        <v>23</v>
      </c>
      <c r="C1662" s="1" t="s">
        <v>24</v>
      </c>
      <c r="D1662" s="1" t="str">
        <f t="shared" si="232"/>
        <v>9801</v>
      </c>
      <c r="E1662" s="1" t="s">
        <v>25</v>
      </c>
      <c r="F1662" s="1" t="str">
        <f>"C2C0BD02BD880400C834002000000015"</f>
        <v>C2C0BD02BD880400C834002000000015</v>
      </c>
      <c r="G1662" s="1" t="s">
        <v>74</v>
      </c>
      <c r="H1662" s="1" t="str">
        <f t="shared" si="236"/>
        <v>20220929</v>
      </c>
      <c r="I1662" s="1" t="str">
        <f>"165618"</f>
        <v>165618</v>
      </c>
      <c r="J1662" s="1" t="s">
        <v>41</v>
      </c>
      <c r="K1662" s="1" t="s">
        <v>28</v>
      </c>
      <c r="L1662" s="1" t="str">
        <f t="shared" si="237"/>
        <v>20220929</v>
      </c>
      <c r="M1662" s="1" t="str">
        <f>"170405"</f>
        <v>170405</v>
      </c>
      <c r="N1662" s="1" t="s">
        <v>67</v>
      </c>
      <c r="O1662" s="1" t="s">
        <v>52</v>
      </c>
      <c r="P1662" s="1" t="s">
        <v>68</v>
      </c>
      <c r="Q1662" s="1">
        <v>13</v>
      </c>
      <c r="R1662" s="1">
        <v>0</v>
      </c>
      <c r="S1662" s="1">
        <v>0</v>
      </c>
      <c r="T1662" s="1">
        <v>13</v>
      </c>
      <c r="U1662" s="1">
        <v>0</v>
      </c>
      <c r="V1662" s="1" t="str">
        <f t="shared" si="233"/>
        <v>里程返程</v>
      </c>
      <c r="W1662" s="1" t="s">
        <v>29</v>
      </c>
    </row>
    <row r="1663" spans="1:23" x14ac:dyDescent="0.3">
      <c r="A1663" s="1" t="str">
        <f t="shared" ref="A1663:A1670" si="239">"59829"</f>
        <v>59829</v>
      </c>
      <c r="B1663" s="1" t="s">
        <v>47</v>
      </c>
      <c r="C1663" s="1" t="s">
        <v>48</v>
      </c>
      <c r="D1663" s="1" t="str">
        <f t="shared" si="232"/>
        <v>9801</v>
      </c>
      <c r="E1663" s="1" t="s">
        <v>25</v>
      </c>
      <c r="F1663" s="1" t="str">
        <f>"D5C2F29B7E8804004327BBD200180B07"</f>
        <v>D5C2F29B7E8804004327BBD200180B07</v>
      </c>
      <c r="G1663" s="1" t="s">
        <v>59</v>
      </c>
      <c r="H1663" s="1" t="str">
        <f t="shared" si="236"/>
        <v>20220929</v>
      </c>
      <c r="I1663" s="1" t="str">
        <f>"172646"</f>
        <v>172646</v>
      </c>
      <c r="J1663" s="1" t="s">
        <v>44</v>
      </c>
      <c r="K1663" s="1" t="s">
        <v>45</v>
      </c>
      <c r="L1663" s="1" t="str">
        <f t="shared" si="237"/>
        <v>20220929</v>
      </c>
      <c r="M1663" s="1" t="str">
        <f>"175616"</f>
        <v>175616</v>
      </c>
      <c r="N1663" s="1" t="s">
        <v>28</v>
      </c>
      <c r="O1663" s="1" t="s">
        <v>28</v>
      </c>
      <c r="P1663" s="1" t="s">
        <v>55</v>
      </c>
      <c r="Q1663" s="1">
        <v>25</v>
      </c>
      <c r="R1663" s="1">
        <v>25</v>
      </c>
      <c r="S1663" s="1">
        <v>0</v>
      </c>
      <c r="T1663" s="1">
        <v>0</v>
      </c>
      <c r="U1663" s="1">
        <v>0</v>
      </c>
      <c r="V1663" s="1" t="str">
        <f t="shared" si="233"/>
        <v>里程返程</v>
      </c>
      <c r="W1663" s="1" t="s">
        <v>29</v>
      </c>
    </row>
    <row r="1664" spans="1:23" x14ac:dyDescent="0.3">
      <c r="A1664" s="1" t="str">
        <f t="shared" si="239"/>
        <v>59829</v>
      </c>
      <c r="B1664" s="1" t="s">
        <v>47</v>
      </c>
      <c r="C1664" s="1" t="s">
        <v>48</v>
      </c>
      <c r="D1664" s="1" t="str">
        <f t="shared" si="232"/>
        <v>9801</v>
      </c>
      <c r="E1664" s="1" t="s">
        <v>25</v>
      </c>
      <c r="F1664" s="1" t="str">
        <f>"422AE7028D880400C834002000000015"</f>
        <v>422AE7028D880400C834002000000015</v>
      </c>
      <c r="G1664" s="1" t="s">
        <v>74</v>
      </c>
      <c r="H1664" s="1" t="str">
        <f t="shared" si="236"/>
        <v>20220929</v>
      </c>
      <c r="I1664" s="1" t="str">
        <f>"172653"</f>
        <v>172653</v>
      </c>
      <c r="J1664" s="1" t="s">
        <v>44</v>
      </c>
      <c r="K1664" s="1" t="s">
        <v>45</v>
      </c>
      <c r="L1664" s="1" t="str">
        <f t="shared" si="237"/>
        <v>20220929</v>
      </c>
      <c r="M1664" s="1" t="str">
        <f>"175652"</f>
        <v>175652</v>
      </c>
      <c r="N1664" s="1" t="s">
        <v>28</v>
      </c>
      <c r="O1664" s="1" t="s">
        <v>28</v>
      </c>
      <c r="P1664" s="1" t="s">
        <v>68</v>
      </c>
      <c r="Q1664" s="1">
        <v>13</v>
      </c>
      <c r="R1664" s="1">
        <v>0</v>
      </c>
      <c r="S1664" s="1">
        <v>0</v>
      </c>
      <c r="T1664" s="1">
        <v>13</v>
      </c>
      <c r="U1664" s="1">
        <v>0</v>
      </c>
      <c r="V1664" s="1" t="str">
        <f t="shared" si="233"/>
        <v>里程返程</v>
      </c>
      <c r="W1664" s="1" t="s">
        <v>29</v>
      </c>
    </row>
    <row r="1665" spans="1:23" x14ac:dyDescent="0.3">
      <c r="A1665" s="1" t="str">
        <f t="shared" si="239"/>
        <v>59829</v>
      </c>
      <c r="B1665" s="1" t="s">
        <v>47</v>
      </c>
      <c r="C1665" s="1" t="s">
        <v>48</v>
      </c>
      <c r="D1665" s="1" t="str">
        <f t="shared" si="232"/>
        <v>9801</v>
      </c>
      <c r="E1665" s="1" t="s">
        <v>25</v>
      </c>
      <c r="F1665" s="1" t="str">
        <f>"026A101860880400C814002000000019"</f>
        <v>026A101860880400C814002000000019</v>
      </c>
      <c r="G1665" s="1" t="s">
        <v>59</v>
      </c>
      <c r="H1665" s="1" t="str">
        <f t="shared" si="236"/>
        <v>20220929</v>
      </c>
      <c r="I1665" s="1" t="str">
        <f>"172812"</f>
        <v>172812</v>
      </c>
      <c r="J1665" s="1" t="s">
        <v>44</v>
      </c>
      <c r="K1665" s="1" t="s">
        <v>45</v>
      </c>
      <c r="L1665" s="1" t="str">
        <f t="shared" si="237"/>
        <v>20220929</v>
      </c>
      <c r="M1665" s="1" t="str">
        <f>"175645"</f>
        <v>175645</v>
      </c>
      <c r="N1665" s="1" t="s">
        <v>28</v>
      </c>
      <c r="O1665" s="1" t="s">
        <v>28</v>
      </c>
      <c r="P1665" s="1" t="s">
        <v>55</v>
      </c>
      <c r="Q1665" s="1">
        <v>25</v>
      </c>
      <c r="R1665" s="1">
        <v>25</v>
      </c>
      <c r="S1665" s="1">
        <v>0</v>
      </c>
      <c r="T1665" s="1">
        <v>0</v>
      </c>
      <c r="U1665" s="1">
        <v>0</v>
      </c>
      <c r="V1665" s="1" t="str">
        <f t="shared" si="233"/>
        <v>里程返程</v>
      </c>
      <c r="W1665" s="1" t="s">
        <v>29</v>
      </c>
    </row>
    <row r="1666" spans="1:23" x14ac:dyDescent="0.3">
      <c r="A1666" s="1" t="str">
        <f t="shared" si="239"/>
        <v>59829</v>
      </c>
      <c r="B1666" s="1" t="s">
        <v>47</v>
      </c>
      <c r="C1666" s="1" t="s">
        <v>48</v>
      </c>
      <c r="D1666" s="1" t="str">
        <f t="shared" ref="D1666:D1729" si="240">"9801"</f>
        <v>9801</v>
      </c>
      <c r="E1666" s="1" t="s">
        <v>25</v>
      </c>
      <c r="F1666" s="1" t="str">
        <f>"5270B90A91880400C810002000000016"</f>
        <v>5270B90A91880400C810002000000016</v>
      </c>
      <c r="G1666" s="1" t="s">
        <v>59</v>
      </c>
      <c r="H1666" s="1" t="str">
        <f t="shared" si="236"/>
        <v>20220929</v>
      </c>
      <c r="I1666" s="1" t="str">
        <f>"172814"</f>
        <v>172814</v>
      </c>
      <c r="J1666" s="1" t="s">
        <v>44</v>
      </c>
      <c r="K1666" s="1" t="s">
        <v>45</v>
      </c>
      <c r="L1666" s="1" t="str">
        <f t="shared" si="237"/>
        <v>20220929</v>
      </c>
      <c r="M1666" s="1" t="str">
        <f>"175643"</f>
        <v>175643</v>
      </c>
      <c r="N1666" s="1" t="s">
        <v>28</v>
      </c>
      <c r="O1666" s="1" t="s">
        <v>28</v>
      </c>
      <c r="P1666" s="1" t="s">
        <v>55</v>
      </c>
      <c r="Q1666" s="1">
        <v>25</v>
      </c>
      <c r="R1666" s="1">
        <v>25</v>
      </c>
      <c r="S1666" s="1">
        <v>0</v>
      </c>
      <c r="T1666" s="1">
        <v>0</v>
      </c>
      <c r="U1666" s="1">
        <v>0</v>
      </c>
      <c r="V1666" s="1" t="str">
        <f t="shared" ref="V1666:V1729" si="241">"里程返程"</f>
        <v>里程返程</v>
      </c>
      <c r="W1666" s="1" t="s">
        <v>29</v>
      </c>
    </row>
    <row r="1667" spans="1:23" x14ac:dyDescent="0.3">
      <c r="A1667" s="1" t="str">
        <f t="shared" si="239"/>
        <v>59829</v>
      </c>
      <c r="B1667" s="1" t="s">
        <v>47</v>
      </c>
      <c r="C1667" s="1" t="s">
        <v>48</v>
      </c>
      <c r="D1667" s="1" t="str">
        <f t="shared" si="240"/>
        <v>9801</v>
      </c>
      <c r="E1667" s="1" t="s">
        <v>25</v>
      </c>
      <c r="F1667" s="1" t="str">
        <f>"1A7640604C880400C18514D045004512"</f>
        <v>1A7640604C880400C18514D045004512</v>
      </c>
      <c r="G1667" s="1" t="s">
        <v>58</v>
      </c>
      <c r="H1667" s="1" t="str">
        <f t="shared" si="236"/>
        <v>20220929</v>
      </c>
      <c r="I1667" s="1" t="str">
        <f>"173326"</f>
        <v>173326</v>
      </c>
      <c r="J1667" s="1" t="s">
        <v>44</v>
      </c>
      <c r="K1667" s="1" t="s">
        <v>45</v>
      </c>
      <c r="L1667" s="1" t="str">
        <f t="shared" si="237"/>
        <v>20220929</v>
      </c>
      <c r="M1667" s="1" t="str">
        <f>"175638"</f>
        <v>175638</v>
      </c>
      <c r="N1667" s="1" t="s">
        <v>28</v>
      </c>
      <c r="O1667" s="1" t="s">
        <v>28</v>
      </c>
      <c r="P1667" s="1" t="s">
        <v>55</v>
      </c>
      <c r="Q1667" s="1">
        <v>25</v>
      </c>
      <c r="R1667" s="1">
        <v>25</v>
      </c>
      <c r="S1667" s="1">
        <v>0</v>
      </c>
      <c r="T1667" s="1">
        <v>0</v>
      </c>
      <c r="U1667" s="1">
        <v>0</v>
      </c>
      <c r="V1667" s="1" t="str">
        <f t="shared" si="241"/>
        <v>里程返程</v>
      </c>
      <c r="W1667" s="1" t="s">
        <v>29</v>
      </c>
    </row>
    <row r="1668" spans="1:23" x14ac:dyDescent="0.3">
      <c r="A1668" s="1" t="str">
        <f t="shared" si="239"/>
        <v>59829</v>
      </c>
      <c r="B1668" s="1" t="s">
        <v>47</v>
      </c>
      <c r="C1668" s="1" t="s">
        <v>48</v>
      </c>
      <c r="D1668" s="1" t="str">
        <f t="shared" si="240"/>
        <v>9801</v>
      </c>
      <c r="E1668" s="1" t="s">
        <v>25</v>
      </c>
      <c r="F1668" s="1" t="str">
        <f>"8531229D0B8804004327C06900160B07"</f>
        <v>8531229D0B8804004327C06900160B07</v>
      </c>
      <c r="G1668" s="1" t="s">
        <v>58</v>
      </c>
      <c r="H1668" s="1" t="str">
        <f t="shared" si="236"/>
        <v>20220929</v>
      </c>
      <c r="I1668" s="1" t="str">
        <f>"173457"</f>
        <v>173457</v>
      </c>
      <c r="J1668" s="1" t="s">
        <v>100</v>
      </c>
      <c r="K1668" s="1" t="s">
        <v>45</v>
      </c>
      <c r="L1668" s="1" t="str">
        <f t="shared" si="237"/>
        <v>20220929</v>
      </c>
      <c r="M1668" s="1" t="str">
        <f>"175649"</f>
        <v>175649</v>
      </c>
      <c r="N1668" s="1" t="s">
        <v>28</v>
      </c>
      <c r="O1668" s="1" t="s">
        <v>28</v>
      </c>
      <c r="P1668" s="1" t="s">
        <v>55</v>
      </c>
      <c r="Q1668" s="1">
        <v>25</v>
      </c>
      <c r="R1668" s="1">
        <v>25</v>
      </c>
      <c r="S1668" s="1">
        <v>0</v>
      </c>
      <c r="T1668" s="1">
        <v>0</v>
      </c>
      <c r="U1668" s="1">
        <v>0</v>
      </c>
      <c r="V1668" s="1" t="str">
        <f t="shared" si="241"/>
        <v>里程返程</v>
      </c>
      <c r="W1668" s="1" t="s">
        <v>29</v>
      </c>
    </row>
    <row r="1669" spans="1:23" x14ac:dyDescent="0.3">
      <c r="A1669" s="1" t="str">
        <f t="shared" si="239"/>
        <v>59829</v>
      </c>
      <c r="B1669" s="1" t="s">
        <v>47</v>
      </c>
      <c r="C1669" s="1" t="s">
        <v>48</v>
      </c>
      <c r="D1669" s="1" t="str">
        <f t="shared" si="240"/>
        <v>9801</v>
      </c>
      <c r="E1669" s="1" t="s">
        <v>25</v>
      </c>
      <c r="F1669" s="1" t="str">
        <f>"C289F405BA880400C838002000000015"</f>
        <v>C289F405BA880400C838002000000015</v>
      </c>
      <c r="G1669" s="1" t="s">
        <v>58</v>
      </c>
      <c r="H1669" s="1" t="str">
        <f t="shared" si="236"/>
        <v>20220929</v>
      </c>
      <c r="I1669" s="1" t="str">
        <f>"173500"</f>
        <v>173500</v>
      </c>
      <c r="J1669" s="1" t="s">
        <v>100</v>
      </c>
      <c r="K1669" s="1" t="s">
        <v>45</v>
      </c>
      <c r="L1669" s="1" t="str">
        <f t="shared" si="237"/>
        <v>20220929</v>
      </c>
      <c r="M1669" s="1" t="str">
        <f>"175641"</f>
        <v>175641</v>
      </c>
      <c r="N1669" s="1" t="s">
        <v>28</v>
      </c>
      <c r="O1669" s="1" t="s">
        <v>28</v>
      </c>
      <c r="P1669" s="1" t="s">
        <v>55</v>
      </c>
      <c r="Q1669" s="1">
        <v>25</v>
      </c>
      <c r="R1669" s="1">
        <v>25</v>
      </c>
      <c r="S1669" s="1">
        <v>0</v>
      </c>
      <c r="T1669" s="1">
        <v>0</v>
      </c>
      <c r="U1669" s="1">
        <v>0</v>
      </c>
      <c r="V1669" s="1" t="str">
        <f t="shared" si="241"/>
        <v>里程返程</v>
      </c>
      <c r="W1669" s="1" t="s">
        <v>29</v>
      </c>
    </row>
    <row r="1670" spans="1:23" x14ac:dyDescent="0.3">
      <c r="A1670" s="1" t="str">
        <f t="shared" si="239"/>
        <v>59829</v>
      </c>
      <c r="B1670" s="1" t="s">
        <v>47</v>
      </c>
      <c r="C1670" s="1" t="s">
        <v>48</v>
      </c>
      <c r="D1670" s="1" t="str">
        <f t="shared" si="240"/>
        <v>9801</v>
      </c>
      <c r="E1670" s="1" t="s">
        <v>25</v>
      </c>
      <c r="F1670" s="1" t="str">
        <f>"1253741233"</f>
        <v>1253741233</v>
      </c>
      <c r="G1670" s="1" t="s">
        <v>33</v>
      </c>
      <c r="H1670" s="1" t="str">
        <f t="shared" si="236"/>
        <v>20220929</v>
      </c>
      <c r="I1670" s="1" t="str">
        <f>"185043"</f>
        <v>185043</v>
      </c>
      <c r="J1670" s="1" t="s">
        <v>28</v>
      </c>
      <c r="K1670" s="1" t="s">
        <v>28</v>
      </c>
      <c r="L1670" s="1" t="str">
        <f t="shared" si="237"/>
        <v>20220929</v>
      </c>
      <c r="M1670" s="1" t="str">
        <f>"192147"</f>
        <v>192147</v>
      </c>
      <c r="N1670" s="1" t="s">
        <v>60</v>
      </c>
      <c r="O1670" s="1" t="s">
        <v>52</v>
      </c>
      <c r="P1670" s="1" t="s">
        <v>55</v>
      </c>
      <c r="Q1670" s="1">
        <v>25</v>
      </c>
      <c r="R1670" s="1">
        <v>25</v>
      </c>
      <c r="S1670" s="1">
        <v>0</v>
      </c>
      <c r="T1670" s="1">
        <v>0</v>
      </c>
      <c r="U1670" s="1">
        <v>0</v>
      </c>
      <c r="V1670" s="1" t="str">
        <f t="shared" si="241"/>
        <v>里程返程</v>
      </c>
      <c r="W1670" s="1" t="s">
        <v>35</v>
      </c>
    </row>
    <row r="1671" spans="1:23" x14ac:dyDescent="0.3">
      <c r="A1671" s="1" t="str">
        <f t="shared" ref="A1671:A1683" si="242">"59822"</f>
        <v>59822</v>
      </c>
      <c r="B1671" s="1" t="s">
        <v>39</v>
      </c>
      <c r="C1671" s="1" t="s">
        <v>40</v>
      </c>
      <c r="D1671" s="1" t="str">
        <f t="shared" si="240"/>
        <v>9801</v>
      </c>
      <c r="E1671" s="1" t="s">
        <v>25</v>
      </c>
      <c r="F1671" s="1" t="str">
        <f>"1693096529"</f>
        <v>1693096529</v>
      </c>
      <c r="G1671" s="1" t="s">
        <v>33</v>
      </c>
      <c r="H1671" s="1" t="str">
        <f t="shared" ref="H1671:H1702" si="243">"20220930"</f>
        <v>20220930</v>
      </c>
      <c r="I1671" s="1" t="str">
        <f>"172753"</f>
        <v>172753</v>
      </c>
      <c r="J1671" s="1" t="s">
        <v>44</v>
      </c>
      <c r="K1671" s="1" t="s">
        <v>45</v>
      </c>
      <c r="L1671" s="1" t="str">
        <f t="shared" ref="L1671:L1702" si="244">"20220930"</f>
        <v>20220930</v>
      </c>
      <c r="M1671" s="1" t="str">
        <f>"175219"</f>
        <v>175219</v>
      </c>
      <c r="N1671" s="1" t="s">
        <v>28</v>
      </c>
      <c r="O1671" s="1" t="s">
        <v>28</v>
      </c>
      <c r="P1671" s="1" t="s">
        <v>55</v>
      </c>
      <c r="Q1671" s="1">
        <v>25</v>
      </c>
      <c r="R1671" s="1">
        <v>25</v>
      </c>
      <c r="S1671" s="1">
        <v>0</v>
      </c>
      <c r="T1671" s="1">
        <v>0</v>
      </c>
      <c r="U1671" s="1">
        <v>0</v>
      </c>
      <c r="V1671" s="1" t="str">
        <f t="shared" si="241"/>
        <v>里程返程</v>
      </c>
      <c r="W1671" s="1" t="s">
        <v>35</v>
      </c>
    </row>
    <row r="1672" spans="1:23" x14ac:dyDescent="0.3">
      <c r="A1672" s="1" t="str">
        <f t="shared" si="242"/>
        <v>59822</v>
      </c>
      <c r="B1672" s="1" t="s">
        <v>39</v>
      </c>
      <c r="C1672" s="1" t="s">
        <v>40</v>
      </c>
      <c r="D1672" s="1" t="str">
        <f t="shared" si="240"/>
        <v>9801</v>
      </c>
      <c r="E1672" s="1" t="s">
        <v>25</v>
      </c>
      <c r="F1672" s="1" t="str">
        <f>"422AE7028D880400C834002000000015"</f>
        <v>422AE7028D880400C834002000000015</v>
      </c>
      <c r="G1672" s="1" t="s">
        <v>74</v>
      </c>
      <c r="H1672" s="1" t="str">
        <f t="shared" si="243"/>
        <v>20220930</v>
      </c>
      <c r="I1672" s="1" t="str">
        <f>"172756"</f>
        <v>172756</v>
      </c>
      <c r="J1672" s="1" t="s">
        <v>44</v>
      </c>
      <c r="K1672" s="1" t="s">
        <v>45</v>
      </c>
      <c r="L1672" s="1" t="str">
        <f t="shared" si="244"/>
        <v>20220930</v>
      </c>
      <c r="M1672" s="1" t="str">
        <f>"175223"</f>
        <v>175223</v>
      </c>
      <c r="N1672" s="1" t="s">
        <v>28</v>
      </c>
      <c r="O1672" s="1" t="s">
        <v>28</v>
      </c>
      <c r="P1672" s="1" t="s">
        <v>68</v>
      </c>
      <c r="Q1672" s="1">
        <v>13</v>
      </c>
      <c r="R1672" s="1">
        <v>0</v>
      </c>
      <c r="S1672" s="1">
        <v>0</v>
      </c>
      <c r="T1672" s="1">
        <v>13</v>
      </c>
      <c r="U1672" s="1">
        <v>0</v>
      </c>
      <c r="V1672" s="1" t="str">
        <f t="shared" si="241"/>
        <v>里程返程</v>
      </c>
      <c r="W1672" s="1" t="s">
        <v>29</v>
      </c>
    </row>
    <row r="1673" spans="1:23" x14ac:dyDescent="0.3">
      <c r="A1673" s="1" t="str">
        <f t="shared" si="242"/>
        <v>59822</v>
      </c>
      <c r="B1673" s="1" t="s">
        <v>39</v>
      </c>
      <c r="C1673" s="1" t="s">
        <v>40</v>
      </c>
      <c r="D1673" s="1" t="str">
        <f t="shared" si="240"/>
        <v>9801</v>
      </c>
      <c r="E1673" s="1" t="s">
        <v>25</v>
      </c>
      <c r="F1673" s="1" t="str">
        <f>"1716882117"</f>
        <v>1716882117</v>
      </c>
      <c r="G1673" s="1" t="s">
        <v>96</v>
      </c>
      <c r="H1673" s="1" t="str">
        <f t="shared" si="243"/>
        <v>20220930</v>
      </c>
      <c r="I1673" s="1" t="str">
        <f>"173035"</f>
        <v>173035</v>
      </c>
      <c r="J1673" s="1" t="s">
        <v>44</v>
      </c>
      <c r="K1673" s="1" t="s">
        <v>45</v>
      </c>
      <c r="L1673" s="1" t="str">
        <f t="shared" si="244"/>
        <v>20220930</v>
      </c>
      <c r="M1673" s="1" t="str">
        <f>"175231"</f>
        <v>175231</v>
      </c>
      <c r="N1673" s="1" t="s">
        <v>28</v>
      </c>
      <c r="O1673" s="1" t="s">
        <v>28</v>
      </c>
      <c r="P1673" s="1" t="s">
        <v>55</v>
      </c>
      <c r="Q1673" s="1">
        <v>13</v>
      </c>
      <c r="R1673" s="1">
        <v>0</v>
      </c>
      <c r="S1673" s="1">
        <v>13</v>
      </c>
      <c r="T1673" s="1">
        <v>0</v>
      </c>
      <c r="U1673" s="1">
        <v>0</v>
      </c>
      <c r="V1673" s="1" t="str">
        <f t="shared" si="241"/>
        <v>里程返程</v>
      </c>
      <c r="W1673" s="1" t="s">
        <v>35</v>
      </c>
    </row>
    <row r="1674" spans="1:23" x14ac:dyDescent="0.3">
      <c r="A1674" s="1" t="str">
        <f t="shared" si="242"/>
        <v>59822</v>
      </c>
      <c r="B1674" s="1" t="s">
        <v>39</v>
      </c>
      <c r="C1674" s="1" t="s">
        <v>40</v>
      </c>
      <c r="D1674" s="1" t="str">
        <f t="shared" si="240"/>
        <v>9801</v>
      </c>
      <c r="E1674" s="1" t="s">
        <v>25</v>
      </c>
      <c r="F1674" s="1" t="str">
        <f>"32FDBC0271880400C834002000000015"</f>
        <v>32FDBC0271880400C834002000000015</v>
      </c>
      <c r="G1674" s="1" t="s">
        <v>26</v>
      </c>
      <c r="H1674" s="1" t="str">
        <f t="shared" si="243"/>
        <v>20220930</v>
      </c>
      <c r="I1674" s="1" t="str">
        <f>"175246"</f>
        <v>175246</v>
      </c>
      <c r="J1674" s="1" t="s">
        <v>28</v>
      </c>
      <c r="K1674" s="1" t="s">
        <v>28</v>
      </c>
      <c r="L1674" s="1" t="str">
        <f t="shared" si="244"/>
        <v>20220930</v>
      </c>
      <c r="M1674" s="1" t="str">
        <f>"181229"</f>
        <v>181229</v>
      </c>
      <c r="N1674" s="1" t="s">
        <v>80</v>
      </c>
      <c r="O1674" s="1" t="s">
        <v>52</v>
      </c>
      <c r="P1674" s="1" t="s">
        <v>68</v>
      </c>
      <c r="Q1674" s="1">
        <v>13</v>
      </c>
      <c r="R1674" s="1">
        <v>0</v>
      </c>
      <c r="S1674" s="1">
        <v>0</v>
      </c>
      <c r="T1674" s="1">
        <v>13</v>
      </c>
      <c r="U1674" s="1">
        <v>0</v>
      </c>
      <c r="V1674" s="1" t="str">
        <f t="shared" si="241"/>
        <v>里程返程</v>
      </c>
      <c r="W1674" s="1" t="s">
        <v>29</v>
      </c>
    </row>
    <row r="1675" spans="1:23" x14ac:dyDescent="0.3">
      <c r="A1675" s="1" t="str">
        <f t="shared" si="242"/>
        <v>59822</v>
      </c>
      <c r="B1675" s="1" t="s">
        <v>39</v>
      </c>
      <c r="C1675" s="1" t="s">
        <v>40</v>
      </c>
      <c r="D1675" s="1" t="str">
        <f t="shared" si="240"/>
        <v>9801</v>
      </c>
      <c r="E1675" s="1" t="s">
        <v>25</v>
      </c>
      <c r="F1675" s="1" t="str">
        <f>"02B3D10262880400C834002000000015"</f>
        <v>02B3D10262880400C834002000000015</v>
      </c>
      <c r="G1675" s="1" t="s">
        <v>26</v>
      </c>
      <c r="H1675" s="1" t="str">
        <f t="shared" si="243"/>
        <v>20220930</v>
      </c>
      <c r="I1675" s="1" t="str">
        <f>"175252"</f>
        <v>175252</v>
      </c>
      <c r="J1675" s="1" t="s">
        <v>28</v>
      </c>
      <c r="K1675" s="1" t="s">
        <v>28</v>
      </c>
      <c r="L1675" s="1" t="str">
        <f t="shared" si="244"/>
        <v>20220930</v>
      </c>
      <c r="M1675" s="1" t="str">
        <f>"181225"</f>
        <v>181225</v>
      </c>
      <c r="N1675" s="1" t="s">
        <v>80</v>
      </c>
      <c r="O1675" s="1" t="s">
        <v>52</v>
      </c>
      <c r="P1675" s="1" t="s">
        <v>68</v>
      </c>
      <c r="Q1675" s="1">
        <v>13</v>
      </c>
      <c r="R1675" s="1">
        <v>0</v>
      </c>
      <c r="S1675" s="1">
        <v>0</v>
      </c>
      <c r="T1675" s="1">
        <v>13</v>
      </c>
      <c r="U1675" s="1">
        <v>0</v>
      </c>
      <c r="V1675" s="1" t="str">
        <f t="shared" si="241"/>
        <v>里程返程</v>
      </c>
      <c r="W1675" s="1" t="s">
        <v>29</v>
      </c>
    </row>
    <row r="1676" spans="1:23" x14ac:dyDescent="0.3">
      <c r="A1676" s="1" t="str">
        <f t="shared" si="242"/>
        <v>59822</v>
      </c>
      <c r="B1676" s="1" t="s">
        <v>39</v>
      </c>
      <c r="C1676" s="1" t="s">
        <v>40</v>
      </c>
      <c r="D1676" s="1" t="str">
        <f t="shared" si="240"/>
        <v>9801</v>
      </c>
      <c r="E1676" s="1" t="s">
        <v>25</v>
      </c>
      <c r="F1676" s="1" t="str">
        <f>"1273109835"</f>
        <v>1273109835</v>
      </c>
      <c r="G1676" s="1" t="s">
        <v>33</v>
      </c>
      <c r="H1676" s="1" t="str">
        <f t="shared" si="243"/>
        <v>20220930</v>
      </c>
      <c r="I1676" s="1" t="str">
        <f>"175256"</f>
        <v>175256</v>
      </c>
      <c r="J1676" s="1" t="s">
        <v>28</v>
      </c>
      <c r="K1676" s="1" t="s">
        <v>28</v>
      </c>
      <c r="L1676" s="1" t="str">
        <f t="shared" si="244"/>
        <v>20220930</v>
      </c>
      <c r="M1676" s="1" t="str">
        <f>"181451"</f>
        <v>181451</v>
      </c>
      <c r="N1676" s="1" t="s">
        <v>65</v>
      </c>
      <c r="O1676" s="1" t="s">
        <v>52</v>
      </c>
      <c r="P1676" s="1" t="s">
        <v>55</v>
      </c>
      <c r="Q1676" s="1">
        <v>25</v>
      </c>
      <c r="R1676" s="1">
        <v>25</v>
      </c>
      <c r="S1676" s="1">
        <v>0</v>
      </c>
      <c r="T1676" s="1">
        <v>0</v>
      </c>
      <c r="U1676" s="1">
        <v>0</v>
      </c>
      <c r="V1676" s="1" t="str">
        <f t="shared" si="241"/>
        <v>里程返程</v>
      </c>
      <c r="W1676" s="1" t="s">
        <v>35</v>
      </c>
    </row>
    <row r="1677" spans="1:23" x14ac:dyDescent="0.3">
      <c r="A1677" s="1" t="str">
        <f t="shared" si="242"/>
        <v>59822</v>
      </c>
      <c r="B1677" s="1" t="s">
        <v>39</v>
      </c>
      <c r="C1677" s="1" t="s">
        <v>40</v>
      </c>
      <c r="D1677" s="1" t="str">
        <f t="shared" si="240"/>
        <v>9801</v>
      </c>
      <c r="E1677" s="1" t="s">
        <v>25</v>
      </c>
      <c r="F1677" s="1" t="str">
        <f>"1638081237"</f>
        <v>1638081237</v>
      </c>
      <c r="G1677" s="1" t="s">
        <v>33</v>
      </c>
      <c r="H1677" s="1" t="str">
        <f t="shared" si="243"/>
        <v>20220930</v>
      </c>
      <c r="I1677" s="1" t="str">
        <f>"175259"</f>
        <v>175259</v>
      </c>
      <c r="J1677" s="1" t="s">
        <v>28</v>
      </c>
      <c r="K1677" s="1" t="s">
        <v>28</v>
      </c>
      <c r="L1677" s="1" t="str">
        <f t="shared" si="244"/>
        <v>20220930</v>
      </c>
      <c r="M1677" s="1" t="str">
        <f>"181448"</f>
        <v>181448</v>
      </c>
      <c r="N1677" s="1" t="s">
        <v>65</v>
      </c>
      <c r="O1677" s="1" t="s">
        <v>52</v>
      </c>
      <c r="P1677" s="1" t="s">
        <v>55</v>
      </c>
      <c r="Q1677" s="1">
        <v>25</v>
      </c>
      <c r="R1677" s="1">
        <v>25</v>
      </c>
      <c r="S1677" s="1">
        <v>0</v>
      </c>
      <c r="T1677" s="1">
        <v>0</v>
      </c>
      <c r="U1677" s="1">
        <v>0</v>
      </c>
      <c r="V1677" s="1" t="str">
        <f t="shared" si="241"/>
        <v>里程返程</v>
      </c>
      <c r="W1677" s="1" t="s">
        <v>35</v>
      </c>
    </row>
    <row r="1678" spans="1:23" x14ac:dyDescent="0.3">
      <c r="A1678" s="1" t="str">
        <f t="shared" si="242"/>
        <v>59822</v>
      </c>
      <c r="B1678" s="1" t="s">
        <v>39</v>
      </c>
      <c r="C1678" s="1" t="s">
        <v>40</v>
      </c>
      <c r="D1678" s="1" t="str">
        <f t="shared" si="240"/>
        <v>9801</v>
      </c>
      <c r="E1678" s="1" t="s">
        <v>25</v>
      </c>
      <c r="F1678" s="1" t="str">
        <f>"1072679217"</f>
        <v>1072679217</v>
      </c>
      <c r="G1678" s="1" t="s">
        <v>33</v>
      </c>
      <c r="H1678" s="1" t="str">
        <f t="shared" si="243"/>
        <v>20220930</v>
      </c>
      <c r="I1678" s="1" t="str">
        <f>"183358"</f>
        <v>183358</v>
      </c>
      <c r="J1678" s="1" t="s">
        <v>44</v>
      </c>
      <c r="K1678" s="1" t="s">
        <v>45</v>
      </c>
      <c r="L1678" s="1" t="str">
        <f t="shared" si="244"/>
        <v>20220930</v>
      </c>
      <c r="M1678" s="1" t="str">
        <f>"185302"</f>
        <v>185302</v>
      </c>
      <c r="N1678" s="1" t="s">
        <v>28</v>
      </c>
      <c r="O1678" s="1" t="s">
        <v>28</v>
      </c>
      <c r="P1678" s="1" t="s">
        <v>55</v>
      </c>
      <c r="Q1678" s="1">
        <v>25</v>
      </c>
      <c r="R1678" s="1">
        <v>25</v>
      </c>
      <c r="S1678" s="1">
        <v>0</v>
      </c>
      <c r="T1678" s="1">
        <v>0</v>
      </c>
      <c r="U1678" s="1">
        <v>0</v>
      </c>
      <c r="V1678" s="1" t="str">
        <f t="shared" si="241"/>
        <v>里程返程</v>
      </c>
      <c r="W1678" s="1" t="s">
        <v>35</v>
      </c>
    </row>
    <row r="1679" spans="1:23" x14ac:dyDescent="0.3">
      <c r="A1679" s="1" t="str">
        <f t="shared" si="242"/>
        <v>59822</v>
      </c>
      <c r="B1679" s="1" t="s">
        <v>39</v>
      </c>
      <c r="C1679" s="1" t="s">
        <v>40</v>
      </c>
      <c r="D1679" s="1" t="str">
        <f t="shared" si="240"/>
        <v>9801</v>
      </c>
      <c r="E1679" s="1" t="s">
        <v>25</v>
      </c>
      <c r="F1679" s="1" t="str">
        <f>"3921423709"</f>
        <v>3921423709</v>
      </c>
      <c r="G1679" s="1" t="s">
        <v>33</v>
      </c>
      <c r="H1679" s="1" t="str">
        <f t="shared" si="243"/>
        <v>20220930</v>
      </c>
      <c r="I1679" s="1" t="str">
        <f>"185313"</f>
        <v>185313</v>
      </c>
      <c r="J1679" s="1" t="s">
        <v>28</v>
      </c>
      <c r="K1679" s="1" t="s">
        <v>28</v>
      </c>
      <c r="L1679" s="1" t="str">
        <f t="shared" si="244"/>
        <v>20220930</v>
      </c>
      <c r="M1679" s="1" t="str">
        <f>"190547"</f>
        <v>190547</v>
      </c>
      <c r="N1679" s="1" t="s">
        <v>69</v>
      </c>
      <c r="O1679" s="1" t="s">
        <v>52</v>
      </c>
      <c r="P1679" s="1" t="s">
        <v>55</v>
      </c>
      <c r="Q1679" s="1">
        <v>25</v>
      </c>
      <c r="R1679" s="1">
        <v>0</v>
      </c>
      <c r="S1679" s="1">
        <v>25</v>
      </c>
      <c r="T1679" s="1">
        <v>0</v>
      </c>
      <c r="U1679" s="1">
        <v>0</v>
      </c>
      <c r="V1679" s="1" t="str">
        <f t="shared" si="241"/>
        <v>里程返程</v>
      </c>
      <c r="W1679" s="1" t="s">
        <v>35</v>
      </c>
    </row>
    <row r="1680" spans="1:23" x14ac:dyDescent="0.3">
      <c r="A1680" s="1" t="str">
        <f t="shared" si="242"/>
        <v>59822</v>
      </c>
      <c r="B1680" s="1" t="s">
        <v>39</v>
      </c>
      <c r="C1680" s="1" t="s">
        <v>40</v>
      </c>
      <c r="D1680" s="1" t="str">
        <f t="shared" si="240"/>
        <v>9801</v>
      </c>
      <c r="E1680" s="1" t="s">
        <v>25</v>
      </c>
      <c r="F1680" s="1" t="str">
        <f>"3815364483"</f>
        <v>3815364483</v>
      </c>
      <c r="G1680" s="1" t="s">
        <v>33</v>
      </c>
      <c r="H1680" s="1" t="str">
        <f t="shared" si="243"/>
        <v>20220930</v>
      </c>
      <c r="I1680" s="1" t="str">
        <f>"185316"</f>
        <v>185316</v>
      </c>
      <c r="J1680" s="1" t="s">
        <v>28</v>
      </c>
      <c r="K1680" s="1" t="s">
        <v>28</v>
      </c>
      <c r="L1680" s="1" t="str">
        <f t="shared" si="244"/>
        <v>20220930</v>
      </c>
      <c r="M1680" s="1" t="str">
        <f>"191350"</f>
        <v>191350</v>
      </c>
      <c r="N1680" s="1" t="s">
        <v>65</v>
      </c>
      <c r="O1680" s="1" t="s">
        <v>52</v>
      </c>
      <c r="P1680" s="1" t="s">
        <v>55</v>
      </c>
      <c r="Q1680" s="1">
        <v>25</v>
      </c>
      <c r="R1680" s="1">
        <v>25</v>
      </c>
      <c r="S1680" s="1">
        <v>0</v>
      </c>
      <c r="T1680" s="1">
        <v>0</v>
      </c>
      <c r="U1680" s="1">
        <v>0</v>
      </c>
      <c r="V1680" s="1" t="str">
        <f t="shared" si="241"/>
        <v>里程返程</v>
      </c>
      <c r="W1680" s="1" t="s">
        <v>35</v>
      </c>
    </row>
    <row r="1681" spans="1:23" x14ac:dyDescent="0.3">
      <c r="A1681" s="1" t="str">
        <f t="shared" si="242"/>
        <v>59822</v>
      </c>
      <c r="B1681" s="1" t="s">
        <v>39</v>
      </c>
      <c r="C1681" s="1" t="s">
        <v>40</v>
      </c>
      <c r="D1681" s="1" t="str">
        <f t="shared" si="240"/>
        <v>9801</v>
      </c>
      <c r="E1681" s="1" t="s">
        <v>25</v>
      </c>
      <c r="F1681" s="1" t="str">
        <f>"155910513"</f>
        <v>155910513</v>
      </c>
      <c r="G1681" s="1" t="s">
        <v>33</v>
      </c>
      <c r="H1681" s="1" t="str">
        <f t="shared" si="243"/>
        <v>20220930</v>
      </c>
      <c r="I1681" s="1" t="str">
        <f>"185333"</f>
        <v>185333</v>
      </c>
      <c r="J1681" s="1" t="s">
        <v>28</v>
      </c>
      <c r="K1681" s="1" t="s">
        <v>28</v>
      </c>
      <c r="L1681" s="1" t="str">
        <f t="shared" si="244"/>
        <v>20220930</v>
      </c>
      <c r="M1681" s="1" t="str">
        <f>"192415"</f>
        <v>192415</v>
      </c>
      <c r="N1681" s="1" t="s">
        <v>52</v>
      </c>
      <c r="O1681" s="1" t="s">
        <v>52</v>
      </c>
      <c r="P1681" s="1" t="s">
        <v>55</v>
      </c>
      <c r="Q1681" s="1">
        <v>25</v>
      </c>
      <c r="R1681" s="1">
        <v>25</v>
      </c>
      <c r="S1681" s="1">
        <v>0</v>
      </c>
      <c r="T1681" s="1">
        <v>0</v>
      </c>
      <c r="U1681" s="1">
        <v>0</v>
      </c>
      <c r="V1681" s="1" t="str">
        <f t="shared" si="241"/>
        <v>里程返程</v>
      </c>
      <c r="W1681" s="1" t="s">
        <v>35</v>
      </c>
    </row>
    <row r="1682" spans="1:23" x14ac:dyDescent="0.3">
      <c r="A1682" s="1" t="str">
        <f t="shared" si="242"/>
        <v>59822</v>
      </c>
      <c r="B1682" s="1" t="s">
        <v>39</v>
      </c>
      <c r="C1682" s="1" t="s">
        <v>40</v>
      </c>
      <c r="D1682" s="1" t="str">
        <f t="shared" si="240"/>
        <v>9801</v>
      </c>
      <c r="E1682" s="1" t="s">
        <v>25</v>
      </c>
      <c r="F1682" s="1" t="str">
        <f>"A10A1F2E9A280400F700000000000000"</f>
        <v>A10A1F2E9A280400F700000000000000</v>
      </c>
      <c r="G1682" s="1" t="s">
        <v>58</v>
      </c>
      <c r="H1682" s="1" t="str">
        <f t="shared" si="243"/>
        <v>20220930</v>
      </c>
      <c r="I1682" s="1" t="str">
        <f>"185421"</f>
        <v>185421</v>
      </c>
      <c r="J1682" s="1" t="s">
        <v>28</v>
      </c>
      <c r="K1682" s="1" t="s">
        <v>28</v>
      </c>
      <c r="L1682" s="1" t="str">
        <f t="shared" si="244"/>
        <v>20220930</v>
      </c>
      <c r="M1682" s="1" t="str">
        <f>"192019"</f>
        <v>192019</v>
      </c>
      <c r="N1682" s="1" t="s">
        <v>60</v>
      </c>
      <c r="O1682" s="1" t="s">
        <v>52</v>
      </c>
      <c r="P1682" s="1" t="s">
        <v>55</v>
      </c>
      <c r="Q1682" s="1">
        <v>25</v>
      </c>
      <c r="R1682" s="1">
        <v>25</v>
      </c>
      <c r="S1682" s="1">
        <v>0</v>
      </c>
      <c r="T1682" s="1">
        <v>0</v>
      </c>
      <c r="U1682" s="1">
        <v>0</v>
      </c>
      <c r="V1682" s="1" t="str">
        <f t="shared" si="241"/>
        <v>里程返程</v>
      </c>
      <c r="W1682" s="1" t="s">
        <v>29</v>
      </c>
    </row>
    <row r="1683" spans="1:23" x14ac:dyDescent="0.3">
      <c r="A1683" s="1" t="str">
        <f t="shared" si="242"/>
        <v>59822</v>
      </c>
      <c r="B1683" s="1" t="s">
        <v>39</v>
      </c>
      <c r="C1683" s="1" t="s">
        <v>40</v>
      </c>
      <c r="D1683" s="1" t="str">
        <f t="shared" si="240"/>
        <v>9801</v>
      </c>
      <c r="E1683" s="1" t="s">
        <v>25</v>
      </c>
      <c r="F1683" s="1" t="str">
        <f>"1111777909"</f>
        <v>1111777909</v>
      </c>
      <c r="G1683" s="1" t="s">
        <v>38</v>
      </c>
      <c r="H1683" s="1" t="str">
        <f t="shared" si="243"/>
        <v>20220930</v>
      </c>
      <c r="I1683" s="1" t="str">
        <f>"185437"</f>
        <v>185437</v>
      </c>
      <c r="J1683" s="1" t="s">
        <v>28</v>
      </c>
      <c r="K1683" s="1" t="s">
        <v>28</v>
      </c>
      <c r="L1683" s="1" t="str">
        <f t="shared" si="244"/>
        <v>20220930</v>
      </c>
      <c r="M1683" s="1" t="str">
        <f>"192419"</f>
        <v>192419</v>
      </c>
      <c r="N1683" s="1" t="s">
        <v>52</v>
      </c>
      <c r="O1683" s="1" t="s">
        <v>52</v>
      </c>
      <c r="P1683" s="1" t="s">
        <v>55</v>
      </c>
      <c r="Q1683" s="1">
        <v>25</v>
      </c>
      <c r="R1683" s="1">
        <v>0</v>
      </c>
      <c r="S1683" s="1">
        <v>25</v>
      </c>
      <c r="T1683" s="1">
        <v>0</v>
      </c>
      <c r="U1683" s="1">
        <v>0</v>
      </c>
      <c r="V1683" s="1" t="str">
        <f t="shared" si="241"/>
        <v>里程返程</v>
      </c>
      <c r="W1683" s="1" t="s">
        <v>35</v>
      </c>
    </row>
    <row r="1684" spans="1:23" x14ac:dyDescent="0.3">
      <c r="A1684" s="1" t="str">
        <f t="shared" ref="A1684:A1703" si="245">"59825"</f>
        <v>59825</v>
      </c>
      <c r="B1684" s="1" t="s">
        <v>30</v>
      </c>
      <c r="C1684" s="1" t="s">
        <v>31</v>
      </c>
      <c r="D1684" s="1" t="str">
        <f t="shared" si="240"/>
        <v>9801</v>
      </c>
      <c r="E1684" s="1" t="s">
        <v>25</v>
      </c>
      <c r="F1684" s="1" t="str">
        <f>"F29BD102BA880400C834002000000015"</f>
        <v>F29BD102BA880400C834002000000015</v>
      </c>
      <c r="G1684" s="1" t="s">
        <v>26</v>
      </c>
      <c r="H1684" s="1" t="str">
        <f t="shared" si="243"/>
        <v>20220930</v>
      </c>
      <c r="I1684" s="1" t="str">
        <f>"083346"</f>
        <v>083346</v>
      </c>
      <c r="J1684" s="1" t="s">
        <v>44</v>
      </c>
      <c r="K1684" s="1" t="s">
        <v>45</v>
      </c>
      <c r="L1684" s="1" t="str">
        <f t="shared" si="244"/>
        <v>20220930</v>
      </c>
      <c r="M1684" s="1" t="str">
        <f>"085403"</f>
        <v>085403</v>
      </c>
      <c r="N1684" s="1" t="s">
        <v>28</v>
      </c>
      <c r="O1684" s="1" t="s">
        <v>28</v>
      </c>
      <c r="P1684" s="1" t="s">
        <v>68</v>
      </c>
      <c r="Q1684" s="1">
        <v>13</v>
      </c>
      <c r="R1684" s="1">
        <v>0</v>
      </c>
      <c r="S1684" s="1">
        <v>0</v>
      </c>
      <c r="T1684" s="1">
        <v>13</v>
      </c>
      <c r="U1684" s="1">
        <v>0</v>
      </c>
      <c r="V1684" s="1" t="str">
        <f t="shared" si="241"/>
        <v>里程返程</v>
      </c>
      <c r="W1684" s="1" t="s">
        <v>29</v>
      </c>
    </row>
    <row r="1685" spans="1:23" x14ac:dyDescent="0.3">
      <c r="A1685" s="1" t="str">
        <f t="shared" si="245"/>
        <v>59825</v>
      </c>
      <c r="B1685" s="1" t="s">
        <v>30</v>
      </c>
      <c r="C1685" s="1" t="s">
        <v>31</v>
      </c>
      <c r="D1685" s="1" t="str">
        <f t="shared" si="240"/>
        <v>9801</v>
      </c>
      <c r="E1685" s="1" t="s">
        <v>25</v>
      </c>
      <c r="F1685" s="1" t="str">
        <f>"22E11A03DA880400C834002000000015"</f>
        <v>22E11A03DA880400C834002000000015</v>
      </c>
      <c r="G1685" s="1" t="s">
        <v>26</v>
      </c>
      <c r="H1685" s="1" t="str">
        <f t="shared" si="243"/>
        <v>20220930</v>
      </c>
      <c r="I1685" s="1" t="str">
        <f>"083546"</f>
        <v>083546</v>
      </c>
      <c r="J1685" s="1" t="s">
        <v>100</v>
      </c>
      <c r="K1685" s="1" t="s">
        <v>45</v>
      </c>
      <c r="L1685" s="1" t="str">
        <f t="shared" si="244"/>
        <v>20220930</v>
      </c>
      <c r="M1685" s="1" t="str">
        <f>"092212"</f>
        <v>092212</v>
      </c>
      <c r="N1685" s="1" t="s">
        <v>60</v>
      </c>
      <c r="O1685" s="1" t="s">
        <v>52</v>
      </c>
      <c r="P1685" s="1" t="s">
        <v>68</v>
      </c>
      <c r="Q1685" s="1">
        <v>25</v>
      </c>
      <c r="R1685" s="1">
        <v>0</v>
      </c>
      <c r="S1685" s="1">
        <v>0</v>
      </c>
      <c r="T1685" s="1">
        <v>25</v>
      </c>
      <c r="U1685" s="1">
        <v>0</v>
      </c>
      <c r="V1685" s="1" t="str">
        <f t="shared" si="241"/>
        <v>里程返程</v>
      </c>
      <c r="W1685" s="1" t="s">
        <v>29</v>
      </c>
    </row>
    <row r="1686" spans="1:23" x14ac:dyDescent="0.3">
      <c r="A1686" s="1" t="str">
        <f t="shared" si="245"/>
        <v>59825</v>
      </c>
      <c r="B1686" s="1" t="s">
        <v>30</v>
      </c>
      <c r="C1686" s="1" t="s">
        <v>31</v>
      </c>
      <c r="D1686" s="1" t="str">
        <f t="shared" si="240"/>
        <v>9801</v>
      </c>
      <c r="E1686" s="1" t="s">
        <v>25</v>
      </c>
      <c r="F1686" s="1" t="str">
        <f>"6932EB0FBF8804004326A4E6000E0211"</f>
        <v>6932EB0FBF8804004326A4E6000E0211</v>
      </c>
      <c r="G1686" s="1" t="s">
        <v>58</v>
      </c>
      <c r="H1686" s="1" t="str">
        <f t="shared" si="243"/>
        <v>20220930</v>
      </c>
      <c r="I1686" s="1" t="str">
        <f>"092639"</f>
        <v>092639</v>
      </c>
      <c r="J1686" s="1" t="s">
        <v>44</v>
      </c>
      <c r="K1686" s="1" t="s">
        <v>45</v>
      </c>
      <c r="L1686" s="1" t="str">
        <f t="shared" si="244"/>
        <v>20220930</v>
      </c>
      <c r="M1686" s="1" t="str">
        <f>"095258"</f>
        <v>095258</v>
      </c>
      <c r="N1686" s="1" t="s">
        <v>28</v>
      </c>
      <c r="O1686" s="1" t="s">
        <v>28</v>
      </c>
      <c r="P1686" s="1" t="s">
        <v>55</v>
      </c>
      <c r="Q1686" s="1">
        <v>25</v>
      </c>
      <c r="R1686" s="1">
        <v>0</v>
      </c>
      <c r="S1686" s="1">
        <v>25</v>
      </c>
      <c r="T1686" s="1">
        <v>0</v>
      </c>
      <c r="U1686" s="1">
        <v>0</v>
      </c>
      <c r="V1686" s="1" t="str">
        <f t="shared" si="241"/>
        <v>里程返程</v>
      </c>
      <c r="W1686" s="1" t="s">
        <v>29</v>
      </c>
    </row>
    <row r="1687" spans="1:23" x14ac:dyDescent="0.3">
      <c r="A1687" s="1" t="str">
        <f t="shared" si="245"/>
        <v>59825</v>
      </c>
      <c r="B1687" s="1" t="s">
        <v>30</v>
      </c>
      <c r="C1687" s="1" t="s">
        <v>31</v>
      </c>
      <c r="D1687" s="1" t="str">
        <f t="shared" si="240"/>
        <v>9801</v>
      </c>
      <c r="E1687" s="1" t="s">
        <v>25</v>
      </c>
      <c r="F1687" s="1" t="str">
        <f>"A239F5056B880400C838002000000015"</f>
        <v>A239F5056B880400C838002000000015</v>
      </c>
      <c r="G1687" s="1" t="s">
        <v>26</v>
      </c>
      <c r="H1687" s="1" t="str">
        <f t="shared" si="243"/>
        <v>20220930</v>
      </c>
      <c r="I1687" s="1" t="str">
        <f>"100330"</f>
        <v>100330</v>
      </c>
      <c r="J1687" s="1" t="s">
        <v>67</v>
      </c>
      <c r="K1687" s="1" t="s">
        <v>52</v>
      </c>
      <c r="L1687" s="1" t="str">
        <f t="shared" si="244"/>
        <v>20220930</v>
      </c>
      <c r="M1687" s="1" t="str">
        <f>"102253"</f>
        <v>102253</v>
      </c>
      <c r="N1687" s="1" t="s">
        <v>52</v>
      </c>
      <c r="O1687" s="1" t="s">
        <v>52</v>
      </c>
      <c r="P1687" s="1" t="s">
        <v>68</v>
      </c>
      <c r="Q1687" s="1">
        <v>13</v>
      </c>
      <c r="R1687" s="1">
        <v>0</v>
      </c>
      <c r="S1687" s="1">
        <v>0</v>
      </c>
      <c r="T1687" s="1">
        <v>13</v>
      </c>
      <c r="U1687" s="1">
        <v>0</v>
      </c>
      <c r="V1687" s="1" t="str">
        <f t="shared" si="241"/>
        <v>里程返程</v>
      </c>
      <c r="W1687" s="1" t="s">
        <v>29</v>
      </c>
    </row>
    <row r="1688" spans="1:23" x14ac:dyDescent="0.3">
      <c r="A1688" s="1" t="str">
        <f t="shared" si="245"/>
        <v>59825</v>
      </c>
      <c r="B1688" s="1" t="s">
        <v>30</v>
      </c>
      <c r="C1688" s="1" t="s">
        <v>31</v>
      </c>
      <c r="D1688" s="1" t="str">
        <f t="shared" si="240"/>
        <v>9801</v>
      </c>
      <c r="E1688" s="1" t="s">
        <v>25</v>
      </c>
      <c r="F1688" s="1" t="str">
        <f>"72D54502E0880400C821002000000015"</f>
        <v>72D54502E0880400C821002000000015</v>
      </c>
      <c r="G1688" s="1" t="s">
        <v>26</v>
      </c>
      <c r="H1688" s="1" t="str">
        <f t="shared" si="243"/>
        <v>20220930</v>
      </c>
      <c r="I1688" s="1" t="str">
        <f>"100333"</f>
        <v>100333</v>
      </c>
      <c r="J1688" s="1" t="s">
        <v>67</v>
      </c>
      <c r="K1688" s="1" t="s">
        <v>52</v>
      </c>
      <c r="L1688" s="1" t="str">
        <f t="shared" si="244"/>
        <v>20220930</v>
      </c>
      <c r="M1688" s="1" t="str">
        <f>"102250"</f>
        <v>102250</v>
      </c>
      <c r="N1688" s="1" t="s">
        <v>52</v>
      </c>
      <c r="O1688" s="1" t="s">
        <v>52</v>
      </c>
      <c r="P1688" s="1" t="s">
        <v>68</v>
      </c>
      <c r="Q1688" s="1">
        <v>13</v>
      </c>
      <c r="R1688" s="1">
        <v>0</v>
      </c>
      <c r="S1688" s="1">
        <v>0</v>
      </c>
      <c r="T1688" s="1">
        <v>13</v>
      </c>
      <c r="U1688" s="1">
        <v>0</v>
      </c>
      <c r="V1688" s="1" t="str">
        <f t="shared" si="241"/>
        <v>里程返程</v>
      </c>
      <c r="W1688" s="1" t="s">
        <v>29</v>
      </c>
    </row>
    <row r="1689" spans="1:23" x14ac:dyDescent="0.3">
      <c r="A1689" s="1" t="str">
        <f t="shared" si="245"/>
        <v>59825</v>
      </c>
      <c r="B1689" s="1" t="s">
        <v>30</v>
      </c>
      <c r="C1689" s="1" t="s">
        <v>31</v>
      </c>
      <c r="D1689" s="1" t="str">
        <f t="shared" si="240"/>
        <v>9801</v>
      </c>
      <c r="E1689" s="1" t="s">
        <v>25</v>
      </c>
      <c r="F1689" s="1" t="str">
        <f>"A239F5056B880400C838002000000015"</f>
        <v>A239F5056B880400C838002000000015</v>
      </c>
      <c r="G1689" s="1" t="s">
        <v>26</v>
      </c>
      <c r="H1689" s="1" t="str">
        <f t="shared" si="243"/>
        <v>20220930</v>
      </c>
      <c r="I1689" s="1" t="str">
        <f>"102434"</f>
        <v>102434</v>
      </c>
      <c r="J1689" s="1" t="s">
        <v>44</v>
      </c>
      <c r="K1689" s="1" t="s">
        <v>45</v>
      </c>
      <c r="L1689" s="1" t="str">
        <f t="shared" si="244"/>
        <v>20220930</v>
      </c>
      <c r="M1689" s="1" t="str">
        <f>"103607"</f>
        <v>103607</v>
      </c>
      <c r="N1689" s="1" t="s">
        <v>91</v>
      </c>
      <c r="O1689" s="1" t="s">
        <v>45</v>
      </c>
      <c r="P1689" s="1" t="s">
        <v>68</v>
      </c>
      <c r="Q1689" s="1">
        <v>13</v>
      </c>
      <c r="R1689" s="1">
        <v>0</v>
      </c>
      <c r="S1689" s="1">
        <v>0</v>
      </c>
      <c r="T1689" s="1">
        <v>13</v>
      </c>
      <c r="U1689" s="1">
        <v>0</v>
      </c>
      <c r="V1689" s="1" t="str">
        <f t="shared" si="241"/>
        <v>里程返程</v>
      </c>
      <c r="W1689" s="1" t="s">
        <v>29</v>
      </c>
    </row>
    <row r="1690" spans="1:23" x14ac:dyDescent="0.3">
      <c r="A1690" s="1" t="str">
        <f t="shared" si="245"/>
        <v>59825</v>
      </c>
      <c r="B1690" s="1" t="s">
        <v>30</v>
      </c>
      <c r="C1690" s="1" t="s">
        <v>31</v>
      </c>
      <c r="D1690" s="1" t="str">
        <f t="shared" si="240"/>
        <v>9801</v>
      </c>
      <c r="E1690" s="1" t="s">
        <v>25</v>
      </c>
      <c r="F1690" s="1" t="str">
        <f>"72D54502E0880400C821002000000015"</f>
        <v>72D54502E0880400C821002000000015</v>
      </c>
      <c r="G1690" s="1" t="s">
        <v>26</v>
      </c>
      <c r="H1690" s="1" t="str">
        <f t="shared" si="243"/>
        <v>20220930</v>
      </c>
      <c r="I1690" s="1" t="str">
        <f>"102437"</f>
        <v>102437</v>
      </c>
      <c r="J1690" s="1" t="s">
        <v>44</v>
      </c>
      <c r="K1690" s="1" t="s">
        <v>45</v>
      </c>
      <c r="L1690" s="1" t="str">
        <f t="shared" si="244"/>
        <v>20220930</v>
      </c>
      <c r="M1690" s="1" t="str">
        <f>"103558"</f>
        <v>103558</v>
      </c>
      <c r="N1690" s="1" t="s">
        <v>91</v>
      </c>
      <c r="O1690" s="1" t="s">
        <v>45</v>
      </c>
      <c r="P1690" s="1" t="s">
        <v>68</v>
      </c>
      <c r="Q1690" s="1">
        <v>13</v>
      </c>
      <c r="R1690" s="1">
        <v>0</v>
      </c>
      <c r="S1690" s="1">
        <v>0</v>
      </c>
      <c r="T1690" s="1">
        <v>13</v>
      </c>
      <c r="U1690" s="1">
        <v>0</v>
      </c>
      <c r="V1690" s="1" t="str">
        <f t="shared" si="241"/>
        <v>里程返程</v>
      </c>
      <c r="W1690" s="1" t="s">
        <v>29</v>
      </c>
    </row>
    <row r="1691" spans="1:23" x14ac:dyDescent="0.3">
      <c r="A1691" s="1" t="str">
        <f t="shared" si="245"/>
        <v>59825</v>
      </c>
      <c r="B1691" s="1" t="s">
        <v>30</v>
      </c>
      <c r="C1691" s="1" t="s">
        <v>31</v>
      </c>
      <c r="D1691" s="1" t="str">
        <f t="shared" si="240"/>
        <v>9801</v>
      </c>
      <c r="E1691" s="1" t="s">
        <v>25</v>
      </c>
      <c r="F1691" s="1" t="str">
        <f>"2620325231"</f>
        <v>2620325231</v>
      </c>
      <c r="G1691" s="1" t="s">
        <v>33</v>
      </c>
      <c r="H1691" s="1" t="str">
        <f t="shared" si="243"/>
        <v>20220930</v>
      </c>
      <c r="I1691" s="1" t="str">
        <f>"102445"</f>
        <v>102445</v>
      </c>
      <c r="J1691" s="1" t="s">
        <v>44</v>
      </c>
      <c r="K1691" s="1" t="s">
        <v>45</v>
      </c>
      <c r="L1691" s="1" t="str">
        <f t="shared" si="244"/>
        <v>20220930</v>
      </c>
      <c r="M1691" s="1" t="str">
        <f>"105058"</f>
        <v>105058</v>
      </c>
      <c r="N1691" s="1" t="s">
        <v>28</v>
      </c>
      <c r="O1691" s="1" t="s">
        <v>28</v>
      </c>
      <c r="P1691" s="1" t="s">
        <v>55</v>
      </c>
      <c r="Q1691" s="1">
        <v>25</v>
      </c>
      <c r="R1691" s="1">
        <v>25</v>
      </c>
      <c r="S1691" s="1">
        <v>0</v>
      </c>
      <c r="T1691" s="1">
        <v>0</v>
      </c>
      <c r="U1691" s="1">
        <v>0</v>
      </c>
      <c r="V1691" s="1" t="str">
        <f t="shared" si="241"/>
        <v>里程返程</v>
      </c>
      <c r="W1691" s="1" t="s">
        <v>35</v>
      </c>
    </row>
    <row r="1692" spans="1:23" x14ac:dyDescent="0.3">
      <c r="A1692" s="1" t="str">
        <f t="shared" si="245"/>
        <v>59825</v>
      </c>
      <c r="B1692" s="1" t="s">
        <v>30</v>
      </c>
      <c r="C1692" s="1" t="s">
        <v>31</v>
      </c>
      <c r="D1692" s="1" t="str">
        <f t="shared" si="240"/>
        <v>9801</v>
      </c>
      <c r="E1692" s="1" t="s">
        <v>25</v>
      </c>
      <c r="F1692" s="1" t="str">
        <f>"1674332065"</f>
        <v>1674332065</v>
      </c>
      <c r="G1692" s="1" t="s">
        <v>33</v>
      </c>
      <c r="H1692" s="1" t="str">
        <f t="shared" si="243"/>
        <v>20220930</v>
      </c>
      <c r="I1692" s="1" t="str">
        <f>"102947"</f>
        <v>102947</v>
      </c>
      <c r="J1692" s="1" t="s">
        <v>44</v>
      </c>
      <c r="K1692" s="1" t="s">
        <v>45</v>
      </c>
      <c r="L1692" s="1" t="str">
        <f t="shared" si="244"/>
        <v>20220930</v>
      </c>
      <c r="M1692" s="1" t="str">
        <f>"104424"</f>
        <v>104424</v>
      </c>
      <c r="N1692" s="1" t="s">
        <v>79</v>
      </c>
      <c r="O1692" s="1" t="s">
        <v>45</v>
      </c>
      <c r="P1692" s="1" t="s">
        <v>55</v>
      </c>
      <c r="Q1692" s="1">
        <v>25</v>
      </c>
      <c r="R1692" s="1">
        <v>25</v>
      </c>
      <c r="S1692" s="1">
        <v>0</v>
      </c>
      <c r="T1692" s="1">
        <v>0</v>
      </c>
      <c r="U1692" s="1">
        <v>0</v>
      </c>
      <c r="V1692" s="1" t="str">
        <f t="shared" si="241"/>
        <v>里程返程</v>
      </c>
      <c r="W1692" s="1" t="s">
        <v>35</v>
      </c>
    </row>
    <row r="1693" spans="1:23" x14ac:dyDescent="0.3">
      <c r="A1693" s="1" t="str">
        <f t="shared" si="245"/>
        <v>59825</v>
      </c>
      <c r="B1693" s="1" t="s">
        <v>30</v>
      </c>
      <c r="C1693" s="1" t="s">
        <v>31</v>
      </c>
      <c r="D1693" s="1" t="str">
        <f t="shared" si="240"/>
        <v>9801</v>
      </c>
      <c r="E1693" s="1" t="s">
        <v>25</v>
      </c>
      <c r="F1693" s="1" t="str">
        <f>"2920694728"</f>
        <v>2920694728</v>
      </c>
      <c r="G1693" s="1" t="s">
        <v>33</v>
      </c>
      <c r="H1693" s="1" t="str">
        <f t="shared" si="243"/>
        <v>20220930</v>
      </c>
      <c r="I1693" s="1" t="str">
        <f>"103817"</f>
        <v>103817</v>
      </c>
      <c r="J1693" s="1" t="s">
        <v>75</v>
      </c>
      <c r="K1693" s="1" t="s">
        <v>45</v>
      </c>
      <c r="L1693" s="1" t="str">
        <f t="shared" si="244"/>
        <v>20220930</v>
      </c>
      <c r="M1693" s="1" t="str">
        <f>"105111"</f>
        <v>105111</v>
      </c>
      <c r="N1693" s="1" t="s">
        <v>28</v>
      </c>
      <c r="O1693" s="1" t="s">
        <v>28</v>
      </c>
      <c r="P1693" s="1" t="s">
        <v>55</v>
      </c>
      <c r="Q1693" s="1">
        <v>25</v>
      </c>
      <c r="R1693" s="1">
        <v>25</v>
      </c>
      <c r="S1693" s="1">
        <v>0</v>
      </c>
      <c r="T1693" s="1">
        <v>0</v>
      </c>
      <c r="U1693" s="1">
        <v>0</v>
      </c>
      <c r="V1693" s="1" t="str">
        <f t="shared" si="241"/>
        <v>里程返程</v>
      </c>
      <c r="W1693" s="1" t="s">
        <v>35</v>
      </c>
    </row>
    <row r="1694" spans="1:23" x14ac:dyDescent="0.3">
      <c r="A1694" s="1" t="str">
        <f t="shared" si="245"/>
        <v>59825</v>
      </c>
      <c r="B1694" s="1" t="s">
        <v>30</v>
      </c>
      <c r="C1694" s="1" t="s">
        <v>31</v>
      </c>
      <c r="D1694" s="1" t="str">
        <f t="shared" si="240"/>
        <v>9801</v>
      </c>
      <c r="E1694" s="1" t="s">
        <v>25</v>
      </c>
      <c r="F1694" s="1" t="str">
        <f>"2920654280"</f>
        <v>2920654280</v>
      </c>
      <c r="G1694" s="1" t="s">
        <v>33</v>
      </c>
      <c r="H1694" s="1" t="str">
        <f t="shared" si="243"/>
        <v>20220930</v>
      </c>
      <c r="I1694" s="1" t="str">
        <f>"103820"</f>
        <v>103820</v>
      </c>
      <c r="J1694" s="1" t="s">
        <v>75</v>
      </c>
      <c r="K1694" s="1" t="s">
        <v>45</v>
      </c>
      <c r="L1694" s="1" t="str">
        <f t="shared" si="244"/>
        <v>20220930</v>
      </c>
      <c r="M1694" s="1" t="str">
        <f>"105107"</f>
        <v>105107</v>
      </c>
      <c r="N1694" s="1" t="s">
        <v>28</v>
      </c>
      <c r="O1694" s="1" t="s">
        <v>28</v>
      </c>
      <c r="P1694" s="1" t="s">
        <v>55</v>
      </c>
      <c r="Q1694" s="1">
        <v>25</v>
      </c>
      <c r="R1694" s="1">
        <v>25</v>
      </c>
      <c r="S1694" s="1">
        <v>0</v>
      </c>
      <c r="T1694" s="1">
        <v>0</v>
      </c>
      <c r="U1694" s="1">
        <v>0</v>
      </c>
      <c r="V1694" s="1" t="str">
        <f t="shared" si="241"/>
        <v>里程返程</v>
      </c>
      <c r="W1694" s="1" t="s">
        <v>35</v>
      </c>
    </row>
    <row r="1695" spans="1:23" x14ac:dyDescent="0.3">
      <c r="A1695" s="1" t="str">
        <f t="shared" si="245"/>
        <v>59825</v>
      </c>
      <c r="B1695" s="1" t="s">
        <v>30</v>
      </c>
      <c r="C1695" s="1" t="s">
        <v>31</v>
      </c>
      <c r="D1695" s="1" t="str">
        <f t="shared" si="240"/>
        <v>9801</v>
      </c>
      <c r="E1695" s="1" t="s">
        <v>25</v>
      </c>
      <c r="F1695" s="1" t="str">
        <f>"2920700360"</f>
        <v>2920700360</v>
      </c>
      <c r="G1695" s="1" t="s">
        <v>33</v>
      </c>
      <c r="H1695" s="1" t="str">
        <f t="shared" si="243"/>
        <v>20220930</v>
      </c>
      <c r="I1695" s="1" t="str">
        <f>"103823"</f>
        <v>103823</v>
      </c>
      <c r="J1695" s="1" t="s">
        <v>75</v>
      </c>
      <c r="K1695" s="1" t="s">
        <v>45</v>
      </c>
      <c r="L1695" s="1" t="str">
        <f t="shared" si="244"/>
        <v>20220930</v>
      </c>
      <c r="M1695" s="1" t="str">
        <f>"105115"</f>
        <v>105115</v>
      </c>
      <c r="N1695" s="1" t="s">
        <v>28</v>
      </c>
      <c r="O1695" s="1" t="s">
        <v>28</v>
      </c>
      <c r="P1695" s="1" t="s">
        <v>55</v>
      </c>
      <c r="Q1695" s="1">
        <v>25</v>
      </c>
      <c r="R1695" s="1">
        <v>25</v>
      </c>
      <c r="S1695" s="1">
        <v>0</v>
      </c>
      <c r="T1695" s="1">
        <v>0</v>
      </c>
      <c r="U1695" s="1">
        <v>0</v>
      </c>
      <c r="V1695" s="1" t="str">
        <f t="shared" si="241"/>
        <v>里程返程</v>
      </c>
      <c r="W1695" s="1" t="s">
        <v>35</v>
      </c>
    </row>
    <row r="1696" spans="1:23" x14ac:dyDescent="0.3">
      <c r="A1696" s="1" t="str">
        <f t="shared" si="245"/>
        <v>59825</v>
      </c>
      <c r="B1696" s="1" t="s">
        <v>30</v>
      </c>
      <c r="C1696" s="1" t="s">
        <v>31</v>
      </c>
      <c r="D1696" s="1" t="str">
        <f t="shared" si="240"/>
        <v>9801</v>
      </c>
      <c r="E1696" s="1" t="s">
        <v>25</v>
      </c>
      <c r="F1696" s="1" t="str">
        <f>"138789841"</f>
        <v>138789841</v>
      </c>
      <c r="G1696" s="1" t="s">
        <v>33</v>
      </c>
      <c r="H1696" s="1" t="str">
        <f t="shared" si="243"/>
        <v>20220930</v>
      </c>
      <c r="I1696" s="1" t="str">
        <f>"104454"</f>
        <v>104454</v>
      </c>
      <c r="J1696" s="1" t="s">
        <v>79</v>
      </c>
      <c r="K1696" s="1" t="s">
        <v>45</v>
      </c>
      <c r="L1696" s="1" t="str">
        <f t="shared" si="244"/>
        <v>20220930</v>
      </c>
      <c r="M1696" s="1" t="str">
        <f>"105103"</f>
        <v>105103</v>
      </c>
      <c r="N1696" s="1" t="s">
        <v>28</v>
      </c>
      <c r="O1696" s="1" t="s">
        <v>28</v>
      </c>
      <c r="P1696" s="1" t="s">
        <v>55</v>
      </c>
      <c r="Q1696" s="1">
        <v>25</v>
      </c>
      <c r="R1696" s="1">
        <v>25</v>
      </c>
      <c r="S1696" s="1">
        <v>0</v>
      </c>
      <c r="T1696" s="1">
        <v>0</v>
      </c>
      <c r="U1696" s="1">
        <v>0</v>
      </c>
      <c r="V1696" s="1" t="str">
        <f t="shared" si="241"/>
        <v>里程返程</v>
      </c>
      <c r="W1696" s="1" t="s">
        <v>35</v>
      </c>
    </row>
    <row r="1697" spans="1:23" x14ac:dyDescent="0.3">
      <c r="A1697" s="1" t="str">
        <f t="shared" si="245"/>
        <v>59825</v>
      </c>
      <c r="B1697" s="1" t="s">
        <v>30</v>
      </c>
      <c r="C1697" s="1" t="s">
        <v>31</v>
      </c>
      <c r="D1697" s="1" t="str">
        <f t="shared" si="240"/>
        <v>9801</v>
      </c>
      <c r="E1697" s="1" t="s">
        <v>25</v>
      </c>
      <c r="F1697" s="1" t="str">
        <f>"F25B1B03B1880400C834002000000015"</f>
        <v>F25B1B03B1880400C834002000000015</v>
      </c>
      <c r="G1697" s="1" t="s">
        <v>26</v>
      </c>
      <c r="H1697" s="1" t="str">
        <f t="shared" si="243"/>
        <v>20220930</v>
      </c>
      <c r="I1697" s="1" t="str">
        <f>"105224"</f>
        <v>105224</v>
      </c>
      <c r="J1697" s="1" t="s">
        <v>28</v>
      </c>
      <c r="K1697" s="1" t="s">
        <v>28</v>
      </c>
      <c r="L1697" s="1" t="str">
        <f t="shared" si="244"/>
        <v>20220930</v>
      </c>
      <c r="M1697" s="1" t="str">
        <f>"111835"</f>
        <v>111835</v>
      </c>
      <c r="N1697" s="1" t="s">
        <v>60</v>
      </c>
      <c r="O1697" s="1" t="s">
        <v>52</v>
      </c>
      <c r="P1697" s="1" t="s">
        <v>68</v>
      </c>
      <c r="Q1697" s="1">
        <v>13</v>
      </c>
      <c r="R1697" s="1">
        <v>0</v>
      </c>
      <c r="S1697" s="1">
        <v>0</v>
      </c>
      <c r="T1697" s="1">
        <v>13</v>
      </c>
      <c r="U1697" s="1">
        <v>0</v>
      </c>
      <c r="V1697" s="1" t="str">
        <f t="shared" si="241"/>
        <v>里程返程</v>
      </c>
      <c r="W1697" s="1" t="s">
        <v>29</v>
      </c>
    </row>
    <row r="1698" spans="1:23" x14ac:dyDescent="0.3">
      <c r="A1698" s="1" t="str">
        <f t="shared" si="245"/>
        <v>59825</v>
      </c>
      <c r="B1698" s="1" t="s">
        <v>30</v>
      </c>
      <c r="C1698" s="1" t="s">
        <v>31</v>
      </c>
      <c r="D1698" s="1" t="str">
        <f t="shared" si="240"/>
        <v>9801</v>
      </c>
      <c r="E1698" s="1" t="s">
        <v>25</v>
      </c>
      <c r="F1698" s="1" t="str">
        <f>"32780D0344880400C834002000000015"</f>
        <v>32780D0344880400C834002000000015</v>
      </c>
      <c r="G1698" s="1" t="s">
        <v>26</v>
      </c>
      <c r="H1698" s="1" t="str">
        <f t="shared" si="243"/>
        <v>20220930</v>
      </c>
      <c r="I1698" s="1" t="str">
        <f>"112904"</f>
        <v>112904</v>
      </c>
      <c r="J1698" s="1" t="s">
        <v>44</v>
      </c>
      <c r="K1698" s="1" t="s">
        <v>45</v>
      </c>
      <c r="L1698" s="1" t="str">
        <f t="shared" si="244"/>
        <v>20220930</v>
      </c>
      <c r="M1698" s="1" t="str">
        <f>"115455"</f>
        <v>115455</v>
      </c>
      <c r="N1698" s="1" t="s">
        <v>95</v>
      </c>
      <c r="O1698" s="1" t="s">
        <v>28</v>
      </c>
      <c r="P1698" s="1" t="s">
        <v>68</v>
      </c>
      <c r="Q1698" s="1">
        <v>13</v>
      </c>
      <c r="R1698" s="1">
        <v>0</v>
      </c>
      <c r="S1698" s="1">
        <v>0</v>
      </c>
      <c r="T1698" s="1">
        <v>13</v>
      </c>
      <c r="U1698" s="1">
        <v>0</v>
      </c>
      <c r="V1698" s="1" t="str">
        <f t="shared" si="241"/>
        <v>里程返程</v>
      </c>
      <c r="W1698" s="1" t="s">
        <v>29</v>
      </c>
    </row>
    <row r="1699" spans="1:23" x14ac:dyDescent="0.3">
      <c r="A1699" s="1" t="str">
        <f t="shared" si="245"/>
        <v>59825</v>
      </c>
      <c r="B1699" s="1" t="s">
        <v>30</v>
      </c>
      <c r="C1699" s="1" t="s">
        <v>31</v>
      </c>
      <c r="D1699" s="1" t="str">
        <f t="shared" si="240"/>
        <v>9801</v>
      </c>
      <c r="E1699" s="1" t="s">
        <v>25</v>
      </c>
      <c r="F1699" s="1" t="str">
        <f>"A239F5056B880400C838002000000015"</f>
        <v>A239F5056B880400C838002000000015</v>
      </c>
      <c r="G1699" s="1" t="s">
        <v>26</v>
      </c>
      <c r="H1699" s="1" t="str">
        <f t="shared" si="243"/>
        <v>20220930</v>
      </c>
      <c r="I1699" s="1" t="str">
        <f>"114004"</f>
        <v>114004</v>
      </c>
      <c r="J1699" s="1" t="s">
        <v>91</v>
      </c>
      <c r="K1699" s="1" t="s">
        <v>45</v>
      </c>
      <c r="L1699" s="1" t="str">
        <f t="shared" si="244"/>
        <v>20220930</v>
      </c>
      <c r="M1699" s="1" t="str">
        <f>"120809"</f>
        <v>120809</v>
      </c>
      <c r="N1699" s="1" t="s">
        <v>67</v>
      </c>
      <c r="O1699" s="1" t="s">
        <v>52</v>
      </c>
      <c r="P1699" s="1" t="s">
        <v>68</v>
      </c>
      <c r="Q1699" s="1">
        <v>25</v>
      </c>
      <c r="R1699" s="1">
        <v>0</v>
      </c>
      <c r="S1699" s="1">
        <v>0</v>
      </c>
      <c r="T1699" s="1">
        <v>25</v>
      </c>
      <c r="U1699" s="1">
        <v>0</v>
      </c>
      <c r="V1699" s="1" t="str">
        <f t="shared" si="241"/>
        <v>里程返程</v>
      </c>
      <c r="W1699" s="1" t="s">
        <v>29</v>
      </c>
    </row>
    <row r="1700" spans="1:23" x14ac:dyDescent="0.3">
      <c r="A1700" s="1" t="str">
        <f t="shared" si="245"/>
        <v>59825</v>
      </c>
      <c r="B1700" s="1" t="s">
        <v>30</v>
      </c>
      <c r="C1700" s="1" t="s">
        <v>31</v>
      </c>
      <c r="D1700" s="1" t="str">
        <f t="shared" si="240"/>
        <v>9801</v>
      </c>
      <c r="E1700" s="1" t="s">
        <v>25</v>
      </c>
      <c r="F1700" s="1" t="str">
        <f>"72D54502E0880400C821002000000015"</f>
        <v>72D54502E0880400C821002000000015</v>
      </c>
      <c r="G1700" s="1" t="s">
        <v>26</v>
      </c>
      <c r="H1700" s="1" t="str">
        <f t="shared" si="243"/>
        <v>20220930</v>
      </c>
      <c r="I1700" s="1" t="str">
        <f>"114008"</f>
        <v>114008</v>
      </c>
      <c r="J1700" s="1" t="s">
        <v>91</v>
      </c>
      <c r="K1700" s="1" t="s">
        <v>45</v>
      </c>
      <c r="L1700" s="1" t="str">
        <f t="shared" si="244"/>
        <v>20220930</v>
      </c>
      <c r="M1700" s="1" t="str">
        <f>"120805"</f>
        <v>120805</v>
      </c>
      <c r="N1700" s="1" t="s">
        <v>67</v>
      </c>
      <c r="O1700" s="1" t="s">
        <v>52</v>
      </c>
      <c r="P1700" s="1" t="s">
        <v>68</v>
      </c>
      <c r="Q1700" s="1">
        <v>25</v>
      </c>
      <c r="R1700" s="1">
        <v>0</v>
      </c>
      <c r="S1700" s="1">
        <v>0</v>
      </c>
      <c r="T1700" s="1">
        <v>25</v>
      </c>
      <c r="U1700" s="1">
        <v>0</v>
      </c>
      <c r="V1700" s="1" t="str">
        <f t="shared" si="241"/>
        <v>里程返程</v>
      </c>
      <c r="W1700" s="1" t="s">
        <v>29</v>
      </c>
    </row>
    <row r="1701" spans="1:23" x14ac:dyDescent="0.3">
      <c r="A1701" s="1" t="str">
        <f t="shared" si="245"/>
        <v>59825</v>
      </c>
      <c r="B1701" s="1" t="s">
        <v>30</v>
      </c>
      <c r="C1701" s="1" t="s">
        <v>31</v>
      </c>
      <c r="D1701" s="1" t="str">
        <f t="shared" si="240"/>
        <v>9801</v>
      </c>
      <c r="E1701" s="1" t="s">
        <v>25</v>
      </c>
      <c r="F1701" s="1" t="str">
        <f>"02B06702D7880400C821002000000015"</f>
        <v>02B06702D7880400C821002000000015</v>
      </c>
      <c r="G1701" s="1" t="s">
        <v>59</v>
      </c>
      <c r="H1701" s="1" t="str">
        <f t="shared" si="243"/>
        <v>20220930</v>
      </c>
      <c r="I1701" s="1" t="str">
        <f>"115620"</f>
        <v>115620</v>
      </c>
      <c r="J1701" s="1" t="s">
        <v>28</v>
      </c>
      <c r="K1701" s="1" t="s">
        <v>28</v>
      </c>
      <c r="L1701" s="1" t="str">
        <f t="shared" si="244"/>
        <v>20220930</v>
      </c>
      <c r="M1701" s="1" t="str">
        <f>"123010"</f>
        <v>123010</v>
      </c>
      <c r="N1701" s="1" t="s">
        <v>52</v>
      </c>
      <c r="O1701" s="1" t="s">
        <v>52</v>
      </c>
      <c r="P1701" s="1" t="s">
        <v>55</v>
      </c>
      <c r="Q1701" s="1">
        <v>25</v>
      </c>
      <c r="R1701" s="1">
        <v>0</v>
      </c>
      <c r="S1701" s="1">
        <v>25</v>
      </c>
      <c r="T1701" s="1">
        <v>0</v>
      </c>
      <c r="U1701" s="1">
        <v>0</v>
      </c>
      <c r="V1701" s="1" t="str">
        <f t="shared" si="241"/>
        <v>里程返程</v>
      </c>
      <c r="W1701" s="1" t="s">
        <v>29</v>
      </c>
    </row>
    <row r="1702" spans="1:23" x14ac:dyDescent="0.3">
      <c r="A1702" s="1" t="str">
        <f t="shared" si="245"/>
        <v>59825</v>
      </c>
      <c r="B1702" s="1" t="s">
        <v>30</v>
      </c>
      <c r="C1702" s="1" t="s">
        <v>31</v>
      </c>
      <c r="D1702" s="1" t="str">
        <f t="shared" si="240"/>
        <v>9801</v>
      </c>
      <c r="E1702" s="1" t="s">
        <v>25</v>
      </c>
      <c r="F1702" s="1" t="str">
        <f>"B0FDEB9C3A880400C08E1E9049800113"</f>
        <v>B0FDEB9C3A880400C08E1E9049800113</v>
      </c>
      <c r="G1702" s="1" t="s">
        <v>58</v>
      </c>
      <c r="H1702" s="1" t="str">
        <f t="shared" si="243"/>
        <v>20220930</v>
      </c>
      <c r="I1702" s="1" t="str">
        <f>"115626"</f>
        <v>115626</v>
      </c>
      <c r="J1702" s="1" t="s">
        <v>28</v>
      </c>
      <c r="K1702" s="1" t="s">
        <v>28</v>
      </c>
      <c r="L1702" s="1" t="str">
        <f t="shared" si="244"/>
        <v>20220930</v>
      </c>
      <c r="M1702" s="1" t="str">
        <f>"122140"</f>
        <v>122140</v>
      </c>
      <c r="N1702" s="1" t="s">
        <v>65</v>
      </c>
      <c r="O1702" s="1" t="s">
        <v>52</v>
      </c>
      <c r="P1702" s="1" t="s">
        <v>55</v>
      </c>
      <c r="Q1702" s="1">
        <v>25</v>
      </c>
      <c r="R1702" s="1">
        <v>25</v>
      </c>
      <c r="S1702" s="1">
        <v>0</v>
      </c>
      <c r="T1702" s="1">
        <v>0</v>
      </c>
      <c r="U1702" s="1">
        <v>0</v>
      </c>
      <c r="V1702" s="1" t="str">
        <f t="shared" si="241"/>
        <v>里程返程</v>
      </c>
      <c r="W1702" s="1" t="s">
        <v>29</v>
      </c>
    </row>
    <row r="1703" spans="1:23" x14ac:dyDescent="0.3">
      <c r="A1703" s="1" t="str">
        <f t="shared" si="245"/>
        <v>59825</v>
      </c>
      <c r="B1703" s="1" t="s">
        <v>30</v>
      </c>
      <c r="C1703" s="1" t="s">
        <v>31</v>
      </c>
      <c r="D1703" s="1" t="str">
        <f t="shared" si="240"/>
        <v>9801</v>
      </c>
      <c r="E1703" s="1" t="s">
        <v>25</v>
      </c>
      <c r="F1703" s="1" t="str">
        <f>"1498612385"</f>
        <v>1498612385</v>
      </c>
      <c r="G1703" s="1" t="s">
        <v>33</v>
      </c>
      <c r="H1703" s="1" t="str">
        <f t="shared" ref="H1703:H1736" si="246">"20220930"</f>
        <v>20220930</v>
      </c>
      <c r="I1703" s="1" t="str">
        <f>"192428"</f>
        <v>192428</v>
      </c>
      <c r="J1703" s="1" t="s">
        <v>85</v>
      </c>
      <c r="K1703" s="1" t="s">
        <v>28</v>
      </c>
      <c r="L1703" s="1" t="str">
        <f t="shared" ref="L1703:L1736" si="247">"20220930"</f>
        <v>20220930</v>
      </c>
      <c r="M1703" s="1" t="str">
        <f>"193808"</f>
        <v>193808</v>
      </c>
      <c r="N1703" s="1" t="s">
        <v>67</v>
      </c>
      <c r="O1703" s="1" t="s">
        <v>52</v>
      </c>
      <c r="P1703" s="1" t="s">
        <v>55</v>
      </c>
      <c r="Q1703" s="1">
        <v>25</v>
      </c>
      <c r="R1703" s="1">
        <v>0</v>
      </c>
      <c r="S1703" s="1">
        <v>25</v>
      </c>
      <c r="T1703" s="1">
        <v>0</v>
      </c>
      <c r="U1703" s="1">
        <v>0</v>
      </c>
      <c r="V1703" s="1" t="str">
        <f t="shared" si="241"/>
        <v>里程返程</v>
      </c>
      <c r="W1703" s="1" t="s">
        <v>35</v>
      </c>
    </row>
    <row r="1704" spans="1:23" x14ac:dyDescent="0.3">
      <c r="A1704" s="1" t="str">
        <f t="shared" ref="A1704:A1736" si="248">"59828"</f>
        <v>59828</v>
      </c>
      <c r="B1704" s="1" t="s">
        <v>23</v>
      </c>
      <c r="C1704" s="1" t="s">
        <v>24</v>
      </c>
      <c r="D1704" s="1" t="str">
        <f t="shared" si="240"/>
        <v>9801</v>
      </c>
      <c r="E1704" s="1" t="s">
        <v>25</v>
      </c>
      <c r="F1704" s="1" t="str">
        <f>"1433875745"</f>
        <v>1433875745</v>
      </c>
      <c r="G1704" s="1" t="s">
        <v>33</v>
      </c>
      <c r="H1704" s="1" t="str">
        <f t="shared" si="246"/>
        <v>20220930</v>
      </c>
      <c r="I1704" s="1" t="str">
        <f>"061125"</f>
        <v>061125</v>
      </c>
      <c r="J1704" s="1" t="s">
        <v>79</v>
      </c>
      <c r="K1704" s="1" t="s">
        <v>45</v>
      </c>
      <c r="L1704" s="1" t="str">
        <f t="shared" si="247"/>
        <v>20220930</v>
      </c>
      <c r="M1704" s="1" t="str">
        <f>"061814"</f>
        <v>061814</v>
      </c>
      <c r="N1704" s="1" t="s">
        <v>28</v>
      </c>
      <c r="O1704" s="1" t="s">
        <v>28</v>
      </c>
      <c r="P1704" s="1" t="s">
        <v>55</v>
      </c>
      <c r="Q1704" s="1">
        <v>25</v>
      </c>
      <c r="R1704" s="1">
        <v>25</v>
      </c>
      <c r="S1704" s="1">
        <v>0</v>
      </c>
      <c r="T1704" s="1">
        <v>0</v>
      </c>
      <c r="U1704" s="1">
        <v>0</v>
      </c>
      <c r="V1704" s="1" t="str">
        <f t="shared" si="241"/>
        <v>里程返程</v>
      </c>
      <c r="W1704" s="1" t="s">
        <v>35</v>
      </c>
    </row>
    <row r="1705" spans="1:23" x14ac:dyDescent="0.3">
      <c r="A1705" s="1" t="str">
        <f t="shared" si="248"/>
        <v>59828</v>
      </c>
      <c r="B1705" s="1" t="s">
        <v>23</v>
      </c>
      <c r="C1705" s="1" t="s">
        <v>24</v>
      </c>
      <c r="D1705" s="1" t="str">
        <f t="shared" si="240"/>
        <v>9801</v>
      </c>
      <c r="E1705" s="1" t="s">
        <v>25</v>
      </c>
      <c r="F1705" s="1" t="str">
        <f>"1752749445"</f>
        <v>1752749445</v>
      </c>
      <c r="G1705" s="1" t="s">
        <v>33</v>
      </c>
      <c r="H1705" s="1" t="str">
        <f t="shared" si="246"/>
        <v>20220930</v>
      </c>
      <c r="I1705" s="1" t="str">
        <f>"063333"</f>
        <v>063333</v>
      </c>
      <c r="J1705" s="1" t="s">
        <v>28</v>
      </c>
      <c r="K1705" s="1" t="s">
        <v>28</v>
      </c>
      <c r="L1705" s="1" t="str">
        <f t="shared" si="247"/>
        <v>20220930</v>
      </c>
      <c r="M1705" s="1" t="str">
        <f>"065244"</f>
        <v>065244</v>
      </c>
      <c r="N1705" s="1" t="s">
        <v>72</v>
      </c>
      <c r="O1705" s="1" t="s">
        <v>52</v>
      </c>
      <c r="P1705" s="1" t="s">
        <v>55</v>
      </c>
      <c r="Q1705" s="1">
        <v>25</v>
      </c>
      <c r="R1705" s="1">
        <v>0</v>
      </c>
      <c r="S1705" s="1">
        <v>25</v>
      </c>
      <c r="T1705" s="1">
        <v>0</v>
      </c>
      <c r="U1705" s="1">
        <v>0</v>
      </c>
      <c r="V1705" s="1" t="str">
        <f t="shared" si="241"/>
        <v>里程返程</v>
      </c>
      <c r="W1705" s="1" t="s">
        <v>35</v>
      </c>
    </row>
    <row r="1706" spans="1:23" x14ac:dyDescent="0.3">
      <c r="A1706" s="1" t="str">
        <f t="shared" si="248"/>
        <v>59828</v>
      </c>
      <c r="B1706" s="1" t="s">
        <v>23</v>
      </c>
      <c r="C1706" s="1" t="s">
        <v>24</v>
      </c>
      <c r="D1706" s="1" t="str">
        <f t="shared" si="240"/>
        <v>9801</v>
      </c>
      <c r="E1706" s="1" t="s">
        <v>25</v>
      </c>
      <c r="F1706" s="1" t="str">
        <f>"D2EDC500FA880400C801002000000015"</f>
        <v>D2EDC500FA880400C801002000000015</v>
      </c>
      <c r="G1706" s="1" t="s">
        <v>58</v>
      </c>
      <c r="H1706" s="1" t="str">
        <f t="shared" si="246"/>
        <v>20220930</v>
      </c>
      <c r="I1706" s="1" t="str">
        <f>"063337"</f>
        <v>063337</v>
      </c>
      <c r="J1706" s="1" t="s">
        <v>28</v>
      </c>
      <c r="K1706" s="1" t="s">
        <v>28</v>
      </c>
      <c r="L1706" s="1" t="str">
        <f t="shared" si="247"/>
        <v>20220930</v>
      </c>
      <c r="M1706" s="1" t="str">
        <f>"070205"</f>
        <v>070205</v>
      </c>
      <c r="N1706" s="1" t="s">
        <v>52</v>
      </c>
      <c r="O1706" s="1" t="s">
        <v>52</v>
      </c>
      <c r="P1706" s="1" t="s">
        <v>55</v>
      </c>
      <c r="Q1706" s="1">
        <v>25</v>
      </c>
      <c r="R1706" s="1">
        <v>25</v>
      </c>
      <c r="S1706" s="1">
        <v>0</v>
      </c>
      <c r="T1706" s="1">
        <v>0</v>
      </c>
      <c r="U1706" s="1">
        <v>0</v>
      </c>
      <c r="V1706" s="1" t="str">
        <f t="shared" si="241"/>
        <v>里程返程</v>
      </c>
      <c r="W1706" s="1" t="s">
        <v>29</v>
      </c>
    </row>
    <row r="1707" spans="1:23" x14ac:dyDescent="0.3">
      <c r="A1707" s="1" t="str">
        <f t="shared" si="248"/>
        <v>59828</v>
      </c>
      <c r="B1707" s="1" t="s">
        <v>23</v>
      </c>
      <c r="C1707" s="1" t="s">
        <v>24</v>
      </c>
      <c r="D1707" s="1" t="str">
        <f t="shared" si="240"/>
        <v>9801</v>
      </c>
      <c r="E1707" s="1" t="s">
        <v>25</v>
      </c>
      <c r="F1707" s="1" t="str">
        <f>"026A101860880400C814002000000019"</f>
        <v>026A101860880400C814002000000019</v>
      </c>
      <c r="G1707" s="1" t="s">
        <v>59</v>
      </c>
      <c r="H1707" s="1" t="str">
        <f t="shared" si="246"/>
        <v>20220930</v>
      </c>
      <c r="I1707" s="1" t="str">
        <f>"063436"</f>
        <v>063436</v>
      </c>
      <c r="J1707" s="1" t="s">
        <v>28</v>
      </c>
      <c r="K1707" s="1" t="s">
        <v>28</v>
      </c>
      <c r="L1707" s="1" t="str">
        <f t="shared" si="247"/>
        <v>20220930</v>
      </c>
      <c r="M1707" s="1" t="str">
        <f>"065332"</f>
        <v>065332</v>
      </c>
      <c r="N1707" s="1" t="s">
        <v>71</v>
      </c>
      <c r="O1707" s="1" t="s">
        <v>52</v>
      </c>
      <c r="P1707" s="1" t="s">
        <v>55</v>
      </c>
      <c r="Q1707" s="1">
        <v>25</v>
      </c>
      <c r="R1707" s="1">
        <v>0</v>
      </c>
      <c r="S1707" s="1">
        <v>25</v>
      </c>
      <c r="T1707" s="1">
        <v>0</v>
      </c>
      <c r="U1707" s="1">
        <v>0</v>
      </c>
      <c r="V1707" s="1" t="str">
        <f t="shared" si="241"/>
        <v>里程返程</v>
      </c>
      <c r="W1707" s="1" t="s">
        <v>29</v>
      </c>
    </row>
    <row r="1708" spans="1:23" x14ac:dyDescent="0.3">
      <c r="A1708" s="1" t="str">
        <f t="shared" si="248"/>
        <v>59828</v>
      </c>
      <c r="B1708" s="1" t="s">
        <v>23</v>
      </c>
      <c r="C1708" s="1" t="s">
        <v>24</v>
      </c>
      <c r="D1708" s="1" t="str">
        <f t="shared" si="240"/>
        <v>9801</v>
      </c>
      <c r="E1708" s="1" t="s">
        <v>25</v>
      </c>
      <c r="F1708" s="1" t="str">
        <f>"E2191918FA880400C819002000000019"</f>
        <v>E2191918FA880400C819002000000019</v>
      </c>
      <c r="G1708" s="1" t="s">
        <v>59</v>
      </c>
      <c r="H1708" s="1" t="str">
        <f t="shared" si="246"/>
        <v>20220930</v>
      </c>
      <c r="I1708" s="1" t="str">
        <f>"063438"</f>
        <v>063438</v>
      </c>
      <c r="J1708" s="1" t="s">
        <v>28</v>
      </c>
      <c r="K1708" s="1" t="s">
        <v>28</v>
      </c>
      <c r="L1708" s="1" t="str">
        <f t="shared" si="247"/>
        <v>20220930</v>
      </c>
      <c r="M1708" s="1" t="str">
        <f>"065328"</f>
        <v>065328</v>
      </c>
      <c r="N1708" s="1" t="s">
        <v>71</v>
      </c>
      <c r="O1708" s="1" t="s">
        <v>52</v>
      </c>
      <c r="P1708" s="1" t="s">
        <v>55</v>
      </c>
      <c r="Q1708" s="1">
        <v>25</v>
      </c>
      <c r="R1708" s="1">
        <v>0</v>
      </c>
      <c r="S1708" s="1">
        <v>25</v>
      </c>
      <c r="T1708" s="1">
        <v>0</v>
      </c>
      <c r="U1708" s="1">
        <v>0</v>
      </c>
      <c r="V1708" s="1" t="str">
        <f t="shared" si="241"/>
        <v>里程返程</v>
      </c>
      <c r="W1708" s="1" t="s">
        <v>29</v>
      </c>
    </row>
    <row r="1709" spans="1:23" x14ac:dyDescent="0.3">
      <c r="A1709" s="1" t="str">
        <f t="shared" si="248"/>
        <v>59828</v>
      </c>
      <c r="B1709" s="1" t="s">
        <v>23</v>
      </c>
      <c r="C1709" s="1" t="s">
        <v>24</v>
      </c>
      <c r="D1709" s="1" t="str">
        <f t="shared" si="240"/>
        <v>9801</v>
      </c>
      <c r="E1709" s="1" t="s">
        <v>25</v>
      </c>
      <c r="F1709" s="1" t="str">
        <f>"C2C219031A880400C834002000000015"</f>
        <v>C2C219031A880400C834002000000015</v>
      </c>
      <c r="G1709" s="1" t="s">
        <v>74</v>
      </c>
      <c r="H1709" s="1" t="str">
        <f t="shared" si="246"/>
        <v>20220930</v>
      </c>
      <c r="I1709" s="1" t="str">
        <f>"065651"</f>
        <v>065651</v>
      </c>
      <c r="J1709" s="1" t="s">
        <v>60</v>
      </c>
      <c r="K1709" s="1" t="s">
        <v>52</v>
      </c>
      <c r="L1709" s="1" t="str">
        <f t="shared" si="247"/>
        <v>20220930</v>
      </c>
      <c r="M1709" s="1" t="str">
        <f>"070147"</f>
        <v>070147</v>
      </c>
      <c r="N1709" s="1" t="s">
        <v>52</v>
      </c>
      <c r="O1709" s="1" t="s">
        <v>52</v>
      </c>
      <c r="P1709" s="1" t="s">
        <v>68</v>
      </c>
      <c r="Q1709" s="1">
        <v>13</v>
      </c>
      <c r="R1709" s="1">
        <v>0</v>
      </c>
      <c r="S1709" s="1">
        <v>0</v>
      </c>
      <c r="T1709" s="1">
        <v>13</v>
      </c>
      <c r="U1709" s="1">
        <v>0</v>
      </c>
      <c r="V1709" s="1" t="str">
        <f t="shared" si="241"/>
        <v>里程返程</v>
      </c>
      <c r="W1709" s="1" t="s">
        <v>29</v>
      </c>
    </row>
    <row r="1710" spans="1:23" x14ac:dyDescent="0.3">
      <c r="A1710" s="1" t="str">
        <f t="shared" si="248"/>
        <v>59828</v>
      </c>
      <c r="B1710" s="1" t="s">
        <v>23</v>
      </c>
      <c r="C1710" s="1" t="s">
        <v>24</v>
      </c>
      <c r="D1710" s="1" t="str">
        <f t="shared" si="240"/>
        <v>9801</v>
      </c>
      <c r="E1710" s="1" t="s">
        <v>25</v>
      </c>
      <c r="F1710" s="1" t="str">
        <f>"922B1A03A0880400C834002000000015"</f>
        <v>922B1A03A0880400C834002000000015</v>
      </c>
      <c r="G1710" s="1" t="s">
        <v>26</v>
      </c>
      <c r="H1710" s="1" t="str">
        <f t="shared" si="246"/>
        <v>20220930</v>
      </c>
      <c r="I1710" s="1" t="str">
        <f>"072323"</f>
        <v>072323</v>
      </c>
      <c r="J1710" s="1" t="s">
        <v>28</v>
      </c>
      <c r="K1710" s="1" t="s">
        <v>28</v>
      </c>
      <c r="L1710" s="1" t="str">
        <f t="shared" si="247"/>
        <v>20220930</v>
      </c>
      <c r="M1710" s="1" t="str">
        <f>"074517"</f>
        <v>074517</v>
      </c>
      <c r="N1710" s="1" t="s">
        <v>65</v>
      </c>
      <c r="O1710" s="1" t="s">
        <v>52</v>
      </c>
      <c r="P1710" s="1" t="s">
        <v>68</v>
      </c>
      <c r="Q1710" s="1">
        <v>13</v>
      </c>
      <c r="R1710" s="1">
        <v>0</v>
      </c>
      <c r="S1710" s="1">
        <v>0</v>
      </c>
      <c r="T1710" s="1">
        <v>13</v>
      </c>
      <c r="U1710" s="1">
        <v>0</v>
      </c>
      <c r="V1710" s="1" t="str">
        <f t="shared" si="241"/>
        <v>里程返程</v>
      </c>
      <c r="W1710" s="1" t="s">
        <v>29</v>
      </c>
    </row>
    <row r="1711" spans="1:23" x14ac:dyDescent="0.3">
      <c r="A1711" s="1" t="str">
        <f t="shared" si="248"/>
        <v>59828</v>
      </c>
      <c r="B1711" s="1" t="s">
        <v>23</v>
      </c>
      <c r="C1711" s="1" t="s">
        <v>24</v>
      </c>
      <c r="D1711" s="1" t="str">
        <f t="shared" si="240"/>
        <v>9801</v>
      </c>
      <c r="E1711" s="1" t="s">
        <v>25</v>
      </c>
      <c r="F1711" s="1" t="str">
        <f>"82730F18E6880400C814002000000019"</f>
        <v>82730F18E6880400C814002000000019</v>
      </c>
      <c r="G1711" s="1" t="s">
        <v>59</v>
      </c>
      <c r="H1711" s="1" t="str">
        <f t="shared" si="246"/>
        <v>20220930</v>
      </c>
      <c r="I1711" s="1" t="str">
        <f>"072325"</f>
        <v>072325</v>
      </c>
      <c r="J1711" s="1" t="s">
        <v>28</v>
      </c>
      <c r="K1711" s="1" t="s">
        <v>28</v>
      </c>
      <c r="L1711" s="1" t="str">
        <f t="shared" si="247"/>
        <v>20220930</v>
      </c>
      <c r="M1711" s="1" t="str">
        <f>"074723"</f>
        <v>074723</v>
      </c>
      <c r="N1711" s="1" t="s">
        <v>72</v>
      </c>
      <c r="O1711" s="1" t="s">
        <v>52</v>
      </c>
      <c r="P1711" s="1" t="s">
        <v>55</v>
      </c>
      <c r="Q1711" s="1">
        <v>25</v>
      </c>
      <c r="R1711" s="1">
        <v>0</v>
      </c>
      <c r="S1711" s="1">
        <v>25</v>
      </c>
      <c r="T1711" s="1">
        <v>0</v>
      </c>
      <c r="U1711" s="1">
        <v>0</v>
      </c>
      <c r="V1711" s="1" t="str">
        <f t="shared" si="241"/>
        <v>里程返程</v>
      </c>
      <c r="W1711" s="1" t="s">
        <v>29</v>
      </c>
    </row>
    <row r="1712" spans="1:23" x14ac:dyDescent="0.3">
      <c r="A1712" s="1" t="str">
        <f t="shared" si="248"/>
        <v>59828</v>
      </c>
      <c r="B1712" s="1" t="s">
        <v>23</v>
      </c>
      <c r="C1712" s="1" t="s">
        <v>24</v>
      </c>
      <c r="D1712" s="1" t="str">
        <f t="shared" si="240"/>
        <v>9801</v>
      </c>
      <c r="E1712" s="1" t="s">
        <v>25</v>
      </c>
      <c r="F1712" s="1" t="str">
        <f>"F282E40195880400C821002000000015"</f>
        <v>F282E40195880400C821002000000015</v>
      </c>
      <c r="G1712" s="1" t="s">
        <v>58</v>
      </c>
      <c r="H1712" s="1" t="str">
        <f t="shared" si="246"/>
        <v>20220930</v>
      </c>
      <c r="I1712" s="1" t="str">
        <f>"072331"</f>
        <v>072331</v>
      </c>
      <c r="J1712" s="1" t="s">
        <v>28</v>
      </c>
      <c r="K1712" s="1" t="s">
        <v>28</v>
      </c>
      <c r="L1712" s="1" t="str">
        <f t="shared" si="247"/>
        <v>20220930</v>
      </c>
      <c r="M1712" s="1" t="str">
        <f>"074520"</f>
        <v>074520</v>
      </c>
      <c r="N1712" s="1" t="s">
        <v>65</v>
      </c>
      <c r="O1712" s="1" t="s">
        <v>52</v>
      </c>
      <c r="P1712" s="1" t="s">
        <v>55</v>
      </c>
      <c r="Q1712" s="1">
        <v>25</v>
      </c>
      <c r="R1712" s="1">
        <v>0</v>
      </c>
      <c r="S1712" s="1">
        <v>25</v>
      </c>
      <c r="T1712" s="1">
        <v>0</v>
      </c>
      <c r="U1712" s="1">
        <v>0</v>
      </c>
      <c r="V1712" s="1" t="str">
        <f t="shared" si="241"/>
        <v>里程返程</v>
      </c>
      <c r="W1712" s="1" t="s">
        <v>29</v>
      </c>
    </row>
    <row r="1713" spans="1:23" x14ac:dyDescent="0.3">
      <c r="A1713" s="1" t="str">
        <f t="shared" si="248"/>
        <v>59828</v>
      </c>
      <c r="B1713" s="1" t="s">
        <v>23</v>
      </c>
      <c r="C1713" s="1" t="s">
        <v>24</v>
      </c>
      <c r="D1713" s="1" t="str">
        <f t="shared" si="240"/>
        <v>9801</v>
      </c>
      <c r="E1713" s="1" t="s">
        <v>25</v>
      </c>
      <c r="F1713" s="1" t="str">
        <f>"1204061808880400C814002000000019"</f>
        <v>1204061808880400C814002000000019</v>
      </c>
      <c r="G1713" s="1" t="s">
        <v>59</v>
      </c>
      <c r="H1713" s="1" t="str">
        <f t="shared" si="246"/>
        <v>20220930</v>
      </c>
      <c r="I1713" s="1" t="str">
        <f>"072337"</f>
        <v>072337</v>
      </c>
      <c r="J1713" s="1" t="s">
        <v>28</v>
      </c>
      <c r="K1713" s="1" t="s">
        <v>28</v>
      </c>
      <c r="L1713" s="1" t="str">
        <f t="shared" si="247"/>
        <v>20220930</v>
      </c>
      <c r="M1713" s="1" t="str">
        <f>"074728"</f>
        <v>074728</v>
      </c>
      <c r="N1713" s="1" t="s">
        <v>72</v>
      </c>
      <c r="O1713" s="1" t="s">
        <v>52</v>
      </c>
      <c r="P1713" s="1" t="s">
        <v>55</v>
      </c>
      <c r="Q1713" s="1">
        <v>25</v>
      </c>
      <c r="R1713" s="1">
        <v>0</v>
      </c>
      <c r="S1713" s="1">
        <v>25</v>
      </c>
      <c r="T1713" s="1">
        <v>0</v>
      </c>
      <c r="U1713" s="1">
        <v>0</v>
      </c>
      <c r="V1713" s="1" t="str">
        <f t="shared" si="241"/>
        <v>里程返程</v>
      </c>
      <c r="W1713" s="1" t="s">
        <v>29</v>
      </c>
    </row>
    <row r="1714" spans="1:23" x14ac:dyDescent="0.3">
      <c r="A1714" s="1" t="str">
        <f t="shared" si="248"/>
        <v>59828</v>
      </c>
      <c r="B1714" s="1" t="s">
        <v>23</v>
      </c>
      <c r="C1714" s="1" t="s">
        <v>24</v>
      </c>
      <c r="D1714" s="1" t="str">
        <f t="shared" si="240"/>
        <v>9801</v>
      </c>
      <c r="E1714" s="1" t="s">
        <v>25</v>
      </c>
      <c r="F1714" s="1" t="str">
        <f>"62F00B1881880400C814002000000019"</f>
        <v>62F00B1881880400C814002000000019</v>
      </c>
      <c r="G1714" s="1" t="s">
        <v>59</v>
      </c>
      <c r="H1714" s="1" t="str">
        <f t="shared" si="246"/>
        <v>20220930</v>
      </c>
      <c r="I1714" s="1" t="str">
        <f>"072341"</f>
        <v>072341</v>
      </c>
      <c r="J1714" s="1" t="s">
        <v>28</v>
      </c>
      <c r="K1714" s="1" t="s">
        <v>28</v>
      </c>
      <c r="L1714" s="1" t="str">
        <f t="shared" si="247"/>
        <v>20220930</v>
      </c>
      <c r="M1714" s="1" t="str">
        <f>"074726"</f>
        <v>074726</v>
      </c>
      <c r="N1714" s="1" t="s">
        <v>72</v>
      </c>
      <c r="O1714" s="1" t="s">
        <v>52</v>
      </c>
      <c r="P1714" s="1" t="s">
        <v>55</v>
      </c>
      <c r="Q1714" s="1">
        <v>25</v>
      </c>
      <c r="R1714" s="1">
        <v>0</v>
      </c>
      <c r="S1714" s="1">
        <v>25</v>
      </c>
      <c r="T1714" s="1">
        <v>0</v>
      </c>
      <c r="U1714" s="1">
        <v>0</v>
      </c>
      <c r="V1714" s="1" t="str">
        <f t="shared" si="241"/>
        <v>里程返程</v>
      </c>
      <c r="W1714" s="1" t="s">
        <v>29</v>
      </c>
    </row>
    <row r="1715" spans="1:23" x14ac:dyDescent="0.3">
      <c r="A1715" s="1" t="str">
        <f t="shared" si="248"/>
        <v>59828</v>
      </c>
      <c r="B1715" s="1" t="s">
        <v>23</v>
      </c>
      <c r="C1715" s="1" t="s">
        <v>24</v>
      </c>
      <c r="D1715" s="1" t="str">
        <f t="shared" si="240"/>
        <v>9801</v>
      </c>
      <c r="E1715" s="1" t="s">
        <v>25</v>
      </c>
      <c r="F1715" s="1" t="str">
        <f>"825D0C18CB880400C814002000000019"</f>
        <v>825D0C18CB880400C814002000000019</v>
      </c>
      <c r="G1715" s="1" t="s">
        <v>59</v>
      </c>
      <c r="H1715" s="1" t="str">
        <f t="shared" si="246"/>
        <v>20220930</v>
      </c>
      <c r="I1715" s="1" t="str">
        <f>"072344"</f>
        <v>072344</v>
      </c>
      <c r="J1715" s="1" t="s">
        <v>28</v>
      </c>
      <c r="K1715" s="1" t="s">
        <v>28</v>
      </c>
      <c r="L1715" s="1" t="str">
        <f t="shared" si="247"/>
        <v>20220930</v>
      </c>
      <c r="M1715" s="1" t="str">
        <f>"075846"</f>
        <v>075846</v>
      </c>
      <c r="N1715" s="1" t="s">
        <v>52</v>
      </c>
      <c r="O1715" s="1" t="s">
        <v>52</v>
      </c>
      <c r="P1715" s="1" t="s">
        <v>55</v>
      </c>
      <c r="Q1715" s="1">
        <v>25</v>
      </c>
      <c r="R1715" s="1">
        <v>0</v>
      </c>
      <c r="S1715" s="1">
        <v>25</v>
      </c>
      <c r="T1715" s="1">
        <v>0</v>
      </c>
      <c r="U1715" s="1">
        <v>0</v>
      </c>
      <c r="V1715" s="1" t="str">
        <f t="shared" si="241"/>
        <v>里程返程</v>
      </c>
      <c r="W1715" s="1" t="s">
        <v>29</v>
      </c>
    </row>
    <row r="1716" spans="1:23" x14ac:dyDescent="0.3">
      <c r="A1716" s="1" t="str">
        <f t="shared" si="248"/>
        <v>59828</v>
      </c>
      <c r="B1716" s="1" t="s">
        <v>23</v>
      </c>
      <c r="C1716" s="1" t="s">
        <v>24</v>
      </c>
      <c r="D1716" s="1" t="str">
        <f t="shared" si="240"/>
        <v>9801</v>
      </c>
      <c r="E1716" s="1" t="s">
        <v>25</v>
      </c>
      <c r="F1716" s="1" t="str">
        <f>"1759959808"</f>
        <v>1759959808</v>
      </c>
      <c r="G1716" s="1" t="s">
        <v>33</v>
      </c>
      <c r="H1716" s="1" t="str">
        <f t="shared" si="246"/>
        <v>20220930</v>
      </c>
      <c r="I1716" s="1" t="str">
        <f>"074159"</f>
        <v>074159</v>
      </c>
      <c r="J1716" s="1" t="s">
        <v>80</v>
      </c>
      <c r="K1716" s="1" t="s">
        <v>52</v>
      </c>
      <c r="L1716" s="1" t="str">
        <f t="shared" si="247"/>
        <v>20220930</v>
      </c>
      <c r="M1716" s="1" t="str">
        <f>"075345"</f>
        <v>075345</v>
      </c>
      <c r="N1716" s="1" t="s">
        <v>60</v>
      </c>
      <c r="O1716" s="1" t="s">
        <v>52</v>
      </c>
      <c r="P1716" s="1" t="s">
        <v>55</v>
      </c>
      <c r="Q1716" s="1">
        <v>25</v>
      </c>
      <c r="R1716" s="1">
        <v>25</v>
      </c>
      <c r="S1716" s="1">
        <v>0</v>
      </c>
      <c r="T1716" s="1">
        <v>0</v>
      </c>
      <c r="U1716" s="1">
        <v>0</v>
      </c>
      <c r="V1716" s="1" t="str">
        <f t="shared" si="241"/>
        <v>里程返程</v>
      </c>
      <c r="W1716" s="1" t="s">
        <v>35</v>
      </c>
    </row>
    <row r="1717" spans="1:23" x14ac:dyDescent="0.3">
      <c r="A1717" s="1" t="str">
        <f t="shared" si="248"/>
        <v>59828</v>
      </c>
      <c r="B1717" s="1" t="s">
        <v>23</v>
      </c>
      <c r="C1717" s="1" t="s">
        <v>24</v>
      </c>
      <c r="D1717" s="1" t="str">
        <f t="shared" si="240"/>
        <v>9801</v>
      </c>
      <c r="E1717" s="1" t="s">
        <v>25</v>
      </c>
      <c r="F1717" s="1" t="str">
        <f>"C2F219032A880400C834002000000015"</f>
        <v>C2F219032A880400C834002000000015</v>
      </c>
      <c r="G1717" s="1" t="s">
        <v>26</v>
      </c>
      <c r="H1717" s="1" t="str">
        <f t="shared" si="246"/>
        <v>20220930</v>
      </c>
      <c r="I1717" s="1" t="str">
        <f>"075059"</f>
        <v>075059</v>
      </c>
      <c r="J1717" s="1" t="s">
        <v>51</v>
      </c>
      <c r="K1717" s="1" t="s">
        <v>52</v>
      </c>
      <c r="L1717" s="1" t="str">
        <f t="shared" si="247"/>
        <v>20220930</v>
      </c>
      <c r="M1717" s="1" t="str">
        <f>"075603"</f>
        <v>075603</v>
      </c>
      <c r="N1717" s="1" t="s">
        <v>86</v>
      </c>
      <c r="O1717" s="1" t="s">
        <v>52</v>
      </c>
      <c r="P1717" s="1" t="s">
        <v>68</v>
      </c>
      <c r="Q1717" s="1">
        <v>13</v>
      </c>
      <c r="R1717" s="1">
        <v>0</v>
      </c>
      <c r="S1717" s="1">
        <v>0</v>
      </c>
      <c r="T1717" s="1">
        <v>13</v>
      </c>
      <c r="U1717" s="1">
        <v>0</v>
      </c>
      <c r="V1717" s="1" t="str">
        <f t="shared" si="241"/>
        <v>里程返程</v>
      </c>
      <c r="W1717" s="1" t="s">
        <v>29</v>
      </c>
    </row>
    <row r="1718" spans="1:23" x14ac:dyDescent="0.3">
      <c r="A1718" s="1" t="str">
        <f t="shared" si="248"/>
        <v>59828</v>
      </c>
      <c r="B1718" s="1" t="s">
        <v>23</v>
      </c>
      <c r="C1718" s="1" t="s">
        <v>24</v>
      </c>
      <c r="D1718" s="1" t="str">
        <f t="shared" si="240"/>
        <v>9801</v>
      </c>
      <c r="E1718" s="1" t="s">
        <v>25</v>
      </c>
      <c r="F1718" s="1" t="str">
        <f>"1078844401"</f>
        <v>1078844401</v>
      </c>
      <c r="G1718" s="1" t="s">
        <v>33</v>
      </c>
      <c r="H1718" s="1" t="str">
        <f t="shared" si="246"/>
        <v>20220930</v>
      </c>
      <c r="I1718" s="1" t="str">
        <f>"125256"</f>
        <v>125256</v>
      </c>
      <c r="J1718" s="1" t="s">
        <v>28</v>
      </c>
      <c r="K1718" s="1" t="s">
        <v>28</v>
      </c>
      <c r="L1718" s="1" t="str">
        <f t="shared" si="247"/>
        <v>20220930</v>
      </c>
      <c r="M1718" s="1" t="str">
        <f>"125857"</f>
        <v>125857</v>
      </c>
      <c r="N1718" s="1" t="s">
        <v>84</v>
      </c>
      <c r="O1718" s="1" t="s">
        <v>28</v>
      </c>
      <c r="P1718" s="1" t="s">
        <v>55</v>
      </c>
      <c r="Q1718" s="1">
        <v>25</v>
      </c>
      <c r="R1718" s="1">
        <v>25</v>
      </c>
      <c r="S1718" s="1">
        <v>0</v>
      </c>
      <c r="T1718" s="1">
        <v>0</v>
      </c>
      <c r="U1718" s="1">
        <v>0</v>
      </c>
      <c r="V1718" s="1" t="str">
        <f t="shared" si="241"/>
        <v>里程返程</v>
      </c>
      <c r="W1718" s="1" t="s">
        <v>35</v>
      </c>
    </row>
    <row r="1719" spans="1:23" x14ac:dyDescent="0.3">
      <c r="A1719" s="1" t="str">
        <f t="shared" si="248"/>
        <v>59828</v>
      </c>
      <c r="B1719" s="1" t="s">
        <v>23</v>
      </c>
      <c r="C1719" s="1" t="s">
        <v>24</v>
      </c>
      <c r="D1719" s="1" t="str">
        <f t="shared" si="240"/>
        <v>9801</v>
      </c>
      <c r="E1719" s="1" t="s">
        <v>25</v>
      </c>
      <c r="F1719" s="1" t="str">
        <f>"01D5CD352C280400F700000000000000"</f>
        <v>01D5CD352C280400F700000000000000</v>
      </c>
      <c r="G1719" s="1" t="s">
        <v>58</v>
      </c>
      <c r="H1719" s="1" t="str">
        <f t="shared" si="246"/>
        <v>20220930</v>
      </c>
      <c r="I1719" s="1" t="str">
        <f>"125258"</f>
        <v>125258</v>
      </c>
      <c r="J1719" s="1" t="s">
        <v>28</v>
      </c>
      <c r="K1719" s="1" t="s">
        <v>28</v>
      </c>
      <c r="L1719" s="1" t="str">
        <f t="shared" si="247"/>
        <v>20220930</v>
      </c>
      <c r="M1719" s="1" t="str">
        <f>"132225"</f>
        <v>132225</v>
      </c>
      <c r="N1719" s="1" t="s">
        <v>52</v>
      </c>
      <c r="O1719" s="1" t="s">
        <v>52</v>
      </c>
      <c r="P1719" s="1" t="s">
        <v>55</v>
      </c>
      <c r="Q1719" s="1">
        <v>25</v>
      </c>
      <c r="R1719" s="1">
        <v>0</v>
      </c>
      <c r="S1719" s="1">
        <v>25</v>
      </c>
      <c r="T1719" s="1">
        <v>0</v>
      </c>
      <c r="U1719" s="1">
        <v>0</v>
      </c>
      <c r="V1719" s="1" t="str">
        <f t="shared" si="241"/>
        <v>里程返程</v>
      </c>
      <c r="W1719" s="1" t="s">
        <v>29</v>
      </c>
    </row>
    <row r="1720" spans="1:23" x14ac:dyDescent="0.3">
      <c r="A1720" s="1" t="str">
        <f t="shared" si="248"/>
        <v>59828</v>
      </c>
      <c r="B1720" s="1" t="s">
        <v>23</v>
      </c>
      <c r="C1720" s="1" t="s">
        <v>24</v>
      </c>
      <c r="D1720" s="1" t="str">
        <f t="shared" si="240"/>
        <v>9801</v>
      </c>
      <c r="E1720" s="1" t="s">
        <v>25</v>
      </c>
      <c r="F1720" s="1" t="str">
        <f>"1502052193"</f>
        <v>1502052193</v>
      </c>
      <c r="G1720" s="1" t="s">
        <v>33</v>
      </c>
      <c r="H1720" s="1" t="str">
        <f t="shared" si="246"/>
        <v>20220930</v>
      </c>
      <c r="I1720" s="1" t="str">
        <f>"125307"</f>
        <v>125307</v>
      </c>
      <c r="J1720" s="1" t="s">
        <v>28</v>
      </c>
      <c r="K1720" s="1" t="s">
        <v>28</v>
      </c>
      <c r="L1720" s="1" t="str">
        <f t="shared" si="247"/>
        <v>20220930</v>
      </c>
      <c r="M1720" s="1" t="str">
        <f>"125904"</f>
        <v>125904</v>
      </c>
      <c r="N1720" s="1" t="s">
        <v>84</v>
      </c>
      <c r="O1720" s="1" t="s">
        <v>28</v>
      </c>
      <c r="P1720" s="1" t="s">
        <v>55</v>
      </c>
      <c r="Q1720" s="1">
        <v>25</v>
      </c>
      <c r="R1720" s="1">
        <v>25</v>
      </c>
      <c r="S1720" s="1">
        <v>0</v>
      </c>
      <c r="T1720" s="1">
        <v>0</v>
      </c>
      <c r="U1720" s="1">
        <v>0</v>
      </c>
      <c r="V1720" s="1" t="str">
        <f t="shared" si="241"/>
        <v>里程返程</v>
      </c>
      <c r="W1720" s="1" t="s">
        <v>35</v>
      </c>
    </row>
    <row r="1721" spans="1:23" x14ac:dyDescent="0.3">
      <c r="A1721" s="1" t="str">
        <f t="shared" si="248"/>
        <v>59828</v>
      </c>
      <c r="B1721" s="1" t="s">
        <v>23</v>
      </c>
      <c r="C1721" s="1" t="s">
        <v>24</v>
      </c>
      <c r="D1721" s="1" t="str">
        <f t="shared" si="240"/>
        <v>9801</v>
      </c>
      <c r="E1721" s="1" t="s">
        <v>25</v>
      </c>
      <c r="F1721" s="1" t="str">
        <f>"E1332F5CA12804001C00000000000000"</f>
        <v>E1332F5CA12804001C00000000000000</v>
      </c>
      <c r="G1721" s="1" t="s">
        <v>58</v>
      </c>
      <c r="H1721" s="1" t="str">
        <f t="shared" si="246"/>
        <v>20220930</v>
      </c>
      <c r="I1721" s="1" t="str">
        <f>"125358"</f>
        <v>125358</v>
      </c>
      <c r="J1721" s="1" t="s">
        <v>28</v>
      </c>
      <c r="K1721" s="1" t="s">
        <v>28</v>
      </c>
      <c r="L1721" s="1" t="str">
        <f t="shared" si="247"/>
        <v>20220930</v>
      </c>
      <c r="M1721" s="1" t="str">
        <f>"131405"</f>
        <v>131405</v>
      </c>
      <c r="N1721" s="1" t="s">
        <v>72</v>
      </c>
      <c r="O1721" s="1" t="s">
        <v>52</v>
      </c>
      <c r="P1721" s="1" t="s">
        <v>55</v>
      </c>
      <c r="Q1721" s="1">
        <v>25</v>
      </c>
      <c r="R1721" s="1">
        <v>25</v>
      </c>
      <c r="S1721" s="1">
        <v>0</v>
      </c>
      <c r="T1721" s="1">
        <v>0</v>
      </c>
      <c r="U1721" s="1">
        <v>0</v>
      </c>
      <c r="V1721" s="1" t="str">
        <f t="shared" si="241"/>
        <v>里程返程</v>
      </c>
      <c r="W1721" s="1" t="s">
        <v>29</v>
      </c>
    </row>
    <row r="1722" spans="1:23" x14ac:dyDescent="0.3">
      <c r="A1722" s="1" t="str">
        <f t="shared" si="248"/>
        <v>59828</v>
      </c>
      <c r="B1722" s="1" t="s">
        <v>23</v>
      </c>
      <c r="C1722" s="1" t="s">
        <v>24</v>
      </c>
      <c r="D1722" s="1" t="str">
        <f t="shared" si="240"/>
        <v>9801</v>
      </c>
      <c r="E1722" s="1" t="s">
        <v>25</v>
      </c>
      <c r="F1722" s="1" t="str">
        <f>"E220D10211880400C834002000000015"</f>
        <v>E220D10211880400C834002000000015</v>
      </c>
      <c r="G1722" s="1" t="s">
        <v>74</v>
      </c>
      <c r="H1722" s="1" t="str">
        <f t="shared" si="246"/>
        <v>20220930</v>
      </c>
      <c r="I1722" s="1" t="str">
        <f>"131026"</f>
        <v>131026</v>
      </c>
      <c r="J1722" s="1" t="s">
        <v>97</v>
      </c>
      <c r="K1722" s="1" t="s">
        <v>52</v>
      </c>
      <c r="L1722" s="1" t="str">
        <f t="shared" si="247"/>
        <v>20220930</v>
      </c>
      <c r="M1722" s="1" t="str">
        <f>"131232"</f>
        <v>131232</v>
      </c>
      <c r="N1722" s="1" t="s">
        <v>65</v>
      </c>
      <c r="O1722" s="1" t="s">
        <v>52</v>
      </c>
      <c r="P1722" s="1" t="s">
        <v>68</v>
      </c>
      <c r="Q1722" s="1">
        <v>13</v>
      </c>
      <c r="R1722" s="1">
        <v>0</v>
      </c>
      <c r="S1722" s="1">
        <v>0</v>
      </c>
      <c r="T1722" s="1">
        <v>13</v>
      </c>
      <c r="U1722" s="1">
        <v>0</v>
      </c>
      <c r="V1722" s="1" t="str">
        <f t="shared" si="241"/>
        <v>里程返程</v>
      </c>
      <c r="W1722" s="1" t="s">
        <v>29</v>
      </c>
    </row>
    <row r="1723" spans="1:23" x14ac:dyDescent="0.3">
      <c r="A1723" s="1" t="str">
        <f t="shared" si="248"/>
        <v>59828</v>
      </c>
      <c r="B1723" s="1" t="s">
        <v>23</v>
      </c>
      <c r="C1723" s="1" t="s">
        <v>24</v>
      </c>
      <c r="D1723" s="1" t="str">
        <f t="shared" si="240"/>
        <v>9801</v>
      </c>
      <c r="E1723" s="1" t="s">
        <v>25</v>
      </c>
      <c r="F1723" s="1" t="str">
        <f>"1031215125"</f>
        <v>1031215125</v>
      </c>
      <c r="G1723" s="1" t="s">
        <v>33</v>
      </c>
      <c r="H1723" s="1" t="str">
        <f t="shared" si="246"/>
        <v>20220930</v>
      </c>
      <c r="I1723" s="1" t="str">
        <f>"144345"</f>
        <v>144345</v>
      </c>
      <c r="J1723" s="1" t="s">
        <v>45</v>
      </c>
      <c r="K1723" s="1" t="s">
        <v>45</v>
      </c>
      <c r="L1723" s="1" t="str">
        <f t="shared" si="247"/>
        <v>20220930</v>
      </c>
      <c r="M1723" s="1" t="str">
        <f>"145113"</f>
        <v>145113</v>
      </c>
      <c r="N1723" s="1" t="s">
        <v>28</v>
      </c>
      <c r="O1723" s="1" t="s">
        <v>28</v>
      </c>
      <c r="P1723" s="1" t="s">
        <v>55</v>
      </c>
      <c r="Q1723" s="1">
        <v>25</v>
      </c>
      <c r="R1723" s="1">
        <v>25</v>
      </c>
      <c r="S1723" s="1">
        <v>0</v>
      </c>
      <c r="T1723" s="1">
        <v>0</v>
      </c>
      <c r="U1723" s="1">
        <v>0</v>
      </c>
      <c r="V1723" s="1" t="str">
        <f t="shared" si="241"/>
        <v>里程返程</v>
      </c>
      <c r="W1723" s="1" t="s">
        <v>35</v>
      </c>
    </row>
    <row r="1724" spans="1:23" x14ac:dyDescent="0.3">
      <c r="A1724" s="1" t="str">
        <f t="shared" si="248"/>
        <v>59828</v>
      </c>
      <c r="B1724" s="1" t="s">
        <v>23</v>
      </c>
      <c r="C1724" s="1" t="s">
        <v>24</v>
      </c>
      <c r="D1724" s="1" t="str">
        <f t="shared" si="240"/>
        <v>9801</v>
      </c>
      <c r="E1724" s="1" t="s">
        <v>25</v>
      </c>
      <c r="F1724" s="1" t="str">
        <f>"FA4C8281B5880400C185149965804512"</f>
        <v>FA4C8281B5880400C185149965804512</v>
      </c>
      <c r="G1724" s="1" t="s">
        <v>58</v>
      </c>
      <c r="H1724" s="1" t="str">
        <f t="shared" si="246"/>
        <v>20220930</v>
      </c>
      <c r="I1724" s="1" t="str">
        <f>"145122"</f>
        <v>145122</v>
      </c>
      <c r="J1724" s="1" t="s">
        <v>28</v>
      </c>
      <c r="K1724" s="1" t="s">
        <v>28</v>
      </c>
      <c r="L1724" s="1" t="str">
        <f t="shared" si="247"/>
        <v>20220930</v>
      </c>
      <c r="M1724" s="1" t="str">
        <f>"150514"</f>
        <v>150514</v>
      </c>
      <c r="N1724" s="1" t="s">
        <v>67</v>
      </c>
      <c r="O1724" s="1" t="s">
        <v>52</v>
      </c>
      <c r="P1724" s="1" t="s">
        <v>55</v>
      </c>
      <c r="Q1724" s="1">
        <v>25</v>
      </c>
      <c r="R1724" s="1">
        <v>0</v>
      </c>
      <c r="S1724" s="1">
        <v>25</v>
      </c>
      <c r="T1724" s="1">
        <v>0</v>
      </c>
      <c r="U1724" s="1">
        <v>0</v>
      </c>
      <c r="V1724" s="1" t="str">
        <f t="shared" si="241"/>
        <v>里程返程</v>
      </c>
      <c r="W1724" s="1" t="s">
        <v>29</v>
      </c>
    </row>
    <row r="1725" spans="1:23" x14ac:dyDescent="0.3">
      <c r="A1725" s="1" t="str">
        <f t="shared" si="248"/>
        <v>59828</v>
      </c>
      <c r="B1725" s="1" t="s">
        <v>23</v>
      </c>
      <c r="C1725" s="1" t="s">
        <v>24</v>
      </c>
      <c r="D1725" s="1" t="str">
        <f t="shared" si="240"/>
        <v>9801</v>
      </c>
      <c r="E1725" s="1" t="s">
        <v>25</v>
      </c>
      <c r="F1725" s="1" t="str">
        <f>"C112914406280400F700000000000000"</f>
        <v>C112914406280400F700000000000000</v>
      </c>
      <c r="G1725" s="1" t="s">
        <v>58</v>
      </c>
      <c r="H1725" s="1" t="str">
        <f t="shared" si="246"/>
        <v>20220930</v>
      </c>
      <c r="I1725" s="1" t="str">
        <f>"152947"</f>
        <v>152947</v>
      </c>
      <c r="J1725" s="1" t="s">
        <v>44</v>
      </c>
      <c r="K1725" s="1" t="s">
        <v>45</v>
      </c>
      <c r="L1725" s="1" t="str">
        <f t="shared" si="247"/>
        <v>20220930</v>
      </c>
      <c r="M1725" s="1" t="str">
        <f>"154923"</f>
        <v>154923</v>
      </c>
      <c r="N1725" s="1" t="s">
        <v>28</v>
      </c>
      <c r="O1725" s="1" t="s">
        <v>28</v>
      </c>
      <c r="P1725" s="1" t="s">
        <v>55</v>
      </c>
      <c r="Q1725" s="1">
        <v>25</v>
      </c>
      <c r="R1725" s="1">
        <v>25</v>
      </c>
      <c r="S1725" s="1">
        <v>0</v>
      </c>
      <c r="T1725" s="1">
        <v>0</v>
      </c>
      <c r="U1725" s="1">
        <v>0</v>
      </c>
      <c r="V1725" s="1" t="str">
        <f t="shared" si="241"/>
        <v>里程返程</v>
      </c>
      <c r="W1725" s="1" t="s">
        <v>29</v>
      </c>
    </row>
    <row r="1726" spans="1:23" x14ac:dyDescent="0.3">
      <c r="A1726" s="1" t="str">
        <f t="shared" si="248"/>
        <v>59828</v>
      </c>
      <c r="B1726" s="1" t="s">
        <v>23</v>
      </c>
      <c r="C1726" s="1" t="s">
        <v>24</v>
      </c>
      <c r="D1726" s="1" t="str">
        <f t="shared" si="240"/>
        <v>9801</v>
      </c>
      <c r="E1726" s="1" t="s">
        <v>25</v>
      </c>
      <c r="F1726" s="1" t="str">
        <f>"6280E61A1E880400C817002000000021"</f>
        <v>6280E61A1E880400C817002000000021</v>
      </c>
      <c r="G1726" s="1" t="s">
        <v>58</v>
      </c>
      <c r="H1726" s="1" t="str">
        <f t="shared" si="246"/>
        <v>20220930</v>
      </c>
      <c r="I1726" s="1" t="str">
        <f>"152952"</f>
        <v>152952</v>
      </c>
      <c r="J1726" s="1" t="s">
        <v>44</v>
      </c>
      <c r="K1726" s="1" t="s">
        <v>45</v>
      </c>
      <c r="L1726" s="1" t="str">
        <f t="shared" si="247"/>
        <v>20220930</v>
      </c>
      <c r="M1726" s="1" t="str">
        <f>"154919"</f>
        <v>154919</v>
      </c>
      <c r="N1726" s="1" t="s">
        <v>28</v>
      </c>
      <c r="O1726" s="1" t="s">
        <v>28</v>
      </c>
      <c r="P1726" s="1" t="s">
        <v>55</v>
      </c>
      <c r="Q1726" s="1">
        <v>25</v>
      </c>
      <c r="R1726" s="1">
        <v>25</v>
      </c>
      <c r="S1726" s="1">
        <v>0</v>
      </c>
      <c r="T1726" s="1">
        <v>0</v>
      </c>
      <c r="U1726" s="1">
        <v>0</v>
      </c>
      <c r="V1726" s="1" t="str">
        <f t="shared" si="241"/>
        <v>里程返程</v>
      </c>
      <c r="W1726" s="1" t="s">
        <v>29</v>
      </c>
    </row>
    <row r="1727" spans="1:23" x14ac:dyDescent="0.3">
      <c r="A1727" s="1" t="str">
        <f t="shared" si="248"/>
        <v>59828</v>
      </c>
      <c r="B1727" s="1" t="s">
        <v>23</v>
      </c>
      <c r="C1727" s="1" t="s">
        <v>24</v>
      </c>
      <c r="D1727" s="1" t="str">
        <f t="shared" si="240"/>
        <v>9801</v>
      </c>
      <c r="E1727" s="1" t="s">
        <v>25</v>
      </c>
      <c r="F1727" s="1" t="str">
        <f>"1455194161"</f>
        <v>1455194161</v>
      </c>
      <c r="G1727" s="1" t="s">
        <v>33</v>
      </c>
      <c r="H1727" s="1" t="str">
        <f t="shared" si="246"/>
        <v>20220930</v>
      </c>
      <c r="I1727" s="1" t="str">
        <f>"154941"</f>
        <v>154941</v>
      </c>
      <c r="J1727" s="1" t="s">
        <v>28</v>
      </c>
      <c r="K1727" s="1" t="s">
        <v>28</v>
      </c>
      <c r="L1727" s="1" t="str">
        <f t="shared" si="247"/>
        <v>20220930</v>
      </c>
      <c r="M1727" s="1" t="str">
        <f>"162347"</f>
        <v>162347</v>
      </c>
      <c r="N1727" s="1" t="s">
        <v>51</v>
      </c>
      <c r="O1727" s="1" t="s">
        <v>52</v>
      </c>
      <c r="P1727" s="1" t="s">
        <v>55</v>
      </c>
      <c r="Q1727" s="1">
        <v>25</v>
      </c>
      <c r="R1727" s="1">
        <v>25</v>
      </c>
      <c r="S1727" s="1">
        <v>0</v>
      </c>
      <c r="T1727" s="1">
        <v>0</v>
      </c>
      <c r="U1727" s="1">
        <v>0</v>
      </c>
      <c r="V1727" s="1" t="str">
        <f t="shared" si="241"/>
        <v>里程返程</v>
      </c>
      <c r="W1727" s="1" t="s">
        <v>35</v>
      </c>
    </row>
    <row r="1728" spans="1:23" x14ac:dyDescent="0.3">
      <c r="A1728" s="1" t="str">
        <f t="shared" si="248"/>
        <v>59828</v>
      </c>
      <c r="B1728" s="1" t="s">
        <v>23</v>
      </c>
      <c r="C1728" s="1" t="s">
        <v>24</v>
      </c>
      <c r="D1728" s="1" t="str">
        <f t="shared" si="240"/>
        <v>9801</v>
      </c>
      <c r="E1728" s="1" t="s">
        <v>25</v>
      </c>
      <c r="F1728" s="1" t="str">
        <f>"1228273745"</f>
        <v>1228273745</v>
      </c>
      <c r="G1728" s="1" t="s">
        <v>33</v>
      </c>
      <c r="H1728" s="1" t="str">
        <f t="shared" si="246"/>
        <v>20220930</v>
      </c>
      <c r="I1728" s="1" t="str">
        <f>"154948"</f>
        <v>154948</v>
      </c>
      <c r="J1728" s="1" t="s">
        <v>28</v>
      </c>
      <c r="K1728" s="1" t="s">
        <v>28</v>
      </c>
      <c r="L1728" s="1" t="str">
        <f t="shared" si="247"/>
        <v>20220930</v>
      </c>
      <c r="M1728" s="1" t="str">
        <f>"162344"</f>
        <v>162344</v>
      </c>
      <c r="N1728" s="1" t="s">
        <v>51</v>
      </c>
      <c r="O1728" s="1" t="s">
        <v>52</v>
      </c>
      <c r="P1728" s="1" t="s">
        <v>55</v>
      </c>
      <c r="Q1728" s="1">
        <v>25</v>
      </c>
      <c r="R1728" s="1">
        <v>25</v>
      </c>
      <c r="S1728" s="1">
        <v>0</v>
      </c>
      <c r="T1728" s="1">
        <v>0</v>
      </c>
      <c r="U1728" s="1">
        <v>0</v>
      </c>
      <c r="V1728" s="1" t="str">
        <f t="shared" si="241"/>
        <v>里程返程</v>
      </c>
      <c r="W1728" s="1" t="s">
        <v>35</v>
      </c>
    </row>
    <row r="1729" spans="1:23" x14ac:dyDescent="0.3">
      <c r="A1729" s="1" t="str">
        <f t="shared" si="248"/>
        <v>59828</v>
      </c>
      <c r="B1729" s="1" t="s">
        <v>23</v>
      </c>
      <c r="C1729" s="1" t="s">
        <v>24</v>
      </c>
      <c r="D1729" s="1" t="str">
        <f t="shared" si="240"/>
        <v>9801</v>
      </c>
      <c r="E1729" s="1" t="s">
        <v>25</v>
      </c>
      <c r="F1729" s="1" t="str">
        <f>"1070523683"</f>
        <v>1070523683</v>
      </c>
      <c r="G1729" s="1" t="s">
        <v>33</v>
      </c>
      <c r="H1729" s="1" t="str">
        <f t="shared" si="246"/>
        <v>20220930</v>
      </c>
      <c r="I1729" s="1" t="str">
        <f>"155318"</f>
        <v>155318</v>
      </c>
      <c r="J1729" s="1" t="s">
        <v>28</v>
      </c>
      <c r="K1729" s="1" t="s">
        <v>28</v>
      </c>
      <c r="L1729" s="1" t="str">
        <f t="shared" si="247"/>
        <v>20220930</v>
      </c>
      <c r="M1729" s="1" t="str">
        <f>"161748"</f>
        <v>161748</v>
      </c>
      <c r="N1729" s="1" t="s">
        <v>65</v>
      </c>
      <c r="O1729" s="1" t="s">
        <v>52</v>
      </c>
      <c r="P1729" s="1" t="s">
        <v>55</v>
      </c>
      <c r="Q1729" s="1">
        <v>25</v>
      </c>
      <c r="R1729" s="1">
        <v>0</v>
      </c>
      <c r="S1729" s="1">
        <v>25</v>
      </c>
      <c r="T1729" s="1">
        <v>0</v>
      </c>
      <c r="U1729" s="1">
        <v>0</v>
      </c>
      <c r="V1729" s="1" t="str">
        <f t="shared" si="241"/>
        <v>里程返程</v>
      </c>
      <c r="W1729" s="1" t="s">
        <v>35</v>
      </c>
    </row>
    <row r="1730" spans="1:23" x14ac:dyDescent="0.3">
      <c r="A1730" s="1" t="str">
        <f t="shared" si="248"/>
        <v>59828</v>
      </c>
      <c r="B1730" s="1" t="s">
        <v>23</v>
      </c>
      <c r="C1730" s="1" t="s">
        <v>24</v>
      </c>
      <c r="D1730" s="1" t="str">
        <f t="shared" ref="D1730:D1736" si="249">"9801"</f>
        <v>9801</v>
      </c>
      <c r="E1730" s="1" t="s">
        <v>25</v>
      </c>
      <c r="F1730" s="1" t="str">
        <f>"1172405141"</f>
        <v>1172405141</v>
      </c>
      <c r="G1730" s="1" t="s">
        <v>33</v>
      </c>
      <c r="H1730" s="1" t="str">
        <f t="shared" si="246"/>
        <v>20220930</v>
      </c>
      <c r="I1730" s="1" t="str">
        <f>"155530"</f>
        <v>155530</v>
      </c>
      <c r="J1730" s="1" t="s">
        <v>28</v>
      </c>
      <c r="K1730" s="1" t="s">
        <v>28</v>
      </c>
      <c r="L1730" s="1" t="str">
        <f t="shared" si="247"/>
        <v>20220930</v>
      </c>
      <c r="M1730" s="1" t="str">
        <f>"161752"</f>
        <v>161752</v>
      </c>
      <c r="N1730" s="1" t="s">
        <v>65</v>
      </c>
      <c r="O1730" s="1" t="s">
        <v>52</v>
      </c>
      <c r="P1730" s="1" t="s">
        <v>55</v>
      </c>
      <c r="Q1730" s="1">
        <v>25</v>
      </c>
      <c r="R1730" s="1">
        <v>25</v>
      </c>
      <c r="S1730" s="1">
        <v>0</v>
      </c>
      <c r="T1730" s="1">
        <v>0</v>
      </c>
      <c r="U1730" s="1">
        <v>0</v>
      </c>
      <c r="V1730" s="1" t="str">
        <f t="shared" ref="V1730:V1736" si="250">"里程返程"</f>
        <v>里程返程</v>
      </c>
      <c r="W1730" s="1" t="s">
        <v>35</v>
      </c>
    </row>
    <row r="1731" spans="1:23" x14ac:dyDescent="0.3">
      <c r="A1731" s="1" t="str">
        <f t="shared" si="248"/>
        <v>59828</v>
      </c>
      <c r="B1731" s="1" t="s">
        <v>23</v>
      </c>
      <c r="C1731" s="1" t="s">
        <v>24</v>
      </c>
      <c r="D1731" s="1" t="str">
        <f t="shared" si="249"/>
        <v>9801</v>
      </c>
      <c r="E1731" s="1" t="s">
        <v>25</v>
      </c>
      <c r="F1731" s="1" t="str">
        <f>"42AFE60209880400C834002000000015"</f>
        <v>42AFE60209880400C834002000000015</v>
      </c>
      <c r="G1731" s="1" t="s">
        <v>74</v>
      </c>
      <c r="H1731" s="1" t="str">
        <f t="shared" si="246"/>
        <v>20220930</v>
      </c>
      <c r="I1731" s="1" t="str">
        <f>"161328"</f>
        <v>161328</v>
      </c>
      <c r="J1731" s="1" t="s">
        <v>80</v>
      </c>
      <c r="K1731" s="1" t="s">
        <v>52</v>
      </c>
      <c r="L1731" s="1" t="str">
        <f t="shared" si="247"/>
        <v>20220930</v>
      </c>
      <c r="M1731" s="1" t="str">
        <f>"162833"</f>
        <v>162833</v>
      </c>
      <c r="N1731" s="1" t="s">
        <v>52</v>
      </c>
      <c r="O1731" s="1" t="s">
        <v>52</v>
      </c>
      <c r="P1731" s="1" t="s">
        <v>68</v>
      </c>
      <c r="Q1731" s="1">
        <v>13</v>
      </c>
      <c r="R1731" s="1">
        <v>0</v>
      </c>
      <c r="S1731" s="1">
        <v>0</v>
      </c>
      <c r="T1731" s="1">
        <v>13</v>
      </c>
      <c r="U1731" s="1">
        <v>0</v>
      </c>
      <c r="V1731" s="1" t="str">
        <f t="shared" si="250"/>
        <v>里程返程</v>
      </c>
      <c r="W1731" s="1" t="s">
        <v>29</v>
      </c>
    </row>
    <row r="1732" spans="1:23" x14ac:dyDescent="0.3">
      <c r="A1732" s="1" t="str">
        <f t="shared" si="248"/>
        <v>59828</v>
      </c>
      <c r="B1732" s="1" t="s">
        <v>23</v>
      </c>
      <c r="C1732" s="1" t="s">
        <v>24</v>
      </c>
      <c r="D1732" s="1" t="str">
        <f t="shared" si="249"/>
        <v>9801</v>
      </c>
      <c r="E1732" s="1" t="s">
        <v>25</v>
      </c>
      <c r="F1732" s="1" t="str">
        <f>"1C066E691D8804004741355145104307"</f>
        <v>1C066E691D8804004741355145104307</v>
      </c>
      <c r="G1732" s="1" t="s">
        <v>59</v>
      </c>
      <c r="H1732" s="1" t="str">
        <f t="shared" si="246"/>
        <v>20220930</v>
      </c>
      <c r="I1732" s="1" t="str">
        <f>"163900"</f>
        <v>163900</v>
      </c>
      <c r="J1732" s="1" t="s">
        <v>75</v>
      </c>
      <c r="K1732" s="1" t="s">
        <v>45</v>
      </c>
      <c r="L1732" s="1" t="str">
        <f t="shared" si="247"/>
        <v>20220930</v>
      </c>
      <c r="M1732" s="1" t="str">
        <f>"165247"</f>
        <v>165247</v>
      </c>
      <c r="N1732" s="1" t="s">
        <v>28</v>
      </c>
      <c r="O1732" s="1" t="s">
        <v>28</v>
      </c>
      <c r="P1732" s="1" t="s">
        <v>55</v>
      </c>
      <c r="Q1732" s="1">
        <v>25</v>
      </c>
      <c r="R1732" s="1">
        <v>25</v>
      </c>
      <c r="S1732" s="1">
        <v>0</v>
      </c>
      <c r="T1732" s="1">
        <v>0</v>
      </c>
      <c r="U1732" s="1">
        <v>0</v>
      </c>
      <c r="V1732" s="1" t="str">
        <f t="shared" si="250"/>
        <v>里程返程</v>
      </c>
      <c r="W1732" s="1" t="s">
        <v>29</v>
      </c>
    </row>
    <row r="1733" spans="1:23" x14ac:dyDescent="0.3">
      <c r="A1733" s="1" t="str">
        <f t="shared" si="248"/>
        <v>59828</v>
      </c>
      <c r="B1733" s="1" t="s">
        <v>23</v>
      </c>
      <c r="C1733" s="1" t="s">
        <v>24</v>
      </c>
      <c r="D1733" s="1" t="str">
        <f t="shared" si="249"/>
        <v>9801</v>
      </c>
      <c r="E1733" s="1" t="s">
        <v>25</v>
      </c>
      <c r="F1733" s="1" t="str">
        <f>"540148081"</f>
        <v>540148081</v>
      </c>
      <c r="G1733" s="1" t="s">
        <v>74</v>
      </c>
      <c r="H1733" s="1" t="str">
        <f t="shared" si="246"/>
        <v>20220930</v>
      </c>
      <c r="I1733" s="1" t="str">
        <f>"164224"</f>
        <v>164224</v>
      </c>
      <c r="J1733" s="1" t="s">
        <v>61</v>
      </c>
      <c r="K1733" s="1" t="s">
        <v>45</v>
      </c>
      <c r="L1733" s="1" t="str">
        <f t="shared" si="247"/>
        <v>20220930</v>
      </c>
      <c r="M1733" s="1" t="str">
        <f>"165243"</f>
        <v>165243</v>
      </c>
      <c r="N1733" s="1" t="s">
        <v>28</v>
      </c>
      <c r="O1733" s="1" t="s">
        <v>28</v>
      </c>
      <c r="P1733" s="1" t="s">
        <v>55</v>
      </c>
      <c r="Q1733" s="1">
        <v>13</v>
      </c>
      <c r="R1733" s="1">
        <v>13</v>
      </c>
      <c r="S1733" s="1">
        <v>0</v>
      </c>
      <c r="T1733" s="1">
        <v>0</v>
      </c>
      <c r="U1733" s="1">
        <v>0</v>
      </c>
      <c r="V1733" s="1" t="str">
        <f t="shared" si="250"/>
        <v>里程返程</v>
      </c>
      <c r="W1733" s="1" t="s">
        <v>35</v>
      </c>
    </row>
    <row r="1734" spans="1:23" x14ac:dyDescent="0.3">
      <c r="A1734" s="1" t="str">
        <f t="shared" si="248"/>
        <v>59828</v>
      </c>
      <c r="B1734" s="1" t="s">
        <v>23</v>
      </c>
      <c r="C1734" s="1" t="s">
        <v>24</v>
      </c>
      <c r="D1734" s="1" t="str">
        <f t="shared" si="249"/>
        <v>9801</v>
      </c>
      <c r="E1734" s="1" t="s">
        <v>25</v>
      </c>
      <c r="F1734" s="1" t="str">
        <f>"E293E60295880400C834002000000015"</f>
        <v>E293E60295880400C834002000000015</v>
      </c>
      <c r="G1734" s="1" t="s">
        <v>74</v>
      </c>
      <c r="H1734" s="1" t="str">
        <f t="shared" si="246"/>
        <v>20220930</v>
      </c>
      <c r="I1734" s="1" t="str">
        <f>"171338"</f>
        <v>171338</v>
      </c>
      <c r="J1734" s="1" t="s">
        <v>80</v>
      </c>
      <c r="K1734" s="1" t="s">
        <v>52</v>
      </c>
      <c r="L1734" s="1" t="str">
        <f t="shared" si="247"/>
        <v>20220930</v>
      </c>
      <c r="M1734" s="1" t="str">
        <f>"171626"</f>
        <v>171626</v>
      </c>
      <c r="N1734" s="1" t="s">
        <v>65</v>
      </c>
      <c r="O1734" s="1" t="s">
        <v>52</v>
      </c>
      <c r="P1734" s="1" t="s">
        <v>68</v>
      </c>
      <c r="Q1734" s="1">
        <v>13</v>
      </c>
      <c r="R1734" s="1">
        <v>0</v>
      </c>
      <c r="S1734" s="1">
        <v>0</v>
      </c>
      <c r="T1734" s="1">
        <v>13</v>
      </c>
      <c r="U1734" s="1">
        <v>0</v>
      </c>
      <c r="V1734" s="1" t="str">
        <f t="shared" si="250"/>
        <v>里程返程</v>
      </c>
      <c r="W1734" s="1" t="s">
        <v>29</v>
      </c>
    </row>
    <row r="1735" spans="1:23" x14ac:dyDescent="0.3">
      <c r="A1735" s="1" t="str">
        <f t="shared" si="248"/>
        <v>59828</v>
      </c>
      <c r="B1735" s="1" t="s">
        <v>23</v>
      </c>
      <c r="C1735" s="1" t="s">
        <v>24</v>
      </c>
      <c r="D1735" s="1" t="str">
        <f t="shared" si="249"/>
        <v>9801</v>
      </c>
      <c r="E1735" s="1" t="s">
        <v>25</v>
      </c>
      <c r="F1735" s="1" t="str">
        <f>"C2C219031A880400C834002000000015"</f>
        <v>C2C219031A880400C834002000000015</v>
      </c>
      <c r="G1735" s="1" t="s">
        <v>74</v>
      </c>
      <c r="H1735" s="1" t="str">
        <f t="shared" si="246"/>
        <v>20220930</v>
      </c>
      <c r="I1735" s="1" t="str">
        <f>"171345"</f>
        <v>171345</v>
      </c>
      <c r="J1735" s="1" t="s">
        <v>80</v>
      </c>
      <c r="K1735" s="1" t="s">
        <v>52</v>
      </c>
      <c r="L1735" s="1" t="str">
        <f t="shared" si="247"/>
        <v>20220930</v>
      </c>
      <c r="M1735" s="1" t="str">
        <f>"171629"</f>
        <v>171629</v>
      </c>
      <c r="N1735" s="1" t="s">
        <v>65</v>
      </c>
      <c r="O1735" s="1" t="s">
        <v>52</v>
      </c>
      <c r="P1735" s="1" t="s">
        <v>68</v>
      </c>
      <c r="Q1735" s="1">
        <v>13</v>
      </c>
      <c r="R1735" s="1">
        <v>0</v>
      </c>
      <c r="S1735" s="1">
        <v>0</v>
      </c>
      <c r="T1735" s="1">
        <v>13</v>
      </c>
      <c r="U1735" s="1">
        <v>0</v>
      </c>
      <c r="V1735" s="1" t="str">
        <f t="shared" si="250"/>
        <v>里程返程</v>
      </c>
      <c r="W1735" s="1" t="s">
        <v>29</v>
      </c>
    </row>
    <row r="1736" spans="1:23" x14ac:dyDescent="0.3">
      <c r="A1736" s="1" t="str">
        <f t="shared" si="248"/>
        <v>59828</v>
      </c>
      <c r="B1736" s="1" t="s">
        <v>23</v>
      </c>
      <c r="C1736" s="1" t="s">
        <v>24</v>
      </c>
      <c r="D1736" s="1" t="str">
        <f t="shared" si="249"/>
        <v>9801</v>
      </c>
      <c r="E1736" s="1" t="s">
        <v>25</v>
      </c>
      <c r="F1736" s="1" t="str">
        <f>"7227E702B0880400C834002000000015"</f>
        <v>7227E702B0880400C834002000000015</v>
      </c>
      <c r="G1736" s="1" t="s">
        <v>74</v>
      </c>
      <c r="H1736" s="1" t="str">
        <f t="shared" si="246"/>
        <v>20220930</v>
      </c>
      <c r="I1736" s="1" t="str">
        <f>"171351"</f>
        <v>171351</v>
      </c>
      <c r="J1736" s="1" t="s">
        <v>80</v>
      </c>
      <c r="K1736" s="1" t="s">
        <v>52</v>
      </c>
      <c r="L1736" s="1" t="str">
        <f t="shared" si="247"/>
        <v>20220930</v>
      </c>
      <c r="M1736" s="1" t="str">
        <f>"172631"</f>
        <v>172631</v>
      </c>
      <c r="N1736" s="1" t="s">
        <v>52</v>
      </c>
      <c r="O1736" s="1" t="s">
        <v>52</v>
      </c>
      <c r="P1736" s="1" t="s">
        <v>68</v>
      </c>
      <c r="Q1736" s="1">
        <v>13</v>
      </c>
      <c r="R1736" s="1">
        <v>0</v>
      </c>
      <c r="S1736" s="1">
        <v>0</v>
      </c>
      <c r="T1736" s="1">
        <v>13</v>
      </c>
      <c r="U1736" s="1">
        <v>0</v>
      </c>
      <c r="V1736" s="1" t="str">
        <f t="shared" si="250"/>
        <v>里程返程</v>
      </c>
      <c r="W1736" s="1" t="s">
        <v>29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8"/>
  <sheetViews>
    <sheetView workbookViewId="0">
      <selection activeCell="O18" sqref="O18"/>
    </sheetView>
  </sheetViews>
  <sheetFormatPr defaultRowHeight="16.2" x14ac:dyDescent="0.3"/>
  <cols>
    <col min="4" max="33" width="5.5546875" customWidth="1"/>
  </cols>
  <sheetData>
    <row r="1" spans="1:33" x14ac:dyDescent="0.3">
      <c r="A1" s="5" t="s">
        <v>0</v>
      </c>
      <c r="B1" s="5" t="s">
        <v>1</v>
      </c>
      <c r="C1" s="5" t="s">
        <v>125</v>
      </c>
      <c r="D1" s="6">
        <v>44805</v>
      </c>
      <c r="E1" s="6">
        <v>44806</v>
      </c>
      <c r="F1" s="6">
        <v>44807</v>
      </c>
      <c r="G1" s="6">
        <v>44808</v>
      </c>
      <c r="H1" s="6">
        <v>44809</v>
      </c>
      <c r="I1" s="6">
        <v>44810</v>
      </c>
      <c r="J1" s="6">
        <v>44811</v>
      </c>
      <c r="K1" s="6">
        <v>44812</v>
      </c>
      <c r="L1" s="6">
        <v>44813</v>
      </c>
      <c r="M1" s="6">
        <v>44814</v>
      </c>
      <c r="N1" s="6">
        <v>44815</v>
      </c>
      <c r="O1" s="6">
        <v>44816</v>
      </c>
      <c r="P1" s="6">
        <v>44817</v>
      </c>
      <c r="Q1" s="6">
        <v>44818</v>
      </c>
      <c r="R1" s="6">
        <v>44819</v>
      </c>
      <c r="S1" s="6">
        <v>44820</v>
      </c>
      <c r="T1" s="6">
        <v>44821</v>
      </c>
      <c r="U1" s="6">
        <v>44822</v>
      </c>
      <c r="V1" s="6">
        <v>44823</v>
      </c>
      <c r="W1" s="6">
        <v>44824</v>
      </c>
      <c r="X1" s="6">
        <v>44825</v>
      </c>
      <c r="Y1" s="6">
        <v>44826</v>
      </c>
      <c r="Z1" s="6">
        <v>44827</v>
      </c>
      <c r="AA1" s="6">
        <v>44828</v>
      </c>
      <c r="AB1" s="6">
        <v>44829</v>
      </c>
      <c r="AC1" s="6">
        <v>44830</v>
      </c>
      <c r="AD1" s="6">
        <v>44831</v>
      </c>
      <c r="AE1" s="6">
        <v>44832</v>
      </c>
      <c r="AF1" s="6">
        <v>44833</v>
      </c>
      <c r="AG1" s="6">
        <v>44834</v>
      </c>
    </row>
    <row r="2" spans="1:33" x14ac:dyDescent="0.3">
      <c r="A2" s="2" t="s">
        <v>118</v>
      </c>
      <c r="B2" s="2" t="s">
        <v>42</v>
      </c>
      <c r="C2" s="3">
        <v>911</v>
      </c>
      <c r="D2" s="3">
        <v>75</v>
      </c>
      <c r="E2" s="3">
        <v>33</v>
      </c>
      <c r="F2" s="3">
        <v>11</v>
      </c>
      <c r="G2" s="3">
        <v>13</v>
      </c>
      <c r="H2" s="4"/>
      <c r="I2" s="3">
        <v>29</v>
      </c>
      <c r="J2" s="3">
        <v>42</v>
      </c>
      <c r="K2" s="3">
        <v>57</v>
      </c>
      <c r="L2" s="3">
        <v>40</v>
      </c>
      <c r="M2" s="4"/>
      <c r="N2" s="3">
        <v>53</v>
      </c>
      <c r="O2" s="3">
        <v>30</v>
      </c>
      <c r="P2" s="3">
        <v>57</v>
      </c>
      <c r="Q2" s="4"/>
      <c r="R2" s="3">
        <v>34</v>
      </c>
      <c r="S2" s="3">
        <v>63</v>
      </c>
      <c r="T2" s="3">
        <v>38</v>
      </c>
      <c r="U2" s="3">
        <v>27</v>
      </c>
      <c r="V2" s="3">
        <v>27</v>
      </c>
      <c r="W2" s="4"/>
      <c r="X2" s="4"/>
      <c r="Y2" s="3">
        <v>24</v>
      </c>
      <c r="Z2" s="3">
        <v>25</v>
      </c>
      <c r="AA2" s="3">
        <v>35</v>
      </c>
      <c r="AB2" s="3">
        <v>24</v>
      </c>
      <c r="AC2" s="4"/>
      <c r="AD2" s="3">
        <v>44</v>
      </c>
      <c r="AE2" s="3">
        <v>37</v>
      </c>
      <c r="AF2" s="3">
        <v>30</v>
      </c>
      <c r="AG2" s="3">
        <v>63</v>
      </c>
    </row>
    <row r="3" spans="1:33" x14ac:dyDescent="0.3">
      <c r="A3" s="2" t="s">
        <v>119</v>
      </c>
      <c r="B3" s="2" t="s">
        <v>53</v>
      </c>
      <c r="C3" s="3">
        <v>951</v>
      </c>
      <c r="D3" s="3">
        <v>53</v>
      </c>
      <c r="E3" s="3">
        <v>34</v>
      </c>
      <c r="F3" s="3">
        <v>18</v>
      </c>
      <c r="G3" s="4"/>
      <c r="H3" s="3">
        <v>51</v>
      </c>
      <c r="I3" s="3">
        <v>37</v>
      </c>
      <c r="J3" s="3">
        <v>60</v>
      </c>
      <c r="K3" s="4"/>
      <c r="L3" s="3">
        <v>69</v>
      </c>
      <c r="M3" s="3">
        <v>43</v>
      </c>
      <c r="N3" s="3">
        <v>56</v>
      </c>
      <c r="O3" s="4"/>
      <c r="P3" s="4"/>
      <c r="Q3" s="3">
        <v>70</v>
      </c>
      <c r="R3" s="3">
        <v>48</v>
      </c>
      <c r="S3" s="3">
        <v>87</v>
      </c>
      <c r="T3" s="3">
        <v>66</v>
      </c>
      <c r="U3" s="3">
        <v>42</v>
      </c>
      <c r="V3" s="4"/>
      <c r="W3" s="3">
        <v>15</v>
      </c>
      <c r="X3" s="3">
        <v>16</v>
      </c>
      <c r="Y3" s="3">
        <v>20</v>
      </c>
      <c r="Z3" s="4"/>
      <c r="AA3" s="3">
        <v>25</v>
      </c>
      <c r="AB3" s="3">
        <v>38</v>
      </c>
      <c r="AC3" s="3">
        <v>31</v>
      </c>
      <c r="AD3" s="4"/>
      <c r="AE3" s="4"/>
      <c r="AF3" s="3">
        <v>34</v>
      </c>
      <c r="AG3" s="3">
        <v>38</v>
      </c>
    </row>
    <row r="4" spans="1:33" x14ac:dyDescent="0.3">
      <c r="A4" s="2" t="s">
        <v>120</v>
      </c>
      <c r="B4" s="2" t="s">
        <v>39</v>
      </c>
      <c r="C4" s="3">
        <v>985</v>
      </c>
      <c r="D4" s="3">
        <v>45</v>
      </c>
      <c r="E4" s="4"/>
      <c r="F4" s="4"/>
      <c r="G4" s="3">
        <v>32</v>
      </c>
      <c r="H4" s="3">
        <v>60</v>
      </c>
      <c r="I4" s="3">
        <v>32</v>
      </c>
      <c r="J4" s="4"/>
      <c r="K4" s="3">
        <v>62</v>
      </c>
      <c r="L4" s="3">
        <v>56</v>
      </c>
      <c r="M4" s="3">
        <v>45</v>
      </c>
      <c r="N4" s="3">
        <v>87</v>
      </c>
      <c r="O4" s="3">
        <v>46</v>
      </c>
      <c r="P4" s="4"/>
      <c r="Q4" s="3">
        <v>96</v>
      </c>
      <c r="R4" s="3">
        <v>64</v>
      </c>
      <c r="S4" s="3">
        <v>40</v>
      </c>
      <c r="T4" s="4"/>
      <c r="U4" s="3">
        <v>72</v>
      </c>
      <c r="V4" s="3">
        <v>23</v>
      </c>
      <c r="W4" s="3">
        <v>22</v>
      </c>
      <c r="X4" s="3">
        <v>26</v>
      </c>
      <c r="Y4" s="4"/>
      <c r="Z4" s="3">
        <v>30</v>
      </c>
      <c r="AA4" s="3">
        <v>23</v>
      </c>
      <c r="AB4" s="3">
        <v>27</v>
      </c>
      <c r="AC4" s="3">
        <v>30</v>
      </c>
      <c r="AD4" s="3">
        <v>30</v>
      </c>
      <c r="AE4" s="4"/>
      <c r="AF4" s="4"/>
      <c r="AG4" s="3">
        <v>37</v>
      </c>
    </row>
    <row r="5" spans="1:33" x14ac:dyDescent="0.3">
      <c r="A5" s="2" t="s">
        <v>121</v>
      </c>
      <c r="B5" s="2" t="s">
        <v>36</v>
      </c>
      <c r="C5" s="3">
        <v>538</v>
      </c>
      <c r="D5" s="4"/>
      <c r="E5" s="3">
        <v>14</v>
      </c>
      <c r="F5" s="4"/>
      <c r="G5" s="4"/>
      <c r="H5" s="3">
        <v>83</v>
      </c>
      <c r="I5" s="3">
        <v>67</v>
      </c>
      <c r="J5" s="3">
        <v>48</v>
      </c>
      <c r="K5" s="4"/>
      <c r="L5" s="4"/>
      <c r="M5" s="4"/>
      <c r="N5" s="4"/>
      <c r="O5" s="3">
        <v>19</v>
      </c>
      <c r="P5" s="3">
        <v>53</v>
      </c>
      <c r="Q5" s="4"/>
      <c r="R5" s="4"/>
      <c r="S5" s="4"/>
      <c r="T5" s="4"/>
      <c r="U5" s="4"/>
      <c r="V5" s="3">
        <v>47</v>
      </c>
      <c r="W5" s="3">
        <v>38</v>
      </c>
      <c r="X5" s="4"/>
      <c r="Y5" s="3">
        <v>39</v>
      </c>
      <c r="Z5" s="3">
        <v>53</v>
      </c>
      <c r="AA5" s="4"/>
      <c r="AB5" s="4"/>
      <c r="AC5" s="3">
        <v>34</v>
      </c>
      <c r="AD5" s="3">
        <v>25</v>
      </c>
      <c r="AE5" s="3">
        <v>18</v>
      </c>
      <c r="AF5" s="4"/>
      <c r="AG5" s="4"/>
    </row>
    <row r="6" spans="1:33" x14ac:dyDescent="0.3">
      <c r="A6" s="2" t="s">
        <v>122</v>
      </c>
      <c r="B6" s="2" t="s">
        <v>30</v>
      </c>
      <c r="C6" s="3">
        <v>1179</v>
      </c>
      <c r="D6" s="3">
        <v>81</v>
      </c>
      <c r="E6" s="3">
        <v>45</v>
      </c>
      <c r="F6" s="3">
        <v>25</v>
      </c>
      <c r="G6" s="3">
        <v>25</v>
      </c>
      <c r="H6" s="4"/>
      <c r="I6" s="4"/>
      <c r="J6" s="3">
        <v>74</v>
      </c>
      <c r="K6" s="3">
        <v>72</v>
      </c>
      <c r="L6" s="3">
        <v>84</v>
      </c>
      <c r="M6" s="3">
        <v>64</v>
      </c>
      <c r="N6" s="3">
        <v>55</v>
      </c>
      <c r="O6" s="4"/>
      <c r="P6" s="3">
        <v>57</v>
      </c>
      <c r="Q6" s="3">
        <v>61</v>
      </c>
      <c r="R6" s="3">
        <v>62</v>
      </c>
      <c r="S6" s="3">
        <v>54</v>
      </c>
      <c r="T6" s="3">
        <v>74</v>
      </c>
      <c r="U6" s="3">
        <v>54</v>
      </c>
      <c r="V6" s="4"/>
      <c r="W6" s="4"/>
      <c r="X6" s="3">
        <v>26</v>
      </c>
      <c r="Y6" s="3">
        <v>29</v>
      </c>
      <c r="Z6" s="3">
        <v>27</v>
      </c>
      <c r="AA6" s="3">
        <v>39</v>
      </c>
      <c r="AB6" s="3">
        <v>36</v>
      </c>
      <c r="AC6" s="4"/>
      <c r="AD6" s="3">
        <v>24</v>
      </c>
      <c r="AE6" s="3">
        <v>31</v>
      </c>
      <c r="AF6" s="3">
        <v>36</v>
      </c>
      <c r="AG6" s="3">
        <v>44</v>
      </c>
    </row>
    <row r="7" spans="1:33" x14ac:dyDescent="0.3">
      <c r="A7" s="2" t="s">
        <v>123</v>
      </c>
      <c r="B7" s="2" t="s">
        <v>23</v>
      </c>
      <c r="C7" s="3">
        <v>780</v>
      </c>
      <c r="D7" s="4"/>
      <c r="E7" s="3">
        <v>32</v>
      </c>
      <c r="F7" s="3">
        <v>34</v>
      </c>
      <c r="G7" s="3">
        <v>34</v>
      </c>
      <c r="H7" s="3">
        <v>38</v>
      </c>
      <c r="I7" s="4"/>
      <c r="J7" s="3">
        <v>52</v>
      </c>
      <c r="K7" s="3">
        <v>48</v>
      </c>
      <c r="L7" s="4"/>
      <c r="M7" s="3">
        <v>38</v>
      </c>
      <c r="N7" s="3">
        <v>46</v>
      </c>
      <c r="O7" s="3">
        <v>40</v>
      </c>
      <c r="P7" s="3">
        <v>36</v>
      </c>
      <c r="Q7" s="3">
        <v>29</v>
      </c>
      <c r="R7" s="4"/>
      <c r="S7" s="4"/>
      <c r="T7" s="3">
        <v>39</v>
      </c>
      <c r="U7" s="3">
        <v>42</v>
      </c>
      <c r="V7" s="3">
        <v>20</v>
      </c>
      <c r="W7" s="3">
        <v>19</v>
      </c>
      <c r="X7" s="3">
        <v>28</v>
      </c>
      <c r="Y7" s="4"/>
      <c r="Z7" s="4"/>
      <c r="AA7" s="3">
        <v>39</v>
      </c>
      <c r="AB7" s="3">
        <v>38</v>
      </c>
      <c r="AC7" s="3">
        <v>40</v>
      </c>
      <c r="AD7" s="4"/>
      <c r="AE7" s="3">
        <v>27</v>
      </c>
      <c r="AF7" s="3">
        <v>25</v>
      </c>
      <c r="AG7" s="3">
        <v>36</v>
      </c>
    </row>
    <row r="8" spans="1:33" x14ac:dyDescent="0.3">
      <c r="A8" s="2" t="s">
        <v>124</v>
      </c>
      <c r="B8" s="2" t="s">
        <v>47</v>
      </c>
      <c r="C8" s="3">
        <v>872</v>
      </c>
      <c r="D8" s="3">
        <v>37</v>
      </c>
      <c r="E8" s="4"/>
      <c r="F8" s="3">
        <v>14</v>
      </c>
      <c r="G8" s="3">
        <v>18</v>
      </c>
      <c r="H8" s="3">
        <v>65</v>
      </c>
      <c r="I8" s="3">
        <v>58</v>
      </c>
      <c r="J8" s="4"/>
      <c r="K8" s="3">
        <v>84</v>
      </c>
      <c r="L8" s="3">
        <v>41</v>
      </c>
      <c r="M8" s="3">
        <v>32</v>
      </c>
      <c r="N8" s="4"/>
      <c r="O8" s="3">
        <v>31</v>
      </c>
      <c r="P8" s="3">
        <v>33</v>
      </c>
      <c r="Q8" s="3">
        <v>50</v>
      </c>
      <c r="R8" s="3">
        <v>62</v>
      </c>
      <c r="S8" s="3">
        <v>80</v>
      </c>
      <c r="T8" s="3">
        <v>52</v>
      </c>
      <c r="U8" s="4"/>
      <c r="V8" s="3">
        <v>18</v>
      </c>
      <c r="W8" s="3">
        <v>25</v>
      </c>
      <c r="X8" s="3">
        <v>19</v>
      </c>
      <c r="Y8" s="3">
        <v>40</v>
      </c>
      <c r="Z8" s="3">
        <v>27</v>
      </c>
      <c r="AA8" s="4"/>
      <c r="AB8" s="4"/>
      <c r="AC8" s="3">
        <v>20</v>
      </c>
      <c r="AD8" s="3">
        <v>26</v>
      </c>
      <c r="AE8" s="3">
        <v>15</v>
      </c>
      <c r="AF8" s="3">
        <v>25</v>
      </c>
      <c r="AG8" s="4"/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明細</vt:lpstr>
      <vt:lpstr>循環線-去程</vt:lpstr>
      <vt:lpstr>循環線-返程</vt:lpstr>
      <vt:lpstr>統計表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2022-10-03T05:26:32Z</dcterms:created>
  <dcterms:modified xsi:type="dcterms:W3CDTF">2022-10-03T06:16:11Z</dcterms:modified>
</cp:coreProperties>
</file>